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Hannah\Documents\my-react-app\src\datasets\"/>
    </mc:Choice>
  </mc:AlternateContent>
  <xr:revisionPtr revIDLastSave="0" documentId="13_ncr:1_{624C057F-187C-42D8-8920-9A221425C418}" xr6:coauthVersionLast="47" xr6:coauthVersionMax="47" xr10:uidLastSave="{00000000-0000-0000-0000-000000000000}"/>
  <bookViews>
    <workbookView xWindow="-108" yWindow="-108" windowWidth="30936" windowHeight="18696" xr2:uid="{00000000-000D-0000-FFFF-FFFF00000000}"/>
  </bookViews>
  <sheets>
    <sheet name="Updated 31Mar2020" sheetId="1" r:id="rId1"/>
    <sheet name="Notes" sheetId="2" r:id="rId2"/>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Q1382" i="1" l="1"/>
  <c r="BQ1381" i="1"/>
  <c r="BQ1380" i="1"/>
  <c r="BQ1379" i="1"/>
  <c r="BQ1378" i="1"/>
  <c r="BQ1377" i="1"/>
  <c r="BQ1376" i="1"/>
  <c r="BQ1375" i="1"/>
  <c r="BQ1374" i="1"/>
  <c r="BQ1373" i="1"/>
  <c r="BQ1372" i="1"/>
  <c r="BQ1371" i="1"/>
  <c r="BQ1370" i="1"/>
  <c r="BQ1369" i="1"/>
  <c r="BQ1368" i="1"/>
  <c r="BQ1367" i="1"/>
  <c r="BQ1366" i="1"/>
  <c r="BQ1365" i="1"/>
  <c r="BQ1364" i="1"/>
  <c r="BQ1363" i="1"/>
  <c r="BQ1362" i="1"/>
  <c r="BQ1361" i="1"/>
  <c r="BQ1360" i="1"/>
  <c r="BQ1359" i="1"/>
  <c r="BQ1358" i="1"/>
  <c r="BQ1357" i="1"/>
  <c r="BQ1356" i="1"/>
  <c r="BQ1355" i="1"/>
  <c r="BQ1354" i="1"/>
  <c r="BQ1353" i="1"/>
  <c r="BQ1352" i="1"/>
  <c r="BQ1351" i="1"/>
  <c r="BQ1350" i="1"/>
  <c r="BQ1349" i="1"/>
  <c r="BQ1348" i="1"/>
  <c r="BQ1347" i="1"/>
  <c r="BQ1346" i="1"/>
  <c r="BQ1345" i="1"/>
  <c r="BQ1344" i="1"/>
  <c r="BQ1343" i="1"/>
  <c r="BQ1342" i="1"/>
  <c r="BQ1341" i="1"/>
  <c r="BQ1340" i="1"/>
  <c r="BQ1339" i="1"/>
  <c r="BQ1338" i="1"/>
  <c r="BQ1337" i="1"/>
  <c r="BQ1336" i="1"/>
  <c r="BQ1335" i="1"/>
  <c r="BQ1334" i="1"/>
  <c r="BQ1333" i="1"/>
  <c r="BQ1332" i="1"/>
  <c r="BQ1331" i="1"/>
  <c r="BQ1330" i="1"/>
  <c r="BQ1329" i="1"/>
  <c r="BQ1328" i="1"/>
  <c r="BQ1327" i="1"/>
  <c r="BQ1326" i="1"/>
  <c r="BQ1325" i="1"/>
  <c r="BQ1324" i="1"/>
  <c r="BQ1323" i="1"/>
  <c r="BQ1322" i="1"/>
  <c r="BQ1321" i="1"/>
  <c r="BQ1320" i="1"/>
  <c r="BQ1319" i="1"/>
  <c r="BQ1318" i="1"/>
  <c r="BQ1317" i="1"/>
  <c r="BQ1316" i="1"/>
  <c r="BQ1315" i="1"/>
  <c r="BQ1314" i="1"/>
  <c r="BQ1313" i="1"/>
  <c r="BQ1312" i="1"/>
  <c r="BQ1311" i="1"/>
  <c r="BQ1310" i="1"/>
  <c r="BQ1309" i="1"/>
  <c r="BQ1308" i="1"/>
  <c r="BQ1307" i="1"/>
  <c r="BQ1306" i="1"/>
  <c r="BQ1305" i="1"/>
  <c r="BQ1304" i="1"/>
  <c r="BQ1303" i="1"/>
  <c r="BQ1302" i="1"/>
  <c r="BQ1301" i="1"/>
  <c r="BQ1300" i="1"/>
  <c r="BQ1299" i="1"/>
  <c r="BQ1298" i="1"/>
  <c r="BQ1297" i="1"/>
  <c r="BQ1296" i="1"/>
  <c r="BQ1295" i="1"/>
  <c r="BQ1294" i="1"/>
  <c r="BQ1293" i="1"/>
  <c r="BQ1292" i="1"/>
  <c r="BQ1291" i="1"/>
  <c r="BQ1290" i="1"/>
  <c r="BQ1289" i="1"/>
  <c r="BQ1288" i="1"/>
  <c r="BQ1287" i="1"/>
  <c r="BQ1286" i="1"/>
  <c r="BQ1285" i="1"/>
  <c r="BQ1284" i="1"/>
  <c r="BQ1283" i="1"/>
  <c r="BQ1282" i="1"/>
  <c r="BQ1281" i="1"/>
  <c r="BQ1280" i="1"/>
  <c r="BQ1279" i="1"/>
  <c r="BQ1278" i="1"/>
  <c r="BQ1277" i="1"/>
  <c r="BQ1276" i="1"/>
  <c r="BQ1275" i="1"/>
  <c r="BQ1274" i="1"/>
  <c r="BQ1273" i="1"/>
  <c r="BQ1272" i="1"/>
  <c r="BQ1271" i="1"/>
  <c r="BQ1270" i="1"/>
  <c r="BQ1269" i="1"/>
  <c r="BQ1268" i="1"/>
  <c r="BQ1267" i="1"/>
  <c r="BQ1266" i="1"/>
  <c r="BQ1265" i="1"/>
  <c r="BQ1264" i="1"/>
  <c r="BQ1263" i="1"/>
  <c r="BQ1262" i="1"/>
  <c r="BQ1261" i="1"/>
  <c r="BQ1260" i="1"/>
  <c r="BQ1259" i="1"/>
  <c r="BQ1258" i="1"/>
  <c r="BQ1257" i="1"/>
  <c r="BQ1256" i="1"/>
  <c r="BQ1255" i="1"/>
  <c r="BQ1254" i="1"/>
  <c r="BQ1253" i="1"/>
  <c r="BQ1252" i="1"/>
  <c r="BQ1251" i="1"/>
  <c r="BQ1250" i="1"/>
  <c r="BQ1249" i="1"/>
  <c r="BQ1248" i="1"/>
  <c r="BQ1247" i="1"/>
  <c r="BQ1246" i="1"/>
  <c r="BQ1245" i="1"/>
  <c r="BQ1244" i="1"/>
  <c r="BQ1243" i="1"/>
  <c r="BQ1242" i="1"/>
  <c r="BQ1241" i="1"/>
  <c r="BQ1240" i="1"/>
  <c r="BQ1239" i="1"/>
  <c r="BQ1238" i="1"/>
  <c r="BQ1237" i="1"/>
  <c r="BQ1236" i="1"/>
  <c r="BQ1161" i="1"/>
  <c r="BQ1160" i="1"/>
  <c r="BQ1159" i="1"/>
  <c r="BQ1158" i="1"/>
  <c r="BQ1157" i="1"/>
  <c r="BQ1156" i="1"/>
  <c r="BQ1155" i="1"/>
  <c r="BQ1154" i="1"/>
  <c r="BQ1153" i="1"/>
  <c r="BQ1152" i="1"/>
  <c r="BQ1151" i="1"/>
  <c r="BQ1150" i="1"/>
  <c r="BQ1149" i="1"/>
  <c r="BQ1148" i="1"/>
  <c r="BQ1147" i="1"/>
  <c r="BQ1146" i="1"/>
  <c r="BQ1145" i="1"/>
  <c r="BQ1144" i="1"/>
  <c r="BQ1143" i="1"/>
  <c r="BQ1142" i="1"/>
  <c r="BQ1141" i="1"/>
  <c r="BQ1140" i="1"/>
  <c r="BQ1139" i="1"/>
  <c r="BQ1138" i="1"/>
  <c r="BQ1137" i="1"/>
  <c r="BQ1136" i="1"/>
  <c r="BQ1135" i="1"/>
  <c r="BQ1134" i="1"/>
  <c r="BQ1133" i="1"/>
  <c r="BQ1132" i="1"/>
  <c r="BQ1131" i="1"/>
  <c r="BQ1130" i="1"/>
  <c r="BQ1129" i="1"/>
  <c r="BQ1128" i="1"/>
  <c r="BQ1127" i="1"/>
  <c r="BQ1126" i="1"/>
  <c r="BQ1125" i="1"/>
  <c r="BQ1124" i="1"/>
  <c r="BQ1123" i="1"/>
  <c r="BQ1122" i="1"/>
  <c r="BQ1121" i="1"/>
  <c r="BQ1120" i="1"/>
  <c r="BQ1119" i="1"/>
  <c r="BQ1118" i="1"/>
  <c r="BQ1117" i="1"/>
  <c r="BQ1116" i="1"/>
  <c r="BQ1115" i="1"/>
  <c r="BQ1114" i="1"/>
  <c r="BQ1113" i="1"/>
  <c r="BQ1112" i="1"/>
  <c r="BQ1111" i="1"/>
  <c r="BQ1110" i="1"/>
  <c r="BQ1109" i="1"/>
  <c r="BQ1108" i="1"/>
  <c r="BQ1107" i="1"/>
  <c r="BQ1106" i="1"/>
  <c r="BQ1105" i="1"/>
  <c r="BQ1104" i="1"/>
  <c r="BQ1103" i="1"/>
  <c r="BQ1102" i="1"/>
  <c r="BQ1101" i="1"/>
  <c r="BQ1100" i="1"/>
  <c r="BQ1099" i="1"/>
  <c r="BQ1098" i="1"/>
  <c r="BQ1097" i="1"/>
  <c r="BQ1096" i="1"/>
  <c r="BQ1095" i="1"/>
  <c r="BQ1094" i="1"/>
  <c r="BQ1093" i="1"/>
  <c r="BQ1092" i="1"/>
  <c r="BQ1091" i="1"/>
  <c r="BQ1090" i="1"/>
  <c r="BQ1089" i="1"/>
  <c r="BQ1088" i="1"/>
  <c r="BQ1087" i="1"/>
  <c r="BQ1086" i="1"/>
  <c r="BQ1085" i="1"/>
  <c r="BQ1084" i="1"/>
  <c r="BQ1083" i="1"/>
  <c r="BQ1082" i="1"/>
  <c r="BQ1081" i="1"/>
  <c r="BQ1080" i="1"/>
  <c r="BQ1079" i="1"/>
  <c r="BQ1078" i="1"/>
  <c r="BQ1077" i="1"/>
  <c r="BQ1076" i="1"/>
  <c r="BQ1075" i="1"/>
  <c r="BQ1074" i="1"/>
  <c r="BQ1073" i="1"/>
  <c r="BQ1072" i="1"/>
  <c r="BQ1071" i="1"/>
  <c r="BQ1070" i="1"/>
  <c r="BQ1069" i="1"/>
  <c r="BQ1068" i="1"/>
  <c r="BQ1067" i="1"/>
  <c r="BQ1066" i="1"/>
  <c r="BQ1065" i="1"/>
  <c r="BQ1064" i="1"/>
  <c r="BQ1063" i="1"/>
  <c r="BQ1062" i="1"/>
  <c r="BQ1061" i="1"/>
  <c r="BQ1060" i="1"/>
  <c r="BQ1059" i="1"/>
  <c r="BQ1058" i="1"/>
  <c r="BQ1057" i="1"/>
  <c r="BQ1056" i="1"/>
  <c r="BQ1055" i="1"/>
  <c r="BQ1054" i="1"/>
  <c r="BQ1053" i="1"/>
  <c r="BQ1052" i="1"/>
  <c r="BQ1051" i="1"/>
  <c r="BQ1050" i="1"/>
  <c r="BQ1049" i="1"/>
  <c r="BQ1048" i="1"/>
  <c r="BQ1047" i="1"/>
  <c r="BQ1046" i="1"/>
  <c r="BQ1045" i="1"/>
  <c r="BQ1044" i="1"/>
  <c r="BQ1043" i="1"/>
  <c r="BQ1042" i="1"/>
  <c r="BQ1041" i="1"/>
  <c r="BQ1040" i="1"/>
  <c r="BQ1039" i="1"/>
  <c r="BQ1038" i="1"/>
  <c r="BQ1037" i="1"/>
  <c r="BQ1036" i="1"/>
  <c r="BQ1035" i="1"/>
  <c r="BQ1034" i="1"/>
  <c r="BQ1033" i="1"/>
  <c r="BQ1032" i="1"/>
  <c r="BQ1031" i="1"/>
  <c r="BQ1030" i="1"/>
  <c r="BQ1029" i="1"/>
  <c r="BQ1028" i="1"/>
  <c r="BQ1027" i="1"/>
  <c r="BQ1026" i="1"/>
  <c r="BQ1025" i="1"/>
  <c r="BQ1024" i="1"/>
  <c r="BQ1023" i="1"/>
  <c r="BQ1022" i="1"/>
  <c r="BQ1021" i="1"/>
  <c r="BQ1020" i="1"/>
  <c r="BQ1019" i="1"/>
  <c r="BQ1018" i="1"/>
  <c r="BQ1017" i="1"/>
  <c r="BQ1016" i="1"/>
  <c r="BQ1015" i="1"/>
  <c r="BQ1013" i="1"/>
  <c r="BQ1012" i="1"/>
  <c r="BQ1011" i="1"/>
  <c r="BQ1010" i="1"/>
  <c r="BQ1009" i="1"/>
  <c r="BQ1008" i="1"/>
  <c r="BQ1007" i="1"/>
  <c r="BQ1006" i="1"/>
  <c r="BQ1005" i="1"/>
  <c r="BQ1004" i="1"/>
  <c r="BQ1003" i="1"/>
  <c r="BQ1002" i="1"/>
  <c r="BQ1001" i="1"/>
  <c r="BQ1000" i="1"/>
  <c r="BQ999" i="1"/>
  <c r="BQ998" i="1"/>
  <c r="BQ997" i="1"/>
  <c r="BQ996" i="1"/>
  <c r="BQ995" i="1"/>
  <c r="BQ994" i="1"/>
  <c r="BQ993" i="1"/>
  <c r="BQ992" i="1"/>
  <c r="BQ991" i="1"/>
  <c r="BQ990" i="1"/>
  <c r="BQ989" i="1"/>
  <c r="BQ988" i="1"/>
  <c r="BQ987" i="1"/>
  <c r="BQ986" i="1"/>
  <c r="BQ985" i="1"/>
  <c r="BQ984" i="1"/>
  <c r="BQ983" i="1"/>
  <c r="BQ982" i="1"/>
  <c r="BQ981" i="1"/>
  <c r="BQ980" i="1"/>
  <c r="BQ979" i="1"/>
  <c r="BQ978" i="1"/>
  <c r="BQ977" i="1"/>
  <c r="BQ976" i="1"/>
  <c r="BQ975" i="1"/>
  <c r="BQ974" i="1"/>
  <c r="BQ973" i="1"/>
  <c r="BQ972" i="1"/>
  <c r="BQ971" i="1"/>
  <c r="BQ970" i="1"/>
  <c r="BQ969" i="1"/>
  <c r="BQ968" i="1"/>
  <c r="BQ967" i="1"/>
  <c r="BQ966" i="1"/>
  <c r="BQ965" i="1"/>
  <c r="BQ964" i="1"/>
  <c r="BQ963" i="1"/>
  <c r="BQ962" i="1"/>
  <c r="BQ961" i="1"/>
  <c r="BQ960" i="1"/>
  <c r="BQ959" i="1"/>
  <c r="BQ958" i="1"/>
  <c r="BQ957" i="1"/>
  <c r="BQ956" i="1"/>
  <c r="BQ955" i="1"/>
  <c r="BQ954" i="1"/>
  <c r="BQ953" i="1"/>
  <c r="BQ952" i="1"/>
  <c r="BQ951" i="1"/>
  <c r="BQ950" i="1"/>
  <c r="BQ949" i="1"/>
  <c r="BQ948" i="1"/>
  <c r="BQ947" i="1"/>
  <c r="BQ946" i="1"/>
  <c r="BQ945" i="1"/>
  <c r="BQ944" i="1"/>
  <c r="BQ943" i="1"/>
  <c r="BQ942" i="1"/>
  <c r="BQ941" i="1"/>
  <c r="BQ940" i="1"/>
  <c r="BQ939" i="1"/>
  <c r="BQ938" i="1"/>
  <c r="BQ937" i="1"/>
  <c r="BQ936" i="1"/>
  <c r="BQ935" i="1"/>
  <c r="BQ934" i="1"/>
  <c r="BQ933" i="1"/>
  <c r="BQ931" i="1"/>
  <c r="BQ930" i="1"/>
  <c r="BQ929" i="1"/>
  <c r="BQ928" i="1"/>
  <c r="BQ927" i="1"/>
  <c r="BQ926" i="1"/>
  <c r="BQ925" i="1"/>
  <c r="BQ924" i="1"/>
  <c r="BQ923" i="1"/>
  <c r="BQ922" i="1"/>
  <c r="BQ920" i="1"/>
  <c r="BQ919" i="1"/>
  <c r="BQ918" i="1"/>
  <c r="BQ917" i="1"/>
  <c r="BQ916" i="1"/>
  <c r="BQ915" i="1"/>
  <c r="BQ914" i="1"/>
  <c r="BQ913" i="1"/>
  <c r="BQ912" i="1"/>
  <c r="BQ911" i="1"/>
  <c r="BQ910" i="1"/>
  <c r="BQ909" i="1"/>
  <c r="BQ907" i="1"/>
  <c r="BQ906" i="1"/>
  <c r="BQ905" i="1"/>
  <c r="BQ904" i="1"/>
  <c r="BQ903" i="1"/>
  <c r="BQ902" i="1"/>
  <c r="BQ901" i="1"/>
  <c r="BQ900" i="1"/>
  <c r="BQ899" i="1"/>
  <c r="BQ898" i="1"/>
  <c r="BQ897" i="1"/>
  <c r="BQ896" i="1"/>
  <c r="BQ895" i="1"/>
  <c r="BQ894" i="1"/>
  <c r="BQ893" i="1"/>
  <c r="BQ892" i="1"/>
  <c r="BQ891" i="1"/>
  <c r="BQ890" i="1"/>
  <c r="BQ889" i="1"/>
  <c r="BQ888" i="1"/>
  <c r="BQ887" i="1"/>
  <c r="BQ886" i="1"/>
  <c r="BQ885" i="1"/>
  <c r="BQ884" i="1"/>
  <c r="BQ883" i="1"/>
  <c r="BQ882" i="1"/>
  <c r="BQ881" i="1"/>
  <c r="BQ880" i="1"/>
  <c r="BQ879" i="1"/>
  <c r="BQ878" i="1"/>
  <c r="BQ877" i="1"/>
  <c r="BQ876" i="1"/>
  <c r="BQ875" i="1"/>
  <c r="BQ874" i="1"/>
  <c r="BQ873" i="1"/>
  <c r="BQ872" i="1"/>
  <c r="BQ871" i="1"/>
  <c r="BQ870" i="1"/>
  <c r="BQ869" i="1"/>
  <c r="BQ868" i="1"/>
  <c r="BQ867" i="1"/>
  <c r="BQ866" i="1"/>
  <c r="BQ865" i="1"/>
  <c r="BQ864" i="1"/>
  <c r="BQ863" i="1"/>
  <c r="BQ862" i="1"/>
  <c r="BQ861" i="1"/>
  <c r="BQ860" i="1"/>
  <c r="BQ859" i="1"/>
  <c r="BQ858" i="1"/>
  <c r="BQ857" i="1"/>
  <c r="BQ856" i="1"/>
  <c r="BQ855" i="1"/>
  <c r="BQ854" i="1"/>
  <c r="BQ853" i="1"/>
  <c r="BQ852" i="1"/>
  <c r="BQ851" i="1"/>
  <c r="BQ850" i="1"/>
  <c r="BQ849" i="1"/>
  <c r="BQ848" i="1"/>
  <c r="BQ847" i="1"/>
  <c r="BQ846" i="1"/>
  <c r="BQ845" i="1"/>
  <c r="BQ844" i="1"/>
  <c r="BQ843" i="1"/>
  <c r="BQ842" i="1"/>
  <c r="BQ841" i="1"/>
  <c r="BQ840" i="1"/>
  <c r="BQ839" i="1"/>
  <c r="BQ838" i="1"/>
  <c r="BQ837" i="1"/>
  <c r="BQ836" i="1"/>
  <c r="BQ835" i="1"/>
  <c r="BQ834" i="1"/>
  <c r="BQ833" i="1"/>
  <c r="BQ832" i="1"/>
  <c r="BQ831" i="1"/>
  <c r="BQ830" i="1"/>
  <c r="BQ829" i="1"/>
  <c r="BQ828" i="1"/>
  <c r="BQ827" i="1"/>
  <c r="BQ826" i="1"/>
  <c r="BQ825" i="1"/>
  <c r="BQ824" i="1"/>
  <c r="BQ823" i="1"/>
  <c r="BQ822" i="1"/>
  <c r="BQ821" i="1"/>
  <c r="BQ820" i="1"/>
  <c r="BQ819" i="1"/>
  <c r="BQ818" i="1"/>
  <c r="BQ817" i="1"/>
  <c r="BQ816" i="1"/>
  <c r="BQ815" i="1"/>
  <c r="BQ814" i="1"/>
  <c r="BQ813" i="1"/>
  <c r="BQ812" i="1"/>
  <c r="BQ811" i="1"/>
  <c r="BQ810" i="1"/>
  <c r="BQ809" i="1"/>
  <c r="BQ808" i="1"/>
  <c r="BQ807" i="1"/>
  <c r="BQ806" i="1"/>
  <c r="BQ805" i="1"/>
  <c r="BQ804" i="1"/>
  <c r="BQ803" i="1"/>
  <c r="BQ802" i="1"/>
  <c r="BQ801" i="1"/>
  <c r="BQ800" i="1"/>
  <c r="BQ799" i="1"/>
  <c r="BQ798" i="1"/>
  <c r="BQ797" i="1"/>
  <c r="BQ796" i="1"/>
  <c r="BQ795" i="1"/>
  <c r="BQ794" i="1"/>
  <c r="BQ793" i="1"/>
  <c r="BQ792" i="1"/>
  <c r="BQ791" i="1"/>
  <c r="BQ790" i="1"/>
  <c r="BQ789" i="1"/>
  <c r="BQ788" i="1"/>
  <c r="BQ787" i="1"/>
  <c r="BQ786" i="1"/>
  <c r="BQ785" i="1"/>
  <c r="BQ784" i="1"/>
  <c r="BQ783" i="1"/>
  <c r="BQ782" i="1"/>
  <c r="BQ781" i="1"/>
  <c r="BQ780" i="1"/>
  <c r="BQ779" i="1"/>
  <c r="BQ778" i="1"/>
  <c r="BQ775" i="1"/>
  <c r="BQ774" i="1"/>
  <c r="BQ773" i="1"/>
  <c r="BQ772" i="1"/>
  <c r="BQ771" i="1"/>
  <c r="BQ770" i="1"/>
  <c r="BQ769" i="1"/>
  <c r="BQ768" i="1"/>
  <c r="BQ767" i="1"/>
  <c r="BQ766" i="1"/>
  <c r="BQ765" i="1"/>
  <c r="BQ763" i="1"/>
  <c r="BQ762" i="1"/>
  <c r="BQ761" i="1"/>
  <c r="BQ760" i="1"/>
  <c r="BQ759" i="1"/>
  <c r="BQ758" i="1"/>
  <c r="BQ757" i="1"/>
  <c r="BQ756" i="1"/>
  <c r="BQ755" i="1"/>
  <c r="BQ754" i="1"/>
  <c r="BQ753" i="1"/>
  <c r="BQ752" i="1"/>
  <c r="BQ751" i="1"/>
  <c r="BQ750" i="1"/>
  <c r="BQ749" i="1"/>
  <c r="BQ748" i="1"/>
  <c r="BQ747" i="1"/>
  <c r="BQ746" i="1"/>
  <c r="BQ745" i="1"/>
  <c r="BQ744" i="1"/>
  <c r="BQ743" i="1"/>
  <c r="BQ742" i="1"/>
  <c r="BQ741" i="1"/>
  <c r="BQ740" i="1"/>
  <c r="BQ739" i="1"/>
  <c r="BQ738" i="1"/>
  <c r="BQ737" i="1"/>
  <c r="BQ736" i="1"/>
  <c r="BQ735" i="1"/>
  <c r="BQ733" i="1"/>
  <c r="BQ732" i="1"/>
  <c r="BQ731" i="1"/>
  <c r="BQ730" i="1"/>
  <c r="BQ729" i="1"/>
  <c r="BQ728" i="1"/>
  <c r="BQ727" i="1"/>
  <c r="BQ726" i="1"/>
  <c r="BQ725" i="1"/>
  <c r="BQ724" i="1"/>
  <c r="BQ723" i="1"/>
  <c r="BQ721" i="1"/>
  <c r="BQ720" i="1"/>
  <c r="BQ719" i="1"/>
  <c r="BQ718" i="1"/>
  <c r="BQ717" i="1"/>
  <c r="BQ716" i="1"/>
  <c r="BQ715" i="1"/>
  <c r="BQ714" i="1"/>
  <c r="BQ713" i="1"/>
  <c r="BQ712" i="1"/>
  <c r="BQ711" i="1"/>
  <c r="BQ710" i="1"/>
  <c r="BQ709" i="1"/>
  <c r="BQ708" i="1"/>
  <c r="BQ707" i="1"/>
  <c r="BQ706" i="1"/>
  <c r="BQ705" i="1"/>
  <c r="BQ704" i="1"/>
  <c r="BQ703" i="1"/>
  <c r="BQ702" i="1"/>
  <c r="BQ701" i="1"/>
  <c r="BQ700" i="1"/>
  <c r="BQ699" i="1"/>
  <c r="BQ698" i="1"/>
  <c r="BQ697" i="1"/>
  <c r="BQ696" i="1"/>
  <c r="BQ695" i="1"/>
  <c r="BQ694" i="1"/>
  <c r="BQ693" i="1"/>
  <c r="BQ692" i="1"/>
  <c r="BQ691" i="1"/>
  <c r="BQ690" i="1"/>
  <c r="BQ689" i="1"/>
  <c r="BQ688" i="1"/>
  <c r="BQ687" i="1"/>
  <c r="BQ686" i="1"/>
  <c r="BQ685" i="1"/>
  <c r="BQ684" i="1"/>
  <c r="BQ683" i="1"/>
  <c r="BQ682" i="1"/>
  <c r="BQ681" i="1"/>
  <c r="BQ680" i="1"/>
  <c r="BQ679" i="1"/>
  <c r="BQ678" i="1"/>
  <c r="BQ677" i="1"/>
  <c r="BQ676" i="1"/>
  <c r="BQ675" i="1"/>
  <c r="BQ674" i="1"/>
  <c r="BQ673" i="1"/>
  <c r="BQ672" i="1"/>
  <c r="BQ671" i="1"/>
  <c r="BQ670" i="1"/>
  <c r="BQ669" i="1"/>
  <c r="BQ668" i="1"/>
  <c r="BQ666" i="1"/>
  <c r="BQ665" i="1"/>
  <c r="BQ664" i="1"/>
  <c r="BQ663" i="1"/>
  <c r="BQ662" i="1"/>
  <c r="BQ661" i="1"/>
  <c r="BQ660" i="1"/>
  <c r="BQ659" i="1"/>
  <c r="BQ654" i="1"/>
  <c r="BQ653" i="1"/>
  <c r="BQ652" i="1"/>
  <c r="BQ643" i="1"/>
  <c r="BQ640" i="1"/>
  <c r="BQ639" i="1"/>
  <c r="BQ638" i="1"/>
  <c r="BQ637" i="1"/>
  <c r="BQ636" i="1"/>
  <c r="BQ635" i="1"/>
  <c r="BQ634" i="1"/>
  <c r="BQ633" i="1"/>
  <c r="BQ632" i="1"/>
  <c r="BQ631" i="1"/>
  <c r="BQ630" i="1"/>
  <c r="BQ629" i="1"/>
  <c r="BQ628" i="1"/>
  <c r="BQ627" i="1"/>
  <c r="BQ626" i="1"/>
  <c r="BQ625" i="1"/>
  <c r="BQ624" i="1"/>
  <c r="BQ623" i="1"/>
  <c r="BQ622" i="1"/>
  <c r="BQ621" i="1"/>
  <c r="BQ620" i="1"/>
  <c r="BQ619" i="1"/>
  <c r="BQ618" i="1"/>
  <c r="BQ617" i="1"/>
  <c r="BQ616" i="1"/>
  <c r="BQ615" i="1"/>
  <c r="BQ614" i="1"/>
  <c r="BQ613" i="1"/>
  <c r="BQ612" i="1"/>
  <c r="BQ611" i="1"/>
  <c r="BQ610" i="1"/>
  <c r="BQ609" i="1"/>
  <c r="BQ608" i="1"/>
  <c r="BQ607" i="1"/>
  <c r="BQ606" i="1"/>
  <c r="BQ605" i="1"/>
  <c r="BQ604" i="1"/>
  <c r="BQ603" i="1"/>
  <c r="BQ602" i="1"/>
  <c r="BQ601" i="1"/>
  <c r="BQ600" i="1"/>
  <c r="BQ599" i="1"/>
  <c r="BQ598" i="1"/>
  <c r="BQ597" i="1"/>
  <c r="BQ596" i="1"/>
  <c r="BQ595" i="1"/>
  <c r="BQ594" i="1"/>
  <c r="BQ593" i="1"/>
  <c r="BQ592" i="1"/>
  <c r="BQ591" i="1"/>
  <c r="BQ590" i="1"/>
  <c r="BQ589" i="1"/>
  <c r="BQ588" i="1"/>
  <c r="BQ587" i="1"/>
  <c r="BQ586" i="1"/>
  <c r="BQ585" i="1"/>
  <c r="BQ584" i="1"/>
  <c r="BQ583" i="1"/>
  <c r="BQ582" i="1"/>
  <c r="BQ581" i="1"/>
  <c r="BQ580" i="1"/>
  <c r="BQ579" i="1"/>
  <c r="BQ578" i="1"/>
  <c r="BQ577" i="1"/>
  <c r="BQ576" i="1"/>
  <c r="BQ575" i="1"/>
  <c r="BQ574" i="1"/>
  <c r="BQ573" i="1"/>
  <c r="BQ572" i="1"/>
  <c r="BQ571" i="1"/>
  <c r="BQ570" i="1"/>
  <c r="BQ569" i="1"/>
  <c r="BQ568" i="1"/>
  <c r="BQ567" i="1"/>
  <c r="BQ566" i="1"/>
  <c r="BQ565" i="1"/>
  <c r="BQ564" i="1"/>
  <c r="BQ563" i="1"/>
  <c r="BQ562" i="1"/>
  <c r="BQ561" i="1"/>
  <c r="BQ560" i="1"/>
  <c r="BQ559" i="1"/>
  <c r="BQ558" i="1"/>
  <c r="BQ557" i="1"/>
  <c r="BQ556" i="1"/>
  <c r="BQ555" i="1"/>
  <c r="BQ554" i="1"/>
  <c r="BQ553" i="1"/>
  <c r="BQ552" i="1"/>
  <c r="BQ551" i="1"/>
  <c r="BQ550" i="1"/>
  <c r="BQ549" i="1"/>
  <c r="BQ548" i="1"/>
  <c r="BQ547" i="1"/>
  <c r="BQ546" i="1"/>
  <c r="BQ545" i="1"/>
  <c r="BQ544" i="1"/>
  <c r="BQ543" i="1"/>
  <c r="BQ542" i="1"/>
  <c r="BQ541" i="1"/>
  <c r="BQ540" i="1"/>
  <c r="BQ539" i="1"/>
  <c r="BQ538" i="1"/>
  <c r="BQ537" i="1"/>
  <c r="BQ536" i="1"/>
  <c r="BQ535" i="1"/>
  <c r="BQ534" i="1"/>
  <c r="BQ533" i="1"/>
  <c r="BQ532" i="1"/>
  <c r="BQ531" i="1"/>
  <c r="BQ530" i="1"/>
  <c r="BQ529" i="1"/>
  <c r="BQ528" i="1"/>
  <c r="BQ527" i="1"/>
  <c r="BQ526" i="1"/>
  <c r="BQ525" i="1"/>
  <c r="BQ524" i="1"/>
  <c r="BQ523" i="1"/>
  <c r="BQ522" i="1"/>
  <c r="BQ521" i="1"/>
  <c r="BQ520" i="1"/>
  <c r="BQ519" i="1"/>
  <c r="BQ518" i="1"/>
  <c r="BQ517" i="1"/>
  <c r="BQ516" i="1"/>
  <c r="BQ515" i="1"/>
  <c r="BQ514" i="1"/>
  <c r="BQ513" i="1"/>
  <c r="BQ512" i="1"/>
  <c r="BQ511" i="1"/>
  <c r="BQ510" i="1"/>
  <c r="BQ509" i="1"/>
  <c r="BQ508" i="1"/>
  <c r="BQ507" i="1"/>
  <c r="BQ506" i="1"/>
  <c r="BQ505" i="1"/>
  <c r="BQ504" i="1"/>
  <c r="BQ503" i="1"/>
  <c r="BQ502" i="1"/>
  <c r="BQ501" i="1"/>
  <c r="BQ500" i="1"/>
  <c r="BQ499" i="1"/>
  <c r="BQ498" i="1"/>
  <c r="BQ497" i="1"/>
  <c r="BQ496" i="1"/>
  <c r="BQ495" i="1"/>
  <c r="BQ494" i="1"/>
  <c r="BQ493" i="1"/>
  <c r="BQ492" i="1"/>
  <c r="BQ491" i="1"/>
  <c r="BQ490" i="1"/>
  <c r="BQ489" i="1"/>
  <c r="BQ488" i="1"/>
  <c r="BQ487" i="1"/>
  <c r="BQ486" i="1"/>
  <c r="BQ485" i="1"/>
  <c r="BQ484" i="1"/>
  <c r="BQ483" i="1"/>
  <c r="BQ482" i="1"/>
  <c r="BQ481" i="1"/>
  <c r="BQ480" i="1"/>
  <c r="BQ479" i="1"/>
  <c r="BQ478" i="1"/>
  <c r="BQ477" i="1"/>
  <c r="BQ476" i="1"/>
  <c r="BQ475" i="1"/>
  <c r="BQ474" i="1"/>
  <c r="BQ473" i="1"/>
  <c r="BQ472" i="1"/>
  <c r="BQ471" i="1"/>
  <c r="BQ470" i="1"/>
  <c r="BQ469" i="1"/>
  <c r="BQ468" i="1"/>
  <c r="BQ467" i="1"/>
  <c r="BQ466" i="1"/>
  <c r="BQ465" i="1"/>
  <c r="BQ464" i="1"/>
  <c r="BQ463" i="1"/>
  <c r="BQ462" i="1"/>
  <c r="BQ461" i="1"/>
  <c r="BQ460" i="1"/>
  <c r="BQ459" i="1"/>
  <c r="BQ458" i="1"/>
  <c r="BQ457" i="1"/>
  <c r="BQ456" i="1"/>
  <c r="BQ455" i="1"/>
  <c r="BQ454" i="1"/>
  <c r="BQ453" i="1"/>
  <c r="BQ452" i="1"/>
  <c r="BQ451" i="1"/>
  <c r="BQ450" i="1"/>
  <c r="BQ449" i="1"/>
  <c r="BQ448" i="1"/>
  <c r="BQ447" i="1"/>
  <c r="BQ446" i="1"/>
  <c r="BQ445" i="1"/>
  <c r="BQ444" i="1"/>
  <c r="BQ443" i="1"/>
  <c r="BQ442" i="1"/>
  <c r="BQ441" i="1"/>
  <c r="BQ440" i="1"/>
  <c r="BQ439" i="1"/>
  <c r="BQ438" i="1"/>
  <c r="BQ437" i="1"/>
  <c r="BQ436" i="1"/>
  <c r="BQ435" i="1"/>
  <c r="BQ434" i="1"/>
  <c r="BQ433" i="1"/>
  <c r="BQ432" i="1"/>
  <c r="BQ431" i="1"/>
  <c r="BQ430" i="1"/>
  <c r="BQ429" i="1"/>
  <c r="BQ428" i="1"/>
  <c r="BQ427" i="1"/>
  <c r="BQ426" i="1"/>
  <c r="BQ425" i="1"/>
  <c r="BQ424" i="1"/>
  <c r="BQ423" i="1"/>
  <c r="BQ422" i="1"/>
  <c r="BQ421" i="1"/>
  <c r="BQ420" i="1"/>
  <c r="BQ419" i="1"/>
  <c r="BQ418" i="1"/>
  <c r="BQ417" i="1"/>
  <c r="BQ416" i="1"/>
  <c r="BQ415" i="1"/>
  <c r="BQ414" i="1"/>
  <c r="BQ413" i="1"/>
  <c r="BQ412" i="1"/>
  <c r="BQ411" i="1"/>
  <c r="BQ410" i="1"/>
  <c r="BQ409" i="1"/>
  <c r="BQ408" i="1"/>
  <c r="BQ407" i="1"/>
  <c r="BQ406" i="1"/>
  <c r="BQ405" i="1"/>
  <c r="BQ404" i="1"/>
  <c r="BQ403" i="1"/>
  <c r="BQ402" i="1"/>
  <c r="BQ401" i="1"/>
  <c r="BQ400" i="1"/>
  <c r="BQ399" i="1"/>
  <c r="BQ398" i="1"/>
  <c r="BQ397" i="1"/>
  <c r="BQ396" i="1"/>
  <c r="BQ395" i="1"/>
  <c r="BQ394" i="1"/>
  <c r="BQ393" i="1"/>
  <c r="BQ392" i="1"/>
  <c r="BQ391" i="1"/>
  <c r="BQ390" i="1"/>
  <c r="BQ389" i="1"/>
  <c r="BQ388" i="1"/>
  <c r="BQ387" i="1"/>
  <c r="BQ386" i="1"/>
  <c r="BQ385" i="1"/>
  <c r="BQ384" i="1"/>
  <c r="BQ383" i="1"/>
  <c r="BQ382" i="1"/>
  <c r="BQ381" i="1"/>
  <c r="BQ380" i="1"/>
  <c r="BQ379" i="1"/>
  <c r="BQ378" i="1"/>
  <c r="BQ377" i="1"/>
  <c r="BQ376" i="1"/>
  <c r="BQ375" i="1"/>
  <c r="BQ374" i="1"/>
  <c r="BQ373" i="1"/>
  <c r="BQ372" i="1"/>
  <c r="BQ371" i="1"/>
  <c r="BQ370" i="1"/>
  <c r="BQ369" i="1"/>
  <c r="BQ368" i="1"/>
  <c r="BQ367" i="1"/>
  <c r="BQ366" i="1"/>
  <c r="BQ365" i="1"/>
  <c r="BQ364" i="1"/>
  <c r="BQ363" i="1"/>
  <c r="BQ362" i="1"/>
  <c r="BQ361" i="1"/>
  <c r="BQ360" i="1"/>
  <c r="BQ359" i="1"/>
  <c r="BQ358" i="1"/>
  <c r="BQ357" i="1"/>
  <c r="BQ356" i="1"/>
  <c r="BQ355" i="1"/>
  <c r="BQ354" i="1"/>
  <c r="BQ353" i="1"/>
  <c r="BQ352" i="1"/>
  <c r="BQ351" i="1"/>
  <c r="BQ350" i="1"/>
  <c r="BQ349" i="1"/>
  <c r="BQ348" i="1"/>
  <c r="BQ347" i="1"/>
  <c r="BQ346" i="1"/>
  <c r="BQ345" i="1"/>
  <c r="BQ344" i="1"/>
  <c r="BQ343" i="1"/>
  <c r="BQ342" i="1"/>
  <c r="BQ341" i="1"/>
  <c r="BQ340" i="1"/>
  <c r="BQ339" i="1"/>
  <c r="BQ338" i="1"/>
  <c r="BQ337" i="1"/>
  <c r="BQ336" i="1"/>
  <c r="BQ335" i="1"/>
  <c r="BQ334" i="1"/>
  <c r="BQ333" i="1"/>
  <c r="BQ332" i="1"/>
  <c r="BQ331" i="1"/>
  <c r="BQ330" i="1"/>
  <c r="BQ329" i="1"/>
  <c r="BQ328" i="1"/>
  <c r="BQ327" i="1"/>
  <c r="BQ326" i="1"/>
  <c r="BQ325" i="1"/>
  <c r="BQ324" i="1"/>
  <c r="BQ323" i="1"/>
  <c r="BQ322" i="1"/>
  <c r="BQ321" i="1"/>
  <c r="BQ320" i="1"/>
  <c r="BQ319" i="1"/>
  <c r="BQ318" i="1"/>
  <c r="BQ317" i="1"/>
  <c r="BQ316" i="1"/>
  <c r="BQ315" i="1"/>
  <c r="BQ314" i="1"/>
  <c r="BQ313" i="1"/>
  <c r="BQ312" i="1"/>
  <c r="BQ311" i="1"/>
  <c r="BQ310" i="1"/>
  <c r="BQ309" i="1"/>
  <c r="BQ308" i="1"/>
  <c r="BQ307" i="1"/>
  <c r="BQ306" i="1"/>
  <c r="BQ305" i="1"/>
  <c r="BQ304" i="1"/>
  <c r="BQ303" i="1"/>
  <c r="BQ302" i="1"/>
  <c r="BQ301" i="1"/>
  <c r="BQ300" i="1"/>
  <c r="BQ299" i="1"/>
  <c r="BQ298" i="1"/>
  <c r="BQ297" i="1"/>
  <c r="BQ296" i="1"/>
  <c r="BQ295" i="1"/>
  <c r="BQ294" i="1"/>
  <c r="BQ293" i="1"/>
  <c r="BQ292" i="1"/>
  <c r="BQ291" i="1"/>
  <c r="BQ290" i="1"/>
  <c r="BQ289" i="1"/>
  <c r="BQ288" i="1"/>
  <c r="BQ287" i="1"/>
  <c r="BQ286" i="1"/>
  <c r="BQ285" i="1"/>
  <c r="BQ284" i="1"/>
  <c r="BQ283" i="1"/>
  <c r="BQ282" i="1"/>
  <c r="BQ281" i="1"/>
  <c r="BQ280" i="1"/>
  <c r="BQ279" i="1"/>
  <c r="BQ278" i="1"/>
  <c r="BQ277" i="1"/>
  <c r="BQ276" i="1"/>
  <c r="BQ275" i="1"/>
  <c r="BQ274" i="1"/>
  <c r="BQ273" i="1"/>
  <c r="BQ272" i="1"/>
  <c r="BQ271" i="1"/>
  <c r="BQ270" i="1"/>
  <c r="BQ269" i="1"/>
  <c r="BQ268" i="1"/>
  <c r="BQ267" i="1"/>
  <c r="BQ266" i="1"/>
  <c r="BQ265" i="1"/>
  <c r="BQ264" i="1"/>
  <c r="BQ263" i="1"/>
  <c r="BQ262" i="1"/>
  <c r="BQ261" i="1"/>
  <c r="BQ260" i="1"/>
  <c r="BQ259" i="1"/>
  <c r="BQ258" i="1"/>
  <c r="BQ257" i="1"/>
  <c r="BQ256" i="1"/>
  <c r="BQ255" i="1"/>
  <c r="BQ254" i="1"/>
  <c r="BQ253" i="1"/>
  <c r="BQ252" i="1"/>
  <c r="BQ251" i="1"/>
  <c r="BQ250" i="1"/>
  <c r="BQ249" i="1"/>
  <c r="BQ248" i="1"/>
  <c r="BQ247" i="1"/>
  <c r="BQ246" i="1"/>
  <c r="BQ245" i="1"/>
  <c r="BQ244" i="1"/>
  <c r="BQ243" i="1"/>
  <c r="BQ242" i="1"/>
  <c r="BQ241" i="1"/>
  <c r="BQ240" i="1"/>
  <c r="BQ239" i="1"/>
  <c r="BQ238" i="1"/>
  <c r="BQ237" i="1"/>
  <c r="BQ236" i="1"/>
  <c r="BQ235" i="1"/>
  <c r="BQ234" i="1"/>
  <c r="BQ233" i="1"/>
  <c r="BQ232" i="1"/>
  <c r="BQ231" i="1"/>
  <c r="BQ230" i="1"/>
  <c r="BQ229" i="1"/>
  <c r="BQ228" i="1"/>
  <c r="BQ227" i="1"/>
  <c r="BQ226" i="1"/>
  <c r="BQ225" i="1"/>
  <c r="BQ224" i="1"/>
  <c r="BQ223" i="1"/>
  <c r="BQ222" i="1"/>
  <c r="BQ221" i="1"/>
  <c r="BQ220" i="1"/>
  <c r="BQ219" i="1"/>
  <c r="BQ218" i="1"/>
  <c r="BQ217" i="1"/>
  <c r="BQ216" i="1"/>
  <c r="BQ215" i="1"/>
  <c r="BQ214" i="1"/>
  <c r="BQ213" i="1"/>
  <c r="BQ212" i="1"/>
  <c r="BQ211" i="1"/>
  <c r="BQ210" i="1"/>
  <c r="BQ209" i="1"/>
  <c r="BQ208" i="1"/>
  <c r="BQ207" i="1"/>
  <c r="BQ206" i="1"/>
  <c r="BQ205" i="1"/>
  <c r="BQ204" i="1"/>
  <c r="BQ203" i="1"/>
  <c r="BQ202" i="1"/>
  <c r="BQ201" i="1"/>
  <c r="BQ200" i="1"/>
  <c r="BQ199" i="1"/>
  <c r="BQ198" i="1"/>
  <c r="BQ197" i="1"/>
  <c r="BQ196" i="1"/>
  <c r="BQ195" i="1"/>
  <c r="BQ194" i="1"/>
  <c r="BQ193" i="1"/>
  <c r="BQ192" i="1"/>
  <c r="BQ191" i="1"/>
  <c r="BQ190" i="1"/>
  <c r="BQ189" i="1"/>
  <c r="BQ188" i="1"/>
  <c r="BQ187" i="1"/>
  <c r="BQ186" i="1"/>
  <c r="BQ185" i="1"/>
  <c r="BQ184" i="1"/>
  <c r="BQ183" i="1"/>
  <c r="BQ182" i="1"/>
  <c r="BQ181" i="1"/>
  <c r="BQ180" i="1"/>
  <c r="BQ179" i="1"/>
  <c r="BQ178" i="1"/>
  <c r="BQ177" i="1"/>
  <c r="BQ176" i="1"/>
  <c r="BQ175" i="1"/>
  <c r="BQ174" i="1"/>
  <c r="BQ173" i="1"/>
  <c r="BQ172" i="1"/>
  <c r="BQ171" i="1"/>
  <c r="BQ170" i="1"/>
  <c r="BQ169" i="1"/>
  <c r="BQ168" i="1"/>
  <c r="BQ167" i="1"/>
  <c r="BQ166" i="1"/>
  <c r="BQ165" i="1"/>
  <c r="BQ164" i="1"/>
  <c r="BQ163" i="1"/>
  <c r="BQ162" i="1"/>
  <c r="BQ161" i="1"/>
  <c r="BQ160" i="1"/>
  <c r="BQ159" i="1"/>
  <c r="BQ158" i="1"/>
  <c r="BQ157" i="1"/>
  <c r="BQ156" i="1"/>
  <c r="BQ155" i="1"/>
  <c r="BQ154" i="1"/>
  <c r="BQ153" i="1"/>
  <c r="BQ152" i="1"/>
  <c r="BQ151" i="1"/>
  <c r="BQ150" i="1"/>
  <c r="BQ149" i="1"/>
  <c r="BQ148" i="1"/>
  <c r="BQ147" i="1"/>
  <c r="BQ146" i="1"/>
  <c r="BQ145" i="1"/>
  <c r="BQ144" i="1"/>
  <c r="BQ143" i="1"/>
  <c r="BQ142" i="1"/>
  <c r="BQ141" i="1"/>
  <c r="BQ140" i="1"/>
  <c r="BQ139" i="1"/>
  <c r="BQ138" i="1"/>
  <c r="BQ137" i="1"/>
  <c r="BQ136" i="1"/>
  <c r="BQ135" i="1"/>
  <c r="BQ134" i="1"/>
  <c r="BQ133" i="1"/>
  <c r="BQ132" i="1"/>
  <c r="BQ131" i="1"/>
  <c r="BQ130" i="1"/>
  <c r="BQ129" i="1"/>
  <c r="BQ128" i="1"/>
  <c r="BQ127" i="1"/>
  <c r="BQ126" i="1"/>
  <c r="BQ125" i="1"/>
  <c r="BQ124" i="1"/>
  <c r="BQ123" i="1"/>
  <c r="BQ122" i="1"/>
  <c r="BQ121" i="1"/>
  <c r="BQ120" i="1"/>
  <c r="BQ119" i="1"/>
  <c r="BQ118" i="1"/>
  <c r="BQ117" i="1"/>
  <c r="BQ116" i="1"/>
  <c r="BQ115" i="1"/>
  <c r="BQ114" i="1"/>
  <c r="BQ113" i="1"/>
  <c r="BQ112" i="1"/>
  <c r="BQ111" i="1"/>
  <c r="BQ110" i="1"/>
  <c r="BQ109" i="1"/>
  <c r="BQ108" i="1"/>
  <c r="BQ107" i="1"/>
  <c r="BQ106" i="1"/>
  <c r="BQ105" i="1"/>
  <c r="BQ104" i="1"/>
  <c r="BQ103" i="1"/>
  <c r="BQ102" i="1"/>
  <c r="BQ101" i="1"/>
  <c r="BQ100" i="1"/>
  <c r="BQ99" i="1"/>
  <c r="BQ98" i="1"/>
  <c r="BQ97" i="1"/>
  <c r="BQ96" i="1"/>
  <c r="BQ95" i="1"/>
  <c r="BQ94" i="1"/>
  <c r="BQ93" i="1"/>
  <c r="BQ92" i="1"/>
  <c r="BQ91" i="1"/>
  <c r="BQ90" i="1"/>
  <c r="BQ89" i="1"/>
  <c r="BQ88" i="1"/>
  <c r="BQ87" i="1"/>
  <c r="BQ86" i="1"/>
  <c r="BQ85" i="1"/>
  <c r="BQ84" i="1"/>
  <c r="BQ83" i="1"/>
  <c r="BQ82" i="1"/>
  <c r="BQ81" i="1"/>
  <c r="BQ80" i="1"/>
  <c r="BQ79" i="1"/>
  <c r="BQ78" i="1"/>
  <c r="BQ77" i="1"/>
  <c r="BQ76" i="1"/>
  <c r="BQ75" i="1"/>
  <c r="BQ74" i="1"/>
  <c r="BQ73" i="1"/>
  <c r="BQ72" i="1"/>
  <c r="BQ71" i="1"/>
  <c r="BQ70" i="1"/>
  <c r="BQ69" i="1"/>
  <c r="BQ68" i="1"/>
  <c r="BQ67" i="1"/>
  <c r="BQ66" i="1"/>
  <c r="BQ65" i="1"/>
  <c r="BQ64" i="1"/>
  <c r="BQ63" i="1"/>
  <c r="BQ62" i="1"/>
  <c r="BQ61" i="1"/>
  <c r="BQ60" i="1"/>
  <c r="BQ59" i="1"/>
  <c r="BQ58" i="1"/>
  <c r="BQ57" i="1"/>
  <c r="BQ56" i="1"/>
  <c r="BQ55" i="1"/>
  <c r="BQ54" i="1"/>
  <c r="BQ53" i="1"/>
  <c r="BQ52" i="1"/>
  <c r="BQ51" i="1"/>
  <c r="BQ49" i="1"/>
  <c r="BQ48" i="1"/>
  <c r="BQ47" i="1"/>
  <c r="BQ46" i="1"/>
  <c r="BQ45" i="1"/>
  <c r="BQ44" i="1"/>
  <c r="BQ43" i="1"/>
  <c r="BQ42" i="1"/>
  <c r="BQ41" i="1"/>
  <c r="BQ40" i="1"/>
  <c r="BQ39" i="1"/>
  <c r="BQ38" i="1"/>
  <c r="BQ37" i="1"/>
  <c r="BQ36" i="1"/>
  <c r="BQ35" i="1"/>
  <c r="BQ34" i="1"/>
  <c r="BQ33" i="1"/>
  <c r="BQ32" i="1"/>
  <c r="BQ31" i="1"/>
  <c r="BQ30" i="1"/>
  <c r="BQ29" i="1"/>
  <c r="BQ28" i="1"/>
  <c r="BQ27" i="1"/>
  <c r="BQ26" i="1"/>
  <c r="BQ25" i="1"/>
  <c r="BQ24" i="1"/>
  <c r="BQ23" i="1"/>
  <c r="BQ22" i="1"/>
  <c r="BQ21" i="1"/>
  <c r="BQ20" i="1"/>
  <c r="BQ19" i="1"/>
  <c r="BQ18" i="1"/>
  <c r="BQ17" i="1"/>
  <c r="BQ16" i="1"/>
  <c r="BQ15" i="1"/>
  <c r="BQ14" i="1"/>
  <c r="BQ13" i="1"/>
  <c r="BQ12" i="1"/>
  <c r="BQ11" i="1"/>
  <c r="BQ10" i="1"/>
  <c r="BQ9" i="1"/>
  <c r="BQ8" i="1"/>
  <c r="BQ7" i="1"/>
  <c r="BQ6" i="1"/>
  <c r="BQ5" i="1"/>
  <c r="BQ4" i="1"/>
  <c r="BQ3" i="1"/>
  <c r="BQ2" i="1"/>
</calcChain>
</file>

<file path=xl/sharedStrings.xml><?xml version="1.0" encoding="utf-8"?>
<sst xmlns="http://schemas.openxmlformats.org/spreadsheetml/2006/main" count="102820" uniqueCount="14575">
  <si>
    <t>name</t>
  </si>
  <si>
    <t>school</t>
  </si>
  <si>
    <t>subschool</t>
  </si>
  <si>
    <t>descriptor</t>
  </si>
  <si>
    <t>spell_level</t>
  </si>
  <si>
    <t>casting_time</t>
  </si>
  <si>
    <t>components</t>
  </si>
  <si>
    <t>costly_components</t>
  </si>
  <si>
    <t>range</t>
  </si>
  <si>
    <t>area</t>
  </si>
  <si>
    <t>effect</t>
  </si>
  <si>
    <t>targets</t>
  </si>
  <si>
    <t>duration</t>
  </si>
  <si>
    <t>dismissible</t>
  </si>
  <si>
    <t>shapeable</t>
  </si>
  <si>
    <t>saving_throw</t>
  </si>
  <si>
    <t>spell_resistance</t>
  </si>
  <si>
    <t>description</t>
  </si>
  <si>
    <t>source</t>
  </si>
  <si>
    <t>verbal</t>
  </si>
  <si>
    <t>somatic</t>
  </si>
  <si>
    <t>material</t>
  </si>
  <si>
    <t>focus</t>
  </si>
  <si>
    <t>divine_focus</t>
  </si>
  <si>
    <t>sor</t>
  </si>
  <si>
    <t>wiz</t>
  </si>
  <si>
    <t>cleric</t>
  </si>
  <si>
    <t>druid</t>
  </si>
  <si>
    <t>ranger</t>
  </si>
  <si>
    <t>bard</t>
  </si>
  <si>
    <t>paladin</t>
  </si>
  <si>
    <t>alchemist</t>
  </si>
  <si>
    <t>summoner</t>
  </si>
  <si>
    <t>witch</t>
  </si>
  <si>
    <t>inquisitor</t>
  </si>
  <si>
    <t>oracle</t>
  </si>
  <si>
    <t>antipaladin</t>
  </si>
  <si>
    <t>magus</t>
  </si>
  <si>
    <t>adept</t>
  </si>
  <si>
    <t>deity</t>
  </si>
  <si>
    <t>SLA_Level</t>
  </si>
  <si>
    <t>domain</t>
  </si>
  <si>
    <t>short_description</t>
  </si>
  <si>
    <t>acid</t>
  </si>
  <si>
    <t>air</t>
  </si>
  <si>
    <t>chaotic</t>
  </si>
  <si>
    <t>cold</t>
  </si>
  <si>
    <t>curse</t>
  </si>
  <si>
    <t>darkness</t>
  </si>
  <si>
    <t>death</t>
  </si>
  <si>
    <t>disease</t>
  </si>
  <si>
    <t>earth</t>
  </si>
  <si>
    <t>electricity</t>
  </si>
  <si>
    <t>emotion</t>
  </si>
  <si>
    <t>evil</t>
  </si>
  <si>
    <t>fear</t>
  </si>
  <si>
    <t>fire</t>
  </si>
  <si>
    <t>force</t>
  </si>
  <si>
    <t>good</t>
  </si>
  <si>
    <t>language_dependent</t>
  </si>
  <si>
    <t>lawful</t>
  </si>
  <si>
    <t>light</t>
  </si>
  <si>
    <t>mind_affecting</t>
  </si>
  <si>
    <t>pain</t>
  </si>
  <si>
    <t>poison</t>
  </si>
  <si>
    <t>shadow</t>
  </si>
  <si>
    <t>sonic</t>
  </si>
  <si>
    <t>water</t>
  </si>
  <si>
    <t>linktext</t>
  </si>
  <si>
    <t>id</t>
  </si>
  <si>
    <t>material_costs</t>
  </si>
  <si>
    <t>bloodline</t>
  </si>
  <si>
    <t>patron</t>
  </si>
  <si>
    <t>mythic_text</t>
  </si>
  <si>
    <t>augmented</t>
  </si>
  <si>
    <t>mythic</t>
  </si>
  <si>
    <t>bloodrager</t>
  </si>
  <si>
    <t>shaman</t>
  </si>
  <si>
    <t>psychic</t>
  </si>
  <si>
    <t>medium</t>
  </si>
  <si>
    <t>mesmerist</t>
  </si>
  <si>
    <t>occultist</t>
  </si>
  <si>
    <t>spiritualist</t>
  </si>
  <si>
    <t>skald</t>
  </si>
  <si>
    <t>investigator</t>
  </si>
  <si>
    <t>hunter</t>
  </si>
  <si>
    <t>haunt_statistics</t>
  </si>
  <si>
    <t>ruse</t>
  </si>
  <si>
    <t>draconic</t>
  </si>
  <si>
    <t>meditative</t>
  </si>
  <si>
    <t>summoner_unchained</t>
  </si>
  <si>
    <t>Acid Arrow</t>
  </si>
  <si>
    <t>conjuration</t>
  </si>
  <si>
    <t>creation</t>
  </si>
  <si>
    <t>sorcerer/wizard 2, magus 2, bloodrager 2</t>
  </si>
  <si>
    <t>1 standard action</t>
  </si>
  <si>
    <t>V, S, M (rhubarb leaf and an adder's stomach), F (a dart)</t>
  </si>
  <si>
    <t>long (400 ft. + 40 ft./level)</t>
  </si>
  <si>
    <t>one arrow of acid</t>
  </si>
  <si>
    <t>1 round + 1 round per three levels</t>
  </si>
  <si>
    <t>none</t>
  </si>
  <si>
    <t>no</t>
  </si>
  <si>
    <t>An arrow of acid springs from your hand and speeds to its target. You must succeed on a ranged touch attack to hit your target. The arrow deals 2d4 points of acid damage with no splash damage. For every three caster levels you possess, the acid, unless neutralized, lasts for another round (to a maximum of 6 additional rounds at 18th level), dealing another 2d4 points of damage in each round.</t>
  </si>
  <si>
    <t>PFRPG Core</t>
  </si>
  <si>
    <t>NULL</t>
  </si>
  <si>
    <t> Ranged touch attack; 2d4 damage for 1 round + 1 round/three levels.</t>
  </si>
  <si>
    <t>Acid Fog</t>
  </si>
  <si>
    <t>sorcerer/wizard 6, magus 6, unchained summoner 6</t>
  </si>
  <si>
    <t>V, S, M (powdered peas and an animal hoof)</t>
  </si>
  <si>
    <t>medium (100 ft. + 10 ft./level)</t>
  </si>
  <si>
    <t>fog spreads in 20-ft. radius, 20 ft. high</t>
  </si>
  <si>
    <t>1 round/level</t>
  </si>
  <si>
    <t>Acid fog creates a billowing mass of misty vapors like the solid fog spell. In addition to slowing down creatures and obscuring sight, this spell's vapors are highly acidic. Each round on your turn, starting when you cast the spell, the fog deals 2d6 points of acid damage to each creature and object within it.</t>
  </si>
  <si>
    <t> Fog deals acid damage.</t>
  </si>
  <si>
    <t>Acid Splash</t>
  </si>
  <si>
    <t>sorcerer/wizard 0, summoner/unchained summoner 0, inquisitor 0, magus 0</t>
  </si>
  <si>
    <t>V, S</t>
  </si>
  <si>
    <t>close (25 ft. + 5 ft./2 levels)</t>
  </si>
  <si>
    <t>one missile of acid</t>
  </si>
  <si>
    <t>instantaneous</t>
  </si>
  <si>
    <t>You fire a small orb of acid at the target. You must succeed on a ranged touch attack to hit your target. The orb deals 1d3 points of acid damage. This acid disappears after 1 round.</t>
  </si>
  <si>
    <t> Orb deals 1d3 acid damage.</t>
  </si>
  <si>
    <t>Aid</t>
  </si>
  <si>
    <t>enchantment</t>
  </si>
  <si>
    <t>compulsion</t>
  </si>
  <si>
    <t>mind-affecting</t>
  </si>
  <si>
    <t>cleric/oracle 2, inquisitor 2, alchemist 2, shaman 2, spiritualist 2, medium 2</t>
  </si>
  <si>
    <t>V, S, DF</t>
  </si>
  <si>
    <t>touch</t>
  </si>
  <si>
    <t>living creature touched</t>
  </si>
  <si>
    <t>1 min./level</t>
  </si>
  <si>
    <t>yes (harmless)</t>
  </si>
  <si>
    <t>Aid grants the target a +1 morale bonus on attack rolls and saves against fear effects, plus temporary hit points equal to 1d8 + caster level (to a maximum of 1d8+10 temporary hit points at caster level 10th).</t>
  </si>
  <si>
    <t>Luck (2), Tactics (2)</t>
  </si>
  <si>
    <t> +1 on attack rolls and saves against fear, 1d8 temporary hp +1/level (max +10).</t>
  </si>
  <si>
    <t>Ancestors (4)</t>
  </si>
  <si>
    <t>Air Walk</t>
  </si>
  <si>
    <t>transmutation</t>
  </si>
  <si>
    <t>cleric/oracle 4, druid 4, alchemist 4, occultist 4</t>
  </si>
  <si>
    <t>creature (Gargantuan or smaller) touched</t>
  </si>
  <si>
    <t>10 min./level</t>
  </si>
  <si>
    <t>The subject can tread on air as if walking on solid ground. Moving upward is similar to walking up a hill. The maximum upward or downward angle possible is 45 degrees, at a rate equal to half the air walker's normal speed. A strong wind (21+ miles per hour) can push the subject along or hold it back. At the end of a creature's turn each round, the wind blows the air walker 5 feet for each 5 miles per hour of wind speed. The creature may be subject to additional penalties in exceptionally strong or turbulent winds, such as loss of control over movement or physical damage from being buffeted about. Should the spell duration expire while the subject is still aloft, the magic fails slowly. The subject floats downward 60 feet per round for 1d6 rounds. If it reaches the ground in that amount of time, it lands safely. If not, it falls the rest of the distance, taking 1d6 points of damage per 10 feet of fall. Since dispelling a spell effectively ends it, the subject also descends in this way if the air walk spell is dispelled, but not if it is negated by an antimagic field. You can cast air walk on a specially trained mount so it can be ridden through the air. You can train a mount to move with the aid of air walk (counts as a trick; see Handle Animal skill) with 1 week of work and a DC 25 Handle Animal check.</t>
  </si>
  <si>
    <t>Air (4)</t>
  </si>
  <si>
    <t>Subject treads on air as if solid (climb or descend at 45-degree angle).</t>
  </si>
  <si>
    <t>Align Weapon</t>
  </si>
  <si>
    <t>see text</t>
  </si>
  <si>
    <t>cleric/oracle 2, inquisitor 2</t>
  </si>
  <si>
    <t>weapon touched or 50 projectiles (all of which must be together at the time of casting)</t>
  </si>
  <si>
    <t>Will negates (harmless, object)</t>
  </si>
  <si>
    <t>yes (harmless, object)</t>
  </si>
  <si>
    <t>Align weapon makes a weapon chaotic, evil, good, or lawful, as you choose. A weapon that is aligned can bypass the damage reduction of certain creatures. This spell has no effect on a weapon that already has an alignment. You can't cast this spell on a natural weapon, such as an unarmed strike. When you make a weapon chaotic, evil, good, or lawful, align weapon is a chaotic, evil, good, or lawful spell, respectively.</t>
  </si>
  <si>
    <t>Chaos (2), Evil (2), Good (2), Law (2), Demodand (2)</t>
  </si>
  <si>
    <t> Weapon becomes good, evil, lawful, or chaotic.</t>
  </si>
  <si>
    <t>Alter Self</t>
  </si>
  <si>
    <t>polymorph</t>
  </si>
  <si>
    <t>bard 2, sorcerer/wizard 2, witch 2, summoner/unchained summoner 2, alchemist 2, magus 2, shaman 2, psychic 2, mesmerist 2, medium 2</t>
  </si>
  <si>
    <t>V, S, M (a piece of the creature whose form you plan to assume)</t>
  </si>
  <si>
    <t>personal</t>
  </si>
  <si>
    <t>you</t>
  </si>
  <si>
    <t>When you cast this spell, you can assume the form of any Small or Medium creature of the humanoid type. If the form you assume has any of the following abilities, you gain the listed ability: darkvision 60 feet, low-light vision, scent, and swim 30 feet. Small creature: If the form you take is that of a Small humanoid, you gain a +2 size bonus to your Dexterity. Medium creature: If the form you take is that of a Medium humanoid, you gain a +2 size bonus to your Strength.</t>
  </si>
  <si>
    <t>Assume form of a Small or Medium humanoid.</t>
  </si>
  <si>
    <t>Alarm</t>
  </si>
  <si>
    <t>abjuration</t>
  </si>
  <si>
    <t>bard 1, ranger 1, sorcerer/wizard 1, summoner/unchained summoner 1, inquisitor 1, occultist 1, psychic 1, spiritualist 1</t>
  </si>
  <si>
    <t>V, S, F/DF (a tiny bell and a piece of very fine silver wire)</t>
  </si>
  <si>
    <t>20-ft.-radius emanation centered on a point in space</t>
  </si>
  <si>
    <t>2 hours/level</t>
  </si>
  <si>
    <t>Alarm creates a subtle ward on an area you select. Once the spell effect is in place, it thereafter sounds a mental or audible alarm each time a creature of Tiny or larger size enters the warded area or touches it. A creature that speaks the password (determined by you at the time of casting) does not set off the alarm. You decide at the time of casting whether the alarm will be mental or audible in nature. Mental Alarm: A mental alarm alerts you (and only you) so long as you remain within 1 mile of the warded area. You note a single mental "ping" that awakens you from normal sleep but does not otherwise disturb concentration. A silence spell has no effect on a mental alarm. Audible Alarm: An audible alarm produces the sound of a hand bell, and anyone within 60 feet of the warded area can hear it clearly. Reduce the distance by 10 feet for each interposing closed door and by 20 feet for each substantial interposing wall. In quiet conditions, the ringing can be heard faintly as far as 180 feet away. The sound lasts for 1 round. Creatures within a silence spell cannot hear the ringing.  Ethereal or astral creatures do not trigger the alarm. Alarm can be made permanent with a permanency spell.</t>
  </si>
  <si>
    <t>Home (1), Ambush (1)</t>
  </si>
  <si>
    <t>Wards an area for 2 hours/level.</t>
  </si>
  <si>
    <t>Destined (3), Kobold Sorcerer (3), Kobold (3)</t>
  </si>
  <si>
    <t>Analyze Dweomer</t>
  </si>
  <si>
    <t>divination</t>
  </si>
  <si>
    <t>bard 6, sorcerer/wizard 6, witch 6, alchemist 6, occultist 6, psychic 6, spiritualist 6</t>
  </si>
  <si>
    <t>V, S, F (a ruby and gold lens worth 1,500 gp)</t>
  </si>
  <si>
    <t>one object or creature per caster level</t>
  </si>
  <si>
    <t>none or Will negates; see text</t>
  </si>
  <si>
    <t>You can observe magical auras. Each round, you may examine a single creature or object that you can see as a free action. In the case of a magic item, you learn its functions (including any curse effects), how to activate its functions (if appropriate), and how many charges are left (if it uses charges). In the case of an object or creature with active spells cast upon it, you learn each spell, its effect, and its caster level. An attended object may attempt a Will save to resist this effect if its holder so desires. If the save succeeds, you learn nothing about the object except what you can discern by looking at it. An object that makes its save cannot be affected by any other analyze dweomer spells for 24 hours. Analyze dweomer does not function when used on an artifact.</t>
  </si>
  <si>
    <t>Arcane (6)</t>
  </si>
  <si>
    <t>Reveals magical aspects of subject.</t>
  </si>
  <si>
    <t>Animal Growth</t>
  </si>
  <si>
    <t>druid 5, ranger 4, sorcerer/wizard 5, shaman 5</t>
  </si>
  <si>
    <t>one animal (Gargantuan or smaller)</t>
  </si>
  <si>
    <t>Fortitude negates</t>
  </si>
  <si>
    <t>yes</t>
  </si>
  <si>
    <t>The target animal grows to twice its normal size and eight times its normal weight. This alteration changes the animal's size category to the next largest, grants it a +8 size bonus to Strength and a +4 size bonus to Constitution (and thus an extra 2 hit points per HD), and imposes a -2 size penalty to Dexterity. The creature's existing natural armor bonus increases by 2. The size change also affects the animal's modifier to AC, attack rolls, and its base damage. The animal's space and reach change as appropriate to the new size, but its speed does not change. If insufficient room is available for the desired growth, the creature attains the maximum possible size and may make a Strength check (using its increased Strength) to burst any enclosures in the process. If it fails, it is constrained without harm by the materials enclosing it--the spell cannot be used to crush a creature by increasing its size.  All equipment worn or carried by the animal is similarly enlarged by the spell, though this change has no effect on the magical properties of any such equipment.  Any enlarged item that leaves the enlarged creature's possession instantly returns to its normal size.  The spell gives no means of command over an enlarged animal.  Multiple magical effects that increase size do not stack.</t>
  </si>
  <si>
    <t>Scalykind (5)</t>
  </si>
  <si>
    <t>One animal doubles in size.</t>
  </si>
  <si>
    <t>Animals (10)</t>
  </si>
  <si>
    <t>Animal Messenger</t>
  </si>
  <si>
    <t>bard 2, druid 2, ranger 1, shaman 2, psychic 2, mesmerist 2</t>
  </si>
  <si>
    <t>1 minute</t>
  </si>
  <si>
    <t>V, S, M (a morsel of food the animal likes)</t>
  </si>
  <si>
    <t>one Tiny animal</t>
  </si>
  <si>
    <t>1 day/level</t>
  </si>
  <si>
    <t>none; see text</t>
  </si>
  <si>
    <t>You compel a Tiny animal to go to a spot you designate. The most common use for this spell is to get an animal to carry a message to your allies. The animal cannot be one tamed or trained by someone else, including such creatures as familiars and animal companions.  Using some type of food desirable to the animal as a lure, you call the animal to you. It advances and awaits your bidding. You can mentally impress on the animal a certain place well known to you or an obvious landmark. The directions must be simple, because the animal depends on your knowledge and can't find a destination on its own. You can attach a small item or note to the messenger. The animal then goes to the designated location and waits there until the duration of the spell expires, whereupon it resumes its normal activities.  During this period of waiting, the messenger allows others to approach it and remove any scroll or token it carries. The intended recipient gains no special ability to communicate with the animal or read any attached message (if it's written in a language he doesn't know, for example).</t>
  </si>
  <si>
    <t>Sends a Tiny animal to a specific place.</t>
  </si>
  <si>
    <t>Animal Shapes</t>
  </si>
  <si>
    <t>druid 8, shaman 8</t>
  </si>
  <si>
    <t>up to one willing creature per level, all within 30 ft. of each other.</t>
  </si>
  <si>
    <t>1 hour/level</t>
  </si>
  <si>
    <t>As beast shape III, except you change the form of up to one willing creature per caster level into an animal of your choice; the spell has no effect on unwilling creatures. All creatures must take the same kind of animal form. Recipients remain in the animal form until the spell expires or until you dismiss it for all recipients. In addition, an individual subject may choose to resume its normal form as a full-round action; doing so ends the spell for that subject alone.</t>
  </si>
  <si>
    <t>Animal (7), Scalykind (8)</t>
  </si>
  <si>
    <t> One ally/level polymorphs into chosen animal.</t>
  </si>
  <si>
    <t>Agility (16), Animals (16)</t>
  </si>
  <si>
    <t>Animal Trance</t>
  </si>
  <si>
    <t>mind-affecting, sonic</t>
  </si>
  <si>
    <t>bard 2, druid 2, psychic 2, mesmerist 2</t>
  </si>
  <si>
    <t>animals or magical beasts with Intelligence 1 or 2</t>
  </si>
  <si>
    <t>concentration</t>
  </si>
  <si>
    <t>Will negates</t>
  </si>
  <si>
    <t>Your swaying motions and music (or singing, or chanting) compel animals and magical beasts to do nothing but watch you. Only a creature with an Intelligence score of 1 or 2 can be fascinated by this spell. Roll 2d6 to determine the total number of HD worth of creatures that you fascinate. The closest targets are selected first until no more targets within range can be affected.</t>
  </si>
  <si>
    <t>Scalykind (2)</t>
  </si>
  <si>
    <t>Fascinates 2d6 HD of animals.</t>
  </si>
  <si>
    <t>Animate Dead</t>
  </si>
  <si>
    <t>necromancy</t>
  </si>
  <si>
    <t>cleric/oracle 3, sorcerer/wizard 4, antipaladin 3, shaman 3, occultist 3, spiritualist 3</t>
  </si>
  <si>
    <t>V, S, M (an onyx gem worth at least 25 gp per Hit Die of the undead)</t>
  </si>
  <si>
    <t>one or more corpses touched</t>
  </si>
  <si>
    <t>This spell turns corpses into undead skeletons or zombies (see the Pathfinder RPG Bestiary) that obey your spoken commands.  The undead can be made to follow you, or they can be made to remain in an area and attack any creature (or just a specific kind of creature) entering the place. They remain animated until they are destroyed. A destroyed skeleton or zombie can't be animated again.  Regardless of the type of undead you create with this spell, you can't create more HD of undead than twice your caster level with a single casting of animate dead. The desecrate spell doubles this limit.  The undead you create remain under your control indefinitely.  No matter how many times you use this spell, however, you can control only 4 HD worth of undead creatures per caster level. If you exceed this number, all the newly created creatures fall under your control, and any excess undead from previous castings become uncontrolled. You choose which creatures are released. Undead you control through the Command Undead feat do not count toward this limit.  Skeletons: A skeleton can be created only from a mostly intact corpse or skeleton. The corpse must have bones. If a skeleton is made from a corpse, the flesh falls off the bones.  Zombies: A zombie can be created only from a mostly intact corpse.  The corpse must be that of a creature with a physical anatomy.</t>
  </si>
  <si>
    <t>Death (3), Souls (3)</t>
  </si>
  <si>
    <t>Creates undead skeletons and zombies.</t>
  </si>
  <si>
    <t>Undead (9)</t>
  </si>
  <si>
    <t>Plague (8)</t>
  </si>
  <si>
    <t>Add your tier to your caster level when determining how many Hit Dice of undead you can animate with a single casting of this spell. This doesn't increase the total number of Hit Dice worth of undead you can control. By expending a second use of mythic power, you can ignore the spell's material component cost.</t>
  </si>
  <si>
    <t>Augmented (6th): If you expend two uses of mythic power, any skeletons or zombies you create gain either the agile (see page 224) or savage (see page 224) mythic template. This template lasts for a number of days equal to your tier. Alternatively, if you're 8th tier and expend 10 uses of mythic power, any skeletons you create permanently gain the mythic skeleton template (see page 216).</t>
  </si>
  <si>
    <t>Animate Objects</t>
  </si>
  <si>
    <t>bard 6, cleric/oracle 6, witch 6, occultist 6, psychic 6</t>
  </si>
  <si>
    <t>one Small object per caster level; see text</t>
  </si>
  <si>
    <t>You imbue inanimate objects with mobility and a semblance of life. Each such animated object then immediately attacks whomever or whatever you initially designate.  An animated object can be of any nonmagical material. You may animate one Small or smaller object or a corresponding number of larger objects as follows: A Medium object counts as two Small or smaller objects, a Large object as four, a Huge object as eight, a Gargantuan object as 16, and a Colossal object as 32. You can change the designated target or targets as a move action, as if directing an active spell. See the Pathfinder RPG Bestiary for the statistics of animated objects.  This spell cannot affect objects carried or worn by a creature.  Animate objects can be made permanent with a permanency spell.</t>
  </si>
  <si>
    <t>Chaos (6), Flotsam (6)</t>
  </si>
  <si>
    <t>Objects attack your foes.</t>
  </si>
  <si>
    <t>Impossible (13)</t>
  </si>
  <si>
    <t>Animated objects you create with this spell get the maximum number of hit points per level, gain a +4 bonus to their Strength ability scores, and have 1-1/2 times the normal number of construction points.</t>
  </si>
  <si>
    <t>Animate Plants</t>
  </si>
  <si>
    <t>druid 7, shaman 7</t>
  </si>
  <si>
    <t>V</t>
  </si>
  <si>
    <t>one Large plant per three caster levels or all plants within  range; see text</t>
  </si>
  <si>
    <t>1 round/level or 1 hour/level; see text</t>
  </si>
  <si>
    <t>You imbue inanimate plants with mobility and a semblance of life. Each animated plant then immediately attacks whomever or whatever you initially designate as though it were an animated object of the appropriate size category. You may animate one Large or smaller plant, or a number of larger plants as follows: a Huge plant counts as two Large or smaller plants, a Gargantuan plant as four, and a Colossal plant as eight. You can change the designated target or targets as a move action, as if directing an active spell.  Use the statistics for animated objects (see Pathfinder RPG Bestiary), except that plants smaller than Large don't have hardness.  Animate plants cannot affect plant creatures, nor does it affect nonliving vegetable material.  Entangle: Alternatively, you may imbue all plants within range with a degree of mobility, which allows them to entwine around creatures in the area. This usage of the spell duplicates the effect of an entangle spell. Spell resistance does not keep creatures from being entangled. This effect lasts 1 hour per caster level.</t>
  </si>
  <si>
    <t>Plant (7)</t>
  </si>
  <si>
    <t> One or more plants animate and fight for you.</t>
  </si>
  <si>
    <t>Verdant (17)</t>
  </si>
  <si>
    <t>Plant (14)</t>
  </si>
  <si>
    <t>Animated plants you create with this spell get the maximum number of hit points per level, gain a +4 bonus to their Strength ability scores, and have 1-1/2 times the normal number of construction points.</t>
  </si>
  <si>
    <t>Animate Rope</t>
  </si>
  <si>
    <t>bard 1, sorcerer/wizard 1, psychic 1, mesmerist 1</t>
  </si>
  <si>
    <t>one rope-like object, length up to 50 ft. + 5 ft./level; see text</t>
  </si>
  <si>
    <t>You can animate a nonliving rope-like object. The maximum length assumes a rope with a 1-inch diameter. Reduce the maximum length by 50% for every additional inch of thickness, and increase it by 50% for each reduction of the rope's diameter by half.  The possible commands are "coil" (form a neat, coiled stack), "coil and knot," "loop," "loop and knot," "tie and knot," and the opposites of all of the above ("uncoil," and so forth). You can give one command each round as a move action, as if directing an active spell.  The rope can enwrap only a creature or an object within 1 foot of it - it does not snake outward - so it must be thrown near the intended target. Doing so requires a successful ranged touch attack roll (range increment 10 feet). A typical 1-inch-diameter hemp rope has 2 hit points, AC 10, and requires a DC 23 Strength check to burst it. The rope does not deal damage, but it can be used as a trip line or to cause a single opponent that fails a Reflex saving throw to become entangled. A creature capable of spellcasting that is bound by this spell must make a concentration check with a DC of 15 + the spell's level to cast a spell. An entangled creature can slip free with a DC 20 Escape Artist check.  The rope itself and any knots tied in it are not magical.  The spell cannot affect objects carried or worn by a creature.</t>
  </si>
  <si>
    <t>Artifice (1)</t>
  </si>
  <si>
    <t>Makes a rope move at your command.</t>
  </si>
  <si>
    <t>Trickery (2)</t>
  </si>
  <si>
    <t>Antilife Shell</t>
  </si>
  <si>
    <t>cleric/oracle 6, druid 6, shaman 6, psychic 6</t>
  </si>
  <si>
    <t>1 round</t>
  </si>
  <si>
    <t>10 ft.</t>
  </si>
  <si>
    <t>10-ft.-radius emanation, centered on you</t>
  </si>
  <si>
    <t>You bring into being a mobile, hemispherical energy field that prevents the entrance of most types of living creatures.  The effect hedges out animals, aberrations, dragons, fey, giants, humanoids, magical beasts, monstrous humanoids, oozes, plants, and vermin, but not constructs, elementals, outsiders, or undead.  This spell may be used only defensively, not aggressively. Forcing an abjuration barrier against creatures that the spell keeps at bay collapses the barrier.</t>
  </si>
  <si>
    <t>Animal (6), Souls (6)</t>
  </si>
  <si>
    <t>10-ft.-radius field hedges out living creatures.</t>
  </si>
  <si>
    <t>Animals (12)</t>
  </si>
  <si>
    <t>Antimagic Field</t>
  </si>
  <si>
    <t>cleric/oracle 8, sorcerer/wizard 6, occultist 6, psychic 7</t>
  </si>
  <si>
    <t>V, S, M/DF (pinch of powdered iron or iron filings)</t>
  </si>
  <si>
    <t>10 min./level (D)</t>
  </si>
  <si>
    <t>An invisible barrier surrounds you and moves with you. The space within this barrier is impervious to most magical effects, including spells, spell-like abilities, and supernatural abilities.  Likewise, it prevents the functioning of any magic items or spells within its confines.  An antimagic field suppresses any spell or magical effect used within, brought into, or cast into the area, but does not dispel it.  Time spent within an antimagic field counts against the suppressed spell's duration.  Summoned creatures of any type wink out if they enter an antimagic field. They reappear in the same spot once the field goes away. Time spent winked out counts normally against the duration of the conjuration that is maintaining the creature. If you cast antimagic field in an area occupied by a summoned creature that has spell resistance, you must make a caster level check (1d20 + caster level) against the creature's spell resistance to make it wink out.  (The effects of instantaneous conjurations are not affected by an antimagic field because the conjuration itself is no longer in effect, only its result.) A normal creature can enter the area, as can normal missiles.  Furthermore, while a magic sword does not function magically within the area, it is still a sword (and a masterwork sword at that). The spell has no effect on golems and other constructs that are imbued with magic during their creation process and are thereafter self-supporting (unless they have been summoned, in which case they are treated like any other summoned creatures). Elementals, undead, and outsiders are likewise unaffected unless summoned. These creatures' spell-like or supernatural abilities may be temporarily nullified by the field.  Dispel magic does not remove the field.  Two or more antimagic fields sharing any of the same space have no effect on each other. Certain spells, such as wall of force, prismatic sphere, and prismatic wall, remain unaffected by antimagic field.  Artifacts and deities are unaffected by mortal magic such as this.  Should a creature be larger than the area enclosed by the barrier, any part of it that lies outside the barrier is unaffected by the field.</t>
  </si>
  <si>
    <t>Magic (6), Protection (6)</t>
  </si>
  <si>
    <t>Negates magic within 10 ft.</t>
  </si>
  <si>
    <t>Select a number of spell schools equal to half your tier. Spells and effects of the chosen schools are unaffected by the antimagic field.</t>
  </si>
  <si>
    <t>Antipathy</t>
  </si>
  <si>
    <t>mind-affecting, emotion</t>
  </si>
  <si>
    <t>druid 9, sorcerer/wizard 8, witch 8, summoner/unchained summoner 6, occultist 6, psychic 8</t>
  </si>
  <si>
    <t>1 hour</t>
  </si>
  <si>
    <t>V, S, M/DF (a lump of alum soaked in vinegar)</t>
  </si>
  <si>
    <t>one location (up to a 10-ft. cube/level) or one object</t>
  </si>
  <si>
    <t>Will partial</t>
  </si>
  <si>
    <t>You cause an object or location to emanate magical vibrations that repel either a specific kind of intelligent creature or creatures of a particular alignment, as defined by you. The kind of creature to be affected must be named specifically. A creature subtype is not specific enough. Likewise, the specific alignment to be repelled must be named. Creatures of the designated kind or alignment feel an urge to leave the area or to avoid the affected item. A compulsion forces them to abandon the area or item, shunning it and never willingly returning to it while the spell is in effect. A creature that makes a successful saving throw can stay in the area or touch the item but feels uncomfortable doing so. This distracting discomfort reduces the creature's Dexterity score by 4 points. Antipathy counters and dispels sympathy.</t>
  </si>
  <si>
    <t>Object or location affected by spell repels certain creatures.</t>
  </si>
  <si>
    <t>Peace (18)</t>
  </si>
  <si>
    <t>Antiplant Shell</t>
  </si>
  <si>
    <t>druid 4</t>
  </si>
  <si>
    <t>The antiplant shell spell creates an invisible, mobile barrier that keeps all creatures within the shell protected from attacks by plant creatures or animated plants. As with many abjuration spells, forcing the barrier against creatures that the spell keeps at bay strains and collapses the field.</t>
  </si>
  <si>
    <t> Keeps animated plants at bay.</t>
  </si>
  <si>
    <t>Arcane Eye</t>
  </si>
  <si>
    <t>scrying</t>
  </si>
  <si>
    <t>sorcerer/wizard 4, witch 4, alchemist 4, occultist 4, psychic 4, mesmerist 4</t>
  </si>
  <si>
    <t>10 minutes</t>
  </si>
  <si>
    <t>V, S, M (a bit of bat fur)</t>
  </si>
  <si>
    <t>unlimited</t>
  </si>
  <si>
    <t>magical sensor</t>
  </si>
  <si>
    <t>You create an invisible magical sensor that sends you visual information. You can create the arcane eye at any point you can see, but it can then travel outside your line of sight without hindrance. An arcane eye travels at 30 feet per round (300 feet per minute) if viewing an area ahead as a human would (primarily looking at the floor) or 10 feet per round (100 feet per minute) if examining the ceiling and walls as well as the floor ahead. It sees exactly as you would see if you were there. The eye can travel in any direction as long as the spell lasts. Solid barriers block its passage, but it can pass through a hole or space as small as 1 inch in diameter. The eye can't enter another plane of existence, even through a gate or similar magical portal. You must concentrate to use an arcane eye. If you do not concentrate, the eye is inert until you again concentrate.</t>
  </si>
  <si>
    <t>Arcane (4)</t>
  </si>
  <si>
    <t> Invisible floating eye moves 30 ft./round.</t>
  </si>
  <si>
    <t>Arcane Lock</t>
  </si>
  <si>
    <t>sorcerer/wizard 2, occultist 2</t>
  </si>
  <si>
    <t>V, S, M (gold dust worth 25 gp)</t>
  </si>
  <si>
    <t>door, chest, or portal touched, up to 30 sq. ft./level in size</t>
  </si>
  <si>
    <t>permanent</t>
  </si>
  <si>
    <t>An arcane lock spell cast upon a door, chest, or portal magically locks it. You can freely pass your own arcane lock without affecting it. If the locked object has a lock, the DC to open that lock increases by 10 while it remains attached to the object. If the object does not have a lock, this spell creates one that can only be opened with a DC 20 Disable Device skill check. A door or object secured with this spell can be opened only by breaking in or with a successful dispel magic or knock spell. Add 10 to the normal DC to break open a door or portal affected by this spell. A knock spell does not remove an arcane lock; it only suppresses the effect for 10 minutes.</t>
  </si>
  <si>
    <t>Wards (1)</t>
  </si>
  <si>
    <t> Magically locks a portal or chest.</t>
  </si>
  <si>
    <t>Arcane Mark</t>
  </si>
  <si>
    <t>universal</t>
  </si>
  <si>
    <t>sorcerer/wizard 0, summoner/unchained summoner 0, magus 0, shaman 0, psychic 0</t>
  </si>
  <si>
    <t>one personal rune or mark, all of which must fit within 1 sq. ft.</t>
  </si>
  <si>
    <t>This spell allows you to inscribe your personal rune or mark, which can consist of no more than six characters. The writing can be visible or invisible. An arcane mark spell enables you to etch the rune upon any substance without harm to the material upon which it is placed. If an invisible mark is made, a detect magic spell causes it to glow and be visible, though not necessarily understandable. See invisibility, true seeing, a gem of seeing, or a robe of eyes likewise allows the user to see an invisible arcane mark. A read magic spell reveals the words, if any. The mark cannot be dispelled, but it can be removed by the caster or by an erase spell. If an arcane mark is placed on a living being, the effect gradually fades in about a month. Arcane mark must be cast on an object prior to casting instant summons on the same object (see that spell DESCRIPTION for details).</t>
  </si>
  <si>
    <t> Inscribes a personal rune on an object or creature (visible or invisible).</t>
  </si>
  <si>
    <t>Arcane Sight</t>
  </si>
  <si>
    <t>sorcerer/wizard 3, witch 3, inquisitor 3, alchemist 3, magus 3, occultist 3, psychic 3</t>
  </si>
  <si>
    <t>This spell makes your eyes glow blue and allows you to see magical auras within 120 feet of you. The effect is similar to that of a detect magic spell, but arcane sight does not require concentration and discerns aura location and power more quickly. You know the location and power of all magical auras within your sight. An aura's power depends on a spell's functioning level or an item's caster level, as noted in the DESCRIPTION of the detect magic spell. If the items or creatures bearing the auras are in line of sight, you can make Spellcraft skill checks to determine the school of magic involved in each. (Make one check per aura; DC 15 + spell level, or 15 + half caster level for a nonspell effect.) If you concentrate on a specific creature within 120 feet of you as a standard action, you can determine whether it has any spellcasting or spell-like abilities, whether these are arcane or divine (spell-like abilities register as arcane), and the strength of the most powerful spell or spell-like ability the creature currently has available for use. As with detect magic, you can use this spell to identify the properties of magic items, but not artifacts. Arcane sight can be made permanent with a permanency spell.</t>
  </si>
  <si>
    <t> Magical auras become visible to you.</t>
  </si>
  <si>
    <t>Arcane Sight, Greater</t>
  </si>
  <si>
    <t>sorcerer/wizard 7, witch 7, psychic 7</t>
  </si>
  <si>
    <t>This spell functions like arcane sight, except that you automatically know which spells or magical effects are active upon any individual or object you see. Unlike arcane sight, this spell cannot be made permanent with a permanency spell.</t>
  </si>
  <si>
    <t> As arcane sight, but also reveals magic effects on creatures and objects.</t>
  </si>
  <si>
    <t>Astral Projection</t>
  </si>
  <si>
    <t>cleric/oracle 9, sorcerer/wizard 9, witch 9, psychic 9</t>
  </si>
  <si>
    <t>30 minutes</t>
  </si>
  <si>
    <t>V, S, M (1,000 gp jacinth)</t>
  </si>
  <si>
    <t>you plus one additional willing creature touched per two caster levels</t>
  </si>
  <si>
    <t>By freeing your spirit from your physical body, this spell allows you to project an astral body onto another plane altogether. You can bring the astral forms of other willing creatures with you, provided that these subjects are linked in a circle with you at the time of the casting. These fellow travelers are dependent upon you and must accompany you at all times. If something happens to you during the journey, your companions are stranded wherever you left them. You project your astral self onto the Astral Plane, leaving your physical body behind on the Material Plane in a state of suspended animation. The spell projects an astral copy of you and all you wear or carry onto the Astral Plane. Since the Astral Plane touches upon other planes, you can travel astrally to any of these other planes as you will. To enter one, you leave the Astral Plane, forming a new physical body (and equipment) on the plane of existence you have chosen to enter. While you are on the Astral Plane, your astral body is connected at all times to your physical body by an incorporeal silver cord. If the cord is broken, you are killed, astrally and physically. Luckily, very few things can destroy a silver cord. When a second body is formed on a different plane, the silver cord remains invisibly attached to the new body. If the second body or the astral form is slain, the cord simply returns to your body where it rests on the Material Plane, thereby reviving it from its state of suspended animation. This is a traumatic affair, however, and you gain two permanent negative levels if your second body or astral form is slain. Although astral projections are able to function on the Astral Plane, their actions affect only creatures existing on the Astral Plane; a physical body must be materialized on other planes. You and your companions may travel through the Astral Plane indefinitely. Your bodies simply wait behind in a state of suspended animation until you choose to return your spirits to them. The spell lasts until you desire to end it, or until it is terminated by some outside means, such as dispel magic cast upon either the physical body or the astral form, the breaking of the silver cord, or the destruction of your body back on the Material Plane (which kills you). When this spell ends, your astral body and all of its gear, vanishes.</t>
  </si>
  <si>
    <t>Travel (9)</t>
  </si>
  <si>
    <t>Projects you and others onto Astral Plane.</t>
  </si>
  <si>
    <t>Dreamspun (19)</t>
  </si>
  <si>
    <t>Stars (18)</t>
  </si>
  <si>
    <t>Atonement</t>
  </si>
  <si>
    <t>cleric/oracle 5, druid 5, inquisitor 5</t>
  </si>
  <si>
    <t>V, S, M (burning incense), F (a set of prayer beads or other prayer device worth at least 500 gp), DF</t>
  </si>
  <si>
    <t>This spell removes the burden of misdeeds from the subject. The creature seeking atonement must be truly repentant and desirous of setting right its misdeeds. If the atoning creature committed the evil act unwittingly or under some form of compulsion, atonement operates normally at no cost to you. However, in the case of a creature atoning for deliberate misdeeds, you must intercede with your deity (requiring you to expend 2,500 gp in rare incense and offerings). Atonement may be cast for one of several purposes, depending on the version selected. Reverse Magical Alignment Change: If a creature has had its alignment magically changed, atonement returns its alignment to its original status at no additional cost. Restore Class: A paladin, or other class, who has lost her class features due to violating the alignment restrictions of her class may have her class features restored by this spell. Restore Cleric or Druid Spell Powers: A cleric or druid who has lost the ability to cast spells by incurring the anger of her deity may regain that ability by seeking atonement from another cleric of the same deity or another druid. If the transgression was intentional, the casting cleric must expend 2,500 gp in rare incense and offerings for her god's intercession. Redemption or Temptation: You may cast this spell upon a creature of an opposing alignment in order to offer it a chance to change its alignment to match yours. The prospective subject must be present for the entire casting process. Upon completion of the spell, the subject freely chooses whether it retains its original alignment or acquiesces to your offer and changes to your alignment. No duress, compulsion, or magical influence can force the subject to take advantage of the opportunity offered if it is unwilling to abandon its old alignment. This use of the spell does not work on outsiders or any creature incapable of changing its alignment naturally. Though the spell DESCRIPTION refers to evil acts, atonement can be used on any creature that has performed acts against its alignment, regardless of the actual alignment in question. Note: Normally, changing alignment is up to the player. This use of atonement offers a method for a character to change his or her alignment drastically, suddenly, and definitively.</t>
  </si>
  <si>
    <t>Purity (5), Redemption (5)</t>
  </si>
  <si>
    <t> Removes burden of misdeeds from subject.</t>
  </si>
  <si>
    <t>Augury</t>
  </si>
  <si>
    <t>cleric/oracle 2, witch 2, shaman 2, occultist 2, psychic 2, spiritualist 2, medium 2</t>
  </si>
  <si>
    <t>V, S, M (incense worth at least 25 gp), F (a set of marked sticks or bones worth at least 25 gp)</t>
  </si>
  <si>
    <t>An augury can tell you whether a particular action will bring good or bad results for you in the immediate future. The base chance for receiving a meaningful reply is 70% + 1% per caster level, to a maximum of 90%; this roll is made secretly. A question may be so straightforward that a successful result is automatic, or so vague as to have no chance of success. If the augury succeeds, you get one of four results: Weal (if the action will probably bring good results).  Woe (for bad results).  Weal and woe (for both).  Nothing (for actions that don't have especially good or bad results). If the spell fails, you get the "nothing" result. A cleric who gets the "nothing" result has no way to tell whether it was the consequence of a failed or successful augury. The augury can see into the future only about half an hour, so anything that might happen after that does not affect the result. Thus, the result might not take into account the long-term consequences of a contemplated action. All auguries cast by the same person about the same topic use the same die result as the first casting.</t>
  </si>
  <si>
    <t>Fate (2)</t>
  </si>
  <si>
    <t> Learns whether an action will be good or bad.</t>
  </si>
  <si>
    <t>Dreamspun (5), Harrow (5)</t>
  </si>
  <si>
    <t>Awaken</t>
  </si>
  <si>
    <t>druid 5, shaman 6</t>
  </si>
  <si>
    <t>24 hours</t>
  </si>
  <si>
    <t>V, S, M (herbs and oils worth 2,000 gp), DF</t>
  </si>
  <si>
    <t>animal or tree touched</t>
  </si>
  <si>
    <t>You awaken a tree or animal to human-like sentience. To succeed, you must make a Will save (DC 10 + the animal's current HD, or the HD the tree will have once awakened). The awakened animal or tree is friendly toward you. You have no special empathy or connection with a creature you awaken, although it serves you in specific tasks or endeavors if you communicate your desires to it. If you cast awaken again, any previously awakened creatures remain friendly to you, but they no longer undertake tasks for you unless it is in their best interests. An awakened tree has characteristics as if it were an animated object, except that it gains the plant type and its Intelligence, Wisdom, and Charisma scores are each 3d6. An awakened plant gains the ability to move its limbs, roots, vines, creepers, and so forth, and it has senses similar to a human's. An awakened animal gets 3d6 Intelligence, +1d3 Charisma, and +2 HD. Its type becomes magical beast (augmented animal). An awakened animal can't serve as an animal companion, familiar, or special mount. An awakened tree or animal can speak one language that you know, plus one additional language that you know per point of Intelligence bonus (if any). This spell does not function on an animal or plant with an Intelligence greater than 2.</t>
  </si>
  <si>
    <t> Animal or tree gains human intellect.</t>
  </si>
  <si>
    <t>Bane</t>
  </si>
  <si>
    <t>fear, mind-affecting</t>
  </si>
  <si>
    <t>antipaladin 1, cleric/oracle 1, inquisitor 1, shaman 1, mesmerist 1</t>
  </si>
  <si>
    <t>50 ft.</t>
  </si>
  <si>
    <t>50-ft.-radius burst, centered on you</t>
  </si>
  <si>
    <t>Bane fills your enemies with fear and doubt. Each affected creature takes a -1 penalty on attack rolls and a -1 penalty on saving throws against fear effects. Bane counters and dispels bless.</t>
  </si>
  <si>
    <t>Curse (1)</t>
  </si>
  <si>
    <t>Enemies take –1 on attack rolls and saves vs. fear.</t>
  </si>
  <si>
    <t>The -1 penalty applies on attack rolls, weapon damage rolls, and all saving throws. Each affected creature must roll its next attack roll or saving throw twice and take the lower result.</t>
  </si>
  <si>
    <t>Banishment</t>
  </si>
  <si>
    <t>cleric/oracle 6, sorcerer/wizard 7, summoner 5, inquisitor 5, shaman 6, psychic 7, spiritualist 6, unchained summoner 6</t>
  </si>
  <si>
    <t>V, S, F (see text)</t>
  </si>
  <si>
    <t>one or more extraplanar creatures, no two of which can be more than 30 ft. apart</t>
  </si>
  <si>
    <t>A banishment spell is a more powerful version of the dismissal spell. It enables you to force extraplanar creatures out of your home plane. As many as 2 Hit Dice of creatures per caster level can be banished. You can improve the spell's chance of success by presenting at least one object or substance that the target hates, fears, or otherwise opposes. For each such object or substance, you gain a +1 bonus on your caster level check to overcome the target's  Spell Resistance (if any), and the saving throw DC increases by 2. Certain rare items might work twice as well as a normal item for the purpose of the bonuses (each providing a +2 bonus on the caster level check against Spell Resistance and increasing the save DC by 4).</t>
  </si>
  <si>
    <t>Banishes 2 HD/level of extraplanar creatures.</t>
  </si>
  <si>
    <t>Celestial (15)</t>
  </si>
  <si>
    <t>Boundaries (12), Dimensions (14)</t>
  </si>
  <si>
    <t>Barkskin</t>
  </si>
  <si>
    <t>druid 2, ranger 2, summoner/unchained summoner 2, alchemist 2, shaman 2</t>
  </si>
  <si>
    <t>Barkskin toughens a creature's skin. The effect grants a +2 enhancement bonus to the creature's existing natural armor bonus. This enhancement bonus increases by 1 for every three caster levels above 3rd, to a maximum of +5 at 12th level.  The enhancement bonus provided by barkskin stacks with the target's natural armor bonus, but not with other enhancement bonuses to natural armor. A creature without natural armor has an effective natural armor bonus of +0.</t>
  </si>
  <si>
    <t>Defense (2), Plant (2)</t>
  </si>
  <si>
    <t>Grants +2 (or higher) enhancement to natural armor.</t>
  </si>
  <si>
    <t>Verdant (5)</t>
  </si>
  <si>
    <t>The target also gains DR/magic equal to the double the enhancement bonus the spell provides to the target's natural armor bonus.</t>
  </si>
  <si>
    <t>Augmented (6th): If you expend two uses of mythic power, the spell grants DR/epic rather than DR/magic.</t>
  </si>
  <si>
    <t>Bear's Endurance</t>
  </si>
  <si>
    <t>cleric/oracle 2, druid 2, ranger 2, sorcerer/wizard 2, summoner/unchained summoner 2, alchemist 2, magus 2, bloodrager 2, shaman 2, psychic 2, medium 2</t>
  </si>
  <si>
    <t>V, S, M/DF (a few hairs, or a pinch of dung, from a bear)</t>
  </si>
  <si>
    <t>creature touched</t>
  </si>
  <si>
    <t>Will negates (harmless)</t>
  </si>
  <si>
    <t>The affected creature gains greater vitality and stamina. The spell grants the subject a +4 enhancement bonus to Constitution, which adds the usual benefits to hit points, Fortitude saves, Constitution checks, and so forth. Hit points gained by a temporary increase in Constitution score are not temporary hit points. They go away when the subject's Constitution drops back to normal. They are not lost first as temporary hit points are.</t>
  </si>
  <si>
    <t>Subject gains +4 to Con for 1 min./level.</t>
  </si>
  <si>
    <t>Endurance (4), Transformation (4)</t>
  </si>
  <si>
    <t>Bear's Endurance, Mass</t>
  </si>
  <si>
    <t>cleric/oracle 6, druid 6, sorcerer/wizard 6, summoner 4, magus 6, shaman 6, psychic 6, unchained summoner 6</t>
  </si>
  <si>
    <t>creature one creature/level, no two of which can be more than 30 ft. apart</t>
  </si>
  <si>
    <t>Mass bear's endurance works like bear's endurance, except that it affects multiple creatures.</t>
  </si>
  <si>
    <t>As bear’s endurance, affects 1 subject/level.</t>
  </si>
  <si>
    <t>Endurance (12)</t>
  </si>
  <si>
    <t>Beast Shape I</t>
  </si>
  <si>
    <t>sorcerer/wizard 3, alchemist 3, magus 3, bloodrager 3</t>
  </si>
  <si>
    <t>When you cast this spell, you can assume the form of any Small or Medium creature of the animal type. If the form you assume has any of the following abilities, you gain the listed ability: climb 30 feet, fly 30 feet (average maneuverability), swim 30 feet, darkvision 60 feet, low-light vision, and scent. Small animal: If the form you take is that of a Small animal, you gain a +2 size bonus to your Dexterity and a +1 natural armor bonus. Medium animal: If the form you take is that of a Medium animal, you gain a +2 size bonus to your Strength and a +2 natural armor bonus.</t>
  </si>
  <si>
    <t>Fur (3)</t>
  </si>
  <si>
    <t> You take the form and some of the powers of a Small or Medium animal.</t>
  </si>
  <si>
    <t>Transformation (6)</t>
  </si>
  <si>
    <t>Beast Shape II</t>
  </si>
  <si>
    <t>sorcerer/wizard 4, alchemist 4, magus 4, bloodrager 4</t>
  </si>
  <si>
    <t>This spell functions as beast shape I, except that it also allows you to assume the form of a Tiny or Large creature of the animal type. If the form you assume has any of the following abilities, you gain the listed ability: climb 60 feet, fly 60 feet (good maneuverability), swim 60 feet, darkvision 60 feet, low-light vision, scent, grab, pounce, and trip. Tiny animal: If the form you take is that of a Tiny animal, you gain a +4 size bonus to your Dexterity, a -2 penalty to your Strength, and a +1 natural armor bonus. Small animal: If the form you take is that of a Small animal, you gain a +2 size bonus to your Dexterity and a +1 natural armor bonus. Medium animal: If the form you take is that of a Medium animal, you gain a +2 size bonus to your Strength and a +2 natural armor bonus. Large animal: If the form you take is that of a Large animal, you gain a +4 size bonus to your Strength, a -2 penalty to your Dexterity, and a +4 natural armor bonus.</t>
  </si>
  <si>
    <t> You take the form and some of the powers of a Tiny or Large animal.</t>
  </si>
  <si>
    <t>Transformation (8)</t>
  </si>
  <si>
    <t>Beast Shape III</t>
  </si>
  <si>
    <t>sorcerer/wizard 5, alchemist 5, magus 5</t>
  </si>
  <si>
    <t>This spell functions as beast shape II, except that it also allows you to assume the form of a Diminutive or Huge creature of the animal type. This spell also allows you to take on the form of a Small or Medium creature of the magical beast type. If the form you assume has any of the following abilities, you gain the listed ability: burrow 30 feet, climb 90 feet, fly 90 feet (good maneuverability), swim 90 feet, blindsense 30 feet, darkvision 60 feet, low-light vision, scent, constrict, ferocity, grab, jet, poison, pounce, rake, trample, trip, and web. Diminutive animal: If the form you take is that of a Diminutive animal, you gain a +6 size bonus to your Dexterity, a -4 penalty to your Strength, and a +1 natural armor bonus. Tiny animal: If the form you take is that of a Tiny animal, you gain a +4 size bonus to your Dexterity, a -2 penalty to your Strength, and a +1 natural armor bonus. Small animal: If the form you take is that of a Small animal, you gain a +2 size bonus to your Dexterity and a +1 natural armor bonus. Medium animal: If the form you take is that of a Medium animal, you gain a +2 size bonus to your Strength and a +2 natural armor bonus. Large animal: If the form you take is that of a Large animal, you gain a +4 size bonus to your Strength, a -2 penalty to your Dexterity, and a +4 natural armor bonus. Huge animal: If the form you take is that of a Huge animal, you gain a +6 size bonus to your Strength, a -4 penalty to your Dexterity, and a +6 natural armor bonus. Small magical beast: If the form you take is that of a Small magical beast, you gain a +4 size bonus to your Dexterity, and a +2 natural armor bonus. Medium magical beast: If the form you take is that of a Medium magical beast, you gain a +4 size bonus to your Strength, and a +4 natural armor bonus.</t>
  </si>
  <si>
    <t>Animal (5), Saurian (5)</t>
  </si>
  <si>
    <t> You take the form of a Diminutive or Huge animal, or Small or Medium magical beast.</t>
  </si>
  <si>
    <t>Transformation (10)</t>
  </si>
  <si>
    <t>Beast Shape IV</t>
  </si>
  <si>
    <t>sorcerer/wizard 6, alchemist 6, magus 6</t>
  </si>
  <si>
    <t>This spell functions as beast shape III except that it also allows you to assume the form of a Tiny or Large creature of the magical beast type. If the form you assume has any of the following abilities, you gain the listed ability: burrow 60 feet, climb 90 feet, fly 120 feet (good maneuverability), swim 120 feet, blindsense 60 feet, darkvision 90 feet, low-light vision, scent, tremorsense 60 feet, breath weapon, constrict, ferocity, grab, jet, poison, pounce, rake, rend, roar, spikes, trample, trip, and web. If the creature has immunity or resistance to any elements, you gain resistance 20 to those elements. If the creature has vulnerability to an element, you gain that vulnerability. Diminutive animal: If the form you take is that of a Diminutive animal, you gain a +6 size bonus to your Dexterity, a -4 penalty to your Strength, and a +1 natural armor bonus. Tiny animal: If the form you take is that of a Tiny animal, you gain a +4 size bonus to your Dexterity, a -2 penalty to your Strength, and a +1 natural armor bonus. Small animal: If the form you take is that of a Small animal, you gain a +2 size bonus to your Dexterity and a +1 natural armor bonus. Medium animal: If the form you take is that of a Medium animal, you gain a +2 size bonus to your Strength and a +2 natural armor bonus. Large animal: If the form you take is that of a Large animal, you gain a +4 size bonus to your Strength, a -2 penalty to your Dexterity, and a +4 natural armor bonus. Huge animal: If the form you take is that of a Huge animal, you gain a +6 size bonus to your Strength, a -4 penalty to your Dexterity, and a +6 natural armor bonus. Tiny magical beast: If the form you take is that of a Tiny magical beast, you gain a -2 penalty to your Strength, a +8 size bonus to your Dexterity, and a +3 natural armor bonus. Small magical beast: If the form you take is that of a Small magical beast, you gain a +4 size bonus to your Dexterity, and a +2 natural armor bonus. Medium magical beast: If the form you take is that of a Medium magical beast, you gain a +4 size bonus to your Strength, and a +4 natural armor bonus. Large magical beast: If the form you take is that of a Large magical beast, you gain a +6 size bonus to your Strength, a -2 penalty on your Dexterity, a +2 size bonus to your Constitution, and a +6 natural armor bonus.</t>
  </si>
  <si>
    <t> You take the form of a Diminutive to Huge animal or a Tiny to Large magical beast.</t>
  </si>
  <si>
    <t>Aquatic (13)</t>
  </si>
  <si>
    <t>Animals (14)</t>
  </si>
  <si>
    <t>Bestow Curse</t>
  </si>
  <si>
    <t>cleric/oracle 3, sorcerer/wizard 4, witch 3, antipaladin 3, bloodrager 4, shaman 3, occultist 3, mesmerist 3, spiritualist 3, medium 2</t>
  </si>
  <si>
    <t>You place a curse on the subject. Choose one of the following. -6 decrease to an ability score (minimum 1).  -4 penalty on attack rolls, saves, ability checks, and skill checks.  Each turn, the target has a 50% chance to act normally; otherwise, it takes no action. You may also invent your own curse, but it should be no more powerful than those described above. The curse bestowed by this spell cannot be dispelled, but it can be removed with a break enchantment, limited wish, miracle, remove curse, or wish spell. Bestow curse counters remove curse.</t>
  </si>
  <si>
    <t>Curse (3), Tyranny (3)</t>
  </si>
  <si>
    <t>–6 to an ability score; –4 on attack rolls, saves, and checks; or 50% chance of losing each action.</t>
  </si>
  <si>
    <t>Accursed (9), Div (9)</t>
  </si>
  <si>
    <t>Binding</t>
  </si>
  <si>
    <t>sorcerer/wizard 8, summoner/unchained summoner 6, psychic 8</t>
  </si>
  <si>
    <t>V, S, M (opals worth 500 gp per HD of the target creature, plus other components as specified below)</t>
  </si>
  <si>
    <t>one living creature</t>
  </si>
  <si>
    <t>Will negates; see text</t>
  </si>
  <si>
    <t>A binding spell creates a magical restraint to hold a creature. The target gets an initial saving throw only if its Hit Dice equal at least half your caster level. You may have as many as six assistants help you with the spell. For each assistant who casts suggestion, your caster level for this casting of binding increases by 1. For each assistant who casts dominate animal, dominate person, or dominate monster, your caster level for this casting of binding increases by a number equal to a third of that assistant's level, provided that the spell's target is appropriate for a binding spell. Since the assistants' spells are cast simply to improve your caster level for the purpose of the binding spell, saving throws and spell resistance against the assistants' spells are irrelevant. Your caster level determines whether the target gets an initial Will saving throw and how long the binding lasts. All binding spells are dismissible. Regardless of the version of binding you cast, you can specify triggering conditions that end the spell and release the creature whenever they occur. These triggers can be as simple or elaborate as you desire, but the condition must be reasonable and have a likelihood of coming to pass. The conditions can be based on a creature's name, identity, or alignment, but otherwise must be based on observable actions or qualities. Intangibles such as level, class, Hit Dice, or hit points don't qualify. Once the spell is cast, its triggering conditions cannot be changed. Setting a release condition increases the save DC (assuming a saving throw is allowed) by 2. If you cast any of the first three versions of binding (those with limited durations), you may cast additional binding spells to prolong the effect, overlapping the durations. If you do so, the target gets a saving throw at the end of the first spell's duration, even if your caster level was high enough to disallow an initial saving throw. If the creature's save succeeds, all binding spells it has received are broken. The binding spell has six versions. Choose one of the following versions when you cast the spell. Chaining: The subject is confined by restraints that generate an antipathy spell affecting all creatures who approach the subject, except you. The duration is 1 year per caster level. The subject of this form of binding is confined to the spot it occupied when it received the spell. Casting this version requires a chain that is long enough to wrap around the creature three times. Slumber: This version causes the subject to become comatose for as long as 1 year per caster level. The subject does not need to eat or drink while slumbering, nor does it age. This form of binding is slightly easier to resist. Reduce the spell's save DC by 1. Casting this version requires a jar of sand or rose petals. This is a sleep effect. Bound Slumber: This combination of chaining and slumber lasts for as long as 1 month per caster level. Reduce the save DC by 2. Casting this version requires both a long chain and a jar of sand or rose petals. This is a sleep effect. Hedged Prison: The subject is transported to or otherwise brought within a confined area from which it cannot wander by any means. This effect is permanent. Reduce the save DC by 3. Casting this version requires a tiny golden cage worth 100 gp that is consumed when the spell is cast. Metamorphosis: The subject assumes gaseous form, except for its head or face. It is held harmless in a jar or other container, which may be transparent if you so choose. The creature remains aware of its surroundings and can speak, but it cannot leave the container, attack, or use any of its powers or abilities. The binding is permanent. The subject does not need to breathe, eat, or drink while metamorphosed, nor does it age. Reduce the save DC by 4. Minimus Containment: The subject is shrunk to a height of 1 inch or less and held within some gem, jar, or similar object. The binding is permanent. The subject does not need to breathe, eat, or drink while contained, nor does it age. Reduce the save DC by 4. You can't dispel a binding spell with dispel magic or a similar effect, though an antimagic field or mage's disjunction affects it normally. A bound extraplanar creature cannot be sent back to its home plane by dismissal, banishment, or a similar effect.</t>
  </si>
  <si>
    <t>Slavery (8)</t>
  </si>
  <si>
    <t> Utilizes an array of techniques to imprison a creature.</t>
  </si>
  <si>
    <t>Black Tentacles</t>
  </si>
  <si>
    <t>sorcerer/wizard 4, witch 4, summoner 3, magus 4, bloodrager 4, psychic 4, spiritualist 4, unchained summoner 4</t>
  </si>
  <si>
    <t>V, S, M (octopus or squid tentacle)</t>
  </si>
  <si>
    <t>20-ft.-radius spread</t>
  </si>
  <si>
    <t>1 round/level (D)</t>
  </si>
  <si>
    <t>This spell causes a field of rubbery black tentacles to appear, burrowing up from the floor and reaching for any creature in the area.  Every creature within the area of the spell is the target of a combat maneuver check made to grapple each round at the beginning of your turn, including the round that black tentacles is cast. Creatures that enter the area of effect are also automatically attacked. The tentacles do not provoke attacks of opportunity. When determining the tentacles' CMB, the tentacles use your caster level as their base attack bonus and receive a +4 bonus due to their Strength and a +1 size bonus. Roll only once for the entire spell effect each round and apply the result to all creatures in the area of effect.  If the tentacles succeed in grappling a foe, that foe takes 1d6+4 points of damage and gains the grappled condition. Grappled opponents cannot move without first breaking the grapple. All other movement is prohibited unless the creature breaks the grapple first. The black tentacles spell receives a +5 bonus on grapple checks made against opponents it is already grappling, but cannot move foes or pin foes. Each round that black tentacles succeeds on a grapple check, it deals an additional 1d6+4 points of damage. The CMD of black tentacles, for the purposes of escaping the grapple, is equal to 10 + its CMB.  The tentacles created by this spell cannot be damaged, but they can be dispelled as normal. The entire area of effect is considered difficult terrain while the tentacles last.</t>
  </si>
  <si>
    <t> Tentacles grapple all creatures within a 20-ft. spread.</t>
  </si>
  <si>
    <t>Aberrant (Sorcerer) (9), Aberrant (BloodRager) (16)</t>
  </si>
  <si>
    <t>Occult (8)</t>
  </si>
  <si>
    <t>Add your tier to the base attack bonus of the tentacles. The tentacles also deal an additional 2d6 points of acid damage with a successful grapple.</t>
  </si>
  <si>
    <t>Augmented (6th): If you expend two uses of mythic power, the spell creates twice as many tentacles in the same area, meaning each creature in the area is attacked twice per round. The tentacles can grapple creatures that are immune to grappling if that immunity is from a non-mythic source, but combat maneuver checks to grapple such creatures take a -5 penalty.</t>
  </si>
  <si>
    <t>Blade Barrier</t>
  </si>
  <si>
    <t>evocation</t>
  </si>
  <si>
    <t>cleric/oracle 6, inquisitor 6, occultist 6, psychic 6</t>
  </si>
  <si>
    <t>wall of whirling blades up to 20 ft. long/level, or a ringed wall of whirling blades with a radius of up to 5 ft. per two levels; either form is 20 ft. high</t>
  </si>
  <si>
    <t>1 min./level (D)</t>
  </si>
  <si>
    <t>Reflex half or Reflex negates; see text</t>
  </si>
  <si>
    <t>An immobile, vertical curtain of whirling blades shaped of pure force springs into existence. Any creature passing through the wall takes 1d6 points of damage per caster level (maximum 15d6), with a Reflex save for half damage.  If you evoke the barrier so that it appears where creatures are, each creature takes damage as if passing through the wall.  Each such creature can avoid the wall (ending up on the side of its choice) and thus take no damage by making a successful Reflex save.  A blade barrier provides cover (+4 bonus to AC, +2 bonus on Reflex saves) against attacks made through it.</t>
  </si>
  <si>
    <t>Good (6), War (6)</t>
  </si>
  <si>
    <t> Wall of blades deals 1d6/level damage.</t>
  </si>
  <si>
    <t>Thorns (12)</t>
  </si>
  <si>
    <t>You may cast this spell as an immediate action. The barrier's damage increases to 1d8 per caster level (maximum 20d8).</t>
  </si>
  <si>
    <t>Augmented (3rd): If you expend two uses of mythic power, you can spend a move action to move the barrier up to 10 feet in any direction. The shape (flat or ring) and orientation (vertical or horizontal) of the wall must remain the same. If you move the barrier through a creature's space, it can attempt a saving throw to avoid the wall, as if you had created it where the creature is.</t>
  </si>
  <si>
    <t>Blasphemy</t>
  </si>
  <si>
    <t>evil, sonic</t>
  </si>
  <si>
    <t>cleric/oracle 7, inquisitor 6</t>
  </si>
  <si>
    <t>40 ft.</t>
  </si>
  <si>
    <t>nonevil creatures in a 40-ft.-radius spread centered on you</t>
  </si>
  <si>
    <t>Any nonevil creature within the area of a blasphemy spell suffers the following ill effects. HD Effect Equal to caster level Dazed Up to caster level -1 Weakened, dazed Up to caster level -5 Paralyzed, weakened, dazed Up to caster level -10 Killed, paralyzed, weakened, dazed The effects are cumulative and concurrent. A successful Will save reduces or eliminates these effects. Creatures affected by multiple effects make only one save and apply the result to all the effects. Dazed: The creature can take no actions for 1 round, though it defends itself normally. Save negates. Weakened: The creature's Strength score decreases by 2d6 points for 2d4 rounds. Save for half. Paralyzed: The creature is paralyzed and helpless for 1d10 minutes. Save reduces the paralyzed effect to 1 round. Killed: Living creatures die. Undead creatures are destroyed. Save negates. If the save is successful, the creature instead takes 3d6 points of damage + 1 point per caster level (maximum +25). Furthermore, if you are on your home plane when you cast this spell, nonevil extraplanar creatures within the area are instantly banished back to their home planes. Creatures so banished cannot return for at least 24 hours. This effect takes place regardless of whether the creatures hear the blasphemy or not. The banishment effect allows a Will save (at a -4 penalty) to negate. Creatures whose Hit Dice exceed your caster level are unaffected by blasphemy.</t>
  </si>
  <si>
    <t>Evil (7)</t>
  </si>
  <si>
    <t> Kills, paralyzes, weakens, or dazes nonevil subjects.</t>
  </si>
  <si>
    <t>When determining the spell's effect on non-mythic creatures, add your tier to your caster level. Nonevil creatures that fail the save take a -4 penalty on attack rolls and saving throws, and their spell resistance decreases by 5 for as long as the spell's other effects last.</t>
  </si>
  <si>
    <t>Bleed</t>
  </si>
  <si>
    <t>cleric/oracle 0, inquisitor 0, sorcerer/wizard 0, witch 0, shaman 0, occultist 0, psychic 0, mesmerist 0, spiritualist 0, medium 0</t>
  </si>
  <si>
    <t>You cause a living creature that is below 0 hit points but stabilized to resume dying. Upon casting this spell, you target a living creature that has -1 or fewer hit points. That creature begins dying, taking 1 point of damage per round. The creature can be stabilized later normally. This spell causes a creature that is dying to take 1 point of damage.</t>
  </si>
  <si>
    <t>Cause a stabilized creature to resume dying.</t>
  </si>
  <si>
    <t>Bless</t>
  </si>
  <si>
    <t>cleric/oracle 1, paladin 1, inquisitor 1, shaman 1</t>
  </si>
  <si>
    <t>The caster and all allies within a 50-ft. burst, centered on the caster</t>
  </si>
  <si>
    <t>Bless fills your allies with courage. Each ally gains a +1 morale bonus on attack rolls and on saving throws against fear effects.  Bless counters and dispels bane.</t>
  </si>
  <si>
    <t>Community (1), Leadership (1), Resolve (1)</t>
  </si>
  <si>
    <t>Allies gain +1 on attack rolls and saves against fear.</t>
  </si>
  <si>
    <t>Celestial (3)</t>
  </si>
  <si>
    <t>Ancestors (2)</t>
  </si>
  <si>
    <t>The +1 morale bonus applies on attack rolls, weapon damage rolls, and all saving throws. Once during the spell's duration, an affected creature can roll an attack roll or saving throw twice and take the higher result. The target must decide to use this ability before the first roll is attempted.</t>
  </si>
  <si>
    <t>Bless Water</t>
  </si>
  <si>
    <t>cleric/oracle 1, paladin 1, inquisitor 1</t>
  </si>
  <si>
    <t>V, S, M (5 pounds of powdered silver worth 25 gp)</t>
  </si>
  <si>
    <t>flask of water touched</t>
  </si>
  <si>
    <t>Will negates (object)</t>
  </si>
  <si>
    <t>yes (object)</t>
  </si>
  <si>
    <t>This transmutation imbues a flask (1 pint) of water with positive energy, turning it into holy water.</t>
  </si>
  <si>
    <t>Divine (2)</t>
  </si>
  <si>
    <t>Makes holy water.</t>
  </si>
  <si>
    <t>Water (2)</t>
  </si>
  <si>
    <t>Bless Weapon</t>
  </si>
  <si>
    <t>paladin 1</t>
  </si>
  <si>
    <t>weapon touched</t>
  </si>
  <si>
    <t>This transmutation makes a weapon strike true against evil foes. The weapon is treated as having a +1 enhancement bonus for the purpose of bypassing the DR of evil creatures or striking evil incorporeal creatures (though the spell doesn't grant an actual enhancement bonus). The weapon also becomes good-aligned, which means it can bypass the DR of certain creatures. (This effect overrides and suppresses any other alignment the weapon might have.) Individual arrows or bolts can be transmuted, but affected projectile weapons (such as bows) don't confer the benefit to the projectiles they shoot. In addition, all critical hit rolls against evil foes are automatically successful, so every threat is a critical hit. This last effect does not apply to any weapon that already has a magical effect related to critical hits, such as a keen weapon or a vorpal sword.</t>
  </si>
  <si>
    <t>Glory (2)</t>
  </si>
  <si>
    <t> Weapon strikes true against evil foes.</t>
  </si>
  <si>
    <t>Blight</t>
  </si>
  <si>
    <t>druid 4, sorcerer/wizard 5, witch 5, shaman 5</t>
  </si>
  <si>
    <t>plant touched</t>
  </si>
  <si>
    <t>Fortitude half; see text</t>
  </si>
  <si>
    <t>This spell withers a single plant of any size. An affected plant creature takes 1d6 points of damage per level (maximum 15d6) and may attempt a Fortitude saving throw for half damage. A plant that isn't a creature doesn't receive a save and immediately withers and dies.  This spell has no effect on the soil or surrounding plant life.</t>
  </si>
  <si>
    <t>Seasons (4), Radiation (2)</t>
  </si>
  <si>
    <t>Withers one plant or deals 1d6/level damage to plant creature.</t>
  </si>
  <si>
    <t>Daemon (11)</t>
  </si>
  <si>
    <t>Blindness/Deafness</t>
  </si>
  <si>
    <t>antipaladin 2, bard 2, cleric/oracle 3, sorcerer/wizard 2, witch 2, bloodrager 2, shaman 3, psychic 2, mesmerist 2, spiritualist 3</t>
  </si>
  <si>
    <t>permanent (D)</t>
  </si>
  <si>
    <t>You call upon the powers of unlife to render the subject blinded or deafened, as you choose.</t>
  </si>
  <si>
    <t>Darkness (2)</t>
  </si>
  <si>
    <t>Makes subject blind or deaf.</t>
  </si>
  <si>
    <t>You can cause the target to be both blinded and deafened at the same time. The target must attempt a saving throw against each effect separately.</t>
  </si>
  <si>
    <t>Blink</t>
  </si>
  <si>
    <t>bard 3, sorcerer/wizard 3, magus 3, psychic 3</t>
  </si>
  <si>
    <t>You "blink" quickly back and forth between the Material Plane and the Ethereal Plane and look as though you're winking in and out of reality at random. Blink has several effects, as follows.  Physical attacks against you have a 50% miss chance, and the Blind-Fight feat doesn't help opponents, since you're ethereal and not merely invisible. If the attack is capable of striking ethereal creatures, the miss chance is only 20% (for concealment).  If the attacker can see invisible creatures, the miss chance is also only 20%. (For an attacker who can both see and strike ethereal creatures, there is no miss chance.) Likewise, your own attacks have a 20% miss chance, since you sometimes go ethereal just as you are about to strike.  Any individually targeted spell has a 50% chance to fail against you while you're blinking unless your attacker can target invisible, ethereal creatures. Your own spells have a 20% chance to activate just as you go ethereal, in which case they typically do not affect the Material Plane (but they might affect targets on the Ethereal Plane).  While blinking, you take only half damage from area attacks (but full damage from those that extend onto the Ethereal Plane).  Although you are only partially visible, you are not considered invisible and targets retain their Dexterity bonus to AC against your attacks. You do receive a +2 bonus on attack rolls made against enemies that cannot see invisible creatures.  You take only half damage from falling, since you fall only while you are material.  While blinking, you can step through (but not see through) solid objects. For each 5 feet of solid material you walk through, there is a 50% chance that you become material. If this occurs, you are shunted off to the nearest open space and take 1d6 points of damage per 5 feet so traveled.  Since you spend about half your time on the Ethereal Plane, you can see and even attack ethereal creatures. You interact with ethereal creatures roughly the same way you interact with material ones.  An ethereal creature is invisible, incorporeal, and capable of moving in any direction, even up or down. As an incorporeal creature, you can move through solid objects, including living creatures.  An ethereal creature can see and hear the Material Plane, but everything looks gray and insubstantial. Sight and hearing on the Material Plane are limited to 60 feet.  Force effects and abjurations affect you normally. Their effects extend onto the Ethereal Plane from the Material Plane, but not vice versa. An ethereal creature can't attack material creatures, and spells you cast while ethereal affect only other ethereal things.  Certain material creatures or objects have attacks or effects that work on the Ethereal Plane. Treat other ethereal creatures and objects as material.</t>
  </si>
  <si>
    <t>You randomly vanish and reappear for 1 round/level.</t>
  </si>
  <si>
    <t>Starsoul (7)</t>
  </si>
  <si>
    <t>Deception (6), Dimensions (6)</t>
  </si>
  <si>
    <t>You may spend a move action to remain corporeal or incorporeal until the end of your turn (you automatically resume blinking at the end of your turn).</t>
  </si>
  <si>
    <t>Augmented (3rd): If you expend two uses of mythic power, you can spend either a swift action or a move action to remain corporeal or incorporeal until the end of your turn.</t>
  </si>
  <si>
    <t>Blur</t>
  </si>
  <si>
    <t>illusion</t>
  </si>
  <si>
    <t>glamer</t>
  </si>
  <si>
    <t>bard 2, sorcerer/wizard 2, summoner/unchained summoner 2, alchemist 2, magus 2, occultist 2, psychic 2, mesmerist 2, spiritualist 2, medium 2</t>
  </si>
  <si>
    <t>The subject's outline appears blurred, shifting, and wavering. This distortion grants the subject concealment (20% miss chance). A see invisibility spell does not counteract the blur effect, but a true seeing spell does. Opponents that cannot see the subject ignore the spell's effect (though fighting an unseen opponent carries penalties of its own).</t>
  </si>
  <si>
    <t>Attacks miss subject 20% of the time.</t>
  </si>
  <si>
    <t>Destined (5), Protean (5)</t>
  </si>
  <si>
    <t>Break Enchantment</t>
  </si>
  <si>
    <t>bard 4, cleric/oracle 5, paladin 4, sorcerer/wizard 5, witch 5, inquisitor 5, shaman 5, occultist 4, psychic 4, mesmerist 4, spiritualist 5, medium 4</t>
  </si>
  <si>
    <t>up to one creature per level, all within 30 ft. of each other</t>
  </si>
  <si>
    <t>This spell frees victims from enchantments, transmutations, and curses. Break enchantment can reverse even an instantaneous effect. For each such effect, you make a caster level check (1d20 + caster level, maximum +15) against a DC of 11 + caster level of the effect. Success means that the creature is free of the spell, curse, or effect. For a cursed magic item, the DC is equal to the DC of the curse.  If the spell is one that cannot be dispelled by dispel magic or stone to flesh, break enchantment works only if that spell is 5th level or lower.  If the effect comes from a permanent magic item, break enchantment does not remove the curse from the item, but it does free the victim from the item's effects.</t>
  </si>
  <si>
    <t>Liberation (5), Luck (5), Restoration (5)</t>
  </si>
  <si>
    <t>Frees subjects from enchantments, transmutations, and curses.</t>
  </si>
  <si>
    <t>Destined (11)</t>
  </si>
  <si>
    <t>Against non-mythic effects, the spell automatically succeeds without requiring a caster level check. Against mythic effects, add your tier to your caster level check. The maximum level of spell this spell can remove is 5 + half your tier.</t>
  </si>
  <si>
    <t>Augmented (7th): If you expend two uses of mythic power, you can apply a removed enchantment, transmutation, or curse to the creature that originally cast it. The creature must be a valid target of the spell and on the same plane as you, and it gets a saving throw at the effect's original DC.</t>
  </si>
  <si>
    <t>Breath Of Life</t>
  </si>
  <si>
    <t>healing</t>
  </si>
  <si>
    <t>cleric/oracle 5, shaman 5, spiritualist 5</t>
  </si>
  <si>
    <t>Will negates (harmless) or Will half, see text</t>
  </si>
  <si>
    <t>yes (harmless) or yes, see text</t>
  </si>
  <si>
    <t>This spell cures 5d8 points of damage + 1 point per caster level (maximum +25).  Unlike other spells that heal damage, breath of life can bring recently slain creatures back to life. If cast upon a creature that has died within 1 round, apply the healing from this spell to the creature. If the healed creature's hit point total is at a negative amount less than its Constitution score, it comes back to life and stabilizes at its new hit point total. If the creature's hit point total is at a negative amount equal to or greater than its Constitution score, the creature remains dead. Creatures brought back to life through breath of life gain a temporary negative level that lasts for 1 day.  Creatures slain by death effects cannot be saved by breath of life.  Like cure spells, breath of life deals damage to undead creatures rather than curing them, and cannot bring them back to life.</t>
  </si>
  <si>
    <t>Healing (5)</t>
  </si>
  <si>
    <t> Cures 5d8 damage + 1/level and restores life to recently slain creatures.</t>
  </si>
  <si>
    <t>The spell heals 5d12 points of damage + 1 point per caster level (maximum +25). It can revive a creature that died of hp damage within the past 2 rounds. If the target was slain by a death effect that allows a saving throw, this spell allows the creature to attempt another save against that effect. If this save is successful, the creature is revived with -10 hp plus the amount healed by this spell.</t>
  </si>
  <si>
    <t>Augmented (9th): If you expend two uses of mythic power, you can target up to one creature per caster level within 30 feet of you. Alternatively, you can target one creature that has been dead for a number of rounds up to your caster level.</t>
  </si>
  <si>
    <t>Bull's Strength</t>
  </si>
  <si>
    <t>cleric/oracle 2, druid 2, paladin 2, sorcerer/wizard 2, summoner/unchained summoner 2, alchemist 2, antipaladin 2, magus 2, bloodrager 2, shaman 2, psychic 2, medium 2</t>
  </si>
  <si>
    <t>V, S, M/DF (a few hairs, or a pinch of dung, from a bull)</t>
  </si>
  <si>
    <t>The subject becomes stronger. The spell grants a +4 enhancement bonus to Strength, adding the usual benefits to melee attack rolls, melee damage rolls, and other uses of the Strength modifier.</t>
  </si>
  <si>
    <t>Rage (2), Strength (2)</t>
  </si>
  <si>
    <t>Subject gains +4 to Str for 1 min./level.</t>
  </si>
  <si>
    <t>Abyssal (5), Orc (5)</t>
  </si>
  <si>
    <t>Strength (4)</t>
  </si>
  <si>
    <t>Bull's Strength, Mass</t>
  </si>
  <si>
    <t>one creature/level, no two of which can be more than 30 ft. apart</t>
  </si>
  <si>
    <t>This spell functions like bull's strength, except that it affects multiple creatures.</t>
  </si>
  <si>
    <t>Ferocity (6)</t>
  </si>
  <si>
    <t>As bull’s strength, affects 1 subject/level.</t>
  </si>
  <si>
    <t>Devotion (12), Strength (12)</t>
  </si>
  <si>
    <t>Burning Hands</t>
  </si>
  <si>
    <t>sorcerer/wizard 1, witch 1, magus 1, bloodrager 1, shaman 1, occultist 1</t>
  </si>
  <si>
    <t>15 ft.</t>
  </si>
  <si>
    <t>cone-shaped burst</t>
  </si>
  <si>
    <t>Reflex half</t>
  </si>
  <si>
    <t>A cone of searing flame shoots from your fingertips. Any creature in the area of the flames takes 1d4 points of fire damage per caster level (maximum 5d4). Flammable materials burn if the flames touch them. A character can extinguish burning items as a full-round action.</t>
  </si>
  <si>
    <t>Fire (1)</t>
  </si>
  <si>
    <t> 1d4/level fire damage (max 5d4).</t>
  </si>
  <si>
    <t>Elemental (3), Orc (3)</t>
  </si>
  <si>
    <t>Vengeance (2)</t>
  </si>
  <si>
    <t>The range increases to 20 feet, and the damage dealt increases to 1d6 points of fire damage per caster level (maximum 5d6).</t>
  </si>
  <si>
    <t>Call Lightning</t>
  </si>
  <si>
    <t>druid 3, shaman 3, occultist 3</t>
  </si>
  <si>
    <t>one or more 30-ft.-long vertical lines of lightning</t>
  </si>
  <si>
    <t>Immediately upon completion of the spell, and once per round thereafter, you may call down a 5-foot-wide, 30-foot-long, vertical bolt of lightning that deals 3d6 points of electricity damage. The bolt of lightning flashes down in a vertical stroke at whatever target point you choose within the spell's range (measured from your position at the time). Any creature in the target square or in the path of the bolt is affected.  You need not call a bolt of lightning immediately; other actions, even spellcasting, can be performed first. Each round after the first you may use a standard action (concentrating on the spell) to call a bolt. You may call a total number of bolts equal to your caster level (maximum 10 bolts).  If you are outdoors and in a stormy area-a rain shower, clouds and wind, hot and cloudy conditions, or even a tornado (including a whirlwind formed by a djinni or an air elemental of at least Large size)-each bolt deals 3d10 points of electricity damage instead of 3d6.  This spell functions indoors or underground but not underwater.</t>
  </si>
  <si>
    <t>Catastrophe (3), Weather (3)</t>
  </si>
  <si>
    <t> Calls down lightning bolts (3d6 per bolt) from sky.</t>
  </si>
  <si>
    <t>Storms (6)</t>
  </si>
  <si>
    <t>Each lightning bolt's damage increases to 3d10 points of damage (or 5d10 points outdoors in stormy weather). Half of this damage is electricity damage, and the other half is sonic. Creatures that succeed at their saving throws are dazzled and deafened for 1 round. Those that fail at their saving throws are dazzled and deafened for 1 minute.</t>
  </si>
  <si>
    <t>Call Lightning Storm</t>
  </si>
  <si>
    <t>druid 5, shaman 5, occultist 5</t>
  </si>
  <si>
    <t>This spell functions like call lightning, except that each bolt deals 5d6 points of electricity damage (or 5d10 if created outdoors in a stormy area), and you may call a maximum of 15 bolts.</t>
  </si>
  <si>
    <t>Storms (5)</t>
  </si>
  <si>
    <t> As call lightning, but 5d6 damage per bolt.</t>
  </si>
  <si>
    <t>Starsoul (9)</t>
  </si>
  <si>
    <t>Storms (10)</t>
  </si>
  <si>
    <t>Calm Animals</t>
  </si>
  <si>
    <t>druid 1, ranger 1, shaman 1, psychic 1</t>
  </si>
  <si>
    <t>animals within 30 ft. of each other</t>
  </si>
  <si>
    <t>This spell soothes and quiets animals, rendering them docile and harmless. Only ordinary animals (those with Intelligence scores of 1 or 2) can be affected by this spell. All the subjects must be of the same kind, and no two may be more than 30 feet apart. The maximum number of HD of animals you can affect is equal to 2d4 + caster level.  The affected creatures remain where they are and do not attack or flee. They are not helpless and defend themselves normally if attacked. Any threat breaks the spell on the threatened creatures.</t>
  </si>
  <si>
    <t>Animal (1)</t>
  </si>
  <si>
    <t>Calms 2d4 + level HD of animals.</t>
  </si>
  <si>
    <t>Calm Emotions</t>
  </si>
  <si>
    <t>bard 2, cleric/oracle 2, inquisitor 2, shaman 2, occultist 2, psychic 2, mesmerist 2</t>
  </si>
  <si>
    <t>creatures in a 20-ft.-radius spread</t>
  </si>
  <si>
    <t>concentration, up to 1 round/level</t>
  </si>
  <si>
    <t>This spell calms agitated creatures. You have no control over the affected creatures, but calm emotions can stop raging creatures from fighting or joyous ones from reveling. Creatures so affected cannot take violent actions (although they can defend themselves) or do anything destructive. Any aggressive action against or damage dealt to a calmed creature immediately breaks the spell on all calmed creatures. This spell automatically suppresses (but does not dispel) any morale bonuses granted by spells such as bless, good hope, and rage, and also negates a bard's ability to inspire courage or a barbarian's rage ability. It also suppresses any fear effects and removes the confused condition from all targets. While the spell lasts, a suppressed spell, condition, or effect has no effect. When the calm emotions spell ends, the original spell or effect takes hold of the creature again, provided that its duration has not expired in the meantime.</t>
  </si>
  <si>
    <t>Charm (2), Family (2)</t>
  </si>
  <si>
    <t>Calms creatures, negating emotion effects.</t>
  </si>
  <si>
    <t>Enchantment (4), Peace (4)</t>
  </si>
  <si>
    <t>Cat's Grace</t>
  </si>
  <si>
    <t>bard 2, druid 2, ranger 2, sorcerer/wizard 2, summoner/unchained summoner 2, alchemist 2, magus 2, bloodrager 2, psychic 2, mesmerist 2, medium 2</t>
  </si>
  <si>
    <t>V, S, M (pinch of cat fur)</t>
  </si>
  <si>
    <t>The transmuted creature becomes more graceful, agile, and coordinated. The spell grants a +4 enhancement bonus to Dexterity, adding the usual benefits to AC, Reflex saves, and other uses of the Dexterity modifier.</t>
  </si>
  <si>
    <t>Flowing (2)</t>
  </si>
  <si>
    <t>Subject gains +4 to Dex for 1 min./level.</t>
  </si>
  <si>
    <t>Agility (4)</t>
  </si>
  <si>
    <t>Cat's Grace, Mass</t>
  </si>
  <si>
    <t>bard 6, druid 6, sorcerer/wizard 6, summoner 4, magus 6, psychic 6, unchained summoner 6</t>
  </si>
  <si>
    <t>This spell functions like cat's grace, except that it affects multiple creatures.</t>
  </si>
  <si>
    <t>As cat’s grace, affects 1 subject/level.</t>
  </si>
  <si>
    <t>Agility (12)</t>
  </si>
  <si>
    <t>Cause Fear</t>
  </si>
  <si>
    <t>emotion, fear, mind-affecting</t>
  </si>
  <si>
    <t>antipaladin 1, bard 1, cleric/oracle 1, inquisitor 1, sorcerer/wizard 1, witch 1, bloodrager 1, shaman 1, occultist 1, psychic 1, mesmerist 1, spiritualist 1, medium 1</t>
  </si>
  <si>
    <t>one living creature with 5 or fewer HD</t>
  </si>
  <si>
    <t>1d4 rounds or 1 round; see text</t>
  </si>
  <si>
    <t>The affected creature becomes frightened. If the subject succeeds on a Will save, it is shaken for 1 round. Creatures with 6 or more HD are immune to this effect. Cause fear counters and dispels remove fear.</t>
  </si>
  <si>
    <t>Daemon (1), Death (1), Fear (1)</t>
  </si>
  <si>
    <t>A creature of 5 HD or less flees for 1d4 rounds.</t>
  </si>
  <si>
    <t>Abyssal (3)</t>
  </si>
  <si>
    <t>Chain Lightning</t>
  </si>
  <si>
    <t>sorcerer/wizard 6, witch 7, magus 6, occultist 6</t>
  </si>
  <si>
    <t>V, S, F (a bit of fur; a piece of amber, glass, or a crystal rod; plus one silver pin per caster level)</t>
  </si>
  <si>
    <t>one primary target, plus one secondary target/level (each of which must be within 30 ft. of the primary target)</t>
  </si>
  <si>
    <t>This spell creates an electrical discharge that begins as a single stroke commencing from your fingertips. Unlike lightning bolt, chain lightning strikes one object or creature initially, then arcs to other targets.  The bolt deals 1d6 points of electricity damage per caster level (maximum 20d6) to the primary target. After it strikes, lightning can arc to a number of secondary targets equal to your caster level (maximum 20). The secondary bolts each strike one target and deal as much damage as the primary bolt.  Each target can attempt a Reflex saving throw for half damage.  The Reflex DC to halve the damage of the secondary bolts is 2 lower than the DC to halve the damage of the primary bolt. You choose secondary targets as you like, but they must all be within 30 feet of the primary target, and no target can be struck more than once. You can choose to affect fewer secondary targets than the maximum.</t>
  </si>
  <si>
    <t>Air (6)</t>
  </si>
  <si>
    <t> 1d6/level damage and 1 secondary bolt/level.</t>
  </si>
  <si>
    <t>Djinni (13), Stormborn (13)</t>
  </si>
  <si>
    <t>This spell deals 1d10 points of damage per caster level (maximum 20d10) and the save DC isn't reduced for secondary targets. Secondary targets have to be within 30 feet of any other target, not necessarily the primary target.</t>
  </si>
  <si>
    <t>Changestaff</t>
  </si>
  <si>
    <t>druid 7</t>
  </si>
  <si>
    <t>V, S, F (a quarterstaff that has been carved and polished for 28 days)</t>
  </si>
  <si>
    <t>your touched staff</t>
  </si>
  <si>
    <t>1 hour/level (D)</t>
  </si>
  <si>
    <t>You change a specially prepared quarterstaff into a Huge treant-like creature (see the Pathfinder RPG Bestiary), about 24 feet tall.  When you plant the end of the staff in the ground and speak a special command to conclude the casting of the spell, your staff turns into a creature that looks and fights just like a treant.  The staff-treant defends you and obeys any spoken commands.  However, it is by no means a true treant; it cannot converse with actual treants or control trees. If the staff-treant is reduced to 0 or fewer hit points, it crumbles to powder and the staff is destroyed.  Otherwise, the staff returns to its normal form when the spell duration expires (or when the spell is dismissed), and it can be used as the focus for another casting of the spell. The staff-treant is always at full strength when created, despite any wounds it may have incurred the last time it appeared.</t>
  </si>
  <si>
    <t> Your staff becomes a treant on command.</t>
  </si>
  <si>
    <t>The treant-like creature created with this spell is considered a mythic creature, and it gains DR 10/epic and slashing instead of gaining DR 10/slashing.</t>
  </si>
  <si>
    <t>Augmented (7th): If you expend two uses of mythic power, the creature gains the savage mythic template (see page 224).</t>
  </si>
  <si>
    <t>Chaos Hammer</t>
  </si>
  <si>
    <t>cleric/oracle 4, inquisitor 4</t>
  </si>
  <si>
    <t>20-ft.-radius burst</t>
  </si>
  <si>
    <t>instantaneous (1d6 rounds); see text</t>
  </si>
  <si>
    <t>Will partial; see text</t>
  </si>
  <si>
    <t>You unleash chaotic power to smite your enemies. The power takes the form of a multicolored explosion of leaping, ricocheting energy. Only lawful and neutral (not chaotic) creatures are harmed by the spell.  The spell deals 1d8 points of damage per two caster levels (maximum 5d8) to lawful creatures (or 1d6 points of damage per caster level, maximum 10d6, to lawful outsiders) and slows them for 1d6 rounds (see the slow spell). A successful Will save reduces the damage by half and negates the slow effect.  The spell deals only half damage against creatures who are neither lawful nor chaotic, and they are not slowed. Such a creature can reduce the damage by half again (down to one-quarter) with a successful Will save.</t>
  </si>
  <si>
    <t>Chaos (4)</t>
  </si>
  <si>
    <t> Harms and slows lawful creatures (1d8 damage/2 levels).</t>
  </si>
  <si>
    <t>The damage dealt to lawful outsiders increases to 1d10 points of damage per caster level (maximum 10d10), and the damage dealt to other lawful creatures increases to 1d12 points of damage per 2 caster levels (maximum 5d12). The duration of slow increases to 2d6 rounds. Lawful creatures that succeed at their saves are slowed for 1 round.</t>
  </si>
  <si>
    <t>Charm Person</t>
  </si>
  <si>
    <t>charm</t>
  </si>
  <si>
    <t>bard 1, sorcerer/wizard 1, witch 1, shaman 1, occultist 1, psychic 1, mesmerist 1</t>
  </si>
  <si>
    <t>one humanoid creature</t>
  </si>
  <si>
    <t>This charm makes a humanoid creature regard you as its trusted friend and ally (treat the target's attitude as friendly). If the creature is currently being threatened or attacked by you or your allies, however, it receives a +5 bonus on its saving throw.  The spell does not enable you to control the charmed person as if it were an automaton, but it perceives your words and actions in the most favorable way. You can try to give the subject orders, but you must win an opposed Charisma check to convince it to do anything it wouldn't ordinarily do. (Retries are not allowed.) An affected creature never obeys suicidal or obviously harmful orders, but it might be convinced that something very dangerous is worth doing. Any act by you or your apparent allies that threatens the charmed person breaks the spell. You must speak the person's language to communicate your commands, or else be good at pantomiming.</t>
  </si>
  <si>
    <t>Charm (1), Slavery (1)</t>
  </si>
  <si>
    <t>Makes one person your friend.</t>
  </si>
  <si>
    <t>Rakshasa (3)</t>
  </si>
  <si>
    <t>Charm Animal</t>
  </si>
  <si>
    <t>one animal</t>
  </si>
  <si>
    <t>This spell functions like charm person, except that it affects a creature of the animal type.</t>
  </si>
  <si>
    <t>Makes one animal your friend.</t>
  </si>
  <si>
    <t>Pestilence (3)</t>
  </si>
  <si>
    <t>Animals (2)</t>
  </si>
  <si>
    <t>Charm Monster</t>
  </si>
  <si>
    <t>bard 3, sorcerer/wizard 4, witch 4, summoner 3, occultist 4, psychic 4, mesmerist 3, unchained summoner 4</t>
  </si>
  <si>
    <t>This spell functions like charm person, except that the effect is not restricted by creature type or size.</t>
  </si>
  <si>
    <t>Charm (5)</t>
  </si>
  <si>
    <t>Makes monster believe it is your ally.</t>
  </si>
  <si>
    <t>Infernal (9), Oni (9)</t>
  </si>
  <si>
    <t>Charm Monster, Mass</t>
  </si>
  <si>
    <t>bard 6, sorcerer/wizard 8, witch 8, summoner/unchained summoner 6, occultist 6, psychic 8, mesmerist 6</t>
  </si>
  <si>
    <t>One or more creatures, no two of which can be more than 30 ft. apart</t>
  </si>
  <si>
    <t>This spell functions like charm monster, except that mass charm monster affects a number of creatures whose combined HD do not exceed twice your level, or at least one creature regardless of HD. If there are more potential targets than you can affect, you choose them one at a time until you must choose a creature with too many HD to affect.</t>
  </si>
  <si>
    <t>As charm monster, but all within 30 ft.</t>
  </si>
  <si>
    <t>Chill Metal</t>
  </si>
  <si>
    <t>druid 2, occultist 2, psychic 2</t>
  </si>
  <si>
    <t>metal equipment of one creature per two levels, no two of which can be more than 30 ft. apart; or 25 lbs. of metal/level, none of which can be more than 30 ft. away from any of the rest</t>
  </si>
  <si>
    <t>7 rounds</t>
  </si>
  <si>
    <t>Chill metal makes metal extremely cold. Unattended, nonmagical metal gets no saving throw. Magical metal is allowed a saving throw against the spell. An item in a creature's possession uses the creature's saving throw bonus unless its own is higher. A creature takes cold damage if its equipment is chilled. It takes full damage if its armor, shield, or weapon is affected. The creature takes minimum damage (1 point or 2 points; see the table) if it's not wearing or wielding such an item. On the first round of the spell, the metal becomes chilly and uncomfortable to touch but deals no damage. The same effect also occurs on the last round of the spell's duration. During the second (and also the next-to-last) round, icy coldness causes pain and damage. In the third, fourth, and fifth rounds, the metal is freezing cold, and causes more damage, as shown on the table below. Round Metal Temperature Damage 1 Cold None 2 Icy 1d4 points 3-5 Freezing 2d4 points 6 Icy 1d4 points 7 Cold None Any heat intense enough to damage the creature negates cold damage from the spell (and vice versa) on a point-for-point basis. Underwater, chill metal deals no damage, but ice immediately forms around the affected metal, making it float if unattended. Chill metal counters and dispels heat metal.</t>
  </si>
  <si>
    <t> Cold metal damages those who touch it.</t>
  </si>
  <si>
    <t>Chill Touch</t>
  </si>
  <si>
    <t>sorcerer/wizard 1, witch 1, magus 1, bloodrager 1, shaman 1, spiritualist 1</t>
  </si>
  <si>
    <t>creature or creatures touched (up to one/level)</t>
  </si>
  <si>
    <t>Fortitude partial or Will negates; see text</t>
  </si>
  <si>
    <t>A touch from your hand, which glows with blue energy, disrupts the life force of living creatures. Each touch channels negative energy that deals 1d6 points of damage. The touched creature also takes 1 point of Strength damage unless it makes a successful Fortitude saving throw. You can use this melee touch attack up to one time per level.  An undead creature you touch takes no damage of either sort, but it must make a successful Will saving throw or flee as if panicked for 1d4 rounds + 1 round per caster level.</t>
  </si>
  <si>
    <t> One touch/level deals 1d6 damage and possibly 1 Str damage.</t>
  </si>
  <si>
    <t>Undead (3)</t>
  </si>
  <si>
    <t>Circle Of Death</t>
  </si>
  <si>
    <t>sorcerer/wizard 6, inquisitor 6, spiritualist 6</t>
  </si>
  <si>
    <t>V, S, M (a crushed black pearl worth 500 gp)</t>
  </si>
  <si>
    <t>several living creatures within a 40-ft.-radius burst</t>
  </si>
  <si>
    <t>Circle of death snuffs out the life force of living creatures, killing them instantly. The spell slays 1d4 HD worth of living creatures per caster level (maximum 20d4). Creatures with the fewest HD are affected first; among creatures with equal HD, those who are closest to the burst's point of origin are affected first. No creature of 9 or more HD can be affected, and HD that are not sufficient to affect a creature are wasted.</t>
  </si>
  <si>
    <t> Kills 1d4/level HD of creatures.</t>
  </si>
  <si>
    <t>Daemon (13)</t>
  </si>
  <si>
    <t>Death (12)</t>
  </si>
  <si>
    <t>The number of Hit Dice worth of creatures killed by the spell increases to 1d6 per caster level (maximum 20d6). Add your tier to the maximum HD of creatures that can be affected by the spell. (For example, at 3rd tier, a creature with 12 HD cannot be affected.)</t>
  </si>
  <si>
    <t>Augmented (6th): If you expend two uses of mythic power, creatures that succeed at their saves against this spell take 1d6 points of damage per tier.</t>
  </si>
  <si>
    <t>Clairaudience/Clairvoyance</t>
  </si>
  <si>
    <t>bard 3, sorcerer/wizard 3, witch 3, shaman 3, occultist 3, psychic 3, mesmerist 3, spiritualist 3, medium 2</t>
  </si>
  <si>
    <t>V, S, F/DF (a small horn or a glass eye)</t>
  </si>
  <si>
    <t>Clairaudience/clairvoyance creates an invisible magical sensor at a specific location that enables you to hear or see (your choice) almost as if you were there. You don't need line of sight or line of effect, but the locale must be known--a place familiar to you, or an obvious one. Once you have selected the locale, the sensor doesn't move, but you can rotate it in all directions to view the area as desired. Unlike other scrying spells, this spell does not allow magically or supernaturally enhanced senses to work through it. If the chosen locale is magically dark, you see nothing. If it is naturally pitch black, you can see in a 10-foot radius around the center of the spell's effect. Clairaudience/clairvoyance functions only on the plane of existence you are currently occupying.</t>
  </si>
  <si>
    <t>Hear or see at a distance for 1 min./level.</t>
  </si>
  <si>
    <t>Clenched Fist</t>
  </si>
  <si>
    <t>sorcerer/wizard 8, psychic 8</t>
  </si>
  <si>
    <t>V, S, F/DF (a leather glove)</t>
  </si>
  <si>
    <t>10-ft. hand</t>
  </si>
  <si>
    <t>This spell functions like interposing hand, except that the hand can also push or strike one opponent that you select. The floating hand can move as far as 60 feet and can attack in the same round. Since this hand is directed by you, its ability to notice or attack invisible or concealed creatures is no better than yours. The hand attacks once per round, and its attack bonus equals your caster level + your Intelligence, Wisdom, or Charisma modifier (for a wizard, cleric, or sorcerer, respectively) + 11 for the hand's Strength score (33), -1 for being Large. The hand deals 1d8+11 points of damage on each attack, and any creature struck must make a Fortitude save (against this spell's save DC) or be stunned for 1 round. Directing the spell to a new target is a move action. The clenched fist can also interpose itself as interposing hand does, or it can bull rush an opponent as forceful hand does. Its CMB for bull rush checks uses your caster level in place of its base attack bonus, with a +11 bonus for its Strength score and a +1 bonus for being Large.</t>
  </si>
  <si>
    <t>Strength (8)</t>
  </si>
  <si>
    <t> Large hand provides cover, pushes, or attacks your foes.</t>
  </si>
  <si>
    <t>Cloak of Chaos</t>
  </si>
  <si>
    <t>cleric/oracle 8</t>
  </si>
  <si>
    <t>V, S, F (a tiny reliquary worth 500 gp)</t>
  </si>
  <si>
    <t>20 ft.</t>
  </si>
  <si>
    <t>one creature/level in a 20-ft.-radius burst centered on you</t>
  </si>
  <si>
    <t>A random pattern of color surrounds the subjects, protecting them from attacks, granting them resistance to spells cast by lawful creatures, and causing lawful creatures that strike the subjects to become confused. This abjuration has four effects. First, each warded creature gains a +4 deflection bonus to AC and a +4 resistance bonus on saves. Unlike protection from law, the benefit of this spell applies against all attacks, not just against attacks by lawful creatures. Second, each warded creature gains spell resistance 25 against lawful spells and spells cast by lawful creatures. Third, the abjuration protects from possession and mental influence, just as protection from law does. Finally, if a lawful creature succeeds on a melee attack against a warded creature, the offending attacker is confused for 1 round (Will save negates, as with the confusion spell, but against the save DC of cloak of chaos).</t>
  </si>
  <si>
    <t>Chaos (8)</t>
  </si>
  <si>
    <t> +4 to AC, +4 resistance, and SR 25 against lawful spells.</t>
  </si>
  <si>
    <t>Clone</t>
  </si>
  <si>
    <t>sorcerer/wizard 8, witch 8</t>
  </si>
  <si>
    <t>V, S, M (laboratory supplies worth 1,000 gp), F (special laboratory equipment costing 500 gp)</t>
  </si>
  <si>
    <t>0 ft.</t>
  </si>
  <si>
    <t>one clone</t>
  </si>
  <si>
    <t>This spell makes an inert duplicate of a creature. If the original individual has been slain, its soul immediately transfers to the clone, creating a replacement (provided that the soul is free and willing to return). The original's physical remains, should they still exist, become inert and cannot thereafter be restored to life. If the original creature has reached the end of its natural life span (that is, it has died of natural causes), any cloning attempt fails.  To create the duplicate, you must have a piece of flesh (not hair, nails, scales, or the like) with a volume of at least 1 cubic inch that was taken from the original creature's living body. The piece of flesh need not be fresh, but it must be kept from rotting. Once the spell is cast, the duplicate must be grown in a laboratory for 2d4 months.  When the clone is completed, the original's soul enters it immediately, if that creature is already dead. The clone is physically identical to the original and possesses the same personality and memories as the original. In other respects, treat the clone as if it were the original character raised from the dead, including its gaining of two permanent negative levels, just as if it had been hit by an energy-draining creature. If the subject is 1st level, it takes 2 points of Constitution drain instead (if this would reduce its Con to 0 or less, it can't be cloned). If the original creature gained permanent negative levels since the flesh sample was taken, the clone gains these negative levels as well.  The spell duplicates only the original's body and mind, not its equipment. A duplicate can be grown while the original still lives, or when the original soul is unavailable, but the resulting body is merely a soulless bit of inert flesh which rots if not preserved.</t>
  </si>
  <si>
    <t> Duplicate awakens when original dies.</t>
  </si>
  <si>
    <t>Cloudkill</t>
  </si>
  <si>
    <t>sorcerer/wizard 5, witch 5, magus 5, spiritualist 5, unchained summoner 5</t>
  </si>
  <si>
    <t>cloud spreads in 20-ft. radius, 20 ft. high</t>
  </si>
  <si>
    <t>Fortitude partial; see text</t>
  </si>
  <si>
    <t>This spell generates a bank of fog, similar to a fog cloud, except that its vapors are yellowish green and poisonous. These vapors automatically kill any living creature with 3 or fewer HD (no save).  A living creature with 4 to 6 HD is slain unless it succeeds on a Fortitude save (in which case it takes 1d4 points of Constitution damage on your turn each round while in the cloud).  A living creature with more than 6 HD takes 1d4 points of Constitution damage on your turn each round while in the cloud (a successful Fortitude save halves this damage). Holding one's breath doesn't help, but creatures immune to poison are unaffected by the spell.  Unlike a fog cloud, the cloudkill moves away from you at 10 feet per round, rolling along the surface of the ground.  Figure out the cloud's new spread each round based on its new point of origin, which is 10 feet farther away from the point of origin where you cast the spell.  Because the vapors are heavier than air, they sink to the lowest level of the land, even pouring down den or sinkhole openings. It cannot penetrate liquids, nor can it be cast underwater.</t>
  </si>
  <si>
    <t>Venom (6)</t>
  </si>
  <si>
    <t> Kills 3 HD or less; 4–6 HD save or die, 6+ HD take Con damage.</t>
  </si>
  <si>
    <t>Orc (11)</t>
  </si>
  <si>
    <t>As a move action, you can move the cloud 10 feet in any direction. Add your tier to the spell's level and Hit Dice categories to determine its effect on creatures. (For example, at 3rd tier a creature with 6 or fewer HD gets no save, one with 7-9 HD must save or die, and one with 10 or more HD must save or take 1d4 points of Con damage.)</t>
  </si>
  <si>
    <t>Augmented (6th): If you expend two uses of mythic power, the spell bypasses the poison immunity of living creatures.</t>
  </si>
  <si>
    <t>Color Spray</t>
  </si>
  <si>
    <t>pattern</t>
  </si>
  <si>
    <t>sorcerer/wizard 1, magus 1, bloodrager 1, psychic 1, mesmerist 1</t>
  </si>
  <si>
    <t>V, S, M (red, yellow, and blue powder or colored sand)</t>
  </si>
  <si>
    <t>instantaneous; see text</t>
  </si>
  <si>
    <t>A vivid cone of clashing colors springs forth from your hand, causing creatures to become stunned, perhaps also blinded, and possibly knocking them unconscious. Each creature within the cone is affected according to its HD.  2 HD or less: The creature is unconscious, blinded, and stunned for 2d4 rounds, then blinded and stunned for 1d4 rounds, and then stunned for 1 round. (Only living creatures are knocked unconscious.) 3 or 4 HD: The creature is blinded and stunned for 1d4 rounds, then stunned for 1 round.  5 or more HD: The creature is stunned for 1 round.  Sightless creatures are not affected by color spray.</t>
  </si>
  <si>
    <t> Knocks unconscious, blinds, and/or stuns weak creatures.</t>
  </si>
  <si>
    <t>The range increases to 30 feet. Add half your tier to the spell's Hit Dice categories to determine its effects on creatures. (At 3rd tier a creature with 3 or fewer HD is unconscious, blinded, and stunned; one with 4 or 5 HD is blinded and stunned, and one with 6 or more HD is stunned.) Creatures that succeed at their saves are dazzled for 1 minute.</t>
  </si>
  <si>
    <t>Command</t>
  </si>
  <si>
    <t>language-dependent, mind-affecting</t>
  </si>
  <si>
    <t>antipaladin 1, cleric/oracle 1, inquisitor 1, witch 1, occultist 1, psychic 1, mesmerist 1, medium 1</t>
  </si>
  <si>
    <t>You give the subject a single command, which it obeys to the best of its ability at its earliest opportunity. You may select from the following options.  Approach: On its turn, the subject moves toward you as quickly and directly as possible for 1 round. The creature may do nothing but move during its turn, and it provokes attacks of opportunity for this movement as normal.  Drop: On its turn, the subject drops whatever it is holding. It can't pick up any dropped item until its next turn.  Fall: On its turn, the subject falls to the ground and remains prone for 1 round. It may act normally while prone but takes any appropriate penalties.  Flee: On its turn, the subject moves away from you as quickly as possible for 1 round. It may do nothing but move during its turn, and it provokes attacks of opportunity for this movement as normal.  Halt: The subject stands in place for 1 round. It may not take any actions but is not considered helpless.  If the subject can't carry out your command on its next turn, the spell automatically fails.</t>
  </si>
  <si>
    <t>Devil (1), Toil (1), Tyranny (1)</t>
  </si>
  <si>
    <t>One subject obeys a command for 1 round.</t>
  </si>
  <si>
    <t>Portents (2)</t>
  </si>
  <si>
    <t>You can target up to one creature per level, each of which must receive the same command. Creatures that succeed at their saving throws are staggered for 1 round (this is a mind-affecting effect).</t>
  </si>
  <si>
    <t>Command, Greater</t>
  </si>
  <si>
    <t>cleric/oracle 5, inquisitor 5, occultist 5, psychic 5, mesmerist 4, medium 4</t>
  </si>
  <si>
    <t>This spell functions like command, except that up to one creature per level may be affected, and the activities continue beyond 1 round. At the start of each commanded creature's action after the first, it gets another Will save to attempt to break free from the spell. Each creature must receive the same command.</t>
  </si>
  <si>
    <t>Inevitable (5), Nobility (5), Tactics (5), Loyalty (5)</t>
  </si>
  <si>
    <t> As command, but affects one subject/level.</t>
  </si>
  <si>
    <t>Imperious (11)</t>
  </si>
  <si>
    <t>Command Plants</t>
  </si>
  <si>
    <t>druid 4, ranger 3, shaman 4</t>
  </si>
  <si>
    <t>up to 2 HD/level of plant creatures, no two of which can be more than 30 ft. apart</t>
  </si>
  <si>
    <t>This spell allows you some degree of control over one or more plant creatures. Affected plant creatures can understand you, and they perceive your words and actions in the most favorable way (treat their attitude as friendly). They will not attack you while the spell lasts. You can try to give a subject orders, but you must win an opposed Charisma check to convince it to do anything it wouldn't ordinarily do. (Retries are not allowed.) A commanded plant never obeys suicidal or obviously harmful orders, but it might be convinced that something very dangerous is worth doing.  You can affect a number of plant creatures whose combined level or HD do not exceed twice your level.</t>
  </si>
  <si>
    <t>Plant (4)</t>
  </si>
  <si>
    <t>Sways the actions of plant creatures.</t>
  </si>
  <si>
    <t>Verdant (9)</t>
  </si>
  <si>
    <t>Command Undead</t>
  </si>
  <si>
    <t>sorcerer/wizard 2</t>
  </si>
  <si>
    <t>V, S, M (a shred of raw meat and a splinter of bone)</t>
  </si>
  <si>
    <t>one undead creature</t>
  </si>
  <si>
    <t>This spell allows you a degree of control over an undead creature. If the subject is intelligent, it perceives your words and actions favorably (treat its attitude as friendly). It will not attack you while the spell lasts. You can give the subject orders, but you must win an opposed Charisma check to convince it to do anything it wouldn't ordinarily do. Retries are not allowed. An intelligent commanded undead never obeys suicidal or obviously harmful orders, but it might be convinced that something very dangerous is worth doing.  A nonintelligent undead creature gets no saving throw against this spell. When you control a mindless being, you can communicate only basic commands, such as "come here," "go there," "fight," "stand still," and so on. Nonintelligent undead won't resist suicidal or obviously harmful orders.  Any act by you or your apparent allies that threatens the commanded undead (regardless of its Intelligence) breaks the spell.  Your commands are not telepathic. The undead creature must be able to hear you.</t>
  </si>
  <si>
    <t>Inevitable (3)</t>
  </si>
  <si>
    <t> Undead creature obeys your commands.</t>
  </si>
  <si>
    <t>Occult (4), Plague (4)</t>
  </si>
  <si>
    <t>Commune</t>
  </si>
  <si>
    <t>cleric/oracle 5, inquisitor 5, shaman 5, occultist 5</t>
  </si>
  <si>
    <t>V, S, M (holy or unholy water and incense worth 500 gp), DF</t>
  </si>
  <si>
    <t>You contact your deity--or agents thereof--and ask questions that can be answered by a simple yes or no. (A cleric of no particular deity contacts a philosophically allied deity.) You are allowed one such question per caster level. The answers given are correct within the limits of the entity's knowledge. "Unclear" is a legitimate answer, because powerful beings of the Outer Planes are not necessarily omniscient. In cases where a one-word answer would be misleading or contrary to the deity's interests, a short phrase (five words or less) may be given as an answer instead.  The spell, at best, provides information to aid character decisions. The entities contacted structure their answers to further their own purposes. If you lag, discuss the answers, or go off to do anything else, the spell ends.</t>
  </si>
  <si>
    <t> Deity answers one yes-or-no question/level.</t>
  </si>
  <si>
    <t>Ancestors (10)</t>
  </si>
  <si>
    <t>Commune with Nature</t>
  </si>
  <si>
    <t>druid 5, ranger 4, shaman 5, psychic 5</t>
  </si>
  <si>
    <t>You become one with nature, attaining knowledge of the surrounding territory. You instantly gain knowledge of as many as three facts from among the following subjects: the ground or terrain, plants, minerals, bodies of water, people, general animal population, presence of woodland creatures, presence of powerful unnatural creatures, or even the general state of the natural setting.  In outdoor settings, the spell operates in a radius of 1 mile per caster level. In natural underground settings--caves, caverns, and the like--the spell is less powerful, and its radius is limited to 100 feet per caster level. The spell does not function where nature has been replaced by construction or settlement, such as in dungeons and towns.</t>
  </si>
  <si>
    <t>Ruins (5)</t>
  </si>
  <si>
    <t>Learn about terrain for 1 mile/level.</t>
  </si>
  <si>
    <t>Comprehend Languages</t>
  </si>
  <si>
    <t>bard 1, cleric/oracle 1, sorcerer/wizard 1, witch 1, inquisitor 1, alchemist 1, shaman 1, occultist 1, psychic 1, mesmerist 1, spiritualist 1, medium 1</t>
  </si>
  <si>
    <t>V, S, M/DF (pinch of soot and salt)</t>
  </si>
  <si>
    <t>You can understand the spoken words of creatures or read otherwise incomprehensible written messages. The ability to read does not necessarily impart insight into the material, merely its literal meaning. The spell enables you to understand or read an unknown language, not speak or write it. Written material can be read at the rate of one page (250 words) per minute. Magical writing cannot be read, though the spell reveals that it is magical. This spell can be foiled by certain warding magic (such as the secret page and illusory script spells). It does not decipher codes or reveal messages concealed in otherwise normal text. Comprehend languages can be made permanent with a permanency spell.</t>
  </si>
  <si>
    <t>Knowledge (1), Language (1)</t>
  </si>
  <si>
    <t>You understand all languages.</t>
  </si>
  <si>
    <t>Cone of Cold</t>
  </si>
  <si>
    <t>sorcerer/wizard 5, witch 6, magus 5, shaman 6, occultist 5</t>
  </si>
  <si>
    <t>V, S, M (a small crystal or glass cone)</t>
  </si>
  <si>
    <t>60 ft.</t>
  </si>
  <si>
    <t>Cone of cold creates an area of extreme cold, originating at your hand and extending outward in a cone. It drains heat, dealing 1d6 points of cold damage per caster level (maximum 15d6).</t>
  </si>
  <si>
    <t>Water (6)</t>
  </si>
  <si>
    <t> 1d6/level cold damage.</t>
  </si>
  <si>
    <t>Boreal (11), Oni (11)</t>
  </si>
  <si>
    <t>Winter (10)</t>
  </si>
  <si>
    <t>Confusion</t>
  </si>
  <si>
    <t>bard 3, sorcerer/wizard 4, witch 4, bloodrager 4, occultist 4, psychic 4, mesmerist 3, spiritualist 4</t>
  </si>
  <si>
    <t>V, S, M/DF (three nutshells)</t>
  </si>
  <si>
    <t>all creatures in a 15-ft.-radius burst</t>
  </si>
  <si>
    <t>This spell causes confusion in the targets, making them unable to determine their actions. Roll on the following table at the start of each subject's turn each round to see what it does in that round. d% Behavior 01-25 Act normally 26-50 Do nothing but babble incoherently 51-75 Deal 1d8 points of damage + Str modifier to self with item in hand 76-100 Attack nearest creature (for this purpose, a familiar counts as part of the subject's self)  A confused character who can't carry out the indicated action does nothing but babble incoherently. Attackers are not at any special advantage when attacking a confused character. Any confused character who is attacked automatically attacks its attackers on its next turn, as long as it is still confused when its turn comes. Note that a confused character will not make attacks of opportunity against any creature that it is not already devoted to attacking (either because of its most recent action or because it has just been attacked).</t>
  </si>
  <si>
    <t>Lust (4), Madness (4), Trickery (4), Entropy (5), Riot (4), Whimsy (4)</t>
  </si>
  <si>
    <t>Subjects behave oddly for 1 round/level.</t>
  </si>
  <si>
    <t>Impossible (9), Protean (9)</t>
  </si>
  <si>
    <t>Deception (8), Insanity (8)</t>
  </si>
  <si>
    <t>Confusion, Lesser</t>
  </si>
  <si>
    <t>bard 1, psychic 1, mesmerist 1, medium 1</t>
  </si>
  <si>
    <t>This spell causes a single creature to become confused for 1 round.</t>
  </si>
  <si>
    <t>Madness (1), Protean (1)</t>
  </si>
  <si>
    <t> One creature is confused for 1 round.</t>
  </si>
  <si>
    <t>Impossible (3)</t>
  </si>
  <si>
    <t>Consecrate</t>
  </si>
  <si>
    <t>V, S, M (a vial of holy water and 25 gp worth of silver dust), DF</t>
  </si>
  <si>
    <t>20-ft.-radius emanation</t>
  </si>
  <si>
    <t>This spell blesses an area with positive energy. The DC to resist positive channeled energy within this area gains a +3 sacred bonus. Every undead creature entering a consecrated area suffers minor disruption, suffering a -1 penalty on attack rolls, damage rolls, and saves. Undead cannot be created within or summoned into a consecrated area. If the consecrated area contains an altar, shrine, or other permanent fixture dedicated to your deity, pantheon, or aligned higher power, the modifiers given above are doubled (+6 sacred bonus to positive channeled energy DCs, -2 penalties for undead in the area).  You cannot consecrate an area with a similar fixture of a deity other than your own patron. Instead, the consecrate spell curses the area, cutting off its connection with the associated deity or power.  This secondary function, if used, does not also grant the bonuses and penalties relating to undead, as given above.  Consecrate counters and dispels desecrate.</t>
  </si>
  <si>
    <t> Fills area with positive energy, weakening undead.</t>
  </si>
  <si>
    <t>The black pudding has fast healing equal to your tier, as do any puddings that split off from it. The black puddings from this spell never attack you, though they're otherwise uncontrolled and might attack your allies if there are no other obvious opponents.</t>
  </si>
  <si>
    <t>Augmented (6th): If you expend two uses of mythic power, the pudding gains the savage mythic template (see page 224). Puddings that split off from the giant pudding don't gain the template.</t>
  </si>
  <si>
    <t>Contact Other Plane</t>
  </si>
  <si>
    <t>sorcerer/wizard 5, witch 5, summoner 4, alchemist 5, occultist 4, psychic 5, spiritualist 5, unchained summoner 5</t>
  </si>
  <si>
    <t>You send your mind to another plane of existence (an Elemental Plane or some plane farther removed) in order to receive advice and information from powers there. See the accompanying table for possible consequences and results of the attempt. The powers reply in a language you understand, but they resent such contact and give only brief answers to your questions. All questions are answered with "yes," "no," "maybe," "never," "irrelevant," or some other one-word answer. You must concentrate on maintaining the spell (a standard action) in order to ask questions at the rate of one per round. A question is answered by the power during the same round. You may ask one question for every two caster levels. Contact with minds far removed from your home plane increases the probability that you will incur a decrease in Intelligence and Charisma due to your brain being overwhelmed, but also increases the chance of the power knowing the answer and answering correctly. Once the Outer Planes are reached, the power of the deity contacted determines the effects. (Random results obtained from the table are subject to the personalities of individual deities.) On rare occasions, this divination may be blocked by an act of certain deities or forces. Avoid Int/Cha Decrease: You must succeed on an Intelligence check against this DC to avoid a decrease in Intelligence and Charisma. If the check fails, your Intelligence and Charisma scores each fall to 8 for the stated duration, and you become unable to cast arcane spells. If you lose Intelligence and Charisma, the effect strikes as soon as the first question is asked, and no answer is received. If a successful contact is made, roll d% to determine the type of answer you gain. True Answer: You get a true, one-word answer. Questions that cannot be answered in this way are answered randomly. Don't Know: The entity tells you that it doesn't know. Lie: The entity intentionally lies to you. Random Answer: The entity tries to lie but doesn't know the answer, so it makes one up.  Plane Contacted  Avoid Int/Cha Decrease  True Answer  Don't Know  Lie  Random Answer Elemental Plane  DC 7/1 week  01-34  35-62  63-83  84-100 Positive/Negative Energy Plane  DC 8/1 week  01-39  40-65  66-86  87-100 Astral Plane  DC 9/1 week  01-44  45-67  68-88  89-100 Outer Plane, demigod  DC 10/2 weeks  01-49  50-70  71-91  92-100 Outer Plane, lesser deity  DC 12/3 weeks  01-60  61-75  76-95  96-100 Outer Plane, intermediate deity  DC 14/4 weeks  01-73  74-81  82-98  99-100 Outer Plane, greater deity</t>
  </si>
  <si>
    <t> Lets you ask question of extraplanar entity.</t>
  </si>
  <si>
    <t>Harrow (11)</t>
  </si>
  <si>
    <t>Portents (10)</t>
  </si>
  <si>
    <t>Contagion</t>
  </si>
  <si>
    <t>cleric/oracle 3, druid 3, sorcerer/wizard 4, antipaladin 3, bloodrager 4</t>
  </si>
  <si>
    <t>The subject contracts one of the following diseases: blinding sickness, bubonic plague, cackle fever, filth fever, leprosy, mindfire, red ache, shakes, or slimy doom. The disease is contracted immediately (the onset period does not apply). Use the disease's listed frequency and save DC to determine further effects. For more information on these diseases, see page 557.</t>
  </si>
  <si>
    <t>Decay (3), Plague (3)</t>
  </si>
  <si>
    <t>Infects subject with chosen disease.</t>
  </si>
  <si>
    <t>Pestilence (7), Daemon (9)</t>
  </si>
  <si>
    <t>Plague (6)</t>
  </si>
  <si>
    <t>The affected target is highly contagious. Any creature it touches or that touches it with natural weapons or unarmed strikes must save or contract the disease. The save DC for these targets is equal to the spell's DC - 4. The target can't spread this disease to you.</t>
  </si>
  <si>
    <t>Augmented (7th): If you expend five uses of mythic power, the spell targets every living creature within a 1-mile radius. You can select one creature per caster level within your line of sight; these creatures are unaffected by the spell.</t>
  </si>
  <si>
    <t>Contingency</t>
  </si>
  <si>
    <t>sorcerer/wizard 6, occultist 6, psychic 6</t>
  </si>
  <si>
    <t>at least 10 minutes; see text</t>
  </si>
  <si>
    <t>V, S, M (quicksilver and an eyelash of a spell-using creature), F (ivory statuette of you worth 1,500 gp)</t>
  </si>
  <si>
    <t>1 day/level (D) or until discharged</t>
  </si>
  <si>
    <t>You can place another spell upon your person so that it comes into effect under some condition you dictate when casting contingency.  The contingency spell and the companion spell are cast at the same time. The 10-minute casting time is the minimum total for both castings; if the companion spell has a casting time longer than 10 minutes, use that instead. You must pay any costs associated with the companion spell when you cast contingency.  The spell to be brought into effect by the contingency must be one that affects your person and be of a spell level no higher than one-third your caster level (rounded down, maximum 6th level).  The conditions needed to bring the spell into effect must be clear, although they can be general. In all cases, the contingency immediately brings into effect the companion spell, the latter being "cast" instantaneously when the prescribed circumstances occur.  If complicated or convoluted conditions are prescribed, the whole spell combination (contingency and the companion magic) may fail when triggered. The companion spell occurs based solely on the stated conditions, regardless of whether you want it to.  You can use only one contingency spell at a time; if a second is cast, the first one (if still active) is dispelled.</t>
  </si>
  <si>
    <t> Sets trigger condition for another spell.</t>
  </si>
  <si>
    <t>You can cast this spell on yourself or another willing creature as if the spell had a range of touch. A companion spell placed on another creature must be a spell from you, not from the creature, and affects that creature when triggered. The target can have only one contingency spell upon it at a time unless it also knows mythic contingency. The number of companion spells you can have on yourself is equal to 1 + half your tier.</t>
  </si>
  <si>
    <t>Augmented (5th): If you expend two uses of mythic power, the casting time changes to 1 full round plus the casting time of the companion spell, but the duration of mythic contingency decreases to 1 hour per level or until discharged.</t>
  </si>
  <si>
    <t>Continual Flame</t>
  </si>
  <si>
    <t>cleric/oracle 3, sorcerer/wizard 2, inquisitor 3, occultist 2, psychic 3</t>
  </si>
  <si>
    <t>V, S, M (ruby dust worth 50 gp)</t>
  </si>
  <si>
    <t>object touched Effect magical, heatless flame</t>
  </si>
  <si>
    <t>A flame, equivalent in brightness to a torch, springs forth from an object that you touch. The effect looks like a regular flame, but it creates no heat and doesn't use oxygen. A continual flame can be covered and hidden but not smothered or quenched. Light spells counter and dispel darkness spells of an equal or lower level.</t>
  </si>
  <si>
    <t>Day (2)</t>
  </si>
  <si>
    <t>Makes a permanent, heatless light.</t>
  </si>
  <si>
    <t>Light (4)</t>
  </si>
  <si>
    <t>Control Plants</t>
  </si>
  <si>
    <t>druid 8</t>
  </si>
  <si>
    <t>This spell enables you to control the actions of one or more plant creatures for a short period of time. You command the creatures by voice and they understand you, no matter what language you speak. Even if vocal communication is impossible, the controlled plants do not attack you. At the end of the spell, the subjects revert to their normal behavior.  Suicidal or self-destructive commands are simply ignored.</t>
  </si>
  <si>
    <t>Plant (8)</t>
  </si>
  <si>
    <t> Controls actions of one or more plant creatures.</t>
  </si>
  <si>
    <t>Plant (16)</t>
  </si>
  <si>
    <t>Control Undead</t>
  </si>
  <si>
    <t>sorcerer/wizard 7</t>
  </si>
  <si>
    <t>V, S, M (a piece of bone and a piece of raw meat)</t>
  </si>
  <si>
    <t>up to 2 HD/level of undead creatures, no two of which can be more than 30 ft. apart</t>
  </si>
  <si>
    <t>This spell enables you to control undead creatures for a short period of time. You command them by voice and they understand you, no matter what language you speak. Even if vocal communication is impossible, the controlled undead do not attack you. At the end of the spell, the subjects revert to their normal behavior.  Intelligent undead creatures remember that you controlled them, and they may seek revenge after the spell's effects end.</t>
  </si>
  <si>
    <t> Undead don't attack you while under your command.</t>
  </si>
  <si>
    <t>Ghoul (15)</t>
  </si>
  <si>
    <t>Plague (14)</t>
  </si>
  <si>
    <t>Control Water</t>
  </si>
  <si>
    <t>cleric/oracle 4, druid 4, sorcerer/wizard 6, shaman 4</t>
  </si>
  <si>
    <t>V, S, M/DF (a pinch of dust for lower water or a drop of water for raise water)</t>
  </si>
  <si>
    <t>water in a volume of 10 ft./level by 10 ft./level by 2 ft./level</t>
  </si>
  <si>
    <t>This spell has two different applications, both of which control water in different ways. The first version of this spell causes water in the area to swiftly evaporate or to sink into the ground below, lowering the water's depth. The second version causes the water to surge and rise, increasing its overall depth and possibly flooding nearby areas. Lower Water: This causes water or similar liquid to reduce its depth by as much as 2 feet per caster level (to a minimum depth of 1 inch). The water is lowered within a squarish depression whose sides are up to caster level Ã— 10 feet long. In extremely large and deep bodies of water, such as a deep ocean, the spell creates a whirlpool that sweeps ships and similar craft downward, putting them at risk and rendering them unable to leave by normal movement for the duration of the spell. When cast on water elementals and other water-based creatures, this spell acts as a slow spell (Will negates). The spell has no effect on other creatures. Raise Water: This causes water or similar liquid to rise in height, just as the lower water version causes it to lower. Boats raised in this way slide down the sides of the hump that the spell creates. If the area affected by the spell includes riverbanks, a beach, or other land nearby, the water can spill over onto dry land. With either version of this spell, you may reduce one horizontal dimension by half and double the other horizontal dimension to change the overall area of effect.</t>
  </si>
  <si>
    <t>Water (4)</t>
  </si>
  <si>
    <t>Raises or lowers bodies of water.</t>
  </si>
  <si>
    <t>Aquatic (11)</t>
  </si>
  <si>
    <t>Moon (12), Water (8)</t>
  </si>
  <si>
    <t>Control Weather</t>
  </si>
  <si>
    <t>cleric/oracle 7, druid 7, sorcerer/wizard 7, witch 7, shaman 7</t>
  </si>
  <si>
    <t>10 minutes; see text</t>
  </si>
  <si>
    <t>2 miles</t>
  </si>
  <si>
    <t>2-mile-radius circle, centered on you; see text</t>
  </si>
  <si>
    <t>4d12 hours; see text</t>
  </si>
  <si>
    <t>You change the weather in the local area. It takes 10 minutes to cast the spell and an additional 10 minutes for the effects to manifest. You can call forth weather appropriate to the climate and season of the area you are in. You can also use this spell to cause the weather in the area to become calm and normal for the season. Season Possible Weather Spring Tornado, thunderstorm, sleet storm, or hot weather Summer Torrential rain, heat wave, or hailstorm Autumn Hot or cold weather, fog, or sleet Winter Frigid cold, blizzard, or thaw Late winter Hurricane-force winds or early spring You control the general tendencies of the weather, such as the direction and intensity of the wind. You cannot control specific applications of the weather-where lightning strikes, for example, or the exact path of a tornado. The weather continues as you left it for the duration, or until you use a standard action to designate a new kind of weather (which fully manifests itself 10 minutes later). Contradictory conditions are not possible simultaneously. Control weather can do away with atmospheric phenomena (naturally occurring or otherwise) as well as create them. A druid casting this spell doubles the duration and affects a circle with a 3-mile radius.</t>
  </si>
  <si>
    <t>Catastrophe (7), Weather (7)</t>
  </si>
  <si>
    <t>Changes weather in local area.</t>
  </si>
  <si>
    <t>Stormborn (15)</t>
  </si>
  <si>
    <t>Winter (14), Storms (14)</t>
  </si>
  <si>
    <t>Control Winds</t>
  </si>
  <si>
    <t>40 ft./level</t>
  </si>
  <si>
    <t>40 ft./level radius cylinder 40 ft. high</t>
  </si>
  <si>
    <t>You alter wind force in the area surrounding you. You can make the wind blow in a certain direction or manner, increase its strength, or decrease its strength. The new wind direction and strength persist until the spell ends or until you choose to alter your handiwork, which requires concentration. You may create an "eye" of calm air up to 80 feet in diameter at the center of the area if you so desire, and you may choose to limit the area to any cylindrical area less than your full limit. Wind Direction: You may choose one of four basic wind patterns to function over the spell's area.      * A downdraft blows from the center outward in equal strength in all directions.     * An updraft blows from the outer edges in toward the center in equal strength from all directions, veering upward before impinging on the eye in the center.     * Rotation causes the winds to circle the center in clockwise or counterclockwise fashion.     * A blast simply causes the winds to blow in one direction across the entire area from one side to the other.  Wind Strength: For every three caster levels, you can increase or decrease wind strength by one level. Each round on your turn, a creature in the wind must make a Fortitude save or suffer the effect of being in the windy area. See Environment for more details. Strong winds (21+ mph) make sailing difficult. A severe wind (31+ mph) causes minor ship and building damage. A windstorm (51+ mph) drives most flying creatures from the skies, uproots small trees, knocks down light wooden structures, tears off roofs, and endangers ships. Hurricane force winds (75+ mph) destroy wooden buildings, uproot large trees, and cause most ships to founder. A tornado (175+ mph) destroys all nonfortified buildings and often uproots large trees.</t>
  </si>
  <si>
    <t>Air (5), Weather (6)</t>
  </si>
  <si>
    <t> Changes wind direction and speed.</t>
  </si>
  <si>
    <t>Create Food and Water</t>
  </si>
  <si>
    <t>cleric/oracle 3, shaman 3, occultist 3</t>
  </si>
  <si>
    <t>food and water to sustain three humans or one horse/level for 24 hours</t>
  </si>
  <si>
    <t>24 hours; see text</t>
  </si>
  <si>
    <t>The food that this spell creates is simple fare of your choice--highly nourishing, if rather bland. Food so created decays and becomes inedible after 24 hours, although it can be kept fresh for another 24 hours by casting a purify food and water spell on it. The water created by this spell is just like clean rain water, and it doesn't go bad as the food does.</t>
  </si>
  <si>
    <t>Family (3)</t>
  </si>
  <si>
    <t> Feeds three humans (or one horse)/level.</t>
  </si>
  <si>
    <t>Create Undead</t>
  </si>
  <si>
    <t>cleric/oracle 6, sorcerer/wizard 6, shaman 6, spiritualist 6</t>
  </si>
  <si>
    <t>V, S, M (a clay pot filled with grave dirt and an onyx gem worth at least 50 gp per HD of the undead to be created)</t>
  </si>
  <si>
    <t>one corpse</t>
  </si>
  <si>
    <t>A much more potent spell than animate dead, this evil spell allows you to infuse a dead body with negative energy to create more powerful sorts of undead: ghouls, ghasts, mummies, and mohrgs. The type or types of undead you can create are based on your caster level, as shown on the table below. Caster Level Undead Created 11th or lower Ghoul 12th-14th Ghast 15th-17th Mummy 18th or higher Mohrg  You may create less powerful undead than your level would allow if you choose. Created undead are not automatically under the control of their animator. If you are capable of commanding undead, you may attempt to command the undead creature as it forms. This spell must be cast at night.</t>
  </si>
  <si>
    <t>Death (6), Evil (6)</t>
  </si>
  <si>
    <t>Create ghasts, ghouls, mohrgs, or mummies.</t>
  </si>
  <si>
    <t>Occult (12), Plague (12)</t>
  </si>
  <si>
    <t>Create Greater Undead</t>
  </si>
  <si>
    <t>cleric/oracle 8, sorcerer/wizard 8, shaman 8</t>
  </si>
  <si>
    <t>This spell functions like create undead, except that you can create more powerful and intelligent sorts of undead: shadows, wraiths, spectres, and devourers. The type or types of undead created is based on caster level, as shown below. Caster Level Undead Created 15th or lower Shadow 16th-17th Wraith 18th-19th Spectre 20th or higher Devourer</t>
  </si>
  <si>
    <t>Death (8)</t>
  </si>
  <si>
    <t>Create shadows, wraiths, spectres, or devourers.</t>
  </si>
  <si>
    <t>Plague (16)</t>
  </si>
  <si>
    <t>Create Water</t>
  </si>
  <si>
    <t>cleric/oracle 0, druid 0, paladin 1, inquisitor 0, shaman 0, occultist 0</t>
  </si>
  <si>
    <t>up to 2 gallons of water/level</t>
  </si>
  <si>
    <t>This spell generates wholesome, drinkable water, just like clean rain water. Water can be created in an area as small as will actually contain the liquid, or in an area three times as large--possibly creating a downpour or filling many small receptacles. This water disappears after 1 day if not consumed.  Note: Conjuration spells can't create substances or objects within a creature. Water weighs about 8 pounds per gallon. One cubic foot of water contains roughly 8 gallons and weighs about 60 pounds.</t>
  </si>
  <si>
    <t>Creates 2 gallons/level of pure water.</t>
  </si>
  <si>
    <t>Creeping Doom</t>
  </si>
  <si>
    <t>summoning</t>
  </si>
  <si>
    <t>druid 7, summoner 5, shaman 7, unchained summoner 6</t>
  </si>
  <si>
    <t>close (25 ft. + 5 ft./2 levels)/100 ft.; see text</t>
  </si>
  <si>
    <t>four swarms of insects</t>
  </si>
  <si>
    <t>This spell summons four massive swarms of biting and stinging insects. These swarms appear adjacent to one another, but can be directed to move independently. Treat these swarms as centipede swarms with the following adjustments. The swarms have 60 hit points each and deal 4d6 points of damage with their swarm attack. The save to resist their poison and distraction effects is equal to the save DC of this spell. Creatures caught in multiple swarms only take damage and make saves once.  You may summon the swarms so that they share the area of other creatures. As a standard action, you can command any number of the swarms to move toward any target within 100 feet of you. You cannot command any swarm to move more than 100 feet away from you, and if you move more than 100 feet from any swarm, that swarm remains stationary, attacking any creatures in its area (but can be commanded again if you move within 100 feet).</t>
  </si>
  <si>
    <t>Scalykind (7), Vermin (7)</t>
  </si>
  <si>
    <t> Swarms of centipedes attack at your command.</t>
  </si>
  <si>
    <t>Pestilence (15)</t>
  </si>
  <si>
    <t>Crushing Despair</t>
  </si>
  <si>
    <t>bard 3, sorcerer/wizard 4, witch 4, bloodrager 4, psychic 4, mesmerist 3, spiritualist 4</t>
  </si>
  <si>
    <t>V, S, M</t>
  </si>
  <si>
    <t>30 ft.</t>
  </si>
  <si>
    <t>An invisible cone of despair causes great sadness in the subjects. Each affected creature takes a -2 penalty on attack rolls, saving throws, ability checks, skill checks, and weapon damage rolls. Crushing despair counters and dispels good hope.</t>
  </si>
  <si>
    <t>Isolation (4)</t>
  </si>
  <si>
    <t>Subjects take –2 on attack rolls, damage rolls, saves, and checks.</t>
  </si>
  <si>
    <t>Crushing Hand</t>
  </si>
  <si>
    <t>sorcerer/wizard 9, psychic 9</t>
  </si>
  <si>
    <t>V, S, F (a soft glove)</t>
  </si>
  <si>
    <t>This spell functions as interposing hand, except that it can also grapple one opponent as grasping hand. Its CMB and CMD for grapple checks use your caster level in place of its base attack bonus, with a +12 bonus for its Strength score (35) and a +1 bonus for being Large (its Dexterity is 10, granting no bonus to the CMD). A crushing hand deals 2d6+12 points of damage on each successful grapple check against an opponent. The crushing hand can instead be directed to bull rush a target (as forceful hand), using the same bonuses outlined above, or it can be directed to interpose itself, as interposing hand does.</t>
  </si>
  <si>
    <t>Strength (9)</t>
  </si>
  <si>
    <t> Large hand provides cover, pushes, or crushes your foes.</t>
  </si>
  <si>
    <t>Cure Light Wounds</t>
  </si>
  <si>
    <t>bard 1, cleric/oracle 1, druid 1, paladin 1, ranger 2, witch 1, inquisitor 1, alchemist 1, shaman 1, occultist 1, spiritualist 1</t>
  </si>
  <si>
    <t>Will half (harmless); see text</t>
  </si>
  <si>
    <t>yes (harmless); see text</t>
  </si>
  <si>
    <t>When laying your hand upon a living creature, you channel positive energy that cures 1d8 points of damage + 1 point per caster level (maximum +5). Since undead are powered by negative energy, this spell deals damage to them instead of curing their wounds. An undead creature can apply spell resistance, and can attempt a Will save to take half damage.</t>
  </si>
  <si>
    <t>Healing (1)</t>
  </si>
  <si>
    <t>Cures 1d8 damage + 1/level (max +5).</t>
  </si>
  <si>
    <t>The damage cured increases to 2d8 points of damage + 2 points per caster level (maximum +10). The spell cures up to 1 point of ability damage if the target is a living creature. The target chooses what type of ability damage is cured.</t>
  </si>
  <si>
    <t>Cure Critical Wounds</t>
  </si>
  <si>
    <t>bard 4, cleric/oracle 4, druid 5, witch 5, inquisitor 4, alchemist 4, shaman 4, occultist 4, spiritualist 4</t>
  </si>
  <si>
    <t>This spell functions like cure light wounds, except that it cures 4d8 points of damage + 1 point per caster level (maximum +20).</t>
  </si>
  <si>
    <t>Healing (4)</t>
  </si>
  <si>
    <t>Cures 4d8 damage + 1/level (max +20).</t>
  </si>
  <si>
    <t>The damage cured increases to 8d8 points of damage + 2 points per caster level (maximum +40). The spell cures up to 4 points of ability damage if the target is a living creature. The target chooses what types of ability damage are cured.</t>
  </si>
  <si>
    <t>Cure Light Wounds, Mass</t>
  </si>
  <si>
    <t>bard 5, cleric/oracle 5, druid 6, witch 6, inquisitor 5, shaman 5, occultist 5</t>
  </si>
  <si>
    <t>Will half (harmless) or Will half; see text</t>
  </si>
  <si>
    <t>yes (harmless) or yes; see text</t>
  </si>
  <si>
    <t>You channel positive energy to cure 1d8 points of damage + 1 point per caster level (maximum +25) on each selected creature. Like other cure spells, mass cure light wounds deals damage to undead in its area rather than curing them. Each affected undead may attempt a Will save for half damage.</t>
  </si>
  <si>
    <t>Cures 1d8 damage + 1/level, affects 1 subject/level.</t>
  </si>
  <si>
    <t>Cure Critical Wounds, Mass</t>
  </si>
  <si>
    <t>cleric/oracle 8, druid 9, witch 9, shaman 8</t>
  </si>
  <si>
    <t>This spell functions like mass cure light wounds, except that it cures 4d8 points of damage + 1 point per caster level (maximum +40).</t>
  </si>
  <si>
    <t>Community (8), Healing (8)</t>
  </si>
  <si>
    <t>Cures 4d8 damage + 1/level for many creatures.</t>
  </si>
  <si>
    <t>Healing (16)</t>
  </si>
  <si>
    <t>Cure Moderate Wounds</t>
  </si>
  <si>
    <t>bard 2, cleric/oracle 2, druid 3, paladin 3, ranger 3, witch 2, inquisitor 2, alchemist 2, shaman 2, occultist 2, spiritualist 2</t>
  </si>
  <si>
    <t>This spell functions like cure light wounds, except that it cures 2d8 points of damage + 1 point per caster level (maximum +10).</t>
  </si>
  <si>
    <t>Healing (2)</t>
  </si>
  <si>
    <t>Cures 2d8 damage + 1/level (max +10).</t>
  </si>
  <si>
    <t>The damage cured increases to 4d8 points of damage + 2 points per caster level (maximum +20). The spell cures up to 2 points of ability damage if the target is a living creature. The target chooses what types of ability damage are cured.</t>
  </si>
  <si>
    <t>Cure Moderate Wounds, Mass</t>
  </si>
  <si>
    <t>bard 6, cleric/oracle 6, druid 7, witch 7, inquisitor 6, shaman 6, occultist 6</t>
  </si>
  <si>
    <t>This spell functions like mass cure light wounds, except that it cures 2d8 points of damage + 1 point per caster level (maximum +30).</t>
  </si>
  <si>
    <t>Cures 2d8 damage + 1/level, affects 1 subject/level.</t>
  </si>
  <si>
    <t>Cure Serious Wounds</t>
  </si>
  <si>
    <t>bard 3, cleric/oracle 3, druid 4, paladin 4, ranger 4, witch 4, inquisitor 3, alchemist 3, shaman 3, occultist 3, spiritualist 3</t>
  </si>
  <si>
    <t>This spell functions like cure light wounds, except that it cures 3d8 points of damage + 1 point per caster level (maximum +15).</t>
  </si>
  <si>
    <t>Healing (3)</t>
  </si>
  <si>
    <t>Cures 3d8 damage + 1/level (max +15).</t>
  </si>
  <si>
    <t>The damage cured increases to 6d8 points of damage + 2 points per caster level (maximum +30). The spell cures up to 3 points of ability damage if the target is a living creature. The target chooses what types of ability damage are cured.</t>
  </si>
  <si>
    <t>Cure Serious Wounds, Mass</t>
  </si>
  <si>
    <t>cleric/oracle 7, druid 8, witch 8, shaman 7</t>
  </si>
  <si>
    <t>This spell functions like mass cure light wounds, except that it cures 3d8 points of damage + 1 point per caster level (maximum +35).</t>
  </si>
  <si>
    <t>Cures 3d8 damage + 1/level, affects 1 subject/level.</t>
  </si>
  <si>
    <t>Curse Water</t>
  </si>
  <si>
    <t>cleric/oracle 1, inquisitor 1, antipaladin 1</t>
  </si>
  <si>
    <t>V, S, M (5 lbs. of powdered silver worth 25 gp)</t>
  </si>
  <si>
    <t>This spell imbues a flask (1 pint) of water with negative energy, turning it into unholy water (see Equipment). Unholy water damages good outsiders the way holy water damages undead and evil outsiders.</t>
  </si>
  <si>
    <t>Makes water unholy.</t>
  </si>
  <si>
    <t>Dancing Lights</t>
  </si>
  <si>
    <t>bard 0, sorcerer/wizard 0, witch 0, magus 0, shaman 0, occultist 0, psychic 0, mesmerist 0, medium 0</t>
  </si>
  <si>
    <t>Up to four lights, all within a 10-ft.-radius area</t>
  </si>
  <si>
    <t>Depending on the version selected, you create up to four lights that resemble lanterns or torches (and cast that amount of light), or up to four glowing spheres of light (which look like will-o'-wisps), or one faintly glowing, vaguely humanoid shape. The dancing lights must stay within a 10-foot-radius area in relation to each other but otherwise move as you desire (no concentration required): forward or back, up or down, straight or turning corners, or the like. The lights can move up to 100 feet per round. A light winks out if the distance between you and it exceeds the spell's range. You can only have one dancing lights spell active at any one time. If you cast this spell while another casting is still in effect, the previous casting is dispelled. If you make this spell permanent, it does not count against this limit. Dancing lights can be made permanent with a permanency spell.</t>
  </si>
  <si>
    <t>Creates torches or other lights.</t>
  </si>
  <si>
    <t>Darkness</t>
  </si>
  <si>
    <t>bard 2, cleric/oracle 2, sorcerer/wizard 2, inquisitor 2, antipaladin 2, magus 2, shaman 2, occultist 2</t>
  </si>
  <si>
    <t>V, M/DF (bat fur and a piece of coal)</t>
  </si>
  <si>
    <t>object touched</t>
  </si>
  <si>
    <t>This spell causes an object to radiate darkness out to a 20-foot radius. This darkness causes the illumination level in the area to drop one step, from bright light to normal light, from normal light to dim light, or from dim light to darkness. This spell has no effect in an area that is already dark. Creatures with light vulnerability or sensitivity take no penalties in normal light. All creatures gain concealment (20% miss chance) in dim light. All creatures gain total concealment (50% miss chance) in darkness.  Creatures with darkvision can see in an area of dim light or darkness without penalty. Nonmagical sources of light, such as torches and lanterns, do not increase the light level in an area of darkness. Magical light sources only increase the light level in an area if they are of a higher spell level than darkness.  If darkness is cast on a small object that is then placed inside or under a lightproof covering, the spell's effect is blocked until the covering is removed.  This spell does not stack with itself. Darkness can be used to counter or dispel any light spell of equal or lower spell level.</t>
  </si>
  <si>
    <t>20-ft. radius of supernatural shadow.</t>
  </si>
  <si>
    <t>Moon (2), Shadow (4)</t>
  </si>
  <si>
    <t>The illumination level in the area drops to darkness regardless of the existing lighting conditions. Non-mythic spells and effects can't increase the light level in the area. Creatures with darkvision and the power to see in darkness have difficulty seeing through this darkness, and can see as well as a human can in dim light. Creatures in the area of darkness take a -2 penalty on saves against fear.</t>
  </si>
  <si>
    <t>Darkvision</t>
  </si>
  <si>
    <t>ranger 3, sorcerer/wizard 2, alchemist 2, antipaladin 2, occultist 2, psychic 2, medium 2</t>
  </si>
  <si>
    <t>V, S, M (either a pinch of dried carrot or an agate)</t>
  </si>
  <si>
    <t>The subject gains the ability to see 60 feet even in total darkness. Darkvision is black and white only but otherwise like normal sight. Darkvision can be made permanent with a permanency spell.</t>
  </si>
  <si>
    <t>Vermin (3)</t>
  </si>
  <si>
    <t>See 60 ft. in total darkness.</t>
  </si>
  <si>
    <t>Deep Earth (5), Shadow (5)</t>
  </si>
  <si>
    <t>Moon (4)</t>
  </si>
  <si>
    <t>Daylight</t>
  </si>
  <si>
    <t>bard 3, cleric/oracle 3, druid 3, paladin 3, sorcerer/wizard 3, inquisitor 3, magus 3, shaman 3, occultist 3</t>
  </si>
  <si>
    <t>You touch an object when you cast this spell, causing the object to shed bright light in a 60-foot radius. This illumination increases the light level for an additional 60 feet by one step (darkness becomes dim light, dim light becomes normal light, and normal light becomes bright light). Creatures that take penalties in bright light take them while within the 60-foot radius of this magical light. Despite its name, this spell is not the equivalent of daylight for the purposes of creatures that are damaged or destroyed by such light.  If daylight is cast on a small object that is then placed inside or under a light-proof covering, the spell's effects are blocked until the covering is removed.  Daylight brought into an area of magical darkness (or vice versa) is temporarily negated, so that the otherwise prevailing light conditions exist in the overlapping areas of effect.  Daylight counters or dispels any darkness spell of equal or lower level, such as darkness.</t>
  </si>
  <si>
    <t>Day (3), Light (3)</t>
  </si>
  <si>
    <t>60-ft. radius of bright light.</t>
  </si>
  <si>
    <t>Light (6), Summer (6)</t>
  </si>
  <si>
    <t>The illumination in the additional 60 foot radius increases to at least normal light regardless of the existing lighting conditions. Creatures that take penalties in bright light double those penalties while in the area of bright light produced by this spell. All other creatures in the area of bright light gain a +2 circumstance bonus on Perception checks and saves to resist fear.</t>
  </si>
  <si>
    <t>Daze</t>
  </si>
  <si>
    <t>bard 0, sorcerer/wizard 0, witch 0, summoner/unchained summoner 0, inquisitor 0, magus 0, shaman 0, occultist 0, psychic 0, mesmerist 0, spiritualist 0, medium 0</t>
  </si>
  <si>
    <t>V, S, M (a pinch of wool or similar substance)</t>
  </si>
  <si>
    <t>one humanoid creature of 4 HD or less</t>
  </si>
  <si>
    <t>This spell clouds the mind of a humanoid creature with 4 or fewer Hit Dice so that it takes no actions. Humanoids of 5 or more HD are not affected. A dazed subject is not stunned, so attackers get no special advantage against it. After a creature has been dazed by this spell, it is immune to the effects of this spell for 1 minute.</t>
  </si>
  <si>
    <t>Humanoid creature of 4 HD or less loses next action.</t>
  </si>
  <si>
    <t>Daze Monster</t>
  </si>
  <si>
    <t>bard 2, sorcerer/wizard 2, summoner/unchained summoner 1, witch 2, bloodrager 2, occultist 2, psychic 2, mesmerist 2, medium 2</t>
  </si>
  <si>
    <t>one living creature of 6 HD or less</t>
  </si>
  <si>
    <t>This spell functions like daze, but it can affect any one living creature of any type. Creatures of 7 or more HD are not affected.</t>
  </si>
  <si>
    <t>Living creature of 6 HD or less loses next action.</t>
  </si>
  <si>
    <t>Death Knell</t>
  </si>
  <si>
    <t>death, evil</t>
  </si>
  <si>
    <t>antipaladin 1, cleric/oracle 2, inquisitor 2, witch 2, spiritualist 2</t>
  </si>
  <si>
    <t>instantaneous/10 minutes per HD of subject; see text</t>
  </si>
  <si>
    <t>You draw forth the ebbing life force of a creature and use it to fuel your own power. Upon casting this spell, you touch a living creature that has -1 or fewer hit points. If the subject fails its saving throw, it dies, and you gain 1d8 temporary hit points and a +2 enhancement bonus to Strength. Additionally, your effective caster level goes up by +1, improving spell effects dependent on caster level. This increase in effective caster level does not grant you access to more spells. These effects last for 10 minutes per HD of the subject creature.</t>
  </si>
  <si>
    <t>Death (2)</t>
  </si>
  <si>
    <t>Kills dying creature; you gain 1d8 temporary hp, +2 to Str, and +1 caster level.</t>
  </si>
  <si>
    <t>Increase the spell's range to close (25 feet + 5 feet per 2 caster levels). Increase the temporary hp gained from the spell to 2d8 and the enhancement bonuses to Strength to +4, and gain a +4 enhancement bonus to Dexterity.</t>
  </si>
  <si>
    <t>Augmented (3rd): If you expend two uses of mythic power, the casting time decreases to 1 immediate action, and you may target a creature that you killed on your last turn as if it were still alive; the dead target gets no save.</t>
  </si>
  <si>
    <t>Death Ward</t>
  </si>
  <si>
    <t>cleric/oracle 4, druid 5, paladin 4, witch 4, inquisitor 4, alchemist 4, occultist 4, spiritualist 4, medium 4</t>
  </si>
  <si>
    <t>The subject gains a +4 morale bonus on saves against all death spells and magical death effects. The subject is granted a save to negate such effects even if one is not normally allowed. The subject is immune to energy drain and any negative energy effects, including channeled negative energy. This spell does not remove negative levels that the subject has already gained, but it does remove the penalties from negative levels for the duration of its effect. Death ward does not protect against other sorts of attacks, even if those attacks might be lethal.</t>
  </si>
  <si>
    <t>Death (4), Repose (4)</t>
  </si>
  <si>
    <t>Grants bonuses against death spells and negative energy.</t>
  </si>
  <si>
    <t>Deathwatch</t>
  </si>
  <si>
    <t>cleric/oracle 1, spiritualist 1, medium 1</t>
  </si>
  <si>
    <t>cone-shaped emanation</t>
  </si>
  <si>
    <t>Using the powers of necromancy, you can determine the condition of creatures near death within the spell's range. You instantly know whether each creature within the area is dead, fragile (alive and wounded, with 3 or fewer hit points left), fighting off death (alive with 4 or more hit points), healthy, undead, or neither alive nor dead (such as a construct). Deathwatch sees through any spell or ability that allows creatures to feign death.</t>
  </si>
  <si>
    <t>Repose (1)</t>
  </si>
  <si>
    <t> Reveals how near death subjects within 30 ft. are.</t>
  </si>
  <si>
    <t>Deeper Darkness</t>
  </si>
  <si>
    <t>This spell functions as darkness, except that objects radiate darkness in a 60-foot radius and the light level is lowered by two steps. Bright light becomes dim light and normal light becomes darkness. Areas of dim light and darkness become supernaturally dark. This functions like darkness, but even creatures with darkvision cannot see within the spell's confines. This spell does not stack with itself. Deeper darkness can be used to counter or dispel any light spell of equal or lower spell level.</t>
  </si>
  <si>
    <t>Darkness (3)</t>
  </si>
  <si>
    <t>Object sheds shadows in 60-ft. radius.</t>
  </si>
  <si>
    <t>Shadow (7), Div (7)</t>
  </si>
  <si>
    <t>Shadow (6)</t>
  </si>
  <si>
    <t>Deep Slumber</t>
  </si>
  <si>
    <t>bard 3, sorcerer/wizard 3, witch 3, shaman 3, occultist 3, psychic 3, mesmerist 3</t>
  </si>
  <si>
    <t>V, S, M (fine sand, rose petals, or a live cricket)</t>
  </si>
  <si>
    <t>one or more living creatures within a 10-ft.-radius burst</t>
  </si>
  <si>
    <t>This spell functions like sleep, except that it affects 10 HD of targets.</t>
  </si>
  <si>
    <t>Puts 10 HD of creatures to sleep.</t>
  </si>
  <si>
    <t>Dreamspun (7), Fey (7)</t>
  </si>
  <si>
    <t>This spell works like mythic sleep, except that it affects up to 20 Hit Dice of creatures. Alternatively, you may target one creature rather than an area, increasing the duration to 1 hour per level.</t>
  </si>
  <si>
    <t>Augmented (5th): If you expend two uses of mythic power, creatures affected by the spell can be awakened only by mythic effects. If you're 5th tier and expend three uses of mythic power, the duration increases to 10 years per tier. If you're 5th tier and expend four uses of mythic power, the spell has both augmented effects. Creatures sleeping for years because of this spell age and breathe as normal, but don't need to eat or drink while the spell lasts.</t>
  </si>
  <si>
    <t>Delayed Blast Fireball</t>
  </si>
  <si>
    <t>V, S, M (a ball of bat guano and sulfur)</t>
  </si>
  <si>
    <t>5 rounds or less; see text</t>
  </si>
  <si>
    <t>This spell functions like fireball, except that it is more powerful and can detonate up to 5 rounds after the spell is cast. The burst of flame deals 1d6 points of fire damage per caster level (maximum 20d6). The glowing bead created by delayed blast fireball can detonate immediately if you desire, or you can choose to delay the burst for as many as 5 rounds. You select the amount of delay upon completing the spell, and that time cannot change once it has been set unless someone touches the bead. If you choose a delay, the glowing bead sits at its destination until it detonates. A creature can pick up and hurl the bead as a thrown weapon (range increment 10 feet). If a creature handles and moves the bead within 1 round of its detonation, there is a 25% chance that the bead detonates while being handled.</t>
  </si>
  <si>
    <t>Arson (7)</t>
  </si>
  <si>
    <t> 1d6/level fire damage; you can postpone blast for up to 5 rounds.</t>
  </si>
  <si>
    <t>Kobold Sorcerer (15), Orc (15), Kobold (15)</t>
  </si>
  <si>
    <t>Delay Poison</t>
  </si>
  <si>
    <t>bard 2, cleric/oracle 2, druid 2, paladin 2, ranger 1, alchemist 2, witch 2, inquisitor 2, shaman 2, occultist 2, mesmerist 2</t>
  </si>
  <si>
    <t>Fortitude negates (harmless)</t>
  </si>
  <si>
    <t>The subject becomes temporarily immune to poison. Any poison in its system or any poison to which it is exposed during the spell's duration does not affect the subject until the spell's duration has expired. Delay poison does not cure any damage that poison may have already done.</t>
  </si>
  <si>
    <t>Stops poison from harming target for 1 hour/level.</t>
  </si>
  <si>
    <t>Serpentine (5)</t>
  </si>
  <si>
    <t>Demand</t>
  </si>
  <si>
    <t>sorcerer/wizard 8, witch 8, psychic 8, mesmerist 6</t>
  </si>
  <si>
    <t>V, S, M/DF (fine copper wire)</t>
  </si>
  <si>
    <t>one creature</t>
  </si>
  <si>
    <t>1 round; see text</t>
  </si>
  <si>
    <t>This spell functions like sending, but the message can also contain a suggestion (see the suggestion spell), which the subject does its best to carry out. A successful Will save negates the suggestion effect but not the contact itself. The demand, if received, is understood even if the subject's Intelligence score is as low as 1. If the message is impossible or meaningless according to the circumstances that exist for the subject at the time the demand is issued, the message is understood but the suggestion is ineffective. The demand's message to the creature must be 25 words or less, including the suggestion. The creature can also give a short reply immediately.</t>
  </si>
  <si>
    <t>Charm (8), Nobility (8), Torture (8)</t>
  </si>
  <si>
    <t> As sending, plus you can send suggestion.</t>
  </si>
  <si>
    <t>Enchantment (16)</t>
  </si>
  <si>
    <t>Desecrate</t>
  </si>
  <si>
    <t>cleric/oracle 2, inquisitor 2, antipaladin 2</t>
  </si>
  <si>
    <t>V, S, M (a vial of unholy water and 25 gp worth (5 pounds) of silver dust, all of which must be sprinkled around the area), DF</t>
  </si>
  <si>
    <t>This spell imbues an area with negative energy. The DC to resist negative channeled energy within this area gains a +3 profane bonus. Every undead creature entering a desecrated area gains a +1 profane bonus on all attack rolls, damage rolls, and saving throws.  An undead creature created within or summoned into such an area gains +1 hit points per HD. If the desecrated area contains an altar, shrine, or other permanent fixture dedicated to your deity or aligned higher power, the modifiers given above are doubled (+6 profane bonus to negative channeled energy DCs, +2 profane bonus and +2 hit points per HD for undead created in the area).  Furthermore, anyone who casts animate dead within this area may create as many as double the normal amount of undead (that is, 4 HD per caster level rather than 2 HD per caster level).  If the area contains an altar, shrine, or other permanent fixture of a deity, pantheon, or higher power other than your patron, the desecrate spell instead curses the area, cutting off its connection with the associated deity or power. This secondary function, if used, does not also grant the bonuses and penalties relating to undead, as given above.  Desecrate counters and dispels consecrate.</t>
  </si>
  <si>
    <t>Fills area with negative energy; aids undead.</t>
  </si>
  <si>
    <t>Select one alignment component that you have (chaotic, evil, or lawful). Outsiders with the opposite alignment subtype of the chosen alignment component take a -1 penalty on attack rolls, damage rolls, and saves in the area.</t>
  </si>
  <si>
    <t>Destruction</t>
  </si>
  <si>
    <t>cleric/oracle 7, witch 8, shaman 8</t>
  </si>
  <si>
    <t>V, S, F (holy or unholy symbol costing 500 gp)</t>
  </si>
  <si>
    <t>Fortitude partial</t>
  </si>
  <si>
    <t>This spell instantly delivers 10 points of damage per caster level. If the spell slays the target, it consumes the remains utterly in holy (or unholy) fire (but not its equipment or possessions). If the target's Fortitude saving throw succeeds, it instead takes 10d6 points of damage. The only way to restore life to a character who has failed to save against this spell (and was slain) is to use true resurrection, a carefully worded wish spell followed by resurrection, or miracle.</t>
  </si>
  <si>
    <t>Death (7), Repose (7), Entropy (7)</t>
  </si>
  <si>
    <t> Kills subject and destroys remains.</t>
  </si>
  <si>
    <t>Detect Animals or Plants</t>
  </si>
  <si>
    <t>concentration, up to 10 min./level</t>
  </si>
  <si>
    <t>You can detect a particular kind of animal or plant in a cone emanating out from you in whatever direction you face. You must think of a kind of animal or plant when using the spell, but you can change the animal or plant kind each round. The amount of information revealed depends on how long you search a particular area or focus on a specific kind of animal or plant. 1st Round: Presence or absence of that kind of animal or plant in the area. 2nd Round: Number of individuals of the specified kind in the area and the condition of the healthiest specimen. 3rd Round: The condition (see below) and location of each individual present. If an animal or a plant is outside your line of sight, then you discern its direction but not its exact location. Conditions: For purposes of this spell, the categories of condition are as follows: Normal: Has at least 90% of full normal hit points, free of disease. Fair: 30% to 90% of full normal hit points remaining. Poor: Less than 30% of full normal hit points remaining, afflicted with a disease, or suffering from a debilitating injury. Weak: 0 or fewer hit points remaining, afflicted with a disease that has reduced an ability score to 5 or less, or crippled. If a creature falls into more than one category, the spell indicates the weaker of the two. Each round you can turn to detect a kind of animal or plant in a new area. The spell can penetrate barriers, but 1 foot of stone, 1 inch of common metal, a thin sheet of lead, or 3 feet of wood or dirt blocks it.</t>
  </si>
  <si>
    <t>Detects kinds of animals or plants.</t>
  </si>
  <si>
    <t>Detect Chaos</t>
  </si>
  <si>
    <t>cleric/oracle 1, inquisitor 1, shaman 1, spiritualist 1</t>
  </si>
  <si>
    <t>concentration, up to 10 min./ level</t>
  </si>
  <si>
    <t>This spell functions like detect evil, except that it detects the auras of chaotic creatures, clerics of chaotic deities, chaotic spells, and chaotic magic items, and you are vulnerable to an overwhelming chaotic aura if you are lawful.</t>
  </si>
  <si>
    <t>Reveals creatures, spells, or objects of selected alignment.</t>
  </si>
  <si>
    <t>Detect Evil</t>
  </si>
  <si>
    <t>You can sense the presence of evil. The amount of information revealed depends on how long you study a particular area or subject. 1st Round: Presence or absence of evil. 2nd Round: Number of evil auras (creatures, objects, or spells) in the area and the power of the most potent evil aura present. If you are of good alignment, and the strongest evil aura's power is overwhelming (see below), and the HD or level of the aura's source is at least twice your character level, you are stunned for 1 round and the spell ends. 3rd Round: The power and location of each aura. If an aura is outside your line of sight, then you discern its direction but not its exact location. Aura Power: An evil aura's power depends on the type of evil creature or object that you're detecting and its HD, caster level, or (in the case of a cleric) class level; see the table below. If an aura falls into more than one strength category, the spell indicates the stronger of the two. Lingering Aura: An evil aura lingers after its original source dissipates (in the case of a spell) or is destroyed (in the case of a creature or magic item). If detect evil is cast and directed at such a location, the spell indicates an aura strength of dim (even weaker than a faint aura). How long the aura lingers at this dim level depends on its original power: Original Strength Duration of Lingering Aura Faint 1d6 rounds Moderate 1d6 minutes Strong 1d6x10 minutes Overwhelming 1d6 days  Animals, traps, poisons, and other potential perils are not evil, and as such this spell does not detect them. Creatures with actively evil intents count as evil creatures for the purpose of this spell.  Each round, you can turn to detect evil in a new area. The spell can penetrate barriers, but 1 foot of stone, 1 inch of common metal, a thin sheet of lead, or 3 feet of wood or dirt blocks it. Detect Chaos/Evil/Good/Law Creature/Object Aura Power None Faint Moderate Strong Overwhelming Aligned creature1 (HD) 5 or lower 5-10 11-25 26-50 51 or higher Aligned Undead (HD) --  2 or lower 3-8 9-20 21 or higher Aligned outsider (HD) --  1 or lower 2-4 5-10 11 or higher Cleric or paladin of an aligned deity2 (class levels) --  1 2-4 5â€“10 11 or higher Aligned magic item or spell (caster level) 5th or lower 6th-10th 11th-15th 16th-20th 21st or higher 1 Except for undead and outsiders, which have their own entries on the table. 2 Some characters who are not clerics may radiate an aura of equivalent power. The class description will indicate whether this applies.</t>
  </si>
  <si>
    <t>Detect Good</t>
  </si>
  <si>
    <t>This spell functions like detect evil, except that it detects the auras of good creatures, clerics or paladins of good deities, good spells, and good magic items, and you are vulnerable to an overwhelming good aura if you are evil.</t>
  </si>
  <si>
    <t>Detect Law</t>
  </si>
  <si>
    <t>This spell functions like detect evil, except that it detects the auras of lawful creatures, clerics of lawful deities, lawful spells, and lawful magic items, and you are vulnerable to an overwhelming lawful aura if you are chaotic.</t>
  </si>
  <si>
    <t>Detect Magic</t>
  </si>
  <si>
    <t>bard 0, cleric/oracle 0, druid 0, sorcerer/wizard 0, summoner/unchained summoner 0, witch 0, inquisitor 0, magus 0, shaman 0, occultist 0, psychic 0, mesmerist 0, spiritualist 0, medium 0</t>
  </si>
  <si>
    <t>concentration, up to 1 min./level</t>
  </si>
  <si>
    <t>You detect magical auras. The amount of information revealed depends on how long you study a particular area or subject. 1st Round: Presence or absence of magical auras. 2nd Round: Number of different magical auras and the power of the most potent aura. 3rd Round: The strength and location of each aura. If the items or creatures bearing the auras are in line of sight, you can make Knowledge (arcana) skill checks to determine the school of magic involved in each. (Make one check per aura: DC 15 + spell level, or 15 + 1/2 caster level for a nonspell effect.) If the aura emanates from a magic item, you can attempt to identify its properties (see Spellcraft). Magical areas, multiple types of magic, or strong local magical emanations may distort or conceal weaker auras. Aura Strength: An aura's power depends on a spell's functioning spell level or an item's caster level; see the accompanying table. If an aura falls into more than one category, detect magic indicates the stronger of the two. Spell or Object Aura Power Faint Moderate Strong Overwhelming Functioning spell (spell level) 3rd or lower 4th-6th 7th-9th 10th+ (deity-level) Magic item (caster level) 5th or lower 6th-11th 12th-20th 21st+ (artifact)  Lingering Aura: A magical aura lingers after its original source dissipates (in the case of a spell) or is destroyed (in the case of a magic item). If detect magic is cast and directed at such a location, the spell indicates an aura strength of dim (even weaker than a faint aura). How long the aura lingers at this dim level depends on its original power: Original Strength Duration of Lingering Aura Faint 1d6 rounds Moderate 1d6 minutes Strong 1d6x10 minutes Overwhelming 1d6 days  Outsiders and elementals are not magical in themselves, but if they are summoned, the conjuration spell registers. Each round, you can turn to detect magic in a new area. The spell can penetrate barriers, but 1 foot of stone, 1 inch of common metal, a thin sheet of lead, or 3 feet of wood or dirt blocks it. Detect magic can be made permanent with a permanency spell.</t>
  </si>
  <si>
    <t>Detects spells and magic items within 60 ft.</t>
  </si>
  <si>
    <t>Detect Poison</t>
  </si>
  <si>
    <t>cleric/oracle 0, druid 0, paladin 1, ranger 1, sorcerer/wizard 0, shaman 0, occultist 0, psychic 0, mesmerist 0, inquisitor 0</t>
  </si>
  <si>
    <t>one creature, one object, or a 5-ft. cube</t>
  </si>
  <si>
    <t>You determine whether a creature, object, or area has been poisoned or is poisonous. You can determine the exact type of poison with a DC 20 Wisdom check. A character with the Craft (alchemy) skill may try a DC 20 Craft (alchemy) check if the Wisdom check fails, or may try the Craft (alchemy) check prior to the Wisdom check. The spell can penetrate barriers, but 1 foot of stone, 1 inch of common metal, a thin sheet of lead, or 3 feet of wood or dirt blocks it.</t>
  </si>
  <si>
    <t>Detects poison in a creature or object.</t>
  </si>
  <si>
    <t>Detect Scrying</t>
  </si>
  <si>
    <t>bard 4, sorcerer/wizard 4, witch 4, inquisitor 4, shaman 4, occultist 4, psychic 4, mesmerist 4, spiritualist 4, medium 3</t>
  </si>
  <si>
    <t>V, S, M (a piece of mirror and a miniature brass hearing trumpet)</t>
  </si>
  <si>
    <t>40-ft.-radius emanation centered on you</t>
  </si>
  <si>
    <t>You immediately become aware of any attempt to observe you by means of a divination (scrying) spell or effect. The spell's area radiates from you and moves as you move. You know the location of every magical sensor within the spell's area.  If the scrying attempt originates within the area, you also know its location; otherwise, you and the scrier immediately make opposed caster level checks (1d20 + caster level). If you at least match the scrier's result, you get a visual image of the scrier and an accurate sense of his direction and distance from you.</t>
  </si>
  <si>
    <t>Solitude (4)</t>
  </si>
  <si>
    <t>Alerts you to magical eavesdropping.</t>
  </si>
  <si>
    <t>Rakshasa (9)</t>
  </si>
  <si>
    <t>Detect Secret Doors</t>
  </si>
  <si>
    <t>alchemist 1, bard 1, sorcerer/wizard 1, witch 1, occultist 1, psychic 1, mesmerist 1</t>
  </si>
  <si>
    <t>You can detect secret doors, compartments, caches, and so forth. Only passages, doors, or openings that have been specifically constructed to escape detection are detected by this spell. The amount of information revealed depends on how long you study a particular area or subject. 1st Round: Presence or absence of secret doors. 2nd Round: Number of secret doors and the location of each. If an aura is outside your line of sight, then you discern its direction but not its exact location. Each Additional Round: The mechanism or trigger for one particular secret portal closely examined by you. Each round, you can turn to detect secret doors in a new area. The spell can penetrate barriers, but 1 foot of stone, 1 inch of common metal, a thin sheet of lead, or 3 feet of wood or dirt blocks it.</t>
  </si>
  <si>
    <t>Revelation (1)</t>
  </si>
  <si>
    <t>Reveals hidden doors within 60 ft.</t>
  </si>
  <si>
    <t>Detect Snares and Pits</t>
  </si>
  <si>
    <t>druid 1, ranger 1, occultist 1</t>
  </si>
  <si>
    <t>You can detect simple pits, deadfalls, and snares as well as mechanical traps constructed of natural materials. The spell does not detect complex traps, including trapdoor traps. Detect snares and pits does detect certain natural hazardsâ€”quicksand (a snare), a sinkhole (a pit), or unsafe walls of natural rock (a deadfall). It does not reveal other potentially dangerous conditions. The spell does not detect magic traps (except those that operate by pit, deadfall, or snaring; see the spell snare), nor mechanically complex ones, nor those that have been rendered safe or inactive. The amount of information revealed depends on how long you study a particular area. 1st Round: Presence or absence of hazards. 2nd Round: Number of hazards and the location of each. If a hazard is outside your line of sight, then you discern its direction but not its exact location. Each Additional Round: The general type and trigger for one particular hazard closely examined by you. Each round, you can turn to examine a new area. The spell can penetrate barriers, but 1 foot of stone, 1 inch of common metal, a thin sheet of lead, or 3 feet of wood or dirt blocks it.</t>
  </si>
  <si>
    <t>Reveals natural or primitive traps.</t>
  </si>
  <si>
    <t>Detect Thoughts</t>
  </si>
  <si>
    <t>bard 2, sorcerer/wizard 2, alchemist 2, summoner/unchained summoner 2, witch 2, inquisitor 2, psychic 1, mesmerist 2, spiritualist 2, medium 2</t>
  </si>
  <si>
    <t>V, S, F/DF (a copper piece)</t>
  </si>
  <si>
    <t>You detect surface thoughts. The amount of information revealed depends on how long you study a particular area or subject. 1st Round: Presence or absence of thoughts (from conscious creatures with Intelligence scores of 1 or higher). 2nd Round: Number of thinking minds and the Intelligence score of each. If the highest Intelligence is 26 or higher (and at least 10 points higher than your own Intelligence score), you are stunned for 1 round and the spell ends. This spell does not let you determine the location of the thinking minds if you can't see the creatures whose thoughts you are detecting. 3rd Round: Surface thoughts of any mind in the area. A target's Will save prevents you from reading its thoughts, and you must cast detect thoughts again to have another chance. Creatures of animal intelligence (Int 1 or 2) have simple, instinctual thoughts. Each round, you can turn to detect thoughts in a new area. The spell can penetrate barriers, but 1 foot of stone, 1 inch of common metal, a thin sheet of lead, or 3 feet of wood or dirt blocks it.</t>
  </si>
  <si>
    <t>Knowledge (2)</t>
  </si>
  <si>
    <t>Allows “listening” to surface thoughts.</t>
  </si>
  <si>
    <t>Detect Undead</t>
  </si>
  <si>
    <t>cleric/oracle 1, paladin 1, sorcerer/wizard 1, alchemist 1, inquisitor 1, shaman 1, psychic 1, mesmerist 1, spiritualist 1, medium 1</t>
  </si>
  <si>
    <t>V, S, M/DF (earth from a grave)</t>
  </si>
  <si>
    <t>concentration, up to 1 minute/ level</t>
  </si>
  <si>
    <t>You can detect the aura that surrounds undead creatures. The amount of information revealed depends on how long you study a particular area. 1st Round: Presence or absence of undead auras. 2nd Round: Number of undead auras in the area and the strength of the strongest undead aura present. If you are of good alignment, and the strongest undead aura's strength is overwhelming (see below), and the creature has HD of at least twice your character level, you are stunned for 1 round and the spell ends. 3rd Round: The strength and location of each undead aura. If an aura is outside your line of sight, then you discern its direction but not its exact location. Aura Strength: The strength of an undead aura is determined by the HD of the undead creature, as given on the table below. Lingering Aura: An undead aura lingers after its original source is destroyed. If detect undead is cast and directed at such a location, the spell indicates an aura strength of dim (even weaker than a faint aura). How long the aura lingers at this dim level depends on its original power, as given on the table below. HD Strength Lingering Aura Duration 1 or lower Faint 1d6 rounds 2-4 Moderate 1d6 minutes 5-10 Strong 1d6 x 10 minutes 11 or higher Overwhelming 1d6 days  Each round, you can turn to detect undead in a new area. The spell can penetrate barriers, but 1 foot of stone, 1 inch of common metal, a thin sheet of lead, or 3 feet of wood or dirt blocks it.</t>
  </si>
  <si>
    <t>Reveals undead within 60 ft.</t>
  </si>
  <si>
    <t>Occult (2), Plague (2), Ethereal (2)</t>
  </si>
  <si>
    <t>Dictum</t>
  </si>
  <si>
    <t>lawful, sonic</t>
  </si>
  <si>
    <t>nonlawful creatures in a 40-ft.-radius spread centered on you</t>
  </si>
  <si>
    <t>Any nonlawful creature within the area of a dictum spell suffers the following ill effects. HD Effect Equal to caster level Deafened Up to caster level -1 Staggered, deafened Up to caster level -5 Paralyzed, staggered, deafened Up to caster level -10 Killed, paralyzed, staggered, deafened The effects are cumulative and concurrent. A successful Will save reduces or eliminates these effects. Creatures affected by multiple effects make only one save and apply the result to all the effects. Deafened: The creature is deafened for 1d4 rounds. Save negates. Staggered: The creature is staggered for 2d4 rounds. Save reduces the staggered effect to 1d4 rounds. Paralyzed: The creature is paralyzed and helpless for 1d10 minutes. Save reduces the paralyzed effect to 1 round. Killed: Living creatures die. Undead creatures are destroyed. Save negates. If the save is successful, the creature instead takes 3d6 points of damage + 1 point per caster level (maximum +25). Furthermore, if you are on your home plane when you cast this spell, nonlawful extraplanar creatures within the area are instantly banished back to their home planes. Creatures so banished cannot return for at least 24 hours. This effect takes place regardless of whether the creatures hear the dictum or not. The banishment allows a Will save (at a -4 penalty) to negate. Creatures whose Hit Dice exceed your caster level are unaffected by dictum.</t>
  </si>
  <si>
    <t>Law (7)</t>
  </si>
  <si>
    <t> Kills, paralyzes, staggers, or deafens nonlawful targets.</t>
  </si>
  <si>
    <t>When determining the spell's effect on non-mythic creatures, add your tier to your caster level. Nonlawful creatures that fail their saves against the spell also take a -4 penalty on attack rolls and saving throws, and their spell resistance decreases by 5 for as long as the spell's other effects last.</t>
  </si>
  <si>
    <t>Dimensional Anchor</t>
  </si>
  <si>
    <t>cleric/oracle 4, sorcerer/wizard 4, summoner 3, inquisitor 3, occultist 4, psychic 4, spiritualist 4, unchained summoner 4, medium 3</t>
  </si>
  <si>
    <t>ray</t>
  </si>
  <si>
    <t>A green ray springs from your hand. You must make a ranged touch attack to hit the target. Any creature or object struck by the ray is covered with a shimmering emerald field that completely blocks extradimensional travel. Forms of movement barred by a dimensional anchor include astral projection, blink, dimension door, ethereal jaunt, etherealness, gate, maze, plane shift, shadow walk, teleport, and similar spell-like abilities. The spell also prevents the use of a gate or teleportation circle for the duration of the spell. A dimensional anchor does not interfere with the movement of creatures already in ethereal or astral form when the spell is cast, nor does it block extradimensional perception or attack forms. Also, dimensional anchor does not prevent summoned creatures from disappearing at the end of a summoning spell.</t>
  </si>
  <si>
    <t>Wards (4)</t>
  </si>
  <si>
    <t>Bars extradimensional movement.</t>
  </si>
  <si>
    <t>Boundaries (8), Dimensions (8)</t>
  </si>
  <si>
    <t>Dimensional Lock</t>
  </si>
  <si>
    <t>cleric/oracle 8, sorcerer/wizard 8, summoner/unchained summoner 6, psychic 8</t>
  </si>
  <si>
    <t>You create a shimmering emerald barrier that completely blocks extradimensional travel. Forms of movement barred include astral projection, blink, dimension door, ethereal jaunt, etherealness, gate, maze, plane shift, shadow walk, teleport, and similar spell-like abilities. Once dimensional lock is in place, extradimensional travel into or out of the area is not possible. A dimensional lock does not interfere with the movement of creatures already in ethereal or astral form when the spell is cast, nor does it block extradimensional perception or attack forms. Also, the spell does not prevent summoned creatures from disappearing at the end of a summoning spell.</t>
  </si>
  <si>
    <t>Teleportation and interplanar travel blocked for 1 day/level.</t>
  </si>
  <si>
    <t>Accursed (17)</t>
  </si>
  <si>
    <t>Boundaries (16)</t>
  </si>
  <si>
    <t>Dimension Door</t>
  </si>
  <si>
    <t>teleportation</t>
  </si>
  <si>
    <t>bard 4, sorcerer/wizard 4, summoner 3, witch 4, magus 4, occultist 4, psychic 4, mesmerist 4, spiritualist 4, unchained summoner 4, medium 3</t>
  </si>
  <si>
    <t>you and touched objects or other touched willing creatures</t>
  </si>
  <si>
    <t>none and Will negates (object)</t>
  </si>
  <si>
    <t>no and yes (object)</t>
  </si>
  <si>
    <t>You instantly transfer yourself from your current location to any other spot within range. You always arrive at exactly the spot desired--whether by simply visualizing the area or by stating direction. After using this spell, you can't take any other actions until your next turn. You can bring along objects as long as their weight doesn't exceed your maximum load. You may also bring one additional willing Medium or smaller creature (carrying gear or objects up to its maximum load) or its equivalent per three caster levels. A Large creature counts as two Medium creatures, a Huge creature counts as two Large creatures, and so forth. All creatures to be transported must be in contact with one another, and at least one of those creatures must be in contact with you.  If you arrive in a place that is already occupied by a solid body, you and each creature traveling with you take 1d6 points of damage and are shunted to a random open space on a suitable surface within 100 feet of the intended location.  If there is no free space within 100 feet, you and each creature traveling with you take an additional 2d6 points of damage and are shunted to a free space within 1,000 feet. If there is no free space within 1,000 feet, you and each creature travelling with you take an additional 4d6 points of damage and the spell simply fails.</t>
  </si>
  <si>
    <t>Travel (4)</t>
  </si>
  <si>
    <t>Teleports you a short distance.</t>
  </si>
  <si>
    <t>Arcane (9)</t>
  </si>
  <si>
    <t>Diminish Plants</t>
  </si>
  <si>
    <t>druid 3, ranger 3</t>
  </si>
  <si>
    <t>This spell has two versions.  Prune Growth: This version of the spell causes normal vegetation within long range (400 feet + 40 feet per level) to shrink to about one-third normal size, becoming untangled and less bushy. The affected vegetation appears to have been carefully pruned and trimmed. This version of diminish plants automatically dispels any spells or effects that enhance plants, such as entangle, plant growth, and wall of thorns.  At your option, the area can be a 100-foot-radius circle, a 150-foot-radius semicircle, or a 200-foot-radius quarter-circle. You may also designate portions of the area that are not affected.  Stunt Growth: This version of the spell targets all normal plants within a range of 1/2 mile, reducing their potential productivity over the course of the following year to half normal.  This spell has no effect on plant creatures.</t>
  </si>
  <si>
    <t>Reduces size or blights the growth of normal plants.</t>
  </si>
  <si>
    <t>Discern Lies</t>
  </si>
  <si>
    <t>cleric/oracle 4, paladin 3, alchemist 4, alchemist 4, witch 4, inquisitor 4, psychic 4, medium 3</t>
  </si>
  <si>
    <t>Each round, you concentrate on one target, who must be within range. You know if the target deliberately and knowingly speaks a lie by discerning disturbances in its aura caused by lying. The spell does not reveal the truth, uncover unintentional inaccuracies, or necessarily reveal evasions.  Each round, you may concentrate on a different target.</t>
  </si>
  <si>
    <t>Nobility (4)</t>
  </si>
  <si>
    <t>Reveals deliberate falsehoods.</t>
  </si>
  <si>
    <t>Discern Location</t>
  </si>
  <si>
    <t>cleric/oracle 8, sorcerer/wizard 8, summoner/unchained summoner 6, witch 8, shaman 8, psychic 8</t>
  </si>
  <si>
    <t>one creature or object</t>
  </si>
  <si>
    <t>A discern location spell is among the most powerful means of locating creatures or objects. Nothing short of a mind blank spell or the direct intervention of a deity keeps you from learning the exact location of a single individual or object. Discern location circumvents normal means of protection from scrying or location. The spell reveals the name of the creature or object's location (place, name, business name, building name, or the like), community, county (or similar political division), country, continent, and the plane of existence where the target lies. To find a creature with the spell, you must have seen the creature or have some item that once belonged to it. To find an object, you must have touched it at least once.</t>
  </si>
  <si>
    <t>Knowledge (8)</t>
  </si>
  <si>
    <t>Reveals exact location of creature or object.</t>
  </si>
  <si>
    <t>Disguise Self</t>
  </si>
  <si>
    <t>bard 1, sorcerer/wizard 1, alchemist 1, inquisitor 1, antipaladin 1, occultist 1, psychic 1, mesmerist 1, medium 1</t>
  </si>
  <si>
    <t>You make yourself--including clothing, armor, weapons, and equipmen--look different. You can seem 1 foot shorter or taller, thin, fat, or in between. You cannot change your creature type (although you can appear as another subtype). Otherwise, the extent of the apparent change is up to you. You could add or obscure a minor feature or look like an entirely different person or gender.  The spell does not provide the abilities or mannerisms of the chosen form, nor does it alter the perceived tactile (touch) or audible (sound) properties of you or your equipment. If you use this spell to create a disguise, you get a +10 bonus on the Disguise check. A creature that interacts with the glamer gets a Will save to recognize it as an illusion.</t>
  </si>
  <si>
    <t>Trickery (1)</t>
  </si>
  <si>
    <t>Changes your appearance.</t>
  </si>
  <si>
    <t>Div (3), Nanite (3)</t>
  </si>
  <si>
    <t>Disintegrate</t>
  </si>
  <si>
    <t>sorcerer/wizard 6, magus 6, occultist 6, psychic 6, spiritualist 6</t>
  </si>
  <si>
    <t>V, S, M/DF (a lodestone and a pinch of dust)</t>
  </si>
  <si>
    <t>Fortitude partial (object)</t>
  </si>
  <si>
    <t>A thin, green ray springs from your pointing finger. You must make a successful ranged touch attack to hit. Any creature struck by the ray takes 2d6 points of damage per caster level (to a maximum of 40d6). Any creature reduced to 0 or fewer hit points by this spell is entirely disintegrated, leaving behind only a trace of fine dust. A disintegrated creature's equipment is unaffected.  When used against an object, the ray simply disintegrates as much as a 10-foot cube of nonliving matter. Thus, the spell disintegrates only part of any very large object or structure targeted.  The ray affects even objects constructed entirely of force, such as forceful hand or a wall of force, but not magical effects such as a globe of invulnerability or an antimagic field.  A creature or object that makes a successful Fortitude save is partially affected, taking only 5d6 points of damage. If this damage reduces the creature or object to 0 or fewer hit points, it is entirely disintegrated.  Only the first creature or object struck can be affected; that is, the ray affects only one target per casting.</t>
  </si>
  <si>
    <t>Ash (7), Destruction (7)</t>
  </si>
  <si>
    <t> Reduces one creature or object to dust.</t>
  </si>
  <si>
    <t>Div (13), Protean (13)</t>
  </si>
  <si>
    <t>Time (12)</t>
  </si>
  <si>
    <t>The damage dealt increases to 3d6 points of damage per caster level (maximum 60d6) plus 1d4 points of Constitution damage. A creature that succeeds at its saving throw takes 5d8 points of damage plus 1 point of Constitution damage. A creature whose Constitution score is reduced to 0 by this spell is entirely disintegrated.</t>
  </si>
  <si>
    <t>Augmented (7th): If you expend two uses of mythic power, you fire two rays. Alternatively, you may fire only one ray, but if the target is a non-mythic creature and it fails its saving throw, it's automatically disintegrated regardless of its current hp.</t>
  </si>
  <si>
    <t>Dismissal</t>
  </si>
  <si>
    <t>cleric/oracle 4, sorcerer/wizard 5, summoner 4, inquisitor 4, shaman 4, occultist 4, psychic 5, spiritualist 5, unchained summoner 5, medium 4</t>
  </si>
  <si>
    <t>one extraplanar creature</t>
  </si>
  <si>
    <t>This spell forces an extraplanar creature back to its proper plane if it fails a Will save. If the spell is successful, the creature is instantly whisked away, but there is a 20% chance of actually sending the subject to a plane other than its own.</t>
  </si>
  <si>
    <t>Forces a creature to return to native plane.</t>
  </si>
  <si>
    <t>Abyssal (11)</t>
  </si>
  <si>
    <t>Peace (8)</t>
  </si>
  <si>
    <t>Dispel Chaos</t>
  </si>
  <si>
    <t>cleric/oracle 5, paladin 4, inquisitor 5, shaman 5</t>
  </si>
  <si>
    <t>you and a touched chaotic creature from another plane, or you and an enchantment or chaotic spell on a touched creature or object</t>
  </si>
  <si>
    <t>1 round/level or until discharged, whichever comes first</t>
  </si>
  <si>
    <t>This spell functions like dispel evil, except that you are surrounded by constant, blue lawful energy, and the spell affects chaotic creatures and spells rather than evil ones.</t>
  </si>
  <si>
    <t>Law (5)</t>
  </si>
  <si>
    <t> +4 bonus against attacks by chaotic creatures.</t>
  </si>
  <si>
    <t>Dispel Evil</t>
  </si>
  <si>
    <t>you and a touched evil creature from another plane, or you and an enchantment or evil spell on a touched creature or object</t>
  </si>
  <si>
    <t>Shimmering, white holy energy surrounds you. This energy has three effects. First, you gain a +4 deflection bonus to AC against attacks by evil creatures. Second, on making a successful melee touch attack against an evil creature from another plane, you can choose to drive that creature back to its home plane. The creature can negate the effects with a successful Will save (spell resistance applies). This use discharges and ends the spell. Third, with a touch you can automatically dispel any one enchantment spell cast by an evil creature or any one evil spell. Spells that can't be dispelled by dispel magic also can't be dispelled by dispel evil. Saving throws and spell resistance do not apply to this effect. This use discharges and ends the spell.</t>
  </si>
  <si>
    <t>Good (5)</t>
  </si>
  <si>
    <t> +4 bonus against attacks by evil creatures.</t>
  </si>
  <si>
    <t>Dispel Good</t>
  </si>
  <si>
    <t>cleric/oracle 5, inquisitor 5, antipaladin 4, shaman 5</t>
  </si>
  <si>
    <t>you and a touched good creature from another plane, or you and an enchantment or good spell on a touched creature or object</t>
  </si>
  <si>
    <t>This spell functions like dispel evil, except that you are surrounded by dark, wavering unholy energy, and the spell affects good creatures and spells rather than evil ones.</t>
  </si>
  <si>
    <t>Evil (5)</t>
  </si>
  <si>
    <t>+4 against attacks by good creatures.</t>
  </si>
  <si>
    <t>Dispel Law</t>
  </si>
  <si>
    <t>you and a touched lawful creature from another plane, or you and an enchantment or lawful spell on a touched creature or object</t>
  </si>
  <si>
    <t>This spell functions like dispel evil, except that you are surrounded by flickering, yellow chaotic energy, and the spell affects lawful creatures and spells rather than evil ones.</t>
  </si>
  <si>
    <t>Chaos (5)</t>
  </si>
  <si>
    <t>+4 against attacks by lawful creatures.</t>
  </si>
  <si>
    <t>Dispel Magic</t>
  </si>
  <si>
    <t>bard 3, cleric/oracle 3, druid 4, paladin 3, sorcerer/wizard 3, summoner/unchained summoner 3, witch 3, inquisitor 3, antipaladin 3, magus 3, shaman 3, occultist 3, psychic 3, mesmerist 3, spiritualist 3, medium 3</t>
  </si>
  <si>
    <t>one spellcaster, creature, or object</t>
  </si>
  <si>
    <t>You can use dispel magic to end one ongoing spell that has been cast on a creature or object, to temporarily suppress the magical abilities of a magic item, or to counter another spellcaster's spell. A dispelled spell ends as if its duration had expired. Some spells, as detailed in their descriptions, can't be defeated by dispel magic. Dispel magic can dispel (but not counter) spell-like effects just as it does spells. The of a spell with an instantaneous duration can't be dispelled, because the magical effect is already over before the dispel magic can take effect. You choose to use dispel magic in one of two ways: a targeted dispel or a counterspell. Targeted Dispel: One object, creature, or spell is the target of the dispel magic spell. You make one dispel check (1d20 + your caster level) and compare that to the spell with highest caster level (DC = 11 + the spell's caster level). If successful, that spell ends. If not, compare the same result to the spell with the next highest caster level. Repeat this process until you have dispelled one spell affecting the target, or you have failed to dispel every spell. For example, a 7th-level caster casts dispel magic, targeting a creature affected by stoneskin (caster level 12th) and fly (caster level 6th). The caster level check results in a 19. This check is not high enough to end the stoneskin (which would have required a 23 or higher), but it is high enough to end the fly (which only required a 17). Had the dispel check resulted in a 23 or higher, the stoneskin would have been dispelled, leaving the fly intact. Had the dispel check been a 16 or less, no spells would have been affected. You can also use a targeted dispel to specifically end one spell affecting the target or one spell affecting an area (such as a wall of fire). You must name the specific spell effect to be targeted in this way. If your caster level check is equal to or higher than the DC of that spell, it ends. No other spells or effects on the target are dispelled if your check is not high enough to end the targeted effect. If you target an object or creature that is the effect of an ongoing spell (such as a monster summoned by summon monster), you make a dispel check to end the spell that conjured the object or creature. If the object that you target is a magic item, you make a dispel check against the item's caster level (DC = 11 + the item's caster level). If you succeed, all the item's magical properties are suppressed for 1d4 rounds, after which the item recovers its magical properties. A suppressed item becomes nonmagical for the duration of the effect. An interdimensional opening (such as a bag of holding) is temporarily closed. A magic item's physical properties are unchanged: A suppressed magic sword is still a sword (a masterwork sword, in fact). Artifacts and deities are unaffected by mortal magic such as this. You automatically succeed on your dispel check against any spell that you cast yourself. Counterspell: When dispel magic is used in this way, the spell targets a spellcaster and is cast as a counterspell. Unlike a true counterspell, however, dispel magic may not work; you must make a dispel check to counter the other spellcaster's spell.</t>
  </si>
  <si>
    <t>Magic (3), Entropy (3)</t>
  </si>
  <si>
    <t>Cancels one magical spell or effect.</t>
  </si>
  <si>
    <t>Arcane (7)</t>
  </si>
  <si>
    <t>When used as a targeted dispel, this spell can end two spells affecting the target instead of just one. If the targeted dispel successfully dispels at least one spell, you heal 1d4 points of damage for every spell level of the dispelled spell. If you dispel two spells, this healing applies only to the highest-level spell dispelled. If you use this spell to counterspell, roll your dispel check twice and take the higher result.</t>
  </si>
  <si>
    <t>Dispel Magic, Greater</t>
  </si>
  <si>
    <t>bard 5, cleric/oracle 6, druid 6, sorcerer/wizard 6, witch 6, inquisitor 6, summoner/unchained summoner 5, magus 6, shaman 6, occultist 5, psychic 6, spiritualist 6</t>
  </si>
  <si>
    <t>This spell functions like dispel magic, except that it can end more than one spell on a target and it can be used to target multiple creatures. You choose to use greater dispel magic in one of three ways: a targeted dispel, area dispel, or a counterspell: Targeted Dispel: This functions as a targeted dispel magic, but it can dispel one spell for every four caster levels you possess, starting with the highest level spells and proceeding to lower level spells. Additionally, greater dispel magic has a chance to dispel any effect that remove curse can remove, even if dispel magic can't dispel that effect. The DC of this check is equal to the curse's DC. Area Dispel: When greater dispel magic is used in this way, the spell affects everything within a 20-foot-radius burst. Roll one dispel check and apply that check to each creature in the area, as if targeted by dispel magic. For each object within the area that is the target of one or more spells, apply the dispel check as with creatures. Magic items are not affected by an area dispel. For each ongoing area or effect spell whose point of origin is within the area of the greater dispel magic spell, apply the dispel check to dispel the spell. For each ongoing spell whose area overlaps that of the greater dispel magic spell, apply the dispel check to end the effect, but only within the overlapping area. If an object or creature that is the effect of an ongoing spell (such as a monster summoned by summon monster) is in the area, apply the dispel check to end the spell that conjured that object or creature (returning it whence it came) in addition to attempting to dispel one spell targeting the creature or object. You may choose to automatically succeed on dispel checks against any spell that you have cast. Counterspell: This functions as dispel magic, but you receive a +4 bonus on your dispel check to counter the other spellcaster's spell.</t>
  </si>
  <si>
    <t>Liberation (6)</t>
  </si>
  <si>
    <t>Works as dispel magic, but can affect multiple targets.</t>
  </si>
  <si>
    <t>Celestial (13), Oni (13)</t>
  </si>
  <si>
    <t>Displacement</t>
  </si>
  <si>
    <t>bard 3, sorcerer/wizard 3, alchemist 3, summoner/unchained summoner 3, magus 3, occultist 3, psychic 3, mesmerist 3, spiritualist 3, medium 3</t>
  </si>
  <si>
    <t>V, M (a small loop of leather)</t>
  </si>
  <si>
    <t>The subject of this spell appears to be about 2 feet away from its true location. The creature benefits from a 50% miss chance as if it had total concealment. Unlike actual total concealment, displacement does not prevent enemies from targeting the creature normally. True seeing reveals its true location and negates the miss chance.</t>
  </si>
  <si>
    <t>Protean (3)</t>
  </si>
  <si>
    <t>Attacks miss subject 50% of the time.</t>
  </si>
  <si>
    <t>Aberrant (BloodRager) (13)</t>
  </si>
  <si>
    <t>Disrupting Weapon</t>
  </si>
  <si>
    <t>cleric/oracle 5, inquisitor 5, spiritualist 5</t>
  </si>
  <si>
    <t>one melee weapon</t>
  </si>
  <si>
    <t>Will negates (harmless, object); see text</t>
  </si>
  <si>
    <t>This spell makes a melee weapon deadly to undead. Any undead creature with HD equal to or less than your caster level must succeed on a Will save or be destroyed utterly if struck in combat with this weapon. Spell resistance does not apply against the destruction effect.</t>
  </si>
  <si>
    <t> Melee weapon destroys undead.</t>
  </si>
  <si>
    <t>Disrupt Undead</t>
  </si>
  <si>
    <t>sorcerer/wizard 0, inquisitor 0, magus 0</t>
  </si>
  <si>
    <t>You direct a ray of positive energy. You must make a ranged touch attack to hit, and if the ray hits an undead creature, it deals 1d6 points of damage to it.</t>
  </si>
  <si>
    <t> Deals 1d6 damage to one undead.</t>
  </si>
  <si>
    <t>Divination</t>
  </si>
  <si>
    <t>cleric/oracle 4, witch 4, inquisitor 4, shaman 4, psychic 4, spiritualist 4, medium 3</t>
  </si>
  <si>
    <t>V, S, M (incense and an appropriate offering worth 25 gp)</t>
  </si>
  <si>
    <t>Similar to augury but more powerful, a divination spell can provide you with a useful piece of advice in reply to a question concerning a specific goal, event, or activity that is to occur within 1 week. The advice granted by the spell can be as simple as a short phrase, or it might take the form of a cryptic rhyme or omen. If your party doesn't act on the information, the conditions may change so that the information is no longer useful. The base chance for a correct divination is 70% + 1% per caster level, to a maximum of 90%. If the die roll fails, you know the spell failed, unless specific magic yielding false information is at work. As with augury, multiple divinations about the same topic by the same caster use the same dice result as the first divination spell and yield the same answer each time.</t>
  </si>
  <si>
    <t>Knowledge (4)</t>
  </si>
  <si>
    <t> Provides useful advice for specific proposed actions.</t>
  </si>
  <si>
    <t>Dreamspun (9)</t>
  </si>
  <si>
    <t>Portents (8)</t>
  </si>
  <si>
    <t>Divine Favor</t>
  </si>
  <si>
    <t>Calling upon the strength and wisdom of a deity, you gain a +1 luck bonus on attack and weapon damage rolls for every three caster levels you have (at least +1, maximum +3). The bonus doesn't apply to spell damage.</t>
  </si>
  <si>
    <t>Archon (1), Nobility (1)</t>
  </si>
  <si>
    <t>You gain +1 per three levels on attack and damage rolls.</t>
  </si>
  <si>
    <t>Devotion (2), Strength (2)</t>
  </si>
  <si>
    <t>You also gain the luck bonus on saving throws and skill checks. Alternatively, you can cast this spell on another willing creature, changing the range to touch and target to living creature touched.</t>
  </si>
  <si>
    <t>Divine Power</t>
  </si>
  <si>
    <t>cleric/oracle 4, inquisitor 4, shaman 4</t>
  </si>
  <si>
    <t>Calling upon the divine power of your patron, you imbue yourself with strength and skill in combat. You gain a +1 luck bonus on attack rolls, weapon damage rolls, Strength checks, and Strength-based skill checks for every three caster levels you have (maximum +6). You also gain 1 temporary hit point per caster level. Whenever you make a full-attack action, you can make an additional attack at your full base attack bonus, plus any appropriate modifiers. This additional attack is not cumulative with similar effects, such as haste or weapons with the speed special ability.</t>
  </si>
  <si>
    <t>War (4)</t>
  </si>
  <si>
    <t> You gain attack bonuses and 1 hp/level.</t>
  </si>
  <si>
    <t>Dominate Animal</t>
  </si>
  <si>
    <t>druid 3, shaman 3, psychic 4, mesmerist 3</t>
  </si>
  <si>
    <t>This spell allows you to enchant the targeted animal and direct it with simple commands such as "Attack," "Run," and "Fetch." Suicidal or self-destructive commands (including an order to attack a creature two or more size categories larger than the dominated animal) are simply ignored. Dominate animal establishes a mental link between you and the subject creature. The animal can be directed by silent mental command as long as it remains in range. You need not see the creature to control it. You do not receive direct sensory input from the creature, but you know what it is experiencing. Because you are directing the animal with your own intelligence, it may be able to undertake actions normally beyond its own comprehension. You need not concentrate exclusively on controlling the creature unless you are trying to direct it to do something it normally couldn't do. Changing your instructions or giving a dominated creature a new command is the equivalent of redirecting a spell, so it is a move action.</t>
  </si>
  <si>
    <t>Animal (3)</t>
  </si>
  <si>
    <t> One animal obeys your silent mental commands and orders.</t>
  </si>
  <si>
    <t>Animals (6)</t>
  </si>
  <si>
    <t>Dominate Monster</t>
  </si>
  <si>
    <t>sorcerer/wizard 9, summoner/unchained summoner 6, witch 9, psychic 9</t>
  </si>
  <si>
    <t>This spell functions like dominate person, except that the spell is not restricted by creature type.</t>
  </si>
  <si>
    <t>Charm (9)</t>
  </si>
  <si>
    <t> As dominate person, but any creature.</t>
  </si>
  <si>
    <t>Oni (19), Rakshasa (19), Serpentine (19)</t>
  </si>
  <si>
    <t>Enchantment (18)</t>
  </si>
  <si>
    <t>Dominate Person</t>
  </si>
  <si>
    <t>bard 4, sorcerer/wizard 5, witch 5, shaman 5, occultist 5, psychic 5, mesmerist 4, spiritualist 5</t>
  </si>
  <si>
    <t>one humanoid</t>
  </si>
  <si>
    <t>You can control the actions of any humanoid creature through a telepathic link that you establish with the subject's mind. If you and the subject have a common language, you can generally force the subject to perform as you desire, within the limits of its abilities. If no common language exists, you can communicate only basic commands, such as "Come here," "Go there," "Fight," and "Stand still." You know what the subject is experiencing, but you do not receive direct sensory input from it, nor can it communicate with you telepathically. Once you have given a dominated creature a command, it continues to attempt to carry out that command to the exclusion of all other activities except those necessary for day-to-day survival (such as sleeping, eating, and so forth). Because of this limited range of activity, a Sense Motive check against DC 15 (rather than DC 25) can determine that the subject's behavior is being influenced by an enchantment effect (see the Sense Motive skill description). Changing your orders or giving a dominated creature a new command is a move action. By concentrating fully on the spell (a standard action), you can receive full sensory input as interpreted by the mind of the subject, though it still can't communicate with you. You can't actually see through the subject's eyes, so it's not as good as being there yourself, but you still get a good idea of what's going on. Subjects resist this control, and any subject forced to take actions against its nature receives a new saving throw with a +2 bonus. Obviously self-destructive orders are not carried out. Once control is established, the range at which it can be exercised is unlimited, as long as you and the subject are on the same plane. You need not see the subject to control it. If you don't spend at least 1 round concentrating on the spell each day, the subject receives a new saving throw to throw off the domination. Protection from evil or a similar spell can prevent you from exercising control or using the telepathic link while the subject is so warded, but such an effect does not automatically dispel it.</t>
  </si>
  <si>
    <t>Slavery (5)</t>
  </si>
  <si>
    <t>Controls humanoid telepathically.</t>
  </si>
  <si>
    <t>Infernal (11), Maestro (11)</t>
  </si>
  <si>
    <t>Enchantment (10)</t>
  </si>
  <si>
    <t>Doom</t>
  </si>
  <si>
    <t>antipaladin 1, cleric/oracle 1, inquisitor 1, shaman 1, mesmerist 1, spiritualist 1</t>
  </si>
  <si>
    <t>This spell fills a single subject with a feeling of horrible dread that causes it to become shaken.</t>
  </si>
  <si>
    <t>Demon (1)</t>
  </si>
  <si>
    <t>One subject takes –2 on attack rolls, damage rolls, saves, and checks.</t>
  </si>
  <si>
    <t>Dream</t>
  </si>
  <si>
    <t>phantasm</t>
  </si>
  <si>
    <t>bard 5, sorcerer/wizard 5, alchemist 5, psychic 4, mesmerist 4, spiritualist 5, medium 3</t>
  </si>
  <si>
    <t>one living creature touched</t>
  </si>
  <si>
    <t>You, or a messenger you touch, send a message to others in the form of a dream. At the beginning of the spell, you must name the recipient or identify him or her by some title that leaves no doubt as to identity. The messenger then enters a trance, appears in the intended recipient's dream, and delivers the message. The message can be of any length, and the recipient remembers it perfectly upon waking. The communication is one-way. The recipient cannot ask questions or offer information, nor can the messenger gain any information by observing the dreams of the recipient.  Once the message is delivered, the messenger's mind returns instantly to its body. The duration of the spell is the time required for the messenger to enter the recipient's dream and deliver the message.  If the recipient is awake when the spell begins, the messenger can choose to wake up (ending the spell) or remain in the trance.  The messenger can remain in the trance until the recipient goes to sleep, then enter the recipient's dream and deliver the message as normal. A messenger that is disturbed during the trance comes awake, ending the spell.  Creatures who don't sleep or don't dream cannot be contacted by this spell.  The messenger is unaware of its own surroundings or of the activities around it while in the trance. It is defenseless both physically and mentally (always failing any saving throw) while in the trance.</t>
  </si>
  <si>
    <t>Moon (6), Imagination (5)</t>
  </si>
  <si>
    <t>Sends message to anyone sleeping.</t>
  </si>
  <si>
    <t>Dreamspun (11)</t>
  </si>
  <si>
    <t>Stars (10), Wisdom (10)</t>
  </si>
  <si>
    <t>You or the messenger may gain information from the dreamer you contact by asking questions as if using speak with dead to speak with a corpse. An unwilling dreamer can attempt to resist this probing with a Will save (as speak with dead, using the DC dream would have if it allowed a saving throw). Answers to these questions are still generally brief and cryptic.</t>
  </si>
  <si>
    <t>Eagle's Splendor</t>
  </si>
  <si>
    <t>bard 2, cleric/oracle 2, paladin 2, sorcerer/wizard 2, alchemist 2, summoner/unchained summoner 2, antipaladin 2, bloodrager 2, shaman 2, psychic 2, mesmerist 2, medium 2</t>
  </si>
  <si>
    <t>V, S, M/DF (feathers or droppings from an eagle)</t>
  </si>
  <si>
    <t>The transmuted creature becomes more poised, articulate, and personally forceful. The spell grants a +4 enhancement bonus to Charisma, adding the usual benefits to Charisma-based skill checks and other uses of the Charisma modifier. Bards, paladins, and sorcerers (and other spellcasters who rely on Charisma) affected by this spell do not gain any additional bonus spells for the increased Charisma, but the save DCs for spells they cast while under this spell's effect do increase.</t>
  </si>
  <si>
    <t>Subject gains +4 to Cha for 1 min./level.</t>
  </si>
  <si>
    <t>Imperious (5)</t>
  </si>
  <si>
    <t>Eagle's Splendor, Mass</t>
  </si>
  <si>
    <t>bard 6, cleric/oracle 6, sorcerer/wizard 6, summoner 4, shaman 6, psychic 6, unchained summoner 6</t>
  </si>
  <si>
    <t>One creature/level, no two of which can be more than 30 ft. apart</t>
  </si>
  <si>
    <t>This spell functions like eagle's splendor, except that it affects multiple creatures.</t>
  </si>
  <si>
    <t>As eagle’s splendor, affects 1 subject/level.</t>
  </si>
  <si>
    <t>Earthquake</t>
  </si>
  <si>
    <t>cleric/oracle 8, druid 8, shaman 8, psychic 8</t>
  </si>
  <si>
    <t>80-ft.-radius spread (S)</t>
  </si>
  <si>
    <t>When you cast earthquake, an intense but highly localized tremor rips the ground. The powerful shockwave created by this spell knocks creatures down, collapses structures, opens cracks in the ground, and more. The effect lasts for 1 round, during which time creatures on the ground can't move or attack. A spellcaster on the ground must make a concentration check (DC 20 + spell level) or lose any spell he or she tries to cast. The earthquake affects all terrain, vegetation, structures, and creatures in the area. The specific effect of an earthquake spell depends on the nature of the terrain where it is cast.  Cave, Cavern, or Tunnel: The roof collapses, dealing 8d6 points of damage to any creature caught under the cave-in (Reflex DC 15 half) and pinning that creature beneath the rubble (see below). An earthquake cast on the roof of a very large cavern could also endanger those outside the actual area but below the falling debris and rubble.  Cliffs: Earthquake causes a cliff to crumble, creating a landslide that travels horizontally as far as it falls vertically. Any creature in the path takes 8d6 points of bludgeoning damage (Reflex DC 15 half ) and is pinned beneath the rubble (see below).  Open Ground: Each creature standing in the area must make a DC 15 Reflex save or fall down. Fissures open in the earth, and every creature on the ground has a 25% chance to fall into one (Reflex DC 20 to avoid a fissure). The fissures are 40 feet deep. At the end of the spell, all fissures grind shut. Treat all trapped creatures as if they were in the bury zone of an avalanche, trapped without air (see Chapter 13 for more details).  Structure: Any structure standing on open ground takes 100 points of damage, enough to collapse a typical wooden or masonry building, but not a structure built of stone or reinforced masonry.  Hardness does not reduce this damage, nor is it halved as damage dealt to objects normally is. Any creature caught inside a collapsing structure takes 8d6 points of bludgeoning damage (Reflex DC 15 half ) and is pinned beneath the rubble (see below).  River, Lake, or Marsh: Fissures open under the water, draining away the water from that area and forming muddy ground. Soggy marsh or swampland becomes quicksand for the duration of the spell, sucking down creatures and structures. Each creature in the area must make a DC 15 Reflex save or sink down in the mud and quicksand. At the end of the spell, the rest of the body of water rushes in to replace the drained water, possibly drowning those caught in the mud.  Pinned Beneath Rubble: Any creature pinned beneath rubble takes 1d6 points of nonlethal damage per minute while pinned. If a pinned character falls unconscious, he or she must make a DC 15 Constitution check or take 1d6 points of lethal damage each minute thereafter until freed or dead.</t>
  </si>
  <si>
    <t>Destruction (8), Earth (8), Ruins (8)</t>
  </si>
  <si>
    <t>Intense tremor shakes 80-ft. radius.</t>
  </si>
  <si>
    <t>Deep Earth (17), Div (17)</t>
  </si>
  <si>
    <t>Increase the damage dealt to structures by 10 points of damage per tier. Increase the damage dealt by cave-ins and landslides to 10d8 points of damage. Increase the damage dealt to those pinned beneath rubble to 1d10 points per minute. Add your tier to the DC of concentration checks and Constitution checks attempted as a consequence of this spell.</t>
  </si>
  <si>
    <t>Augmented (8th): If you expend two uses of mythic power, the spell lasts for an additional round and the spread's radius increases by 20 feet. Each round this spell is in effect, on your turn you may expend one use of mythic power to continue its duration for 1 round and increase its radius by another 20 feet.</t>
  </si>
  <si>
    <t>Elemental Body I</t>
  </si>
  <si>
    <t>V, S, M (the element you plan to assume)</t>
  </si>
  <si>
    <t>1 min/level</t>
  </si>
  <si>
    <t>When you cast this spell, you can assume the form of a Small air, earth, fire, or water elemental. The abilities you gain depend upon the type of elemental into which you change. Elemental abilities based on size, such as burn, vortex, and whirlwind, use the size of the elemental you transform into to determine their effect. Air elemental: If the form you take is that of a Small air elemental, you gain a +2 size bonus to your Dexterity and a +2 natural armor bonus. You also gain fly 60 feet (perfect), darkvision 60 feet, and the ability to create a whirlwind. Earth elemental: If the form you take is that of a Small earth elemental, you gain a +2 size bonus to your Strength and a +4 natural armor bonus. You also gain darkvision 60 feet, the push ability, and the ability to earth glide. Fire elemental: If the form you take is that of a Small fire elemental, you gain a +2 size bonus to your Dexterity and a +2 natural armor bonus. You gain darkvision 60 feet, resist fire 20, vulnerability to cold, and the burn ability. Water elemental: If the form you take is that of a Small water elemental, you gain a +2 size bonus to your Constitution and a +4 natural armor bonus. You also gain swim 60 feet, darkvision 60 feet, the ability to create a vortex, and the ability to breathe water.</t>
  </si>
  <si>
    <t> Turns you into a Small elemental.</t>
  </si>
  <si>
    <t>Elemental (9)</t>
  </si>
  <si>
    <t>Elemental Body II</t>
  </si>
  <si>
    <t>This spell functions as elemental body I, except that it also allows you to assume the form of a Medium air, earth, fire, or water elemental. The abilities you gain depend upon the elemental. Air elemental: As elemental body I except that you gain a +4 size bonus to your Dexterity and a +3 natural armor bonus. Earth elemental: As elemental body I except that you gain a +4 size bonus to your Strength and a +5 natural armor bonus. Fire elemental: As elemental body I except that you gain a +4 size bonus to your Dexterity and a +3 natural armor bonus. Water elemental: As elemental body I except that you gain a +4 size bonus to your Constitution and a +5 natural armor bonus.</t>
  </si>
  <si>
    <t>Rivers (5)</t>
  </si>
  <si>
    <t> Turns you into a Medium elemental.</t>
  </si>
  <si>
    <t>Elemental (11)</t>
  </si>
  <si>
    <t>Elemental Body III</t>
  </si>
  <si>
    <t>This spell functions as elemental body II, except that it also allows you to assume the form of a Large air, earth, fire, or water elemental. The abilities you gain depend upon the type of elemental into which you change. You are also immune to critical hits and sneak attacks while in elemental form. Air elemental: As elemental body I except that you gain a +2 size bonus to your Strength, +4 size bonus to your Dexterity, and a +4 natural armor bonus. Earth elemental: As elemental body I except that you gain a +6 size bonus to your Strength, a -2 penalty on your Dexterity, a +2 size bonus to your Constitution, and a +6 natural armor bonus. Fire elemental: As elemental body I except that you gain a +4 size bonus to your Dexterity, a +2 size bonus to your Constitution, and a +4 natural armor bonus. Water elemental: As elemental body I except that you gain a +2 size bonus to your Strength, a -2 penalty on your Dexterity, a +6 size bonus to your Constitution, and a +6 natural armor bonus.</t>
  </si>
  <si>
    <t> Turns you into a Large elemental.</t>
  </si>
  <si>
    <t>Elemental (13), Marid (13)</t>
  </si>
  <si>
    <t>Water (12)</t>
  </si>
  <si>
    <t>Elemental Body IV</t>
  </si>
  <si>
    <t>This spell functions as elemental body III, except that it also allows you to assume the form of a Huge air, earth, fire, or water elemental. The abilities you gain depend upon the type of elemental into which you change. You are also immune to critical hits and sneak attacks while in elemental form and gain DR 5/-. Air elemental: As elemental body I except that you gain a +4 size bonus to your Strength, +6 size bonus to your Dexterity, and a +4 natural armor bonus. You also gain fly 120 feet (perfect). Earth elemental: As elemental body I except that you gain a +8 size bonus to your Strength, a -2 penalty on your Dexterity, a +4 size bonus to your Constitution, and a +6 natural armor bonus. Fire elemental: As elemental body I except that you gain a +6 size bonus to your Dexterity, a +4 size bonus to your Constitution, and a +4 natural armor bonus. Water elemental: As elemental body I except that you gain a +4 size bonus to your Strength, a -2 penalty on your Dexterity, a +8 size bonus to your Constitution, and a +6 natural armor bonus. You also gain swim 120 feet.</t>
  </si>
  <si>
    <t>Air (7), Earth (7), Fire (7), Water (7)</t>
  </si>
  <si>
    <t> Turns you into a Huge elemental.</t>
  </si>
  <si>
    <t>Elemental (15)</t>
  </si>
  <si>
    <t>Water (14)</t>
  </si>
  <si>
    <t>Elemental Swarm</t>
  </si>
  <si>
    <t>druid 9, witch 9, shaman 9</t>
  </si>
  <si>
    <t>two or more summoned creatures, no two of which can be more than 30 ft. apart</t>
  </si>
  <si>
    <t>This spell opens a portal to an Elemental Plane and summons elementals from it. A druid can choose any plane (Air, Earth, Fire, or Water); a cleric opens a portal to the plane matching his domain.  When the spell is complete, 2d4 Large elementals appear. Ten minutes later, 1d4 Huge elementals appear. Ten minutes after that, one greater elemental appears. Each elemental has maximum hit points per HD. Once these creatures appear, they serve you for the duration of the spell.  The elementals obey you explicitly and never attack you, even if someone else manages to gain control over them. You do not need to concentrate to maintain control over the elementals. You can dismiss them singly or in groups at any time.  When you use a summoning spell to summon an air, earth, fire, or water creature, it is a spell of that type.</t>
  </si>
  <si>
    <t>Air (9), Earth (9), Fire (9), Water (9)</t>
  </si>
  <si>
    <t> Summons multiple elementals.</t>
  </si>
  <si>
    <t>Elemental (19)</t>
  </si>
  <si>
    <t>Endure Elements</t>
  </si>
  <si>
    <t>cleric/oracle 1, druid 1, paladin 1, ranger 1, sorcerer/wizard 1, alchemist 1, summoner/unchained summoner 1, bloodrager 1, shaman 1, psychic 1, spiritualist 1</t>
  </si>
  <si>
    <t>A creature protected by endure elements suffers no harm from being in a hot or cold environment. It can exist comfortably in conditions between -50 and 140 degrees Fahrenheit without having to make Fortitude saves. The creature's equipment is likewise protected.  Endure elements doesn't provide any protection from fire or cold damage, nor does it protect against other environmental hazards such as smoke, lack of air, and so forth.</t>
  </si>
  <si>
    <t>Sun (1)</t>
  </si>
  <si>
    <t>Exist comfortably in hot or cold regions.</t>
  </si>
  <si>
    <t>Martyred (3)</t>
  </si>
  <si>
    <t>Endurance (2)</t>
  </si>
  <si>
    <t>The target changes to one creature touched per level. Affected creatures gain cold resistance 5 and fire resistance 5. They're not slowed by snow, and ignore penalties on Perception checks and ranged weapon attacks from hail, rain, sleet, and snow. They treat wind as one category weaker.</t>
  </si>
  <si>
    <t>Energy Drain</t>
  </si>
  <si>
    <t>cleric/oracle 9, sorcerer/wizard 9, shaman 9</t>
  </si>
  <si>
    <t>ray of negative energy</t>
  </si>
  <si>
    <t>Fortitude partial; see text for enervation</t>
  </si>
  <si>
    <t>This spell functions like enervation, except that the creature struck gains 2d4 temporary negative levels. Twenty-four hours after gaining them, the subject must make a Fortitude saving throw (DC = energy drain spell's save DC) for each negative level. If the save succeeds, that negative level is removed. If it fails, that negative level becomes permanent. An undead creature struck by the ray gains 2d4x5 temporary hit points for 1 hour.</t>
  </si>
  <si>
    <t>Loss (9), Undead (9)</t>
  </si>
  <si>
    <t>Subject gains 2d4 negative levels.</t>
  </si>
  <si>
    <t>Accursed (19), Undead (19)</t>
  </si>
  <si>
    <t>Plague (18)</t>
  </si>
  <si>
    <t>Enervation</t>
  </si>
  <si>
    <t>sorcerer/wizard 4, witch 4, bloodrager 4, mesmerist 4, spiritualist 4</t>
  </si>
  <si>
    <t>You point your finger and fire a black ray of negative energy that suppresses the life force of any living creature it strikes. You must make a ranged touch attack to hit. If you hit, the subject gains 1d4 temporary negative levels (see Appendix 1). Negative levels stack.  Assuming the subject survives, it regains lost levels after a number of hours equal to your caster level (maximum 15 hours).  Usually, negative levels have a chance of becoming permanent, but the negative levels from enervation don't last long enough to do so.  An undead creature struck by the ray gains 1d4 x 5 temporary hit points for 1 hour.</t>
  </si>
  <si>
    <t>Loss (5), Undead (4)</t>
  </si>
  <si>
    <t> Subject gains 1d4 negative levels.</t>
  </si>
  <si>
    <t>The number of negative levels inflicted increases to 1d6, and the target is sickened for 24 hours. An undead creature struck by the ray gains 1d6 x 5 temporary hit points for a number of hours equal to your caster level.</t>
  </si>
  <si>
    <t>Augmented (3rd): If you expend two uses of mythic power, any creature attempting to remove the target's negative levels must succeed at a caster level check (DC 10 + your caster level + your tier).</t>
  </si>
  <si>
    <t>Enlarge Person</t>
  </si>
  <si>
    <t>sorcerer/wizard 1, alchemist 1, summoner/unchained summoner 1, witch 1, magus 1, bloodrager 1, occultist 1, psychic 1, medium 1</t>
  </si>
  <si>
    <t>V, S, M (powdered iron)</t>
  </si>
  <si>
    <t>This spell causes instant growth of a humanoid creature, doubling its height and multiplying its weight by 8. This increase changes the creature's size category to the next larger one. The target gains a +2 size bonus to Strength, a -2 size penalty to Dexterity (to a minimum of 1), and a -1 penalty on attack rolls and AC due to its increased size.  A humanoid creature whose size increases to Large has a space of 10 feet and a natural reach of 10 feet. This spell does not change the target's speed.  If insufficient room is available for the desired growth, the creature attains the maximum possible size and may make a Strength check (using its increased Strength) to burst any enclosures in the process. If it fails, it is constrained without harm by the materials enclosing it-the spell cannot be used to crush a creature by increasing its size.  All equipment worn or carried by a creature is similarly enlarged by the spell. Melee weapons affected by this spell deal more damage (see page 145). Other magical properties are not affected by this spell. Any enlarged item that leaves an enlarged creature's possession (including a projectile or thrown weapon) instantly returns to its normal size. This means that thrown and projectile weapons deal their normal damage. Magical properties of enlarged items are not increased by this spell.  Multiple magical effects that increase size do not stack.  Enlarge person counters and dispels reduce person.  Enlarge person can be made permanent with a permanency spell.</t>
  </si>
  <si>
    <t>Growth (1), Strength (1)</t>
  </si>
  <si>
    <t> Humanoid creature doubles in size.</t>
  </si>
  <si>
    <t>Aberrant (Sorcerer) (3), Boreal (3), Efreeti (3), Aberrant (BloodRager) (7)</t>
  </si>
  <si>
    <t>You can increase the target's size by up to two size categories, to a maximum of Huge. If the target grows two sizes, its weight increases by a factor of 25, it gains a +4 size bonus to Strength, and takes a -4 size penalty to Dexterity and a -2 penalty on attack rolls and to AC because of its increased size. A Medium humanoid creature whose size increases to Huge has a space of 15 feet and a natural reach of 10 feet. Mythic enlarge person counters and dispels mythic reduce person.</t>
  </si>
  <si>
    <t>Enlarge Person, Mass</t>
  </si>
  <si>
    <t>sorcerer/wizard 4, summoner 3, bloodrager 4, psychic 4, unchained summoner 4</t>
  </si>
  <si>
    <t>One humanoid creature/level, no two of which can be more than 30 ft. apart</t>
  </si>
  <si>
    <t>This spell functions like enlarge person, except that it affects multiple creatures.</t>
  </si>
  <si>
    <t> 1 humanoid creature/level doubles in size.</t>
  </si>
  <si>
    <t>Entangle</t>
  </si>
  <si>
    <t>druid 1, ranger 1, shaman 1</t>
  </si>
  <si>
    <t>plants in a 40-ft.-radius spread</t>
  </si>
  <si>
    <t>Reflex partial; see text</t>
  </si>
  <si>
    <t>This spell causes tall grass, weeds, and other plants to wrap around creatures in the area of effect or those that enter the area. Creatures that fail their save gain the entangled condition. Creatures that make their save can move as normal, but those that remain in the area must save again at the end of your turn. Creatures that move into the area must save immediately. Those that fail must end their movement and gain the entangled condition. Entangled creatures can attempt to break free as a move action, making a Strength or Escape Artist check. The DC for this check is equal to the DC of the spell. The entire area of effect is considered difficult terrain while the effect lasts.  If the plants in the area are covered in thorns, those in the area take 1 point of damage each time they fail a save against the entangle or fail a check made to break free. Other effects, depending on the local plants, might be possible at GM discretion.</t>
  </si>
  <si>
    <t>Plant (1)</t>
  </si>
  <si>
    <t>Plants entangle everyone in 40-ft. radius.</t>
  </si>
  <si>
    <t>Fey (3), Verdant (3)</t>
  </si>
  <si>
    <t>Plant (2)</t>
  </si>
  <si>
    <t>The spell functions in areas without any vegetation, causing plants to spring up out of the ground. These plants can reach creatures that are up to 10 feet in the air. Plants affected or created by the spell sprout thorns that deal 1d6 points of damage each round to creatures in the area.</t>
  </si>
  <si>
    <t>Enthrall</t>
  </si>
  <si>
    <t>language-dependent, mind-affecting, sonic</t>
  </si>
  <si>
    <t>bard 2, cleric/oracle 2, witch 2, inquisitor 2, shaman 2, psychic 2, mesmerist 2</t>
  </si>
  <si>
    <t>any number of creatures</t>
  </si>
  <si>
    <t>1 hour or less</t>
  </si>
  <si>
    <t>If you have the attention of a group of creatures, you can use this spell to hold them enthralled. To cast the spell, you must speak or sing without interruption for 1 full round. Thereafter, those affected give you their undivided attention, ignoring their surroundings. They are considered to have an attitude of friendly while under the effect of the spell. Any potentially affected creature of a race or religion unfriendly to yours gets a +4 bonus on the saving throw. A target with 4 or more HD or with a Wisdom score of 16 or higher remains aware of its surroundings and has an attitude of indifferent. It gains a new saving throw if it witnesses actions that it opposes. The effect lasts as long as you speak or sing, to a maximum of 1 hour. Those enthralled by your words take no action while you speak or sing and for 1d3 rounds thereafter while they discuss the topic or performance. Those entering the area during the performance must also successfully save or become enthralled. The speech ends (but the 1d3-round delay still applies) if you lose concentration or do anything other than speak or sing. If those not enthralled have unfriendly or hostile attitudes toward you, they can collectively make a Charisma check to try to end the spell by jeering and heckling. For this check, use the Charisma bonus of the creature with the highest Charisma in the group; others may make Charisma checks to assist. The heckling ends the spell if this check result beats your Charisma check result. Only one such challenge is allowed per use of the spell. If any member of the audience is attacked or subjected to some other overtly hostile act, the spell ends and the previously enthralled members become immediately unfriendly toward you. Each creature with 4 or more HD or with a Wisdom score of 16 or higher becomes hostile.</t>
  </si>
  <si>
    <t>Love (2), Nobility (2), Revolution (2)</t>
  </si>
  <si>
    <t>Captivates all within 100 ft. + 10 ft./level.</t>
  </si>
  <si>
    <t>Entropic Shield</t>
  </si>
  <si>
    <t>cleric/oracle 1, psychic 1</t>
  </si>
  <si>
    <t>A magical field appears around you, glowing with a chaotic blast of multicolored hues. This field deflects incoming arrows, rays, and other ranged attacks. Each ranged attack directed at you for which the attacker must make an attack roll has a 20% miss chance (similar to the effects of concealment). Other attacks that simply work at a distance are not affected.</t>
  </si>
  <si>
    <t>Entropy (1)</t>
  </si>
  <si>
    <t> Ranged attacks against you have 20% miss chance.</t>
  </si>
  <si>
    <t>When a ranged attack misses because of this spell, there is a 50% chance that the attack is redirected back at the attacker rather than just being deflected harmlessly. The attack uses the same result as the attack roll the attacker made against you.</t>
  </si>
  <si>
    <t>Erase</t>
  </si>
  <si>
    <t>bard 1, sorcerer/wizard 1, occultist 1, psychic 1</t>
  </si>
  <si>
    <t>one scroll or two pages</t>
  </si>
  <si>
    <t>Erase removes writings of either magical or mundane nature from a scroll or from one or two pages of paper, parchment, or similar surfaces. With this spell, you can remove explosive runes, a glyph of warding, a sepia snake sigil, or an arcane mark, but not illusory script or a symbol spell. Nonmagical writing is automatically erased if you touch it and no one else is holding it. Otherwise, the chance of erasing nonmagical writing is 90%. Magic writing must be touched to be erased, and you also must succeed on a caster level check (1d20 + caster level) against DC 15. A natural 1 is always a failure on this check. If you fail to erase explosive runes, a glyph of warding, or a sepia snake sigil, you accidentally activate that writing instead.</t>
  </si>
  <si>
    <t>Rune (1)</t>
  </si>
  <si>
    <t>Mundane or magical writing vanishes.</t>
  </si>
  <si>
    <t>Ethereal Jaunt</t>
  </si>
  <si>
    <t>cleric/oracle 7, sorcerer/wizard 7, psychic 6, summoner 5, unchained summoner 6</t>
  </si>
  <si>
    <t>You become ethereal, along with your equipment. For the duration of the spell, you are in the Ethereal Plane, which overlaps the Material Plane. When the spell expires, you return to material existence. An ethereal creature is invisible, insubstantial, and capable of moving in any direction, even up or down, albeit at half normal speed. As an insubstantial creature, you can move through solid objects, including living creatures. An ethereal creature can see and hear on the Material Plane, but everything looks gray and ephemeral. Sight and hearing onto the Material Plane are limited to 60 feet. Force effects and abjurations affect an ethereal creature normally. Their effects extend onto the Ethereal Plane from the Material Plane, but not vice versa. An ethereal creature can't attack material creatures, and spells you cast while ethereal affect only other ethereal things. Certain material creatures or objects have attacks or effects that work on the Ethereal Plane. Treat other ethereal creatures and ethereal objects as if they were material. If you end the spell and become material while inside a material object (such as a solid wall), you are shunted off to the nearest open space and take 1d6 points of damage per 5 feet that you so travel.</t>
  </si>
  <si>
    <t>Thievery (7)</t>
  </si>
  <si>
    <t>You become ethereal for 1 round/level.</t>
  </si>
  <si>
    <t>Ectoplasm (13)</t>
  </si>
  <si>
    <t>Agility (14), Boundaries (14), Spirits (14), Ethereal (12)</t>
  </si>
  <si>
    <t>Etherealness</t>
  </si>
  <si>
    <t>cleric/oracle 9, sorcerer/wizard 9, shaman 9, psychic 8</t>
  </si>
  <si>
    <t>touch; see text</t>
  </si>
  <si>
    <t>you and one other touched creature per three levels</t>
  </si>
  <si>
    <t>This spell functions like ethereal jaunt, except that you and other willing creatures joined by linked hands (along with their equipment) become ethereal. Besides yourself, you can bring one creature per three caster levels to the Ethereal Plane. Once ethereal, the subjects need not stay together. When the spell expires, all affected creatures on the Ethereal Plane return to material existence.</t>
  </si>
  <si>
    <t>Travel to Ethereal Plane with companions.</t>
  </si>
  <si>
    <t>Ectoplasm (19)</t>
  </si>
  <si>
    <t>Spirits (18), Ethereal (18)</t>
  </si>
  <si>
    <t>Expeditious Retreat</t>
  </si>
  <si>
    <t>bard 1, sorcerer/wizard 1, alchemist 1, summoner/unchained summoner 1, inquisitor 1, magus 1, bloodrager 1, occultist 1, psychic 1, mesmerist 1, spiritualist 1, medium 1</t>
  </si>
  <si>
    <t>This spell increases your base land speed by 30 feet. This adjustment is treated as an enhancement bonus. There is no effect on other modes of movement, such as burrow, climb, fly, or swim. As with any effect that increases your speed, this spell affects your jumping distance (see the Acrobatics skill).</t>
  </si>
  <si>
    <t>Azata (1), Exploration (1)</t>
  </si>
  <si>
    <t>Your base land speed increases by 30 ft.</t>
  </si>
  <si>
    <t>The speed bonus from the spell increases to 40 feet. Add your tier to Acrobatics checks to avoid attacks of opportunity from movement, and when your movement provokes an attack of opportunity, add your tier to your AC against that attack.</t>
  </si>
  <si>
    <t>Explosive Runes</t>
  </si>
  <si>
    <t>sorcerer/wizard 3, occultist 3</t>
  </si>
  <si>
    <t>one touched object weighing no more than 10 lbs.</t>
  </si>
  <si>
    <t>permanent until discharged</t>
  </si>
  <si>
    <t>You trace mystic runes upon a book, map, scroll, or similar object bearing written information. The explosive runes detonate when read, dealing 6d6 points of force damage. Anyone next to the explosive runes (close enough to read them) takes the full damage with no saving throw; any other creature within 10 feet of the explosive runes is entitled to a Reflex save for half damage. The object on which the explosive runes were written also takes full damage (no saving throw). You and any characters you specifically instruct can read the protected writing without triggering the explosive runes. Likewise, you can remove the explosive runes whenever desired. Another creature can remove them with a successful dispel magic or erase spell, but attempting to dispel or erase the explosive runes and failing to do so triggers the explosion. Magic traps such as explosive runes are hard to detect and disable. A character with the trapfinding class feature (only) can use Disable Device to thwart explosive runes. The DC to find magic traps using Perception and to disable them is 25 + spell level, or 28 for explosive runes.</t>
  </si>
  <si>
    <t>Rune (4)</t>
  </si>
  <si>
    <t> Deals 6d6 damage when read.</t>
  </si>
  <si>
    <t>Kobold Sorcerer (7), Kobold (7)</t>
  </si>
  <si>
    <t>Eyebite</t>
  </si>
  <si>
    <t>emotion, pain</t>
  </si>
  <si>
    <t>bard 6, sorcerer/wizard 6, alchemist 6, witch 6, mesmerist 6, spiritualist 6</t>
  </si>
  <si>
    <t>Each round, you can target a single living creature, striking it with waves of power. Depending on the target's HD, this attack has as many as three effects. HD Effect 10 or more Sickened 5-9 Panicked, sickened 4 or less Comatose, panicked, sickened The effects are cumulative and concurrent. Sickened: Sudden pain and fever sweeps over the subject's body. A creature affected by this spell remains sickened for 10 minutes per caster level. The effects cannot be negated by a remove disease or heal spell, but a remove curse is effective. Panicked: The subject becomes panicked for 1d4 rounds. Even after the panic ends, the creature remains shaken for 10 minutes per caster level, and it automatically becomes panicked again if it comes within sight of you during that time. This is a fear effect. Comatose: The subject falls into a catatonic coma for 10 minutes per caster level. During this time, it cannot be awakened by any means short of dispelling the effect. This is not a sleep effect, and thus elves are not immune to it. You must spend a swift action each round after the first to target a foe.</t>
  </si>
  <si>
    <t>Curse (6), Scalykind (6)</t>
  </si>
  <si>
    <t>Target becomes panicked, sickened, and/or comatose.</t>
  </si>
  <si>
    <t>Accursed (13), Pestilence (13)</t>
  </si>
  <si>
    <t>Fabricate</t>
  </si>
  <si>
    <t>sorcerer/wizard 5, occultist 5, psychic 5</t>
  </si>
  <si>
    <t>V, S, M (the original material, which costs the same amount as the raw materials required to craft the item to be created)</t>
  </si>
  <si>
    <t>up to 10 cu. ft./level; see text</t>
  </si>
  <si>
    <t>You convert material of one sort into a product that is of the same material. Creatures or magic items cannot be created or transmuted by the fabricate spell. The quality of items made by this spell is commensurate with the quality of material used as the basis for the new fabrication. If you work with a mineral, the target is reduced to 1 cubic foot per level instead of 10 cubic feet. You must make an appropriate Craft check to fabricate articles requiring a high degree of craftsmanship. Casting requires 1 round per 10 cubic feet of material to be affected by the spell.</t>
  </si>
  <si>
    <t>Artifice (5)</t>
  </si>
  <si>
    <t> Transforms raw materials into finished items.</t>
  </si>
  <si>
    <t>Impossible (11)</t>
  </si>
  <si>
    <t>Faerie Fire</t>
  </si>
  <si>
    <t>druid 1, mesmerist 1</t>
  </si>
  <si>
    <t>creatures and objects within a 5-ft.-radius burst</t>
  </si>
  <si>
    <t>A pale glow surrounds and outlines the subjects. Outlined subjects shed light as candles. Creatures outlined by faerie fire take a -20 penalty on all Stealth checks. Outlined creatures do not benefit from the concealment normally provided by darkness (though a 2nd-level or higher magical darkness effect functions normally), blur, displacement, invisibility, or similar effects. The light is too dim to have any special effect on undead or dark-dwelling creatures vulnerable to light. The faerie fire can be blue, green, or violet, according to your choice at the time of casting. The faerie fire does not cause any harm to the objects or creatures thus outlined.</t>
  </si>
  <si>
    <t>Light (1), Moon (1)</t>
  </si>
  <si>
    <t> Outlines subjects with light, canceling blur, concealment, and the like.</t>
  </si>
  <si>
    <t>Stars (2)</t>
  </si>
  <si>
    <t>Outlined creatures are dazzled. The spell outlines figment illusions in the burst, revealing them as such. This effect applies only to figments with a caster level equal to or less than your tier.</t>
  </si>
  <si>
    <t>Augmented (2nd): If you expend two uses of mythic power, each creature in the burst must succeed at a Fortitude save or be blinded for 1 round.</t>
  </si>
  <si>
    <t>False Life</t>
  </si>
  <si>
    <t>sorcerer/wizard 2, alchemist 2, witch 2, bloodrager 2, shaman 2, occultist 2, psychic 2, mesmerist 2, spiritualist 2, medium 2</t>
  </si>
  <si>
    <t>V, S, M (a drop of blood)</t>
  </si>
  <si>
    <t>1 hour/level or until discharged; see text</t>
  </si>
  <si>
    <t>You harness the power of unlife to grant yourself a limited ability to avoid death. While this spell is in effect, you gain temporary hit points equal to 1d10 + 1 per caster level (maximum +10).</t>
  </si>
  <si>
    <t> Gain 1d10 temporary hp + 1/level (max +10).</t>
  </si>
  <si>
    <t>Undead (5)</t>
  </si>
  <si>
    <t>False Vision</t>
  </si>
  <si>
    <t>bard 5, sorcerer/wizard 5, occultist 5, psychic 5, mesmerist 5, spiritualist 5, medium 4</t>
  </si>
  <si>
    <t>V, S, M (crushed jade worth 250 gp)</t>
  </si>
  <si>
    <t>40-ft.-radius emanation</t>
  </si>
  <si>
    <t>This spell creates a subtle illusion, causing any divination (scrying) spell used to view anything within the area of this spell to instead receive a false image (as the major image spell), as defined by you at the time of casting. As long as the duration lasts, you can concentrate to change the image as desired. While you aren't concentrating, the image remains static.</t>
  </si>
  <si>
    <t>Trickery (5)</t>
  </si>
  <si>
    <t>Fools scrying with an illusion.</t>
  </si>
  <si>
    <t>Feather Fall</t>
  </si>
  <si>
    <t>bard 1, sorcerer/wizard 1, summoner/unchained summoner 1, magus 1, bloodrager 1, occultist 1, psychic 1, spiritualist 1</t>
  </si>
  <si>
    <t>1 immediate action</t>
  </si>
  <si>
    <t>one Medium or smaller freefalling object or creature/level, no two of which may be more than 20 ft. apart</t>
  </si>
  <si>
    <t>until landing or 1 round/level</t>
  </si>
  <si>
    <t>Will negates (harmless) or Will negates (object)</t>
  </si>
  <si>
    <t>The affected creatures or objects fall slowly. Feather fall instantly changes the rate at which the targets fall to a mere 60 feet per round (equivalent to the end of a fall from a few feet), and the subjects take no damage upon landing while the spell is in effect. When the spell duration expires, a normal rate of falling resumes.  The spell affects one or more Medium or smaller creatures (including gear and carried objects up to each creature's maximum load) or objects, or the equivalent in larger creatures: a Large creature or object counts as two Medium creatures or objects, a Huge creature or object counts as four Medium creatures or objects, and so forth.  This spell has no special effect on ranged weapons unless they are falling quite a distance. If the spell is cast on a falling item, the object does half normal damage based on its weight, with no bonus for the height of the drop.  Feather fall works only upon free-falling objects. It does not affect a sword blow or a charging or flying creature.</t>
  </si>
  <si>
    <t>Feather (2), Void (1)</t>
  </si>
  <si>
    <t>Objects or creatures fall slowly.</t>
  </si>
  <si>
    <t>The spell affects one additional target per level. The targets don't have to be within 20 feet of each other.</t>
  </si>
  <si>
    <t>Augmented (4th): If you expend two uses of mythic power, the spell absorbs the targets' velocity and transforms it into a concussive blast. Targets fall at the normal rate (not slowed) but land safely. When a target lands, it creates a 10-foot-radius burst of force that deals 1d6 points of damage per caster level (maximum 5d6, Reflex half, DC equal to the DC of feather fall). The targets of this spell are unaffected by these concussive blasts.</t>
  </si>
  <si>
    <t>Feeblemind</t>
  </si>
  <si>
    <t>sorcerer/wizard 5, witch 5, psychic 5, mesmerist 5, spiritualist 5, medium 4</t>
  </si>
  <si>
    <t>V, S, M (a handful of clay, crystal, or glass spheres)</t>
  </si>
  <si>
    <t>Target creature's Intelligence and Charisma scores each drop to 1. The affected creature is unable to use Intelligence- or Charismabased skills, cast spells, understand language, or communicate coherently. Still, it knows who its friends are and can follow them and even protect them. The subject remains in this state until a heal, limited wish, miracle, or wish spell is used to cancel the of the feeblemind. A creature that can cast arcane spells, such as a sorcerer or a wizard, takes a -4 penalty on its saving throw.</t>
  </si>
  <si>
    <t> Subject's Int and Cha drop to 1.</t>
  </si>
  <si>
    <t>Aberrant (Sorcerer) (11), Accursed (11)</t>
  </si>
  <si>
    <t>Find the Path</t>
  </si>
  <si>
    <t>bard 6, cleric/oracle 6, druid 6, witch 6, inquisitor 6, shaman 6, occultist 6, psychic 6, spiritualist 6</t>
  </si>
  <si>
    <t>3 rounds</t>
  </si>
  <si>
    <t>V, S, F (a set of divination counters)</t>
  </si>
  <si>
    <t>personal or touch</t>
  </si>
  <si>
    <t>you or creature touched</t>
  </si>
  <si>
    <t>none or Will negates (harmless)</t>
  </si>
  <si>
    <t>no or yes (harmless)</t>
  </si>
  <si>
    <t>The recipient of this spell can find the shortest, most direct physical route to a prominent specified destination, such as a city, keep, lake, or dungeon. The locale can be outdoors or underground, as long as it is prominent. For example, a hunter's cabin is not prominent enough, but a logging camp is. Find the path works with respect to locations, not objects or creatures at a locale. The location must be on the same plane as the subject at the time of casting. The spell enables the subject to sense the correct direction that will eventually lead it to its destination, indicating at appropriate times the exact path to follow or physical actions to take. For example, the spell enables the subject to sense what cavern corridor to take when a choice presents itself. The spell ends when the destination is reached or the duration expires, whichever comes first. Find the path can be used to remove the subject and its companions from the effect of a maze spell in a single round, specifying the destination as "outside the maze." This divination is keyed to the recipient, not its companions, and its effect does not predict or allow for the actions of creatures (including guardians) who might take action to oppose the caster as he follows the path revealed by this spell.</t>
  </si>
  <si>
    <t>Knowledge (6), Travel (6)</t>
  </si>
  <si>
    <t>Shows most direct way to a location.</t>
  </si>
  <si>
    <t>Find Traps</t>
  </si>
  <si>
    <t>cleric/oracle 2, witch 2, inquisitor 2, occultist 2, psychic 2, medium 2</t>
  </si>
  <si>
    <t>You gain intuitive insight into the workings of traps. You gain an insight bonus equal to 1/2 your caster level (maximum +10) on Perception checks made to find traps while the spell is in effect. You receive a check to notice traps within 10 feet of you, even if you are not actively searching for them. Note that find traps grants no ability to disable the traps that you may find.</t>
  </si>
  <si>
    <t> Notice traps as a rogue does.</t>
  </si>
  <si>
    <t>Finger Of Death</t>
  </si>
  <si>
    <t>druid 8, sorcerer/wizard 7, psychic 7</t>
  </si>
  <si>
    <t>This spell instantly delivers 10 points of damage per caster level. If the target's Fortitude saving throw succeeds, it instead takes 3d6 points of damage + 1 point per caster level. The subject might die from damage even if it succeeds on its saving throw.</t>
  </si>
  <si>
    <t>Deals 10 damage/level to one subject.</t>
  </si>
  <si>
    <t>Undead (15)</t>
  </si>
  <si>
    <t>Death (14)</t>
  </si>
  <si>
    <t>The damage dealt increases to 15 points of damage per caster level plus 1d8 points of Constitution damage. A creature that succeeds at its saving throw takes 3d8 points of damage + 1 point per caster level, takes 1d4 points of Constitution damage, and is staggered for 1 round.</t>
  </si>
  <si>
    <t>Fire Shield</t>
  </si>
  <si>
    <t>fire or cold</t>
  </si>
  <si>
    <t>sorcerer/wizard 4, alchemist 4, summoner 3, magus 4, bloodrager 4, occultist 4, unchained summoner 4</t>
  </si>
  <si>
    <t>V, S, M (phosphorus for the warm shield; a firefly or glowworm for the chill shield)</t>
  </si>
  <si>
    <t>This spell wreathes you in flame and causes damage to each creature that attacks you in melee. The flames also protect you from either cold-based or fire-based attacks, depending on if you choose cool or warm flames for your fire shield.  Any creature striking you with its body or a handheld weapon deals normal damage, but at the same time the attacker takes 1d6 points of damage + 1 point per caster level (maximum +15).  This damage is either cold damage (if you choose a chill shield) or fire damage (if you choose a warm shield). If the attacker has spell resistance, it applies to this effect. Creatures wielding melee weapons with reach are not subject to this damage if they attack you.  When casting this spell, you appear to immolate yourself, but the flames are thin and wispy, increasing the light level within 10 feet by one step, up to normal light. The color of the flames is blue or green if the chill shield is cast, violet or red if the warm shield is employed. The special powers of each version are as follows.  Chill Shield: The flames are cool to the touch. You take only half damage from fire-based attacks. If such an attack allows a Reflex save for half damage, you take no damage on a successful saving throw.  Warm Shield: The flames are warm to the touch. You take only half damage from cold-based attacks. If such an attack allows a Reflex save for half damage, you take no damage on a successful saving throw.</t>
  </si>
  <si>
    <t>Fire (5), Sun (4)</t>
  </si>
  <si>
    <t> Creatures attacking you take fire damage; you're protected from heat or cold.</t>
  </si>
  <si>
    <t>The damage dealt to your attackers increases to 1d8 points of damage + 1 point per caster level (maximum +15). A chill shield gives you fire immunity. A warm shield gives you cold immunity.</t>
  </si>
  <si>
    <t>Fire Seeds</t>
  </si>
  <si>
    <t>druid 6, shaman 6</t>
  </si>
  <si>
    <t>V, S, M (acorns or holly berries)</t>
  </si>
  <si>
    <t>up to four acorns or up to eight holly berries</t>
  </si>
  <si>
    <t>10 min./level or until used</t>
  </si>
  <si>
    <t>none or Reflex half; see text</t>
  </si>
  <si>
    <t>Depending on the version of fire seeds you choose, you turn acorns into splash weapons that you or another character can throw, or you turn holly berries into bombs that you can detonate on command.  Acorn Grenades: As many as four acorns turn into special thrown splash weapons. An acorn grenade has a range increment of 20 feet. A ranged touch attack roll is required to strike the intended target. Together, the acorns are capable of dealing 1d4 points of fire damage per caster level (maximum 20d4) divided among the acorns as you wish. No acorn can deal more than 10d4 points of damage.  Each acorn grenade explodes upon striking any hard surface.  In addition to its regular fire damage, all creatures adjacent to the explosion take 1 point of fire damage per die of the explosion.  This explosion of fire ignites any combustible materials adjacent to the target.  Holly Berry Bombs: You turn as many as eight holly berries into special bombs. The holly berries are usually placed by hand, since they are too light to make effective thrown weapons (they can be tossed only 5 feet). If you are within 200 feet and speak a word of command, each berry instantly bursts into flame, causing 1d8 points of fire damage + 1 point per caster level to every creature in a 5-foot-radius burst and igniting any combustible materials within 5 feet. A creature in the area that makes a successful Reflex saving throw takes only half damage.</t>
  </si>
  <si>
    <t>Fire (6), Sun (6)</t>
  </si>
  <si>
    <t> Acorns and berries become grenades and bombs.</t>
  </si>
  <si>
    <t>Each acorn's damage increases to 1d6 points of fire damage per caster level (maximum 20d6 for all acorns, no more than 10d6 for any particular acorn). Each holly berry's damage increases to 2d6 points of fire damage + 2 points per caster level. Any creature that fails its Reflex save against an acorn or holly berry catches on fire (Core Rulebook 444), taking 2d6 points of fire damage each round until the fire is extinguished. Attempts to extinguish this fire use the spell's save DC.</t>
  </si>
  <si>
    <t>Fire Storm</t>
  </si>
  <si>
    <t>cleric/oracle 8, druid 7, shaman 8</t>
  </si>
  <si>
    <t>two 10-ft. cubes per level (S)</t>
  </si>
  <si>
    <t>When a fire storm spell is cast, the whole area is shot through with sheets of roaring flame. The raging flames do not harm natural vegetation, ground cover, or any plant creatures in the area that you wish to exclude from damage. Any other creature within the area takes 1d6 points of fire damage per caster level (maximum 20d6). Creatures that fail their Reflex save catch on fire, taking 4d6 points of fire damage each round until the flames are extinguished. Extinguishing the flames is a full-round action that requires a DC 20 Reflex save.</t>
  </si>
  <si>
    <t>Deals 1d6/level fire damage.</t>
  </si>
  <si>
    <t>Elements (16)</t>
  </si>
  <si>
    <t>The damage dealt increases to 1d8 points of damage per caster level (maximum 20d8). Half of this damage is fire damage, and the other half is divine energy that bypasses fire resistance and fire immunity. You can exclude any number of animals from damage just as you can plant creatures.</t>
  </si>
  <si>
    <t>Augmented (8th): If you expend two uses of mythic power, choose one creature type (and subtype, if humanoid or outsider) to exclude from the effects of the spell. For each additional use of mythic power you expend when casting the spell, exclude another creature type. For example, if you expend two uses of mythic power and choose magical beasts, you can exclude from damage any number of magical beasts in the spell's area.</t>
  </si>
  <si>
    <t>Fire Trap</t>
  </si>
  <si>
    <t>druid 2, sorcerer/wizard 4, occultist 4</t>
  </si>
  <si>
    <t>permanent until discharged (D)</t>
  </si>
  <si>
    <t>Reflex half; see text</t>
  </si>
  <si>
    <t>Fire trap creates a fiery explosion when an intruder opens the item that the trap protects. A fire trap spell can ward any object that can be opened and closed.  When casting fire trap, you select a point on the object as the spell's center. When someone other than you opens the object, a fiery explosion fills the area within a 5-foot radius around the spell's center. The flames deal 1d4 points of fire damage + 1 point per caster level (maximum +20). The item protected by the trap is not harmed by this explosion.  A fire-trapped item cannot have a second closure or warding spell placed on it. A knock spell does not bypass a fire trap. An unsuccessful dispel magic spell does not detonate the spell.  Underwater, this ward deals half damage and creates a large cloud of steam.  You can use the fire-trapped object without discharging it, as can any individual to whom the object was specifically attuned when cast. Attuning a fire-trapped object to an individual usually involves setting a password that you can share with friends.  Magic traps such as fire trap are hard to detect and disable. A character with trapfinding can use the Perception skill to find a fire trap and Disable Device to thwart it. The DC in each case is 25 + spell level (DC 27 for a druid's fire trap or DC 29 for the arcane version).</t>
  </si>
  <si>
    <t>Opened object deals 1d4 + 1/level damage.</t>
  </si>
  <si>
    <t>Fireball</t>
  </si>
  <si>
    <t>sorcerer/wizard 3, magus 3, bloodrager 3, occultist 3</t>
  </si>
  <si>
    <t>A fireball spell generates a searing explosion of flame that detonates with a low roar and deals 1d6 points of fire damage per caster level (maximum 10d6) to every creature within the area.  Unattended objects also take this damage. The explosion creates almost no pressure.  You point your finger and determine the range (distance and height) at which the fireball is to burst. A glowing, pea-sized bead streaks from the pointing digit and, unless it impacts upon a material body or solid barrier prior to attaining the prescribed range, blossoms into the fireball at that point. An early impact results in an early detonation. If you attempt to send the bead through a narrow passage, such as through an arrow slit, you must "hit" the opening with a ranged touch attack, or else the bead strikes the barrier and detonates prematurely.  The fireball sets fire to combustibles and damages objects in the area. It can melt metals with low melting points, such as lead, gold, copper, silver, and bronze. If the damage caused to an interposing barrier shatters or breaks through it, the fireball may continue beyond the barrier if the area permits; otherwise it stops at the barrier just as any other spell effect does.</t>
  </si>
  <si>
    <t>Fire (3)</t>
  </si>
  <si>
    <t> 1d6 damage per level, 20-ft. radius.</t>
  </si>
  <si>
    <t>Efreeti (7)</t>
  </si>
  <si>
    <t>Elements (6)</t>
  </si>
  <si>
    <t>The damage dealt increases to 1d10 points of fire damage per caster level (maximum 10d10). Any creature that fails its Reflex saving throw catches on fire (Core Rulebook 444), taking 2d6 points of fire damage each round until the fire is extinguished. Attempts to extinguish this fire use the spell's save DC.</t>
  </si>
  <si>
    <t>Augmented (6th): If you expend two uses of mythic power, the maximum damage increases to 20d10, the area increases to a 40-foot radius spread, and any fire damage dealt by the spell bypasses fire resistance and fire immunity.</t>
  </si>
  <si>
    <t>Flame Arrow</t>
  </si>
  <si>
    <t>V, S, M (a drop of oil and a small piece of flint)</t>
  </si>
  <si>
    <t>fifty projectiles, all of which must be together at the time of casting</t>
  </si>
  <si>
    <t>This spell allows you to turn ammunition (such as arrows, crossbow bolts, shuriken, and sling stones) into fiery projectiles. Each piece of ammunition deals an extra 1d6 points of fire damage to any target it hits. A flaming projectile can easily ignite a flammable object or structure, but it won't ignite a creature it strikes.</t>
  </si>
  <si>
    <t> Arrows deal +1d6 fire damage.</t>
  </si>
  <si>
    <t>Flame Blade</t>
  </si>
  <si>
    <t>druid 2, shaman 2</t>
  </si>
  <si>
    <t>sword-like beam</t>
  </si>
  <si>
    <t>A 3-foot-long, blazing beam of red-hot fire springs forth from your hand. You wield this blade-like beam as if it were a scimitar. Attacks with the flame blade are melee touch attacks.  The blade deals 1d8 points of fire damage + 1 point per two caster levels (maximum +10). Since the blade is immaterial, your Strength modifier does not apply to the damage. A flame blade can ignite combustible materials such as parchment, straw, dry sticks, and cloth.</t>
  </si>
  <si>
    <t> Touch attack deals 1d8 + 1/two levels damage.</t>
  </si>
  <si>
    <t>The blade's damage increases to 2d6 points of fire damage + 1 point per caster level (maximum +20). The blade threatens a critical hit on a natural 18-20 as if it were an actual scimitar.</t>
  </si>
  <si>
    <t>Augmented (3rd): If you expend two uses of mythic power, the blade threatens a critical hit on a natural 15-20, and bypasses hardness, fire resistance, and fire immunity.</t>
  </si>
  <si>
    <t>Flame Strike</t>
  </si>
  <si>
    <t>cleric/oracle 5, druid 4, inquisitor 5, shaman 5</t>
  </si>
  <si>
    <t>cylinder (10-ft. radius, 40-ft. high)</t>
  </si>
  <si>
    <t>A flame strike evokes a vertical column of divine fire. The spell deals 1d6 points of damage per caster level (maximum 15d6). Half the damage is fire damage, but the other half results directly from divine power and is therefore not subject to being reduced by resistance to fire-based attacks.</t>
  </si>
  <si>
    <t>Sun (5), War (5), Arson (5)</t>
  </si>
  <si>
    <t>Smites foes with divine fire (1d6/level damage).</t>
  </si>
  <si>
    <t>Celestial (11)</t>
  </si>
  <si>
    <t>Devotion (10), Elements (10)</t>
  </si>
  <si>
    <t>The damage dealt increases to 1d8 per caster level (maximum 15d8). The area increases to a 20-foot-radius, 40-foot-high cylinder. You may have the divine half of the damage affect only one specific creature type (as the bane weapon quality).</t>
  </si>
  <si>
    <t>Flaming Sphere</t>
  </si>
  <si>
    <t>druid 2, sorcerer/wizard 2, magus 2, bloodrager 2, occultist 2</t>
  </si>
  <si>
    <t>V, S, M/DF (tallow, brimstone, and powdered iron)</t>
  </si>
  <si>
    <t>5-ft.-diameter sphere</t>
  </si>
  <si>
    <t>Reflex negates</t>
  </si>
  <si>
    <t>A burning globe of fire rolls in whichever direction you point and burns those it strikes. It moves 30 feet per round. As part of this movement, it can ascend or jump up to 30 feet to strike a target. If it enters a space with a creature, it stops moving for the round and deals 3d6 points of fire damage to that creature, though a successful Reflex save negates that damage. A flaming sphere rolls over barriers less than 4 feet tall. It ignites flammable substances it touches and illuminates the same area as a torch would.  The sphere moves as long as you actively direct it (a move action for you); otherwise, it merely stays at rest and burns. It can be extinguished by any means that would put out a normal fire of its size. The surface of the sphere has a spongy, yielding consistency and so does not cause damage except by its flame. It cannot push aside unwilling creatures or batter down large obstacles. A flaming sphere winks out if it exceeds the spell's range.</t>
  </si>
  <si>
    <t>Arson (2)</t>
  </si>
  <si>
    <t>Rolling ball of fire deals 3d6 fire damage.</t>
  </si>
  <si>
    <t>Elements (4), Summer (4)</t>
  </si>
  <si>
    <t>Flare</t>
  </si>
  <si>
    <t>bard 0, druid 0, sorcerer/wizard 0, magus 0, occultist 0, psychic 0, mesmerist 0, medium 0</t>
  </si>
  <si>
    <t>burst of light</t>
  </si>
  <si>
    <t>This cantrip creates a burst of light. If you cause the light to burst in front of a single creature, that creature is dazzled for 1 minute unless it makes a successful Fortitude save. Sightless creatures, as well as creatures already dazzled, are not affected by flare.</t>
  </si>
  <si>
    <t>Dazzles one creature (–1 on attack rolls).</t>
  </si>
  <si>
    <t>Flesh to Stone</t>
  </si>
  <si>
    <t>sorcerer/wizard 6, witch 6, magus 6, shaman 6</t>
  </si>
  <si>
    <t>V, S, M (lime, water, and earth)</t>
  </si>
  <si>
    <t>The subject, along with all its carried gear, turns into a mindless, inert statue. If the statue resulting from this spell is broken or damaged, the subject (if ever returned to its original state) has similar damage or deformities. The creature is not dead, but it does not seem to be alive either when viewed with spells such as deathwatch.  Only creatures made of flesh are affected by this spell.</t>
  </si>
  <si>
    <t> Turns subject creature into statue.</t>
  </si>
  <si>
    <t>Mountain (12)</t>
  </si>
  <si>
    <t>Floating Disk</t>
  </si>
  <si>
    <t>sorcerer/wizard 1, magus 1, occultist 1, psychic 1</t>
  </si>
  <si>
    <t>V, S, M (a drop of mercury)</t>
  </si>
  <si>
    <t>3-ft.-diameter disk of force</t>
  </si>
  <si>
    <t>You create a slightly concave, circular plane of force that follows you about and carries loads for you. The disk is 3 feet in diameter and 1 inch deep at its center. It can hold 100 pounds of weight per caster level. If used to transport a liquid, its capacity is 2 gallons. The disk floats approximately 3 feet above the ground at all times and remains level. It floats along horizontally within spell range and will accompany you at a rate of no more than your normal speed each round. If not otherwise directed, it maintains a constant interval of 5 feet between itself and you.  The disk winks out of existence when the spell duration expires.  The disk also winks out if you move beyond its range or try to take the disk more than 3 feet away from the surface beneath it.  When the disk winks out, whatever it was supporting falls to the surface beneath it.</t>
  </si>
  <si>
    <t>Trade (1)</t>
  </si>
  <si>
    <t> Creates 3-ft.-diameter horizontal disk that holds 100 lbs./level.</t>
  </si>
  <si>
    <t>Fly</t>
  </si>
  <si>
    <t>sorcerer/wizard 3, alchemist 3, summoner/unchained summoner 3, witch 3, magus 3, bloodrager 3, shaman 3, occultist 3, psychic 3, spiritualist 3, medium 3</t>
  </si>
  <si>
    <t>V, S, F (a wing feather)</t>
  </si>
  <si>
    <t>The subject can fly at a speed of 60 feet (or 40 feet if it wears medium or heavy armor, or if it carries a medium or heavy load).  It can ascend at half speed and descend at double speed, and its maneuverability is good. Using a fly spell requires only as much concentration as walking, so the subject can attack or cast spells normally. The subject of a fly spell can charge but not run, and it cannot carry aloft more weight than its maximum load, plus any armor it wears. The subject gains a bonus on Fly skill checks equal to 1/2 your caster level.  Should the spell duration expire while the subject is still aloft, the magic fails slowly. The subject floats downward 60 feet per round for 1d6 rounds. If it reaches the ground in that amount of time, it lands safely. If not, it falls the rest of the distance, taking 1d6 points of damage per 10 feet of fall. Since dispelling a spell effectively ends it, the subject also descends safely in this way if the fly spell is dispelled, but not if it is negated by an antimagic field.</t>
  </si>
  <si>
    <t>Azata (3), Feather (3), Travel (3), Void (3)</t>
  </si>
  <si>
    <t> Subject flies at speed of 60 ft.</t>
  </si>
  <si>
    <t>Djinni (7), Draconic (7), Oni (7)</t>
  </si>
  <si>
    <t>The fly speed changes to 120 feet (or 80 feet if the target is wearing medium or heavy armor, or carrying a medium or heavy load) with perfect maneuverability. When the duration expires, the target is protected by feather fall for a number of rounds equal to your caster level.</t>
  </si>
  <si>
    <t>Augmented (3rd): If you expend two uses of mythic power, the target adds your tier on Reflex saves and as a dodge bonus to AC. It gains these bonuses only while flying.</t>
  </si>
  <si>
    <t>Fog Cloud</t>
  </si>
  <si>
    <t>druid 2, magus 2, sorcerer/wizard 2, witch 2, shaman 2, unchained summoner 2</t>
  </si>
  <si>
    <t>medium (100 ft. + 10 ft. level)</t>
  </si>
  <si>
    <t>fog spreads in 20-ft. radius</t>
  </si>
  <si>
    <t>A bank of fog billows out from the point you designate. The fog obscures all sight, including darkvision, beyond 5 feet. A creature within 5 feet has concealment (attacks have a 20% miss chance).  Creatures farther away have total concealment (50% miss chance, and the attacker can't use sight to locate the target).  A moderate wind (11+ mph) disperses the fog in 4 rounds; a strong wind (21+ mph) disperses the fog in 1 round.  The spell does not function underwater.</t>
  </si>
  <si>
    <t>Water (2), Weather (2)</t>
  </si>
  <si>
    <t>Fog obscures vision.</t>
  </si>
  <si>
    <t>Storms (4)</t>
  </si>
  <si>
    <t>The radius of the fog increases to 50 feet.</t>
  </si>
  <si>
    <t>Augmented (3rd): If you expend two uses of mythic power, the fog's radius changes to 500 feet, and its height changes to 100 feet. Winds can't dissipate the fog unless the area of the wind affects the entire area of the augmented mythic fog cloud. If you're at least 6th tier and instead expend three uses of mythic power, the range increases to 1 mile, the fog's radius changes to 1 mile, and its height changes to 500 feet. The cloud is as resistant to wind as the 3rd-tier augmented version.</t>
  </si>
  <si>
    <t>Forbiddance</t>
  </si>
  <si>
    <t>cleric/oracle 6, inquisitor 6, occultist 6</t>
  </si>
  <si>
    <t>6 rounds</t>
  </si>
  <si>
    <t>V, S, M (holy water and incense worth 1,500 gp, plus 1,500 gp per 60-foot cube), DF</t>
  </si>
  <si>
    <t>60-ft. cube/level</t>
  </si>
  <si>
    <t>Forbiddance seals an area against all planar travel into or within it. This includes all teleportation spells (such as dimension door and teleport), plane shifting, astral travel, ethereal travel, and all summoning spells. Such effects simply fail automatically.  In addition, it damages entering creatures whose alignments are different from yours. The effect on those attempting to enter the warded area is based on their alignment relative to yours (see below). A creature inside the area when the spell is cast takes no damage unless it exits the area and attempts to reenter, at which time it is affected as normal.  Alignments identical: No effect. The creature may enter the area freely (although not by planar travel).  Alignments different with respect to either law/chaos or good/evil: The creature takes 6d6 points of damage. A successful Will save halves the damage, and spell resistance applies.  Alignments different with respect to both law/chaos and good/evil: The creature takes 12d6 points of damage. A successful Will save halves the damage, and spell resistance applies.  At your option, the abjuration can include a password, in which case creatures of alignments different from yours can avoid the damage by speaking the password as they enter the area. You must select this option (and the password) at the time of casting. Adding a password requires the burning of additional rare incenses worth at least 1,000 gp, plus 1,000 gp per 60-foot cube.  Dispel magic does not dispel a forbiddance effect unless the dispeller's level is at least as high as your caster level.  You can't have multiple overlapping forbiddance effects. In such a case, the more recent effect stops at the boundary of the older effect.</t>
  </si>
  <si>
    <t> Blocks planar travel, damages creatures of different alignment.</t>
  </si>
  <si>
    <t>Forcecage</t>
  </si>
  <si>
    <t>sorcerer/wizard 7, psychic 7</t>
  </si>
  <si>
    <t>V, S, M (ruby dust worth 500 gp)</t>
  </si>
  <si>
    <t>barred cage (20-ft. cube) or windowless cell (10-ft. cube)</t>
  </si>
  <si>
    <t>This spell creates an immobile, invisible cubical prison composed of either bars of force or solid walls of force (your choice).  Creatures within the area are caught and contained unless they are too big to fit inside, in which case the spell automatically fails.  Teleportation and other forms of astral travel provide a means of escape, but the force walls or bars extend into the Ethereal Plane, blocking ethereal travel.  Like a wall of force, a forcecage resists dispel magic, although a mage's disjunction still functions. The walls of a forcecage can be damaged by spells as normal, except for disintegrate, which automatically destroys it. The walls of a forcecage can be damaged by weapons and supernatural abilities, but they have a Hardness of 30 and a number of hit points equal to 20 per caster level. Contact with a sphere of annihilation or rod of cancellation instantly destroys a forcecage.  Barred Cage: This version of the spell produces a 20-foot cube made of bands of force (similar to a wall of force spell) for bars. The bands are a half-inch wide, with half-inch gaps between them. Any creature capable of passing through such a small space can escape; others are confined within the barred cage. You can't attack a creature in a barred cage with a weapon unless the weapon can fit between the gaps. Even against such weapons (including arrows and similar ranged attacks), a creature in the barred cage has cover. All spells and breath weapons can pass through the gaps in the bars.  Windowless Cell: This version of the spell produces a 10-foot cube with no way in and no way out. Solid walls of force form its six sides.</t>
  </si>
  <si>
    <t> Cube or cage of force imprisons all inside.</t>
  </si>
  <si>
    <t>Peace (14)</t>
  </si>
  <si>
    <t>Forceful Hand</t>
  </si>
  <si>
    <t>sorcerer/wizard 6, magus 6, occultist 6, psychic 6</t>
  </si>
  <si>
    <t>This spell functions as interposing hand, except that it can also pursue and bull rush one opponent you select. The forceful hand gets one bull rush attack per round. This attack does not provoke an attack of opportunity. Its CMB for bull rush checks uses your caster level in place of its base attack bonus, with a +8 bonus for its Strength score (27), and a +1 bonus for being Large. The hand always moves with the opponent to push them back as far as possible. It has no movement limit for this purpose. Directing the spell to a new target is a move action. Forceful hand prevents the opponent from moving closer to you without first succeeding on a bull rush attack, moving both the forceful hand and the target closer to you. The forceful hand can instead be directed to interpose itself, as interposing hand does.</t>
  </si>
  <si>
    <t> Hand pushes creatures away.</t>
  </si>
  <si>
    <t>Foresight</t>
  </si>
  <si>
    <t>druid 9, sorcerer/wizard 9, witch 9, shaman 9, psychic 9</t>
  </si>
  <si>
    <t>V, S, M/DF (a hummingbird's feather)</t>
  </si>
  <si>
    <t>This spell grants you a powerful sixth sense in relation to yourself or another. Once foresight is cast, you receive instantaneous warnings of impending danger or harm to the subject of the spell. You are never surprised or flat-footed. In addition, the spell gives you a general idea of what action you might take to best protect yourself and gives you a +2 insight bonus to AC and on Reflex saves. This insight bonus is lost whenever you would lose a Dexterity bonus to AC.  When another creature is the subject of the spell, you receive warnings about that creature. You must communicate what you learn to the other creature for the warning to be useful, and the creature can be caught unprepared in the absence of such a warning. Shouting a warning, yanking a person back, and even telepathically communicating (via an appropriate spell) can all be accomplished before some danger befalls the subject, provided you act on the warning without delay. The subject, however, does not gain the insight bonus to AC and Reflex saves.</t>
  </si>
  <si>
    <t>Knowledge (9)</t>
  </si>
  <si>
    <t>“Sixth sense” warns of impending danger.</t>
  </si>
  <si>
    <t>Destined (19)</t>
  </si>
  <si>
    <t>Portents (18)</t>
  </si>
  <si>
    <t>The spell's insight bonus increases to +3. If you cast the spell on another creature, you and the target are simultaneously warned by the spell, and the target gains the spell's insight bonuses.</t>
  </si>
  <si>
    <t>Form of the Dragon I</t>
  </si>
  <si>
    <t>V, S, M (a scale of the dragon type you plan to assume)</t>
  </si>
  <si>
    <t>see below</t>
  </si>
  <si>
    <t>You become a Medium chromatic or metallic dragon (see the Pathfinder RPG Bestiary). You gain a +4 size bonus to Strength, a +2 size bonus to Constitution, a +4 natural armor bonus, fly 60 feet (poor), darkvision 60 feet, a breath weapon, and resistance to one element. You also gain one bite (1d8), two claws (1d6), and two wing attacks (1d4). Your breath weapon and resistance depend on the type of dragon. You can only use the breath weapon once per casting of this spell. All breath weapons deal 6d8 points of damage and allow a Reflex save for half damage. In addition, some of the dragon types grant additional abilities, as noted below. Black dragon: 60-foot line of acid, resist acid 20, swim 60 feet Blue dragon: 60-foot line of electricity, resist electricity 20, burrow 20 feet Green dragon: 30-foot cone of acid, resist acid 20, swim 40 feet Red dragon: 30-foot cone of fire, resist fire 30, vulnerability to cold White dragon: 30-foot cone of cold, resist cold 20, swim 60 feet, vulnerability to fire Brass dragon: 60-foot line of fire, resist fire 20, burrow 30 feet, vulnerability to cold Bronze dragon: 60-foot line of electricity, resist electricity 20, swim 60 feet Copper dragon: 60-foot line of acid, resist acid 20, spider climb (always active) Gold dragon: 30-foot cone of fire, resist fire 20, swim 60 feet Silver dragon: 30-foot cone of cold, resist cold 30, vulnerability to fire</t>
  </si>
  <si>
    <t>Dragon (6)</t>
  </si>
  <si>
    <t> Turns you into a Medium dragon.</t>
  </si>
  <si>
    <t>Draconic (13)</t>
  </si>
  <si>
    <t>Transformation (12)</t>
  </si>
  <si>
    <t>Form of the Dragon II</t>
  </si>
  <si>
    <t>This spell functions as form of the dragon I except that it also allows you to assume the form of a Large chromatic or metallic dragon.  You gain the following abilities: a +6 size bonus to Strength, a +4 size bonus to Constitution, a +6 natural armor bonus, fly 90 feet (poor), darkvision 60 feet, a breath weapon, DR 5/magic, and resistance to one element. You also gain one bite (2d6), two claws (1d8), two wing attacks (1d6), and one tail slap attack (1d8). You can only use the breath weapon twice per casting of this spell, and you must wait 1d4 rounds between uses. All breath weapons deal 8d8 points of damage and allow a Reflex save for half damage. Line breath weapons increase to 80-foot lines and cones increase to 40-foot cones.</t>
  </si>
  <si>
    <t> Turns you into a Large dragon.</t>
  </si>
  <si>
    <t>Draconic (15)</t>
  </si>
  <si>
    <t>Transformation (14)</t>
  </si>
  <si>
    <t>Form of the Dragon III</t>
  </si>
  <si>
    <t>sorcerer/wizard 8</t>
  </si>
  <si>
    <t>This spell functions as form of the dragon II save that it also allows you to take the form of a Huge chromatic or metallic dragon. You gain the following abilities: a +10 size bonus to Strength, a +8 size bonus to Constitution, a +8 natural armor bonus, fly 120 feet (poor), blindsense 60 feet, darkvision 120 feet, a breath weapon, DR 10/magic, frightful presence (DC equal to the DC for this spell), and immunity to one element (of the same type form of the dragon I grants resistance to).  You also gain one bite (2d8), two claws (2d6), two wing attacks (1d8), and one tail slap attack (2d6). You can use the breath weapon as often as you like, but you must wait 1d4 rounds between uses. All breath weapons deal 12d8 points of damage and allow a Reflex save for half damage. Line breath weapons increase to 100-foot lines and cones increase to 50-foot cones.</t>
  </si>
  <si>
    <t> Turns you into a Huge dragon.</t>
  </si>
  <si>
    <t>Draconic (17), Kobold Sorcerer (17), Kobold (17)</t>
  </si>
  <si>
    <t>Transformation (16)</t>
  </si>
  <si>
    <t>Fox's Cunning</t>
  </si>
  <si>
    <t>bard 2, sorcerer/wizard 2, alchemist 2, summoner/unchained summoner 2, psychic 2, medium 2</t>
  </si>
  <si>
    <t>V, S, M/DF (hairs or dung from a fox)</t>
  </si>
  <si>
    <t>The target becomes smarter. The spell grants a +4 enhancement bonus to Intelligence, adding the usual benefits to Intelligencebased skill checks and other uses of the Intelligence modifier.  Wizards (and other spellcasters who rely on Intelligence) affected by this spell do not gain any additional bonus spells for the increased Intelligence, but the save DCs for spells they cast while under this spell's effect do increase. This spell doesn't grant extra skill ranks.</t>
  </si>
  <si>
    <t>Education (2)</t>
  </si>
  <si>
    <t>Subject gains +4 to Int for 1 min./level.</t>
  </si>
  <si>
    <t>Fox's Cunning, Mass</t>
  </si>
  <si>
    <t>bard 6, sorcerer/wizard 6, summoner 4, psychic 6, unchained summoner 6</t>
  </si>
  <si>
    <t>This spell functions like fox's cunning, except that it affects multiple creatures.</t>
  </si>
  <si>
    <t>As fox’s cunning, affects 1 subject/level.</t>
  </si>
  <si>
    <t>Freedom</t>
  </si>
  <si>
    <t>close (25 ft. + 5 ft./2 levels) or see text</t>
  </si>
  <si>
    <t>The subject is freed from spells and effects that restrict movement, including binding, entangle, grappling, imprisonment, maze, paralysis, petrification, pinning, sleep, slow, stunning, temporal stasis, and web. To free a creature from imprisonment or maze, you must know its name and background, and you must cast this spell at the spot where it was entombed or banished into the maze.</t>
  </si>
  <si>
    <t>Liberation (9)</t>
  </si>
  <si>
    <t> Releases creature from imprisonment.</t>
  </si>
  <si>
    <t>Freedom of Movement</t>
  </si>
  <si>
    <t>bard 4, cleric/oracle 4, druid 4, ranger 4, alchemist 4, inquisitor 4, alchemist 4, occultist 4, psychic 4, mesmerist 4, spiritualist 4, medium 4</t>
  </si>
  <si>
    <t>V, S, M (a leather strip bound to the target), DF</t>
  </si>
  <si>
    <t>This spell enables you or a creature you touch to move and attack normally for the duration of the spell, even under the influence of magic that usually impedes movement, such as paralysis, solid fog, slow, and web. All combat maneuver checks made to grapple the target automatically fail. The subject automatically succeeds on any combat maneuver checks and Escape Artist checks made to escape a grapple or a pin.  The spell also allows the subject to move and attack normally while underwater, even with slashing weapons such as axes and swords or with bludgeoning weapons such as flails, hammers, and maces, provided that the weapon is wielded in the hand rather than hurled. The freedom of movement spell does not, however, grant water breathing.</t>
  </si>
  <si>
    <t>Liberation (4), Luck (4), Flowing (4)</t>
  </si>
  <si>
    <t>Subject moves normally despite impediments to restrict movement.</t>
  </si>
  <si>
    <t>Destined (9)</t>
  </si>
  <si>
    <t>Agility (8)</t>
  </si>
  <si>
    <t>Freezing Sphere</t>
  </si>
  <si>
    <t>sorcerer/wizard 6, magus 6, occultist 6</t>
  </si>
  <si>
    <t>V, S, F (a small crystal sphere)</t>
  </si>
  <si>
    <t>see Text</t>
  </si>
  <si>
    <t>instantaneous or 1 round/level; see text</t>
  </si>
  <si>
    <t>Freezing sphere creates a frigid globe of cold energy that streaks from your fingertips to the location you select, where it explodes in a 40-foot-radius burst, dealing 1d6 points of cold damage per caster level (maximum 15d6) to each creature in the area. A creature of the water subtype instead takes 1d8 points of cold damage per caster level (maximum 15d8) and is staggered for 1d4 rounds.  If the freezing sphere strikes a body of water or a liquid that is principally water (not including water-based creatures), it freezes the liquid to a depth of 6 inches in a 40-foot radius. This ice lasts for 1 round per caster level. Creatures that were swimming on the surface of a targeted body of water become trapped in the ice. Attempting to break free is a full-round action. A trapped creature must make a DC 25 Strength check or a DC 25 Escape Artist check to do so.  You can refrain from firing the globe after completing the spell, if you wish. Treat this as a touch spell for which you are holding the charge. You can hold the charge for as long as 1 round per level, at the end of which time the freezing sphere bursts centered on you (and you receive no saving throw to resist its effect). Firing the globe in a later round is a standard action.</t>
  </si>
  <si>
    <t>Ice (7)</t>
  </si>
  <si>
    <t> Freezes water or deals cold damage.</t>
  </si>
  <si>
    <t>Elements (12), Winter (12)</t>
  </si>
  <si>
    <t>Gaseous Form</t>
  </si>
  <si>
    <t>bard 3, sorcerer/wizard 3, alchemist 3, magus 3, occultist 3, psychic 3, spiritualist 3, medium 3</t>
  </si>
  <si>
    <t>S, M/DF (a bit of gauze and a wisp of smoke)</t>
  </si>
  <si>
    <t>willing corporeal creature touched</t>
  </si>
  <si>
    <t>2 min./level (D)</t>
  </si>
  <si>
    <t>The subject and all its gear become insubstantial, misty, and translucent. Its material armor (including natural armor) becomes worthless, though its size, Dexterity, deflection bonuses, and armor bonuses from force effects still apply. The subject gains DR 10/ magic and becomes immune to poison, sneak attacks, and critical hits. It can't attack or cast spells with verbal, somatic, material, or focus components while in gaseous form. This does not rule out the use of certain spells that the subject may have prepared using the feats Silent Spell, Still Spell, and Eschew Materials. The subject also loses supernatural abilities while in gaseous form. If it has a touch spell ready to use, that spell is discharged harmlessly when the gaseous form spell takes effect.  A gaseous creature can't run, but it can fly at a speed of 10 feet and automatically succeeds on all Fly skill checks. It can pass through small holes or narrow openings, even mere cracks, with all it was wearing or holding in its hands, as long as the spell persists. The creature is subject to the effects of wind, and it can't enter water or other liquid. It also can't manipulate objects or activate items, even those carried along with its gaseous form. Continuously active items remain active, though in some cases their effects may be moot.</t>
  </si>
  <si>
    <t>Air (3)</t>
  </si>
  <si>
    <t>Subject becomes insubstantial and can fly slowly.</t>
  </si>
  <si>
    <t>Marid (7), Nanite (7), Protean (7)</t>
  </si>
  <si>
    <t>The damage reduction changes to DR 10/epic and magic, and the fly speed increases to 30 feet. The target can expand itself as a free action, filling an area equal to double its normal space and height (a Medium creature fills a 10-foot-by-10-foot space to a height of about 10 feet) and blocking vision as obscuring mist. Returning from expanded to normal size is also a free action.</t>
  </si>
  <si>
    <t>Augmented: If you expend two uses of mythic power, the target can shift into or out of gaseous form as a move action.</t>
  </si>
  <si>
    <t>Gate</t>
  </si>
  <si>
    <t>creation or calling</t>
  </si>
  <si>
    <t>cleric/oracle 9, sorcerer/wizard 9, psychic 9</t>
  </si>
  <si>
    <t>V, S, M (see text)</t>
  </si>
  <si>
    <t>instantaneous or concentration (up to 1 round/level); see text</t>
  </si>
  <si>
    <t>Casting a gate spell has two effects. First, it creates an interdimensional connection between your plane of existence and a plane you specify, allowing travel between those two planes in either direction.  Second, you may then call a particular individual or kind of being through the gate.  The gate itself is a circular hoop or disk from 5 to 20 feet in diameter (caster's choice) oriented in the direction you desire when it comes into existence (typically vertical and facing you). It is a two-dimensional window looking into the plane you specified when casting the spell, and anyone or anything that moves through is shunted instantly to the other side.  A gate has a front and a back. Creatures moving through the gate from the front are transported to the other plane; creatures moving through it from the back are not.  Planar Travel: As a mode of planar travel, a gate spell functions much like a plane shift spell, except that the gate opens precisely at the point you desire (a creation effect). Deities and other beings who rule a planar realm can prevent a gate from opening in their presence or personal demesnes if they so desire. Travelers need not join hands with you-anyone who chooses to step through the portal is transported. A gate cannot be opened to another point on the same plane; the spell works only for interplanar travel.  You may hold the gate open only for a brief time (no more than 1 round per caster level), and you must concentrate on doing so, or else the interplanar connection is severed.  Calling Creatures: The second effect of the gate spell is to call an extraplanar creature to your aid (a calling effect). By naming a particular being or kind of being as you cast the spell, you cause the gate to open in the immediate vicinity of the desired creature and pull the subject through, willing or unwilling. Deities and unique beings are under no compulsion to come through the gate, although they may choose to do so of their own accord. This use of the spell creates a gate that remains open just long enough to transport the called creatures. This use of the spell has a material cost of 10,000 gp in rare incense and offerings. This cost is in addition to any cost that must be paid to the called creatures.  If you choose to call a kind of creature instead of a known individual, you may call either a single creature or several creatures.  In either case, their total HD cannot exceed twice your caster level. In the case of a single creature, you can control it if its HD does not exceed your caster level. A creature with more HD than your caster level can't be controlled. Deities and unique beings cannot be controlled in any event. An uncontrolled being acts as it pleases, making the calling of such creatures rather dangerous. An uncontrolled being may return to its home plane at any time.  If you choose to exact a longer or more involved form of service from a called creature, you must offer some fair trade in return for that service. The service exacted must be reasonable with respect to the promised favor or reward; see the lesser planar ally spell for appropriate rewards. Some creatures may want their payment in "livestock" rather than in coin, which could involve complications.  Immediately upon completion of the service, the being is transported to your vicinity, and you must then and there turn over the promised reward. After this is done, the creature is instantly freed to return to its own plane.  Failure to fulfill the promise to the letter results in your being subjected to service by the creature or by its liege and master, at the very least. At worst, the creature or its kin may attack you.  Note: When you use a calling spell such as gate to call an air, chaotic, earth, evil, fire, good, lawful, or water creature, it becomes a spell of that type.</t>
  </si>
  <si>
    <t>Glory (9), Trade (9)</t>
  </si>
  <si>
    <t>Connects two planes for travel or summoning.</t>
  </si>
  <si>
    <t>Celestial (19)</t>
  </si>
  <si>
    <t>Boundaries (18), Occult (18), Dimensions (18)</t>
  </si>
  <si>
    <t>Geas/Quest</t>
  </si>
  <si>
    <t>language-dependent, mind-affecting, curse</t>
  </si>
  <si>
    <t>bard 6, cleric/oracle 6, sorcerer/wizard 6, inquisitor 5, witch 6, psychic 6, mesmerist 6</t>
  </si>
  <si>
    <t>1 day/level or until discharged</t>
  </si>
  <si>
    <t>This spell functions similarly to lesser geas, except that it affects a creature of any HD and allows no saving throw.  If the subject is prevented from obeying the geas/quest for 24 hours, it takes a -3 penalty to each of its ability scores. Each day, another -3 penalty accumulates, up to a total of -12. No ability score can be reduced to less than 1 by this effect. The ability score penalties are removed 24 hours after the subject resumes obeying the geas/quest.  A remove curse spell ends a geas/quest spell only if its caster level is at least two higher than your caster level. Break enchantment does not end a geas/quest, but limited wish, miracle, and wish do.  Bards, sorcerers, and wizards usually refer to this spell as geas, while clerics call the same spell quest.</t>
  </si>
  <si>
    <t>Ancestors (6), Charm (6), Honor (6), Nobility (6)</t>
  </si>
  <si>
    <t>As lesser geas, but affects any creature.</t>
  </si>
  <si>
    <t>Enchantment (12)</t>
  </si>
  <si>
    <t>Geas, Lesser</t>
  </si>
  <si>
    <t>bard 3, sorcerer/wizard 4, witch 4, inquisitor 4, psychic 4, mesmerist 3</t>
  </si>
  <si>
    <t>one living creature with 7 HD or less</t>
  </si>
  <si>
    <t>A lesser geas places a magical command on a creature to carry out some service or to refrain from some action or course of activity, as desired by you. The creature must have 7 or fewer HD and be able to understand you. While a geas cannot compel a creature to kill itself or perform acts that would result in certain death, it can cause almost any other course of activity.  The geased creature must follow the given instructions until the geas is completed, no matter how long it takes.  If the instructions involve some open-ended task that the recipient cannot complete through his own actions, the spell remains in effect for a maximum of 1 day per caster level. A clever recipient can subvert some instructions.  If the subject is prevented from obeying the lesser geas for 24 hours, it takes a -2 penalty to each of its ability scores. Each day, another -2 penalty accumulates, up to a total of -8. No ability score can be reduced to less than 1 by this effect. The ability score penalties are removed 24 hours after the subject resumes obeying the lesser geas.  A lesser geas (and all ability score penalties) can be ended by break enchantment, limited wish, remove curse, miracle, or wish. Dispel magic does not affect a lesser geas.</t>
  </si>
  <si>
    <t>Commands subject of 7 HD or less.</t>
  </si>
  <si>
    <t>Gentle Repose</t>
  </si>
  <si>
    <t>cleric/oracle 2, sorcerer/wizard 3, witch 2, shaman 2, occultist 3, spiritualist 2, medium 2</t>
  </si>
  <si>
    <t>V, S, M/DF (salt and a copper piece for each of the corpse's eyes)</t>
  </si>
  <si>
    <t>corpse touched</t>
  </si>
  <si>
    <t>You preserve the remains of a dead creature so that they do not decay. Doing so effectively extends the time limit on raising that creature from the dead (see raise dead). Days spent under the influence of this spell don't count against the time limit.  Additionally, this spell makes transporting a slain (and thus decaying) comrade less unpleasant.  The spell also works on severed body parts and the like.</t>
  </si>
  <si>
    <t>Repose (2)</t>
  </si>
  <si>
    <t>Preserves one corpse.</t>
  </si>
  <si>
    <t>Ghost Sound</t>
  </si>
  <si>
    <t>figment</t>
  </si>
  <si>
    <t>bard 0, sorcerer/wizard 0, magus 0, occultist 0, psychic 0, mesmerist 0, medium 0</t>
  </si>
  <si>
    <t>V, S, M (a bit of wool or a small lump of wax)</t>
  </si>
  <si>
    <t>illusory sounds</t>
  </si>
  <si>
    <t>Will disbelief</t>
  </si>
  <si>
    <t>Ghost sound allows you to create a volume of sound that rises, recedes, approaches, or remains at a fixed place. You choose what type of sound ghost sound creates when casting it and cannot thereafter change the sound's basic character.  The volume of sound created depends on your level. You can produce as much noise as four normal humans per caster level (maximum 40 humans). Thus, talking, singing, shouting, walking, marching, or running sounds can be created. The noise a ghost sound spell produces can be virtually any type of sound within the volume limit. A horde of rats running and squeaking is about the same volume as eight humans running and shouting. A roaring lion is equal to the noise from 16 humans, while a roaring dragon is equal to the noise from 32 humans. Anyone who hears a ghost sound receives a Will save to disbelieve.  Ghost sound can enhance the effectiveness of a silent image spell.  Ghost sound can be made permanent with a permanency spell.</t>
  </si>
  <si>
    <t>Figment sounds.</t>
  </si>
  <si>
    <t>Ghoul touch</t>
  </si>
  <si>
    <t>sorcerer/wizard 2, bloodrager 2, spiritualist 2</t>
  </si>
  <si>
    <t>V, S, M (cloth from a ghoul or earth from a ghoul's lair)</t>
  </si>
  <si>
    <t>living humanoid touched</t>
  </si>
  <si>
    <t>1d6+2 rounds</t>
  </si>
  <si>
    <t>Imbuing you with negative energy, this spell allows you to paralyze a single living humanoid for the duration of the spell with a successful melee touch attack.  A paralyzed subject exudes a carrion stench that causes all living creatures (except you) in a 10-foot-radius spread to become sickened (Fortitude negates). A neutralize poison spell removes the effect from a sickened creature, and creatures immune to poison are unaffected by the stench. This is a poison effect.</t>
  </si>
  <si>
    <t>Undead (2)</t>
  </si>
  <si>
    <t> Paralyzes one subject, which exudes stench that makes those nearby sickened.</t>
  </si>
  <si>
    <t>Giant Form I</t>
  </si>
  <si>
    <t>sorcerer/wizard 7, alchemist 6</t>
  </si>
  <si>
    <t>When you cast this spell you can assume the form of any Large humanoid creature of the giant subtype (see the Pathfinder RPG Bestiary). Once you assume your new form, you gain the following abilities: a +6 size bonus to Strength, a -2 penalty to Dexterity, a +4 size bonus to Constitution, a +4 natural armor bonus, and low-light vision. If the form you assume has any of the following abilities, you gain the listed ability: darkvision 60 feet, rend (2d6 damage), regeneration 5, rock catching, and rock throwing (range 60 feet, 2d6 damage). If the creature has immunity or resistance to any elements, you gain resistance 20 to those elements. If the creature has vulnerability to an element, you gain that vulnerability.</t>
  </si>
  <si>
    <t> Turns you into a Large giant.</t>
  </si>
  <si>
    <t>Boreal (15)</t>
  </si>
  <si>
    <t>Strength (14)</t>
  </si>
  <si>
    <t>Giant Form II</t>
  </si>
  <si>
    <t>Transmutation</t>
  </si>
  <si>
    <t>This spell functions as giant form I except that it also allows you to assume the form of any Huge creature of the giant type. You gain the following abilities: a +8 size bonus to Strength, a -2 penalty to Dexterity, a +6 size bonus to Constitution, a +6 natural armor bonus, low-light vision, and a +10 foot enhancement bonus to your speed. If the form you assume has any of the following abilities, you gain the listed ability: swim 60 feet, darkvision 60 feet, rend (2d8 damage), regeneration 5, rock catching, and rock throwing (range 120 feet, 2d10 damage). If the creature has immunity or resistance to one element, you gain that immunity or resistance. If the creature has vulnerability to an element, you gain that vulnerability.</t>
  </si>
  <si>
    <t> Turns you into a Huge giant.</t>
  </si>
  <si>
    <t>Efreeti (17)</t>
  </si>
  <si>
    <t>Strength (16)</t>
  </si>
  <si>
    <t>Giant Vermin</t>
  </si>
  <si>
    <t>cleric/oracle 4, druid 4, shaman 4</t>
  </si>
  <si>
    <t>1 or more vermin, no two of which can be more than 30 ft. apart</t>
  </si>
  <si>
    <t>You turn a number of normal-sized centipedes, scorpions, or spiders into their giant counterparts (see the Pathfinder RPG Bestiary). Only one type of vermin can be transmuted (so a single casting cannot affect both a centipede and a spider). The number of vermin which can be affected by this spell depends on your caster level, as noted on the table below. Giant vermin created by this spell do not attempt to harm you, but your control of such creatures is limited to simple commands ("Attack," "Defend," "Stop," and so forth). Orders to attack a certain creature when it appears or guard against a particular occurrence are too complex for the vermin to understand. Unless commanded to do otherwise, the giant vermin attack whomever or whatever is near them. Caster Level C entipedes Scorpions Spiders 9th or lower 3 1 2 10th-13th 4 2 3 14th-17th 6 3 4 18th-19th 8 4 5 20th or higher 12 6 8</t>
  </si>
  <si>
    <t>Turns centipedes, scorpions, or spiders into giant vermin.</t>
  </si>
  <si>
    <t>Plague (10)</t>
  </si>
  <si>
    <t>Glibness</t>
  </si>
  <si>
    <t>bard 3, mesmerist 3</t>
  </si>
  <si>
    <t>S</t>
  </si>
  <si>
    <t>Your speech becomes fluent and more believable, causing those who hear you to believe every word you say. You gain a +20 bonus on Bluff checks made to convince another of the truth of your words. This bonus doesn't apply to other uses of the Bluff skill, such as feinting in combat, creating a diversion to hide, or communicating a hidden message via innuendo.  If a magical effect is used against you that would detect your lies or force you to speak the truth, the user of the effect must succeed on a caster level check (1d20 + caster level) against a DC of 15 + your caster level to succeed. Failure means the effect does not detect your lies or force you to speak only the truth.</t>
  </si>
  <si>
    <t> You gain +20 bonus on Bluff checks, and your lies can escape magical discernment.</t>
  </si>
  <si>
    <t>Glitterdust</t>
  </si>
  <si>
    <t>bard 2, sorcerer/wizard 2, summoner/unchained summoner 2, witch 2, magus 2, bloodrager 2, occultist 2, mesmerist 2</t>
  </si>
  <si>
    <t>V, S, M (ground mica)</t>
  </si>
  <si>
    <t>creatures and objects within 10-ft.-radius spread</t>
  </si>
  <si>
    <t>Will negates (blinding only)</t>
  </si>
  <si>
    <t>A cloud of golden particles covers everyone and everything in the area, causing creatures to become blinded and visibly outlining invisible things for the duration of the spell. All within the area are covered by the dust, which cannot be removed and continues to sparkle until it fades. Each round at the end of their turn blinded creatures may attempt new saving throws to end the blindness effect.  Any creature covered by the dust takes a -40 penalty on Stealth checks.</t>
  </si>
  <si>
    <t>Blinds creatures, outlines invisible creatures.</t>
  </si>
  <si>
    <t>Shaitan (5), Starsoul (5)</t>
  </si>
  <si>
    <t>Globe of Invulnerability, Lesser</t>
  </si>
  <si>
    <t>sorcerer/wizard 4, occultist 4, psychic 4</t>
  </si>
  <si>
    <t>V, S, M (a glass or crystal bead)</t>
  </si>
  <si>
    <t>10-ft.-radius spherical emanation, centered on you</t>
  </si>
  <si>
    <t>An immobile, faintly shimmering magical sphere surrounds you and excludes all spell effects of 3rd level or lower. The area or effect of any such spells does not include the area of the lesser globe of invulnerability. Such spells fail to affect any target located within the globe. Excluded effects include spell-like abilities and spells or spell-like effects from items. Any type of spell, however, can be cast through or out of the magical globe.  Spells of 4th level and higher are not affected by the globe, nor are spells already in effect when the globe is cast. The globe can be brought down by a dispel magic spell. You can leave and return to the globe without penalty.  Note that spell effects are not disrupted unless their effects enter the globe, and even then they are merely suppressed, not dispelled.  If a given spell has more than one level depending on which character class is casting it, use the level appropriate to the caster to determine whether lesser globe of invulnerability stops it.</t>
  </si>
  <si>
    <t> Stops 1st- through 3rd-level spell effects.</t>
  </si>
  <si>
    <t>Wisdom (8)</t>
  </si>
  <si>
    <t>Globe Of Invulnerability</t>
  </si>
  <si>
    <t>This spell functions like lesser globe of invulnerability, except that it also excludes 4th-level spells and spell-like effects.</t>
  </si>
  <si>
    <t> As lesser globe of invulnerability, plus 4th-level spell effects.</t>
  </si>
  <si>
    <t>Add half your tier to the level of non-mythic spells the globe excludes. The globe excludes mythic spells of 4th level or lower.</t>
  </si>
  <si>
    <t>Glyph Of Warding</t>
  </si>
  <si>
    <t>cleric/oracle 3</t>
  </si>
  <si>
    <t>V, S, M (powdered diamond worth 200 gp)</t>
  </si>
  <si>
    <t>object touched or up to 5 sq. ft./level</t>
  </si>
  <si>
    <t>no (object) and yes; see text</t>
  </si>
  <si>
    <t>This powerful inscription harms those who enter, pass, or open the warded area or object. A glyph of warding can guard a bridge or passage, ward a portal, trap a chest or box, and so on. You set all of the conditions of the ward. Typically, any creature entering the warded area or opening the warded object without speaking a password (which you set when casting the spell) is subject to the magic it stores. Alternatively or in addition to a password trigger, glyphs can be set according to physical characteristics (such as height or weight) or creature type, subtype, or kind. Glyphs can also be set with respect to good, evil, law, or chaos, or to pass those of your religion. They cannot be set according to class, HD, or level. Glyphs respond to invisible creatures normally but are not triggered by those who travel past them ethereally. Multiple glyphs cannot be cast on the same area. However, if a cabinet has three different drawers, each can be separately warded. When casting the spell, you weave a tracery of faintly glowing lines around the warding sigil. A glyph can be placed to conform to any shape up to the limitations of your total square footage. When the spell is completed, the glyph and tracery become nearly invisible. Glyphs cannot be affected or bypassed by such means as physical or magical probing, though they can be dispelled. Mislead, polymorph, and nondetection (and similar magical effects) can fool a glyph, though nonmagical disguises and the like can't. Read magic allows you to identify a glyph of warding with a DC 13 Knowledge (arcana) check. Identifying the glyph does not discharge it and allows you to know the basic nature of the glyph (version, type of damage caused, what spell is stored). Note: Magic traps such as glyph of warding are hard to detect and disable. While any character can use Perception to find a glyph, only a character with the trapfinding class feature can use Disable Device to disarm it. The DC in each case is 25 + spell level, or 28 for glyph of warding. Depending on the version selected, a glyph either blasts the intruder or activates a spell. Blast Glyph: A blast glyph deals 1d8 points of damage per two caster levels (maximum 5d8) to the intruder and to all within 5 feet of him or her. This damage is acid, cold, fire, electricity, or sonic (caster's choice, made at time of casting). Each creature affected can attempt a Reflex save to take half damage. Spell resistance applies against this effect. Spell Glyph: You can store any harmful spell of 3rd level or lower that you know. All level-dependent features of the spell are based on your caster level at the time of casting the glyph. If the spell has a target, it targets the intruder. If the spell has an area or an amorphous effect, the area or effect is centered on the intruder. If the spell summons creatures, they appear as close as possible to the intruder and attack. Saving Throws and spell resistance operate as normal, except that the DC is based on the level of the spell stored in the glyph.</t>
  </si>
  <si>
    <t>Home (3), Rune (3)</t>
  </si>
  <si>
    <t> Inscription harms those who pass it.</t>
  </si>
  <si>
    <t>Add your tier to the DC to detect or disable the glyph. Blast glyph damage increases to 1d6 points of damage per caster level (maximum 20d6). Add half your tier to the maximum spell level you can store in a spell glyph.</t>
  </si>
  <si>
    <t>Glyph of Warding, Greater</t>
  </si>
  <si>
    <t>cleric/oracle 6</t>
  </si>
  <si>
    <t>This spell functions like glyph of warding, except that a greater blast glyph deals up to 10d8 points of damage, and a greater spell glyph can store a spell of 6th level or lower.  Read magic allows you to identify a greater glyph of warding with aDC 16 Spellcraft check.  Material Component: You trace the glyph with incense, which must first be sprinkled with powdered diamond worth at least 400 gp.</t>
  </si>
  <si>
    <t>Rune (6)</t>
  </si>
  <si>
    <t> As glyph of warding, but up to 10d8 damage or 6th-level spell.</t>
  </si>
  <si>
    <t>Goodberry</t>
  </si>
  <si>
    <t>druid 1, shaman 1</t>
  </si>
  <si>
    <t>2d4 fresh berries touched</t>
  </si>
  <si>
    <t>Casting goodberry makes 2d4 freshly picked berries magical. You (as well as any other druid of 3rd or higher level) can immediately discern which berries are affected. Each transmuted berry provides nourishment as if it were a normal meal for a Medium creature.  The berry also cures 1 point of damage when eaten, subject to a maximum of 8 points of such curing in any 24-hour period.</t>
  </si>
  <si>
    <t>Seasons (1)</t>
  </si>
  <si>
    <t> 2d4 berries each cure 1 hp (max 8 hp/24 hours).</t>
  </si>
  <si>
    <t>Summer (2)</t>
  </si>
  <si>
    <t>Good Hope</t>
  </si>
  <si>
    <t>bard 3</t>
  </si>
  <si>
    <t>one living creature/level, no two of which may be more than 30 ft. apart</t>
  </si>
  <si>
    <t>This spell instills powerful hope in the subjects. Each affected creature gains a +2 morale bonus on saving throws, attack rolls, ability checks, skill checks, and weapon damage rolls.  Good hope counters and dispels crushing despair.</t>
  </si>
  <si>
    <t>Revelry (3)</t>
  </si>
  <si>
    <t> Subjects gain +2 on attack rolls, damage rolls, saves, and checks.</t>
  </si>
  <si>
    <t>Grasping Hand</t>
  </si>
  <si>
    <t>This spell functions as interposing hand, except that it can also grapple one opponent you select. The grasping hand gets one grapple attack per round. This attack does not provoke an attack of opportunity. Its CMB and CMD for grapple checks use your caster level in place of its base attack bonus, with a +10 bonus for its Strength (31) score and a +1 bonus for being Large (its Dexterity is 10, granting no bonus on the Combat Maneuver Defense).  The hand holds but does not harm creatures that it grapples.  Directing the spell to a new target is a move action. The grasping hand can instead be directed to bull rush a target, using the same bonuses outlined above, or it can be directed to interpose itself, as interposing hand does.</t>
  </si>
  <si>
    <t>Strength (7)</t>
  </si>
  <si>
    <t> Hand provides cover, pushes, or grapples.</t>
  </si>
  <si>
    <t>Grease</t>
  </si>
  <si>
    <t>bard 1, sorcerer/wizard 1, summoner/unchained summoner 1, magus 1, mesmerist 1</t>
  </si>
  <si>
    <t>V, S, M (butter)</t>
  </si>
  <si>
    <t>one object or 10-ft. square</t>
  </si>
  <si>
    <t>A grease spell covers a solid surface with a layer of slippery grease. Any creature in the area when the spell is cast must make a successful Reflex save or fall. A creature can walk within or through the area of grease at half normal speed with a DC 10 Acrobatics check. Failure means it can't move that round (and must then make a Reflex save or fall), while failure by 5 or more means it falls (see the Acrobatics skill for details). Creatures that do not move on their turn do not need to make this check and are not considered flat-footed.  The spell can also be used to create a greasy coating on an item.  Material objects not in use are always affected by this spell, while an object wielded or employed by a creature requires its bearer to make a Reflex saving throw to avoid the effect. If the initial saving throw fails, the creature immediately drops the item. A saving throw must be made in each round that the creature attempts to pick up or use the greased item. A creature wearing greased armor or clothing gains a +10 circumstance bonus on Escape Artist checks and combat maneuver checks made to escape a grapple, and to their CMD to avoid being grappled.</t>
  </si>
  <si>
    <t>Makes 10-ft. square or one object slippery.</t>
  </si>
  <si>
    <t>If you cast mythic grease on an area, add your tier to the Acrobatics DC to move within or through the area. If you cast it on a creature's armor or clothing, add your tier to its Escape Artist checks and combat maneuver checks attempted to escape a grapple and to its CMD to avoid being grappled.</t>
  </si>
  <si>
    <t>Augmented: You can expend two uses of mythic power to make the grease flammable. It ignites from any fire at least the size of a candle flame. If a greased area is ignited, any creature in the area on your turn takes 1d3 points of fire damage and might catch on fire (Core Rulebook 444). If a greased creature is ignited, it takes 2d6 points of fire damage, and might catch on fire; add your tier to the save DC.</t>
  </si>
  <si>
    <t>Guards and Wards</t>
  </si>
  <si>
    <t>sorcerer/wizard 6, witch 6</t>
  </si>
  <si>
    <t>V, S, M (burning incense, a small measure of brimstone and oil, a knotted string, and a small amount of blood), F (a small silver rod)</t>
  </si>
  <si>
    <t>anywhere within the area to be warded</t>
  </si>
  <si>
    <t>up to 200 sq. ft./level</t>
  </si>
  <si>
    <t>This powerful spell is primarily used to defend a stronghold or fortress by creating a number of magical wards and effects. The ward protects 200 square feet per caster level. The warded area can be as much as 20 feet high, and shaped as you desire. You can ward several stories of a stronghold by dividing the area among them; you must be somewhere within the area to be warded to cast the spell. The spell creates the following magical effects within the warded area.  Fog: Fog fills all corridors, obscuring all sight, including darkvision, beyond 5 feet. A creature within 5 feet has concealment (attacks have a 20% miss chance). Creatures farther away have total concealment (50% miss chance, and the attacker cannot use sight to locate the target). Saving Throw: none. Spell Resistance: no.  Arcane Locks: All doors in the warded area are arcane locked.  Saving Throw: none. Spell Resistance: no.  Webs: Webs fill all stairs from top to bottom. These strands are identical with those created by the web spell, except that they regrow in 10 minutes if they are burned or torn away while the guards and wards spell lasts. Saving Throw: Reflex negates; see text for web. Spell Resistance: no.  Confusion: Where there are choices in direction-such as a corridor intersection or side passage-a minor confusion-type effect functions so as to make it 50% probable that intruders believe they are going in the opposite direction from the one they actually chose. This is a mind-affecting effect. Saving Throw: none. Spell Resistance: yes.  Lost Doors: One door per caster level is covered by a silent image to appear as if it were a plain wall. Saving Throw: Will disbelief (if interacted with). Spell Resistance: no.  In addition, you can place your choice of one of the following five magical effects.  1. Dancing lights in four corridors. You can designate a simple program that causes the lights to repeat as long as the guards and wards spell lasts. Saving Throw: none. Spell Resistance: no.  2. A magic mouth in two places. Saving Throw: none. Spell Resistance: no.  3. A stinking cloud in two places. The vapors appear in the places you designate; they return within 10 minutes if dispersed by wind while the guards and wards spell lasts. Saving Throw: Fortitude negates; see text for stinking cloud. Spell Resistance: no.  4. A gust of wind in one corridor or room. Saving Throw: Fortitude negates. Spell Resistance: yes.  5. A suggestion in one place. You select an area of up to 5 feet square, and any creature who enters or passes through the area receives the suggestion mentally. Saving Throw: Will negates.  Spell Resistance: yes.  The whole warded area radiates strong magic of the abjuration school. A dispel magic cast on a specific effect, if successful, removes only that effect. A successful mage's disjunction destroys the entire guards and wards effect.</t>
  </si>
  <si>
    <t>Home (7), Wards (6), Greed (6)</t>
  </si>
  <si>
    <t> Array of magic effects protect area.</t>
  </si>
  <si>
    <t>Kobold Sorcerer (13), Kobold (13)</t>
  </si>
  <si>
    <t>Guidance</t>
  </si>
  <si>
    <t>cleric/oracle 0, druid 0, summoner/unchained summoner 0, witch 0, inquisitor 0, medium 0</t>
  </si>
  <si>
    <t>1 minute or until discharged</t>
  </si>
  <si>
    <t>This spell imbues the subject with a touch of divine guidance.  The creature gets a +1 competence bonus on a single attack roll, saving throw, or skill check. It must choose to use the bonus before making the roll to which it applies.</t>
  </si>
  <si>
    <t>+1 on one attack roll, saving throw, or skill check.</t>
  </si>
  <si>
    <t>Gust Of Wind</t>
  </si>
  <si>
    <t>line-shaped gust of severe wind emanating out from you to the extreme of the range</t>
  </si>
  <si>
    <t>This spell creates a severe blast of air (approximately 50 mph) that originates from you, affecting all creatures in its path. All flying creatures in this area take a -4 penalty on Fly skill checks. Tiny or smaller flying creatures must make a DC 25 Fly skill check or be blown back 2d6 x 10 feet and take 2d6 points of damage. Small or smaller flying creatures must make a DC 20 Fly skill check to move against the force of the wind.  A Tiny or smaller creature on the ground is knocked down and rolled 1d4 x 10 feet, taking 1d4 points of nonlethal damage per 10 feet.  Small creatures are knocked prone by the force of the wind.  Medium or smaller creatures are unable to move forward against the force of the wind unless they succeed at a DC 15 Strength check.  Large or larger creatures may move normally within a gust of wind effect.  This spell can't move a creature beyond the limit of it's range.  Any creature, regardless of size, takes a -4 penalty on ranged attacks and Perception checks in the area of a gust of wind.  The force of the gust automatically extinguishes candles, torches, and similar unprotected flames. It causes protected flames, such as those in lanterns, to dance wildly and has a 50% chance to extinguish those lights.  In addition to the effects noted, a gust of wind can do anything that a sudden blast of wind would be expected to do. It can create a stinging spray of sand or dust, fan a large fire, overturn delicate awnings or hangings, heel over a small boat, and blow gases or vapors to the edge of its range.  Gust of wind can be made permanent with a permanency spell.</t>
  </si>
  <si>
    <t>Catastrophe (2)</t>
  </si>
  <si>
    <t>Blows away or knocks down smaller creatures.</t>
  </si>
  <si>
    <t>Stormborn (5)</t>
  </si>
  <si>
    <t>The force of the wind increases to windstorm (approximately 70 mph; Core Rulebook 439). All effects described in the spell affect creatures one size larger. Ranged attacks can't be attempted in the area of the spell. The wind automatically blows out unprotected flames and has a 75% chance of blowing out protected flames.</t>
  </si>
  <si>
    <t>Augmented (2nd): If you expend two uses of mythic power, the spell lasts for 1 additional round and the range increases by 30 feet. As a swift action at the start of your turn, you can expend another use of mythic power to extend the duration by 1 round and the range by another 30 feet.</t>
  </si>
  <si>
    <t>Hallow</t>
  </si>
  <si>
    <t>V, S, M (herbs, oils, and incense worth at least 1,000 gp, plus 1,000 gp per level of the spell to be included in the hallowed area), DF</t>
  </si>
  <si>
    <t>40-ft. radius emanating from the touched point</t>
  </si>
  <si>
    <t>Hallow makes a particular site, building, or structure a holy site.  This has four major effects.  First, the site is warded by a magic circle against evil effect.  Second, the DC to resist positive channeled energy within this area gains a +4 sacred bonus and the DC to resist negative energy is reduced by 4. Spell resistance does not apply to this effect. This provision does not apply to the druid version of the spell.  Third, any dead body interred in a hallowed site cannot be turned into an undead creature.  Finally, you can fix a single spell effect to the hallowed site.  The spell effect lasts for 1 year and functions throughout the entire site, regardless of the normal duration and area or effect.  You may designate whether the effect applies to all creatures, creatures who share your faith or alignment, or creatures who adhere to another faith or alignment. At the end of the year, the chosen effect lapses, but it can be renewed or replaced simply by casting hallow again.  Spell effects that may be tied to a hallowed site include aid, bane, bless, cause fear, darkness, daylight, death ward, deeper darkness, detect evil, detect magic, dimensional anchor, discern lies, dispel magic, endure elements, freedom of movement, invisibility purge, protection from energy, remove fear, resist energy, silence, tongues, and zone of truth. Saving throws and spell resistance might apply to these spells' effects. (See the individual spell descriptions for details.) An area can receive only one hallow spell (and its associated spell effect) at a time. Hallow counters but does not dispel unhallow.</t>
  </si>
  <si>
    <t>Designates location as holy.</t>
  </si>
  <si>
    <t>Hallucinatory Terrain</t>
  </si>
  <si>
    <t>bard 4, sorcerer/wizard 4, psychic 4, mesmerist 4</t>
  </si>
  <si>
    <t>V, S, M (a stone, a twig, and a green leaf)</t>
  </si>
  <si>
    <t>one 30-ft. cube/level</t>
  </si>
  <si>
    <t>Will disbelief (if interacted with)</t>
  </si>
  <si>
    <t>You make natural terrain look, sound, and smell like some other sort of natural terrain. Structures, equipment, and creatures within the area are not hidden or changed in appearance.</t>
  </si>
  <si>
    <t>Makes one type of terrain appear like another (field as forest, or the like).</t>
  </si>
  <si>
    <t>Trickery (8)</t>
  </si>
  <si>
    <t>Halt Undead</t>
  </si>
  <si>
    <t>sorcerer/wizard 3, inquisitor 3</t>
  </si>
  <si>
    <t>V, S, M (a pinch of sulfur and powdered garlic)</t>
  </si>
  <si>
    <t>up to three undead creatures, no two of which can be more than 30 ft. apart</t>
  </si>
  <si>
    <t>Will negates (see text)</t>
  </si>
  <si>
    <t>This spell renders as many as three undead creatures immobile. A nonintelligent undead creature gets no saving throw; an intelligent undead creature does. If the spell is successful, it renders the undead creature immobile for the duration of the spell (similar to the effect of hold person on a living creature). The effect is broken if the halted creatures are attacked or take damage.</t>
  </si>
  <si>
    <t> Immobilizes undead for 1 round/level.</t>
  </si>
  <si>
    <t>Harm</t>
  </si>
  <si>
    <t>cleric/oracle 6, witch 7, inquisitor 6, shaman 7, occultist 6, spiritualist 6</t>
  </si>
  <si>
    <t>Will half; see text</t>
  </si>
  <si>
    <t>Harm charges a subject with negative energy that deals 10 points of damage per caster level (to a maximum of 150 points at 15th level). If the creature successfully saves, harm deals half this amount. Harm cannot reduce the target's hit points to less than 1.  If used on an undead creature, harm acts like heal.</t>
  </si>
  <si>
    <t>Decay (6), Destruction (6)</t>
  </si>
  <si>
    <t> Deals 10 points/level damage to target.</t>
  </si>
  <si>
    <t>The damage dealt increases to 15 points of damage per caster level (maximum 225 points).</t>
  </si>
  <si>
    <t>Augmented: If you expend two uses of mythic power, the spell also acts as poison.</t>
  </si>
  <si>
    <t>Haste</t>
  </si>
  <si>
    <t>alchemist 3, bard 3, magus 3, sorcerer/wizard 3, summoner 2, bloodrager 3, occultist 3, psychic 3, spiritualist 3, unchained summoner 3, medium 2</t>
  </si>
  <si>
    <t>V, S, M (a shaving of licorice root)</t>
  </si>
  <si>
    <t>The transmuted creatures move and act more quickly than normal. This extra speed has several effects.  When making a full attack action, a hasted creature may make one extra attack with one natural or manufactured weapon. The attack is made using the creature's full base attack bonus, plus any modifiers appropriate to the situation. (This effect is not cumulative with similar effects, such as that provided by a speed weapon, nor does it actually grant an extra action, so you can't use it to cast a second spell or otherwise take an extra action in the round.) A hasted creature gains a +1 bonus on attack rolls and a +1 dodge bonus to AC and Reflex saves. Any condition that makes you lose your Dexterity bonus to Armor Class (if any) also makes you lose dodge bonuses.  All of the hasted creature's modes of movement (including land movement, burrow, climb, fly, and swim) increase by 30 feet, to a maximum of twice the subject's normal speed using that form of movement. This increase counts as an enhancement bonus, and it affects the creature's jumping distance as normal for increased speed. Multiple haste effects don't stack. Haste dispels and counters slow.</t>
  </si>
  <si>
    <t>One creature/level moves faster, receives +1 on attack rolls, AC, and Reflex saves.</t>
  </si>
  <si>
    <t>Agility (6), Time (6)</t>
  </si>
  <si>
    <t>Affected creatures gain an additional move action each round. The movement speed increase changes to 50 feet, to a maximum of three times the creature's normal speed for that movement type.</t>
  </si>
  <si>
    <t>Augmented (3rd): If you expend two uses of mythic power, the movement speed increase changes to 70 feet, with no limit based on the creature's normal speed. If an affected creature moves at least 30 feet on its turn, it can travel across liquid as if the liquid were solid. If the liquid deals damage on contact, the creature takes only half damage from moving across it.</t>
  </si>
  <si>
    <t>Heal</t>
  </si>
  <si>
    <t>cleric/oracle 6, druid 7, alchemist 6, witch 7, inquisitor 6, shaman 7, occultist 6, spiritualist 6</t>
  </si>
  <si>
    <t>Heal enables you to channel positive energy into a creature to wipe away injury and afflictions. It immediately ends any and all of the following adverse conditions affecting the target: ability damage, blinded, confused, dazed, dazzled, deafened, diseased, exhausted, fatigued, feebleminded, insanity, nauseated, poisoned, sickened, and stunned. It also cures 10 hit points of damage per level of the caster, to a maximum of 150 points at 15th level.  Heal does not remove negative levels or restore permanently drained ability score points.  If used against an undead creature, heal instead acts like harm.</t>
  </si>
  <si>
    <t>Healing (6)</t>
  </si>
  <si>
    <t>Cures 10 points/level damage, all diseases and mental conditions.</t>
  </si>
  <si>
    <t>The damage cured increases to 15 points of damage per caster level (maximum 225 points).</t>
  </si>
  <si>
    <t>Augmented: If you expend two uses of mythic power, the spell also acts as restoration.</t>
  </si>
  <si>
    <t>Heal, Mass</t>
  </si>
  <si>
    <t>cleric/oracle 9, shaman 9</t>
  </si>
  <si>
    <t>one or more creatures, no two of which can be more than 30 ft. apart</t>
  </si>
  <si>
    <t>This spell functions like heal, except as noted above. The maximum number of hit points restored to each creature is 250.</t>
  </si>
  <si>
    <t>Healing (9)</t>
  </si>
  <si>
    <t> As heal, but affects 1 subject/level.</t>
  </si>
  <si>
    <t>Devotion (18)</t>
  </si>
  <si>
    <t>Heal Mount</t>
  </si>
  <si>
    <t>paladin 3</t>
  </si>
  <si>
    <t>your mount touched</t>
  </si>
  <si>
    <t>This spell functions like heal, but it affects only the paladin's special mount (typically a horse).</t>
  </si>
  <si>
    <t> As heal on horse or other special mount.</t>
  </si>
  <si>
    <t>Heat Metal</t>
  </si>
  <si>
    <t>metal equipment of one creature per two levels, no two of which can be more than 30 ft. apart; or 25 lbs. of metal/level, all of which must be within a 30-ft. circle</t>
  </si>
  <si>
    <t>Heat metal causes metal objects to become red-hot. Unattended, nonmagical metal gets no saving throw. Magical metal is allowed a saving throw against the spell. An item in a creature's possession uses the creature's saving throw bonus unless its own is higher. A creature takes fire damage if its equipment is heated. It takes full damage if its armor, shield, or weapon is affected. The creature takes minimum damage (1 point or 2 points; see the table) if it's not wearing or wielding such an item. On the first round of the spell, the metal becomes warm and uncomfortable to touch but deals no damage. The same effect also occurs on the last round of the spell's duration. During the second (and also the next-to-last) round, intense heat causes pain and damage. In the third, fourth, and fifth rounds, the metal is searing hot, and causes more damage, as shown on the table presented on the following page. Round Metal Temperature Damage 1 Warm None 2 Hot 1d4 points 3-5 Searing 2d4 points 6 Hot 1d4 points 7 Warm None Any cold intense enough to damage the creature negates fire damage from the spell (and vice versa) on a point-for-point basis. If cast underwater, heat metal deals half damage and boils the surrounding water. Heat metal counters and dispels chill metal.</t>
  </si>
  <si>
    <t>Metal (2), Sun (2)</t>
  </si>
  <si>
    <t> Makes metal so hot it damages those who touch it.</t>
  </si>
  <si>
    <t>Helping Hand</t>
  </si>
  <si>
    <t>cleric/oracle 3, psychic 3, spiritualist 3, medium 2</t>
  </si>
  <si>
    <t>5 miles</t>
  </si>
  <si>
    <t>ghostly hand</t>
  </si>
  <si>
    <t>You create the ghostly image of a hand, which you can send to find a creature within 5 miles. The hand then beckons to that creature and leads it to you if the creature is willing to follow. When the spell is cast, you specify a person (or any creature) by physical description, which can include race, gender, and appearance but not ambiguous factors such as level, alignment, or class. When the description is done, the hand streaks off in search of a subject that fits the description. The amount of time it takes to find the subject depends on how far away he is, as detailed on the following table. Distance Time to Locate 100 ft. or less 1 round 1,000 ft. 1 minute 1 mile 10 minutes 2 miles 1 hour 3 miles 2 hours 4 miles 3 hours 5 miles 4 hours Once the hand locates the subject, it beckons the creature to follow it. If the subject does so, the hand points in your direction, indicating the most direct, feasible route. The hand hovers 10 feet in front of the subject, moving before it at a speed of as much as 240 feet per round. Once the hand leads the subject back to you, it disappears. The subject is not compelled to follow the hand or act in any particular way toward you. If the subject chooses not to follow, the hand continues to beckon for the duration of the spell, then disappears. If the spell expires while the subject is en route to you, the hand disappears; the subject must then rely on its own devices to locate you. If more than one subject in a 5-mile radius meets the description, the hand locates the closest creature. If that creature refuses to follow the hand, the hand does not seek out a second subject. If, at the end of 4 hours of searching, the hand has found no subject that matches the description within 5 miles, it returns to you, displays an outstretched palm (indicating that no such creature was found), and disappears. The ghostly hand has no physical form. It is invisible to anyone except you and a potential subject. It cannot engage in combat or execute any other task aside from locating a subject and leading it back to you. The hand can't pass through solid objects but can ooze through small cracks and slits. The hand cannot travel more than 5 miles from the spot it appeared when you cast the spell.</t>
  </si>
  <si>
    <t> Ghostly hand leads subject to you.</t>
  </si>
  <si>
    <t>Heroes' Feast</t>
  </si>
  <si>
    <t>bard 6, cleric/oracle 6, inquisitor 6</t>
  </si>
  <si>
    <t>feast for one creature/level</t>
  </si>
  <si>
    <t>1 hour plus 12 hours; see text</t>
  </si>
  <si>
    <t>You bring forth a great feast, including a magnificent table, chairs, service, and food and drink. The feast takes 1 hour to consume, and the beneficial effects do not set in until this hour is over. Every creature partaking of the feast is cured of all sickness and nausea, receives the benefits of both neutralize poison and remove disease, and gains 1d8 temporary hit points + 1 point per two caster levels (maximum +10) after imbibing the nectar-like beverage that is part of the feast. The ambrosial food grants each creature that partakes a +1 morale bonus on attack rolls and Will saves and a +4 morale bonus on saving throws against poison and fear effects for 12 hours.   If the feast is interrupted for any reason, the spell is ruined and all effects of the spell are negated.</t>
  </si>
  <si>
    <t>Community (6), Resolve (6), Revelry (6)</t>
  </si>
  <si>
    <t>Food for one creature/level cures and grants combat bonuses.</t>
  </si>
  <si>
    <t>Heroism</t>
  </si>
  <si>
    <t>bard 2, sorcerer/wizard 3, alchemist 3, summoner/unchained summoner 3, witch 3, inquisitor 3, bloodrager 3, psychic 3, spiritualist 3, medium 2</t>
  </si>
  <si>
    <t>This spell imbues a single creature with great bravery and morale in battle. The target gains a +2 morale bonus on attack rolls, saves, and skill checks.</t>
  </si>
  <si>
    <t>Charm (4), Heroism (3)</t>
  </si>
  <si>
    <t>Gives +2 on attack rolls, saves, skill checks.</t>
  </si>
  <si>
    <t>Imperious (7), Martyred (7)</t>
  </si>
  <si>
    <t>The morale bonus increases to +4 and applies on all checks, attack rolls, saves, and weapon damage rolls. Allies adjacent to the target gain a +4 morale bonus on saves against fear effects.</t>
  </si>
  <si>
    <t>Augmented (3rd): If you expend two uses of mythic power, the target can attempt one additional attack per round when taking a full attack action (as if using a haste spell). The target can use this additional attack ability a number of times equal to your tier.</t>
  </si>
  <si>
    <t>Heroism, Greater</t>
  </si>
  <si>
    <t>bard 5, sorcerer/wizard 6, summoner 5, witch 6, psychic 6, spiritualist 6, unchained summoner 6</t>
  </si>
  <si>
    <t>This spell functions like heroism, except the creature gains a +4 morale bonus on attack rolls, saves, and skill checks, immunity to fear effects, and temporary hit points equal to your caster level (maximum 20).</t>
  </si>
  <si>
    <t>Heroism (6), Competition (6)</t>
  </si>
  <si>
    <t>Gives +4 bonus on attack rolls, saves, skill checks; immunity to fear; temporary hp.</t>
  </si>
  <si>
    <t>Martyred (13)</t>
  </si>
  <si>
    <t>Ancestors (12)</t>
  </si>
  <si>
    <t>Hide from Animals</t>
  </si>
  <si>
    <t>S, DF</t>
  </si>
  <si>
    <t>one creature touched/level</t>
  </si>
  <si>
    <t>Animals cannot sense the warded creatures. Even extraordinary or supernatural sensory capabilities, such as blindsense, blindsight, scent, and tremorsense, cannot detect or locate warded creatures.  Animals simply act as though the warded creatures are not there.  If a warded character touches an animal or attacks any creature, even with a spell, the spell ends for all recipients.</t>
  </si>
  <si>
    <t>Animals can’t perceive one subject/level.</t>
  </si>
  <si>
    <t>Hide from Undead</t>
  </si>
  <si>
    <t>cleric/oracle 1, inquisitor 1</t>
  </si>
  <si>
    <t>one touched creature/level</t>
  </si>
  <si>
    <t>Will negates (harmless); see text</t>
  </si>
  <si>
    <t>Undead cannot see, hear, or smell creatures warded by this spell.  Even extraordinary or supernatural sensory capabilities, such as blindsense, blindsight, scent, and tremorsense, cannot detect or locate warded creatures. Nonintelligent undead creatures (such as skeletons or zombies) are automatically affected and act as though the warded creatures are not there. An intelligent undead creature gets a single Will saving throw. If it fails, the subject can't see any of the warded creatures. If it has reason to believe unseen opponents are present, however, it can attempt to find or strike them. If a warded creature attempts to channel positive energy, turn or command undead, touches an undead creature, or attacks any creature (even with a spell), the spell ends for all recipients.</t>
  </si>
  <si>
    <t> Undead can't perceive one subject/level.</t>
  </si>
  <si>
    <t>Hideous Laughter</t>
  </si>
  <si>
    <t>bard 1, sorcerer/wizard 2, psychic 2, mesmerist 1, medium 2</t>
  </si>
  <si>
    <t>V, S, M (tiny fruit tarts and a feather)</t>
  </si>
  <si>
    <t>one creature; see text</t>
  </si>
  <si>
    <t>This spell afflicts the subject with uncontrollable laughter. It collapses into gales of manic laughter, falling prone. The subject can take no actions while laughing, but is not considered helpless.  After the spell ends, it can act normally. On the creature's next turn, it may attempt a new saving throw to end the effect. This is a full round action that does not provoke attacks of opportunity.  If this save is successful, the effect ends. If not, the creature continues laughing for the entire duration.  A creature with an Intelligence score of 2 or lower is not affected.  A creature whose type is different from the caster's receives a +4 bonus on its saving throw, because humor doesn't "translate" well.</t>
  </si>
  <si>
    <t>Revelry (2), Whimsy (1)</t>
  </si>
  <si>
    <t>Subject loses actions for 1 round/ level.</t>
  </si>
  <si>
    <t>Fey (5), Maestro (5)</t>
  </si>
  <si>
    <t>Insanity (4)</t>
  </si>
  <si>
    <t>Hold Person</t>
  </si>
  <si>
    <t>bard 2, cleric/oracle 2, sorcerer/wizard 3, witch 2, inquisitor 2, antipaladin 2, bloodrager 3, shaman 2, occultist 3, psychic 2, mesmerist 2, medium 2</t>
  </si>
  <si>
    <t>V, S, F/DF (a small, straight piece of iron)</t>
  </si>
  <si>
    <t>1 round/level ; see text</t>
  </si>
  <si>
    <t>The subject becomes paralyzed and freezes in place. It is aware and breathes normally but cannot take any actions, even speech. Each round on its turn, the subject may attempt a new saving throw to end the effect. This is a full-round action that does not provoke attacks of opportunity. A winged creature who is paralyzed cannot flap its wings and falls. A swimmer can't swim and may drown.</t>
  </si>
  <si>
    <t>Paralyzes one humanoid for 1 round/level.</t>
  </si>
  <si>
    <t>Hold Monster</t>
  </si>
  <si>
    <t>bard 4, sorcerer/wizard 5, summoner 4, witch 5, inquisitor 4, summoner 4, witch 5, occultist 4, psychic 5, mesmerist 4, unchained summoner 5, medium 4</t>
  </si>
  <si>
    <t>V, S, M/DF (one hard metal bar or rod, which can be as small as a three-penny nail)</t>
  </si>
  <si>
    <t>This spell functions like hold person, except that it affects any living creature that fails its Will save.</t>
  </si>
  <si>
    <t>Law (6)</t>
  </si>
  <si>
    <t>As hold person, but any creature.</t>
  </si>
  <si>
    <t>Serpentine (11)</t>
  </si>
  <si>
    <t>Hold Monster, Mass</t>
  </si>
  <si>
    <t>sorcerer/wizard 9, witch 9, psychic 9</t>
  </si>
  <si>
    <t>This spell functions like hold person, except that it affects multiple creatures and holds any living creature that fails its Will save.</t>
  </si>
  <si>
    <t>Legislation (9)</t>
  </si>
  <si>
    <t> As hold monster, but all within 30 ft.</t>
  </si>
  <si>
    <t>Hold Person, Mass</t>
  </si>
  <si>
    <t>sorcerer/wizard 7, witch 7, psychic 7, mesmerist 6</t>
  </si>
  <si>
    <t>one or more humanoid creatures, no two of which can be more than 30 ft. apart</t>
  </si>
  <si>
    <t>This spell functions like hold person, except as noted above.</t>
  </si>
  <si>
    <t> As hold person, but all within 30 ft.</t>
  </si>
  <si>
    <t>Hold Portal</t>
  </si>
  <si>
    <t>sorcerer/wizard 1, occultist 1, psychic 1</t>
  </si>
  <si>
    <t>one portal, up to 20 sq. ft./level</t>
  </si>
  <si>
    <t>This spell magically holds shut a door, gate, window, or shutter of wood, metal, or stone. The magic affects the portal just as if it were securely closed and normally locked. A knock spell or a successful dispel magic spell can negate a hold portal spell.  Add 5 to the normal DC for forcing open a portal affected by this spell.</t>
  </si>
  <si>
    <t>Fortifications (1)</t>
  </si>
  <si>
    <t> Holds door shut.</t>
  </si>
  <si>
    <t>Dimensions (2)</t>
  </si>
  <si>
    <t>The target portal can be as large as 30 square feet per caster level. A creature attempting to force open the portal must first succeed at a Will save against the spell's DC. This is a mind-affecting effect. Failure means the creature can't open the door while the spell is in effect.</t>
  </si>
  <si>
    <t>Holy Aura</t>
  </si>
  <si>
    <t>A brilliant divine radiance surrounds the subjects, protecting them from attacks, granting them resistance to spells cast by evil creatures, and causing evil creatures to become blinded when they strike the subjects. This abjuration has four effects.  First, each warded creature gains a +4 deflection bonus to AC and a +4 resistance bonus on saves. Unlike protection from evil, this benefit applies against all attacks, not just against attacks by evil creatures.  Second, each warded creature gains spell resistance 25 against evil spells and spells cast by evil creatures.  Third, the abjuration protects the recipient from possession and mental influence, just as protection from evil does.  Finally, if an evil creature succeeds on a melee attack against a creature warded by a holy aura, the offending attacker is blinded (Fortitude save negates, as blindness/deafness, but against holy aura's save DC).</t>
  </si>
  <si>
    <t>Glory (8), Good (8)</t>
  </si>
  <si>
    <t> +4 to AC, +4 resistance, and SR 25 against evil spells.</t>
  </si>
  <si>
    <t>Devotion (16)</t>
  </si>
  <si>
    <t>Holy Smite</t>
  </si>
  <si>
    <t>instantaneous (1 round); see text</t>
  </si>
  <si>
    <t>You draw down holy power to smite your enemies. Only evil and neutral creatures are harmed by the spell; good creatures are unaffected.  The spell deals 1d8 points of damage per two caster levels (maximum 5d8) to each evil creature in the area (or 1d6 points of damage per caster level, maximum 10d6, to an evil outsider) and causes it to become blinded for 1 round. A successful Will saving throw reduces damage to half and negates the blinded effect.  The spell deals only half damage to creatures who are neither good nor evil, and they are not blinded. Such a creature can reduce that damage by half (down to one-quarter of the roll) with a successful Will save.</t>
  </si>
  <si>
    <t>Glory (4), Good (4)</t>
  </si>
  <si>
    <t> Harms and possibly blinds evil creatures (1d8 damage/2 levels).</t>
  </si>
  <si>
    <t>The damage dealt to evil outsiders increases to 1d10 points of damage per caster level (maximum 10d10) and the damage dealt to other evil creatures increases to 1d12 points of damage per 2 caster levels (maximum 5d12). The duration that creatures in the area are blinded increases to 2 rounds. On a successful save, an evil creature is blinded for 1 round.</t>
  </si>
  <si>
    <t>Holy Sword</t>
  </si>
  <si>
    <t>paladin 4</t>
  </si>
  <si>
    <t>melee weapon touched</t>
  </si>
  <si>
    <t>This spell allows you to channel holy power into your sword, or any other melee weapon you choose. The weapon acts as a +5 holy weapon (+5 enhancement bonus on attack and damage rolls, extra 2d6 damage against evil opponents). It also emits a magic circle against evil effect (as the spell). If the magic circle ends, the sword creates a new one on your turn as a free action. The spell is automatically canceled 1 round after the weapon leaves your hand.  You cannot have more than one holy sword at a time.  If this spell is cast on a magic weapon, the powers of the spell supercede any that the weapon normally has, rendering the normal enhancement bonus and powers of the weapon inoperative for the duration of the spell. This spell is not cumulative with bless weapon or any other spell that might modify the weapon in any way. This spell does not work on artifacts. A masterwork weapon's bonus to attack does not stack with an enhancement bonus to attack.</t>
  </si>
  <si>
    <t>Glory (7)</t>
  </si>
  <si>
    <t> Weapon becomes +5, deals +2d6 damage against evil.</t>
  </si>
  <si>
    <t>Holy Word</t>
  </si>
  <si>
    <t>good, sonic</t>
  </si>
  <si>
    <t>nongood creatures in a 40-ft.-radius spread centered on you</t>
  </si>
  <si>
    <t>Any nongood creature within the area of a holy word spell suffers the following ill effects. HD Effect Equal to caster level Deafened Up to caster level -1 Blinded, deafened Up to caster level -5 Paralyzed, blinded, deafened Up to caster level -10 Killed, paralyzed, blinded, deafenedThe effects are cumulative and concurrent. A successful Will save reduces or eliminates these effects. Creatures affected by multiple effects make only one save and apply the result to all the effects. Deafened: The creature is deafened for 1d4 rounds. Save negates. Blinded: The creature is blinded for 2d4 rounds. Save reduces the blinded effect to 1d4 rounds. Paralyzed: The creature is paralyzed and helpless for 1d10 minutes. Save reduces the paralyzed effect to 1 round. Killed: Living creatures die. Undead creatures are destroyed. Save negates. If the save is successful, the creature instead takes 3d6 points of damage + 1 point per caster level (maximum +25). Furthermore, if you are on your home plane when you cast this spell, nongood extraplanar creatures within the area are instantly banished back to their home planes. Creatures so banished cannot return for at least 24 hours. This effect takes place regardless of whether the creatures hear the holy word or not. The banishment effect allows a Will save (at a -4 penalty) to negate. Creatures whose HD exceed your caster level are unaffected by holy word.</t>
  </si>
  <si>
    <t>Good (7)</t>
  </si>
  <si>
    <t> Kills, paralyzes, blinds, or deafens nongood subjects.</t>
  </si>
  <si>
    <t>Horrid Wilting</t>
  </si>
  <si>
    <t>sorcerer/wizard 8, witch 8, shaman 8</t>
  </si>
  <si>
    <t>V, S, M/DF (a bit of sponge)</t>
  </si>
  <si>
    <t>living creatures, no two of which can be more than 60 ft. apart</t>
  </si>
  <si>
    <t>Fortitude half</t>
  </si>
  <si>
    <t>This spell evaporates moisture from the body of each subject living creature, causing flesh to wither and crack and crumble to dust. This deals 1d6 points of damage per caster level (maximum 20d6). This spell is especially devastating to water elementals and plant creatures, which instead take 1d8 points of damage per caster level (maximum 20d8).</t>
  </si>
  <si>
    <t>Water (8), Radiation (4), Plague (8)</t>
  </si>
  <si>
    <t> Deals 1d6/level damage within 30 ft.</t>
  </si>
  <si>
    <t>Pestilence (17), Undead (17), Daemon (17)</t>
  </si>
  <si>
    <t>Moon (16)</t>
  </si>
  <si>
    <t>Hypnotic Pattern</t>
  </si>
  <si>
    <t>bard 2, sorcerer/wizard 2, psychic 2, mesmerist 2</t>
  </si>
  <si>
    <t>V (bard only), S, M (a stick of incense or a crystal rod); see text</t>
  </si>
  <si>
    <t>colorful lights in a 10-ft.-radius spread</t>
  </si>
  <si>
    <t>Concentration + 2 rounds</t>
  </si>
  <si>
    <t>A twisting pattern of subtle, shifting colors weaves through the air, fascinating creatures within it. Roll 2d4 and add your caster level (maximum 10) to determine the total number of HD of creatures affected. Creatures with the fewest HD are affected first; and, among creatures with equal HD, those who are closest to the spell's point of origin are affected first. HD that are not sufficient to affect a creature are wasted. Affected creatures become fascinated by the pattern of colors. Sightless creatures are not affected.  A wizard or sorcerer need not utter a sound to cast this spell, but a bard must perform as a verbal component.</t>
  </si>
  <si>
    <t>Fascinates (2d4 + level) HD of creatures.</t>
  </si>
  <si>
    <t>Hypnotism</t>
  </si>
  <si>
    <t>bard 1, sorcerer/wizard 1, witch 1, occultist 1, psychic 1, mesmerist 1</t>
  </si>
  <si>
    <t>several living creatures, no two of which may be more than 30 ft. apart</t>
  </si>
  <si>
    <t>2d4 rounds</t>
  </si>
  <si>
    <t>Your gestures and droning incantation fascinate nearby creatures, causing them to stop and stare blankly at you.  In addition, you can use their rapt attention to make your suggestions and requests seem more plausible. Roll 2d4 to see how many total HD of creatures you affect. Creatures with fewer HD are affected before creatures with more HD. Only creatures that can see or hear you are affected, but they do not need to understand you to be fascinated.  If you use this spell in combat, each target gains a +2 bonus on its saving throw. If the spell affects only a single creature not in combat at the time, the saving throw has a penalty of -2.  While the subject is fascinated by this spell, it reacts as though it were two steps more friendly in attitude. This allows you to make a single request of the affected creature (provided you can communicate with it). The request must be brief and reasonable. Even after the spell ends, the creature retains its new attitude toward you, but only with respect to that particular request.  A creature that fails its saving throw does not remember that you enspelled it.</t>
  </si>
  <si>
    <t>Fascinates 2d4 HD of creatures.</t>
  </si>
  <si>
    <t>Serpentine (3)</t>
  </si>
  <si>
    <t>Ice Storm</t>
  </si>
  <si>
    <t>druid 4, sorcerer/wizard 4, witch 4, magus 4, bloodrager 4, shaman 4, occultist 4</t>
  </si>
  <si>
    <t>V, S, M/DF (dust and water)</t>
  </si>
  <si>
    <t>cylinder (20-ft. radius, 40 ft. high)</t>
  </si>
  <si>
    <t>Great magical hailstones pound down upon casting this spell, dealing 3d6 points of bludgeoning damage and 2d6 points of cold damage to every creature in the area. This damage only occurs once, when the spell is cast. For the remaining duration of the spell, heavy snow and sleet rains down in the area. Creatures inside this area take a -4 penalty on Perception skill checks and the entire area is treated as difficult terrain. At the end of the duration, the snow and hail disappear, leaving no aftereffects (other than the damage dealt).</t>
  </si>
  <si>
    <t>Water (5), Weather (5)</t>
  </si>
  <si>
    <t>Hail deals 5d6 damage in cylinder 40 ft. across.</t>
  </si>
  <si>
    <t>Winter (6), Storms (8)</t>
  </si>
  <si>
    <t>The bludgeoning damage increases to 4d8 points of damage and the cold damage increases to 3d6 points of damage. The ground in the area is covered in ice and hailstones, acting as though a grease spell were cast on it. Dealing 5 or more points of fire damage to a square melts the ice and hail, negating the grease effect.</t>
  </si>
  <si>
    <t>Augmented (6th): If you expend two uses of mythic power, one creature in the area is paralyzed (as if by hold person) and gains vulnerability to fire as long as it's paralyzed.</t>
  </si>
  <si>
    <t>Identify</t>
  </si>
  <si>
    <t>bard 1, sorcerer/wizard 1, alchemist 1, summoner/unchained summoner 1, witch 1, alchemist 1, occultist 1, psychic 1, spiritualist 1, medium 1</t>
  </si>
  <si>
    <t>V, S, M (wine stirred with an owl's feather)</t>
  </si>
  <si>
    <t>3 rounds/level</t>
  </si>
  <si>
    <t>This spell functions as detect magic, except that it gives you a +10 enhancement bonus on Spellcraft checks made to identify the properties and command words of magic items in your possession. This spell does not allow you to identify artifacts.</t>
  </si>
  <si>
    <t>Magic (1)</t>
  </si>
  <si>
    <t>Gives +10 bonus to identify magic items.</t>
  </si>
  <si>
    <t>Arcane (3)</t>
  </si>
  <si>
    <t>Illusory Script</t>
  </si>
  <si>
    <t>bard 3, sorcerer/wizard 3, occultist 3, psychic 3, mesmerist 3</t>
  </si>
  <si>
    <t>1 minute per page</t>
  </si>
  <si>
    <t>V, S, M (lead-based ink worth 50 gp)</t>
  </si>
  <si>
    <t>one day/level</t>
  </si>
  <si>
    <t>You write instructions or other information on parchment, paper, or any suitable writing material. The illusory script appears to be some form of foreign or magical writing. Only the person (or people) designated by you at the time of the casting can read the writing; it's unintelligible to any other character.  Any unauthorized creature attempting to read the script triggers a potent illusory effect and must make a saving throw. A successful saving throw means the creature can look away with only a mild sense of disorientation. Failure means the creature is subject to a suggestion implanted in the script by you at the time the illusory script spell was cast. The suggestion lasts only 30 minutes. Typical suggestions include "Close the book and leave," "Forget the existence of this note," and so forth. If successfully dispelled by dispel magic, the illusory script and its secret message disappear.  The hidden message can be read by a combination of the true seeing spell with the read magic or comprehend languages spell.</t>
  </si>
  <si>
    <t>Only select creatures can read text.</t>
  </si>
  <si>
    <t>Illusory Wall</t>
  </si>
  <si>
    <t>sorcerer/wizard 4, occultist 4, psychic 4, mesmerist 4</t>
  </si>
  <si>
    <t>image 1 ft. by 10 ft. by 10 ft.</t>
  </si>
  <si>
    <t>This spell creates the illusion of a wall, floor, ceiling, or similar surface. It appears absolutely real when viewed, but physical objects can pass through it without difficulty. When the spell is used to hide pits, traps, or normal doors, any detection abilities that do not require sight work normally. Touch or a probing search reveals the true nature of the surface, though such measures do not cause the illusion to disappear. Although the caster can see through his illusory wall, other creatures cannot, even if they succeed at their will save (but they do learn that it is not real).</t>
  </si>
  <si>
    <t>Ambush (5)</t>
  </si>
  <si>
    <t> Wall, floor, or ceiling looks real, but anything can pass through.</t>
  </si>
  <si>
    <t>Imbue with Spell Ability</t>
  </si>
  <si>
    <t>cleric/oracle 4, shaman 4, spiritualist 4</t>
  </si>
  <si>
    <t>creature touched; see text</t>
  </si>
  <si>
    <t>You transfer some of your currently prepared spells, and the ability to cast them, to another creature. Only a creature with an Intelligence score of at least 5 and a Wisdom score of at least 9 can receive this boon. Only cleric spells from the schools of abjuration, divination, and conjuration (healing) can be transferred. The number and level of spells that the subject can be granted depends on its Hit Dice; even multiple castings of imbue with spell ability can't exceed this limit. HD of Recipient Spells Imbued 2 or lower One 1st-level spell 3-4 One or two 1st-level spells 5 or higher One or two 1st-level spells and one 2nd-level spell The transferred spell's variable characteristics (range, duration, area, and the like) function according to your level, not the level of the recipient. Once you cast imbue with spell ability, you cannot prepare a new 4th-level spell to replace it until the recipient uses the imbued spells or is slain, or until you dismiss the imbue with spell ability spell. In the meantime, you remain responsible to your deity or your principles for the use to which the spell is put. If the number of 4th-level spells you can cast decreases, and that number drops below your current number of active imbue with spell ability spells, the more recently cast imbued spells are dispelled. To cast a spell with a verbal component, the subject must be able to speak. To cast a spell with a somatic component, it must be able to move freely. To cast a spell with a material component or focus, it must have the materials or focus.</t>
  </si>
  <si>
    <t>Community (4), Magic (4)</t>
  </si>
  <si>
    <t> Transfer spells to subject.</t>
  </si>
  <si>
    <t>Implosion</t>
  </si>
  <si>
    <t>cleric/oracle 9, psychic 9</t>
  </si>
  <si>
    <t>one corporeal creature/round</t>
  </si>
  <si>
    <t>concentration (up to 1 round per 2 levels)</t>
  </si>
  <si>
    <t>This spell causes a destructive resonance in a corporeal creature's body. Each round you concentrate (including the first), you can cause one creature to collapse in on itself, inflicting 10 points of damage per caster level. If you break concentration, the spell immediately ends, though any implosions that have already happened remain in effect. You can target a particular creature only once with each casting of the spell. Implosion has no effect on creatures in gaseous form or on incorporeal creatures.</t>
  </si>
  <si>
    <t>Destruction (9)</t>
  </si>
  <si>
    <t> Inflict 10 damage/level to one creature/round.</t>
  </si>
  <si>
    <t>Imprisonment</t>
  </si>
  <si>
    <t>When you cast imprisonment and touch a creature, it is entombed in a state of suspended animation (see the temporal stasis spell) in a small sphere far beneath the surface of the ground. The subject remains there unless a freedom spell is cast at the locale where the imprisonment took place. Magical search by a crystal ball, a locate object spell, or some other similar divination does not reveal the fact that a creature is imprisoned, but discern location does. A wish or miracle spell will not free the recipient, but will reveal where it is entombed. If you know the target's name and some facts about its life, the target takes a -4 penalty on its save.</t>
  </si>
  <si>
    <t> Entombs subject beneath the earth.</t>
  </si>
  <si>
    <t>Kobold Sorcerer (19)</t>
  </si>
  <si>
    <t>Incendiary Cloud</t>
  </si>
  <si>
    <t>sorcerer/wizard 8, summoner/unchained summoner 6</t>
  </si>
  <si>
    <t>An incendiary cloud spell creates a cloud of roiling smoke shot through with white-hot embers. The smoke obscures all sight as a fog cloud does. In addition, the white-hot embers within the cloud deal 6d6 points of fire damage to everything within the cloud on your turn each round. All targets can make Reflex saves each round to take half damage.  As with a cloudkill spell, the smoke moves away from you at 10 feet per round. Figure out the smoke's new spread each round based on its new point of origin, which is 10 feet farther away from where you were when you cast the spell. By concentrating, you can make the cloud move as much as 60 feet each round. Any portion of the cloud that would extend beyond your maximum range dissipates harmlessly, reducing the remainder's spread thereafter.  As with fog cloud, wind disperses the smoke, and the spell can't be cast underwater.</t>
  </si>
  <si>
    <t>Fire (8)</t>
  </si>
  <si>
    <t> Cloud deals 6d6 fire damage/round.</t>
  </si>
  <si>
    <t>Vengeance (16)</t>
  </si>
  <si>
    <t>Inflict Light Wounds</t>
  </si>
  <si>
    <t>antipaladin 1, cleric/oracle 1, inquisitor 1, witch 1, shaman 1, occultist 1, spiritualist 1</t>
  </si>
  <si>
    <t>Will half</t>
  </si>
  <si>
    <t>When laying your hand upon a creature, you channel negative energy that deals 1d8 points of damage + 1 point per caster level (maximum +5).  Since undead are powered by negative energy, this spell cures such a creature of a like amount of damage, rather than harming it.</t>
  </si>
  <si>
    <t>Touch deals 1d8 damage +1/level (max +5).</t>
  </si>
  <si>
    <t>The damage dealt increases to 2d8 points of damage + 2 points per caster level (maximum +10). A living target is sickened for 1 round per caster level (maximum 5 rounds) if it fails its saving throw.</t>
  </si>
  <si>
    <t>Inflict Critical Wounds</t>
  </si>
  <si>
    <t>cleric/oracle 4, witch 5, inquisitor 4, shaman 4, occultist 4, spiritualist 4</t>
  </si>
  <si>
    <t>This spell functions like inflict light wounds, except that you deal 4d8 points of damage + 1 point per caster level (maximum +20).</t>
  </si>
  <si>
    <t>Destruction (4)</t>
  </si>
  <si>
    <t> Touch attack, 4d8 damage + 1/level (max +20).</t>
  </si>
  <si>
    <t>The damage dealt increases to 8d8 points of damage + 2 points per caster level (maximum +40). A living target is sickened for 1 round per caster level (maximum 20 rounds) if it fails its saving throw.</t>
  </si>
  <si>
    <t>Inflict Critical Wounds, Mass</t>
  </si>
  <si>
    <t>cleric/oracle 8, witch 9, shaman 8</t>
  </si>
  <si>
    <t>This spell functions like mass inflict light wounds, except that it deals 4d8 points of damage + 1 point per caster level (maximum +40).</t>
  </si>
  <si>
    <t> Deals 4d8 damage + 1/level, affects 1 subject/level.</t>
  </si>
  <si>
    <t>Inflict Light Wounds, Mass</t>
  </si>
  <si>
    <t>cleric/oracle 5, witch 6, inquisitor 5, shaman 5, occultist 5</t>
  </si>
  <si>
    <t>Negative energy spreads out in all directions from the point of origin, dealing 1d8 points of damage + 1 point per caster level (maximum +25) to nearby living enemies. Like other inflict spells, mass inflict light wounds cures undead in its area rather than damaging them. A cleric capable of spontaneously casting inflict spells can also spontaneously cast mass inflict spells.</t>
  </si>
  <si>
    <t> Deals 1d8 damage + 1/level, affects 1 subject/level.</t>
  </si>
  <si>
    <t>Inflict Moderate Wounds</t>
  </si>
  <si>
    <t>antipaladin 3, cleric/oracle 2, inquisitor 2, witch 2, shaman 2, occultist 2, spiritualist 2</t>
  </si>
  <si>
    <t>This spell functions like inflict light wounds, except that you deal 2d8 points of damage + 1 point per caster level (maximum +10).</t>
  </si>
  <si>
    <t>Touch attack, 2d8 damage +1/level (max +10).</t>
  </si>
  <si>
    <t>The damage dealt increases to 4d8 points of damage + 2 points per caster level (maximum +20). A living target is sickened for 1 round per caster level (maximum 10 rounds) if it fails its saving throw.</t>
  </si>
  <si>
    <t>Inflict Moderate Wounds, Mass</t>
  </si>
  <si>
    <t>cleric/oracle 6, witch 7, inquisitor 6, shaman 6, occultist 6</t>
  </si>
  <si>
    <t>This spell functions like mass inflict light wounds, except that it deals 2d8 points of damage + 1 point per caster level (maximum +30).</t>
  </si>
  <si>
    <t> Deals 2d8 damage + 1/level, affects 1 subject/level.</t>
  </si>
  <si>
    <t>Inflict Serious Wounds</t>
  </si>
  <si>
    <t>cleric/oracle 3, witch 4, inquisitor 3, antipaladin 4, shaman 3, occultist 3, spiritualist 3</t>
  </si>
  <si>
    <t>This spell functions like inflict light wounds, except that you deal 3d8 points of damage + 1 point per caster level (maximum +15).</t>
  </si>
  <si>
    <t>Touch attack, 3d8 damage +1/level (max +15).</t>
  </si>
  <si>
    <t>The damage dealt increases to 6d8 points of damage + 2 points per caster level (maximum +30). A living target is sickened for 1 round per caster level (maximum 15 rounds) if it fails its saving throw.</t>
  </si>
  <si>
    <t>Inflict Serious Wounds, Mass</t>
  </si>
  <si>
    <t>cleric/oracle 7, witch 8, shaman 7</t>
  </si>
  <si>
    <t>This spell functions like mass inflict light wounds, except that it deals 3d8 points of damage + 1 point per caster level (maximum +35).</t>
  </si>
  <si>
    <t>Blood (7)</t>
  </si>
  <si>
    <t> Deals 3d8 damage + 1/level, affects 1 subject/level.</t>
  </si>
  <si>
    <t>Insanity</t>
  </si>
  <si>
    <t>The affected creature suffers from a continuous confusion effect, as the spell.  Remove curse does not remove insanity. Greater restoration, heal, limited wish, miracle, or wish can restore the creature.</t>
  </si>
  <si>
    <t>Charm (7), Madness (7), Dark Tapestry (7)</t>
  </si>
  <si>
    <t> Subject suffers continuous confusion.</t>
  </si>
  <si>
    <t>Accursed (15), Div (15), Impossible (15)</t>
  </si>
  <si>
    <t>Insanity (14)</t>
  </si>
  <si>
    <t>Interposing Hand</t>
  </si>
  <si>
    <t>sorcerer/wizard 5, magus 5, occultist 5, psychic 5</t>
  </si>
  <si>
    <t>Interposing hand creates a Large magic hand that appears between you and one opponent. This floating, disembodied hand then moves to remain between the two of you, regardless of where you move or how the opponent tries to get around it, providing cover (+4 AC) for you against that opponent. Nothing can fool the hand-it sticks with the selected opponent in spite of darkness, invisibility, polymorphing, or any other attempt at hiding or disguise. The hand does not pursue an opponent, however.  An interposing hand is 10 feet long and about that wide with its fingers outstretched. It has as many hit points as you do when you're undamaged, and is AC 20 (-1 size, +11 natural). It takes damage as a normal creature, but most magical effects that don't cause damage do not affect it.  The hand never provokes attacks of opportunity from opponents.  It cannot push through a wall of force or enter an antimagic field, but it suffers the full effect of a prismatic wall or prismatic sphere. The hand makes saving throws as its caster.  Disintegrate or a successful dispel magic destroys it.  Any creature weighing 2,000 pounds or less that tries to push past the hand is slowed to half its normal speed. The hand cannot reduce the speed of a creature weighing more than 2,000 pounds, but it still affects the creature's attacks.  Directing the spell to a new target is a move action.</t>
  </si>
  <si>
    <t> Hand provides cover against 1 opponent.</t>
  </si>
  <si>
    <t>Invisibility</t>
  </si>
  <si>
    <t>bard 2, sorcerer/wizard 2, alchemist 2, summoner/unchained summoner 2, inquisitor 2, antipaladin 2, magus 2, occultist 2, psychic 2, mesmerist 2, spiritualist 2, medium 2</t>
  </si>
  <si>
    <t>V, S, M/DF (an eyelash encased in gum arabic)</t>
  </si>
  <si>
    <t>you or a creature or object weighing no more than 100 lbs./level</t>
  </si>
  <si>
    <t>Will negates (harmless) or Will negates (harmless, object)</t>
  </si>
  <si>
    <t>yes (harmless) or yes (harmless, object)</t>
  </si>
  <si>
    <t>The creature or object touched becomes invisible. If the recipient is a creature carrying gear, that vanishes, too. If you cast the spell on someone else, neither you nor your allies can see the subject, unless you can normally see invisible things or you employ magic to do so.  Items dropped or put down by an invisible creature become visible; items picked up disappear if tucked into the clothing or pouches worn by the creature. Light, however, never becomes invisible, although a source of light can become so (thus, the effect is that of a light with no visible source). Any part of an item that the subject carries but that extends more than 10 feet from it becomes visible.  Of course, the subject is not magically silenced, and certain other conditions can render the recipient detectable (such as swimming in water or stepping in a puddle). If a check is required, a stationary invisible creature has a +40 bonus on its Stealth checks. This bonus is reduced to +20 if the creature is moving. The spell ends if the subject attacks any creature. For purposes of this spell, an attack includes any spell targeting a foe or whose area or effect includes a foe. Exactly who is a foe depends on the invisible character's perceptions. Actions directed at unattended objects do not break the spell. Causing harm indirectly is not an attack. Thus, an invisible being can open doors, talk, eat, climb stairs, summon monsters and have them attack, cut the ropes holding a rope bridge while enemies are on the bridge, remotely trigger traps, open a portcullis to release attack dogs, and so forth. If the subject attacks directly, however, it immediately becomes visible along with all its gear.  Spells such as bless that specifically affect allies but not foes are not attacks for this purpose, even when they include foes in their area.  Invisibility can be made permanent (on objects only) with a permanency spell.</t>
  </si>
  <si>
    <t>Subject is invisible for 1 min./level or until it attacks.</t>
  </si>
  <si>
    <t>Arcane (5), Djinni (5), Oni (5), Rakshasa (5)</t>
  </si>
  <si>
    <t>Deception (4), Spirits (4)</t>
  </si>
  <si>
    <t>The invisible target can't be detected with detect magic or other spells that detect magic auras. The invisibility can't be penetrated, revealed, or dispelled by spells of 2nd level or lower (such as see invisibility or glitterdust), though true seeing and dust of appearance can reveal the invisible target's presence.</t>
  </si>
  <si>
    <t>Augmented (3rd): If you expend two uses of mythic power, the invisible target is undetectable by blindsense, blindsight, scent, and tremorsense.</t>
  </si>
  <si>
    <t>Invisibility, Greater</t>
  </si>
  <si>
    <t>bard 4, sorcerer/wizard 4, alchemist 4, summoner 3, inquisitor 4, antipaladin 4, occultist 4, psychic 4, mesmerist 4, spiritualist 4, unchained summoner 4, medium 3</t>
  </si>
  <si>
    <t>This spell functions like invisibility, except that it doesn't end if the subject attacks.</t>
  </si>
  <si>
    <t>As invisibility, but subject can attack and stay invisible.</t>
  </si>
  <si>
    <t>Invisibility, Mass</t>
  </si>
  <si>
    <t>sorcerer/wizard 7, summoner 5, psychic 7, mesmerist 6, unchained summoner 6</t>
  </si>
  <si>
    <t>any number of creatures, no two of which can be more than 180 ft. apart</t>
  </si>
  <si>
    <t>This spell functions like invisibility, except that the effect moves with the group and is broken when anyone in the group attacks.  Individuals in the group cannot see each other. The spell is broken for any individual who moves more than 180 feet from the nearest member of the group. If only two individuals are affected, the one moving away from the other one loses its invisibility. If both are moving away from each other, they both become visible when the distance between them exceeds 180 feet.</t>
  </si>
  <si>
    <t> As invisibility, but affects all in range.</t>
  </si>
  <si>
    <t>Deception (14)</t>
  </si>
  <si>
    <t>Invisibility Purge</t>
  </si>
  <si>
    <t>cleric/oracle 3, inquisitor 3, occultist 3, spiritualist 3</t>
  </si>
  <si>
    <t>You surround yourself with a sphere of power with a radius of 5 feet per caster level that negates all forms of invisibility.  Anything invisible becomes visible while in the area.</t>
  </si>
  <si>
    <t> Dispels invisibility within 5 ft./level.</t>
  </si>
  <si>
    <t>Invisibility Sphere</t>
  </si>
  <si>
    <t>bard 3, sorcerer/wizard 3, occultist 3, psychic 3, mesmerist 3, unchained summoner 3</t>
  </si>
  <si>
    <t>10-ft.-radius emanation around the creature</t>
  </si>
  <si>
    <t>This spell functions like invisibility, except that this spell confers invisibility upon all creatures within 10 feet of the recipient at the time the spell is cast. The center of the effect is mobile with the recipient.  Those affected by this spell can see each other and themselves as if unaffected by the spell. Any affected creature moving out of the area becomes visible, but creatures moving into the area after the spell is cast do not become invisible.  Affected creatures (other than the recipient) who attack negate the invisibility only for themselves. If the spell recipient attacks, the invisibility sphere ends.</t>
  </si>
  <si>
    <t>Makes everyone within 10 feet invisible.</t>
  </si>
  <si>
    <t>Iron Body</t>
  </si>
  <si>
    <t>V, S, M/DF (a piece of iron from an iron golem, a hero's armor, or a war machine)</t>
  </si>
  <si>
    <t>This spell transforms your body into living iron, which grants you several powerful resistances and abilities. You gain damage reduction 15/adamantine. You are immune to blindness, critical hits, ability score damage, deafness, disease, drowning, electricity, poison, stunning, and all spells or attacks that affect your physiology or respiration, because you have no physiology or respiration while this spell is in effect. You take only half damage from acid and fire.  However, you also become vulnerable to all special attacks that affect iron golems (see the Pathfinder RPG Bestiary).  You gain a +6 enhancement bonus to your Strength score, but you take a -6 penalty to Dexterity as well (to a minimum Dexterity score of 1), and your speed is reduced to half normal. You have an arcane spell failure chance of 35% and a -6 armor check penalty, just as if you were clad in full plate armor. You cannot drink (and thus can't use potions) or play wind instruments.  Your unarmed attack deals damage equal to a club sized for you (1d4 for Small characters or 1d6 for Medium characters), and you are considered armed when making unarmed attacks.  Your weight increases by a factor of 10, causing you to sink in water like a stone. However, you could survive the lack of air at the bottom of the ocean-at least until the spell duration expires.</t>
  </si>
  <si>
    <t>Metal (8)</t>
  </si>
  <si>
    <t> Your body becomes living iron.</t>
  </si>
  <si>
    <t>Orc (17), Shaitan (17), Nanite (17)</t>
  </si>
  <si>
    <t>Endurance (16)</t>
  </si>
  <si>
    <t>Ironwood</t>
  </si>
  <si>
    <t>druid 6, occultist 6</t>
  </si>
  <si>
    <t>1 minute/lb. created</t>
  </si>
  <si>
    <t>V, S, F (wood to be transformed)</t>
  </si>
  <si>
    <t>an ironwood object weighing up to 5 lbs./level</t>
  </si>
  <si>
    <t>Ironwood is a magical substance created by druids from normal wood. While remaining natural wood in almost every way, ironwood is as strong, heavy, and resistant to fire as steel. Spells that affect metal or iron do not function on ironwood. Spells that affect wood do affect ironwood, although ironwood does not burn. Using this spell with wood shape or a wood-related Craft check, you can fashion wooden items that function as steel items. Thus, wooden plate armor and wooden swords can be created that are as durable as their normal steel counterparts. These items are freely usable by druids.  Further, if you make only half as much ironwood as the spell would normally allow, any weapon, shield, or suit of armor so created is treated as a magic item with a +1 enhancement bonus.</t>
  </si>
  <si>
    <t> Magic wood is as strong as steel.</t>
  </si>
  <si>
    <t>Irresistible Dance</t>
  </si>
  <si>
    <t>bard 6, sorcerer/wizard 8, witch 8, shaman 8, psychic 8, mesmerist 6</t>
  </si>
  <si>
    <t>1d4+1 rounds</t>
  </si>
  <si>
    <t>The subject feels an undeniable urge to dance and begins doing so, complete with foot shuffling and tapping. The spell effect makes it impossible for the subject to do anything other than caper and prance in place. The effect imposes a -4 penalty to Armor Class and a -10 penalty on Reflex saves, and it negates any AC bonus granted by a shield the target holds. The dancing subject provokes attacks of opportunity each round on its turn. A successful Will save reduces the duration of this effect to 1 round.</t>
  </si>
  <si>
    <t>Revelry (8)</t>
  </si>
  <si>
    <t>Forces subject to dance.</t>
  </si>
  <si>
    <t>Fey (17), Serpentine (17)</t>
  </si>
  <si>
    <t>Jump</t>
  </si>
  <si>
    <t>druid 1, ranger 1, sorcerer/wizard 1, alchemist 1, summoner/unchained summoner 1, alchemist 1, magus 1, bloodrager 1, psychic 1</t>
  </si>
  <si>
    <t>V, S, M (a grasshopper's hind leg)</t>
  </si>
  <si>
    <t>The subject gets a +10 enhancement bonus on Acrobatics checks made to attempt high jumps or long jumps. The enhancement bonus increases to +20 at caster level 5th, and to +30 (the maximum) at caster level 9th.</t>
  </si>
  <si>
    <t>Competition (1), Vermin (1)</t>
  </si>
  <si>
    <t>Subject gets bonus on Acrobatics checks.</t>
  </si>
  <si>
    <t>Agility (2), Transformation (2)</t>
  </si>
  <si>
    <t>Keen Edge</t>
  </si>
  <si>
    <t>sorcerer/wizard 3, inquisitor 3, magus 3, bloodrager 3, occultist 3</t>
  </si>
  <si>
    <t>one weapon or 50 projectiles, all of which must be together at the time of casting</t>
  </si>
  <si>
    <t>This spell makes a weapon magically keen, improving its ability to deal telling blows. This transmutation doubles the threat range of the weapon. A threat range of 20 becomes 19-20, a threat range of 19-20 becomes 17-20, and a threat range of 18-20 becomes 15-20. The spell can be cast only on piercing or slashing weapons. If cast on arrows or crossbow bolts, the keen edge on a particular projectile ends after one use, whether or not the missile strikes its intended target. Treat shuriken as arrows, rather than as thrown weapons, for the purpose of this spell. Multiple effects that increase a weapon's threat range (such as the keen special weapon property and the Improved Critical feat) don't stack. You can't cast this spell on a natural weapon, such as a claw.</t>
  </si>
  <si>
    <t>Murder (3)</t>
  </si>
  <si>
    <t> Doubles normal weapon's threat range.</t>
  </si>
  <si>
    <t>Knock</t>
  </si>
  <si>
    <t>sorcerer/wizard 2, inquisitor 2, occultist 2, psychic 2, mesmerist 2, medium 2</t>
  </si>
  <si>
    <t>one door, box, or chest with an area of up to 10 sq. ft./level</t>
  </si>
  <si>
    <t>Knock opens stuck, barred, or locked doors, as well as those subject to hold portal or arcane lock. When you complete the casting of this spell, make a caster level check against the DC of the lock with a +10 bonus. If successful, knock opens up to two means of closure. This spell opens secret doors, as well as locked or trick-opening boxes or chests. It also loosens welds, shackles, or chains (provided they serve to hold something shut). If used to open an arcane locked door, the spell does not remove the arcane lock but simply suspends its functioning for 10 minutes.  In all other cases, the door does not relock itself or become stuck again on its own. Knock does not raise barred gates or similar impediments (such as a portcullis), nor does it affect ropes, vines, and the like. The effect is limited by the area. Each casting can undo as many as two means of preventing access.</t>
  </si>
  <si>
    <t> Opens locked or magically sealed door.</t>
  </si>
  <si>
    <t>Know Direction</t>
  </si>
  <si>
    <t>bard 0, druid 0, shaman 0, occultist 0, psychic 0</t>
  </si>
  <si>
    <t>When you cast this spell, you instantly know the direction of north from your current position. The spell is effective in any environment in which "north" exists, but it may not work in extraplanar settings. Your knowledge of north is correct at the moment of casting, but you can get lost again within moments if you don't find some external reference point to help you keep track of direction.</t>
  </si>
  <si>
    <t>You discern north.</t>
  </si>
  <si>
    <t>Legend Lore</t>
  </si>
  <si>
    <t>bard 4, sorcerer/wizard 6, witch 6, inquisitor 6, occultist 6, psychic 6, spiritualist 6, medium 4</t>
  </si>
  <si>
    <t>V, S, M (incense worth 250 gp), F (four pieces of ivory worth 50 gp each)</t>
  </si>
  <si>
    <t>Legend lore brings to your mind legends about an important person, place, or thing. If the person or thing is at hand, or if you are in the place in question, the casting time is only 1d4 x 10 minutes. If you have only detailed information on the person, place, or thing, the casting time is 1d10 days, and the resulting lore is less complete and specific (though it often provides enough information to help you find the person, place, or thing, thus allowing a better legend lore result next time). If you know only rumors, the casting time is 2d6 weeks, and the resulting lore is vague and incomplete (though it often directs you to more detailed information, thus allowing a better legend lore result next time).  During the casting, you cannot engage in other than routine activities: eating, sleeping, and so forth. When completed, the divination brings legends (if any) about the person, place, or things to your mind. These may be legends that are still current, legends that have been forgotten, or even information that has never been generally known. If the person, place, or thing is not of legendary importance, you gain no information. As a rule of thumb, characters who are 11th level and higher are "legendary," as are the sorts of creatures they contend with, the major magic items they wield, and the places where they perform their key deeds.</t>
  </si>
  <si>
    <t>Knowledge (7)</t>
  </si>
  <si>
    <t>Lets you learn tales about a person, place, or thing.</t>
  </si>
  <si>
    <t>Harrow (13)</t>
  </si>
  <si>
    <t>Portents (12)</t>
  </si>
  <si>
    <t>Levitate</t>
  </si>
  <si>
    <t>sorcerer/wizard 2, alchemist 2, summoner/unchained summoner 2, witch 2, magus 2, shaman 2, occultist 2, psychic 2, mesmerist 2, spiritualist 2, medium 2</t>
  </si>
  <si>
    <t>V, S, F (a leather loop or golden wire bent into a cup shape)</t>
  </si>
  <si>
    <t>personal or close (25 ft. + 5 ft./2 levels)</t>
  </si>
  <si>
    <t>you or one willing creature or one object (total weight up to 100 lbs./level)</t>
  </si>
  <si>
    <t>Levitate allows you to move yourself, another creature, or an object up and down as you wish. A creature must be willing to be levitated, and an object must be unattended or possessed by a willing creature. You can mentally direct the recipient to move up or down as much as 20 feet each round; doing so is a move action.  You cannot move the recipient horizontally, but the recipient could clamber along the face of a cliff, for example, or push against a ceiling to move laterally (generally at half its base land speed).  A levitating creature that attacks with a melee or ranged weapon finds itself increasingly unstable; the first attack has a -1 penalty on attack rolls, the second -2, and so on, to a maximum penalty of -5. A full round spent stabilizing allows the creature to begin again at -1.</t>
  </si>
  <si>
    <t>Void (2)</t>
  </si>
  <si>
    <t> Subject moves up and down at your direction.</t>
  </si>
  <si>
    <t>Light</t>
  </si>
  <si>
    <t>bard 0, cleric/oracle 0, druid 0, inquisitor 0, magus 0, sorcerer/wizard 0, summoner/unchained summoner 0, witch 0, shaman 0, occultist 0, psychic 0, mesmerist 0, spiritualist 0, medium 0</t>
  </si>
  <si>
    <t>V, M/DF (a firefly)</t>
  </si>
  <si>
    <t>This spell causes a touched object to glow like a torch, shedding normal light in a 20-foot radius from the point touched, and increasing the light level for an additional 20 feet by one step, up to normal light (darkness becomes dim light, and dim light becomes normal light). In an area of normal or bright light, this spell has no effect. The effect is immobile, but it can be cast on a movable object.  You can only have one light spell active at any one time. If you cast this spell while another casting is still in effect, the previous casting is dispelled. If you make this spell permanent (through permanency or a similar effect), it does not count against this limit. Light can be used to counter or dispel any darkness spell of equal or lower spell level.</t>
  </si>
  <si>
    <t>Object shines like a torch.</t>
  </si>
  <si>
    <t>Lightning Bolt</t>
  </si>
  <si>
    <t>sorcerer/wizard 3, witch 3, magus 3, bloodrager 3, occultist 3</t>
  </si>
  <si>
    <t>V, S, M (fur and a glass rod)</t>
  </si>
  <si>
    <t>120 ft.</t>
  </si>
  <si>
    <t>120-ft. line</t>
  </si>
  <si>
    <t>You release a powerful stroke of electrical energy that deals 1d6 points of electricity damage per caster level (maximum 10d6) to each creature within its area. The bolt begins at your fingertips.  The lightning bolt sets fire to combustibles and damages objects in its path. It can melt metals with a low melting point, such as lead, gold, copper, silver, or bronze. If the damage caused to an interposing barrier shatters or breaks through it, the bolt may continue beyond the barrier if the spell's range permits; otherwise, it stops at the barrier just as any other spell effect does.</t>
  </si>
  <si>
    <t> Electricity deals 1d6/level damage.</t>
  </si>
  <si>
    <t>Stormborn (7)</t>
  </si>
  <si>
    <t>The damage dealt increases to 1d8 points of electricity damage per caster level (maximum 10d8). Any creature that fails its save is staggered for 1 round.</t>
  </si>
  <si>
    <t>Augmented (3rd): If you expend two uses of mythic power, you can bend the line of the spell once up to 90 degrees. Any creature that fails its save is stunned for 1 round.</t>
  </si>
  <si>
    <t>Limited Wish</t>
  </si>
  <si>
    <t>V, S, M (diamond worth 1,500 gp)</t>
  </si>
  <si>
    <t>none, see text</t>
  </si>
  <si>
    <t>A limited wish lets you create nearly any type of effect. For example, a limited wish can do any of the following things.  • Duplicate any sorcerer/wizard spell of 6th level or lower, provided the spell does not belong to one of your opposition schools.  • Duplicate any non-sorcerer/wizard spell of 5th level or lower, provided the spell does not belong to one of your opposition schools.  • Duplicate any sorcerer/wizard spell of 5th level or lower, even if it belongs to one of your opposition schools.  • Duplicate any non-sorcerer/wizard spell of 4th level or lower, even if it belongs to one of your opposition schools.  • Undo the harmful effects of many spells, such as geas/quest or insanity.  • Produce any other effect whose power level is in line with the above effects, such as a single creature automatically hitting on its next attack or taking a -7 penalty on its next saving throw.  A duplicated spell allows saving throws and spell resistance as normal, but the save DC is for a 7th-level spell. When a limited wish spell duplicates a spell with a material component that costs more than 1,000 gp, you must provide that component (in addition to the 1,500 gp diamond component for this spell).</t>
  </si>
  <si>
    <t>Construct (7)</t>
  </si>
  <si>
    <t> Alters reality (within limits).</t>
  </si>
  <si>
    <t>Liveoak</t>
  </si>
  <si>
    <t>druid 6, shaman 7</t>
  </si>
  <si>
    <t>tree touched</t>
  </si>
  <si>
    <t>This spell turns an oak tree into a protector or guardian. The spell can only be cast on a single tree at a time; while liveoak is in effect, you can't cast it again on another tree. Liveoak must be cast on a healthy, Huge oak. A triggering phrase of up to one word per caster level is placed on the targeted oak. The liveoak spell triggers the tree into animating as a treant.  If liveoak is dispelled, the tree takes root immediately wherever it happens to be. If released by you, the tree tries to return to its original location before taking root.</t>
  </si>
  <si>
    <t> Oak becomes treant guardian.</t>
  </si>
  <si>
    <t>Locate Object</t>
  </si>
  <si>
    <t>bard 2, cleric/oracle 3, sorcerer/wizard 2, witch 3, inquisitor 3, occultist 2, psychic 2, mesmerist 2, spiritualist 2, medium 2</t>
  </si>
  <si>
    <t>V, S, F/DF (a forked twig)</t>
  </si>
  <si>
    <t>circle, centered on you, with a radius of 400 ft. + 40 ft./level</t>
  </si>
  <si>
    <t>You sense the direction of a well-known or clearly visualized object.  You can search for general items, in which case you locate the nearest of its kind if more than one is within range. Attempting to find a certain item requires a specific and accurate mental image; if the image is not close enough to the actual object, the spell fails.  You cannot specify a unique item unless you have observed that particular item firsthand (not through divination).  The spell is blocked by even a thin sheet of lead. Creatures cannot be found by this spell. Polymorph any object and nondetection fool it.</t>
  </si>
  <si>
    <t>Thievery (3), Travel (2)</t>
  </si>
  <si>
    <t>Senses direction toward object (specific or type).</t>
  </si>
  <si>
    <t>Portents (4)</t>
  </si>
  <si>
    <t>Locate Creature</t>
  </si>
  <si>
    <t>bard 4, sorcerer/wizard 4, summoner 3, witch 4, occultist 4, psychic 4, mesmerist 4, spiritualist 4, unchained summoner 4, medium 3</t>
  </si>
  <si>
    <t>V, S, M (fur from a bloodhound)</t>
  </si>
  <si>
    <t>This spell functions like locate object, except this spell locates a known creature. You slowly turn and sense when you are facing in the direction of the creature to be located, provided it is within range. You also know in which direction the creature is moving, if any.  The spell can locate a creature of a specific kind or a specific creature known to you. It cannot find a creature of a certain type. To find a kind of creature, you must have seen such a creature up close (within 30 feet) at least once.  Running water blocks the spell. It cannot detect objects. It can be fooled by mislead, nondetection, and polymorph spells.</t>
  </si>
  <si>
    <t>Exploration (4)</t>
  </si>
  <si>
    <t>Indicates direction to known creature.</t>
  </si>
  <si>
    <t>Longstrider</t>
  </si>
  <si>
    <t>druid 1, ranger 1</t>
  </si>
  <si>
    <t>V, S, M (a pinch of dirt)</t>
  </si>
  <si>
    <t>This spell gives you a +10 foot enhancement bonus to your base speed. It has no effect on other modes of movement, such as burrow, climb, fly, or swim.</t>
  </si>
  <si>
    <t>Travel (1)</t>
  </si>
  <si>
    <t>Your speed increases by 10 ft.</t>
  </si>
  <si>
    <t>Lullaby</t>
  </si>
  <si>
    <t>bard 0, psychic 0, mesmerist 0</t>
  </si>
  <si>
    <t>living creatures within a 10-ft.-radius burst</t>
  </si>
  <si>
    <t>concentration + 1 round/level</t>
  </si>
  <si>
    <t>Any creature within the area that fails a Will save becomes drowsy and inattentive, taking a -5 penalty on Perception checks and a -2 penalty on Will saves against sleep effects while the lullaby is in effect. Lullaby lasts for as long as the caster concentrates, plus up to 1 round per caster level thereafter.</t>
  </si>
  <si>
    <t> Makes subject drowsy  –5 on Perception checks, –2 on Will saves against sleep.</t>
  </si>
  <si>
    <t>Mage Armor</t>
  </si>
  <si>
    <t>sorcerer/wizard 1, summoner/unchained summoner 1, witch 1, bloodrager 1, occultist 1, psychic 1, spiritualist 1</t>
  </si>
  <si>
    <t>V, S, F (a piece of cured leather)</t>
  </si>
  <si>
    <t>An invisible but tangible field of force surrounds the subject of a mage armor spell, providing a +4 armor bonus to AC.  Unlike mundane armor, mage armor entails no armor check penalty, arcane spell failure chance, or speed reduction. Since mage armor is made of force, incorporeal creatures can't bypass it the way they do normal armor.</t>
  </si>
  <si>
    <t> Gives subject +4 armor bonus.</t>
  </si>
  <si>
    <t>Draconic (3)</t>
  </si>
  <si>
    <t>The armor bonus increases to +6. There is a 50% chance that any critical hit or sneak attack made against the target is negated and treated as a normal hit, as if the target were wearing moderate fortification armor.</t>
  </si>
  <si>
    <t>Mage Hand</t>
  </si>
  <si>
    <t>bard 0, sorcerer/wizard 0, summoner/unchained summoner 0, magus 0, occultist 0, psychic 0, mesmerist 0, spiritualist 0, medium 0</t>
  </si>
  <si>
    <t>one nonmagical, unattended object weighing up to 5 lbs.</t>
  </si>
  <si>
    <t>You point your finger at an object and can lift it and move it at will from a distance. As a move action, you can propel the object as far as 15 feet in any direction, though the spell ends if the distance between you and the object ever exceeds the spell's range.</t>
  </si>
  <si>
    <t>5-pound telekinesis.</t>
  </si>
  <si>
    <t>Mage's Disjunction</t>
  </si>
  <si>
    <t>all magical effects and magic items within a 40-ft.-radius burst, or one magic item (see text)</t>
  </si>
  <si>
    <t>1 minute/level</t>
  </si>
  <si>
    <t>All magical effects and magic items within the radius of the spell, except for those that you carry or touch, are disjoined.  That is, spells and spell-like effects are unraveled and destroyed completely (ending the effect as a dispel magic spell does), and each permanent magic item must make a successful Will save or be turned into a normal item for the duration of this spell.  An item in a creature's possession uses its own Will save bonus or its possessor's Will save bonus, whichever is higher. If an item's saving throw results in a natural 1 on the die, the item is destroyed instead of being suppressed.  You also have a 1% chance per caster level of destroying an antimagic field. If the antimagic field survives the disjunction, no items within it are disjoined.  You can also use this spell to target a single item. The item gets a Will save at a -5 penalty to avoid being permanently destroyed. Even artifacts are subject to mage's disjunction, though there is only a 1% chance per caster level of actually affecting such powerful items. If successful, the artifact's power unravels, and it is destroyed (with no save). If an artifact is destroyed, you must make a DC 25 Will save or permanently lose all spellcasting abilities. These abilities cannot be recovered by mortal magic, not even miracle or wish. Destroying artifacts is a dangerous business, and it is 95% likely to attract the attention of some powerful being who has an interest in or connection with the device.</t>
  </si>
  <si>
    <t>Magic (9)</t>
  </si>
  <si>
    <t> Dispels magic, disenchants magic items.</t>
  </si>
  <si>
    <t>Wisdom (18)</t>
  </si>
  <si>
    <t>The duration increases to 10 minutes per caster level. The chance to destroy an antimagic field increases to 2% per caster level.</t>
  </si>
  <si>
    <t>Mage's Faithful Hound</t>
  </si>
  <si>
    <t>sorcerer/wizard 5, summoner 4, spiritualist 5, unchained summoner 5</t>
  </si>
  <si>
    <t>V, S, M (a tiny silver whistle, a piece of bone, and a thread)</t>
  </si>
  <si>
    <t>phantom watchdog</t>
  </si>
  <si>
    <t>1 hour/caster level or until discharged, then 1 round/caster level; see text</t>
  </si>
  <si>
    <t>You conjure up a phantom watchdog that is invisible to everyone but yourself. It then guards the area where it was conjured (it does not move). The hound immediately starts barking loudly if any Small or larger creature approaches within 30 feet of it. (Those within 30 feet of the hound when it is conjured may move about in the area, but if they leave and return, they activate the barking.) The hound sees invisible and ethereal creatures. It does not react to figments, but it does react to shadow illusions.  If an intruder approaches to within 5 feet of the hound, the dog stops barking and delivers a vicious bite (+10 attack bonus, 2d6+3 points of piercing damage) once per round. The dog also gets the bonuses appropriate to an invisible creature (see invisibility).  The dog is considered ready to bite intruders, so it delivers its first bite on the intruder's turn. Its bite is the equivalent of a magic weapon for the purpose of damage reduction. The hound cannot be attacked, but it can be dispelled.  The spell lasts for 1 hour per caster level, but once the hound begins barking, it lasts only 1 round per caster level. If you are ever more than 100 feet distant from the hound, the spell ends.</t>
  </si>
  <si>
    <t> Phantom dog can guard a location and attack intruders.</t>
  </si>
  <si>
    <t>Mage's Lucubration</t>
  </si>
  <si>
    <t>wizard 6</t>
  </si>
  <si>
    <t>You instantly prepare any one spell of 5th level or lower that you have used during the past 24 hours. The spell must have been actually cast during that period. The chosen spell is stored in your mind as through prepared in the normal fashion.  If the recalled spell requires material components, you must provide them. The recovered spell is not usable until the material components are available.</t>
  </si>
  <si>
    <t> Wizard only. Recalls spell of 5th level or lower.</t>
  </si>
  <si>
    <t>Mage's Magnificent Mansion</t>
  </si>
  <si>
    <t>V, S, F (a miniature ivory door, a piece of polished marble, and a silver spoon, each worth 5 gp)</t>
  </si>
  <si>
    <t>extradimensional mansion, up to three 10-ft. cubes/level (S)</t>
  </si>
  <si>
    <t>You conjure up an extradimensional dwelling that has a single entrance on the plane from which the spell was cast. The entry point looks like a faint shimmering in the air that is 4 feet wide and 8 feet high. Only those you designate may enter the mansion, and the portal is shut and made invisible behind you when you enter. You may open it again from your own side at will. Once observers have passed beyond the entrance, they are in a magnificent foyer with numerous chambers beyond. The atmosphere is clean, fresh, and warm.  You can create any floor plan you desire to the limit of the spell's effect. The place is furnished and contains sufficient foodstuffs to serve a nine-course banquet to a dozen people per caster level.  A staff of near-transparent servants (as many as two per caster level), liveried and obedient, wait upon all who enter. The servants function as unseen servant spells except that they are visible and can go anywhere in the mansion.  Since the place can be entered only through its special portal, outside conditions do not affect the mansion, nor do conditions inside it pass to the plane beyond.</t>
  </si>
  <si>
    <t>Industry (7)</t>
  </si>
  <si>
    <t> Door leads to extradimensional mansion.</t>
  </si>
  <si>
    <t>Mage's Private Sanctum</t>
  </si>
  <si>
    <t>sorcerer/wizard 5, psychic 5, mesmerist 5, spiritualist 5, medium 4</t>
  </si>
  <si>
    <t>V, S, M (a sheet of lead, a piece of glass, a wad of cotton, and powdered chrysolite)</t>
  </si>
  <si>
    <t>30-ft. cube/level</t>
  </si>
  <si>
    <t>This spell ensures privacy. Anyone looking into the area from outside sees only a dark, foggy mass. Darkvision cannot penetrate it. No sounds, no matter how loud, can escape the area, so nobody can eavesdrop from outside. Those inside can see out normally.  Divination (scrying) spells cannot perceive anything within the area, and those within are immune to detect thoughts. The ward prevents speech between those inside and those outside (because it blocks sound), but it does not prevent other communication, such as a sending or message spell, or telepathic communication, such as that between a wizard and her familiar.  The spell does not prevent creatures or objects from moving into and out of the area.  Mage's private sanctum can be made permanent with a permanency spell.</t>
  </si>
  <si>
    <t> Prevents anyone from viewing or scrying an area for 24 hours.</t>
  </si>
  <si>
    <t>Mage's Sword</t>
  </si>
  <si>
    <t>V, S, F (a miniature platinum sword worth 250 gp)</t>
  </si>
  <si>
    <t>one sword</t>
  </si>
  <si>
    <t>This spell brings into being a shimmering, sword-like plane of force. The sword strikes at any opponent within its range, as you desire, starting in the round that you cast the spell. The sword attacks its designated target once each round on your turn. Its attack bonus is equal to your caster level + your Intelligence bonus or your Charisma bonus (for wizards or sorcerers, respectively) with an additional +3 enhancement bonus. As a force effect, it can strike ethereal and incorporeal creatures. It deals 4d6+3 points of force damage, with a threat range of 19-20 and a critical multiplier of x2.  The sword always strikes from your direction. It does not get a bonus for flanking or help a combatant get one. If the sword goes beyond the spell range from you, goes out of your sight, or you are not directing it, it returns to you and hovers.  Each round after the first, you can use a standard action to switch the sword to a new target. If you do not, the sword continues to attack the previous round's target.  The sword cannot be attacked or harmed by physical attacks, but dispel magic, disintegrate, a sphere of annihilation, or a rod of cancellation affects it. The sword's AC is 13 (10, +0 size bonus for Medium object, +3 deflection bonus).  If an attacked creature has spell resistance, the resistance is checked the first time mage's sword strikes it. If the sword is successfully resisted, the spell is dispelled. If not, the sword has its normal full effect on that creature for the duration of the spell.</t>
  </si>
  <si>
    <t> Floating magic blade strikes opponents.</t>
  </si>
  <si>
    <t>Thorns (16)</t>
  </si>
  <si>
    <t>Magic Aura</t>
  </si>
  <si>
    <t>bard 1, sorcerer/wizard 1, occultist 1, psychic 1, mesmerist 1</t>
  </si>
  <si>
    <t>V, S, F (a small square of silk that must be passed over the object that receives the aura)</t>
  </si>
  <si>
    <t>one touched object weighing up to 5 lbs./level</t>
  </si>
  <si>
    <t>You alter an item's aura so that it registers to detect spells (and spells with similar capabilities) as though it were nonmagical, or a magic item of a kind you specify, or the subject of a spell you specify. If the object bearing magic aura has identify cast on it or is similarly examined, the examiner recognizes that the aura is false and detects the object's actual qualities if he succeeds on a Will save. Otherwise, he believes the aura and no amount of testing reveals what the true magic is.  If the targeted item's own aura is exceptionally powerful (if it is an artifact, for instance), magic aura doesn't work.  Note: A magic weapon, shield, or suit of armor must be a masterwork item, so a sword of average make, for example, looks suspicious if it has a magical aura.</t>
  </si>
  <si>
    <t>Arcane (1)</t>
  </si>
  <si>
    <t>Alters object’s magic aura.</t>
  </si>
  <si>
    <t>Magic Circle against Evil</t>
  </si>
  <si>
    <t>cleric/oracle 3, paladin 3, sorcerer/wizard 3, summoner/unchained summoner 3, inquisitor 3, shaman 3, occultist 3, spiritualist 3, medium 3</t>
  </si>
  <si>
    <t>V, S, M/DF (a 3-ft.-diameter circle of powdered silver)</t>
  </si>
  <si>
    <t>10-ft.-radius emanation from touched creature</t>
  </si>
  <si>
    <t>no; see text</t>
  </si>
  <si>
    <t>All creatures within the area gain the effects of a protection from evil spell, and evil summoned creatures cannot enter the area either. Creatures in the area, or who later enter the area, receive only one attempt to suppress effects that are controlling them.  If successful, such effects are suppressed as long as they remain in the area. Creatures that leave the area and come back are not protected. You must overcome a creature's spell resistance in order to keep it at bay (as in the third function of protection from evil), but the deflection and resistance bonuses and the protection from mental control apply regardless of enemies' spell resistance.  This spell has an alternative version that you may choose when casting it. A magic circle against evil can be focused inward rather than outward. When focused inward, the spell binds a nongood called creature (such as those called by the lesser planar binding, planar binding, and greater planar binding spells) for a maximum of 24 hours per caster level, provided that you cast the spell that calls the creature within 1 round of casting the magic circle. The creature cannot cross the circle's boundaries. If a creature too large to fit into the spell's area is the subject of the spell, the spell acts as a normal protection from evil spell for that creature only.  A magic circle leaves much to be desired as a trap. If the circle of powdered silver laid down in the process of spellcasting is broken, the effect immediately ends. The trapped creature can do nothing that disturbs the circle, directly or indirectly, but other creatures can. If the called creature has spell resistance, it can test the trap once a day. If you fail to overcome its spell resistance, the creature breaks free, destroying the circle.  A creature capable of any form of dimensional travel (astral projection, blink, dimension door, etherealness, gate, plane shift, shadow walk, teleport, and similar abilities) can simply leave the circle through such means. You can prevent the creature's extradimensional escape by casting a dimensional anchor spell on it, but you must cast the spell before the creature acts. If you are successful, the anchor effect lasts as long as the magic circle does. The creature cannot reach across the magic circle, but its ranged attacks (ranged weapons, spells, magical abilities, and the like) can. The creature can attack any target it can reach with its ranged attacks except for the circle itself.  You can add a special diagram (a two-dimensional bounded figure with no gaps along its circumference, augmented with various magical sigils) to make the magic circle more secure. Drawing the diagram by hand takes 10 minutes and requires a DC 20 Spellcraft check. You do not know the result of this check. If the check fails, the diagram is ineffective. You can take 10 when drawing the diagram if you are under no particular time pressure to complete the task.  This task also takes 10 full minutes. If time is no factor at all, and you devote 3 hours and 20 minutes to the task, you can take 20.  A successful diagram allows you to cast a dimensional anchor spell on the magic circle during the round before casting any summoning spell. The anchor holds any called creatures in the magic circle for 24 hours per caster level. A creature cannot use its spell resistance against a magic circle prepared with a diagram, and none of its abilities or attacks can cross the diagram. If the creature tries a Charisma check to break free of the trap (see the lesser planar binding spell), the DC increases by 5. The creature is immediately released if anything disturbs the diagram-even a straw laid across it. The creature itself cannot disturb the diagram either directly or indirectly, as noted above.  This spell is not cumulative with protection from evil and vice versa.</t>
  </si>
  <si>
    <t>Good (3)</t>
  </si>
  <si>
    <t>As protection spells, but 10-ft. radius and 10 min./level.</t>
  </si>
  <si>
    <t>Celestial (7)</t>
  </si>
  <si>
    <t>Boundaries (6)</t>
  </si>
  <si>
    <t>Magic Circle against Chaos</t>
  </si>
  <si>
    <t>This spell functions like magic circle against evil, except that it is similar to protection from chaos instead of protection from evil, and it can imprison a nonlawful called creature.</t>
  </si>
  <si>
    <t>Law (3)</t>
  </si>
  <si>
    <t>Magic Circle against Good</t>
  </si>
  <si>
    <t>cleric/oracle 3, sorcerer/wizard 3, summoner/unchained summoner 3, inquisitor 3, antipaladin 3, shaman 3, occultist 3, spiritualist 3, medium 3</t>
  </si>
  <si>
    <t>This spell functions like magic circle against evil, except that it is similar to protection from good instead of protection from evil, and it can imprison a nonevil called creature.</t>
  </si>
  <si>
    <t>Evil (3)</t>
  </si>
  <si>
    <t>Magic Circle against Law</t>
  </si>
  <si>
    <t>This spell functions like magic circle against evil, except that it is similar to protection from law instead of protection from evil, and it can imprison a nonchaotic called creature.</t>
  </si>
  <si>
    <t>Chaos (3)</t>
  </si>
  <si>
    <t>Magic Fang</t>
  </si>
  <si>
    <t>druid 1, ranger 1, summoner/unchained summoner 1, spiritualist 1</t>
  </si>
  <si>
    <t>Magic fang gives one natural weapon or unarmed strike of the subject a +1 enhancement bonus on attack and damage rolls. The spell can affect a slam attack, fist, bite, or other natural weapon.  The spell does not change an unarmed strike's damage from nonlethal damage to lethal damage.  Magic fang can be made permanent with a permanency spell.</t>
  </si>
  <si>
    <t>Fur (1), Scalykind (1), Cannibalism (1)</t>
  </si>
  <si>
    <t>One natural weapon of subject creature gets +1 on attack and damage rolls.</t>
  </si>
  <si>
    <t>The spell affects an additional number of the target's natural weapons equal to your tier. For example, if you're 3rd tier, it could affect two claws and one bite).</t>
  </si>
  <si>
    <t>Magic Fang, Greater</t>
  </si>
  <si>
    <t>druid 3, ranger 3, summoner/unchained summoner 3, spiritualist 3</t>
  </si>
  <si>
    <t>This spell functions like magic fang, except that the enhancement bonus on attack and damage rolls is +1 per four caster levels (maximum +5). This bonus does not allow a natural weapon or unarmed strike to bypass damage reduction aside from magic.  Alternatively, you may imbue all of the creature's natural weapons with a +1 enhancement bonus (regardless of your caster level).  Greater magic fang can be made permanent with a permanency spell.</t>
  </si>
  <si>
    <t>Scalykind (3), Cannibalism (3), Fist (3)</t>
  </si>
  <si>
    <t>One natural weapon gets + 1/four levels (max +5).</t>
  </si>
  <si>
    <t>Magic Jar</t>
  </si>
  <si>
    <t>sorcerer/wizard 5, alchemist 5, summoner 4, witch 5, unchained summoner 5</t>
  </si>
  <si>
    <t>V, S, F (a gem or crystal worth at least 100 gp)</t>
  </si>
  <si>
    <t>1 hour/level or until you return to your body</t>
  </si>
  <si>
    <t>By casting magic jar, you place your soul in a gem or large crystal (known as the magic jar), leaving your body lifeless. Then you can attempt to take control of a nearby body, forcing its soul into the magic jar. You may move back to the jar (thereby returning the trapped soul to its body) and attempt to possess another body.  The spell ends when you send your soul back to your own body, leaving the receptacle empty. To cast the spell, the magic jar must be within spell range and you must know where it is, though you do not need line of sight or line of effect to it. When you transfer your soul upon casting, your body is, as near as anyone can tell, dead.  While in the magic jar, you can sense and attack any life force within 10 feet per caster level (and on the same plane of existence).  You do need line of effect from the jar to the creatures. You cannot determine the exact creature types or positions of these creatures.  In a group of life forces, you can sense a difference of 4 or more HD between one creature and another and can determine whether a life force is powered by positive or negative energy. (Undead creatures are powered by negative energy. Only sentient undead creatures have, or are, souls.) You could choose to take over either a stronger or a weaker creature, but which particular stronger or weaker creature you attempt to possess is determined randomly.  Attempting to possess a body is a full-round action. It is blocked by protection from evil or a similar ward. You possess the body and force the creature's soul into the magic jar unless the subject succeeds on a Will save. Failure to take over the host leaves your life force in the magic jar, and the target automatically succeeds on further saving throws if you attempt to possess its body again.  If you are successful, your life force occupies the host body, and the host's life force is imprisoned in the magic jar. You keep your Intelligence, Wisdom, Charisma, level, class, base attack bonus, base save bonuses, alignment, and mental abilities. The body retains its Strength, Dexterity, Constitution, hit points, natural abilities, and automatic abilities. A body with extra limbs does not allow you to make more attacks (or more advantageous two-weapon attacks) than normal. You can't choose to activate the body's extraordinary or supernatural abilities. The creature's spells and spell-like abilities do not stay with the body.  As a standard action, you can shift freely from a host to the magic jar if within range, sending the trapped soul back to its body. The spell ends when you shift from the jar to your own body.  If the host body is slain, you return to the magic jar, if within range, and the life force of the host departs (it is dead). If the host body is slain beyond the range of the spell, both you and the host die. Any life force with nowhere to go is treated as slain.  If the spell ends while you are in the magic jar, you return to your body (or die if your body is out of range or destroyed). If the spell ends while you are in a host, you return to your body (or die, if it is out of range of your current position), and the soul in the magic jar returns to its body (or dies if it is out of range). Destroying the receptacle ends the spell, and the spell can be dispelled at either the magic jar or the host's location.</t>
  </si>
  <si>
    <t> Enables possession of another creature.</t>
  </si>
  <si>
    <t>Magic Missile</t>
  </si>
  <si>
    <t>sorcerer/wizard 1, magus 1, bloodrager 1, psychic 1</t>
  </si>
  <si>
    <t>up to five creatures, no two of which can be more than 15 ft. apart</t>
  </si>
  <si>
    <t>A missile of magical energy darts forth from your fingertip and strikes its target, dealing 1d4+1 points of force damage.  The missile strikes unerringly, even if the target is in melee combat, so long as it has less than total cover or total concealment.  Specific parts of a creature can't be singled out. Objects are not damaged by the spell.  For every two caster levels beyond 1st, you gain an additional missile-two at 3rd level, three at 5th, four at 7th, and the maximum of five missiles at 9th level or higher. If you shoot multiple missiles, you can have them strike a single creature or several creatures.  A single missile can strike only one creature. You must designate targets before you check for spell resistance or roll damage.</t>
  </si>
  <si>
    <t> 1d4+1 damage; +1 missile per two levels above 1st (max 5).</t>
  </si>
  <si>
    <t>The damage dealt by each missile increases to 2d4+1. The missiles bypass the shield spell and similar effects that block the non-mythic version of this spell.</t>
  </si>
  <si>
    <t>Augmented (4th): If you expend two uses of mythic power, the spell creates double the normal number of missiles (affecting up to 10 creatures), its range increases to line of sight, and it bypasses the targets' spell resistance and spell immunity.</t>
  </si>
  <si>
    <t>Magic Mouth</t>
  </si>
  <si>
    <t>bard 1, sorcerer/wizard 2, summoner/unchained summoner 1, occultist 2, psychic 2, mesmerist 1, medium 2</t>
  </si>
  <si>
    <t>V, S, M (a small bit of honeycomb and jade dust worth 10 gp)</t>
  </si>
  <si>
    <t>This spell imbues the chosen object or creature with an enchanted mouth that suddenly appears and speaks its message the next time a specified event occurs. The message, which must be 25 or fewer words long, can be in any language known by you and can be delivered over a period of 10 minutes. The mouth cannot utter verbal components, use command words, or activate magical effects. It does, however, move according to the words articulated; if it were placed upon a statue, the mouth of the statue would move and appear to speak. Magic mouth can also be placed upon a tree, rock, or any other object or creature.  The spell functions when specific conditions are fulfilled according to your command as set in the spell. Commands can be as general or as detailed as desired, although only visual and audible triggers can be used. Triggers react to what appears to be the case.  Disguises and illusions can fool them. Normal darkness does not defeat a visual trigger, but magical darkness or invisibility does.  Silent movement or magical silence defeats audible triggers. Audible triggers can be keyed to general types of noises or to a specific noise or spoken word. Actions can serve as triggers if they are visible or audible. A magic mouth cannot distinguish alignment, level, Hit Dice, or class except by external garb.  The range limit of a trigger is 15 feet per caster level, so a 6thlevel caster can command a magic mouth to respond to triggers as far as 90 feet away. Regardless of range, the mouth can respond only to visible or audible triggers and actions in line of sight or within hearing distance.  Magic mouth can be made permanent with a permanency spell.</t>
  </si>
  <si>
    <t>Magic (2)</t>
  </si>
  <si>
    <t>Objects speaks once when triggered.</t>
  </si>
  <si>
    <t>Magic Stone</t>
  </si>
  <si>
    <t>cleric/oracle 1, druid 1, shaman 1</t>
  </si>
  <si>
    <t>up to three pebbles touched</t>
  </si>
  <si>
    <t>30 minutes or until discharged</t>
  </si>
  <si>
    <t>You transmute as many as three pebbles, which can be no larger than sling bullets, so that they strike with great force when thrown or slung. If hurled, they have a range increment of 20 feet. If slung, treat them as sling bullets (range increment 50 feet). The spell gives them a +1 enhancement bonus on attack and damage rolls. The user of the stones makes a normal ranged attack. Each stone that hits deals 1d6+1 points of damage (including the spell's enhancement bonus), or 2d6+2 points against undead.</t>
  </si>
  <si>
    <t>Earth (1), Ruins (1)</t>
  </si>
  <si>
    <t>Three stones gain +1 on attack, deal 1d6 +1 damage.</t>
  </si>
  <si>
    <t>Magic Vestment</t>
  </si>
  <si>
    <t>cleric/oracle 3, inquisitor 3, shaman 3, occultist 3</t>
  </si>
  <si>
    <t>armor or shield touched</t>
  </si>
  <si>
    <t>You imbue a suit of armor or a shield with an enhancement bonus of +1 per four caster levels (maximum +5 at 20th level).  An outfit of regular clothing counts as armor that grants no AC bonus for the purpose of this spell.</t>
  </si>
  <si>
    <t>Nobility (3), Strength (3), War (3)</t>
  </si>
  <si>
    <t> Armor or shield gains +1 enhancement per four levels.</t>
  </si>
  <si>
    <t>Devotion (6), Wisdom (6)</t>
  </si>
  <si>
    <t>You can add one armor special ability to the target if it's armor or one shield special ability if it's a shield. The special ability must have a base price modifier no greater than a +1 enhancement bonus or 4,000 gp.</t>
  </si>
  <si>
    <t>Augmented (3rd): If you expend two uses of mythic power, you can add any number of special abilities with a total base price modifier no greater than a +2 enhancement bonus or 15,000 gp.</t>
  </si>
  <si>
    <t>Magic Weapon</t>
  </si>
  <si>
    <t>cleric/oracle 1, paladin 1, sorcerer/wizard 1, inquisitor 1, antipaladin 1, magus 1, bloodrager 1, shaman 1, occultist 1</t>
  </si>
  <si>
    <t>Magic weapon gives a weapon a +1 enhancement bonus on attack and damage rolls. An enhancement bonus does not stack with a masterwork weapon's +1 bonus on attack rolls.  You can't cast this spell on a natural weapon, such as an unarmed strike (instead, see magic fang). A monk's unarmed strike is considered a weapon, and thus it can be enhanced by this spell.</t>
  </si>
  <si>
    <t>War (1)</t>
  </si>
  <si>
    <t>Weapon gains +1 bonus.</t>
  </si>
  <si>
    <t>Magic Weapon, Greater</t>
  </si>
  <si>
    <t>cleric/oracle 4, paladin 3, sorcerer/wizard 3, inquisitor 3, antipaladin 3, magus 3, bloodrager 3, shaman 4, occultist 3</t>
  </si>
  <si>
    <t>V, S, M/DF (powdered lime and carbon)</t>
  </si>
  <si>
    <t>one weapon or 50 projectiles (all of which must be together at the time of casting)</t>
  </si>
  <si>
    <t>This spell functions like magic weapon, except that it gives a weapon an enhancement bonus on attack and damage rolls of +1 per four caster levels (maximum +5). This bonus does not allow a weapon to bypass damage reduction aside from magic.  Alternatively, you can affect as many as 50 arrows, bolts, or bullets.  The projectiles must be of the same kind, and they have to be together (in the same quiver or other container). Projectiles, but not thrown weapons, lose their transmutation after they are used.  Treat shuriken as projectiles, rather than as thrown weapons, for the purpose of this spell.</t>
  </si>
  <si>
    <t>Weapon gains +1 bonus/four levels (max +5).</t>
  </si>
  <si>
    <t>Shaitan (7)</t>
  </si>
  <si>
    <t>Devotion (8), Strength (6)</t>
  </si>
  <si>
    <t>You can add one of the following weapon special abilities to the weapon: flaming, frost, keen, merciful, shock, or thundering.</t>
  </si>
  <si>
    <t>Augmented (5th): If you expend two uses of mythic power, you can reduce the granted enhancement bonus by 1 to add two of the above abilities or one of the following abilities: anarchic, axiomatic, flaming burst, holy, icy burst, shocking burst, or unholy.</t>
  </si>
  <si>
    <t>Minor Creation</t>
  </si>
  <si>
    <t>sorcerer/wizard 4, summoner/unchained summoner 3, witch 4, occultist 3, psychic 4, spiritualist 3</t>
  </si>
  <si>
    <t>V, S, M (a tiny piece of matter of the same sort of item you plan to create with minor creation)</t>
  </si>
  <si>
    <t>unattended, nonmagical object of nonliving plant matter, up to 1 cu. ft./level</t>
  </si>
  <si>
    <t>You create a nonmagical, unattended object of nonliving vegetable matter. The volume of the item created cannot exceed 1 cubic foot per caster level. You must succeed on an appropriate Craft skill check to make a complex item.  Attempting to use any created object as a material component causes the spell to fail.</t>
  </si>
  <si>
    <t>Artifice (4)</t>
  </si>
  <si>
    <t> Creates one cloth or wood object.</t>
  </si>
  <si>
    <t>Djinni (9)</t>
  </si>
  <si>
    <t>Major Creation</t>
  </si>
  <si>
    <t>sorcerer/wizard 5, summoner/unchained summoner 4, witch 5, occultist 4, psychic 5</t>
  </si>
  <si>
    <t>This spell functions like minor creation, except that you can also create an object of mineral nature: stone, crystal, metal, or the like. The duration of the created item varies with its relative hardness and rarity, as indicated on the following table. Hardness and Rarity Examples Duration Vegetable matter 2 hr./level Stone, crystal, base metals 1 hr./level Precious metals 20 min./level Gems 10 min./level Rare metal* 1 round/level * Includes adamantine, alchemical silver, and mithral. You can't use major creation to create a cold iron item.</t>
  </si>
  <si>
    <t>Artifice (6), Flotsam (5)</t>
  </si>
  <si>
    <t> As minor creation, plus stone and metal.</t>
  </si>
  <si>
    <t>Protean (11)</t>
  </si>
  <si>
    <t>Major Image</t>
  </si>
  <si>
    <t>bard 3, sorcerer/wizard 3, magus 3, occultist 3, psychic 3, mesmerist 3, medium 3</t>
  </si>
  <si>
    <t>V, S, F (a bit of fleece)</t>
  </si>
  <si>
    <t>visual figment that cannot extend beyond four 10-ft. cubes + one 10-ft. cube/level (S)</t>
  </si>
  <si>
    <t>Concentration + 3 rounds</t>
  </si>
  <si>
    <t>This spell functions like silent image, except that sound, smell, and thermal illusions are included in the spell effect. While concentrating, you can move the image within the range.  The image disappears when struck by an opponent unless you cause the illusion to react appropriately.</t>
  </si>
  <si>
    <t>Imagination (3)</t>
  </si>
  <si>
    <t>As silent image, plus sound, smell, and thermal effects.</t>
  </si>
  <si>
    <t>Trickery (6)</t>
  </si>
  <si>
    <t>Make Whole</t>
  </si>
  <si>
    <t>cleric/oracle 2, sorcerer/wizard 2, occultist 2, psychic 2</t>
  </si>
  <si>
    <t>one object of up to 10 cu. ft./level or one construct creature of any size</t>
  </si>
  <si>
    <t>This spell functions as mending, except that it repairs 1d6 points of damage per level when cast on an object or construct creature (maximum 5d6).  Make whole can fix destroyed magic items (at 0 hit points or less), and restores the magic properties of the item if your caster level is at least twice that of the item. Items with charges (such as wands) and single-use items (such as potions and scrolls) cannot be repaired in this way. When make whole is used on a construct creature, the spell bypasses any immunity to magic as if the spell did not allow spell resistance.</t>
  </si>
  <si>
    <t>Flotsam (2)</t>
  </si>
  <si>
    <t>Repairs an object.</t>
  </si>
  <si>
    <t>Impossible (5)</t>
  </si>
  <si>
    <t>The damage the spell repairs increases to 2d6 points of damage per caster level when cast on a construct creature (maximum 10d6). A construct repaired with this spell gains a +2 enhancement bonus on an ability score of your choice for the next 24 hours. To repair a magic item, your caster level has to equal to only the caster level of the magic item, not double the caster level.</t>
  </si>
  <si>
    <t>Mark of Justice</t>
  </si>
  <si>
    <t>cleric/oracle 5, paladin 4, witch 5, inquisitor 5</t>
  </si>
  <si>
    <t>permanent; see text</t>
  </si>
  <si>
    <t>You mark a subject and state some behavior on the part of the subject that will activate the mark. When activated, the mark curses the subject. Typically, you designate some sort of undesirable behavior that activates the mark, but you can pick any act you please.  The effect of the mark is identical with the effect of bestow curse.  Since this spell takes 10 minutes to cast and involves writing on the target, you can cast it only on a creature that is willing or restrained.  Like the effect of bestow curse, a mark of justice cannot be dispelled, but it can be removed with a break enchantment, limited wish, miracle, remove curse, or wish spell. Remove curse works only if its caster level is equal to or higher than your mark of justice caster level. These restrictions apply regardless of whether the mark has activated.</t>
  </si>
  <si>
    <t>Judgment (5)</t>
  </si>
  <si>
    <t>Designates action that triggers curse on subject.</t>
  </si>
  <si>
    <t>Maze</t>
  </si>
  <si>
    <t>sorcerer/wizard 8, summoner/unchained summoner 6, witch 8, psychic 8</t>
  </si>
  <si>
    <t>You banish the subject into an extradimensional labyrinth. Each round on its turn, it may attempt a DC 20 Intelligence check to escape the labyrinth as a full-round action. If the subject doesn't escape, the maze disappears after 10 minutes, freeing the subject.  On escaping or leaving the maze, the subject reappears where it had been when the maze spell was cast. If this location is filled with a solid object, the subject appears in the nearest open space.  Spells and abilities that move a creature within a plane, such as teleport and dimension door, do not help a creature escape a maze spell, although a plane shift spell allows it to exit to whatever plane is designated in that spell. Minotaurs are not affected by this spell.</t>
  </si>
  <si>
    <t> Traps subject in extradimensional maze.</t>
  </si>
  <si>
    <t>A spectral minotaur hunts the target trapped in the maze. Every round the creature fails to escape from the maze, it takes 2d8 + your tier points of piercing and slashing damage from this phantom opponent.</t>
  </si>
  <si>
    <t>Meld into Stone</t>
  </si>
  <si>
    <t>cleric/oracle 3, druid 3, psychic 3</t>
  </si>
  <si>
    <t>Meld into stone enables you to meld your body and possessions into a single block of stone. The stone must be large enough to accommodate your body in all three dimensions. When the casting is complete, you and not more than 100 pounds of nonliving gear merge with the stone. If either condition is violated, the spell fails and is wasted.  While in the stone, you remain in contact, however tenuous, with the face of the stone through which you melded. You remain aware of the passage of time and can cast spells on yourself while hiding in the stone. Nothing that goes on outside the stone can be seen, but you can still hear what happens around you. Minor physical damage to the stone does not harm you, but its partial destruction (to the extent that you no longer fit within it) expels you and deals you 5d6 points of damage. The stone's complete destruction expels you and slays you instantly unless you make a DC 18 Fortitude save. Even if you make your save, you still take 5d6 points of damage.  Any time before the duration expires, you can step out of the stone through the surface that you entered. If the spell's duration expires or the effect is dispelled before you voluntarily exit the stone, you are violently expelled and take 5d6 points of damage.  The following spells harm you if cast upon the stone that you are occupying. Stone to flesh expels you and deals you 5d6 points of damage. Stone shape deals 3d6 points of damage but does not expel you. Transmute rock to mud expels you and then slays you instantly unless you make a DC 18 Fortitude save, in which case you are merely expelled. Finally, passwall expels you without damage.</t>
  </si>
  <si>
    <t>Ruins (3)</t>
  </si>
  <si>
    <t>You and your gear merge with stone.</t>
  </si>
  <si>
    <t>Mending</t>
  </si>
  <si>
    <t>bard 0, cleric/oracle 0, druid 0, sorcerer/wizard 0, summoner/unchained summoner 0, witch 0, shaman 0, occultist 0, psychic 0, spiritualist 0</t>
  </si>
  <si>
    <t>one object of up to 1 lb./level</t>
  </si>
  <si>
    <t>This spell repairs damaged objects, restoring 1d4 hit points to the object. If the object has the broken condition, this condition is removed if the object is restored to at least half its original hit points. All of the pieces of an object must be present for this spell to function. Magic items can be repaired by this spell, but you must have a caster level equal to or higher than that of the object. Magic items that are destroyed (at 0 hit points or less) can be repaired with this spell, but this spell does not restore their magic abilities. This spell does not affect creatures (including constructs). This spell has no effect on objects that have been warped or otherwise transmuted, but it can still repair damage done to such items.</t>
  </si>
  <si>
    <t>Makes minor repairs on an object.</t>
  </si>
  <si>
    <t>Message</t>
  </si>
  <si>
    <t>language-dependent</t>
  </si>
  <si>
    <t>bard 0, sorcerer/wizard 0, summoner/unchained summoner 0, witch 0, occultist 0, psychic 0, mesmerist 0, spiritualist 0, medium 0</t>
  </si>
  <si>
    <t>V, S, F (a piece of copper wire)</t>
  </si>
  <si>
    <t>one creature/level</t>
  </si>
  <si>
    <t>You can whisper messages and receive whispered replies.  Those nearby can hear these messages with a DC 25 Perception check. You point your finger at each creature you want to receive the message. When you whisper, the whispered message is audible to all targeted creatures within range.  Magical silence, 1 foot of stone, 1 inch of common metal (or a thin sheet of lead), or 3 feet of wood or dirt blocks the spell.  The message does not have to travel in a straight line. It can circumvent a barrier if there is an open path between you and the subject, and the path's entire length lies within the spell's range. The creatures that receive the message can whisper a reply that you hear. The spell transmits sound, not meaning; it doesn't transcend language barriers. To speak a message, you must mouth the words and whisper.</t>
  </si>
  <si>
    <t>Whisper conversation at distance.</t>
  </si>
  <si>
    <t>Meteor Swarm</t>
  </si>
  <si>
    <t>sorcerer/wizard 9</t>
  </si>
  <si>
    <t>four 40-ft.-radius spreads, see text</t>
  </si>
  <si>
    <t>none or Reflex half, see text</t>
  </si>
  <si>
    <t>Meteor swarm is a very powerful and spectacular spell that is similar to fireball in many aspects. When you cast it, four 2-foot-diameter spheres spring from your outstretched hand and streak in straight lines to the spots you select. The meteor spheres leave a fiery trail of sparks.  If you aim a sphere at a specific creature, you may make a ranged touch attack to strike the target with the meteor. Any creature struck by a sphere takes 2d6 points of bludgeoning damage (no save) and takes a -4 penalty on the saving throw against the sphere's fire damage (see below). If a targeted sphere misses its target, it simply explodes at the nearest corner of the target's space. You may aim more than one sphere at the same target.  Once a sphere reaches its destination, it explodes in a 40-foot-radius spread, dealing 6d6 points of fire damage to each creature in the area. If a creature is within the area of more than one sphere, it must save separately against each. Despite stemming from separate spheres, all of the fire damage is added together after the saves have been made, and fire resistance is applied only once.</t>
  </si>
  <si>
    <t>Stars (9)</t>
  </si>
  <si>
    <t> Four exploding spheres each deal 6d6 fire damage.</t>
  </si>
  <si>
    <t>Boreal (19), Infernal (19), Orc (19), Starsoul (19)</t>
  </si>
  <si>
    <t>Elements (18), Moon (18)</t>
  </si>
  <si>
    <t>The meteors created by this spell deal bludgeoning damage in a line extending from you to the target destination where it explodes. Creatures in the path of a meteor take 2d10 points of bludgeoning damage and must succeed at a Fortitude save or be knocked prone. The damage from the exploding meteors increases to 6d10 points of fire damage. Creatures that fail their Reflex saves against the fire damage are also knocked prone and deafened for 1d4 rounds.</t>
  </si>
  <si>
    <t>Augmented (10th): If you expend two uses of mythic power, creatures in the path of a meteor also take 4d10 points of fire damage and the damage from the exploding meteors increases to 10d10 points of fire damage; this fire damage bypasses fire resistance and fire immunity.</t>
  </si>
  <si>
    <t>Mind Blank</t>
  </si>
  <si>
    <t>sorcerer/wizard 8, witch 8, psychic 7</t>
  </si>
  <si>
    <t>The subject is protected from all devices and spells that gather information about the target through divination magic (such as detect evil, locate creature, scry, and see invisible). This spell also grants a +8 resistance bonus on saving throws against all mindaffecting spells and effects. Mind blank even foils limited wish, miracle, and wish spells when they are used in such a way as to gain information about the target. In the case of scrying that scans an area the creature is in, such as arcane eye, the spell works but the creature simply isn't detected. Scrying attempts that are targeted specifically at the subject do not work at all.</t>
  </si>
  <si>
    <t>Liberation (8), Protection (8), Thought (8), Espionage (9), Vermin (9), Flowing (8)</t>
  </si>
  <si>
    <t> Subject is protected from mental/emotional magic and scrying.</t>
  </si>
  <si>
    <t>Aberrant (Sorcerer) (17), Martyred (17), Rakshasa (17)</t>
  </si>
  <si>
    <t>Mind Fog</t>
  </si>
  <si>
    <t>bard 5, sorcerer/wizard 5, witch 5, occultist 5, psychic 5, mesmerist 5, spiritualist 5</t>
  </si>
  <si>
    <t>30 minutes and 2d6 rounds; see text</t>
  </si>
  <si>
    <t>Mind fog produces a bank of thin mist that weakens the mental resistance of those caught in it. Creatures in the mind fog take a -10 penalty on Wisdom checks and Will saves. (A creature that successfully saves against the fog is not affected and need not make further saves even if it remains in the fog.) Affected creatures take the penalty as long as they remain in the fog and for 2d6 rounds thereafter. The fog is stationary and lasts for 30 minutes (or until dispersed by wind).  A moderate wind (11+ mph) disperses the fog in 4 rounds; a strong wind (21+ mph) disperses the fog in 1 round.  The fog is thin and does not significantly hamper vision.</t>
  </si>
  <si>
    <t>Subjects in fog get –10 to Wis and Will checks.</t>
  </si>
  <si>
    <t>Insanity (10)</t>
  </si>
  <si>
    <t>Minor Image</t>
  </si>
  <si>
    <t>bard 2, sorcerer/wizard 2, magus 2, occultist 2, psychic 2, mesmerist 2, medium 2</t>
  </si>
  <si>
    <t>concentration + 2 rounds</t>
  </si>
  <si>
    <t>This spell functions like silent image, except that minor image includes some minor sounds but not understandable speech.</t>
  </si>
  <si>
    <t>Imagination (2)</t>
  </si>
  <si>
    <t>As silent image, plus some sound.</t>
  </si>
  <si>
    <t>Miracle</t>
  </si>
  <si>
    <t>cleric/oracle 9</t>
  </si>
  <si>
    <t>V, S; see text</t>
  </si>
  <si>
    <t>You don't so much cast a miracle as request one. You state what you would like to have happen and request that your deity (or the power you pray to for spells) intercede. A miracle can do any of the following things. • Duplicate any cleric spell of 8th level or lower. • Duplicate any other spell of 7th level or lower. • Undo the harmful effects of certain spells, such as feeblemind or insanity. • Have any effect whose power level is in line with the above effects. Alternatively, a cleric can make a very powerful request. Casting such a miracle costs the cleric 25,000 gp in powdered diamond because of the powerful divine energies involved. Examples of especially powerful miracles of this sort could include the following: • Swinging the tide of a battle in your favor by raising fallen allies to continue fighting. • Moving you and your allies, with all your and their gear, from one plane to a specific locale through planar barriers with no chance of error. • Protecting a city from an earthquake, volcanic eruption, flood, or other major natural disaster. In any event, a request that is out of line with the deity's (or alignment's) nature is refused. A duplicated spell allows saving throws and spell resistance as normal, but the save DCs are as for a 9th-level spell. When a miracle spell duplicates a spell with a material component that costs more than 100 gp, you must provide that component.</t>
  </si>
  <si>
    <t>Community (9), Divine (9), Luck (9)</t>
  </si>
  <si>
    <t> Requests a deity's intercession.</t>
  </si>
  <si>
    <t>Endurance (18)</t>
  </si>
  <si>
    <t>Mirage Arcana</t>
  </si>
  <si>
    <t>bard 5, sorcerer/wizard 5, psychic 5, mesmerist 5</t>
  </si>
  <si>
    <t>one 20-ft. cube/level</t>
  </si>
  <si>
    <t>concentration +1 hour/ level</t>
  </si>
  <si>
    <t>This spell functions like hallucinatory terrain, except that it enables you to make any area appear to be something other than it is. The illusion includes audible, visual, tactile, and olfactory elements.  Unlike hallucinatory terrain, the spell can alter the appearance of structures (or add them where none are present). Still, it can't disguise, conceal, or add creatures (though creatures within the area might hide themselves within the illusion just as they can hide themselves within a real location).</t>
  </si>
  <si>
    <t>Solitude (5)</t>
  </si>
  <si>
    <t>As hallucinatory terrain, plus structures.</t>
  </si>
  <si>
    <t>Trickery (10)</t>
  </si>
  <si>
    <t>Mirror Image</t>
  </si>
  <si>
    <t>bard 2, sorcerer/wizard 2, magus 2, bloodrager 2, occultist 2, psychic 2, mesmerist 2, medium 2</t>
  </si>
  <si>
    <t>This spell creates a number of illusory doubles of you that inhabit your square. These doubles make it difficult for enemies to precisely locate and attack you.  When mirror image is cast, 1d4 images plus one image per three caster levels (maximum eight images total) are created.  These images remain in your space and move with you, mimicking your movements, sounds, and actions exactly. Whenever you are attacked or are the target of a spell that requires an attack roll, there is a possibility that the attack targets one of your images instead. If the attack is a hit, roll randomly to see whether the selected target is real or a figment. If it is a figment, the figment is destroyed. If the attack misses by 5 or less, one of your figments is destroyed by the near miss. Area spells affect you normally and do not destroy any of your figments. Spells and effects that do not require an attack roll affect you normally and do not destroy any of your figments. Spells that require a touch attack are harmlessly discharged if used to destroy a figment.  An attacker must be able to see the figments to be fooled. If you are invisible or the attacker is blind, the spell has no effect (although the normal miss chances still apply).</t>
  </si>
  <si>
    <t>Deception (2)</t>
  </si>
  <si>
    <t>Creates decoy duplicates of you (1d4 + 1 per three levels, max 8).</t>
  </si>
  <si>
    <t>Trickery (4)</t>
  </si>
  <si>
    <t>The maximum number of images generated by this spell increases to 12. Destroying an image creates a flash of light. Any creature that destroys an image must succeed at a Will save or be dazzled for 1 round.</t>
  </si>
  <si>
    <t>Misdirection</t>
  </si>
  <si>
    <t>bard 2, sorcerer/wizard 2, summoner/unchained summoner 2, occultist 2, psychic 2, mesmerist 2, spiritualist 2, medium 2</t>
  </si>
  <si>
    <t>one creature or object, up to a 10-ft. cube in size</t>
  </si>
  <si>
    <t>By means of this spell, you misdirect the information from divination spells that reveal auras (detect evil, detect magic, discern lies, and the like). On casting the spell, you choose another object within range. For the duration of the spell, the subject of misdirection is detected as if it were the other object. Neither the subject nor the other object gets a saving throw against this effect. Detection spells provide information based on the second object rather than on the actual target of the detection unless the caster of the detection succeeds on a Will save. For instance, you could make yourself detect as a tree if one were within range at casting: not evil, not lying, not magical, neutral in alignment, and so forth. This spell does not affect other types of divination magic (augury, detect thoughts, clairaudience/clairvoyance, and the like).</t>
  </si>
  <si>
    <t>Misleads divinations for one creature or object.</t>
  </si>
  <si>
    <t>Mislead</t>
  </si>
  <si>
    <t>figment, glamer</t>
  </si>
  <si>
    <t>bard 5, sorcerer/wizard 6, alchemist 6, magus 6, occultist 5, psychic 6, mesmerist 5, spiritualist 6</t>
  </si>
  <si>
    <t>one illusory double</t>
  </si>
  <si>
    <t>1 round/level (D) and concentration + 3 rounds; see text</t>
  </si>
  <si>
    <t>none or Will disbelief (if interacted with); see text</t>
  </si>
  <si>
    <t>You become invisible (as greater invisibility, a glamer), and at the same time, an illusory double of you (as major image, a figment) appears. You are then free to go elsewhere while your double moves away. The double appears within range but thereafter moves as you direct it (which requires concentration beginning on the first round after the casting). You can make the figment appear superimposed perfectly over your own body so that observers don't notice an image appearing and you turning invisible. You and the figment can then move in different directions. The double moves at your speed and can talk and gesture as if it were real, but it cannot attack or cast spells, though it can pretend to do so.  The illusory double lasts as long as you concentrate upon it, plus 3 additional rounds. After you cease concentration, the illusory double continues to carry out the same activity until the duration expires. The greater invisibility lasts for 1 round per level, regardless of concentration.</t>
  </si>
  <si>
    <t>Luck (6), Trickery (6)</t>
  </si>
  <si>
    <t>Turns you invisible and creates illusory double.</t>
  </si>
  <si>
    <t>Destined (13), Fey (13)</t>
  </si>
  <si>
    <t>Trickery (12)</t>
  </si>
  <si>
    <t>Mnemonic Enhancer</t>
  </si>
  <si>
    <t>wizard 4</t>
  </si>
  <si>
    <t>V, S, M (a piece of string, and ink consisting of squid secretion mixed with black dragon's blood), F (an ivory plaque worth 50 gp)</t>
  </si>
  <si>
    <t>Casting this spell allows you to prepare additional spells or retain spells recently cast. Pick one of these two versions when the spell is cast.  Prepare: You prepare up to three additional levels of spells. A cantrip counts as 1/2 level for this purpose. You prepare and cast these spells normally.  Retain: You retain any spell of 3rd level or lower that you had cast up to 1 round before you started casting the mnemonic enhancer.  This restores the previously cast spell to your mind.  In either event, the spell or spells prepared or retained fade after 24 hours (if not cast).</t>
  </si>
  <si>
    <t> Wizard only. Prepare extra spells or retain one just cast.</t>
  </si>
  <si>
    <t>Modify Memory</t>
  </si>
  <si>
    <t>bard 4, psychic 5, mesmerist 4, medium 4</t>
  </si>
  <si>
    <t>You reach into the subject's mind and modify as many as 5 minutes of its memories in one of the following ways. • Eliminate all memory of an event the subject actually experienced. This spell cannot negate charm, geas/quest, suggestion, or similar spells. • Allow the subject to recall with perfect clarity an event it actually experienced. • Change the details of an event the subject actually experienced. • Implant a memory of an event the subject never experienced. Casting the spell takes 1 round. If the subject fails to save, you proceed with the spell by spending as much as 5 minutes (a period of time equal to the amount of memory you want to modify) visualizing the memory you wish to modify in the subject. If your concentration is disturbed before the visualization is complete, or if the subject is ever beyond the spell's range during this time, the spell is lost. A modified memory does not necessarily affect the subject's actions, particularly if it contradicts the creature's natural inclinations. An illogical modified memory is dismissed by the creature as a bad dream, too much wine, or another similar excuse.</t>
  </si>
  <si>
    <t>Loss (6), Memory (6)</t>
  </si>
  <si>
    <t> Changes 5 minutes of subject's memories.</t>
  </si>
  <si>
    <t>Moment of Prescience</t>
  </si>
  <si>
    <t>sorcerer/wizard 8, witch 8, psychic 8</t>
  </si>
  <si>
    <t>1 hour/level or until discharged</t>
  </si>
  <si>
    <t>This spell grants you a sixth sense. Once during the spell's duration, you may choose to use its effect. This spell grants you an insight bonus equal to your caster level (maximum +25) on any single attack roll, combat maneuver check, opposed ability or skill check, or saving throw. Alternatively, you can apply the insight bonus to your AC against a single attack (even if flatfooted).  Activating the effect doesn't take an action; you can even activate it on another character's turn. You must choose to use the moment of prescience before you make the roll it is to modify.  Once used, the spell ends. You can't have more than one moment of prescience active on you at the same time.</t>
  </si>
  <si>
    <t>Luck (8), Memory (8)</t>
  </si>
  <si>
    <t> You gain +1/level insight bonus on single attack roll, check, or save.</t>
  </si>
  <si>
    <t>Destined (17), Dreamspun (17), Harrow (17)</t>
  </si>
  <si>
    <t>Portents (16), Mind (16)</t>
  </si>
  <si>
    <t>Mount</t>
  </si>
  <si>
    <t>sorcerer/wizard 1, summoner/unchained summoner 1, witch 1, magus 1, bloodrager 1, occultist 1</t>
  </si>
  <si>
    <t>V, S, M (a bit of horse hair)</t>
  </si>
  <si>
    <t>one mount</t>
  </si>
  <si>
    <t>You summon a light horse or a pony (your choice) to serve you as a mount (see the Pathfinder RPG Bestiary). The steed serves willingly and well. The mount comes with a bit and bridle and a riding saddle.</t>
  </si>
  <si>
    <t> Summons riding horse for 2 hours/level.</t>
  </si>
  <si>
    <t>Move Earth</t>
  </si>
  <si>
    <t>druid 6, sorcerer/wizard 6</t>
  </si>
  <si>
    <t>V, S, M (clay, loam, sand, and an iron blade)</t>
  </si>
  <si>
    <t>dirt in an area up to 750 ft. square and up to 10 ft. deep (S)</t>
  </si>
  <si>
    <t>Move earth moves dirt (clay, loam, sand, and soil), possibly collapsing embankments, moving hillocks, shifting dunes, and so forth.  In no event can rock formations be collapsed or moved. The area to be affected determines the casting time. For every 150- foot square (up to 10 feet deep), casting takes 10 minutes. The maximum area, 750 feet by 750 feet, takes 4 hours and 10 minutes to move.  This spell does not violently break the surface of the ground.  Instead, it creates wavelike crests and troughs, with the earth reacting with glacial fluidity until the desired result is achieved.  Trees, structures, rock formations, and such are mostly unaffected except for changes in elevation and relative topography.  The spell cannot be used for tunneling and is generally too slow to trap or bury creatures. Its primary use is for digging or filling moats or for adjusting terrain contours before a battle.  This spell has no effect on earth creatures.</t>
  </si>
  <si>
    <t>Digs trenches and builds hills.</t>
  </si>
  <si>
    <t>Ghoul (13)</t>
  </si>
  <si>
    <t>This spell can move earth much more quickly, with each full round of casting allowing you to reshape a 25-foot-square area up to 10 feet deep. All creatures on or under the ground within that area are knocked prone and moved to the closest square outside the area being shaped. A successful Reflex save prevents a creature from being knocked prone, but it's still moved.</t>
  </si>
  <si>
    <t>Neutralize Poison</t>
  </si>
  <si>
    <t>bard 4, cleric/oracle 4, druid 3, paladin 4, ranger 3, alchemist 4, witch 4, inquisitor 4, shaman 4, spiritualist 4</t>
  </si>
  <si>
    <t>V, S, M/DF (charcoal)</t>
  </si>
  <si>
    <t>creature or object of up to 1 cu. ft./level touched</t>
  </si>
  <si>
    <t>instantaneous or 10 min./level; see text</t>
  </si>
  <si>
    <t>You detoxify any sort of venom in the creature or object touched. If the target is a creature, you must make a caster level check (1d20 + caster level) against the DC of each poison affecting the target. Success means that the poison is neutralized. A cured creature suffers no additional effects from the poison, and any temporary effects are ended, but the spell does not reverse instantaneous effects, such as hit point damage, temporary ability damage, or effects that don't go away on their own.  This spell can instead neutralize the poison in a poisonous creature or object for 10 minutes per level, at the caster's option.  If cast on a creature, the creature receives a Will save to negate the effect.</t>
  </si>
  <si>
    <t>Restoration (4)</t>
  </si>
  <si>
    <t>Immunizes subject against poison, detoxifies venom in or on subject.</t>
  </si>
  <si>
    <t>Nightmare</t>
  </si>
  <si>
    <t>mind-affecting, evil</t>
  </si>
  <si>
    <t>bard 5, sorcerer/wizard 5, alchemist 5, psychic 5, mesmerist 5, spiritualist 5, medium 4</t>
  </si>
  <si>
    <t>You send a hideous and unsettling phantasmal vision to a specific creature that you name or otherwise specifically designate. The nightmare prevents restful sleep and causes 1d10 points of damage. The nightmare leaves the subject fatigued and unable to regain arcane spells for the next 24 hours. The difficulty of the save depends on your knowledge the subject and the physical connection (if any) you have to that creature. Knowledge Will Save Modifier None* +10 Secondhand (you have heard of the subject) +5 Firsthand (you have met the subject) +0 Familiar (you know the subject well) -5 *You must have some sort of connection to a creature of which you have no knowledge. Connection Will Save Modifier Likeness or picture -2 Possession or garment -4 Body part, lock of hair, bit of nail, etc. -10 Dispel evil cast on the subject while you are casting the spell dispels the nightmare and causes you to be stunned for 10 minutes per caster level of the dispel evil. If the recipient is awake when the spell begins, you can choose to cease casting (ending the spell) or to enter a trance until the recipient goes to sleep, whereupon you become alert again and complete the casting. If you are disturbed during the trance, you must succeed on a concentration check as if you were in the midst of casting a spell or the spell ends. If you choose to enter a trance, you are not aware of your surroundings or the activities around you while in the trance. You are defenseless, both physically and mentally, while in the trance. (You always fail Reflex and Will saving throws, for example.) Creatures who don't sleep (such as outsiders) or dream are immune to this spell.</t>
  </si>
  <si>
    <t>Madness (5), Night (6)</t>
  </si>
  <si>
    <t>Sends vision dealing 1d10 damage, fatigue.</t>
  </si>
  <si>
    <t>The spell's damage increases to 4d6 points of damage, and the target is also shaken for 24 hours.</t>
  </si>
  <si>
    <t>Augmented (6th): You can deliver a mind-affecting spell through a mythic nightmare. The maximum level of the delivered spell is equal to half your tier, and you must expend one use of mythic power for each spell level of the imbued spell in addition to the one use needed to cast mythic nightmare. You choose whether the delivered spell affects the creature immediately or when it awakens. The delivered spell affects only the target, even if it normally affects multiple creatures or an area.</t>
  </si>
  <si>
    <t>Nondetection</t>
  </si>
  <si>
    <t>ranger 4, sorcerer/wizard 3, alchemist 3, summoner/unchained summoner 3, inquisitor 3, antipaladin 3, occultist 3, psychic 3, mesmerist 3, spiritualist 3, medium 2</t>
  </si>
  <si>
    <t>V, S, M (diamond dust worth 50 gp)</t>
  </si>
  <si>
    <t>creature or object touched</t>
  </si>
  <si>
    <t>The warded creature or object becomes difficult to detect by divination spells such as clairaudience/clairvoyance, locate object, and detect spells. Nondetection also prevents location by such magic items as crystal balls. If a divination is attempted against the warded creature or item, the caster of the divination must succeed on a caster level check (1d20 + caster level) against a DC of 11 + the caster level of the spellcaster who cast nondetection. If you cast nondetection on yourself or on an item currently in your possession, the DC is 15 + your caster level. If cast on a creature, nondetection wards the creature's gear as well as the creature itself.</t>
  </si>
  <si>
    <t>Trickery (3)</t>
  </si>
  <si>
    <t>Hides subject from divination, scrying.</t>
  </si>
  <si>
    <t>Obscure Object</t>
  </si>
  <si>
    <t>bard 1, cleric/oracle 3, sorcerer/wizard 2, inquisitor 3, occultist 2, psychic 2, mesmerist 1, spiritualist 3</t>
  </si>
  <si>
    <t>V, S, M/DF (chameleon skin)</t>
  </si>
  <si>
    <t>one object touched of up to 100 lbs./level</t>
  </si>
  <si>
    <t>8 hours</t>
  </si>
  <si>
    <t>This spell hides an object from location by divination (scrying) effects, such as the scrying spell or a crystal ball. Such an attempt automatically fails (if the divination is targeted on the object) or fails to perceive the object (if the divination is targeted on a nearby location, object, or person).</t>
  </si>
  <si>
    <t>Masks object against scrying.</t>
  </si>
  <si>
    <t>Obscuring Mist</t>
  </si>
  <si>
    <t>cleric/oracle 1, druid 1, sorcerer/wizard 1, witch 1, magus 1, shaman 1, mesmerist 1, spiritualist 1, unchained summoner 1</t>
  </si>
  <si>
    <t>cloud spreads in 20-ft. radius from you, 20 ft. high</t>
  </si>
  <si>
    <t>A misty vapor arises around you. It is stationary. The vapor obscures all sight, including darkvision, beyond 5 feet. A creature 5 feet away has concealment (attacks have a 20% miss chance). Creatures farther away have total concealment (50% miss chance, and the attacker cannot use sight to locate the target).  A moderate wind (11+ mph), such as from a gust of wind spell, disperses the fog in 4 rounds. A strong wind (21+ mph) disperses the fog in 1 round. A fireball, flame strike, or similar spell burns away the fog in the explosive or fiery spell's area. A wall of fire burns away the fog in the area into which it deals damage.  This spell does not function underwater.</t>
  </si>
  <si>
    <t>Air (1), Darkness (1), Water (1), Weather (1)</t>
  </si>
  <si>
    <t>Fog surrounds you.</t>
  </si>
  <si>
    <t>Marid (3), Ectoplasm (3)</t>
  </si>
  <si>
    <t>Storms (2)</t>
  </si>
  <si>
    <t>Open/Close</t>
  </si>
  <si>
    <t>V, S, F (a brass key)</t>
  </si>
  <si>
    <t>object weighing up to 30 lbs. or portal that can be opened or closed</t>
  </si>
  <si>
    <t>You can open or close (your choice) a door, chest, box, window, bag, pouch, bottle, barrel, or other container. If anything resists this activity (such as a bar on a door or a lock on a chest), the spell fails. In addition, the spell can only open and close things weighing 30 pounds or less. Thus, doors, chests, and similar objects sized for enormous creatures may be beyond this spell's ability to affect.</t>
  </si>
  <si>
    <t>Opens or closes small or light things.</t>
  </si>
  <si>
    <t>Order's Wrath</t>
  </si>
  <si>
    <t>nonlawful creatures within a burst that fills a 30-ft. cube</t>
  </si>
  <si>
    <t>You channel lawful power to smite enemies. The power takes the form of a three-dimensional grid of energy. Only chaotic and neutral (not lawful) creatures are harmed by the spell.  The spell deals 1d8 points of damage per two caster levels (maximum 5d8) to chaotic creatures (or 1d6 points of damage per caster level, maximum 10d6, to chaotic outsiders) and causes them to be dazed for 1 round. A successful Will save reduces the damage to half and negates the daze effect.  The spell deals only half damage to creatures who are neither chaotic nor lawful, and they are not dazed. They can reduce the damage in half again (down to one-quarter of the roll) with a successful Will save.</t>
  </si>
  <si>
    <t>Law (4)</t>
  </si>
  <si>
    <t> Harms and dazes chaotic creatures (1d8 damage/2 levels).</t>
  </si>
  <si>
    <t>The damage dealt to chaotic outsiders increases to 1d10 points of damage per caster level (maximum 10d10) and the damage to other chaotic creatures increases to 1d12 points of damage per 2 caster levels (maximum 5d12). The duration that creatures in the area are dazed increases to 2 rounds. Chaotic creatures that succeed at their saves are dazed for 1 round.</t>
  </si>
  <si>
    <t>Overland Flight</t>
  </si>
  <si>
    <t>sorcerer/wizard 5, alchemist 5, summoner 4, witch 5, magus 5, shaman 5, occultist 5, psychic 5, spiritualist 5, unchained summoner 5</t>
  </si>
  <si>
    <t>This spell functions like a fly spell, except you can fly at a speed of 40 feet (30 feet if wearing medium or heavy armor, or if carrying a medium or heavy load) with a bonus on Fly skill checks equal to half your caster level. When using this spell for long-distance movement, you can hustle without taking nonlethal damage (a forced march still requires Constitution checks). This means you can cover 64 miles in an 8-hour period of flight (or 48 miles at a speed of 30 feet).</t>
  </si>
  <si>
    <t>Trade (5), Void (5)</t>
  </si>
  <si>
    <t> You fly at a speed of 40 ft. and can hustle over long distances.</t>
  </si>
  <si>
    <t>Arcane (11), Djinni (11), Starsoul (11), Stormborn (11)</t>
  </si>
  <si>
    <t>Owl's Wisdom</t>
  </si>
  <si>
    <t>cleric/oracle 2, druid 2, paladin 2, ranger 2, sorcerer/wizard 2, alchemist 2, summoner/unchained summoner 2, shaman 2, psychic 2, medium 2</t>
  </si>
  <si>
    <t>V, S, M/DF (feathers or droppings from an owl)</t>
  </si>
  <si>
    <t>The transmuted creature becomes wiser. The spell grants a +4 enhancement bonus to Wisdom, adding the usual benefit to Wisdom-related skills. Clerics, druids, and rangers (and other Wisdom-based spellcasters) who receive owl's wisdom do not gain any additional bonus spells for the increased Wisdom, but the save DCs for their spells increase.</t>
  </si>
  <si>
    <t>Subject gains +4 to Wis for 1 min./level.</t>
  </si>
  <si>
    <t>Moon (6), Wisdom (4)</t>
  </si>
  <si>
    <t>Owl's Wisdom, Mass</t>
  </si>
  <si>
    <t>cleric/oracle 6, druid 6, sorcerer/wizard 6, summoner 4, shaman 6, psychic 6, unchained summoner 6</t>
  </si>
  <si>
    <t>This spell functions like owl's wisdom, except that it affects multiple creatures.</t>
  </si>
  <si>
    <t>As owl’s wisdom, affects 1 subject/level.</t>
  </si>
  <si>
    <t>Passwall</t>
  </si>
  <si>
    <t>sorcerer/wizard 5, psychic 5, mesmerist 5</t>
  </si>
  <si>
    <t>V, S, M (sesame seeds)</t>
  </si>
  <si>
    <t>5-ft.-by-8-ft. opening, 10 ft. deep plus 5 ft. deep per three additional levels</t>
  </si>
  <si>
    <t>You create a passage through wooden, plaster, or stone walls, but not through metal or other harder materials. The passage is 10 feet deep plus an additional 5 feet deep per three caster levels above 9th (15 feet at 12th, 20 feet at 15th, and a maximum of 25 feet deep at 18th level). If the wall's thickness is more than the depth of the passage created, then a single passwall simply makes a niche or short tunnel. Several passwall spells can then form a continuing passage to breach very thick walls. When passwall ends, creatures within the passage are ejected out the nearest exit. If someone dispels the passwall or you dismiss it, creatures in the passage are ejected out the far exit, if there is one, or out the sole exit if there is only one.</t>
  </si>
  <si>
    <t> Creates passage through wood or stone wall.</t>
  </si>
  <si>
    <t>Deception (10)</t>
  </si>
  <si>
    <t>Pass without Trace</t>
  </si>
  <si>
    <t>druid 1, ranger 1, shaman 1, occultist 1</t>
  </si>
  <si>
    <t>one creature/level touched</t>
  </si>
  <si>
    <t>The subject or subjects of this spell do not leave footprints or a scent trail while moving. Tracking the subjects is impossible by nonmagical means.</t>
  </si>
  <si>
    <t>One subject/level leaves no tracks.</t>
  </si>
  <si>
    <t>Permanency</t>
  </si>
  <si>
    <t>sorcerer/wizard 5, psychic 5</t>
  </si>
  <si>
    <t>2 rounds</t>
  </si>
  <si>
    <t>V, S, M (see tables below)</t>
  </si>
  <si>
    <t>This spell makes the duration of certain other spells permanent. You first cast the desired spell and then follow it with the permanency spell. Depending on the spell, you must be of a minimum caster level and must expend a specific gp value of diamond dust as a material component. You can make the following spells permanent in regard to yourself. Spell M inimum Caster Level GP Cost Arcane sight 11th 7,500 gp Comprehend languages 9th 2,500 gp Darkvision 10th 5,000 gp Detect magic 9th 2,500 gp Read magic 9th 2,500 gp See invisibility 10th 5,000 gp Tongues 11th 7,500 gp You cannot cast these spells on other creatures. This application of permanency can be dispelled only by a caster of higher level than you were when you cast the spell. In addition to personal use, permanency can be used to make the following spells permanent on yourself, another creature, or an object (as appropriate). Spell M inimum Caster Level GP Cost Enlarge person 9th 2,500 gp Magic fang 9th 2,500 gp Magic fang, greater 11th 7,500 gp Reduce person 9th 2,500 gp Resistance 9th 2,500 gp Telepathic bond* 13th 12,500 gp *Only bonds two creatures per casting of permanency. Additionally, the following spells can be cast upon objects or areas only and rendered permanent. Spell M inimum Caster Level GP Cost Alarm 9th 2,500 gp Animate objects 14th 15,000 gp Dancing lights 9th 2,500 gp Ghost sound 9th 2,500 gp Gust of wind 11th 7,500 gp Invisibility 10th 5,000 gp Mage's private sanctum 13th 12,500 gp Magic mouth 10th 5,000 gp Phase door 15th 17,500 gp Prismatic sphere 17th 22,500 gp Prismatic wall 16th 20,000 gp Shrink item 11th 7,500 gp Solid fog 12th 10,000 gp Stinking cloud 11th 7,500 gp Symbol of death 16th 20,000 gp Symbol of fear 14th 15,000 gp Symbol of insanity 16th 20,000 gp Symbol of pain 13th 12,500 gp Symbol of persuasion 14th 15,000 gp Symbol of sleep 16th 20,000 gp Symbol of stunning 15th 17,500 gp Symbol of weakness 15th 17,500 gp Teleportation circle 17th 22,500 gp Wall of fire 12th 10,000 gp Wall of force 13th 12,500 gp Web 10th 5,000 gp Spells cast on other targets are vulnerable to dispel magic as normal. The GM may allow other spells to be made permanent.</t>
  </si>
  <si>
    <t> Makes certain spells permanent.</t>
  </si>
  <si>
    <t>Permanent Image</t>
  </si>
  <si>
    <t>bard 6, sorcerer/wizard 6, occultist 6, psychic 6, mesmerist 6</t>
  </si>
  <si>
    <t>figment that cannot extend beyond a 20-ft. cube + one 10-ft. cube/level (S)</t>
  </si>
  <si>
    <t>This spell functions like silent image, except that the figment includes visual, auditory, olfactory, and thermal elements, and the spell is permanent. By concentrating, you can move the image within the limits of the range, but it is static while you are not concentrating.</t>
  </si>
  <si>
    <t>Permanent illusion, includes sight, sound, smell, and thermal effects.</t>
  </si>
  <si>
    <t>Persistent Image</t>
  </si>
  <si>
    <t>bard 5, sorcerer/wizard 5, occultist 5, psychic 5, mesmerist 5, medium 4</t>
  </si>
  <si>
    <t>This spell functions like silent image, except that the figment includes visual, auditory, olfactory, and thermal components, and the figment follows a script determined by you. The figment follows that script without your having to concentrate on it. The illusion can include intelligible speech if you wish.</t>
  </si>
  <si>
    <t>As major image, but no concentration required.</t>
  </si>
  <si>
    <t>Efreeti (11), Marid (11)</t>
  </si>
  <si>
    <t>Phantasmal Killer</t>
  </si>
  <si>
    <t>sorcerer/wizard 4, witch 4, magus 4, bloodrager 4, psychic 4, mesmerist 4, spiritualist 4, medium 3</t>
  </si>
  <si>
    <t>Will disbelief, then Fortitude partial; see text</t>
  </si>
  <si>
    <t>You create a phantasmal image of the most fearsome creature imaginable to the subject simply by forming the fears of the subject's subconscious mind into something that its conscious mind can visualize: this most horrible beast. Only the spell's subject can see the phantasmal killer. You see only a vague shape. The target first gets a Will save to recognize the image as unreal. If that save fails, the phantasm touches the subject, and the subject must succeed on a Fortitude save or die from fear.  Even if the Fortitude save is successful, the subject takes 3d6 points of damage.  If the subject of a phantasmal killer attack succeeds in disbelieving and possesses telepathy or is wearing a helm of telepathy, the beast can be turned upon you. You must then disbelieve it or become subject to its deadly fear attack.</t>
  </si>
  <si>
    <t>Madness (6), Nightmare (4)</t>
  </si>
  <si>
    <t> Fearsome illusion kills subject or deals 3d6 damage.</t>
  </si>
  <si>
    <t>If the target fails its Will save but succeeds at its Fortitude save, the phantasmal killer persists in the target's mind, giving it the dazed condition until your next turn. On your next turn, the target must attempt another Fortitude save against the phantasm. Success means it takes 3d6 points of damage; failure means it dies from fear.</t>
  </si>
  <si>
    <t>Augmented (6th): If you expend two uses of mythic power, the spell can affect a living target that is immune to fear, illusions, or mind-affecting effects.</t>
  </si>
  <si>
    <t>Phantom Steed</t>
  </si>
  <si>
    <t>bard 3, sorcerer/wizard 3, summoner/unchained summoner 2, magus 3, bloodrager 3, occultist 3, spiritualist 2</t>
  </si>
  <si>
    <t>one quasi-real, horselike creature</t>
  </si>
  <si>
    <t>You conjure a Large, quasi-real, horselike creature (the exact coloration can be customized as you wish). It can be ridden only by you or by the one person for whom you specifically created the mount. A phantom steed has a black head and body, gray mane and tail, and smoke-colored, insubstantial hooves that make no sound. It has what seems to be a saddle, bit, and bridle. It does not fight, but animals shun it and refuse to attack it. The mount is AC 18 (-1 size, +4 natural armor, +5 Dex) and 7 hit points + 1 hit point per caster level. If it loses all its hit points, the phantom steed disappears. A phantom steed has a speed of 20 feet per two caster levels, to a maximum of 100 feet at 10th level. It can bear its rider's weight plus up to 10 pounds per caster level. These mounts gain certain powers according to caster level. A mount's abilities include those of mounts of lower caster levels. 8th Level: The mount can ride over sandy, muddy, or even swampy ground without difficulty or decrease in speed. 10th Level: The mount can use water walk at will (as the spell, no action required to activate this ability). 12th Level: The mount can use air walk at will (as the spell, no action required to activate this ability) for up to 1 round at a time, after which it falls to the ground. 14th Level: The mount can fly at its speed with a bonus on Fly skill checks equal to your caster level.</t>
  </si>
  <si>
    <t>Magic horse appears for 1 hour/level.</t>
  </si>
  <si>
    <t>The steed's rider automatically succeeds at Ride checks to remain mounted. The mount's hit points increase to 10 plus 2 per caster level, and its speed increases to 30 feet per 2 caster levels (maximum 150 feet).</t>
  </si>
  <si>
    <t>Augmented (3rd): If you expend two uses of mythic power, the phantom steed is incorporeal, but its rider can interact with it normally.</t>
  </si>
  <si>
    <t>Phantom Trap</t>
  </si>
  <si>
    <t>sorcerer/wizard 2, occultist 2, psychic 2, mesmerist 2, spiritualist 2</t>
  </si>
  <si>
    <t>V, S, M (special dust worth 50 gp)</t>
  </si>
  <si>
    <t>This spell makes a lock or other small mechanism seem to be trapped to anyone who can detect traps. You place the spell upon any small mechanism or device, such as a lock, hinge, hasp, cork, cap, or ratchet. Any character able to detect traps, or who uses any spell or device enabling trap detection, is certain a real trap exists.  Of course, the effect is illusory and nothing happens if the trap is "sprung"; its primary purpose is to frighten away thieves or make them waste precious time.  If another phantom trap is active within 50 feet when the spell is cast, the casting fails.</t>
  </si>
  <si>
    <t> Makes item seem trapped.</t>
  </si>
  <si>
    <t>Phase Door</t>
  </si>
  <si>
    <t>ethereal 5-ft.-by-8-ft. opening, 10 ft. deep + 5 ft. deep per three levels</t>
  </si>
  <si>
    <t>one usage per two levels</t>
  </si>
  <si>
    <t>This spell creates an ethereal passage through wooden, plaster, or stone walls, but not other materials. The phase door is invisible and inaccessible to all creatures except you, and only you can use the passage. You disappear when you enter the phase door and appear when you exit. If you desire, you can take one other creature (Medium or smaller) through the door. This counts as two uses of the door. The door does not allow light, sound, or spell effects through it, nor can you see through it without using it. Thus, the spell can provide an escape route, though certain creatures, such as phase spiders, can follow with ease. A gem of true seeing or similar magic reveals the presence of a phase door but does not allow its use.  A phase door is subject to dispel magic. If anyone is within the passage when it is dispelled, he is harmlessly ejected just as if he were inside a passwall effect.  You can allow other creatures to use the phase door by setting some triggering condition for the door. Such conditions can be as simple or elaborate as you desire. They can be based on a creature's name, identity, or alignment, but otherwise must be based on observable actions or qualities. Intangibles such as level, class, HD, and hit points don't qualify.  Phase door can be made permanent with a permanency spell.</t>
  </si>
  <si>
    <t>Travel (8)</t>
  </si>
  <si>
    <t> Creates an invisible passage through a barrier.</t>
  </si>
  <si>
    <t>Fey (15)</t>
  </si>
  <si>
    <t>Planar Ally, Lesser</t>
  </si>
  <si>
    <t>calling</t>
  </si>
  <si>
    <t>cleric/oracle 4, shaman 4, psychic 4, medium 3</t>
  </si>
  <si>
    <t>V, S, M (offerings worth 500 gp plus payment, see text), DF</t>
  </si>
  <si>
    <t>one called outsider of 6 HD or less</t>
  </si>
  <si>
    <t>By casting this spell, you request your deity to send you an outsider (of 6 HD or less) of the deity's choice. If you serve no particular deity, the spell is a general plea answered by a creature sharing your philosophical alignment. If you know an individual creature's name, you may request that individual by speaking the name during the spell (though you might get a different creature anyway).  You may ask the creature to perform one task in exchange for a payment from you. Tasks might range from the simple to the complex. You must be able to communicate with the creature called in order to bargain for its services.  The creature called requires a payment for its services. This payment can take a variety of forms, from donating gold or magic items to an allied temple, to a gift given directly to the creature, to some other action on your part that matches the creature's alignment and goals.  Regardless, this payment must be made before the creature agrees to perform any services. The bargaining takes at least 1 round, so any actions by the creature begin in the round after it arrives.  A task taking up to 1 minute per caster level requires a payment of 100 gp per HD of the creature called. For a task taking up to 1 hour per caster level, the creature requires a payment of 500 gp per HD. A long-term task, one requiring up to 1 day per caster level, requires a payment of 1,000 gp per HD.  A nonhazardous task requires only half the indicated payment, while an especially hazardous task might require a greater gift. Few if any creatures will accept a task that seems suicidal (remember, a called creature actually dies when it is killed, unlike a summoned creature). However, if the task is strongly aligned with the creature's ethos, it may halve or even waive the payment.  At the end of its task, or when the duration bargained for expires, the creature returns to its home plane (after reporting back to you, if appropriate and possible).  Note: When you use a calling spell that calls an air, chaotic, earth, evil, fire, good, lawful, or water creature, it is a spell of that type.</t>
  </si>
  <si>
    <t> Exchange services with a 6 HD extraplanar creature.</t>
  </si>
  <si>
    <t>Planar Ally</t>
  </si>
  <si>
    <t>see text for lesser planar ally</t>
  </si>
  <si>
    <t>cleric/oracle 6, shaman 6, psychic 6</t>
  </si>
  <si>
    <t>V, S, M (offerings worth 1,250 gp plus payment), DF</t>
  </si>
  <si>
    <t>one or two called outsiders, totaling no more than 12 HD, which cannot be more than 30 ft. apart when they appear</t>
  </si>
  <si>
    <t>This spell functions like lesser planar ally, except you may call a single creature of 12 HD or less, or two creatures of the same kind whose HD total no more than 12. The creatures agree to help you and request your return payment together.</t>
  </si>
  <si>
    <t>Agathion (6), Archon (6), Azata (6), Psychopomp (6)</t>
  </si>
  <si>
    <t> As lesser planar ally, but up to 12 HD.</t>
  </si>
  <si>
    <t>Spirits (16)</t>
  </si>
  <si>
    <t>Planar Ally, Greater</t>
  </si>
  <si>
    <t>cleric/oracle 8, shaman 8, psychic 8</t>
  </si>
  <si>
    <t>V, S, M (offerings worth 2,500 gp plus payment), DF</t>
  </si>
  <si>
    <t>up to three called outsiders, totaling no more than 18 HD, no two of which can be more than 30 ft. apart when they appear.</t>
  </si>
  <si>
    <t>This spell functions like lesser planar ally, except that you may call a single creature of 18 HD or less, or up to three creatures of the same kind whose Hit Dice total no more than 18. The creatures agree to help you and request your return payment together.</t>
  </si>
  <si>
    <t>Tactics (8)</t>
  </si>
  <si>
    <t> As lesser planar ally, but up to 18 HD.</t>
  </si>
  <si>
    <t>Planar Binding, Lesser</t>
  </si>
  <si>
    <t>sorcerer/wizard 5, summoner 4, occultist 5, psychic 5, unchained summoner 5, medium 4</t>
  </si>
  <si>
    <t>close (25 ft. + 5 ft./2 levels); see text</t>
  </si>
  <si>
    <t>one elemental or outsider with 6 HD or less</t>
  </si>
  <si>
    <t>no and yes; see text</t>
  </si>
  <si>
    <t>Casting this spell attempts a dangerous act: to lure a creature from another plane to a specifically prepared trap, which must lie within the spell's range. The called creature is held in the trap until it agrees to perform one service in return for its freedom.  To create the trap, you must use a magic circle spell, focused inward. The kind of creature to be bound must be known and stated. If you wish to call a specific individual, you must use that individual's proper name in casting the spell.  The target creature is allowed a Will saving throw. If the saving throw succeeds, the creature resists the spell. If the saving throw fails, the creature is immediately drawn to the trap (spell resistance does not keep it from being called). The creature can escape from the trap by successfully pitting its spell resistance against your caster level check, by dimensional travel, or with a successful Charisma check (DC 15 + 1/2 your caster level + your Charisma modifier). It can try each method once per day. If it breaks loose, it can flee or attack you. A dimensional anchor cast on the creature prevents its escape via dimensional travel. You can also employ a calling diagram (see magic circle against evil) to make the trap more secure.  If the creature does not break free of the trap, you can keep it bound for as long as you dare. You can attempt to compel the creature to perform a service by describing the service and perhaps offering some sort of reward. You make a Charisma check opposed by the creature's Charisma check. The check is assigned a bonus of +0 to +6 based on the nature of the service and the reward. If the creature wins the opposed check, it refuses service. New offers, bribes, and the like can be made or the old ones reoffered every 24 hours. This process can be repeated until the creature promises to serve, until it breaks free, or until you decide to get rid of it by means of some other spell. Impossible demands or unreasonable commands are never agreed to. If you ever roll a natural 1 on the Charisma check, the creature breaks free of the spell's effect and can escape or attack you.  Once the requested service is completed, the creature need only to inform you to be instantly sent back whence it came. The creature might later seek revenge. If you assign some open-ended task that the creature cannot complete through its own actions, the spell remains in effect for a maximum of 1 day per caster level, and the creature gains an immediate chance to break free (with the same chance to resist as when it was trapped). Note that a clever recipient can subvert some instructions.  When you use a calling spell to call an air, chaotic, earth, evil, fire, good, lawful, or water creature, it is a spell of that type.</t>
  </si>
  <si>
    <t>Rune (5), Void (4)</t>
  </si>
  <si>
    <t> Traps extraplanar creature of 6 HD or less until it performs a task.</t>
  </si>
  <si>
    <t>Dimensions (10)</t>
  </si>
  <si>
    <t>Planar Binding</t>
  </si>
  <si>
    <t>see text for lesser planar binding</t>
  </si>
  <si>
    <t>sorcerer/wizard 6, summoner 5, occultist 6, psychic 6, unchained summoner 6</t>
  </si>
  <si>
    <t>up to three elementals or outsiders, totaling no more than 12 HD, no two of which can be more than 30 ft. apart when they appear</t>
  </si>
  <si>
    <t>This spell functions like lesser planar binding, except that you may call a single creature of 12 HD or less, or up to three creatures of the same kind whose Hit Dice total no more than 12. Each creature gets a saving throw, makes an independent attempt to escape, and must be individually persuaded to aid you.</t>
  </si>
  <si>
    <t>Daemon (6), Demon (6), Devil (6), Inevitable (6), Protean (6), Aeon (6), Void (6)</t>
  </si>
  <si>
    <t> As lesser planar binding, but up to 12 HD.</t>
  </si>
  <si>
    <t>Efreeti (13), Infernal (13)</t>
  </si>
  <si>
    <t>Dimensions (12)</t>
  </si>
  <si>
    <t>Planar Binding, Greater</t>
  </si>
  <si>
    <t>up to three elementals or outsiders, totaling no more than 18 HD, no two of which can be more than 30 ft. apart when they appear.</t>
  </si>
  <si>
    <t>This spell functions like lesser planar binding, except that you may call a single creature of 18 HD or less, or up to three creatures of the same kind whose Hit Dice total no more than 18. Each creature gets a saving throw, makes an independent attempt to escape, and must be individually persuaded to aid you.</t>
  </si>
  <si>
    <t>Void (8)</t>
  </si>
  <si>
    <t> As lesser planar binding, but up to 18 HD.</t>
  </si>
  <si>
    <t>Djinni (17)</t>
  </si>
  <si>
    <t>Dimensions (16)</t>
  </si>
  <si>
    <t>Plane Shift</t>
  </si>
  <si>
    <t>cleric/oracle 5, sorcerer/wizard 7, summoner 5, witch 7, shaman 7, psychic 5, spiritualist 5, unchained summoner 6, medium 4</t>
  </si>
  <si>
    <t>V, S, F (a forked metal rod attuned to the plane of travel)</t>
  </si>
  <si>
    <t>creature touched, or up to eight willing creatures joining hands</t>
  </si>
  <si>
    <t>You move yourself or some other creature to another plane of existence or alternate dimension. If several willing persons link hands in a circle, as many as eight can be affected by the plane shift at the same time. Precise accuracy as to a particular arrival location on the intended plane is nigh impossible. From the Material Plane, you can reach any other plane, though you appear 5 to 500 miles (5d%) from your intended destination. Plane shift transports creatures instantaneously and then ends. The creatures need to find other means if they are to travel back (including casting plane shift again).</t>
  </si>
  <si>
    <t>Freedom (5)</t>
  </si>
  <si>
    <t>As many as 8 subjects travel to another plane.</t>
  </si>
  <si>
    <t>Aberrant (Sorcerer) (15), Djinni (15), Efreeti (15), Marid (15), Shaitan (15)</t>
  </si>
  <si>
    <t>If you've been to the destination plane and are familiar with a location there, you may choose that location and arrive on target at that location with anyone else you transport with the spell.</t>
  </si>
  <si>
    <t>Augmented: If you expend two uses of mythic power, you grant transported creatures the effects of a planar adaptation spell (Advanced Player's Guide 236) upon arrival, lasting for 1 hour.</t>
  </si>
  <si>
    <t>Plant Growth</t>
  </si>
  <si>
    <t>Plant growth has different effects depending on the version chosen.  Overgrowth: This effect causes normal vegetation (grasses, briars, bushes, creepers, thistles, trees, vines, and so on) within long range (400 feet + 40 feet per caster level) to become thick and overgrown.  The plants entwine to form a thicket or jungle that creatures must hack or force a way through. Speed drops to 5 feet, or 10 feet for Large or larger creatures. The area must have brush and trees in it for this spell to take effect. If this spell is cast on an area that is already affected by any spell or effect that enhances plants, such as entangle or wall of thorns, any DC involved with these spells is increased by 4.  This bonus is granted for 1 day after the casting of plant growth.  At your option, the area can be a 100-foot-radius circle, a 150-foot-radius semicircle, or a 200-foot-radius quarter circle.  You may designate places within the area that are not affected.  Enrichment: This effect targets plants within a range of a halfmile, raising their potential productivity over the course of the next year to one-third above normal.  Plant growth counters diminish plants.  This spell has no effect on plant creatures.</t>
  </si>
  <si>
    <t>Plant (3)</t>
  </si>
  <si>
    <t>Grows vegetation, improves crops.</t>
  </si>
  <si>
    <t>Plant Shape I</t>
  </si>
  <si>
    <t>sorcerer/wizard 5, alchemist 5</t>
  </si>
  <si>
    <t>When you cast this spell you can assume the form of any Small or Medium creature of the plant type (see the Pathfinder RPG Bestiary).  If the form you assume has any of the following abilities, you gain the listed ability: darkvision 60 feet, low-light vision, constrict, grab, and poison. If the form you assume does not possess the ability to move, your speed is reduced to 5 feet and you lose all other forms of movement. If the creature has vulnerability to an element, you gain that vulnerability.  Small plant: If the form you take is that of a Small plant, you gain a +2 size bonus to your Constitution and a +2 natural armor bonus.  Medium plant: If the form you take is that of a Medium plant, you gain a +2 size bonus to your Strength, a +2 enhancement bonus to your Constitution, and a +2 natural armor bonus.</t>
  </si>
  <si>
    <t> Turns you into a Small or Medium plant.</t>
  </si>
  <si>
    <t>Plant Shape II</t>
  </si>
  <si>
    <t>sorcerer/wizard 6, alchemist 6</t>
  </si>
  <si>
    <t>This spell functions as plant shape I except that it also allows you to assume the form of a Large creature of the plant type. If the creature has immunity or resistance to any elements, you gain resistance 20 to those elements. If the creature has vulnerability to an element, you gain that vulnerability.  Large plant: If the form you take is that of a Large plant, you gain a +4 size bonus to your Strength, a +2 size bonus to your Constitution, and a +4 natural armor bonus.</t>
  </si>
  <si>
    <t> Turns you into a Large plant creature.</t>
  </si>
  <si>
    <t>Plant Shape III</t>
  </si>
  <si>
    <t>This spell functions as plant shape II except that it also allows you to assume the form of a Huge creature of the plant type. If the form you assume has any of the following abilities, you gain the listed ability: DR, regeneration 5, and trample.  Huge plant: If the form you take is that of a Huge plant, you gain a +8 size bonus to your Strength, a -2 penalty to your Dexterity, a +4 size bonus to your Constitution, and a +6 natural armor bonus.</t>
  </si>
  <si>
    <t> Turns you into a Huge plant.</t>
  </si>
  <si>
    <t>Verdant (15)</t>
  </si>
  <si>
    <t>Poison</t>
  </si>
  <si>
    <t>cleric/oracle 4, druid 3, witch 4, antipaladin 4, shaman 4, occultist 4, mesmerist 4</t>
  </si>
  <si>
    <t>Fortitude negates; see text</t>
  </si>
  <si>
    <t>Calling upon the venomous powers of natural predators, you infect the subject with a horrible poison by making a successful melee touch attack. This poison deals 1d3 Constitution damage per round for 6 rounds. Poisoned creatures can make a Fortitude save each round to negate the damage and end the affliction.</t>
  </si>
  <si>
    <t>Decay (4), Scalykind (4)</t>
  </si>
  <si>
    <t>Touch deals 1d3 Con damage 1/round for 6 rounds.</t>
  </si>
  <si>
    <t>Fey (9), Serpentine (9)</t>
  </si>
  <si>
    <t>Polar Ray</t>
  </si>
  <si>
    <t>V, S, F (a white ceramic cone or prism)</t>
  </si>
  <si>
    <t>A blue-white ray of freezing air and ice springs from your hand.  You must succeed on a ranged touch attack with the ray to deal damage to a target. The ray deals 1d6 points of cold damage per caster level (maximum 25d6) and 1d4 points of Dexterity drain.</t>
  </si>
  <si>
    <t>Ice (9)</t>
  </si>
  <si>
    <t> Ranged touch attack deals 1d6/level cold damage and 1d4 points of Dexterity drain.</t>
  </si>
  <si>
    <t>Boreal (17), Marid (17)</t>
  </si>
  <si>
    <t>Winter (16)</t>
  </si>
  <si>
    <t>The damage dealt increases to 1d8 points of cold damage per caster level (maximum 25d8) and 1d6 points of Dexterity drain. If the target takes damage from this spell, it becomes partially encased in ice, reducing its speed by half. Creatures with the cold or incorporeal subtypes or immunity to being grappled are immune to this effect. The reduced movement lasts until the ice is destroyed. Destroying the ice requires a successful Strength or dispel check against the spell's DC or dealing 1 point of bludgeoning or fire damage per caster level to the target.</t>
  </si>
  <si>
    <t>Polymorph</t>
  </si>
  <si>
    <t>V, S, M (a piece of the creature whose form you choose)</t>
  </si>
  <si>
    <t>This spell transforms a willing creature into an animal, humanoid or elemental of your choosing; the spell has no effect on unwilling creatures, nor can the creature being targeted by this spell influence the new form assumed (apart from conveying its wishes, if any, to you verbally).  If you use this spell to cause the target to take on the form of an animal or magical beast, the spell functions as beast shape II. If the form is that of an elemental, the spell functions as elemental body I. If the form is that of a humanoid, the spell functions as alter self.  The subject may choose to resume its normal form as a full-round action; doing so ends the spell for that subject.</t>
  </si>
  <si>
    <t> Gives one willing subject a new form.</t>
  </si>
  <si>
    <t>Agility (10)</t>
  </si>
  <si>
    <t>Polymorph, Greater</t>
  </si>
  <si>
    <t>This spell functions as polymorph except that it allows the creature to take on the form of a dragon or plant creature. If you use this spell to cause the target to take on the form of an animal or magical beast, it functions as beast shape IV. If the form is that of an elemental, the spell functions as elemental body III. If the form is that of a humanoid, the spell functions as alter self. If the form is that of a plant, the spell functions as plant shape II. If the form is that of a dragon, the spell functions as form of the dragon I. The subject may choose to resume its normal form as a full-round action; doing so ends the spell.</t>
  </si>
  <si>
    <t> Gives one willing subject a new, more powerful form.</t>
  </si>
  <si>
    <t>Rakshasa (15), Protean (15)</t>
  </si>
  <si>
    <t>Polymorph Any Object</t>
  </si>
  <si>
    <t>V, S, M/DF (mercury, gum arabic, and smoke)</t>
  </si>
  <si>
    <t>one creature, or one nonmagical object of up to 100 cu. ft./level</t>
  </si>
  <si>
    <t>Fortitude negates (object); see text</t>
  </si>
  <si>
    <t>This spell functions like greater polymorph, except that it changes one object or creature into another. You can use this spell to transform all manner of objects and creatures into new forms-you aren't limited to transforming a living creature into another living form. The duration of the spell depends on how radical a change is made from the original state to its transmuted state. The duration is determined by using the following guidelines. I ncrease to Changed Subject Is… D uration Factor* Same kingdom (animal, vegetable, mineral) +5 Same class (mammals, fungi, metals, etc.) +2 Same size +2 Related (twig is to tree, wolf fur is to wolf, etc.) +2 Same or lower Intelligence +2 *Add all that apply. Look up the total on the next table. Duration Factor D uration Example 0 20 minutes Pebble to human 2 1 hour Marionette to human 4 3 hours Human to marionette 5 12 hours Lizard to manticore 6 2 days Sheep to wool coat 7 1 week Shrew to manticore 9+ Permanent Manticore to shrew If the target of the spell does not have physical ability scores (Strength, Dexterity, or Constitution), this spell grants a base score of 10 to each missing ability score. If the target of the spell does not have mental ability scores (Intelligence, Wisdom, or Charisma), this spell grants a score of 5 to such scores. Damage taken by the new form can result in the injury or death of the polymorphed creature. In general, damage occurs when the new form is changed through physical force. A nonmagical object cannot be made into a magic item with this spell. Magic items aren't affected by this spell. This spell cannot create material of great intrinsic value, such as copper, silver, gems, silk, gold, platinum, mithral, or adamantine. It also cannot reproduce the special properties of cold iron in order to overcome the damage reduction of certain creatures. This spell can also be used to duplicate the effects of baleful polymorph, greater polymorph, flesh to stone, stone to flesh, transmute mud to rock, transmute metal to wood, or transmute rock to mud.</t>
  </si>
  <si>
    <t>Construct (8)</t>
  </si>
  <si>
    <t> Changes a subject into anything else.</t>
  </si>
  <si>
    <t>Impossible (17), Protean (17)</t>
  </si>
  <si>
    <t>Power Word Blind</t>
  </si>
  <si>
    <t>one creature with 200 hp or less</t>
  </si>
  <si>
    <t>You utter a single word of power that causes a creature to become blinded, whether the creature can hear the word or not. The duration of the spell depends on the target's current hit point total. Any creature that currently has 201 or more hit points is unaffected. Hit Points Duration 50 or less Permanent 51-100 1d4+1 minutes 101-200 1d4+1 rounds</t>
  </si>
  <si>
    <t>Darkness (7), War (7)</t>
  </si>
  <si>
    <t> Blinds creature with 200 hp or less.</t>
  </si>
  <si>
    <t>Maestro (15), Shadow (15)</t>
  </si>
  <si>
    <t>Power Word Kill</t>
  </si>
  <si>
    <t>death, mind-affecting</t>
  </si>
  <si>
    <t>one living creature with 100 hp or less</t>
  </si>
  <si>
    <t>You utter a single word of power that instantly kills one creature of your choice, whether the creature can hear the word or not. Any creature that currently has 101 or more hit points is unaffected by power word kill.</t>
  </si>
  <si>
    <t>War (9)</t>
  </si>
  <si>
    <t> Kills one creature with 100 hp or less.</t>
  </si>
  <si>
    <t>Pestilence (19)</t>
  </si>
  <si>
    <t>Death (18)</t>
  </si>
  <si>
    <t>Treat the target's current hit point total as though it were lowered by 5 times your tier. For example, a 3rd-tier archmage casting mythic power word kill would instantly kill a creature with 85 hit points or fewer. You can target a creature with more hit points than this spell could normally affect, causing it to become exhausted.</t>
  </si>
  <si>
    <t>Augmented (6th): If you expend four uses of mythic power, the magic of the word lingers around the target. Until the beginning of your next turn, if the target's hit point total drops to the point that this spell would have killed it upon casting, it's instantly slain.</t>
  </si>
  <si>
    <t>Power Word Stun</t>
  </si>
  <si>
    <t>one creature with 150 hp or less</t>
  </si>
  <si>
    <t>See text</t>
  </si>
  <si>
    <t>You utter a single word of power that instantly causes one creature of your choice to become stunned, whether the creature can hear the word or not. The duration of the spell depends on the target's current hit point total. Any creature that currently has 151 or more hit points is unaffected by power word stun. Hit Points D uration 50 or less 4d4 rounds 51-100 2d4 rounds 101-150 1d4 rounds</t>
  </si>
  <si>
    <t>War (8)</t>
  </si>
  <si>
    <t> Stuns creature with 150 hp or less.</t>
  </si>
  <si>
    <t>Arcane (17), Infernal (17)</t>
  </si>
  <si>
    <t>Prayer</t>
  </si>
  <si>
    <t>cleric/oracle 3, paladin 3, inquisitor 3</t>
  </si>
  <si>
    <t>all allies and foes within a 40-ft.-radius burst centered on you</t>
  </si>
  <si>
    <t>You bring special favor upon yourself and your allies while bringing disfavor to your enemies. You and each of your allies gain a +1 luck bonus on attack rolls, weapon damage rolls, saves, and skill checks, while each of your foes takes a -1 penalty on such rolls.</t>
  </si>
  <si>
    <t>Archon (3), Community (3), Leadership (3)</t>
  </si>
  <si>
    <t>Allies get +1 bonus on most rolls, enemies –1 penalty.</t>
  </si>
  <si>
    <t>Ancestors (6)</t>
  </si>
  <si>
    <t>The spell's luck bonus increases to +2, and the penalty for enemies changes to -2. When you cast the spell, your affected allies heal an amount of hit point damage equal to double your tier, and affected enemies take an amount of damage equal to double your tier.</t>
  </si>
  <si>
    <t>Prestidigitation</t>
  </si>
  <si>
    <t>bard 0, magus 0, sorcerer/wizard 0, psychic 0, mesmerist 0, medium 0</t>
  </si>
  <si>
    <t>Prestidigitations are minor tricks that novice spellcasters use for practice. Once cast, a prestidigitation spell enables you to perform simple magical effects for 1 hour. The effects are minor and have severe limitations. A prestidigitation can slowly lift 1 pound of material. It can color, clean, or soil items in a 1-foot cube each round. It can chill, warm, or flavor 1 pound of nonliving material. It cannot deal damage or affect the concentration of spellcasters. Prestidigitation can create small objects, but they look crude and artificial. The materials created by a prestidigitation spell are extremely fragile, and they cannot be used as tools, weapons, or spell components. Finally, prestidigitation lacks the power to duplicate any other spell effects. Any actual change to an object (beyond just moving, cleaning, or soiling it) persists only 1 hour.</t>
  </si>
  <si>
    <t>Performs minor tricks.</t>
  </si>
  <si>
    <t>Prismatic Sphere</t>
  </si>
  <si>
    <t>10-ft.-radius sphere centered on you</t>
  </si>
  <si>
    <t>This spell functions like prismatic wall, except you conjure up an immobile, opaque globe of shimmering, multicolored light that surrounds you and protects you from all forms of attack. The sphere flashes in all colors of the visible spectrum.  The sphere's blindness effect on creatures with less than 8 HD lasts 2d4 x 10 minutes.  You can pass into and out of the prismatic sphere and remain near it without harm. When you're inside it, however, the sphere blocks any attempt to project something through the sphere (including spells). Other creatures that attempt to attack you or pass through suffer the effects of each color, one at a time.  Typically, only the upper hemisphere of the globe exists, since you are at the center of the sphere, so the lower half is usually occluded by the floor surface you are standing on.  The colors of the sphere have the same effects as the colors of a prismatic wall.  Prismatic sphere can be made permanent with a permanency spell.</t>
  </si>
  <si>
    <t>Artifice (9), Protection (9), Sun (9)</t>
  </si>
  <si>
    <t> As prismatic wall, but surrounds on all sides.</t>
  </si>
  <si>
    <t>When you cast the spell, you simultaneously create a prismatic spray that originates from one point on the sphere and radiates directly away from you. The save DC of this prismatic spray is the same as that of your mythic prismatic sphere.</t>
  </si>
  <si>
    <t>Prismatic Spray</t>
  </si>
  <si>
    <t>This spell causes seven shimmering, multicolored beams of light to spray from your hand. Each beam has a different power. Creatures in the area of the spell with 8 HD or less are automatically blinded for 2d4 rounds. Every creature in the area is randomly struck by one or more beams, which have additional effects. Color 1d8 of Beam 1 Red 20 points fire damage (Reflex half ) 2 Orange 40 points acid damage (Reflex half ) 3 Yellow 80 points electricity damage (Reflex half) 4 Green Poison (Frequency 1/rd. for 6 rd.; Init. effect death; Sec. effect 1 Con/rd.; Cure 2 consecutive Fort saves)* 5 Blue Flesh to stone (Fortitude negates) 6 Indigo Insane, as insanity spell (Will negates) 7 Violet Sent to another plane (Will negates) 8 Struck by Roll twice more, ignoring any "8" two rays results * See poisons on page 557.</t>
  </si>
  <si>
    <t> Rays hit subjects with variety of effects.</t>
  </si>
  <si>
    <t>Prismatic Wall</t>
  </si>
  <si>
    <t>wall 4 ft./level wide, 2 ft./level high</t>
  </si>
  <si>
    <t>Prismatic wall creates a vertical, opaque wall-a shimmering, multicolored plane of light that protects you from all forms of attack. The wall flashes with seven colors, each of which has a distinct power and purpose. The wall is immobile, and you can pass through and remain near the wall without harm. Any other creature with less than 8 HD that is within 20 feet of the wall is blinded by the colors for 2d4 rounds if it looks at the wall. The wall's maximum proportions are 4 feet wide per caster level and 2 feet high per caster level. A prismatic wall spell cast to materialize in a space occupied by a creature is disrupted, and the spell is wasted. Each color in the wall has a special effect. The accompanying table shows the seven colors of the wall, the order in which they appear, their effects on creatures trying to attack you or pass through the wall, and the magic needed to negate each color. The wall can be destroyed, color by color, in consecutive order, by casting the specified spells on the wall; however, the first color must be brought down before the second can be affected, and so on. A rod of cancellation or a mage's disjunction spell destroys a prismatic wall, but an antimagic field fails to penetrate it. Dispel magic and greater dispel magic can only be used on the wall once all the other colors have been destroyed. Spell resistance is effective against a prismatic wall, but the caster level check must be repeated for each color present. Prismatic wall can be made permanent with a permanency spell. Order C olor Effect of Color N egated by 1st Red Stops nonmagical ranged weapons. Cone of cold Deals 20 points of fire damage (Reflex half ). 2nd Orange Stops magical ranged weapons. Gust of wind Deals 40 points of acid damage (Reflex half ). 3rd Yellow Stops poisons, gases, and petrification. Disintegrate Deals 80 points of electricity damage (Reflex half ). 4th Green Stops breath weapons. Passwall Poison (frequency: 1/rd. for 6 rd.; init. effect: death, sec. effect: 1 Con/rd.; cure 2 consecutive Fort saves). 5th Blue Stops divination and mental attacks. Magic missile Turned to stone (Fortitude negates). 6th Indigo Stops all spells. Daylight Will save or become insane (as insanity spell). 7th Violet Energy field destroys all objects and effects.* Dispel magic or Creatures sent to another plane (Will negates). greater dispel magic * The violet effect makes the special effects of the other six colors redundant, but these six effects are included here because certain magic items can create prismatic effects one color at a time, and spell resistance might render some colors ineffective (see above).</t>
  </si>
  <si>
    <t>Fortifications (9), Isolation (8)</t>
  </si>
  <si>
    <t> Wall's colors have array of effects.</t>
  </si>
  <si>
    <t>Prying Eyes, Greater</t>
  </si>
  <si>
    <t>V, S, M (a handful of crystal marbles)</t>
  </si>
  <si>
    <t>1 mile</t>
  </si>
  <si>
    <t>10 or more levitating eyes</t>
  </si>
  <si>
    <t>1 hour/level; see text</t>
  </si>
  <si>
    <t>This spell functions like prying eyes, except that the eyes can see all things as they actually are, just as if they had true seeing with a range of 120 feet. Thus, they can navigate darkened areas at normal speed. Also, a greater prying eye's maximum Perception modifier is +25 instead of +15.</t>
  </si>
  <si>
    <t> As prying eyes, but eyes have true seeing.</t>
  </si>
  <si>
    <t>Starsoul (17)</t>
  </si>
  <si>
    <t>Produce Flame</t>
  </si>
  <si>
    <t>flame in your palm</t>
  </si>
  <si>
    <t>Flames as bright as a torch appear in your open hand. The flames harm neither you nor your equipment.  In addition to providing illumination, the flames can be hurled or used to touch enemies. You can strike an opponent with a melee touch attack, dealing fire damage equal to 1d6 + 1 point per caster level (maximum +5). Alternatively, you can hurl the flames up to 120 feet as a thrown weapon. When doing so, you attack with a ranged touch attack (with no range penalty) and deal the same damage as with the melee attack. No sooner do you hurl the flames than a new set appears in your hand. Each attack you make reduces the remaining duration by 1 minute. If an attack reduces the remaining duration to 0 minutes or less, the spell ends after the attack resolves.  This spell does not function underwater.</t>
  </si>
  <si>
    <t>Fire (2)</t>
  </si>
  <si>
    <t> 1d6 damage + 1/level, touch or thrown.</t>
  </si>
  <si>
    <t>Programmed Image</t>
  </si>
  <si>
    <t>bard 6, sorcerer/wizard 6, psychic 6, mesmerist 6</t>
  </si>
  <si>
    <t>V, S, M (fleece and jade dust worth 25 gp)</t>
  </si>
  <si>
    <t>visual figment that cannot extend beyond a 20-ft. cube + one 10-ft. cube/level (S)</t>
  </si>
  <si>
    <t>permanent until triggered, then 1 round/level</t>
  </si>
  <si>
    <t>This spell functions like silent image, except that this spell's figment activates when a specific condition occurs. The figment includes visual, auditory, olfactory, and thermal elements, including intelligible speech.  You set the triggering condition (which may be a special word) when casting the spell. The event that triggers the illusion can be as general or as specific and detailed as desired but must be based on an audible, tactile, olfactory, or visual trigger. The trigger cannot be based on some quality not normally obvious to the senses, such as alignment. See magic mouth for more details about such triggers.</t>
  </si>
  <si>
    <t>As major image, plus triggered by event.</t>
  </si>
  <si>
    <t>Deception (12)</t>
  </si>
  <si>
    <t>Project Image</t>
  </si>
  <si>
    <t>bard 6, sorcerer/wizard 7, occultist 6, psychic 7, mesmerist 6</t>
  </si>
  <si>
    <t>V, S, M (a small replica of you worth 5 gp)</t>
  </si>
  <si>
    <t>one shadow duplicate</t>
  </si>
  <si>
    <t>You tap energy from the Plane of Shadow to create a quasi-real, illusory version of yourself. The projected image looks, sounds, and smells like you but is intangible. The projected image mimics your actions (including speech) unless you direct it to act differently (which is a move action).  You can see through its eyes and hear through its ears as if you were standing where it is, and during your turn you can switch from using its senses to using your own, or back again, as a free action. While you are using its senses, your body is considered blinded and deafened.  If you desire, any spell you cast whose range is touch or greater can originate from the projected image instead of from you. The projected image can't cast any spells on itself except for illusion spells. The spells affect other targets normally, despite originating from the projected image.  Objects are affected by the projected image as if they had succeeded on their Will save. You must maintain line of effect to the projected image at all times. If your line of effect is obstructed, the spell ends. If you use dimension door, teleport, plane shift, or a similar spell that breaks your line of effect, even momentarily, the spell ends.</t>
  </si>
  <si>
    <t>Deception (7)</t>
  </si>
  <si>
    <t>Illusory double can talk and cast spells.</t>
  </si>
  <si>
    <t>Protection From Arrows</t>
  </si>
  <si>
    <t>sorcerer/wizard 2, alchemist 2, summoner/unchained summoner 2, bloodrager 2, psychic 2, spiritualist 2</t>
  </si>
  <si>
    <t>V, S, F (a piece of tortoiseshell or turtle shell)</t>
  </si>
  <si>
    <t>The warded creature gains resistance to ranged weapons.  The subject gains damage reduction 10/magic against ranged weapons. This spell doesn't grant you the ability to damage creatures with similar damage reduction. Once the spell has prevented a total of 10 points of damage per caster level (maximum 100 points), it is discharged.</t>
  </si>
  <si>
    <t> Subject gains DR 10/magic against ranged attacks.</t>
  </si>
  <si>
    <t>The damage reduction increases to 15/magic. The maximum damage prevented by the spell increases to 15 points per caster level (maximum 150 points). If the spell prevents all damage from a ranged weapon attack, it turns the projectile or weapon back on the attacker, using the same attack roll result. If the attacker is also protected by mythic protection from arrows and its spell completely prevents the damage from the rebounded attack, the weapon or projectile is destroyed.</t>
  </si>
  <si>
    <t>Protection From Chaos</t>
  </si>
  <si>
    <t>cleric/oracle 1, paladin 1, sorcerer/wizard 1, inquisitor 1, summoner/unchained summoner 1, bloodrager 1, shaman 1, spiritualist 1, medium 1</t>
  </si>
  <si>
    <t>V, S, M/DF</t>
  </si>
  <si>
    <t>This spell functions like protection from evil, except that the deflection and resistance bonuses apply to attacks made by chaotic creatures. The target receives a new saving throw against control by chaotic creatures and chaotic summoned creatures cannot touch the target.</t>
  </si>
  <si>
    <t>Law (1), Purity (1)</t>
  </si>
  <si>
    <t>+2 to AC and saves, plus additional protection against selected alignment.</t>
  </si>
  <si>
    <t>The bonuses to AC and on saves increase to +4. Any chaotic creature attempting to possess or exercise mental control over the target must attempt a Will save against this spell. If it fails, the creature takes 1d6 points of damage per 2 caster levels (maximum 5d6) from mental feedback. A chaotic creature that uses spell resistance to bypass the spell's protection against contact must successfully save or take this damage once each round it attacks the protected target.</t>
  </si>
  <si>
    <t>Protection From Evil</t>
  </si>
  <si>
    <t>cleric/oracle 1, inquisitor 1, paladin 1, sorcerer/wizard 1, summoner/unchained summoner 1, bloodrager 1, shaman 1, spiritualist 1, medium 1</t>
  </si>
  <si>
    <t>This spell wards a creature from attacks by evil creatures, from mental control, and from summoned creatures. It creates a magical barrier around the subject at a distance of 1 foot. The barrier moves with the subject and has three major effects.  First, the subject gains a +2 deflection bonus to AC and a +2 resistance bonus on saves. Both these bonuses apply against attacks made or effects created by evil creatures.  Second, the subject immediately receives another saving throw (if one was allowed to begin with) against any spells or effects that possess or exercise mental control over the creature (including enchantment [charm] effects and enchantment [compulsion] effects such as charm person, command, and dominate person). This saving throw is made with a +2 morale bonus, using the same DC as the original effect.  If successful, such effects are suppressed for the duration of this spell. The effects resume when the duration of this spell expires.  While under the effects of this spell, the target is immune to any new attempts to possess or exercise mental control over the target.  This spell does not expel a controlling life force (such as a ghost or spellcaster using magic jar), but it does prevent them from controlling the target. This second effect only functions against spells and effects created by evil creatures or objects, subject to GM discretion.  Third, the spell prevents bodily contact by evil summoned creatures. This causes the natural weapon attacks of such creatures to fail and the creatures to recoil if such attacks require touching the warded creature. Summoned creatures that are not evil are immune to this effect. The protection against contact by summoned creatures ends if the warded creature makes an attack against or tries to force the barrier against the blocked creature. Spell resistance can allow a creature to overcome this protection and touch the warded creature.</t>
  </si>
  <si>
    <t>Good (1), Purity (1)</t>
  </si>
  <si>
    <t>Boundaries (2)</t>
  </si>
  <si>
    <t>The bonuses to AC and on saves increase to +4. Any evil creature attempting to possess or exercise mental control over the target must attempt a Will save against this spell. If it fails, the creature takes 1d6 points of damage per 2 caster levels (maximum 5d6) from mental feedback. An evil creature that uses spell resistance to bypass the spell's protection against contact must successfully save or take this damage once each round it attacks the protected target.</t>
  </si>
  <si>
    <t>Protection From Good</t>
  </si>
  <si>
    <t>cleric/oracle 1, sorcerer/wizard 1, inquisitor 1, summoner/unchained summoner 1, antipaladin 1, bloodrager 1, shaman 1, spiritualist 1, medium 1</t>
  </si>
  <si>
    <t>This spell functions like protection from evil, except that the deflection and resistance bonuses apply to attacks made by good creatures. The target receives a new saving throw against control by good creatures and good summoned creatures cannot touch the target.</t>
  </si>
  <si>
    <t>Evil (1), Purity (1)</t>
  </si>
  <si>
    <t>+2 to AC and saves, plus additional protection against selected alignments.</t>
  </si>
  <si>
    <t>Infernal (3)</t>
  </si>
  <si>
    <t>The bonuses to AC and on saves increase to +4. Any good creature attempting to possess or exercise mental control over the target must attempt a Will save against this spell. If it fails, the creature takes 1d6 points of damage per 2 caster levels (maximum 5d6) from mental feedback. A good creature that uses spell resistance to bypass the spell's protection against contact must successfully save or take this damage once each round it attacks the protected target.</t>
  </si>
  <si>
    <t>Protection From Law</t>
  </si>
  <si>
    <t>This spell functions like protection from evil, except that the deflection and resistance bonuses apply to attacks made by lawful creatures.  The target receives a new saving throw against control by lawful creatures and lawful summoned creatures cannot touch the target.</t>
  </si>
  <si>
    <t>Chaos (1), Purity (1)</t>
  </si>
  <si>
    <t>The bonuses to AC and on saves increase to +4. Any lawful creature attempting to possess or exercise mental control over the target must attempt a Will save against this spell. If it fails, the creature takes 1d6 points of damage per 2 caster levels (maximum 5d6) from mental feedback. A lawful creature that uses spell resistance to bypass the spell's protection against contact must successfully save or take this damage once each round it attacks the protected target.</t>
  </si>
  <si>
    <t>Protection from Spells</t>
  </si>
  <si>
    <t>V, S, M (diamond worth 500 gp), F (One 1,000 gp diamond per target. Each subject must carry the gem for the duration of the spell. If a subject loses the gem, the spell ceases to affect him.)</t>
  </si>
  <si>
    <t>up to one creature touched per four levels</t>
  </si>
  <si>
    <t>The subject gains a +8 resistance bonus on saving throws against spells and spell-like abilities (but not against supernatural and extraordinary abilities).</t>
  </si>
  <si>
    <t>Magic (8)</t>
  </si>
  <si>
    <t> Confers +8 resistance bonus.</t>
  </si>
  <si>
    <t>Wisdom (16)</t>
  </si>
  <si>
    <t>Purify Food and Drink</t>
  </si>
  <si>
    <t>cleric/oracle 0, druid 0, shaman 0, occultist 0</t>
  </si>
  <si>
    <t>1 cu. ft./level of contaminated food and water</t>
  </si>
  <si>
    <t>This spell makes spoiled, rotten, diseased, poisonous, or otherwise contaminated food and water pure and suitable for eating and drinking. This spell does not prevent subsequent natural decay or spoilage. Unholy water and similar food and drink of significance is spoiled by purify food and drink, but the spell has no effect on creatures of any type nor upon magic potions. Water weighs about 8 pounds per gallon. One cubic foot of water contains roughly 8 gallons and weighs about 60 pounds.</t>
  </si>
  <si>
    <t>Purifies 1 cu. ft./level of food or water.</t>
  </si>
  <si>
    <t>Pyrotechnics</t>
  </si>
  <si>
    <t>bard 2, sorcerer/wizard 2, magus 2, bloodrager 2, psychic 2, mesmerist 2</t>
  </si>
  <si>
    <t>V, S, M (one fire source)</t>
  </si>
  <si>
    <t>one fire source, up to a 20-ft. cube</t>
  </si>
  <si>
    <t>1d4+1 rounds, or 1d4+1 rounds after creatures leave the smoke cloud; see text</t>
  </si>
  <si>
    <t>Will negates or Fortitude negates; see text</t>
  </si>
  <si>
    <t>yes or no; see text</t>
  </si>
  <si>
    <t>Pyrotechnics turns a fire into a burst of blinding fireworks or a thick cloud of choking smoke, depending on your choice. The spell uses one fire source, which is immediately extinguished. A fire so large that it exceeds a 20-foot cube is only partly extinguished. Magical fires are not extinguished, although a fire-based creature used as a source takes 1 point of damage per caster level.  Fireworks: The fireworks are a flashing, fiery, momentary burst of glowing, colored aerial lights. This effect causes creatures within 120 feet of the fire source to become blinded for 1d4+1 rounds (Will negates). These creatures must have line of sight to the fire to be affected. Spell resistance can prevent blindness.  Smoke Cloud: A stream of smoke billows out from the fire, forming a choking cloud that spreads 20 feet in all directions and lasts for 1 round per caster level. All sight, even darkvision, is ineffective in or through the cloud. All within the cloud take -4 penalties to Strength and Dexterity (Fortitude negates). These effects last for 1d4+1 rounds after the cloud dissipates or after the creature leaves the area of the cloud. Spell resistance does not apply.</t>
  </si>
  <si>
    <t>Smoke (2)</t>
  </si>
  <si>
    <t>Turns fire into blinding light or choking smoke.</t>
  </si>
  <si>
    <t>Quench</t>
  </si>
  <si>
    <t>druid 3</t>
  </si>
  <si>
    <t>one 20-ft. cube/level (S)</t>
  </si>
  <si>
    <t>one fire-based magic item</t>
  </si>
  <si>
    <t>none or Will negates (object)</t>
  </si>
  <si>
    <t>no or yes (object)</t>
  </si>
  <si>
    <t>Quench is often used to put out forest fires and other conflagrations. It extinguishes all nonmagical fires in its area.  The spell also dispels any fire spells in its area, though you must succeed on a dispel check (1d20 +1 per caster level, maximum +15) against each spell to dispel it. The DC to dispel such spells is 11 + the caster level of the fire spell.  Each creature with the fire subtype within the area of a quench spell takes 1d6 points of damage per caster level (maximum 10d6, no save allowed).  Alternatively, you can target the spell on a single magic item that creates or controls flame. The item loses all its fire-based magical abilities for 1d4 hours unless it succeeds on a Will save. Artifacts are immune to this effect.</t>
  </si>
  <si>
    <t> Extinguishes fires.</t>
  </si>
  <si>
    <t>Rage</t>
  </si>
  <si>
    <t>bard 2, sorcerer/wizard 3, alchemist 3, summoner/unchained summoner 3, witch 3, alchemist 3, bloodrager 3, psychic 3, mesmerist 2</t>
  </si>
  <si>
    <t>one willing living creature per three levels, no two of which may be more than 30 ft. apart</t>
  </si>
  <si>
    <t>Each affected creature gains a +2 morale bonus to Strength and Constitution, a +1 morale bonus on Will saves, and a -2 penalty to AC. The effect is otherwise identical with a barbarian's rage except that the subjects aren't fatigued at the end of the rage.</t>
  </si>
  <si>
    <t>Demon (3), Destruction (3), Ferocity (3), Madness (3)</t>
  </si>
  <si>
    <t>Gives +2 to Str and Con, +1 on Will saves, –2 to AC.</t>
  </si>
  <si>
    <t>Abyssal (7), Boreal (5), Orc (7)</t>
  </si>
  <si>
    <t>Rainbow Pattern</t>
  </si>
  <si>
    <t>bard 4, sorcerer/wizard 4, psychic 4</t>
  </si>
  <si>
    <t>V (bard only), S, M (a piece of phosphor), F (a crystal prism); see text</t>
  </si>
  <si>
    <t>colorful lights with a 20-ft.-radius spread</t>
  </si>
  <si>
    <t>Concentration +1 round/level</t>
  </si>
  <si>
    <t>A glowing, rainbow-hued pattern of interweaving colors fascinates those within it. Rainbow pattern fascinates a maximum of 24 HD of creatures. Creatures with the fewest HD are affected first. Among creatures with equal HD, those who are closest to the spell's point of origin are affected first. An affected creature that fails its saves is fascinated by the pattern.  With a simple gesture (a free action), you can make the rainbow pattern move up to 30 feet per round (moving its effective point of origin). All fascinated creatures follow the moving rainbow of light, trying to remain within the effect. Fascinated creatures who are restrained and removed from the pattern still try to follow it. If the pattern leads its subjects into a dangerous area, each fascinated creature gets a second save. If the view of the lights is completely blocked, creatures who can't see them are no longer affected.  The spell does not affect sightless creatures.</t>
  </si>
  <si>
    <t>Lights fascinate 24 HD of creatures.</t>
  </si>
  <si>
    <t>Light (8)</t>
  </si>
  <si>
    <t>Raise Dead</t>
  </si>
  <si>
    <t>cleric/oracle 5, witch 6, shaman 6, spiritualist 5</t>
  </si>
  <si>
    <t>V, S, M (diamond worth 5,000 gp), DF</t>
  </si>
  <si>
    <t>dead creature touched</t>
  </si>
  <si>
    <t>You restore life to a deceased creature. You can raise a creature that has been dead for no longer than 1 day per caster level. In addition, the subject's soul must be free and willing to return.  If the subject's soul is not willing to return, the spell does not work; therefore, a subject that wants to return receives no saving throw.  Coming back from the dead is an ordeal. The subject of the spell gains two permanent negative levels when it is raised, just as if it had been hit by an energy-draining creature. If the subject is 1st level, it takes 2 points of Constitution drain instead (if this would reduce its Con to 0 or less, it can't be raised). A character who died with spells prepared has a 50% chance of losing any given spell upon being raised. A spellcasting creature that doesn't prepare spells (such as a sorcerer) has a 50% chance of losing any given unused spell slot as if it had been used to cast a spell.  A raised creature has a number of hit points equal to its current HD. Any ability scores damaged to 0 are raised to 1. Normal poison and normal disease are cured in the process of raising the subject, but magical diseases and curses are not undone. While the spell closes mortal wounds and repairs lethal damage of most kinds, the body of the creature to be raised must be whole.  Otherwise, missing parts are still missing when the creature is brought back to life. None of the dead creature's equipment or possessions are affected in any way by this spell.  A creature who has been turned into an undead creature or killed by a death effect can't be raised by this spell. Constructs, elementals, outsiders, and undead creatures can't be raised. The spell cannot bring back a creature that has died of old age.</t>
  </si>
  <si>
    <t>Resurrection (5)</t>
  </si>
  <si>
    <t> Restores life to subject who died as long as one day/level ago.</t>
  </si>
  <si>
    <t>Ray Of Enfeeblement</t>
  </si>
  <si>
    <t>sorcerer/wizard 1, witch 1, magus 1, bloodrager 1, mesmerist 1</t>
  </si>
  <si>
    <t>A coruscating ray springs from your hand. You must succeed on a ranged touch attack to strike a target. The subject takes a penalty to Strength equal to 1d6+1 per two caster levels (maximum 1d6+5).  The subject's Strength score cannot drop below 1. A successful Fortitude save reduces this penalty by half. This penalty does not stack with itself. Apply the highest penalty instead.</t>
  </si>
  <si>
    <t> Ray causes 1d6 Str penalty + 1 per 2 levels.</t>
  </si>
  <si>
    <t>Accursed (3), Oni (3), Shadow (3), Daemon (3), Ghoul (3)</t>
  </si>
  <si>
    <t>The Strength penalty increases to 1d8 + 1 per 2 caster levels (maximum +10). If the target fails its save, it's fatigued.</t>
  </si>
  <si>
    <t>Ray of Exhaustion</t>
  </si>
  <si>
    <t>sorcerer/wizard 3, witch 3, magus 3, bloodrager 3, mesmerist 3, spiritualist 3</t>
  </si>
  <si>
    <t>V, S, M (a drop of sweat)</t>
  </si>
  <si>
    <t>A black ray projects from your pointing finger. You must succeed on a ranged touch attack with the ray to strike a target.  The subject is immediately exhausted for the spell's duration. A successful Fortitude save means the creature is only fatigued.  A character that is already fatigued instead becomes exhausted.  This spell has no effect on a creature that is already exhausted.  Unlike normal exhaustion or fatigue, the effect ends as soon as the spell's duration expires.</t>
  </si>
  <si>
    <t> Ray makes subject exhausted.</t>
  </si>
  <si>
    <t>Accursed (7)</t>
  </si>
  <si>
    <t>Ray of Frost</t>
  </si>
  <si>
    <t>sorcerer/wizard 0, magus 0</t>
  </si>
  <si>
    <t>A ray of freezing air and ice projects from your pointing finger.  You must succeed on a ranged touch attack with the ray to deal damage to a target. The ray deals 1d3 points of cold damage.</t>
  </si>
  <si>
    <t> Ray deals 1d3 cold damage.</t>
  </si>
  <si>
    <t>Read Magic</t>
  </si>
  <si>
    <t>bard 0, cleric/oracle 0, druid 0, paladin 1, ranger 1, sorcerer/wizard 0, summoner/unchained summoner 0, witch 0, inquisitor 0, magus 0, shaman 0, occultist 0, psychic 0, mesmerist 0, spiritualist 0, medium 0</t>
  </si>
  <si>
    <t>V, S, F (a clear crystal or mineral prism)</t>
  </si>
  <si>
    <t>You can decipher magical inscriptions on objects-books, scrolls, weapons, and the like-that would otherwise be unintelligible. This deciphering does not normally invoke the magic contained in the writing, although it may do so in the case of a cursed or trapped scroll. Furthermore, once the spell is cast and you have read the magical inscription, you are thereafter able to read that particular writing without recourse to the use of read magic. You can read at the rate of one page (250 words) per minute. The spell allows you to identify a glyph of warding with a DC 13 Spellcraft check, a greater glyph of warding with a DC 16 Spellcraft check, or any symbol spell with a Spellcraft check (DC 10 + spell level).  Read magic can be made permanent with a permanency spell.</t>
  </si>
  <si>
    <t>Read scrolls and spellbooks.</t>
  </si>
  <si>
    <t>Reduce Person</t>
  </si>
  <si>
    <t>V, S, M (a pinch of powdered iron)</t>
  </si>
  <si>
    <t>This spell causes instant diminution of a humanoid creature, halving its height, length, and width and dividing its weight by 8. This decrease changes the creature's size category to the next smaller one. The target gains a +2 size bonus to Dexterity, a -2 size penalty to Strength (to a minimum of 1), and a +1 bonus on attack rolls and AC due to its reduced size.  A Small humanoid creature whose size decreases to Tiny has a space of 2-1/2 feet and a natural reach of 0 feet (meaning that it must enter an opponent's square to attack). A Large humanoid creature whose size decreases to Medium has a space of 5 feet and a natural reach of 5 feet. This spell doesn't change the target's speed.  All equipment worn or carried by a creature is similarly reduced by the spell.  Melee and projectile weapons deal less damage. Other magical properties are not affected by this spell. Any reduced item that leaves the reduced creature's possession (including a projectile or thrown weapon) instantly returns to its normal size. This means that thrown weapons deal their normal damage (projectiles deal damage based on the size of the weapon that fired them).  Multiple magical effects that reduce size do not stack. Reduce person counters and dispels enlarge person.  Reduce person can be made permanent with a permanency spell.</t>
  </si>
  <si>
    <t> Humanoid creature halves in size.</t>
  </si>
  <si>
    <t>You can decrease the target's size by up to two categories, to a minimum of Tiny. If the target shrinks two sizes, its weight decreases by a factor of 16 and it gains a +4 size bonus to Dexterity, a -4 size penalty to Strength, and a +2 bonus on attack rolls and to AC because of its decreased size. A Medium or Small humanoid creature whose size decreases to Tiny has a space of 2-1/2 feet and a natural reach of 0 feet. Mythic reduce person counters and dispels mythic enlarge person.</t>
  </si>
  <si>
    <t>Reduce Animal</t>
  </si>
  <si>
    <t>druid 2, ranger 3</t>
  </si>
  <si>
    <t>one willing animal of Small, Medium, Large, or Huge size</t>
  </si>
  <si>
    <t>This spell functions like reduce person, except that it affects a single willing animal. Reduce the damage dealt by the animal's natural attacks as appropriate for its new size (see Chapter 6 how to adjust damage for size).</t>
  </si>
  <si>
    <t>Shrinks one willing animal.</t>
  </si>
  <si>
    <t>Reduce Person, Mass</t>
  </si>
  <si>
    <t>one humanoid creature/level, no two of which can be more than 30 ft. apart</t>
  </si>
  <si>
    <t>This spell functions like reduce person, except that it affects multiple creatures.</t>
  </si>
  <si>
    <t> As reduce person, but affects 1 humanoid creature/level.</t>
  </si>
  <si>
    <t>Refuge</t>
  </si>
  <si>
    <t>cleric/oracle 7, sorcerer/wizard 9, witch 9, psychic 8</t>
  </si>
  <si>
    <t>V, S, M (a prepared object worth 1,500 gp)</t>
  </si>
  <si>
    <t>When you cast this spell, you create powerful magic in a specially prepared object. This object contains the power to instantly transport its possessor across any distance within the same plane to your abode. Once the item is so enhanced, you must give it willingly to a creature and at the same time inform it of a command word to be spoken when the item is used. To make use of the item, the subject speaks the command word at the same time that it rends or breaks the item (a standard action). When this is done, the individual and all objects it is wearing and carrying (to a maximum of the character's heavy load) are instantly transported to your abode. No other creatures are affected (aside from a familiar or animal companion that is touching the subject).  You can alter the spell when casting it so that it transports you to within 10 feet of the possessor of the item when it is broken and the command word spoken. You will have a general idea of the location and situation of the item possessor at the time the refuge spell is discharged, but once you decide to alter the spell in this fashion, you have no choice whether or not to be transported.</t>
  </si>
  <si>
    <t>Community (7), Liberation (7)</t>
  </si>
  <si>
    <t>Alters item to transport its possessor to you.</t>
  </si>
  <si>
    <t>Ancestors (14)</t>
  </si>
  <si>
    <t>Regenerate</t>
  </si>
  <si>
    <t>cleric/oracle 7, druid 9, witch 7, shaman 7</t>
  </si>
  <si>
    <t>3 full rounds</t>
  </si>
  <si>
    <t>The subject's severed body members (fingers, toes, hands, feet, arms, legs, tails, or even heads of multiheaded creatures), broken bones, and ruined organs grow back. After the spell is cast, the physical regeneration is complete in 1 round if the severed members are present and touching the creature. It takes 2d10 rounds otherwise.  Regenerate also cures 4d8 points of damage + 1 point per caster level (maximum +35), rids the subject of exhaustion and fatigue, and eliminates all nonlethal damage the subject has taken. It has no effect on nonliving creatures (including undead).</t>
  </si>
  <si>
    <t>Healing (7)</t>
  </si>
  <si>
    <t>Subject’s severed limbs grow back, cures 4d8 damage +1/level (max +35).</t>
  </si>
  <si>
    <t>The casting time changes to 1 standard action and the target changes to 1 living creature or corpse touched. The spell removes the blinded, dazzled, and deafened conditions. The target gains regeneration equal to your tier (overcome by acid and fire) for 1 round per caster level. If the target was killed by amputation or decapitation (such as from a vorpal weapon) within the past 1 round, the spell regenerates lost body parts and brings the creature back to life (as breath of life), treating it as if it had negative hp equal to its Constitution score.</t>
  </si>
  <si>
    <t>Reincarnate</t>
  </si>
  <si>
    <t>druid 4, witch 5, shaman 4, medium 4</t>
  </si>
  <si>
    <t>V, S, M, DF (oils worth 1,000 gp)</t>
  </si>
  <si>
    <t>With this spell, you bring back a dead creature in another body, provided that its death occurred no more than 1 week before the casting of the spell and the subject's soul is free and willing to return. If the subject's soul is not willing to return, the spell does not work; therefore, a subject that wants to return receives no saving throw. Since the dead creature is returning in a new body, all physical ills and afflictions are repaired. The condition of the remains is not a factor. So long as some small portion of the creature's body still exists, it can be reincarnated, but the portion receiving the spell must have been part of the creature's body at the time of death. The magic of the spell creates an entirely new young adult body for the soul to inhabit from the natural elements at hand. This process takes 1 hour to complete. When the body is ready, the subject is reincarnated. A reincarnated creature recalls the majority of its former life and form. It retains any class abilities, feats, or skill ranks it formerly possessed. Its class, base attack bonus, base save bonuses, and hit points are unchanged. Strength, Dexterity, and Constitution scores depend partly on the new body. First eliminate the subject's racial adjustments (since it is no longer necessarily of his previous race) and then apply the adjustments found below to its remaining ability scores. The subject of the spell gains two permanent negative levels when it is reincarnated. If the subject is 1st level, it takes 2 points of Constitution drain instead (if this would reduce its Con to 0 or less, it can't be reincarnated). A character who died with spells prepared has a 50% chance of losing any given spell upon being reincarnated. A spellcreature that doesn't prepare spells (such as a sorcerer) has a 50% chance of losing any given unused spell slot as if it had been used to cast a spell. It's possible for the change in the subject's ability scores to make it difficult for it to pursue its previous character class. If this is the case, the subject is advised to become a multiclass character. For a humanoid creature, the new incarnation is determined using the table on the next page. For nonhumanoid creatures, a similar table of creatures of the same type should be created. A creature that has been turned into an undead creature or killed by a death effect can't be returned to life by this spell. Constructs, elementals, outsiders, and undead creatures can't be reincarnated. The spell can bring back a creature that has died of old age. d% I ncarnation Str Dex Con 01 Bugbear +4 +2 +2 02-13 Dwarf +0 +0 +2 14-25 Elf +0 +2 -2 26 Gnoll +4 +0 +2 27-38 Gnome -2 +0 +2 39-42 Goblin -2 +2 +0 43-52 Half-elf +0 +2 +0 53-62 Half-orc +2 +0 +0 63-74 Halfling -2 +2 +0 75-89 Human +0 +0 +2 90-93 Kobold -4 +2 -2 94 Lizardfolk +2 +0 +2 95-98 Orc +4 +0 +0 99 Troglodyte +0 -2 +4 100 Other (GM's choice) ? ? ? The reincarnated creature gains all abilities associated with its new form, including forms of movement and speeds, natural armor, natural attacks, extraordinary abilities, and the like, but it doesn't automatically speak the language of the new form. A wish or a miracle spell can restore a reincarnated character to his or her original form.</t>
  </si>
  <si>
    <t> Brings dead subject back in a random body.</t>
  </si>
  <si>
    <t>Remove Blindness/Deafness</t>
  </si>
  <si>
    <t>cleric/oracle 3, paladin 3, alchemist 3, witch 3, shaman 3, mesmerist 3, spiritualist 3</t>
  </si>
  <si>
    <t>Remove blindness/deafness cures blindness or deafness (your choice), whether the effect is normal or magical in nature. The spell does not restore ears or eyes that have been lost, but it repairs them if they are damaged.  Remove blindness/deafness counters and dispels blindness/deafness.</t>
  </si>
  <si>
    <t>Purity (3)</t>
  </si>
  <si>
    <t>Cures normal or magical blindness or deafness.</t>
  </si>
  <si>
    <t>Remove Curse</t>
  </si>
  <si>
    <t>bard 3, cleric/oracle 3, paladin 3, sorcerer/wizard 4, alchemist 3, witch 3, inquisitor 3, shaman 3, mesmerist 3, spiritualist 3, medium 3</t>
  </si>
  <si>
    <t>Remove curse can remove all curses on an object or a creature. If the target is a creature, you must make a caster level check (1d20 + caster level) against the DC of each curse affecting the target.  Success means that the curse is removed. Remove curse does not remove the curse from a cursed shield, weapon, or suit of armor, although a successful caster level check enables the creature afflicted with any such cursed item to remove and get rid of it.  Remove curse counters and dispels bestow curse.</t>
  </si>
  <si>
    <t>Liberation (3)</t>
  </si>
  <si>
    <t>Frees object or person from curse.</t>
  </si>
  <si>
    <t>Celestial (9)</t>
  </si>
  <si>
    <t>Remove Disease</t>
  </si>
  <si>
    <t>cleric/oracle 3, druid 3, ranger 3, alchemist 3, witch 3, inquisitor 3, alchemist 3, witch 3, spiritualist 3</t>
  </si>
  <si>
    <t>Remove disease can cure all diseases from which the subject is suffering. You must make a caster level check (1d20 + caster level) against the DC of each disease affecting the target. Success means that the disease is cured. The spell also kills some hazards and parasites, including green slime and others.  Since the spell's duration is instantaneous, it does not prevent reinfection after a new exposure to the same disease at a later date.</t>
  </si>
  <si>
    <t>Restoration (2)</t>
  </si>
  <si>
    <t>Cures all diseases affecting subject.</t>
  </si>
  <si>
    <t>Remove Fear</t>
  </si>
  <si>
    <t>bard 1, cleric/oracle 1, inquisitor 1, shaman 1, psychic 1, mesmerist 1, spiritualist 1, medium 1</t>
  </si>
  <si>
    <t>one creature plus one additional creature per four levels, no two of which can be more than 30 ft. apart</t>
  </si>
  <si>
    <t>You instill courage in the subject, granting it a +4 morale bonus against fear effects for 10 minutes. If the subject is under the influence of a fear effect when receiving the spell, that effect is suppressed for the duration of the spell.  Remove fear counters and dispels cause fear.</t>
  </si>
  <si>
    <t>Liberation (1), Loyalty (1)</t>
  </si>
  <si>
    <t>Suppresses fear or gives +4 on saves against fear for one subject + one per four levels.</t>
  </si>
  <si>
    <t>Remove Paralysis</t>
  </si>
  <si>
    <t>cleric/oracle 2, paladin 2, inquisitor 2, shaman 2, spiritualist 2</t>
  </si>
  <si>
    <t>up to four creatures, no two of which can be more than 30 ft. apart</t>
  </si>
  <si>
    <t>You can free one or more creatures from the effects of temporary paralysis or related magic, including spells and effects that cause a creature to gain the staggered condition. If the spell is cast on one creature, the paralysis is negated. If cast on two creatures, each receives another save with a +4 resistance bonus against the effect that afflicts it. If cast on three or four creatures, each receives another save with a +2 resistance bonus.  The spell does not restore ability scores reduced by penalties, damage, or drain.</t>
  </si>
  <si>
    <t>Liberation (2)</t>
  </si>
  <si>
    <t>Frees creatures from paralysis or slow effect.</t>
  </si>
  <si>
    <t>Repel Metal or Stone</t>
  </si>
  <si>
    <t>60-ft. line from you</t>
  </si>
  <si>
    <t>This spell creates waves of invisible energy that roll forth from you. All metal or stone objects in the path of the spell are pushed away from you to the limit of the range. Fixed metal or stone objects larger than 3 inches in diameter and loose objects weighing more than 500 pounds are not affected. Anything else, including animated objects, small boulders, and creatures in metal armor, moves back. Fixed objects 3 inches in diameter or smaller bend or break, and the pieces move with the wave of energy. Objects affected by the spell are repelled at the rate of 40 feet per round.  Objects such as metal armor, swords, and the like are pushed back, dragging their bearers with them. Even magic items with metal components are repelled, although an antimagic field blocks the effects. A creature being dragged by an item it is carrying can let go. A creature being dragged by a shield can loose it as a move action and drop it as a free action.  The waves of energy continue to sweep down the set path for the spell's duration. After you cast the spell, the path is set, and you can then do other things or go elsewhere without affecting the spell's power.</t>
  </si>
  <si>
    <t> Pushes away metal and stone.</t>
  </si>
  <si>
    <t>Deep Earth (15)</t>
  </si>
  <si>
    <t>Mountain (16)</t>
  </si>
  <si>
    <t>Repel Vermin</t>
  </si>
  <si>
    <t>bard 4, cleric/oracle 4, druid 4, ranger 3, shaman 4</t>
  </si>
  <si>
    <t>10-ft.-radius emanation centered on you</t>
  </si>
  <si>
    <t>An invisible barrier holds back vermin. A vermin with HD of less than one-third your level cannot penetrate the barrier.  A vermin with HD of one-third your level or more can penetrate the barrier if it succeeds on a Will save. Even so, crossing the barrier deals the vermin 2d6 points of damage, and pressing against the barrier causes pain, which deters most vermin.</t>
  </si>
  <si>
    <t>Insects, spiders, and other vermin stay 10 ft. away.</t>
  </si>
  <si>
    <t>Pestilence (9)</t>
  </si>
  <si>
    <t>Repel Wood</t>
  </si>
  <si>
    <t>druid 6</t>
  </si>
  <si>
    <t>60-ft. line-shaped emanation from you</t>
  </si>
  <si>
    <t>Waves of energy roll forth from you, moving in the direction that you determine, causing all wooden objects in the path of the spell to be pushed away from you to the limit of the range. Wooden objects larger than 3 inches in diameter that are fixed firmly are not affected, but loose objects are. Objects 3 inches in diameter or smaller that are fixed in place splinter and break, and the pieces move with the wave of energy. Objects affected by the spell are repelled at the rate of 40 feet per round.  Objects such as wooden shields, spears, wooden weapon shafts and hafts, and arrows and bolts are pushed back, dragging those carrying them along. A creature being dragged by an item it is carrying can let go. A creature being dragged by a shield can loose it as a move action and drop it as a free action. If a spear is planted (set) in a way that prevents this forced movement, it splinters.  Even magic items with wooden sections are repelled, although an antimagic field blocks the effects.  The waves of energy continue to sweep down the set path for the spell's duration. After you cast the spell, the path is set, and you can then do other things or go elsewhere without affecting the spell's power.</t>
  </si>
  <si>
    <t>Plant (6)</t>
  </si>
  <si>
    <t> Pushes away wooden objects.</t>
  </si>
  <si>
    <t>Plant (12)</t>
  </si>
  <si>
    <t>The casting time changes to 1 immediate action. You may cause one affected wooden object up to 5 inches in diameter to splinter and break.</t>
  </si>
  <si>
    <t>Augmented (3rd): If you expend two uses of mythic power, the area changes to a 60-foot, cone-shaped emanation from you.</t>
  </si>
  <si>
    <t>Repulsion</t>
  </si>
  <si>
    <t>cleric/oracle 7, sorcerer/wizard 6, summoner 5, inquisitor 6, occultist 6, psychic 7, spiritualist 6, unchained summoner 6</t>
  </si>
  <si>
    <t>V, S, F/DF (a pair of canine statuettes worth 50 gp)</t>
  </si>
  <si>
    <t>up to 10 ft./level</t>
  </si>
  <si>
    <t>up to 10-ft.-radius/level emanation centered on you</t>
  </si>
  <si>
    <t>An invisible, mobile field surrounds you and prevents creatures from approaching you. You decide how big the field is at the time of casting (to the limit your level allows). Any creature within or entering the field must attempt a save. If it fails, it becomes unable to move toward you for the duration of the spell. Repelled creatures' actions are not otherwise restricted. They can fight other creatures and can cast spells and attack you with ranged weapons.  If you move closer to an affected creature, nothing happens. The creature is not forced back. The creature is free to make melee attacks against you if you come within reach. If a repelled creature moves away from you and then tries to turn back toward you, it cannot move any closer if it is still within the spell's area.</t>
  </si>
  <si>
    <t>Nobility (7), Protection (7)</t>
  </si>
  <si>
    <t>Creatures can’t approach you.</t>
  </si>
  <si>
    <t>Imperious (13), Starsoul (13)</t>
  </si>
  <si>
    <t>Thorns (14)</t>
  </si>
  <si>
    <t>Resilient Sphere</t>
  </si>
  <si>
    <t>V, S, F (a crystal sphere)</t>
  </si>
  <si>
    <t>1-ft.-diameter/level sphere, centered around a creature</t>
  </si>
  <si>
    <t>A globe of shimmering force encloses a creature, provided the creature is small enough to fit within the diameter of the sphere.  The sphere contains its subject for the spell's duration. The sphere functions as a wall of force, except that it can be negated by dispel magic. A subject inside the sphere can breathe normally.  The sphere cannot be physically moved either by people outside it or by the struggles of those within.</t>
  </si>
  <si>
    <t> Force globe protects but traps one subject.</t>
  </si>
  <si>
    <t>Resistance</t>
  </si>
  <si>
    <t>bard 0, cleric/oracle 0, druid 0, paladin 1, sorcerer/wizard 0, summoner/unchained summoner 0, witch 0, inquisitor 0, shaman 0, occultist 0, psychic 0, spiritualist 0, medium 0</t>
  </si>
  <si>
    <t>V, S, M/DF (a miniature cloak)</t>
  </si>
  <si>
    <t>You imbue the subject with magical energy that protects it from harm, granting it a +1 resistance bonus on saves.  Resistance can be made permanent with a permanency spell.</t>
  </si>
  <si>
    <t>Subject gains +1 on saving throws.</t>
  </si>
  <si>
    <t>Resist Energy</t>
  </si>
  <si>
    <t>alchemist 2, cleric/oracle 2, druid 2, inquisitor 2, paladin 2, ranger 1, sorcerer/wizard 2, summoner/unchained summoner 2, bloodrager 2, shaman 2, occultist 2, psychic 2, spiritualist 2</t>
  </si>
  <si>
    <t>This abjuration grants a creature limited protection from damage of whichever one of five energy types you select: acid, cold, electricity, fire, or sonic. The subject gains resist energy 10 against the energy type chosen, meaning that each time the creature is subjected to such damage (whether from a natural or magical source), that damage is reduced by 10 points before being applied to the creature's hit points. The value of the energy resistance granted increases to 20 points at 7th level and to a maximum of 30 points at 11th level. The spell protects the recipient's equipment as well.  Resist energy absorbs only damage. The subject could still suffer unfortunate side effects.  Resist energy overlaps (and does not stack with) protection from energy. If a character is warded by protection from energy and resist energy, the protection spell absorbs damage until its power is exhausted.</t>
  </si>
  <si>
    <t>Ignores 10 (or more) points of damage/attack from specified energy type.</t>
  </si>
  <si>
    <t>Celestial (5), Draconic (5)</t>
  </si>
  <si>
    <t>Winter (4)</t>
  </si>
  <si>
    <t>The target gains a +4 bonus on saves against effects that deal damage of the selected energy type. Once each round as a free action, the target can choose one adjacent ally to gain energy resistance 5 against the chosen energy type for 1 round. This increases to energy resistance 10 at caster level 7 and energy resistance 15 at caster level 11.</t>
  </si>
  <si>
    <t>Restoration</t>
  </si>
  <si>
    <t>cleric/oracle 4, paladin 4, shaman 4, mesmerist 4, spiritualist 4</t>
  </si>
  <si>
    <t>V, S, M (diamond dust worth 100 gp or 1,000 gp, see text)</t>
  </si>
  <si>
    <t>This spell functions like lesser restoration, except that it also dispels temporary negative levels or one permanent negative level. If this spell is used to dispel a permanent negative level, it has a material component of diamond dust worth 1,000 gp. This spell cannot be used to dispel more than one permanent negative level possessed by a target in a 1-week period.  Restoration cures all temporary ability damage, and it restores all points permanently drained from a single ability score (your choice if more than one is drained). It also eliminates any fatigue or exhaustion suffered by the target.</t>
  </si>
  <si>
    <t>Restores level and ability score drains.</t>
  </si>
  <si>
    <t>Healing (8)</t>
  </si>
  <si>
    <t>Restoration, Greater</t>
  </si>
  <si>
    <t>cleric/oracle 7, shaman 7</t>
  </si>
  <si>
    <t>V, S, M (diamond dust 5,000 gp)</t>
  </si>
  <si>
    <t>This spell functions like lesser restoration, except that it dispels all permanent and temporary negative levels afflicting the healed creature. Greater restoration also dispels all magical effects penalizing the creature's abilities, cures all temporary ability damage, and restores all points permanently drained from all ability scores. It also eliminates fatigue and exhaustion, and removes all forms of insanity, confusion, and similar mental effects.</t>
  </si>
  <si>
    <t> As restoration, plus restores all levels and ability scores.</t>
  </si>
  <si>
    <t>Endurance (14), Healing (14)</t>
  </si>
  <si>
    <t>Restoration, Lesser</t>
  </si>
  <si>
    <t>cleric/oracle 2, druid 2, paladin 1, inquisitor 2, alchemist 2, shaman 2, mesmerist 2, spiritualist 2</t>
  </si>
  <si>
    <t>Lesser restoration dispels any magical effects reducing one of the subject's ability scores or cures 1d4 points of temporary ability damage to one of the subject's ability scores. It also eliminates any fatigue suffered by the character, and improves an exhausted condition to fatigued. It does not restore permanent ability drain.</t>
  </si>
  <si>
    <t>Dispels magical ability penalty or repairs 1d4 ability damage.</t>
  </si>
  <si>
    <t>Resurrection</t>
  </si>
  <si>
    <t>V, S, M (diamond worth 10,000 gp), DF</t>
  </si>
  <si>
    <t>This spell functions like raise dead, except that you are able to restore life and complete strength to any deceased creature.  The condition of the remains is not a factor. So long as some small portion of the creature's body still exists, it can be resurrected, but the portion receiving the spell must have been part of the creature's body at the time of death. (The remains of a creature hit by a disintegrate spell count as a small portion of its body.) The creature can have been dead no longer than 10 years per caster level.  Upon completion of the spell, the creature is immediately restored to full hit points, vigor, and health, with no loss of prepared spells.  The subject of the spell gains one permanent negative level when it is raised, just as if it had been hit by an energy-draining creature. If the subject is 1st level, it takes 2 points of Constitution drain instead (if this would reduce its Con to 0 or less, it can't be resurrected).  You can resurrect someone killed by a death effect or someone who has been turned into an undead creature and then destroyed.  You cannot resurrect someone who has died of old age. Constructs, elementals, outsiders, and undead creatures can't be resurrected.</t>
  </si>
  <si>
    <t>Divine (7), Resurrection (7)</t>
  </si>
  <si>
    <t> Fully restore dead subject.</t>
  </si>
  <si>
    <t>Reverse Gravity</t>
  </si>
  <si>
    <t>V, S, M/DF (lodestone and iron filings)</t>
  </si>
  <si>
    <t>up to one 10-ft. cube/level (S)</t>
  </si>
  <si>
    <t>This spell reverses gravity in an area, causing unattached objects and creatures in the area to fall upward and reach the top of the area in 1 round. If a solid object (such as a ceiling) is encountered in this fall, falling objects and creatures strike it in the same manner as they would during a normal downward fall. If an object or creature reaches the top of the area without striking anything, it remains there, oscillating slightly, until the spell ends. At the end of the spell duration, affected objects and creatures fall downward.  Provided it has something to hold onto, a creature caught in the area can attempt a Reflex save to secure itself when the spell strikes.  Creatures who can fly or levitate can keep themselves from falling.</t>
  </si>
  <si>
    <t>Void (7)</t>
  </si>
  <si>
    <t>Objects and creatures fall upward.</t>
  </si>
  <si>
    <t>Starsoul (15)</t>
  </si>
  <si>
    <t>Trickery (14)</t>
  </si>
  <si>
    <t>Creatures in the area or that enter the area must succeed at a Fortitude save or be nauseated.</t>
  </si>
  <si>
    <t>Augmented (8th): If you expend three uses of mythic power, once per round as a move action you may select one secured creature (one that succeeded at its Reflex save) or attached object (such as a tree or cottage) and force it to attempt a Fortitude save against the spell. The selected creature or object can weigh no more than 100 pounds per caster level. If it fails the save, it's pulled free and falls upward.</t>
  </si>
  <si>
    <t>Righteous Might</t>
  </si>
  <si>
    <t>cleric/oracle 5, inquisitor 5</t>
  </si>
  <si>
    <t>Your height immediately doubles, and your weight increases by a factor of eight. This increase changes your size category to the next larger one. You gain a +4 size bonus to Strength and Constitution and take a -2 penalty to your Dexterity. You gain a +2 enhancement bonus to your natural armor. You gain DR 5/ evil (if you normally channel positive energy) or DR 5/good (if you normally channel negative energy). At 15th level, this DR becomes 10/evil or 10/good (the maximum). Your size modifier for AC and attacks changes as appropriate to your new size category. This spell doesn't change your speed. Determine space and reach as appropriate to your new size.  If insufficient room is available for the desired growth, you attain the maximum possible size and may make a Strength check (using your increased Strength) to burst any enclosures in the process (see Chapter 7 for rules on breaking objects). If you fail, you are constrained without harm by the materials enclosing you-the spell cannot crush you by increasing your size.  All equipment you wear or carry is similarly enlarged by the spell.  Melee weapons deal more damage. Other magical properties are not affected by this spell. Any enlarged item that leaves your possession (including a projectile or thrown weapon) instantly returns to its normal size. This means that thrown and projectile weapons deal their normal damage. Magical effects that increase size do not stack.</t>
  </si>
  <si>
    <t>Glory (5), Growth (5), Strength (5)</t>
  </si>
  <si>
    <t> Your size increases, and you gain bonuses in combat.</t>
  </si>
  <si>
    <t>Strength (10)</t>
  </si>
  <si>
    <t>Rope Trick</t>
  </si>
  <si>
    <t>sorcerer/wizard 2, occultist 2, psychic 2, medium 2</t>
  </si>
  <si>
    <t>V, S, M (powdered corn and a twisted loop of parchment)</t>
  </si>
  <si>
    <t>one touched piece of rope from 5 ft. to 30 ft. long</t>
  </si>
  <si>
    <t>When this spell is cast upon a piece of rope from 5 to 30 feet long, one end of the rope rises into the air until the whole rope hangs perpendicular to the ground, as if affixed at the upper end.  The upper end is, in fact, fastened to an extradimensional space that is outside the usual multiverse of extradimensional spaces.  Creatures in the extradimensional space are hidden, beyond the reach of spells (including divinations), unless those spells work across planes. The space holds as many as eight creatures (of any size). The rope cannot be removed or hidden. The rope can support up to 16,000 pounds. A weight greater than that can pull the rope free.  Spells cannot be cast across the extradimensional interface, nor can area effects cross it. Those in the extradimensional space can see out of it as if a 3-foot-by-5-foot window were centered on the rope. The window is invisible, and even creatures that can see the window can't see through it. Anything inside the extradimensional space drops out when the spell ends. The rope can be climbed by only one person at a time. The rope trick spell enables climbers to reach a normal place if they do not climb all the way to the extradimensional space.</t>
  </si>
  <si>
    <t> As many as eight creatures hide in extradimensional space.</t>
  </si>
  <si>
    <t>Dimensions (4)</t>
  </si>
  <si>
    <t>Rusting Grasp</t>
  </si>
  <si>
    <t>druid 4, occultist 4</t>
  </si>
  <si>
    <t>one nonmagical ferrous object (or the volume of the object within 3 ft. of the touched point) or one ferrous creature</t>
  </si>
  <si>
    <t>Any iron or iron alloy item you touch crumbles into rust. If the item is so large that it cannot fit within a 3-foot radius, a 3-footradius volume of the metal is rusted and destroyed. Magic items made of metal are immune to this spell.  You may employ rusting grasp in combat with a successful melee touch attack. Rusting grasp used in this way instantaneously destroys 1d6 points of AC gained from metal armor (to the maximum amount of protection the armor offers) through corrosion.  Weapons in use by an opponent targeted by the spell are more difficult to grasp. You must succeed on a melee touch attack against the weapon. A metal weapon that is hit is destroyed. Striking at an opponent's weapon provokes an attack of opportunity. Also, you must touch the weapon and not the other way around.  Against a ferrous creature, rusting grasp instantaneously deals 3d6 points of damage + 1 per caster level (maximum +15) per successful attack. The spell lasts for 1 round per level, and you can make one melee touch attack per round.</t>
  </si>
  <si>
    <t>Ruins (4)</t>
  </si>
  <si>
    <t> Your touch corrodes iron and alloys.</t>
  </si>
  <si>
    <t>Sanctuary</t>
  </si>
  <si>
    <t>cleric/oracle 1, inquisitor 1, spiritualist 1</t>
  </si>
  <si>
    <t>Any opponent attempting to directly attack the warded creature, even with a targeted spell, must attempt a Will save. If the save succeeds, the opponent can attack normally and is unaffected by that casting of the spell. If the save fails, the opponent can't follow through with the attack, that part of its action is lost, and it can't directly attack the warded creature for the duration of the spell.  Those not attempting to attack the subject remain unaffected. This spell does not prevent the warded creature from being attacked or affected by area of effect spells. The subject cannot attack without breaking the spell but may use nonattack spells or otherwise act.</t>
  </si>
  <si>
    <t>Freedom (1), Protection (1), Aeon (1)</t>
  </si>
  <si>
    <t> Opponents can't attack you, and you can't attack.</t>
  </si>
  <si>
    <t>Peace (2)</t>
  </si>
  <si>
    <t>If an attacker succeeds at its Will save to attack the protected target, add your tier to the target's AC against the attack. If the target uses a healing spell or ability on another creature, that creature gains the benefit of non-mythic sanctuary for 1 round. If the creature breaks the non-mythic sanctuary by attacking, subsequent healing by the target doesn't create another non-mythic sanctuary effect on the creature.</t>
  </si>
  <si>
    <t>Augmented (2nd): If you expend two uses of mythic power, select a number of additional creatures equal to half your tier that are within reach. These creatures gain the benefit of non-mythic sanctuary.</t>
  </si>
  <si>
    <t>Scare</t>
  </si>
  <si>
    <t>fear, mind-affecting, emotion</t>
  </si>
  <si>
    <t>bard 2, sorcerer/wizard 2, witch 2, antipaladin 2, shaman 2, occultist 2, psychic 2, mesmerist 2, spiritualist 2, medium 2</t>
  </si>
  <si>
    <t>V, S, M (a bone from an undead creature)</t>
  </si>
  <si>
    <t>one living creature per three levels, no two of which can be more than 30 ft. apart</t>
  </si>
  <si>
    <t>1 round/level or 1 round; see text for cause fear</t>
  </si>
  <si>
    <t>This spell functions like cause fear, except that it causes all targeted creatures of less than 6 HD to become frightened.</t>
  </si>
  <si>
    <t>Fear (3)</t>
  </si>
  <si>
    <t>Frightens creature of less than 6 HD.</t>
  </si>
  <si>
    <t>Scintillating Pattern</t>
  </si>
  <si>
    <t>V, S, M (a crystal prism)</t>
  </si>
  <si>
    <t>colorful lights in a 20-ft.-radius spread</t>
  </si>
  <si>
    <t>A twisting pattern of coruscating colors weaves through the air, affecting creatures within. The spell affects a total number of HD of creatures equal to your caster level (maximum 20).  Creatures with the fewest HD are affected first, and among creatures with equal HD, those who are closest to the spell's point of origin are affected first. HD that are not sufficient to affect a creature are wasted. The spell affects each subject according to its HD.  6 or less: Unconscious for 1d4 rounds, then stunned for 1d4 rounds, and then confused for 1d4 rounds. (Treat an unconscious result as stunned for nonliving creatures.) 7 to 12: Stunned for 1d4 rounds, then confused for an additional 1d4 rounds.  13 or more: Confused for 1d4 rounds.  Sightless creatures are not affected by scintillating pattern.</t>
  </si>
  <si>
    <t>Madness (8)</t>
  </si>
  <si>
    <t> Twisting colors confuse, stun, or render unconscious.</t>
  </si>
  <si>
    <t>Deception (16)</t>
  </si>
  <si>
    <t>Scorching Ray</t>
  </si>
  <si>
    <t>one or more rays</t>
  </si>
  <si>
    <t>You blast your enemies with a searing beam of fire. You may fire one ray, plus one additional ray for every four levels beyond 3rd (to a maximum of three rays at 11th level). Each ray requires a ranged touch attack to hit and deals 4d6 points of fire damage. The rays may be fired at the same or different targets, but all rays must be aimed at targets within 30 feet of each other and fired simultaneously.</t>
  </si>
  <si>
    <t> Ranged touch attack deals 4d6 fire damage, + 1 ray/four levels (max 3).</t>
  </si>
  <si>
    <t>Efreeti (5), Elemental (5), Infernal (5)</t>
  </si>
  <si>
    <t>Each ray's damage increases to 6d6 points of fire damage. The first ray bypasses fire resistance and immunity.</t>
  </si>
  <si>
    <t>Screen</t>
  </si>
  <si>
    <t>This spell creates a powerful protection from scrying and observation. When casting the spell, you dictate what will and will not be observed in the spell's area. The illusion created must be stated in general terms. Once the conditions are set, they cannot be changed. Attempts to scry the area automatically detect the image stated by you with no save allowed. Sight and sound are appropriate to the illusion created. Direct observation may allow a save (as per a normal illusion), if there is cause to disbelieve what is seen. Even entering the area does not cancel the illusion or necessarily allow a save, assuming that hidden beings take care to stay out of the way of those affected by the illusion.</t>
  </si>
  <si>
    <t>Trickery (7)</t>
  </si>
  <si>
    <t> Illusion hides area from vision and scrying.</t>
  </si>
  <si>
    <t>Trickery (16)</t>
  </si>
  <si>
    <t>Scrying</t>
  </si>
  <si>
    <t>bard 3, cleric/oracle 5, druid 4, sorcerer/wizard 4, witch 4, shaman 4, occultist 4, psychic 4, mesmerist 3, spiritualist 5, medium 3</t>
  </si>
  <si>
    <t>V, S, M/DF (a pool of water), F (a silver mirror worth 1,000 gp)</t>
  </si>
  <si>
    <t>You can observe a creature at any distance. If the subject succeeds on a Will save, the spell fails. The difficulty of the save depends on how well your knowledge of the subject and what sort of physical connection (if any) you have to that creature. Furthermore, if the subject is on another plane, it gets a +5 bonus on its Will save. Will Save Knowledge M odifier None* +10 Secondhand (you have heard of the subject) +5 Firsthand (you have met the subject) +0 Familiar (you know the subject well) -5 *You must have some sort of connection (see below) to a creature of which you have no knowledge. Will Save Connection M odifier Likeness or picture -2 Possession or garment -4 Body part, lock of hair, bit of nail, etc. -10 If the save fails, you can see and hear the subject and its surroundings (approximately 10 feet in all directions of the subject). If the subject moves, the sensor follows at a speed of up to 150 feet. As with all divination (scrying) spells, the sensor has your full visual acuity, including any magical effects. In addition, the following spells have a 5% chance per caster level of operating through the sensor: detect chaos, detect evil, detect good, detect law, detect magic, and message. If the save succeeds, you can't attempt to scry on that subject again for at least 24 hours.</t>
  </si>
  <si>
    <t>Spies on subject from a distance.</t>
  </si>
  <si>
    <t>Scrying, Greater</t>
  </si>
  <si>
    <t>bard 6, cleric/oracle 7, druid 7, sorcerer/wizard 7, witch 7, shaman 7, occultist 6, psychic 7, mesmerist 6</t>
  </si>
  <si>
    <t>This spell functions like scrying, except as noted above. Additionally, all of the following spells function reliably through the sensor: detect chaos, detect evil, detect good, detect law, detect magic, message, read magic, and tongues.</t>
  </si>
  <si>
    <t>As scrying, but faster and longer.</t>
  </si>
  <si>
    <t>Sculpt Sound</t>
  </si>
  <si>
    <t>one creature or object/level, no two of which can be more than 30 ft. apart</t>
  </si>
  <si>
    <t>You can change the sounds that creatures or objects make. You can create sounds where none exist, deaden sounds, or transform sounds into other sounds. All affected creatures or objects must be transmuted in the same way. Once the transmutation is made, you cannot change it. You can change the qualities of sounds but cannot create words with which you are unfamiliar yourself.  A spellcaster whose voice is changed dramatically is unable to cast spells with verbal components.</t>
  </si>
  <si>
    <t> Creates new sounds or changes existing ones into new sounds.</t>
  </si>
  <si>
    <t>Searing Light</t>
  </si>
  <si>
    <t>cleric/oracle 3, inquisitor 3</t>
  </si>
  <si>
    <t>Focusing divine power like a ray of the sun, you project a blast of light from your open palm. You must succeed on a ranged touch attack to strike your target. A creature struck by this ray of light takes 1d8 points of damage per two caster levels (maximum 5d8). An undead creature takes 1d6 points of damage per caster level (maximum 10d6), and an undead creature particularly vulnerable to bright light takes 1d8 points of damage per caster level (maximum 10d8). A construct or inanimate object takes only 1d6 points of damage per two caster levels (maximum 5d6).</t>
  </si>
  <si>
    <t>Glory (3), Sun (3)</t>
  </si>
  <si>
    <t> Ray deals 1d8/two levels damage (more against undead).</t>
  </si>
  <si>
    <t>The spell's damage increases to 1d6 per caster level (maximum 10d6). The damage dealt to an undead creature increases to 1d8 points of damage per caster level (maximum 10d8), or 2d6 per caster level (maximum 20d6) if the undead is vulnerable to bright light. The damage dealt to constructs increases to 1d8 points of damage per 2 caster levels (maximum 5d8). If a creature struck has light sensitivity or light blindness, it takes the penalty from that weakness for 1 round after being struck by the light.</t>
  </si>
  <si>
    <t>Secret Chest</t>
  </si>
  <si>
    <t>sorcerer/wizard 5, witch 5, occultist 5, psychic 5, mesmerist 5, spiritualist 5</t>
  </si>
  <si>
    <t>V, S, F (the chest and its replica)</t>
  </si>
  <si>
    <t>one chest and up to 1 cu. ft. of goods/caster level</t>
  </si>
  <si>
    <t>60 days or until discharged</t>
  </si>
  <si>
    <t>You hide a chest on the Ethereal Plane for as long as 60 days and can retrieve it at will. The chest can contain up to 1 cubic foot of material per caster level (regardless of the chest's actual size, which is about 3 feet by 2 feet by 2 feet). If any living creatures are in the chest, there is a 75% chance that the spell simply fails.  Once the chest is hidden, you can retrieve it by concentrating (a standard action), and it appears next to you.  The chest must be exceptionally well crafted and expensive, constructed for you by master crafters. The cost of such a chest is never less than 5,000 gp. Once it is constructed, you must make a tiny replica (of the same materials and perfect in every detail) so that the miniature of the chest appears to be a perfect copy. (The replica costs 50 gp.) The chests are nonmagical and can be fitted with locks, wards, and so on, just as any normal chest can be.  To hide the chest, you cast the spell while touching both the chest and the replica. The chest vanishes into the Ethereal Plane.  You need the replica to recall the chest. After 60 days, there is a cumulative chance of 5% per day that the chest is irretrievably lost.  If the miniature of the chest is lost or destroyed, there is no way, even with a wish spell, that the large chest can be summoned back, although an extraplanar expedition might be mounted to find it.  Living things in the chest eat, sleep, and age normally, and they die if they run out of food, air, water, or whatever they need to survive.</t>
  </si>
  <si>
    <t> Hides expensive chest on Ethereal Plane; you retrieve it at will.</t>
  </si>
  <si>
    <t>Secret Page</t>
  </si>
  <si>
    <t>bard 3, sorcerer/wizard 3, occultist 3, mesmerist 3</t>
  </si>
  <si>
    <t>V, S, M (powdered herring scales and a vial of will-o'-wisp essence)</t>
  </si>
  <si>
    <t>page touched, up to 3 sq. ft. in size</t>
  </si>
  <si>
    <t>Secret page alters the contents of a page so that it appears to be something entirely different. The text of a spell can be changed to show another spell of equal or lower level known by the caster. This spell cannot be used to change a spell contained on a scroll, but it can be used to hide a scroll. Explosive runes or sepia snake sigil can be cast upon the secret page. A comprehend languages spell alone cannot reveal a secret page's contents. You are able to reveal the original contents by speaking a special word. You can then peruse the actual page and return it to its secret page form at will. You can also remove the spell by double repetition of the special word. A detect magic spell reveals dim magic on the page in question but does not reveal its true contents. True seeing reveals the presence of the hidden material but does not reveal the contents unless cast in combination with comprehend languages. A secret page spell can be dispelled, and the hidden writings can be destroyed by means of an erase spell.</t>
  </si>
  <si>
    <t>Rune (2)</t>
  </si>
  <si>
    <t>Changes one page to hide its real content.</t>
  </si>
  <si>
    <t>Secure Shelter</t>
  </si>
  <si>
    <t>bard 4, sorcerer/wizard 4, witch 4</t>
  </si>
  <si>
    <t>V, S, M (a chip of stone, sand, a drop of water, and a wood splinter)</t>
  </si>
  <si>
    <t>20-ft.-square structure</t>
  </si>
  <si>
    <t>You conjure a sturdy cottage or lodge made of material that is common in the area where the spell is cast. The floor is level, clean, and dry. The lodging resembles a normal cottage, with a sturdy door, two shuttered windows, and a small fireplace.  The shelter must be heated as a normal dwelling, and extreme heat adversely affects it and its occupants. The dwelling does, however, provide considerable security otherwise-it is as strong as a normal stone building, regardless of its material composition. The dwelling resists flames and fire as if it were stone. It is impervious to normal missiles (but not the sort cast by siege engines or giants).  The door, shutters, and even chimney are secure against intrusion, the former two being secured with arcane lock and the latter by an iron grate at the top and a narrow flue. In addition, these three areas are protected by an alarm spell. Finally, an unseen servant is conjured to provide service to you for the duration of the shelter.  The secure shelter contains crude furnishings-eight bunks, a trestle table, eight stools, and a writing desk.</t>
  </si>
  <si>
    <t>Creates sturdy cottage.</t>
  </si>
  <si>
    <t>See Invisibility</t>
  </si>
  <si>
    <t>bard 3, sorcerer/wizard 2, alchemist 2, summoner/unchained summoner 2, witch 2, inquisitor 2, bloodrager 2, occultist 2, psychic 2, mesmerist 3, spiritualist 2</t>
  </si>
  <si>
    <t>V, S, M (talc and powdered silver)</t>
  </si>
  <si>
    <t>You can see any objects or beings that are invisible within your range of vision, as well as any that are ethereal, as if they were normally visible. Such creatures are visible to you as translucent shapes, allowing you easily to discern the difference between visible, invisible, and ethereal creatures.  The spell does not reveal the method used to obtain invisibility.  It does not reveal illusions or enable you to see through opaque objects. It does not reveal creatures who are simply hiding, concealed, or otherwise hard to see.  See invisibility can be made permanent with a permanency spell.</t>
  </si>
  <si>
    <t>Revelation (2)</t>
  </si>
  <si>
    <t>Reveals invisible creatures or objects.</t>
  </si>
  <si>
    <t>Aberrant (Sorcerer) (5), Marid (5), Aberrant (BloodRager) (10)</t>
  </si>
  <si>
    <t>Boundaries (4), Ethereal (4)</t>
  </si>
  <si>
    <t>Seeming</t>
  </si>
  <si>
    <t>one creature per two levels, no two of which can be more than 30 ft. apart</t>
  </si>
  <si>
    <t>12 hours</t>
  </si>
  <si>
    <t>Will negates or Will disbelief (if interacted with)</t>
  </si>
  <si>
    <t>This spell functions like disguise self, except that you can change the appearance of other people as well. Affected creatures resume their normal appearances if slain. Unwilling targets can negate the spell's effect on them by making Will saves or with spell resistance.</t>
  </si>
  <si>
    <t>Changes appearance of one person per two levels.</t>
  </si>
  <si>
    <t>Sending</t>
  </si>
  <si>
    <t>cleric/oracle 4, sorcerer/wizard 5, alchemist 5, summoner 4, inquisitor 4, shaman 4, occultist 4, psychic 4, mesmerist 3, spiritualist 5, unchained summoner 5, medium 3</t>
  </si>
  <si>
    <t>You contact a particular creature with which you are familiar and send a short message of 25 words or less to the subject. The subject recognizes you if it knows you. It can answer in like manner immediately. A creature with an Intelligence score as low as 1 can understand the sending, though the subject's ability to react is limited as normal by its Intelligence. Even if the sending is received, the subject is not obligated to act upon it in any manner.  If the creature in question is not on the same plane of existence as you are, there is a 5% chance that the sending does not arrive. (Local conditions on other planes may worsen this chance considerably.)</t>
  </si>
  <si>
    <t>Delivers short message anywhere, instantly.</t>
  </si>
  <si>
    <t>Sepia Snake Sigil</t>
  </si>
  <si>
    <t>bard 3, sorcerer/wizard 3, witch 3, occultist 3</t>
  </si>
  <si>
    <t>V, S, M (powdered amber worth 500 gp and a snake scale)</t>
  </si>
  <si>
    <t>one touched book or written work</t>
  </si>
  <si>
    <t>permanent or until discharged; until released or 1d4 days + 1 day/level; see text</t>
  </si>
  <si>
    <t>You cause a small symbol to appear in the text of a written work.  The text containing the symbol must be at least 25 words long.  When anyone reads the text containing the symbol, the sepia snake sigil springs into being, transforming into a large sepia serpent that strikes at the reader, provided there is line of between the symbol and the reader.  Simply seeing the enspelled text is not sufficient to trigger the spell; the subject must deliberately read it. The target is entitled to a save to evade the snake's strike. If it succeeds, the sepia snake dissipates in a flash of brown light accompanied by a puff of duncolored smoke and a loud noise. If the target fails its save, it is engulfed in a shimmering amber field of force and immobilized until released, either at your command or when 1d4 days + 1 day per caster level have elapsed.  While trapped in the amber field of force, the subject does not age, breathe, grow hungry, sleep, or regain spells. It is preserved in a state of suspended animation, unaware of its surroundings. It can be damaged by outside forces (and perhaps even killed), since the field provides no protection against physical injury. However, a dying subject does not lose hit points or become stable until the spell ends.  The hidden sigil cannot be detected by normal observation, and detect magic reveals only that the entire text is magical.  A dispel magic can remove the sigil. An erase spell destroys the entire page of text.  Sepia snake sigil can be cast in combination with other spells that hide or garble text, such as secret page.</t>
  </si>
  <si>
    <t>Creates a snake-shaped text symbol that immobilizes reader.</t>
  </si>
  <si>
    <t>Sequester</t>
  </si>
  <si>
    <t>sorcerer/wizard 7, summoner 5, psychic 7, unchained summoner 6</t>
  </si>
  <si>
    <t>V, S, M (a basilisk eyelash and gum arabic)</t>
  </si>
  <si>
    <t>one willing creature or object (up to a 2-ft. cube/level) touched</t>
  </si>
  <si>
    <t>When cast, this spell prevents divination spells from detecting or locating the target and also renders the affected target invisible (as the invisibility spell). The spell does not prevent the subject from being discovered through tactile means or through the use of devices. Creatures affected by sequester become comatose and are effectively in a state of suspended animation until the spell ends.  Note: The Will save prevents an attended or magical object from being sequestered. There is no save to see the sequestered creature or object or to detect it with a divination spell.</t>
  </si>
  <si>
    <t> Subject is invisible to sight and scrying; renders creature comatose.</t>
  </si>
  <si>
    <t>Shadow Conjuration</t>
  </si>
  <si>
    <t>bard 4, sorcerer/wizard 4, mesmerist 4, spiritualist 4</t>
  </si>
  <si>
    <t>Will disbelief (if interacted with); varies; see text</t>
  </si>
  <si>
    <t>yes; see text</t>
  </si>
  <si>
    <t>You use material from the Plane of Shadow to shape quasi-real illusions of one or more creatures, objects, or forces. Shadow conjuration can mimic any sorcerer or wizard conjuration (summoning) or conjuration (creation) spell of 3rd level or lower.  Shadow conjurations are only one-fifth (20%) as strong as the real things, though creatures who believe the shadow conjurations to be real are affected by them at full strength. Any creature that interacts with the spell can make a Will save to recognize its true nature.  Spells that deal damage have normal effects unless the affected creature succeeds on a Will save. Each disbelieving creature takes only one-fifth (20%) damage from the attack. If the disbelieved attack has a special effect other than damage, that effect is only 20% likely to occur. Regardless of the result of the save to disbelieve, an affected creature is also allowed any save that the spell being simulated allows, but the save DC is set according to shadow conjuration's level (4th) rather than the spell's normal level. In addition, any effect created by shadow conjuration allows spell resistance, even if the spell it is simulating does not. Shadow objects or substances have normal effects except against those who disbelieve them. Against disbelievers, they are 20% likely to work.  A shadow creature has one-fifth the hit points of a normal creature of its kind (regardless of whether it's recognized as shadowy). It deals normal damage and has all normal abilities and weaknesses. Against a creature that recognizes it as a shadow creature, however, the shadow creature's damage is one-fifth (20%) normal, and all special abilities that do not deal lethal damage are only 20% likely to work. (Roll for each use and each affected character separately.) Furthermore, the shadow creature's AC bonuses are just one-fifth as large.  A creature that succeeds on its save sees the shadow conjurations as transparent images superimposed on vague, shadowy forms.  Objects automatically succeed on their Will saves against this spell.</t>
  </si>
  <si>
    <t>Darkness (4)</t>
  </si>
  <si>
    <t>Mimics conjuration below 4th level, but only 20% real.</t>
  </si>
  <si>
    <t>Shadow (9), Harrow (9)</t>
  </si>
  <si>
    <t>Shadow (8)</t>
  </si>
  <si>
    <t>Shades</t>
  </si>
  <si>
    <t>This spell functions like shadow conjuration, except that it mimics conjuration spells of 8th level or lower. The illusory conjurations created deal four-fifths (80%) damage to nonbelievers, and nondamaging effects are 80% likely to work against nonbelievers.</t>
  </si>
  <si>
    <t>Darkness (9)</t>
  </si>
  <si>
    <t> As shadow conjuration, but up to 8th level and 80% real.</t>
  </si>
  <si>
    <t>Shadow (19)</t>
  </si>
  <si>
    <t>Shadow (18)</t>
  </si>
  <si>
    <t>Shadow Conjuration, Greater</t>
  </si>
  <si>
    <t>This spell functions like shadow conjuration, except that it duplicates any sorcerer or wizard conjuration (summoning) or conjuration (creation) spell of 6th level or lower. The illusory conjurations created deal three-fifths (60%) damage to nonbelievers, and nondamaging effects are 60% likely to work against nonbelievers.</t>
  </si>
  <si>
    <t> As shadow conjuration, but up to 6th level and 60% real.</t>
  </si>
  <si>
    <t>Shadow (14)</t>
  </si>
  <si>
    <t>Shadow Evocation</t>
  </si>
  <si>
    <t>bard 5, sorcerer/wizard 5, mesmerist 5, spiritualist 5</t>
  </si>
  <si>
    <t>You tap energy from the Plane of Shadow to cast a quasi-real, illusory version of a sorcerer or wizard evocation spell of 4th level or lower. Spells that deal damage have normal effects unless an affected creature succeeds on a Will save. Each disbelieving creature takes only one-fifth damage from the attack. If the disbelieved attack has a special effect other than damage, that effect is one-fifth as strong (if applicable) or only 20% likely to occur. If recognized as a shadow evocation, a damaging spell deals only one-fifth (20%) damage. Regardless of the result of the save to disbelieve, an affected creature is also allowed any save (or spell resistance) that the spell being simulated allows, but the save DC is set according to shadow evocation's level (5th) rather than the spell's normal level.  Nondamaging effects have normal effects except against those who disbelieve them. Against disbelievers, they have no effect.  Objects automatically succeed on their Will saves against this spell.</t>
  </si>
  <si>
    <t>Mimics evocation of lower than 5th level, but only 20% real.</t>
  </si>
  <si>
    <t>Shadow (11)</t>
  </si>
  <si>
    <t>Shadow (10)</t>
  </si>
  <si>
    <t>Shadow Evocation, Greater</t>
  </si>
  <si>
    <t>This spell functions like shadow evocation, except that it enables you to create partially real, illusory versions of sorcerer or wizard evocation spells of 7th level or lower. If recognized as a greater shadow evocation, a damaging spell deals only three-fifths (60%) damage.</t>
  </si>
  <si>
    <t>Darkness (8)</t>
  </si>
  <si>
    <t> As shadow evocation, but up to 7th level and 60% real.</t>
  </si>
  <si>
    <t>Shadow (17)</t>
  </si>
  <si>
    <t>Shadow (16)</t>
  </si>
  <si>
    <t>Shadow Walk</t>
  </si>
  <si>
    <t>bard 5, sorcerer/wizard 6, alchemist 6, mesmerist 5, spiritualist 6</t>
  </si>
  <si>
    <t>up to one touched creature/level</t>
  </si>
  <si>
    <t>To use the shadow walk spell, you must be in an area of dim light. You and any creature you touch are then transported along a coiling path of shadowstuff to the edge of the Material Plane where it borders the Plane of Shadow. The effect is largely illusory, but the path is quasi-real. You can take more than one creature along with you (subject to your level limit), but all must be touching each other.  In the region of shadow, you move at a rate of 50 miles per hour, moving normally on the borders of the Plane of Shadow but much more rapidly relative to the Material Plane. Thus, you can use this spell to travel rapidly by stepping onto the Plane of Shadow, moving the desired distance, and then stepping back onto the Material Plane.  Because of the blurring of reality between the Plane of Shadow and the Material Plane, you can't make out details of the terrain or areas you pass over during transit, nor can you predict perfectly where your travel will end. It's impossible to judge distances accurately, making the spell virtually useless for scouting or spying.  Furthermore, when the spell effect ends, you are shunted 1d10 x 100 feet in a random horizontal direction from your desired endpoint. If this would place you within a solid object, you are shunted 1d10 x 1,000 feet in the same direction. If this would still place you within a solid object, you (and any creatures with you) are shunted to the nearest empty space available, but the strain of this activity renders each creature fatigued (no save).  Shadow walk can also be used to travel to other planes that border on the Plane of Shadow, but this usage requires the transit of the Plane of Shadow to arrive at a border with another plane of reality. The transit of the Plane of Shadow requires 1d4 hours.  Any creatures touched by you when shadow walk is cast also make the transition to the borders of the Plane of Shadow.  They may opt to follow you, wander off through the plane, or stumble back into the Material Plane (50% chance for either of the latter results if they are lost or abandoned by you). Creatures unwilling to accompany you into the Plane of Shadow receive a Will saving throw, negating the effect if successful.</t>
  </si>
  <si>
    <t>Darkness (6)</t>
  </si>
  <si>
    <t>Step into shadow to travel rapidly.</t>
  </si>
  <si>
    <t>Dreamspun (13), Shadow (13)</t>
  </si>
  <si>
    <t>Shadow (12), Spirits (12)</t>
  </si>
  <si>
    <t>Shambler</t>
  </si>
  <si>
    <t>druid 9, shaman 9</t>
  </si>
  <si>
    <t>three or more shambling mounds, no two of which can be more than 30 ft. apart; see text</t>
  </si>
  <si>
    <t>7 days or 7 months ; see text</t>
  </si>
  <si>
    <t>The shambler spell creates 1d4+2 shambling mounds with the advanced template (see the Pathfinder RPG Bestiary). The creatures willingly aid you in combat or battle, perform a specific mission, or serve as bodyguards. The creatures remain with you for 7 days unless you dismiss them. If the shamblers are created only for guard duty, however, the duration of the spell is 7 months. In this case, the shamblers can only be ordered to guard a specific site or location. Shamblers summoned to guard duty cannot move outside the spell's range, which is measured from the point where each first appeared. You can only have one shambler spell in at one time. If you cast this spell while another casting is still in effect, the previous casting is dispelled. The shamblers have resistance to fire as normal shambling mounds do only if the terrain where they are summoned is rainy, marshy, or damp.</t>
  </si>
  <si>
    <t>Plant (9)</t>
  </si>
  <si>
    <t> Creates 1d4+2 shambling mounds to fight for you.</t>
  </si>
  <si>
    <t>Verdant (19)</t>
  </si>
  <si>
    <t>Plant (18)</t>
  </si>
  <si>
    <t>Shapechange</t>
  </si>
  <si>
    <t>druid 9, sorcerer/wizard 9, shaman 9</t>
  </si>
  <si>
    <t>V, S, F (jade circlet worth 1,500 gp)</t>
  </si>
  <si>
    <t>This spell allows you to take the form of a wide variety of creatures. This spell can function as alter self, beast form IV, elemental body IV, form of the dragon III, giant form II, and plant shape III depending on what form you take. You can change form once each round as a free action. The change takes place either immediately before your regular action or immediately after it, but not during the action.</t>
  </si>
  <si>
    <t>Animal (9), Scalykind (9)</t>
  </si>
  <si>
    <t>Transforms you into certain creatures, and you can change forms once per round.</t>
  </si>
  <si>
    <t>Aberrant (Sorcerer) (19), Fey (19), Nanite (19), Protean (19)</t>
  </si>
  <si>
    <t>Agility (18), Strength (18), Transformation (18)</t>
  </si>
  <si>
    <t>Shatter</t>
  </si>
  <si>
    <t>bard 2, cleric/oracle 2, sorcerer/wizard 2, magus 2, bloodrager 2, occultist 2, psychic 2</t>
  </si>
  <si>
    <t>V, S, M/DF (a chip of mica)</t>
  </si>
  <si>
    <t>5-ft.-radius spread; or one solid object or one crystalline creature</t>
  </si>
  <si>
    <t>Will negates (object); Will negates (object) or Fortitude half; see text</t>
  </si>
  <si>
    <t>Shatter creates a loud, ringing noise that breaks brittle, nonmagical objects; sunders a single solid, nonmagical object; or damages a crystalline creature.  Used as an area attack, shatter destroys nonmagical objects of crystal, glass, ceramic, or porcelain. All such unattended objects within a 5-foot radius of the point of origin are smashed into dozens of pieces by the spell. Objects weighing more than 1 pound per your level are not affected, but all other objects of the appropriate composition are shattered.  Alternatively, you can target shatter against a single solid nonmagical object, regardless of composition, weighing up to 10 pounds per caster level. Targeted against a crystalline creature (of any weight), shatter deals 1d6 points of sonic damage per caster level (maximum 10d6), with a Fortitude save for half damage.</t>
  </si>
  <si>
    <t>Destruction (2)</t>
  </si>
  <si>
    <t>Sonic vibration damages objects or crystalline creatures.</t>
  </si>
  <si>
    <t>Add your tier to your caster level when determining the maximum object weight you can affect. When targeting a crystalline creature, the spell's damage increases to 1d8 points of sonic damage per caster level (maximum 10d8). You may damage a single magical object as if it were a crystalline creature. If the spell destroys an object or damages a crystalline creature, broken shards litter the spell area or creature's space and act as caltrops.</t>
  </si>
  <si>
    <t>Shield</t>
  </si>
  <si>
    <t>sorcerer/wizard 1, alchemist 1, summoner/unchained summoner 1, magus 1, bloodrager 1, occultist 1, psychic 1, spiritualist 1</t>
  </si>
  <si>
    <t>Shield creates an invisible shield of force that hovers in front of you. It negates magic missile attacks directed at you. The disk also provides a +4 shield bonus to AC. This bonus applies against incorporeal touch attacks, since it is a force effect. The shield has no armor check penalty or arcane spell failure chance.</t>
  </si>
  <si>
    <t>Defense (1)</t>
  </si>
  <si>
    <t> Invisible disc gives +4 to AC, blocks magic missiles.</t>
  </si>
  <si>
    <t>Shield Of Faith</t>
  </si>
  <si>
    <t>V, S, M (parchment with a holy text written on it)</t>
  </si>
  <si>
    <t>This spell creates a shimmering, magical field around the target that averts and deflects attacks. The spell grants the subject a +2 deflection bonus to AC, with an additional +1 to the bonus for every six levels you have (maximum +5 deflection bonus at 18th level).</t>
  </si>
  <si>
    <t>Agathion (1), Glory (1)</t>
  </si>
  <si>
    <t> Aura grants +2 or higher deflection bonus.</t>
  </si>
  <si>
    <t>Wisdom (2)</t>
  </si>
  <si>
    <t>Add half your tier to the spell's deflection bonus.</t>
  </si>
  <si>
    <t>Shield of Law</t>
  </si>
  <si>
    <t>V, S, F (a reliquary worth 500 gp)</t>
  </si>
  <si>
    <t>A dim, blue glow surrounds the subjects, protecting them from attacks, granting them resistance to spells cast by chaotic creatures, and slowing chaotic creatures when they strike the subjects. This abjuration has four effects.  First, each warded creature gains a +4 deflection bonus to AC and a +4 resistance bonus on saves. Unlike protection from chaos, this benefit applies against all attacks, not just against attacks by chaotic creatures.  Second, a warded creature gains spell resistance 25 against chaotic spells and spells cast by chaotic creatures.  Third, the abjuration protects you from possession and mental influence, just as protection from chaos does.  Finally, if a chaotic creature succeeds on a melee attack against a warded creature, the attacker is slowed (Will save negates, as the slow spell, but against shield of law's save DC).</t>
  </si>
  <si>
    <t>Law (8)</t>
  </si>
  <si>
    <t> +4 to AC, +4 resistance, and SR 25 against chaotic spells.</t>
  </si>
  <si>
    <t>Shield Other</t>
  </si>
  <si>
    <t>cleric/oracle 2, paladin 2, inquisitor 2, psychic 2</t>
  </si>
  <si>
    <t>V, S, F (a pair of platinum rings worth 50 gp worn by both you and the target)</t>
  </si>
  <si>
    <t>This spell wards the subject and creates a mystic connection between you and the subject so that some of its wounds are transferred to you. The subject gains a +1 deflection bonus to AC and a +1 resistance bonus on saves. Additionally, the subject takes only half damage from all wounds and attacks (including those dealt by special abilities) that deal hit point damage. The amount of damage not taken by the warded creature is taken by you. Forms of harm that do not involve hit points, such as charm effects, temporary ability damage, level draining, and death effects, are not affected. If the subject suffers a reduction of hit points from a lowered Constitution score, the reduction is not split with you because it is not hit point damage. When the spell ends, subsequent damage is no longer divided between the subject and you, but damage already split is not reassigned to the subject.  If you and the subject of the spell move out of range of each other, the spell ends.</t>
  </si>
  <si>
    <t>Community (2), Martyr (2), Protection (2), Friendship (2)</t>
  </si>
  <si>
    <t>You take half of subject’s damage.</t>
  </si>
  <si>
    <t>Increase the range to long (400 feet + 40 feet per caster level). Subtract your tier from any damage transmitted to you through the mystical connection before applying the damage (minimum 1 hp of damage). When you use your surge ability to modify a saving throw against an effect that also affects your linked ally, the ally also applies your surge bonus die result to the ally's saving throw. If the ally also uses its own surge ability, it takes either your result or its result, whichever is higher.</t>
  </si>
  <si>
    <t>Shillelagh</t>
  </si>
  <si>
    <t>druid 1</t>
  </si>
  <si>
    <t>one touched nonmagical oak club or quarterstaff</t>
  </si>
  <si>
    <t>Your own nonmagical club or quarterstaff becomes a weapon with a +1 enhancement bonus on attack and damage rolls. A quarterstaff gains this enhancement for both ends of the weapon. It deals damage as if it were two size categories larger (a Small club or quarterstaff so transmuted deals 1d8 points of damage, a Medium 2d6, and a Large 3d6), +1 for its enhancement bonus. These effects only occur when the weapon is wielded by you. If you do not wield it, the weapon behaves as if unaffected by this spell.</t>
  </si>
  <si>
    <t> Cudgel or quarterstaff becomes +1 weapon (2d6 damage) for 1 min./level.</t>
  </si>
  <si>
    <t>Shrink Item</t>
  </si>
  <si>
    <t>sorcerer/wizard 3, occultist 3, psychic 3</t>
  </si>
  <si>
    <t>one touched object of up to 2 cu. ft./level</t>
  </si>
  <si>
    <t>1 day/level; see text</t>
  </si>
  <si>
    <t>You are able to shrink one nonmagical item (if it is within the size limit) to 1/16 of its normal size in each dimension (to about 1/4,000 the original volume and mass). This change effectively reduces the object's size by four categories. Optionally, you can also change its now shrunken composition to a clothlike one.  Objects changed by a shrink item spell can be returned to normal composition and size merely by tossing them onto any solid surface or by a word of command from the original caster. Even a burning fire and its fuel can be shrunk by this spell. Restoring the shrunken object to its normal size and composition ends the spell.  Shrink item can be made permanent with a permanency spell, in which case the affected object can be shrunk and expanded an indefinite number of times, but only by the original caster.</t>
  </si>
  <si>
    <t> Object shrinks to one-sixteenth size.</t>
  </si>
  <si>
    <t>Impossible (7)</t>
  </si>
  <si>
    <t>Shocking Grasp</t>
  </si>
  <si>
    <t>sorcerer/wizard 1, magus 1, bloodrager 1, occultist 1</t>
  </si>
  <si>
    <t>Your successful melee touch attack deals 1d6 points of electricity damage per caster level (maximum 5d6). When delivering the jolt, you gain a +3 bonus on attack rolls if the opponent is wearing metal armor (or is carrying a metal weapon or is made of metal).</t>
  </si>
  <si>
    <t> Touch delivers 1d6/level electricity damage (max 5d6).</t>
  </si>
  <si>
    <t>Djinni (3), Stormborn (3)</t>
  </si>
  <si>
    <t>Elements (2)</t>
  </si>
  <si>
    <t>The spell's damage increases to 1d8 points of electricity damage per caster level (maximum 5d8). If the target is wearing metal armor or is made of metal, you may attempt a free grapple combat maneuver against the target. Alternatively, if the target is carrying a metal weapon, you may attempt a free disarm combat maneuver against that weapon. This free combat maneuver doesn't provoke attacks of opportunity.</t>
  </si>
  <si>
    <t>Augmented: If you expend two uses of mythic power and the free grapple or disarm combat maneuver is successful, the target is staggered until your next turn. This is an electricity effect.</t>
  </si>
  <si>
    <t>Shout</t>
  </si>
  <si>
    <t>bard 4, sorcerer/wizard 4, magus 4, bloodrager 4, occultist 4, psychic 4</t>
  </si>
  <si>
    <t>Fortitude partial or Reflex negates (object); see text</t>
  </si>
  <si>
    <t>You emit an ear-splitting yell that deafens and damages creatures in its path. Any creature within the area is deafened for 2d6 rounds and takes 5d6 points of sonic damage. A successful save negates the deafness and reduces the damage by half. Any exposed brittle or crystalline object or crystalline creature takes 1d6 points of sonic damage per caster level (maximum 15d6). An affected creature is allowed a Fortitude save to reduce the damage by half, and a creature holding fragile objects can negate damage to them with a successful Reflex save. A shout spell cannot penetrate a silence spell.</t>
  </si>
  <si>
    <t>Destruction (5)</t>
  </si>
  <si>
    <t>Deafens all within cone and deals 5d6 sonic damage.</t>
  </si>
  <si>
    <t>Maestro (9), Stormborn (9)</t>
  </si>
  <si>
    <t>Vengeance (8)</t>
  </si>
  <si>
    <t>The duration that creatures in the area are deafened increases to 4d6 rounds, and the damage dealt increases to 5d8 points of sonic damage. The damage dealt to crystalline creatures and exposed brittle or crystalline objects increases to 1d8 points of sonic damage per caster level (maximum 15d8). Crystalline creatures reverberate with sonic energy, taking 4 points of sonic damage on your turn for a number of rounds equal to your tier.</t>
  </si>
  <si>
    <t>Shout, Greater</t>
  </si>
  <si>
    <t>bard 6, sorcerer/wizard 8, psychic 8</t>
  </si>
  <si>
    <t>V, S, F (a metal or ivory horn)</t>
  </si>
  <si>
    <t>This spell functions like shout, except that the cone deals 10d6 points of sonic damage (or 1d6 points of sonic damage per caster level, maximum 20d6, against exposed brittle or crystalline objects or crystalline creatures). It also causes creatures to be stunned for 1 round and deafened for 4d6 rounds. A creature in the area of the cone can negate the stunning and halve both the damage and the duration of the deafness with a successful Fortitude save. A creature holding vulnerable objects can attempt a Reflex save to negate the damage to those objects.</t>
  </si>
  <si>
    <t>Devastating yell deals 10d6 sonic damage; stuns creatures.</t>
  </si>
  <si>
    <t>Maestro (17)</t>
  </si>
  <si>
    <t>Silence</t>
  </si>
  <si>
    <t>bard 2, cleric/oracle 2, inquisitor 2, antipaladin 2, psychic 2, mesmerist 2</t>
  </si>
  <si>
    <t>20-ft.-radius emanation centered on a creature, object, or point in space</t>
  </si>
  <si>
    <t>Will negates; see text or none (object)</t>
  </si>
  <si>
    <t>yes; see text or no (object)</t>
  </si>
  <si>
    <t>Upon the casting of this spell, complete silence prevails in the affected area. All sound is stopped: Conversation is impossible, spells with verbal components cannot be cast, and no noise whatsoever issues from, enters, or passes through the area. The spell can be cast on a point in space, but the effect is stationary unless cast on a mobile object. The spell can be centered on a creature, and the effect then radiates from the creature and moves as it moves. An unwilling creature can attempt a Will save to negate the spell and can use spell resistance, if any. Items in a creature's possession or magic items that emit sound receive the benefits of saves and spell resistance, but unattended objects and points in space do not. Creatures in an area of a silence spell are immune to sonic or language-based attacks, spells, and effects.</t>
  </si>
  <si>
    <t>Solitude (2)</t>
  </si>
  <si>
    <t>Negates sound in 20-ft. radius.</t>
  </si>
  <si>
    <t>Time (4)</t>
  </si>
  <si>
    <t>This spell also applies to telepathy, cutting off any mental communication within the area. At the time of casting, you can choose to be immune to your own mythic silence effect and can designate up to one creature per tier to also gain this immunity. Creatures immune to the mythic silence are subject to sonic effects as normal.</t>
  </si>
  <si>
    <t>Silent Image</t>
  </si>
  <si>
    <t>bard 1, sorcerer/wizard 1, magus 1, occultist 1, psychic 1, mesmerist 1, medium 1</t>
  </si>
  <si>
    <t>visual figment that cannot extend beyond four 10-ft. Cubes + one 10-ft. cube/level (S)</t>
  </si>
  <si>
    <t>This spell creates the visual illusion of an object, creature, or force, as visualized by you. The illusion does not create sound, smell, texture, or temperature. You can move the image within the limits of the size of the effect.</t>
  </si>
  <si>
    <t>Imagination (1)</t>
  </si>
  <si>
    <t>Creates minor illusion of your design.</t>
  </si>
  <si>
    <t>Shadow (2)</t>
  </si>
  <si>
    <t>The duration increases to concentration + 1 round per caster level, and the effect increases to a visual figment that can't extend beyond eight 10-foot cubes + 1 10-foot cube per caster level.</t>
  </si>
  <si>
    <t>Augmented (6th): If you expend two uses of mythic power, the duration changes to concentration + 1 minute per caster level and the effect changes to a visual figment no larger than a 50-foot emanation. An augmented mythic silent image can't move.</t>
  </si>
  <si>
    <t>Simulacrum</t>
  </si>
  <si>
    <t>sorcerer/wizard 7, summoner/unchained summoner 5, psychic 7</t>
  </si>
  <si>
    <t>V, S, M (ice sculpture of the target plus powdered rubies worth 500 gp per HD of the simulacrum)</t>
  </si>
  <si>
    <t>one duplicate creature</t>
  </si>
  <si>
    <t>Simulacrum creates an illusory duplicate of any creature. The duplicate creature is partially real and formed from ice or snow. It appears to be the same as the original, but it has only half of the real creature's levels or HD (and the appropriate hit points, feats, skill ranks, and special abilities for a creature of that level or HD).  You can't create a simulacrum of a creature whose HD or levels exceed twice your caster level. You must make a Disguise check when you cast the spell to determine how good the likeness is.  A creature familiar with the original might detect the ruse with a successful Perception check (opposed by the caster's Disguise check) or a DC 20 Sense Motive check.  At all times, the simulacrum remains under your absolute command. No special telepathic link exists, so command must be exercised in some other manner. A simulacrum has no ability to become more powerful. It cannot increase its level or abilities. If reduced to 0 hit points or otherwise destroyed, it reverts to snow and melts instantly into nothingness. A complex process requiring at least 24 hours, 100 gp per hit point, and a fully equipped magical laboratory can repair damage to a simulacrum.</t>
  </si>
  <si>
    <t> Creates partially real double of a creature.</t>
  </si>
  <si>
    <t>Slay Living</t>
  </si>
  <si>
    <t>cleric/oracle 5, witch 6, antipaladin 4, shaman 6, spiritualist 5</t>
  </si>
  <si>
    <t>You can attempt to slay any one living creature. When you cast this spell, your hand seethes with eerie dark fire. You must succeed on a melee touch attack to touch the target. The target takes 12d6 points of damage + 1 point per caster level. If the target's Fortitude saving throw succeeds, it instead takes 3d6 points of damage + 1 point per caster level. The subject might die from damage even if it succeeds on its saving throw.</t>
  </si>
  <si>
    <t>Death (5), Repose (5)</t>
  </si>
  <si>
    <t>Touch attack deals 12d6 +1 per level.</t>
  </si>
  <si>
    <t>Sleep</t>
  </si>
  <si>
    <t>A sleep spell causes a magical slumber to come upon 4 HD of creatures. Creatures with the fewest HD are affected first. Among creatures with equal HD, those who are closest to the spell's point of origin are affected first. HD that are not sufficient to affect a creature are wasted. Sleeping creatures are helpless. Slapping or wounding awakens an affected creature, but normal noise does not. Awakening a creature is a standard action (an application of the aid another action). Sleep does not target unconscious creatures, constructs, or undead creatures.</t>
  </si>
  <si>
    <t>Night (1)</t>
  </si>
  <si>
    <t>Puts 4 HD of creatures into magical slumber.</t>
  </si>
  <si>
    <t>Dreamspun (3)</t>
  </si>
  <si>
    <t>The spell affects up to 8 Hit Dice of creatures, and you can choose the order in which creatures are affected by the spell. Any effect that would automatically awaken a sleeping creature instead allows it to attempt a new Will saving throw to awaken.</t>
  </si>
  <si>
    <t>Augmented (8th): If you expend three uses of mythic power, you can target all living creatures other than you that have 8 Hit Dice or fewer in a 1-mile radius centered on you. Creatures that fail their saving throws fall asleep for a number of days equal to your tier. You can select a number of creatures up to your tier to not be affected by the spell.</t>
  </si>
  <si>
    <t>Sleet Storm</t>
  </si>
  <si>
    <t>druid 3, sorcerer/wizard 3, witch 3, magus 3, bloodrager 3, shaman 3</t>
  </si>
  <si>
    <t>cylinder (40-ft. radius, 20 ft. high)</t>
  </si>
  <si>
    <t>Driving sleet blocks all sight (even darkvision) within it and causes the ground in the area to be icy. A creature can walk within or through the area of sleet at half normal speed with a DC 10 Acrobatics check. Failure means it can't move in that round, while failure by 5 or more means it falls (see the Acrobatics skill for details).  The sleet extinguishes torches and small fires.</t>
  </si>
  <si>
    <t>Weather (4)</t>
  </si>
  <si>
    <t>Hampers vision and movement.</t>
  </si>
  <si>
    <t>Slow</t>
  </si>
  <si>
    <t>bard 3, sorcerer/wizard 3, summoner 2, magus 3, bloodrager 3, occultist 3, psychic 3, spiritualist 3, unchained summoner 3, medium 2</t>
  </si>
  <si>
    <t>V, S, M (a drop of molasses)</t>
  </si>
  <si>
    <t>An affected creature moves and attacks at a drastically slowed rate. Creatures affected by this spell are staggered and can take only a single move action or standard action each turn, but not both (nor may it take full-round actions). Additionally, it takes a -1 penalty on attack rolls, AC, and Reflex saves. A slowed creature moves at half its normal speed (round down to the next 5-foot increment), which affects the creature's jumping distance as normal for decreased speed.  Multiple slow effects don't stack. Slow counters and dispels haste.</t>
  </si>
  <si>
    <t>One subject/level takes only one action/round, –1 to AC, Reflex saves, and attack rolls.</t>
  </si>
  <si>
    <t>The penalty on attack rolls, on Reflex saves, and to AC increases to -2, and affected creatures move at one-fourth speed. Select one affected creature; this creature is denied its Dexterity bonus to AC.</t>
  </si>
  <si>
    <t>Snare</t>
  </si>
  <si>
    <t>druid 3, ranger 2</t>
  </si>
  <si>
    <t>touched nonmagical circle of vine, rope, or thong with a 2 ft. diameter + 2 ft./level</t>
  </si>
  <si>
    <t>Until triggered or broken</t>
  </si>
  <si>
    <t>This spell enables you to make a snare that functions as a magic trap. The snare can be made from any supple vine, a thong, or a rope. When you cast snare upon it, the cordlike object blends with its surroundings (DC 23 Perception check for a character with the trapfinding ability to locate). One end of the snare is tied in a loop that contracts around one or more of the limbs of any creature stepping inside the circle.  If a strong and supple tree is nearby, the snare can be fastened to it. The spell causes the tree to bend, straightening when the loop is triggered, dealing 1d6 points of damage to the creature trapped and lifting it off the ground by the trapped limb or limbs. If no such tree is available, the cordlike object tightens around the creature, dealing no damage but causing it to be entangled.  The snare is magical. To escape, a trapped creature must make a DC 23 Escape Artist check or a DC 23 Strength check that is a full-round action. The snare has AC 7 and 5 hit points. A successful escape from the snare breaks the loop and ends the spell.</t>
  </si>
  <si>
    <t>Trap (2)</t>
  </si>
  <si>
    <t>Creates a magic booby trap.</t>
  </si>
  <si>
    <t>Soften Earth and Stone</t>
  </si>
  <si>
    <t>druid 2</t>
  </si>
  <si>
    <t>10-ft. square/level; see text</t>
  </si>
  <si>
    <t>When this spell is cast, all natural, undressed earth or stone in the spell's area is softened. Wet earth becomes thick mud, dry earth becomes loose sand or dirt, and stone becomes soft clay that is easily molded or chopped. You affect a 10-foot square area to a depth of 1 to 4 feet, depending on the toughness or resilience of the ground at that spot. Magical, enchanted, dressed, or worked stone cannot be affected. Earth or stone creatures are not affected.  A creature in mud must succeed on a Reflex save or be caught for 1d2 rounds and unable to move, attack, or cast spells. A creature that succeeds on its save can move through the mud at half speed, and it can't run or charge. Loose dirt is not as troublesome as mud, but all creatures in the area can move at only half their normal speed and can't run or charge over the surface. Stone softened into clay does not hinder movement, but it does allow characters to cut, shape, or excavate areas they may not have been able to affect before.  While this spell does not affect dressed or worked stone, cavern ceilings or vertical surfaces such as cliff faces can be affected.  Usually, this causes a moderate collapse or landslide as the loosened material peels away from the face of the wall or roof and falls (treat as a cave-in with no bury zone, see Chapter 13).  A moderate amount of structural damage can be dealt to a manufactured structure by softening the ground beneath it, causing it to settle. However, most well-built structures will only be damaged by this spell, not destroyed.</t>
  </si>
  <si>
    <t>Earth (2)</t>
  </si>
  <si>
    <t> Turns stone to clay, or dirt to sand or mud.</t>
  </si>
  <si>
    <t>Solid Fog</t>
  </si>
  <si>
    <t>sorcerer/wizard 4, witch 4, magus 4, shaman 4, mesmerist 4, spiritualist 4, unchained summoner 4</t>
  </si>
  <si>
    <t>This spell functions like fog cloud, but in addition to obscuring sight, the solid fog is so thick that it impedes movement.  Creatures moving through a solid fog move at half their normal speed and take a -2 penalty on all melee attack and melee damage rolls. The vapors prevent effective ranged weapon attacks (except for magic rays and the like). A creature or object that falls into solid fog is slowed so that each 10 feet of vapor that it passes through reduces the falling damage by 1d6. A creature cannot take a 5-foot-step while in solid fog. Solid fog, and effects that work like solid fog, do not stack with each other in terms of slowed movement and attack penalties.  Unlike normal fog, only a severe wind (31+ mph) disperses these vapors, and it does so in 1 round.  Solid fog can be made permanent with a permanency spell. A permanent solid fog dispersed by wind reforms in 10 minutes.</t>
  </si>
  <si>
    <t>Cloud (4)</t>
  </si>
  <si>
    <t> Blocks vision and slows movement.</t>
  </si>
  <si>
    <t>The penalty on melee attack and damage rolls increases to -4. The cloud's radius and height both increase to 50 feet.</t>
  </si>
  <si>
    <t>Augmented: The augmented version of mythic solid fog has the same additional benefits as the augmented version of mythic fog cloud.</t>
  </si>
  <si>
    <t>Song of Discord</t>
  </si>
  <si>
    <t>bard 5, psychic 5</t>
  </si>
  <si>
    <t>creatures within a 20-ft.-radius spread</t>
  </si>
  <si>
    <t>This spell causes those within the area to turn on each other rather than attack their foes. Each affected creature has a 50% chance to attack the nearest target each round. (Roll to determine each creature's behavior every round at the beginning of its turn.) A creature that does not attack its nearest neighbor is free to act normally for that round. Creatures forced by a song of discord to attack their fellows employ all methods at their disposal, choosing their deadliest spells and most advantageous combat tactics. They do not, however, harm targets that have fallen unconscious.</t>
  </si>
  <si>
    <t>Riot (7)</t>
  </si>
  <si>
    <t> Forces targets to attack each other.</t>
  </si>
  <si>
    <t>Soul Bind</t>
  </si>
  <si>
    <t>cleric/oracle 9, sorcerer/wizard 9, witch 9, shaman 9, psychic 9</t>
  </si>
  <si>
    <t>corpse</t>
  </si>
  <si>
    <t>You draw the soul from a newly dead body and imprison it in a black sapphire gem. The subject must have been dead no more than 1 round per caster level. The soul, once trapped in the gem, cannot be returned through clone, raise dead, reincarnation, resurrection, true resurrection, or even a miracle or a wish. Only by destroying the gem or dispelling the spell on the gem can one free the soul (which is then still dead). The focus for this spell is a black sapphire of at least 1,000 gp value for every HD possessed by the creature whose soul is to be bound. If the gem is not valuable enough, it shatters when the binding is attempted. (While creatures have no concept of level or HD as such, the value of the gem needed to trap an individual can be researched.)</t>
  </si>
  <si>
    <t>Traps newly dead soul to prevent resurrection.</t>
  </si>
  <si>
    <t>Daemon (19)</t>
  </si>
  <si>
    <t>Sound Burst</t>
  </si>
  <si>
    <t>bard 2, cleric/oracle 2, occultist 2</t>
  </si>
  <si>
    <t>V, S, F/DF (a musical instrument)</t>
  </si>
  <si>
    <t>10-ft.-radius spread</t>
  </si>
  <si>
    <t>You blast an area with a tremendous cacophony. Every creature in the area takes 1d8 points of sonic damage and must succeed on a Fortitude save to avoid being stunned for 1 round. Creatures that cannot hear are not stunned but are still damaged.</t>
  </si>
  <si>
    <t>Deals 1d8 sonic damage and may stun subjects.</t>
  </si>
  <si>
    <t>Speak with Animals</t>
  </si>
  <si>
    <t>bard 3, druid 1, ranger 1, psychic 2</t>
  </si>
  <si>
    <t>You can ask questions of and receive answers from animals, but the spell doesn't make them any more friendly than normal. Wary and cunning animals are likely to be terse and evasive, while the more stupid ones make inane comments. If an animal is friendly toward you, it may do some favor or service for you.</t>
  </si>
  <si>
    <t>You can communicate with animals.</t>
  </si>
  <si>
    <t>Animals (4)</t>
  </si>
  <si>
    <t>Speak with Dead</t>
  </si>
  <si>
    <t>cleric/oracle 3, witch 3, inquisitor 3, shaman 3, psychic 3, spiritualist 3, medium 2</t>
  </si>
  <si>
    <t>one dead creature</t>
  </si>
  <si>
    <t>You grant the semblance of life to a corpse, allowing it to answer questions. You may ask one question per two caster levels. The corpse's knowledge is limited to what it knew during life, including the languages it spoke. Answers are brief, cryptic, or repetitive, especially if the creature would have opposed you in life.  If the dead creature's alignment was different from yours, the corpse gets a Will save to resist the spell as if it were alive.  If successful, the corpse can refuse to answer your questions or attempt to deceive you, using Bluff. The soul can only speak about what it knew in life. It cannot answer any questions that pertain to events that occurred after its death.  If the corpse has been subject to speak with dead within the past week, the new spell fails. You can cast this spell on a corpse that has been deceased for any amount of time, but the body must be mostly intact to be able to respond. A damaged corpse may be able to give partial answers or partially correct answers, but it must at least have a mouth in order to speak at all. This spell does not affect a corpse that has been turned into an undead creature.</t>
  </si>
  <si>
    <t>Knowledge (3), Repose (3)</t>
  </si>
  <si>
    <t> Corpse answers one question/two levels.</t>
  </si>
  <si>
    <t>Death (6), Spirits (6)</t>
  </si>
  <si>
    <t>Speak with Plants</t>
  </si>
  <si>
    <t>bard 4, druid 3, ranger 2</t>
  </si>
  <si>
    <t>You can communicate with normal plants and plant creatures, and can ask questions of and receive answers from them. A normal plant's sense of its surroundings is limited, so it won't be able to give (or recognize) detailed descriptions of creatures or answer questions about events outside its immediate vicinity. The spell doesn't make plant creatures any more friendly or cooperative than normal. Furthermore, wary and cunning plant creatures are likely to be terse and evasive, while the more stupid ones may make inane comments. If a plant creature is friendly, it may do some favor or service for you.</t>
  </si>
  <si>
    <t>You can talk to plants and plant creatures.</t>
  </si>
  <si>
    <t>Verdant (7)</t>
  </si>
  <si>
    <t>Spectral Hand</t>
  </si>
  <si>
    <t>sorcerer/wizard 2, witch 2, occultist 2, psychic 2, spiritualist 2, medium 2</t>
  </si>
  <si>
    <t>one spectral hand</t>
  </si>
  <si>
    <t>A ghostly hand shaped from your life force materializes and moves as you desire, allowing you to deliver low-level, touch range spells at a distance. On casting the spell, you lose 1d4 hit points that return when the spell ends (even if it is dispelled), but not if the hand is destroyed. (The hit points can be healed as normal.) For as long as the spell lasts, any touch range spell of 4th level or lower that you cast can be delivered by the spectral hand. The spell gives you a +2 bonus on your melee touch attack roll, and attacking with the hand counts normally as an attack. The hand always strikes from your direction. The hand cannot flank targets like a creature can. After it delivers a spell, or if it goes beyond the spell range or goes out of your sight, the hand returns to you and hovers.  The hand is incorporeal and thus cannot be harmed by normal weapons. It has improved evasion (half damage on a failed Reflex save and no damage on a successful save), your save bonuses, and an AC of 22 (+8 size, +4 natural armor). Your Intelligence modifier applies to the hand's AC as if it were the hand's Dexterity modifier. The hand has 1 to 4 hit points, the same number that you lost in creating it.</t>
  </si>
  <si>
    <t> Creates disembodied glowing hand to deliver touch attacks.</t>
  </si>
  <si>
    <t>Spell Immunity</t>
  </si>
  <si>
    <t>cleric/oracle 4, alchemist 4, inquisitor 4, occultist 4, psychic 4, spiritualist 4</t>
  </si>
  <si>
    <t>The warded creature is immune to the effects of one specified spell for every four levels you have. The spells must be of 4th level or lower. The warded creature effectively has unbeatable spell resistance regarding the specified spell or spells. Naturally, that immunity doesn't protect a creature from spells for which spell resistance doesn't apply. Spell immunity protects against spells, spell-like effects of magic items, and innate spell-like abilities of creatures. It does not protect against supernatural or extraordinary abilities, such as breath weapons or gaze attacks.  Only a particular spell can be protected against, not a certain domain or school of spells or a group of spells that are similar in effect. A creature can have only one spell immunity or greater spell immunity spell in effect on it at a time.</t>
  </si>
  <si>
    <t>Protection (4), Strength (4)</t>
  </si>
  <si>
    <t> Subject is immune to one spell per 4 levels.</t>
  </si>
  <si>
    <t>Endurance (8)</t>
  </si>
  <si>
    <t>Spell Immunity, Greater</t>
  </si>
  <si>
    <t>cleric/oracle 8, psychic 8</t>
  </si>
  <si>
    <t>This spell functions like spell immunity, except the immunity applies to spells of 8th level or lower. A creature can have only one spell immunity or greater spell immunity spell in effect on it at a time.</t>
  </si>
  <si>
    <t> As spell immunity, but up to 8th-level spells.</t>
  </si>
  <si>
    <t>Spell Resistance</t>
  </si>
  <si>
    <t>cleric/oracle 5, alchemist 5, inquisitor 5, occultist 5, psychic 5, spiritualist 5</t>
  </si>
  <si>
    <t>The target gains spell resistance equal to 12 + your caster level.</t>
  </si>
  <si>
    <t>Magic (5), Protection (5)</t>
  </si>
  <si>
    <t> Subject gains SR 12 + level.</t>
  </si>
  <si>
    <t>Draconic (11)</t>
  </si>
  <si>
    <t>Endurance (10)</t>
  </si>
  <si>
    <t>Spellstaff</t>
  </si>
  <si>
    <t>V, S, F (the staff that stores the spell)</t>
  </si>
  <si>
    <t>wooden quarterstaff touched</t>
  </si>
  <si>
    <t>You store one spell that you can normally cast in a wooden quarterstaff. Only one such spell can be stored in a staff at a given time, and you cannot have more than one spellstaff at any given time. You can cast a spell stored within a staff just as though it were among those you had prepared, but it does not count against your normal allotment for a given day. You use up any applicable material components required to cast the spell when you store it in the spellstaff.</t>
  </si>
  <si>
    <t> Stores one spell in wooden quarterstaff.</t>
  </si>
  <si>
    <t>Spell Turning</t>
  </si>
  <si>
    <t>V, S, M/DF (a small silver mirror)</t>
  </si>
  <si>
    <t>until expended or 10 min./level</t>
  </si>
  <si>
    <t>Spells and spell-like effects targeted on you are turned back upon the original caster. The abjuration turns only spells that have you as a target. Effect and area spells are not affected. Spell turning also fails to stop touch range spells. From seven to ten (1d4+6) spell levels are affected by the turning. The exact number is rolled secretly. When you are targeted by a spell of higher level than the amount of spell turning you have left, that spell is partially turned. Subtract the amount of spell turning left from the spell level of the incoming spell, then divide the result by the spell level of the incoming spell to see what fraction of the effect gets through. For damaging spells, you and the caster each take a fraction of the damage. For nondamaging spells, each of you has a proportional chance to be the one who is affected. If you and a spellcasting attacker are both warded by spell turning effects in operation, a resonating field is created. Roll randomly to determine the result. d% Effect 01-70 Spell drains away without effect. 71-80 Spell affects both of you equally at full effect. 81-97 Both turning effects are rendered nonfunctional for 1d4 minutes. 98-100 Both of you go through a rift into another plane.</t>
  </si>
  <si>
    <t>Luck (7), Magic (7)</t>
  </si>
  <si>
    <t> Reflect 1d4+6 spell levels back at caster.</t>
  </si>
  <si>
    <t>Destined (15)</t>
  </si>
  <si>
    <t>Wisdom (14)</t>
  </si>
  <si>
    <t>Spider Climb</t>
  </si>
  <si>
    <t>druid 2, sorcerer/wizard 2, alchemist 2, summoner/unchained summoner 2, magus 2, bloodrager 2, occultist 2, psychic 2, medium 2</t>
  </si>
  <si>
    <t>V, S, M (a live spider)</t>
  </si>
  <si>
    <t>The subject can climb and travel on vertical surfaces or even traverse ceilings as well as a spider does. The affected creature must have its hands free to climb in this manner. The subject gains a climb speed of 20 feet and a +8 racial bonus on Climb skill checks; furthermore, it need not make Climb checks to traverse a vertical or horizontal surface (even upside down). A spider climbing creature retains its Dexterity bonus to Armor Class (if any) while climbing, and opponents get no special bonus to their attacks against it. It cannot, however, use the run action while climbing.</t>
  </si>
  <si>
    <t>Grants ability to walk on walls and ceilings.</t>
  </si>
  <si>
    <t>The target gains a climb speed equal to its base land speed or 30 feet, whichever is higher. The target can take the run action while climbing and needs only one hand free to climb. The target can move freely across spider webs (including giant spider webs), web spells, and similar adhesives of 2nd level or less (including tanglefoot bags) as if it were using freedom of movement.</t>
  </si>
  <si>
    <t>Spike Growth</t>
  </si>
  <si>
    <t>one 20-ft. square/level</t>
  </si>
  <si>
    <t>Reflex partial</t>
  </si>
  <si>
    <t>Any ground-covering vegetation in the spell's area becomes very hard and sharply pointed without changing its appearance.  In areas of bare earth, roots and rootlets act in the same way.  Typically, spike growth can be cast in any outdoor setting except open water, ice, heavy snow, sandy desert, or bare stone. Any creature moving on foot into or through the spell's area takes 1d4 points of piercing damage for each 5 feet of movement through the spiked area.  Any creature that takes damage from this spell must also succeed on a Reflex save or suffer injuries to its feet and legs that slow its land speed by half. This speed penalty lasts for 24 hours or until the injured creature receives a cure spell (which also restores lost hit points). Another character can remove the penalty by taking 10 minutes to dress the injuries and succeeding on a Heal check against the spell's save DC.  Magic traps are hard to detect. A rogue (only) can use the Perception skill to find a spike growth. The DC is 25 + spell level, or DC 28 for spike growth (or DC 27 for spike growth cast by a ranger).  Spike growth can't be disabled with the Disable Device skill.</t>
  </si>
  <si>
    <t>Creatures in area take 1d4 damage, may be slowed.</t>
  </si>
  <si>
    <t>Spike Stones</t>
  </si>
  <si>
    <t>druid 4, shaman 4</t>
  </si>
  <si>
    <t>Rocky ground, stone floors, and similar surfaces shape themselves into long, sharp points that blend into the background.  Spike stones impede progress through an area and deal damage.  Any creature moving on foot into or through the spell's area moves at half speed. In addition, each creature moving through the area takes 1d8 points of piercing damage for each 5 feet of movement through the spiked area.  Any creature that takes damage from this spell must also succeed on a Reflex save to avoid injuries to its feet and legs. A failed save causes the creature's speed to be reduced to half normal for 24 hours or until the injured creature receives a cure spell (which also restores lost hit points). Another character can remove the penalty by taking 10 minutes to dress the injuries and succeeding on a Heal check against the spell's save DC.  Magic traps such as spike stones are hard to detect. A character with trapfinding can use the Perception skill to find spike stones.  The DC is 25 + spell level, or DC 29 for spike stones. Spike stones is a magic trap that can't be disabled with the Disable Device skill.</t>
  </si>
  <si>
    <t>Earth (4)</t>
  </si>
  <si>
    <t> Creatures in area take 1d8 damage, may also be slowed.</t>
  </si>
  <si>
    <t>Deep Earth (11)</t>
  </si>
  <si>
    <t>Mountain (8)</t>
  </si>
  <si>
    <t>The damage dealt increases to 2d6 points of piercing damage plus 1 point of bleed damage. Add your tier to the DC to detect the magical trap.</t>
  </si>
  <si>
    <t>Spiritual Weapon</t>
  </si>
  <si>
    <t>cleric/oracle 2, inquisitor 2, shaman 2, spiritualist 2, medium 2</t>
  </si>
  <si>
    <t>magic weapon of force</t>
  </si>
  <si>
    <t>A weapon made of force appears and attacks foes at a distance, as you direct it, dealing 1d8 force damage per hit, + 1 point per three caster levels (maximum +5 at 15th level). The weapon takes the shape of a weapon favored by your deity or a weapon with some spiritual significance or symbolism to you (see below) and has the same threat range and critical multipliers as a real weapon of its form. It strikes the opponent you designate, starting with one attack in the round the spell is cast and continuing each round thereafter on your turn. It uses your base attack bonus (possibly allowing it multiple attacks per round in subsequent rounds) plus your Wisdom modifier as its attack bonus. It strikes as a spell, not as a weapon, so for example, it can damage creatures that have damage reduction. As a force effect, it can strike incorporeal creatures without the reduction in damage associated with incorporeality. The weapon always strikes from your direction. It does not get a flanking bonus or help a combatant get one. Your feats or combat actions do not affect the weapon. If the weapon goes beyond the spell range, if it goes out of your sight, or if you are not directing it, the weapon returns to you and hovers.  Each round after the first, you can use a move action to redirect the weapon to a new target. If you do not, the weapon continues to attack the previous round's target. On any round that the weapon switches targets, it gets one attack. Subsequent rounds of attacking that target allow the weapon to make multiple attacks if your base attack bonus would allow it to. Even if the spiritual weapon is a ranged weapon, use the spell's range, not the weapon's normal range increment, and switching targets still is a move action.  A spiritual weapon cannot be attacked or harmed by physical attacks, but dispel magic, disintegrate, a sphere of annihilation, or a rod of cancellation affects it. A spiritual weapon's AC against touch attacks is 12 (10 + size bonus for Tiny object).  If an attacked creature has spell resistance, you make a caster level check (1d20 + caster level) against that spell resistance the first time the spiritual weapon strikes it. If the weapon is successfully resisted, the spell is dispelled. If not, the weapon has its normal full effect on that creature for the duration of the spell.  The weapon that you get is often a force replica of your deity's own personal weapon. A cleric without a deity gets a weapon based on his alignment. A neutral cleric without a deity can create a spiritual weapon of any alignment, provided he is acting at least generally in accord with that alignment at the time. The weapons associated with each alignment are as follows: chaos (battleaxe), evil (light flail), good (warhammer), law (longsword).</t>
  </si>
  <si>
    <t>War (2)</t>
  </si>
  <si>
    <t> Magic weapon attacks on its own.</t>
  </si>
  <si>
    <t>The weapon gains your choice of one of the following magic weapon special abilities: flaming, frost, keen, merciful, shock, or thundering. Before or after the weapon attempts all of its attacks for the round, you can redirect it to a different target as a swift action instead of a move action.</t>
  </si>
  <si>
    <t>Stabilize</t>
  </si>
  <si>
    <t>cleric/oracle 0, druid 0, witch 0, inquisitor 0, shaman 0, occultist 0, psychic 0, spiritualist 0, medium 0</t>
  </si>
  <si>
    <t>Upon casting this spell, you target a living creature that has -1 or fewer hit points. That creature is automatically stabilized and does not lose any further hit points. If the creature later takes damage, it continues dying normally.</t>
  </si>
  <si>
    <t>Cause a dying creature to stabilize.</t>
  </si>
  <si>
    <t>Statue</t>
  </si>
  <si>
    <t>sorcerer/wizard 7, alchemist 6, occultist 6</t>
  </si>
  <si>
    <t>V, S, M (lime, sand, and a drop of water stirred by an iron spike)</t>
  </si>
  <si>
    <t>A statue spell turns the subject to solid stone, along with any garments and equipment worn or carried. In statue form, the subject gains hardness 8. The subject retains its own hit points.  The subject can see, hear, and smell normally, but it does not need to eat or breathe. Feeling is limited to those sensations that can affect the granite-hard substance of the individual's body.  Chipping is equal to a mere scratch, but breaking off one of the statue's arms constitutes serious damage. The subject of a statue spell can return to its normal state, act, and then return instantly to the statue state (a free action) if it so desires as long as the spell duration is in effect.</t>
  </si>
  <si>
    <t>Artifice (8), Ruins (2)</t>
  </si>
  <si>
    <t> Subject can become a statue at will.</t>
  </si>
  <si>
    <t>Status</t>
  </si>
  <si>
    <t>cleric/oracle 2, witch 2, occultist 2, psychic 2, spiritualist 2, medium 2</t>
  </si>
  <si>
    <t>one living creature touched per three levels</t>
  </si>
  <si>
    <t>When you need to keep track of comrades who may get separated, status allows you to mentally monitor their relative positions and general condition. You are aware of direction and distance to the creatures and any conditions affecting them: unharmed, wounded, disabled, staggered, unconscious, dying, nauseated, panicked, stunned, poisoned, diseased, confused, or the like. Once the spell has been cast upon the subjects, the distance between them and the caster does not affect the spell as long as they are on the same plane of existence. If a subject leaves the plane, or if it dies, the spell ceases to function for it.</t>
  </si>
  <si>
    <t> Monitors condition, position of allies.</t>
  </si>
  <si>
    <t>Stinking Cloud</t>
  </si>
  <si>
    <t>magus 3, sorcerer/wizard 3, witch 3, bloodrager 3, shaman 3, unchained summoner 3</t>
  </si>
  <si>
    <t>V, S, M (a rotten egg or cabbage leaves)</t>
  </si>
  <si>
    <t>Stinking cloud creates a bank of fog like that created by fog cloud, except that the vapors are nauseating. Living creatures in the cloud become nauseated. This condition lasts as long as the creature is in the cloud and for 1d4+1 rounds after it leaves.  (Roll separately for each nauseated character.) Any creature that succeeds on its save but remains in the cloud must continue to save each round on your turn. This is a poison effect.  Stinking cloud can be made permanent with a permanency spell. A permanent stinking cloud dispersed by wind reforms in 10 minutes.</t>
  </si>
  <si>
    <t>Smoke (3)</t>
  </si>
  <si>
    <t> Nauseating vapors, 1 round/level.</t>
  </si>
  <si>
    <t>Creatures that succeed at their saves are sickened while they remain in the cloud and for 1d4+1 rounds after they leave. Creatures that fail their saves continue to be sickened for 1 hour after leaving the cloud.</t>
  </si>
  <si>
    <t>Stone Shape</t>
  </si>
  <si>
    <t>cleric/oracle 3, druid 3, sorcerer/wizard 4, shaman 3, occultist 3</t>
  </si>
  <si>
    <t>V, S, M/DF (soft clay)</t>
  </si>
  <si>
    <t>stone or stone object touched, up to 10 cu. ft. + 1 cu. ft./level</t>
  </si>
  <si>
    <t>You can form an existing piece of stone into any shape that suits your purpose. While it's possible to make crude coffers, doors, and so forth with stone shape, fine detail isn't possible. There is a 30% chance that any shape including moving parts simply doesn't work.</t>
  </si>
  <si>
    <t>Artifice (3), Earth (3)</t>
  </si>
  <si>
    <t>Sculpts stone into any shape.</t>
  </si>
  <si>
    <t>Mountain (6)</t>
  </si>
  <si>
    <t>The duration changes to 1 round/level and instantaneous (see text). Each round after the round you cast the spell, you can spend a standard action to shape up to 5 additional cubic feet of stone you touch. Shaped stone has an instantaneous duration (meaning it does not revert to its previous form when the spell ends).</t>
  </si>
  <si>
    <t>Stoneskin</t>
  </si>
  <si>
    <t>druid 5, sorcerer/wizard 4, alchemist 4, summoner 3, inquisitor 4, magus 4, bloodrager 4, shaman 5, occultist 4, psychic 4, unchained summoner 4</t>
  </si>
  <si>
    <t>V, S, M (granite and diamond dust worth 250 gp)</t>
  </si>
  <si>
    <t>10 min./level or until discharged</t>
  </si>
  <si>
    <t>The warded creature gains resistance to blows, cuts, stabs, and slashes. The subject gains DR 10/adamantine. It ignores the first 10 points of damage each time it takes damage from a weapon, though an adamantine weapon bypasses the reduction. Once the spell has prevented a total of 10 points of damage per caster level (maximum 150 points), it is discharged.</t>
  </si>
  <si>
    <t>Earth (6), Strength (6)</t>
  </si>
  <si>
    <t>Grants DR 10/adamantine.</t>
  </si>
  <si>
    <t>Abyssal (9), Deep Earth (9), Shaitan (9)</t>
  </si>
  <si>
    <t>The target gains a +4 bonus on saving throws against disease, poison, and stun effects. There is a 50% chance any critical hit or sneak attack against the target is treated as a normal hit, as if the target were wearing medium fortification armor.</t>
  </si>
  <si>
    <t>Stone Tell</t>
  </si>
  <si>
    <t>druid 6, shaman 7, psychic 6</t>
  </si>
  <si>
    <t>You gain the ability to speak with stones, which relate to you who or what has touched them as well as revealing what is covered or concealed behind or under them. The stones relate complete descriptions if asked. A stone's perspective, perception, and knowledge may prevent the stone from providing the details you are looking for. You can speak with natural or worked stone.</t>
  </si>
  <si>
    <t>Ruins (6)</t>
  </si>
  <si>
    <t> Talk to natural or worked stone.</t>
  </si>
  <si>
    <t>Deep Earth (13)</t>
  </si>
  <si>
    <t>Mountain (14)</t>
  </si>
  <si>
    <t>Stone to Flesh</t>
  </si>
  <si>
    <t>V, S, M (a drop of blood mixed with earth)</t>
  </si>
  <si>
    <t>one petrified creature or a cylinder of stone from 1 ft. to 3 ft. in diameter and up to 10 ft. long</t>
  </si>
  <si>
    <t>This spell restores a petrified creature to its normal state, restoring life and goods. The creature must make a DC 15 Fortitude save to survive the process. Any petrified creature, regardless of size, can be restored. The spell also can convert a mass of stone into a fleshy substance. Such flesh is inert and lacking a vital life force unless a life force or magical energy is available. For example, this spell would turn an animated stone statue into an animated flesh statue, but an ordinary statue would become a mass of inert flesh in the shape of the statue. You can affect an object that fits within a cylinder from 1 foot to 3 feet in diameter and up to 10 feet long or a cylinder of up to those dimensions in a larger mass of stone.</t>
  </si>
  <si>
    <t> Restores petrified creature.</t>
  </si>
  <si>
    <t>Storm Of Vengeance</t>
  </si>
  <si>
    <t>cleric/oracle 9, druid 9, witch 9, shaman 9</t>
  </si>
  <si>
    <t>360-ft.-radius storm cloud</t>
  </si>
  <si>
    <t>concentration (maximum 10 rounds) (D)</t>
  </si>
  <si>
    <t>You create a huge black storm cloud in the air. Each creature under the cloud must succeed on a Fortitude save or be deafened for 1d4 x 10 minutes. Each round you continue to concentrate, the spell generates additional effects as noted below. Each effect occurs on your turn. 2nd Round: Acid rains down in the area, dealing 1d6 points of acid damage (no save). 3rd Round: You call six bolts of lightning down from the cloud. You decide where the bolts strike. No two bolts may be directed at the same target. Each bolt deals 10d6 points of electricity damage. A creature struck can attempt a Reflex save for half damage. 4th Round: Hailstones rain down in the area, dealing 5d6 points of bludgeoning damage (no save). 5th through 10th Rounds: Violent rain and wind gusts reduce visibility. The rain obscures all sight, including darkvision, beyond 5 feet. A creature 5 feet away has concealment (attacks have a 20% miss chance). Creatures farther away have total concealment (50% miss chance, and the attacker cannot use sight to locate the target). Speed is reduced by three-quarters. Ranged attacks within the area of the storm are impossible. Spells cast within the area are disrupted unless the caster succeeds on a Concentration check against a DC equal to the storm of vengeance's save DC + the level of the spell the caster is trying to cast.</t>
  </si>
  <si>
    <t>Cloud (9), Nobility (9), Weather (9)</t>
  </si>
  <si>
    <t>Storm rains acid, lightning, and hail.</t>
  </si>
  <si>
    <t>Stormborn (19)</t>
  </si>
  <si>
    <t>Storms (18)</t>
  </si>
  <si>
    <t>The acid damage dealt increases to 1d8 points of acid damage. The lightning damage dealt increases to 10d8 points of electricity damage. You can call down a bolt of lightning on the 2nd and 4th rounds (equivalent to those on the 3rd round). You can strike the same target with a bolt more than once during the casting of the spell, but not more than once per round.</t>
  </si>
  <si>
    <t>Augmented (7th): If you expend three uses of mythic power, the storm cloud's radius increases to 1,000 feet. Structures in the storm take 1d10 points of damage per round (this damage bypasses hardness). You can call down one additional bolt in the 2nd and 4th rounds, and three additional bolts in the 3rd round.</t>
  </si>
  <si>
    <t>Suggestion</t>
  </si>
  <si>
    <t>bard 2, sorcerer/wizard 3, witch 3, occultist 3, psychic 2, mesmerist 2, medium 2</t>
  </si>
  <si>
    <t>V, M (a snake's tongue and a honeycomb)</t>
  </si>
  <si>
    <t>1 hour/level or until completed</t>
  </si>
  <si>
    <t>You influence the actions of the target creature by suggesting a course of activity (limited to a sentence or two). The suggestion must be worded in such a manner as to make the activity sound reasonable. Asking the creature to do some obviously harmful act automatically negates the effect of the spell.  The suggested course of activity can continue for the entire duration. If the suggested activity can be completed in a shorter time, the spell ends when the subject finishes what it was asked to do. You can instead specify conditions that will trigger a special activity during the duration. If the condition is not met before the spell duration expires, the activity is not performed.  A very reasonable suggestion causes the save to be made with a penalty (such as -1 or -2).</t>
  </si>
  <si>
    <t>Charm (3), Devil (3), Corruption (2), Innuendo (3)</t>
  </si>
  <si>
    <t>Compels subject to follow stated course of action.</t>
  </si>
  <si>
    <t>Infernal (7), Maestro (7), Rakshasa (7)</t>
  </si>
  <si>
    <t>Mythic suggestion loses the language-dependent descriptor, and can target one or more living creatures in a 10-foot-radius burst.</t>
  </si>
  <si>
    <t>Suggestion, Mass</t>
  </si>
  <si>
    <t>bard 5, sorcerer/wizard 6, witch 6, occultist 5, psychic 5, mesmerist 5</t>
  </si>
  <si>
    <t>This spell functions like suggestion, except that it can affect more creatures. The same suggestion applies to all these creatures.</t>
  </si>
  <si>
    <t>Innuendo (6)</t>
  </si>
  <si>
    <t>As suggestion, affects subject/level.</t>
  </si>
  <si>
    <t>Maestro (13), Rakshasa (13), Serpentine (13)</t>
  </si>
  <si>
    <t>Summon Instrument</t>
  </si>
  <si>
    <t>bard 0</t>
  </si>
  <si>
    <t>one summoned handheld musical instrument</t>
  </si>
  <si>
    <t>This spell summons one handheld musical instrument of your choice. This instrument appears in your hands or at your feet (your choice). The instrument is typical for its type. Only one instrument appears per casting, and it will play only for you. You can't summon an instrument too large to be held in two hands.  The summoned instrument disappears at the end of this spell.</t>
  </si>
  <si>
    <t> Summons one musical instrument.</t>
  </si>
  <si>
    <t>Summon Monster I</t>
  </si>
  <si>
    <t>bard 1, cleric/oracle 1, sorcerer/wizard 1, summoner/unchained summoner 1, witch 1, antipaladin 1, psychic 1, spiritualist 1, medium 1</t>
  </si>
  <si>
    <t>V, S, F/DF (a tiny bag and a small candle)</t>
  </si>
  <si>
    <t>one summoned creature</t>
  </si>
  <si>
    <t>This spell summons an extraplanar creature (typically an outsider, elemental, or magical beast native to another plane). It appears where you designate and acts immediately, on your turn. It attacks your opponents to the best of its ability. If you can communicate with the creature, you can direct it not to attack, to attack particular enemies, or to perform other actions. The spell conjures one of the creatures from the 1st Level list on Table 10-1. You choose which kind of creature to summon, and you can choose a different one each time you cast the spell.  A summoned monster cannot summon or otherwise conjure another creature, nor can it use any teleportation or planar travel abilities. Creatures cannot be summoned into an environment that cannot support them. Creatures summoned using this spell cannot use spells or spell-like abilities that duplicate spells with expensive material components (such as wish).  When you use a summoning spell to summon a creature with an alignment or elemental subtype, it is a spell of that type. Creatures on Table 10-1 marked with an "*" are summoned with the celestial template, if you are good, and the fiendish template, if you are evil. If you are neutral, you may choose which template to apply to the creature. Creatures marked with an "*" always have an alignment that matches yours, regardless of their usual alignment.  Summoning these creatures makes the summoning spell's type match your alignment.</t>
  </si>
  <si>
    <t>(Evil creatures only.) Summons extraplanar creature to fight for you.</t>
  </si>
  <si>
    <t>Summon Monster II</t>
  </si>
  <si>
    <t>bard 2, cleric/oracle 2, sorcerer/wizard 2, summoner/unchained summoner 2, witch 2, antipaladin 2, psychic 2, spiritualist 2, medium 2</t>
  </si>
  <si>
    <t>This spell functions like summon monster I, except that you can summon one creature from the 2nd-level list or 1d3 creatures of the same kind from the 1st-level list.</t>
  </si>
  <si>
    <t>Dark Tapestry (2)</t>
  </si>
  <si>
    <t>Summon Monster III</t>
  </si>
  <si>
    <t>bard 3, cleric/oracle 3, sorcerer/wizard 3, witch 3, antipaladin 3, psychic 3, spiritualist 3</t>
  </si>
  <si>
    <t>This spell functions like summon monster I, except that you can summon one creature from the 3rd-level list, 1d3 creatures of the same kind from the 2nd-level list, or 1d4+1 creatures of the same kind from the 1st-level list.</t>
  </si>
  <si>
    <t>Serpentine (7)</t>
  </si>
  <si>
    <t>Summon Monster IV</t>
  </si>
  <si>
    <t>bard 4, cleric/oracle 4, sorcerer/wizard 4, summoner/unchained summoner 3, witch 4, antipaladin 4, psychic 4, spiritualist 4, medium 3</t>
  </si>
  <si>
    <t>This spell functions like summon monster I, except that you can summon one creature from the 4th-level list, 1d3 creatures of the same kind from the 3rd-level list, or 1d4+1 creatures of the same kind from a lower-level list.</t>
  </si>
  <si>
    <t>Dark Tapestry (5)</t>
  </si>
  <si>
    <t>Summon Monster V</t>
  </si>
  <si>
    <t>bard 5, cleric/oracle 5, sorcerer/wizard 5, summoner/unchained summoner 4, witch 5, psychic 5, spiritualist 5, medium 4</t>
  </si>
  <si>
    <t>This spell functions like summon monster I, except that you can summon one creature from the 5th-level list, 1d3 creatures of the same kind from the 4th-level list, or 1d4+1 creatures of the same kind from a lower-level list.</t>
  </si>
  <si>
    <t>Darkness (5)</t>
  </si>
  <si>
    <t>Summons extraplanar creature to fight for you.</t>
  </si>
  <si>
    <t>Summon Monster VI</t>
  </si>
  <si>
    <t>bard 6, cleric/oracle 6, sorcerer/wizard 6, witch 6, psychic 6, spiritualist 6, unchained summoner 5</t>
  </si>
  <si>
    <t>This spell functions like summon monster I, except you can summon one creature from the 6th-level list, 1d3 creatures of the same kind from the 5th-level list, or 1d4+1 creatures of the same kind from a lower-level list.</t>
  </si>
  <si>
    <t>Summon Monster VIII</t>
  </si>
  <si>
    <t>cleric/oracle 8, sorcerer/wizard 8, witch 8, summoner/unchained summoner 6, psychic 8</t>
  </si>
  <si>
    <t>This spell functions like summon monster I, except that you can summon one creature from the 8th-level list, 1d3 creatures of the same kind from the 7th-level list, or 1d4+1 creatures of the same kind from a lower-level list.</t>
  </si>
  <si>
    <t>Elemental (17)</t>
  </si>
  <si>
    <t>Summon Monster VII</t>
  </si>
  <si>
    <t>cleric/oracle 7, sorcerer/wizard 7, summoner 5, witch 7, psychic 7, unchained summoner 6</t>
  </si>
  <si>
    <t>This spell functions like summon monster I, except that you can summon one creature from the 7th-level list, 1d3 creatures of the same kind from the 6th-level list, or 1d4+1 creatures of the same kind from a lower-level list.</t>
  </si>
  <si>
    <t>Aquatic (15), Serpentine (15)</t>
  </si>
  <si>
    <t>Summon Monster IX</t>
  </si>
  <si>
    <t>This spell functions like summon monster I, except that you can summon one creature from the 9th-level list, 1d3 creatures of the same kind from the 8th-level list, or 1d4+1 creatures of the same kind from a lower-level list.</t>
  </si>
  <si>
    <t>Chaos (9), Evil (9), Good (9), Law (9)</t>
  </si>
  <si>
    <t>Abyssal (19)</t>
  </si>
  <si>
    <t>Summon Nature's Ally I</t>
  </si>
  <si>
    <t>This spell summons to your side a natural creature (typically an animal, fey, magical beast, outsider with the elemental subtype, or a giant). The summoned ally appears where you designate and acts immediately, on your turn. It attacks your opponents to the best of its ability. If you can communicate with the creature, you can direct it not to attack, to attack particular enemies, or to perform other actions as you command. A summoned monster cannot summon or otherwise conjure another creature, nor can it use any teleportation or planar travel abilities. Creatures cannot be summoned into an environment that cannot support them. Creatures summoned using this spell cannot use spells or spell-like abilities that duplicate spells that have expensive material components (such as wish). The spell conjures one of the creatures from the 1st Level list on Table 10-2. You choose which kind of creature to summon, and you can change that choice each time you cast the spell. All the creatures on the table are neutral unless otherwise noted. When you use a summoning spell to summon a creature with an alignment or elemental subtype, it is a spell of that type. All creatures summoned with this spell without alignment subtypes have an alignment that matches yours, regardless of their usual alignment. Summoning these creatures makes the summoning spell's type match your alignment.</t>
  </si>
  <si>
    <t>Summons creature to fight.</t>
  </si>
  <si>
    <t>Summon Nature's Ally II</t>
  </si>
  <si>
    <t>druid 2, ranger 2</t>
  </si>
  <si>
    <t>This spell functions as summon nature's ally I, except that you summon one 2nd-level creature or 1d3 1st-level creatures of the same kind.</t>
  </si>
  <si>
    <t>Summon Nature's Ally III</t>
  </si>
  <si>
    <t>This spell functions like summon nature's ally I, except that you can summon one 3rd-level creature, 1d3 2nd-level creatures of the same kind, or 1d4+1 1st-level creatures of the same kind.</t>
  </si>
  <si>
    <t>Summon Nature's Ally IV</t>
  </si>
  <si>
    <t>druid 4, ranger 4</t>
  </si>
  <si>
    <t>This spell functions like summon nature's ally I, except that you can summon one 4th-level creature, 1d3 3rd-level creatures of the same kind, or 1d4+1 lower-level creatures of the same kind.</t>
  </si>
  <si>
    <t>Animal (4), Saurian (4)</t>
  </si>
  <si>
    <t>Animals (8)</t>
  </si>
  <si>
    <t>Summon Nature's Ally V</t>
  </si>
  <si>
    <t>druid 5</t>
  </si>
  <si>
    <t>This spell functions like summon nature's ally I, except that you can summon one 5th-level creature, 1d3 4th-level creatures of the same kind, or 1d4+1 lower-level creatures of the same kind.</t>
  </si>
  <si>
    <t> Summons creature to fight.</t>
  </si>
  <si>
    <t>Summon Nature's Ally VI</t>
  </si>
  <si>
    <t>This spell functions like summon nature's ally I, except that you can summon one 6th-level creature, 1d3 5th-level creatures of the same kind, or 1d4+1 lower-level creatures of the same kind.</t>
  </si>
  <si>
    <t>Summon Nature's Ally VII</t>
  </si>
  <si>
    <t>This spell functions like summon nature's ally I, except that you can summon one 7th-level creature, 1d3 6th-level creatures of the same kind, or 1d4+1 lower-level creatures of the same kind.</t>
  </si>
  <si>
    <t>Saurian (7)</t>
  </si>
  <si>
    <t>Summon Nature's Ally VIII</t>
  </si>
  <si>
    <t>This spell functions like summon nature's ally I, except that you can summon one 8th-level creature, 1d3 7th-level creatures of the same kind, or 1d4+1 lower-level creatures of the same kind.</t>
  </si>
  <si>
    <t>Animal (8)</t>
  </si>
  <si>
    <t>Summon Nature's Ally IX</t>
  </si>
  <si>
    <t>druid 9</t>
  </si>
  <si>
    <t>This spell functions like summon nature's ally I, except that you can summon one 9th-level creature, 1d3 8th-level creatures of the same kind, or 1d4+1 lower-level creatures of the same kind.</t>
  </si>
  <si>
    <t>Animals (18)</t>
  </si>
  <si>
    <t>Summon Swarm</t>
  </si>
  <si>
    <t>bard 2, druid 2, sorcerer/wizard 2, summoner/unchained summoner 2, witch 2, shaman 2</t>
  </si>
  <si>
    <t>V, S, M/DF (a square of red cloth)</t>
  </si>
  <si>
    <t>one swarm of bats, rats, or spiders</t>
  </si>
  <si>
    <t>You summon a swarm of bats, rats, or spiders (your choice), which attacks all other creatures within its area. (You may summon the swarm so that it shares the area of other creatures.) If no living creatures are within its area, the swarm attacks or pursues the nearest creature as best it can. The caster has no control over its target or direction of travel.</t>
  </si>
  <si>
    <t>Summons swarm of bats, rats, or spiders.</t>
  </si>
  <si>
    <t>Pestilence (5)</t>
  </si>
  <si>
    <t>The swarm has the advanced simple template. A swarm of rats or spiders leaves behind a trail of filth or ichor when it moves, which has the effects of a grease spell for 1 round after the swarm passes through an area. Any creature that moves through the affected area is also subject to the swarm's disease or poison, as if attacked by the swarm. A prone creature in the affected area takes a -4 penalty on its saving throw against this affliction. A bat swarm leaves behind a similar trail that lasts for 2 rounds but doesn't have a disease or poison effect.</t>
  </si>
  <si>
    <t>Sunbeam</t>
  </si>
  <si>
    <t>line from your hand</t>
  </si>
  <si>
    <t>1 round/level or until all beams are exhausted</t>
  </si>
  <si>
    <t>Reflex negates and Reflex half; see text</t>
  </si>
  <si>
    <t>For the duration of this spell, you can use a standard action to evoke a dazzling beam of intense light each round. You can call forth one beam per three caster levels (maximum six beams at 18th level). The spell ends when its duration runs out or your allotment of beams is exhausted.  Each creature in the beam is blinded and takes 4d6 points of damage. Any creatures to which sunlight is harmful or unnatural take double damage. A successful Reflex save negates the blindness and reduces the damage by half.  An undead creature caught within the beam takes 1d6 points of damage per caster level (maximum 20d6), or half damage if a Reflex save is successful. In addition, the beam results in the destruction of any undead creature specifically harmed by bright light if it fails its save.  The ultraviolet light generated by the spell deals damage to fungi, mold, oozes, and slimes just as if they were undead creatures.</t>
  </si>
  <si>
    <t>Sun (7), Stars (7)</t>
  </si>
  <si>
    <t> Beam blinds and deals 4d6 damage.</t>
  </si>
  <si>
    <t>Light (14), Summer (14)</t>
  </si>
  <si>
    <t>You call forth one beam per 2 caster levels instead of per 3. The damage dealt increases to 4d8 points of damage. The damage dealt to undead creatures, fungi, mold, oozes, and slimes increases to 1d8 points of damage per caster level (maximum 20d8). Any creature that successfully saves against a beam is dazzled for 1 minute.</t>
  </si>
  <si>
    <t>Augmented (9th): If you expend three uses of mythic power, the first beam you create has a duration of 1 round per 2 caster levels, and deals maximum damage on the round you cast it. Creatures in the beam can attempt saving throws to avoid blindness, but not the spell's damage.</t>
  </si>
  <si>
    <t>Sunburst</t>
  </si>
  <si>
    <t>druid 8, sorcerer/wizard 8, shaman 8</t>
  </si>
  <si>
    <t>V, S, M/DF (sunstone and fire source)</t>
  </si>
  <si>
    <t>80-ft.-radius burst</t>
  </si>
  <si>
    <t>Sunburst causes a globe of searing radiance to explode silently from a point you select. All creatures in the globe are blinded and take 6d6 points of damage. A creature to which sunlight is harmful or unnatural takes double damage. A successful Reflex save negates the blindness and reduces the damage by half.  An undead creature caught within the globe takes 1d6 points of damage per caster level (maximum 25d6), or half damage if a Reflex save is successful. In addition, the burst results in the destruction of any undead creature specifically harmed by bright light if it fails its save.  The ultraviolet light generated by the spell deals damage to fungi, mold, oozes, and slimes just as if they were undead creatures.  Sunburst dispels any darkness spells of lower than 9th level within its area.</t>
  </si>
  <si>
    <t>Seasons (8), Sun (8)</t>
  </si>
  <si>
    <t>Blinds all within 10 ft., deals 6d6 damage.</t>
  </si>
  <si>
    <t>Celestial (17)</t>
  </si>
  <si>
    <t>Light (16), Summer (16)</t>
  </si>
  <si>
    <t>Symbol of Death</t>
  </si>
  <si>
    <t>cleric/oracle 8, sorcerer/wizard 8, witch 8, occultist 6</t>
  </si>
  <si>
    <t>V, S, M (mercury and phosphorus, plus powdered diamond and opal worth 5,000 gp each)</t>
  </si>
  <si>
    <t>0 ft.; see text</t>
  </si>
  <si>
    <t>one symbol</t>
  </si>
  <si>
    <t>This spell allows you to scribe a potent rune of power upon a surface.  When triggered, a symbol of death kills one or more creatures within 60 feet of the symbol (treat as a burst) whose combined total current hit points do not exceed 150. The symbol of death affects the closest creatures first, skipping creatures with too many hit points to affect.  Once triggered, the symbol becomes active and glows, lasting for 10 minutes per caster level or until it has affected 150 hit points' worth of creatures, whichever comes first. A creature that enters the area while the symbol of death is active is subject to its effect, whether or not that creature was in the area when it was triggered. A creature need save against the symbol only once as long as it remains within the area, though if it leaves the area and returns while the symbol is still active, it must save again.  Until it is triggered, the symbol of death is inactive (though visible and legible at a distance of 60 feet). To be effective, a symbol of death must always be placed in plain sight and in a prominent location. Covering or hiding the rune renders the symbol of death ineffective, unless a creature removes the covering, in which case the symbol of death works normally.  As a default, a symbol of death is triggered whenever a creature does one or more of the following, as you select: looks at the rune; reads the rune; touches the rune; passes over the rune; or passes through a portal bearing the rune. Regardless of the trigger method or methods chosen, a creature more than 60 feet from a symbol of death can't trigger it (even if it meets one or more of the triggering conditions, such as reading the rune). Once the spell is cast, a symbol of death's triggering conditions cannot be changed.  In this case, "reading" the rune means any attempt to study it, identify it, or fathom its meaning. Throwing a cover over a symbol of death to render it inoperative triggers it if the symbol reacts to touch. You can't use a symbol of death offensively; for instance, a touch-triggered symbol of death remains untriggered if an item bearing the symbol of death is used to touch a creature. Likewise, a symbol of death cannot be placed on a weapon and set to activate when the weapon strikes a foe.  You can also set special triggering limitations of your own. These can be as simple or elaborate as you desire. Special conditions for triggering a symbol of death can be based on a creature's name, identity, or alignment, but otherwise must be based on observable actions or qualities. Intangibles such as level, class, HD, and hit points don't qualify.  When scribing a symbol of death, you can specify a password or phrase that prevents a creature using it from triggering the symbol's effect. Anyone using the password remains immune to that particular rune's effects so long as the creature remains within 60 feet of the rune. If the creature leaves the radius and returns later, it must use the password again.  You also can attune any number of creatures to the symbol of death, but doing this can extend the casting time. Attuning one or two creatures takes negligible time, and attuning a small group (as many as 10 creatures) extends the casting time to 1 hour. Attuning a large group (as many as 25 creatures) takes 24 hours. Attuning larger groups takes an additional 24 hours per 25 creatures. Any creature attuned to a symbol of death cannot trigger it and is immune to its effects, even if within its radius when it is triggered. You are automatically considered attuned to your own symbols of death, and thus always ignore the effects and cannot inadvertently trigger them.  Read magic allows you to identify a symbol with a Spellcraft check (DC 10 + the symbol's spell level). Of course, if the symbol is set to be triggered by reading it, this will trigger the symbol.  A symbol of death can be removed by a successful dispel magic targeted solely on the rune. An erase spell has no effect on a symbol of death. Destruction of the surface where a symbol of death is inscribed destroys the symbol but also triggers it.  Symbol of death can be made permanent with a permanency spell.  A permanent symbol of death that is disabled or has affected its maximum number of hit points becomes inactive for 10 minutes, but then can be triggered again as normal.  Note: Magic traps such as symbol of death are hard to detect and disable. A rogue (only) can use the Perception skill to find a symbol of death and Disable Device to thwart it. The DC in each case is 25 + spell level, or 33 for symbol of death.</t>
  </si>
  <si>
    <t>Rune (8)</t>
  </si>
  <si>
    <t>Triggered rune kills nearby creatures.</t>
  </si>
  <si>
    <t>Death (16)</t>
  </si>
  <si>
    <t>Symbol of Fear</t>
  </si>
  <si>
    <t>cleric/oracle 6, sorcerer/wizard 6, witch 6, occultist 4</t>
  </si>
  <si>
    <t>V, S, M (mercury and phosphorus, plus powdered diamond and opal worth a total of 1,000 gp)</t>
  </si>
  <si>
    <t>This spell functions like symbol of death, except that all creatures within 60 feet of the symbol of fear instead become panicked for 1 round per caster level.  Note: Magic traps such as symbol of fear are hard to detect and disable. A rogue (only) can use the Perception skill to find a symbol of fear and Disable Device to thwart it. The DC in each case is 25 + spell level, or 31 for symbol of fear.</t>
  </si>
  <si>
    <t>Triggered rune panics nearby creatures.</t>
  </si>
  <si>
    <t>Symbol of Insanity</t>
  </si>
  <si>
    <t>V, S, M (mercury and phosphorus, plus powdered diamond and opal worth a total of 5,000 gp)</t>
  </si>
  <si>
    <t>This spell functions like symbol of death, except that all creatures within the radius of the symbol of insanity instead become permanently insane (as the insanity spell).  Unlike symbol of death, symbol of insanity has no hit point limit; once triggered, a symbol of insanity simply remains active for 10 minutes per caster level.  Note: Magic traps such as symbol of insanity are hard to detect and disable. A rogue (only) can use the Perception skill to find a symbol of insanity and Disable Device to thwart it. The DC in each case is 25 + spell level, or 33 for symbol of insanity.</t>
  </si>
  <si>
    <t>Triggered rune renders nearby creatures insane.</t>
  </si>
  <si>
    <t>Insanity (16)</t>
  </si>
  <si>
    <t>Symbol of Pain</t>
  </si>
  <si>
    <t>evil, pain</t>
  </si>
  <si>
    <t>cleric/oracle 5, sorcerer/wizard 5, witch 5, occultist 4, mesmerist 5</t>
  </si>
  <si>
    <t>This spell functions like symbol of death, except that each creature within the radius of a symbol of pain instead suffers wracking pains that impose a -4 penalty on attack rolls, skill checks, and ability checks. These effects last for 1 hour after the creature moves farther than 60 feet from the symbol.  Unlike symbol of death, symbol of pain has no hit point limit; once triggered, a symbol of pain simply remains active for 10 minutes per caster level.  Note: Magic traps such as symbol of pain are hard to detect and disable. A rogue (only) can use the Perception skill to find a symbol of pain and Disable Device to thwart it. The DC in each case is 25 + spell level, or 30 for symbol of pain.</t>
  </si>
  <si>
    <t>Torture (5), Kyton (5)</t>
  </si>
  <si>
    <t>Triggered rune wracks nearby creatures with pain.</t>
  </si>
  <si>
    <t>Vengeance (10)</t>
  </si>
  <si>
    <t>Symbol of Persuasion</t>
  </si>
  <si>
    <t>cleric/oracle 6, sorcerer/wizard 6, witch 6, occultist 4, mesmerist 6</t>
  </si>
  <si>
    <t>This spell functions like symbol of death, except that all creatures within the radius of a symbol of persuasion instead become charmed by the caster (as the charm monster spell) for 1 hour per caster level.  Unlike symbol of death, symbol of persuasion has no hit point limit; once triggered, a symbol of persuasion simply remains active for 10 minutes per caster level.  Note: Magic traps such as symbol of persuasion are hard to detect and disable. A rogue (only) can use the Perception skill to find a symbol of persuasion and Disable Device to thwart it. The DC in each case is 25 + spell level, or 31 for symbol of persuasion.</t>
  </si>
  <si>
    <t>Revolution (6), Tyranny (7)</t>
  </si>
  <si>
    <t>Triggered rune charms nearby creatures.</t>
  </si>
  <si>
    <t>Symbol of Sleep</t>
  </si>
  <si>
    <t>This spell functions like symbol of death, except that all creatures of 10 HD or less within 60 feet of the symbol of sleep instead fall into a catatonic slumber for 3d6 x 10 minutes. Unlike with the sleep spell, sleeping creatures cannot be awakened by nonmagical means before this time expires.  Unlike symbol of death, symbol of sleep has no hit point limit; once triggered, a symbol of sleep simply remains active for 10 minutes per caster level.  Note: Magic traps such as symbol of sleep are hard to detect and disable. A rogue (only) can use the Perception skill to find a symbol of sleep and Disable Device to thwart it. The DC in each case is 25 + spell level, or 30 for symbol of sleep.</t>
  </si>
  <si>
    <t>Triggered rune puts nearby creatures into catatonic slumber.</t>
  </si>
  <si>
    <t>Symbol of Stunning</t>
  </si>
  <si>
    <t>cleric/oracle 7, sorcerer/wizard 7, witch 7, occultist 5</t>
  </si>
  <si>
    <t>This spell functions like symbol of death, except that all creatures within 60 feet of a symbol of stunning instead become stunned for 1d6 rounds.  Note: Magic traps such as symbol of stunning are hard to detect and disable. A rogue (only) can use the Perception skill to find a symbol of stunning and Disable Device to thwart it. The DC in each case is 25 + spell level, or 32 for symbol of stunning.</t>
  </si>
  <si>
    <t>Triggered rune stuns nearby creatures.</t>
  </si>
  <si>
    <t>Symbol Of Weakness</t>
  </si>
  <si>
    <t>This spell functions like symbol of death, except that every creature within 60 feet of a symbol of weakness instead suffers crippling weakness that deals 3d6 points of Strength damage.  Unlike symbol of death, symbol of weakness has no hit point limit; once triggered, a symbol of weakness simply remains active for 10 minutes per caster level. A creature can only be affected by this symbol once.  Note: Magic traps such as symbol of weakness are hard to detect and disable. While any character can use Perception to find a symbol, only a character with the trapfinding class feature can use Disable Device to disarm it. The DC in each case is 25 + spell level, or 32 for symbol of weakness.</t>
  </si>
  <si>
    <t>Triggered rune weakens nearby creatures.</t>
  </si>
  <si>
    <t>Sympathetic Vibration</t>
  </si>
  <si>
    <t>bard 6</t>
  </si>
  <si>
    <t>V, S, F (a tuning fork)</t>
  </si>
  <si>
    <t>one freestanding structure</t>
  </si>
  <si>
    <t>up to 1 round/level</t>
  </si>
  <si>
    <t>By attuning yourself to a freestanding structure, you can create a damaging vibration within it. Once it begins, the vibration deals 2d10 points of damage per round to the target structure, bypassing hardness. You can choose at the time of casting to limit the duration of the spell; otherwise it lasts for 1 round per level. If the spell is cast upon a target that is not freestanding, the surrounding stone dissipates the effect and no damage occurs.  Sympathetic vibration cannot affect creatures (including constructs). Since a structure is an unattended object, it gets no saving throw to resist the effect.</t>
  </si>
  <si>
    <t> Deals 2d10 damage/round to freestanding structure.</t>
  </si>
  <si>
    <t>Sympathy</t>
  </si>
  <si>
    <t>druid 9, sorcerer/wizard 8, summoner/unchained summoner 6, witch 8, occultist 6, psychic 8</t>
  </si>
  <si>
    <t>V, S, M (a drop of honey and crushed pearls worth 1,500 gp)</t>
  </si>
  <si>
    <t>You cause an object or location to emanate magical vibrations that attract either a specific kind of intelligent creature or creatures of a particular alignment, as defined by you. The particular kind of creature to be affected must be named specifically. A creature subtype is not specific enough. Likewise, the specific alignment must be named. Creatures of the specified kind or alignment feel elated and pleased to be in the area or desire to touch or possess the object. The compulsion to stay in the area or touch the object is overpowering. If the save is successful, the creature is released from the enchantment, but a subsequent save must be made 1d6 x 10 minutes later. If this save fails, the affected creature attempts to return to the area or object. Sympathy counters and dispels antipathy.</t>
  </si>
  <si>
    <t>Object or location attracts certain creatures.</t>
  </si>
  <si>
    <t>Telekinesis</t>
  </si>
  <si>
    <t>sorcerer/wizard 5, magus 5, occultist 5, psychic 4, spiritualist 5</t>
  </si>
  <si>
    <t>or  see text</t>
  </si>
  <si>
    <t>concentration (up to 1 round/level) or instantaneous; see text</t>
  </si>
  <si>
    <t>Will negates (object) or none; see text</t>
  </si>
  <si>
    <t>yes (object); see text</t>
  </si>
  <si>
    <t>You move objects or creatures by concentrating on them.  Depending on the version selected, the spell can provide a gentle, sustained force, perform a variety of combat maneuvers, or exert a single short, violent thrust.  Sustained Force: A sustained force moves an object weighing no more than 25 pounds per caster level (maximum 375 pounds at 15th level) up to 20 feet per round. A creature can negate the effect on an object it possesses with a successful Will save or with spell resistance.  This version of the spell can last 1 round per caster level, but it ends if you cease concentration. The weight can be moved vertically, horizontally, or in both directions. An object cannot be moved beyond your range. The spell ends if the object is forced beyond the range. If you cease concentration for any reason, the object falls or stops.  An object can be telekinetically manipulated as if with one hand.  For example, a lever or rope can be pulled, a key can be turned, an object rotated, and so on, if the force required is within the weight limitation. You might even be able to untie simple knots, though delicate activities such as these require DC 15 Intelligence checks.  Combat Maneuver: Alternatively, once per round, you can use telekinesis to perform a bull rush, disarm, grapple (including pin), or trip. Resolve these attempts as normal, except that they don't provoke attacks of opportunity, you use your caster level in place of your Combat Maneuver Bonus, and you add your Intelligence modifier (if a wizard) or Charisma modifier (if a sorcerer) in place of your Strength or Dexterity modifier. No save is allowed against these attempts, but spell resistance applies normally. This version of the spell can last 1 round per caster level, but it ends if you cease concentration.  Violent Thrust: Alternatively, the spell energy can be spent in a single round. You can hurl one object or creature per caster level (maximum 15) that are within range and all within 10 feet of each other toward any target within 10 feet per level of all the objects.  You can hurl up to a total weight of 25 pounds per caster level (maximum 375 pounds at 15th level).  You must succeed on attack rolls (one per creature or object thrown) to hit the target with the items, using your base attack bonus + your Intelligence modifier (if a wizard) or Charisma modifier (if a sorcerer). Weapons cause standard damage (with no Strength bonus; note that arrows or bolts deal damage as daggers of their size when used in this manner). Other objects cause damage ranging from 1 point per 25 pounds (for less dangerous objects) to 1d6 points of damage per 25 pounds (for hard, dense objects).  Objects and creatures that miss their target land in a square adjacent to the target.  Creatures who fall within the weight capacity of the spell can be hurled, but they are allowed Will saves (and spell resistance) to negate the effect, as are those whose held possessions are targeted by the spell.  If a telekinesed creature is hurled against a solid surface, it takes damage as if it had fallen 10 feet (1d6 points).</t>
  </si>
  <si>
    <t> Moves object, attacks creature, or hurls object or creature.</t>
  </si>
  <si>
    <t>The duration of this spell changes to 1 round per level. You may spend a move action to use the sustained force or combat maneuver effects of the spell. When using sustained force, you can move a number of objects up to your tier. These must be in the same square and together must weigh no more than the weight limit of the spell. Using the violent thrust effect ends the spell, but the weight restriction increases to 50 pounds per caster level (maximum 750 pounds).</t>
  </si>
  <si>
    <t>Telekinetic Sphere</t>
  </si>
  <si>
    <t>sorcerer/wizard 8, psychic 7</t>
  </si>
  <si>
    <t>V, S, M (a crystal sphere and a pair of small magnets)</t>
  </si>
  <si>
    <t>1-ft.-diameter/level sphere, centered around creatures or objects</t>
  </si>
  <si>
    <t>Reflex negates (object)</t>
  </si>
  <si>
    <t>This spell functions like resilient sphere, but the creatures or objects caught inside the globe created by the spell are made nearly weightless. Anything contained within a telekinetic sphere weighs only one-sixteenth of its normal weight. You can telekinetically lift anything in the sphere that normally weighs 5,000 pounds or less. The telekinetic control extends from you out to medium range (100 feet + 10 feet per caster level) after the sphere has succeeded in encapsulating its contents.  You can move the sphere, along with the objects and creatures it contains that weigh a total of 5,000 pounds or less, by concentrating on the sphere. You can begin moving a sphere in the round after casting the spell. If you concentrate on doing so (a standard action), you can move the sphere as much as 30 feet in a round. If you cease concentrating, the sphere does not move in that round (if on a level surface) or descends at its falling rate (if aloft) until it reaches a level surface. You can resume concentrating on your next turn or any later turn during the spell's duration.  The sphere falls at a rate of only 60 feet per round, which is not fast enough to cause damage to the contents of the sphere.  You can move the sphere telekinetically even if you are in it.</t>
  </si>
  <si>
    <t> As resilient sphere, but you move the sphere telekinetically.</t>
  </si>
  <si>
    <t>Telepathic Bond</t>
  </si>
  <si>
    <t>sorcerer/wizard 5, witch 5, inquisitor 5, psychic 4, mesmerist 4, spiritualist 5, medium 4</t>
  </si>
  <si>
    <t>V, S, M (two eggshells from two different creatures)</t>
  </si>
  <si>
    <t>you plus one willing creature per three levels, no two of which can be more than 30 ft. apart</t>
  </si>
  <si>
    <t>You forge a telepathic bond among yourself and a number of willing creatures, each of which must have an Intelligence score of 3 or higher. Each creature included in the link is linked to all the others. The creatures can communicate telepathically through the bond regardless of language. No special power or influence is established as a result of the bond. Once the bond is formed, it works over any distance (although not from one plane to another).  If desired, you may leave yourself out of the telepathic bond forged. This decision must be made at the time of casting.  Telepathic bond can be made permanent with a permanency spell, though it only bonds two creatures per casting of permanency.</t>
  </si>
  <si>
    <t>Community (5), Language (5), Thought (5), Friendship (5), Aeon (5)</t>
  </si>
  <si>
    <t> Link lets allies communicate.</t>
  </si>
  <si>
    <t>Teleport</t>
  </si>
  <si>
    <t>sorcerer/wizard 5, summoner 4, witch 5, magus 5, occultist 5, psychic 5, spiritualist 5, unchained summoner 5, medium 4</t>
  </si>
  <si>
    <t>personal and touch</t>
  </si>
  <si>
    <t>This spell instantly transports you to a designated destination, which may be as distant as 100 miles per caster level. Interplanar travel is not possible. You can bring along objects as long as their weight doesn't exceed your maximum load. You may also bring one additional willing Medium or smaller creature (carrying gear or objects up to its maximum load) or its equivalent per three caster levels. A Large creature counts as two Medium creatures, a Huge creature counts as four Medium creatures, and so forth. All creatures to be transported must be in contact with one another, and at least one of those creatures must be in contact with you. As with all spells where the range is personal and the target is you, you need not make a saving throw, nor is spell resistance applicable to you. Only objects held or in use (attended) by another person receive saving throws and spell resistance. You must have some clear idea of the location and layout of the destination. The clearer your mental image, the more likely the teleportation works. Areas of strong physical or magical energy may make teleportation more hazardous or even impossible. To see how well the teleportation works, roll d% and consult the table at the end of this spell. Refer to the following information for definitions of the terms on the table. Familiarity: "Very familiar" is a place where you have been very often and where you feel at home. "Studied carefully" is a place you know well, either because you can currently physically see it or you've been there often. "Seen casually" is a place that you have seen more than once but with which you are not very familiar. "Viewed once" is a place that you have seen once, possibly using magic such as scrying. "False destination" is a place that does not truly exist or if you are teleporting to an otherwise familiar location that no longer exists as such or has been so completely altered as to no longer be familiar to you. When traveling to a false destination, roll 1d20+80 to obtain results on the table, rather than rolling d%, since there is no real destination for you to hope to arrive at or even be off target from. On Target: You appear where you want to be. Off Target: You appear safely a random distance away from the destination in a random direction. Distance off target is d% of the distance that was to be traveled. The direction off target is determined randomly. Similar Area: You wind up in an area that's visually or thematically similar to the target area. Generally, you appear in the closest similar place within range. If no such area exists within the spell's range, the spell simply fails instead. Mishap: You and anyone else teleporting with you have gotten "scrambled." You each take 1d10 points of damage, and you reroll on the chart to see where you wind up. For these rerolls, roll 1d20+80. Each time "Mishap" comes up, the characters take more damage and must reroll. O n O ff Similar Familiarity Target Target Area M ishap Very familiar 01-97 98-99 100 - Studied carefully 01-94 95-97 98-99 100 Seen casually 01-88 89-94 95-98 99-100 Viewed once 01-76 77-88 89-96 97-100 False destination - - 81-92 93-100</t>
  </si>
  <si>
    <t>Travel (5)</t>
  </si>
  <si>
    <t> Instantly transports you as far as 100 miles per level.</t>
  </si>
  <si>
    <t>Time (10)</t>
  </si>
  <si>
    <t>Teleport, Greater</t>
  </si>
  <si>
    <t>sorcerer/wizard 7, summoner 5, witch 7, psychic 7, unchained summoner 6</t>
  </si>
  <si>
    <t>This spell functions like teleport, except that there is no range limit and there is no chance you arrive off target. In addition, you need not have seen the destination, but in that case you must have at least a reliable description of the place to which you are teleporting. If you attempt to teleport with insufficient information (or with misleading information), you disappear and simply reappear in your original location. Interplanar travel is not possible.</t>
  </si>
  <si>
    <t>Travel (7)</t>
  </si>
  <si>
    <t> As teleport, but no range limit and no off-target arrival.</t>
  </si>
  <si>
    <t>Abyssal (15), Arcane (15), Infernal (15)</t>
  </si>
  <si>
    <t>Teleport Object</t>
  </si>
  <si>
    <t>one touched object of up to 50 lbs./level and 3 cu. ft./level</t>
  </si>
  <si>
    <t>This spell functions like teleport, except that it teleports an object, not you. Creatures and magical forces cannot be teleported.  If desired, the target object can be sent to a distant location on the Ethereal Plane. In this case, the point from which the object was teleported remains faintly magical until the item is retrieved. A successful targeted dispel magic spell cast on that point brings the vanished item back from the Ethereal Plane.</t>
  </si>
  <si>
    <t> As teleport, but affects a touched object.</t>
  </si>
  <si>
    <t>Teleportation Circle</t>
  </si>
  <si>
    <t>V, M (amber dust to cover circle worth 1,000 gp)</t>
  </si>
  <si>
    <t>5-ft.-radius circle that teleports those who activate it</t>
  </si>
  <si>
    <t>You create a circle on the floor or other horizontal surface that teleports, as greater teleport, any creature who stands on it to a designated spot. Once you designate the destination for the circle, you can't change it. The spell fails if you attempt to set the circle to teleport creatures into a solid object, to a place with which you are not familiar and have no clear description, or to another plane.  The circle itself is subtle and nearly impossible to notice. If you intend to keep creatures from activating it accidentally, you need to mark the circle in some way.  Teleportation circle can be made permanent with a permanency spell. A permanent teleportation circle that is disabled becomes inactive for 10 minutes, then can be triggered again as normal.  Magic traps such as teleportation circle are hard to detect and disable. A character with the trapfinding class feature can use the Disable Device to disarm magic traps. The DC in each case is 25 + spell level, or 34 in the case of teleportation circle.</t>
  </si>
  <si>
    <t>Rune (9)</t>
  </si>
  <si>
    <t> Teleports creatures inside circle.</t>
  </si>
  <si>
    <t>Temporal Stasis</t>
  </si>
  <si>
    <t>V, S, M (powdered diamond, emerald, ruby, and sapphire dust worth 5,000 gp)</t>
  </si>
  <si>
    <t>You must succeed on a melee touch attack. You place the subject into a state of suspended animation. For the creature, time ceases to flow, and its condition becomes fixed. The creature does not grow older. Its body functions virtually cease, and no force or effect can harm it. This state persists until the magic is removed (such as by a successful dispel magic spell or a freedom spell).</t>
  </si>
  <si>
    <t> Puts subject into suspended animation.</t>
  </si>
  <si>
    <t>Time (16)</t>
  </si>
  <si>
    <t>Time Stop</t>
  </si>
  <si>
    <t>1d4+1 rounds (apparent time); see text</t>
  </si>
  <si>
    <t>This spell seems to make time cease to flow for everyone but you. In fact, you speed up so greatly that all other creatures seem frozen, though they are actually still moving at their normal speeds. You are free to act for 1d4+1 rounds of apparent time. Normal and magical fire, cold, gas, and the like can still harm you. While the time stop is in effect, other creatures are invulnerable to your attacks and spells; you cannot target such creatures with any attack or spell. A spell that affects an area and has a duration longer than the remaining duration of the time stop have their normal effects on other creatures once the time stop ends. Most spellcasters use the additional time to improve their defenses, summon allies, or flee from combat.  You cannot move or harm items held, carried, or worn by a creature stuck in normal time, but you can affect any item that is not in another creature's possession.  You are undetectable while time stop lasts. You cannot enter an area protected by an antimagic field while under the effect of time stop.</t>
  </si>
  <si>
    <t>Trickery (9)</t>
  </si>
  <si>
    <t> You act freely for 1d4+1 rounds.</t>
  </si>
  <si>
    <t>Deception (18), Time (18), Trickery (18)</t>
  </si>
  <si>
    <t>Select a number of creatures equal to half your tier or fewer within close range (25 feet + 5 feet per 2 caster levels). Mythic time stop has the same effect on these creatures as it does on you, allowing them to act for the same number of rounds of apparent time that you can. You and these creatures can all interact with one another normally while time appears to be stopped.</t>
  </si>
  <si>
    <t>Augmented (10th): If you expend three uses of mythic power, the duration increases to 1 hour per level of apparent time. You and other affected creatures gain no benefit from rest or sleep while the spell is active.</t>
  </si>
  <si>
    <t>Tiny Hut</t>
  </si>
  <si>
    <t>bard 3, sorcerer/wizard 3, occultist 3</t>
  </si>
  <si>
    <t>V, S, M (a small crystal bead)</t>
  </si>
  <si>
    <t>20-ft.-radius sphere centered on your location</t>
  </si>
  <si>
    <t>You create an unmoving, opaque sphere of force of any color you desire around yourself. Half the sphere projects above the ground, and the lower hemisphere passes through the ground. As many as nine other Medium creatures can fit into the field with you; they can freely pass into and out of the hut without harming it. However, if you remove yourself from the hut, the spell ends.  The temperature inside the hut is 70 F if the exterior temperature is between 0 and 100 F. An exterior temperature below 0 or above 100 lowers or raises the interior temperature on a 1-degree-for-1 basis. The hut also provides protection against the elements, such as rain, dust, and sandstorms. The hut withstands any wind of less than hurricane force, but a hurricane (75+ mph wind speed) or greater force destroys it.  The interior of the hut is a hemisphere. You can illuminate it dimly upon command or extinguish the light as desired. Although the force field is opaque from the outside, it is transparent from within. Missiles, weapons, and most spell effects can pass through the hut without affecting it, although the occupants cannot be seen from outside the hut (they have total concealment).</t>
  </si>
  <si>
    <t>Creates shelter for 10 creatures.</t>
  </si>
  <si>
    <t>Tongues</t>
  </si>
  <si>
    <t>bard 2, cleric/oracle 4, sorcerer/wizard 3, alchemist 3, summoner/unchained summoner 3, witch 3, inquisitor 2, shaman 4, psychic 3, mesmerist 2, spiritualist 3, medium 2</t>
  </si>
  <si>
    <t>V, M/DF (a clay model of a ziggurat)</t>
  </si>
  <si>
    <t>This spell grants the creature touched the ability to speak and understand the language of any intelligent creature, whether it is a racial tongue or a regional dialect. The subject can speak only one language at a time, although it may be able to understand several languages. Tongues does not enable the subject to speak with creatures who don't speak. The subject can make itself understood as far as its voice carries. This spell does not predispose any creature addressed toward the subject in any way.  Tongues can be made permanent with a permanency spell.</t>
  </si>
  <si>
    <t>Agathion (3), Language (3)</t>
  </si>
  <si>
    <t>Speak and understand any language.</t>
  </si>
  <si>
    <t>Aberrant (Sorcerer) (7)</t>
  </si>
  <si>
    <t>Touch of Fatigue</t>
  </si>
  <si>
    <t>sorcerer/wizard 0, witch 0, shaman 0, occultist 0, mesmerist 0</t>
  </si>
  <si>
    <t>You channel negative energy through your touch, fatiguing the target. You must succeed on a touch attack to strike a target. The subject is immediately fatigued for the spell's duration.  This spell has no effect on a creature that is already fatigued.  Unlike with normal fatigue, the effect ends as soon as the spell's duration expires.</t>
  </si>
  <si>
    <t> Touch attack fatigues target.</t>
  </si>
  <si>
    <t>Touch of Idiocy</t>
  </si>
  <si>
    <t>sorcerer/wizard 2, witch 2, bloodrager 2, psychic 2, mesmerist 2, spiritualist 2, medium 2</t>
  </si>
  <si>
    <t>With a touch, you reduce the target's mental faculties. Your successful melee touch attack applies a 1d6 penalty to the target's Intelligence, Wisdom, and Charisma scores. This penalty can't reduce any of these scores below 1.  This spell's effect may make it impossible for the target to cast some or all of its spells, if the requisite ability score drops below the minimum required to cast spells of that level.</t>
  </si>
  <si>
    <t>Lust (2), Madness (2)</t>
  </si>
  <si>
    <t> Subject takes 1d6 penalty to Int, Wis, and Cha.</t>
  </si>
  <si>
    <t>Accursed (5), Daemon (5), Div (5)</t>
  </si>
  <si>
    <t>Transformation</t>
  </si>
  <si>
    <t>sorcerer/wizard 6, alchemist 6, witch 6, magus 6, occultist 6, psychic 6, spiritualist 6</t>
  </si>
  <si>
    <t>V, S, M (a potion of bull's strength, which you drink and whose effects are subsumed by the spell effects)</t>
  </si>
  <si>
    <t>You become a fighting machine- stronger, tougher, faster, and more skilled in combat. Your mindset changes so that you relish combat and you can't cast spells, even from magic items.  You gain a +4 enhancement bonus to Strength, Dexterity, and Constitution, a +4 natural armor bonus to AC, a +5 competence bonus on Fortitude saves, and proficiency with all simple and martial weapons. Your base attack bonus equals your character level (which may give you multiple attacks).  You lose your spellcasting ability, including your ability to use spell activation or spell completion magic items, just as if the spells were no longer on your class list.</t>
  </si>
  <si>
    <t> You gain combat bonuses.</t>
  </si>
  <si>
    <t>Abyssal (13), Boreal (13), Orc (13)</t>
  </si>
  <si>
    <t>You can still cast spells and use spell completion and spell trigger items, but the level of the spell you're casting or using must be equal to or less than your tier. You gain a number of temporary hit points equal to your caster level.</t>
  </si>
  <si>
    <t>Transmute Metal to Wood</t>
  </si>
  <si>
    <t>all metal objects within a 40-ft.-radius burst</t>
  </si>
  <si>
    <t>yes (object; see text)</t>
  </si>
  <si>
    <t>This spell enables you to change all metal objects within its area to wood. Weapons, armor, and other metal objects carried by creatures are affected as well. A magic object made of metal effectively has spell resistance equal to 20 + its caster level against this spell. Artifacts cannot be transmuted. Weapons converted from metal to wood take a -2 penalty on attack and damage rolls.  The armor bonus of any armor converted from metal to wood is reduced by 2. Weapons changed by this spell splinter and break on any natural attack roll of 1 or 2, and armor changed by this spell loses an additional point of armor bonus every time it is struck with a natural attack roll of 19 or 20.  Only limited wish, miracle, wish, or similar magic can restore a transmuted object to its metallic state.</t>
  </si>
  <si>
    <t> Metal within 40 ft. becomes wood.</t>
  </si>
  <si>
    <t>Transmute Mud to Rock</t>
  </si>
  <si>
    <t>druid 5, sorcerer/wizard 5, occultist 5</t>
  </si>
  <si>
    <t>V, S, M/DF (sand, lime, and water)</t>
  </si>
  <si>
    <t>up to two 10-ft. cubes/level</t>
  </si>
  <si>
    <t>This spell permanently transforms normal mud or quicksand of any depth into soft stone (sandstone or a similar mineral).  Any creature in the mud is allowed a Reflex save to escape before the area is hardened to stone.  Transmute mud to rock counters and dispels transmute rock to mud.</t>
  </si>
  <si>
    <t>Transforms two 10-ft. cubes per level.</t>
  </si>
  <si>
    <t>Transmute Rock to Mud</t>
  </si>
  <si>
    <t>V, S, M/DF (clay and water)</t>
  </si>
  <si>
    <t>This spell turns natural, uncut, or unworked rock of any sort into an equal volume of mud. Magical stone is not affected by the spell. The depth of the mud created cannot exceed 10 feet. A creature unable to levitate, fly, or otherwise free itself from the mud sinks until hip- or chest-deep, reducing its speed to 5 feet and causing a -2 penalty on attack rolls and AC. Brush or similar material thrown atop the mud can support creatures able to climb on top of it. Creatures large enough to walk on the bottom can wade through the area at a speed of 5 feet.  If transmute rock to mud is cast upon the ceiling of a cavern or tunnel, the mud falls to the floor and spreads out in a pool at a depth of 5 feet. The falling mud and the ensuing cave-in deal 8d6 points of bludgeoning damage to anyone caught directly beneath the targeted area, or half damage to those who succeed on Reflex saves.  Castles and large stone buildings are generally immune to the effect of the spell, since transmute rock to mud can't affect worked stone and doesn't reach deep enough to undermine such buildings' foundations. However, small buildings or structures often rest upon foundations shallow enough to be damaged or even partially toppled by this spell.  The mud remains until a successful dispel magic or transmute mud to rock spell restores its substance-but not necessarily its form. Evaporation turns the mud to normal dirt over a period of days. The exact time depends on exposure to the sun, wind, and normal drainage.  Transmute rock to mud counters and dispels transmute mud to rock.</t>
  </si>
  <si>
    <t>Kobold Sorcerer (11), Kobold (11)</t>
  </si>
  <si>
    <t>Transport via Plants</t>
  </si>
  <si>
    <t>You can enter any normal plant (equal to your size or larger) and pass any distance to a plant of the same kind in a single round, regardless of the distance separating the two. The plants must be alive. The destination plant need not be familiar to you. If you are uncertain of the location of a particular kind of destination plant, you need merely designate direction and distance and the transport via plants spell moves you as close as possible to the desired location. If a particular destination plant is desired but the plant is not living, the spell fails and you are ejected from the entry plant.  You can bring along objects as long as their weight doesn't exceed your maximum load. You may also bring one additional willing Medium or smaller creature (carrying gear or objects up to its maximum load) or its equivalent per three caster levels. Use the following equivalents to determine the maximum number of larger creatures you can bring along: a Large creature counts as two Medium creatures, a Huge creature counts as four Medium creatures, and so forth. All creatures to be transported by the spell must be in physical contact with one another, and at least one of those creatures must be in contact with you.  You can't use this spell to travel through plant creatures.  The destruction of an occupied plant slays you and any creatures you have brought along, and ejects the bodies and all carried objects from it.</t>
  </si>
  <si>
    <t> Move instantly from one plant to another of the same kind.</t>
  </si>
  <si>
    <t>Verdant (13)</t>
  </si>
  <si>
    <t>Trap the Soul</t>
  </si>
  <si>
    <t>1 standard action or see text</t>
  </si>
  <si>
    <t>V, S, M (gem worth 1,000 gp per HD of the trapped creature)</t>
  </si>
  <si>
    <t>Trap the soul forces a creature's life force (and its material body) into a gem. The gem holds the trapped entity indefinitely or until the gem is broken and the life force is released, which allows the material body to reform. If the trapped creature is a powerful creature from another plane, it can be required to perform a service immediately upon being freed. Otherwise, the creature can go free once the gem imprisoning it is broken.  Depending on the version selected, the spell can be triggered in one of two ways.  Spell Completion: First, the spell can be completed by speaking its final word as a standard action as if you were casting a regular spell at the subject. This allows spell resistance (if any) and a Will save to avoid the effect. If the creature's name is spoken as well, any spell resistance is ignored and the save DC increases by 2. If the save or spell resistance is successful, the gem shatters.  Trigger Object: The second method is far more insidious, for it tricks the subject into accepting a trigger object inscribed with the final spell word, automatically placing the creature's soul in the trap.  To use this method, both the creature's name and the trigger word must be inscribed on the trigger object when the gem is enspelled.  A sympathy spell can also be placed on the trigger object. As soon as the subject picks up or accepts the trigger object, its life force is automatically transferred to the gem without the benefit of spell resistance or a save.</t>
  </si>
  <si>
    <t>Souls (9), Psychopomp (8)</t>
  </si>
  <si>
    <t> Imprisons subject within gem.</t>
  </si>
  <si>
    <t>Oni (17)</t>
  </si>
  <si>
    <t>Occult (16)</t>
  </si>
  <si>
    <t>Tree Shape</t>
  </si>
  <si>
    <t>druid 2, ranger 3, shaman 2</t>
  </si>
  <si>
    <t>This spell allows you to assume the form of a Large living tree or shrub or a Large dead tree trunk with a small number of limbs. The exact type of tree, as well as its appearance, is completely under your control.  Even the closest inspection cannot reveal that the tree in question is actually a magically concealed creature. To all normal tests you are, in fact, a tree or shrub, although a detect magic spell reveals a faint transmutation on the tree. While in tree form, you can observe all that transpires around you just as if you were in your normal form, and your hit points and save bonuses remain unaffected. You gain a +10 natural armor bonus to AC but have an effective Dexterity score of 0 and a speed of 0 feet. You are immune to critical hits while in tree form. All clothing and gear carried or worn changes with you. You can dismiss tree shape as a free action (instead of as a standard action).</t>
  </si>
  <si>
    <t>You look exactly like a tree for 1 hour/level.</t>
  </si>
  <si>
    <t>Tree Stride</t>
  </si>
  <si>
    <t>druid 5, ranger 4</t>
  </si>
  <si>
    <t>1 hour/level or until expended; see text</t>
  </si>
  <si>
    <t>When you cast this spell, you gain the ability to step into a tree, magically infusing yourself with the plant. Once within a tree, you can teleport from that particular tree to another tree. The trees you enter must be of the same kind, must be living, and must have girth at least equal to yours. By moving into an oak tree (for example), you instantly know the location of all other oak trees within transport range (see below) and may choose whether you want to pass into one or simply step back out of the tree you moved into. You may choose to pass to any tree of the appropriate kind within the transport range as shown on the following table. Type of Tree Transport Range Oak, ash, yew 3,000 feet Elm, linden 2,000 feet Other deciduous 1,500 feet Any coniferous 1,000 feet You may move into a tree up to one time per caster level (passing from one tree to another counts only as moving into one tree). The spell lasts until the duration expires or you exit a tree. Each transport is a full-round action. You can, at your option, remain within a tree without transporting yourself, but you are forced out when the spell ends. If the tree in which you are concealed is chopped down or burned, you are slain if you do not exit before the process is complete.</t>
  </si>
  <si>
    <t>Step from one tree to another far away.</t>
  </si>
  <si>
    <t>Fey (11)</t>
  </si>
  <si>
    <t>Plant (10)</t>
  </si>
  <si>
    <t>True Resurrection</t>
  </si>
  <si>
    <t>V, S, M, DF (diamond worth 25,000 gp)</t>
  </si>
  <si>
    <t>This spell functions like raise dead, except that you can resurrect a creature that has been dead for as long as 10 years per caster level.  This spell can even bring back creatures whose bodies have been destroyed, provided that you unambiguously identify the deceased in some fashion (reciting the deceased's time and place of birth or death is the most common method).  Upon completion of the spell, the creature is immediately restored to full hit points, vigor, and health, with no negative levels (or Constitution points) and all of the prepared spells possessed by the creature when it died.  You can revive someone killed by a death effect or someone who has been turned into an undead creature and then destroyed.  This spell can also resurrect elementals or outsiders, but it can't resurrect constructs or undead creatures.  Even true resurrection can't restore to life a creature who has died of old age.</t>
  </si>
  <si>
    <t>Resurrection (9)</t>
  </si>
  <si>
    <t> As resurrection, plus remains aren't needed.</t>
  </si>
  <si>
    <t>Healing (18)</t>
  </si>
  <si>
    <t>True Seeing</t>
  </si>
  <si>
    <t>cleric/oracle 5, druid 7, sorcerer/wizard 6, alchemist 6, summoner 5, witch 6, inquisitor 5, magus 6, shaman 5, occultist 5, psychic 5, mesmerist 6, spiritualist 6, unchained summoner 6, medium 4</t>
  </si>
  <si>
    <t>V, S, M (an eye ointment that costs 250 gp)</t>
  </si>
  <si>
    <t>You confer on the subject the ability to see all things as they actually are. The subject sees through normal and magical darkness, notices secret doors hidden by magic, sees the exact locations of creatures or objects under blur or displacement effects, sees invisible creatures or objects normally, sees through illusions, and sees the true form of polymorphed, changed, or transmuted things. Further, the subject can focus its vision to see into the Ethereal Plane (but not into extradimensional spaces). The range of true seeing conferred is 120 feet.  True seeing, however, does not penetrate solid objects. It in no way confers X-ray vision or its equivalent. It does not negate concealment, including that caused by fog and the like. True seeing does not help the viewer see through mundane disguises, spot creatures who are simply hiding, or notice secret doors hidden by mundane means. In addition, the spell effects cannot be further enhanced with known magic, so one cannot use true seeing through a crystal ball or in conjunction with clairaudience/clairvoyance.</t>
  </si>
  <si>
    <t>Knowledge (5), Revelation (5)</t>
  </si>
  <si>
    <t>Lets you see all things as they really are.</t>
  </si>
  <si>
    <t>Arcane (13)</t>
  </si>
  <si>
    <t>True Strike</t>
  </si>
  <si>
    <t>sorcerer/wizard 1, alchemist 1, inquisitor 1, magus 1, bloodrager 1, psychic 1, medium 1</t>
  </si>
  <si>
    <t>V, F (small wooden replica of an archery target)</t>
  </si>
  <si>
    <t>You gain temporary, intuitive insight into the immediate future during your next attack. Your next single attack roll (if it is made before the end of the next round) gains a +20 insight bonus.  Additionally, you are not affected by the miss chance that applies to attackers trying to strike a concealed target.</t>
  </si>
  <si>
    <t>Destruction (1), Luck (1), Fist (1)</t>
  </si>
  <si>
    <t> +20 on your next attack roll.</t>
  </si>
  <si>
    <t>Shaitan (3)</t>
  </si>
  <si>
    <t>The affected attack bypasses all damage reduction.</t>
  </si>
  <si>
    <t>Augmented (2nd): If you expend two uses of mythic power, you gain a +10 insight bonus on your second attack that round and a +5 insight bonus on your third attack that round. The second and third attacks can be on your turn or on another creature's turn before your next turn (such as when you attempt an attack of opportunity).</t>
  </si>
  <si>
    <t>Undeath to Death</t>
  </si>
  <si>
    <t>cleric/oracle 6, sorcerer/wizard 6, inquisitor 6, spiritualist 6</t>
  </si>
  <si>
    <t>V, S, M/DF (diamond powder worth 500 gp)</t>
  </si>
  <si>
    <t>several undead creatures within a 40-ft.-radius burst</t>
  </si>
  <si>
    <t>This spell functions like circle of death, except that it destroys undead creatures as noted above.</t>
  </si>
  <si>
    <t>Glory (6), Repose (6)</t>
  </si>
  <si>
    <t>Destroys 1d4 HD/level undead (max. 20d4).</t>
  </si>
  <si>
    <t>Undead (13)</t>
  </si>
  <si>
    <t>Undetectable Alignment</t>
  </si>
  <si>
    <t>bard 1, cleric/oracle 2, paladin 2, alchemist 2, inquisitor 2, antipaladin 2, psychic 2, mesmerist 1</t>
  </si>
  <si>
    <t>An undetectable alignment spell conceals the alignment of an object or a creature from all forms of divination.</t>
  </si>
  <si>
    <t>Conceals alignment for 24 hours.</t>
  </si>
  <si>
    <t>Unhallow</t>
  </si>
  <si>
    <t>V, S, M (herbs, oils, and incense worth at least 1,000 gp, plus 1,000 gp per level of the spell to be tied to the unhallowed area)</t>
  </si>
  <si>
    <t>Unhallow makes a particular site, building, or structure an unholy site. This has three major effects.  First, the site or structure is guarded by a magic circle against good effect.  Second, the DC to resist negative channeled energy within the spell's area of effect gains a +4 sacred bonus and the DC to resist positive energy is reduced by 4. Spell resistance does not apply to this effect. This provision does not apply to the druid version of the spell.  Finally, you may choose to fix a single spell effect to the unhallowed site. The spell effect lasts for 1 year and functions throughout the entire site, regardless of its normal duration and area or effect. You may designate whether the effect applies to all creatures, creatures that share your faith or alignment, or creatures that adhere to another faith or alignment. At the end of the year, the chosen effect lapses, but it can be renewed or replaced simply by casting unhallow again.  Spell effects that may be tied to an unhallowed site include aid, bane, bless, cause fear, darkness, daylight, death ward, deeper darkness, detect magic, detect good, dimensional anchor, discern lies, dispel magic, endure elements, freedom of movement, invisibility purge, protection from energy, remove fear, resist energy, silence, tongues, and zone of truth.  Saving throws and spell resistance might apply to these spells' effects. (See the individual spell descriptions for details.) An area can receive only one unhallow spell (and its associated spell effect) at a time.  Unhallow counters but does not dispel hallow.</t>
  </si>
  <si>
    <t>Designates location as unholy.</t>
  </si>
  <si>
    <t>Unholy Aura</t>
  </si>
  <si>
    <t>A malevolent darkness surrounds the subjects, protecting them from attacks, granting them resistance to spells cast by good creatures, and weakening good creatures when they strike the subjects. This abjuration has four effects.  First, each warded creature gains a +4 deflection bonus to AC and a +4 resistance bonus on saves. Unlike the effect of protection from good, this benefit applies against all attacks, not just against attacks by good creatures.  Second, a warded creature gains SR 25 against good spells and spells cast by good creatures.  Third, the abjuration protects the subjects from possession and mental influence, just as protection from good does.  Finally, if a good creature succeeds on a melee attack against a warded creature, the offending attacker takes 1d6 points of Strength damage (Fortitude negates).</t>
  </si>
  <si>
    <t>Evil (8)</t>
  </si>
  <si>
    <t> +4 to AC, +4 resistance, and SR 25 against good spells.</t>
  </si>
  <si>
    <t>Abyssal (17), Ghoul (17)</t>
  </si>
  <si>
    <t>Unholy Blight</t>
  </si>
  <si>
    <t>instantaneous (1d4 rounds); see text</t>
  </si>
  <si>
    <t>You call up unholy power to smite your enemies. The power takes the form of a cold, cloying miasma of greasy darkness. Only good and neutral (not evil) creatures are harmed by the spell.  The spell deals 1d8 points of damage per two caster levels (maximum 5d8) to a good creature (or 1d6 per caster level, maximum 10d6, to a good outsider) and causes it to be sickened for 1d4 rounds. A successful Will save reduces damage to half and negates the sickened effect. The effects cannot be negated by remove disease or heal, but remove curse is effective.  The spell deals only half damage to creatures who are neither evil nor good, and they are not sickened. Such a creature can reduce the damage by half again (down to one-quarter) with a successful Will save.</t>
  </si>
  <si>
    <t>Evil (4)</t>
  </si>
  <si>
    <t> Harms and sickens good creatures (1d8 damage/2 levels).</t>
  </si>
  <si>
    <t>The damage dealt to good outsiders increases to 1d10 points of damage per caster level (maximum 10d10) and the damage dealt to other good creatures increases to 1d12 points of damage per 2 caster levels (maximum 5d12). The duration that creatures within the area are sickened increases to 2d4 rounds. On a successful save, a good creature is slowed for 1 round.</t>
  </si>
  <si>
    <t>Unseen Servant</t>
  </si>
  <si>
    <t>bard 1, sorcerer/wizard 1, summoner/unchained summoner 1, witch 1, magus 1, occultist 1, psychic 1, mesmerist 1, spiritualist 1, medium 1</t>
  </si>
  <si>
    <t>V, S, M (a piece of string and a bit of wood)</t>
  </si>
  <si>
    <t>one invisible, mindless, shapeless servant</t>
  </si>
  <si>
    <t>An unseen servant is an invisible, mindless, shapeless force that performs simple tasks at your command. It can run and fetch things, open unstuck doors, and hold chairs, as well as clean and mend. The servant can perform only one activity at a time, but it repeats the same activity over and over again if told to do so as long as you remain within range. It can open only normal doors, drawers, lids, and the like. It has an effective Strength score of 2 (so it can lift 20 pounds or drag 100 pounds). It can trigger traps and such, but it can exert only 20 pounds of force, which is not enough to activate certain pressure plates and other devices. It can't perform any task that requires a skill check with a DC higher than 10 or that requires a check using a skill that can't be used untrained. This servant cannot fly, climb, or even swim (though it can walk on water). Its base speed is 15 feet.  The servant cannot attack in any way; it is never allowed an attack roll. It cannot be killed, but it dissipates if it takes 6 points of damage from area attacks. (It gets no saves against attacks.) If you attempt to send it beyond the spell's range (measured from your current position), the servant ceases to exist.</t>
  </si>
  <si>
    <t>Invisible force obeys your commands.</t>
  </si>
  <si>
    <t>Starsoul (3)</t>
  </si>
  <si>
    <t>Vampiric Touch</t>
  </si>
  <si>
    <t>sorcerer/wizard 3, witch 3, antipaladin 3, magus 3, bloodrager 3, psychic 3, mesmerist 3, spiritualist 3, medium 3</t>
  </si>
  <si>
    <t>instantaneous/1 hour; see text</t>
  </si>
  <si>
    <t>You must succeed on a melee touch attack. Your touch deals 1d6 points of damage per two caster levels (maximum 10d6). You gain temporary hit points equal to the damage you deal. You can't gain more than the subject's current hit points + the subject's Constitution score (which is enough to kill the subject). The temporary hit points disappear 1 hour later.</t>
  </si>
  <si>
    <t>Blood (3), Daemon (3)</t>
  </si>
  <si>
    <t>Touch deals 1d6 damage/2 levels; caster gains damage as temporary hp.</t>
  </si>
  <si>
    <t>Undead (7), Daemon (7), Ghoul (7)</t>
  </si>
  <si>
    <t>The spell's damage increases to 1d8 points of damage per 2 caster levels (maximum 10d8). Your melee touch attack to deliver the spell threatens a critical hit on a 19 or 20. This expanded threat range doesn't stack with other effects or abilities that increase the threat range. If the damage kills the target, you gain fast healing 5 for a number of rounds equal to the Hit Dice of the target.</t>
  </si>
  <si>
    <t>Veil</t>
  </si>
  <si>
    <t>concentration + 1 hour/level</t>
  </si>
  <si>
    <t>You instantly change the appearance of the subjects and then maintain that appearance for the spell's duration. You can make the subjects appear to be anything you wish. The subjects look, feel, and smell just like the creatures the spell makes them resemble. Affected creatures resume their normal appearances if slain. You must succeed on a Disguise check to duplicate the appearance of a specific individual. This spell gives you a +10 bonus on the check.  Unwilling targets can negate the spell's effect on them by making Will saves or with spell resistance. Those who interact with the subjects can attempt Will disbelief saves to see through the glamer, but spell resistance doesn't help.</t>
  </si>
  <si>
    <t>Ambush (6)</t>
  </si>
  <si>
    <t>Changes appearance of group of creatures.</t>
  </si>
  <si>
    <t>Aberrant (Sorcerer) (13)</t>
  </si>
  <si>
    <t>Ventriloquism</t>
  </si>
  <si>
    <t>bard 1, sorcerer/wizard 1, summoner/unchained summoner 1, psychic 1, mesmerist 1, spiritualist 1, medium 1</t>
  </si>
  <si>
    <t>V, F (parchment rolled into cone)</t>
  </si>
  <si>
    <t>intelligible sound, usually speech</t>
  </si>
  <si>
    <t>You can make your voice (or any sound that you can normally make vocally) seem to issue from someplace else. You can speak in any language you know. With respect to such voices and sounds, anyone who hears the sound and rolls a successful save recognizes it as illusory (but still hears it).</t>
  </si>
  <si>
    <t>Throws voice for 1 min./level.</t>
  </si>
  <si>
    <t>Maestro (3)</t>
  </si>
  <si>
    <t>Deception (2), Time (2)</t>
  </si>
  <si>
    <t>Virtue</t>
  </si>
  <si>
    <t>cleric/oracle 0, druid 0, paladin 1, inquisitor 0, shaman 0, psychic 0, spiritualist 0, medium 0</t>
  </si>
  <si>
    <t>1 min.</t>
  </si>
  <si>
    <t>With a touch, you infuse a creature with a tiny surge of life, granting the subject 1 temporary hit point.</t>
  </si>
  <si>
    <t>Subject gains 1 temporary hp.</t>
  </si>
  <si>
    <t>Vision</t>
  </si>
  <si>
    <t>sorcerer/wizard 7, witch 7, shaman 7, psychic 7</t>
  </si>
  <si>
    <t>This spell functions like legend lore, except that it works more quickly and produces some strain on you. You pose a question about some person, place, or object, then cast the spell. If the person or object is at hand or if you are in the place in question, you receive a vision about it by succeeding on a caster level check (1d20 + 1 per caster level; maximum +25) against DC 20. If only detailed information on the person, place, or object is known, the DC is 25, and the information gained is incomplete. If only rumors are known, the DC is 30, and the information gained is vague. After this spell is complete, you are fatigued.</t>
  </si>
  <si>
    <t> As legend lore, but quicker.</t>
  </si>
  <si>
    <t>Dreamspun (15)</t>
  </si>
  <si>
    <t>Portents (14)</t>
  </si>
  <si>
    <t>Wail of the Banshee</t>
  </si>
  <si>
    <t>death, sonic</t>
  </si>
  <si>
    <t>sorcerer/wizard 9, witch 9, shaman 9, psychic 9</t>
  </si>
  <si>
    <t>one living creature/level within a 40-ft.-radius spread</t>
  </si>
  <si>
    <t>When you cast this spell, you emit a terrible, soul-chilling scream that possibly kills creatures that hear it (except for yourself ). The spell affects up to one creature per caster level, inflicting 10 points of damage per caster level. Creatures closest to the point of origin are affected first.</t>
  </si>
  <si>
    <t>Death (9), Repose (9)</t>
  </si>
  <si>
    <t> Deals 10 damage/level to 1 creature/level.</t>
  </si>
  <si>
    <t>Maestro (19), Ghoul (19)</t>
  </si>
  <si>
    <t>Wall Of Fire</t>
  </si>
  <si>
    <t>druid 5, sorcerer/wizard 4, summoner 3, magus 4, bloodrager 4, shaman 5, occultist 4, unchained summoner 4</t>
  </si>
  <si>
    <t>V, S, M/DF (a piece of phosphor)</t>
  </si>
  <si>
    <t>opaque sheet of flame up to 20 ft. long/level or a ring of fire with a radius of up to 5 ft./two levels; either form 20 ft. high</t>
  </si>
  <si>
    <t>An immobile, blazing curtain of shimmering violet fire springs into existence. One side of the wall, selected by you, sends forth waves of heat, dealing 2d4 points of fire damage to creatures within 10 feet and 1d4 points of fire damage to those past 10 feet but within 20 feet. The wall deals this damage when it appears, and to all creatures in the area on your turn each round. In addition, the wall deals 2d6 points of fire damage + 1 point of fire damage per caster level (maximum +20) to any creature passing through it. The wall deals double damage to undead creatures.  If you evoke the wall so that it appears where creatures are, each creature takes damage as if passing through the wall. If any 5-foot length of wall takes 20 points or more of cold damage in 1 round, that length goes away. (Do not divide cold damage by 2, as normal for objects.) Wall of fire can be made permanent with a permanency spell. A permanent wall of fire that is extinguished by cold damage becomes inactive for 10 minutes, then reforms at normal strength.</t>
  </si>
  <si>
    <t>Fire (4)</t>
  </si>
  <si>
    <t>Deals 2d4 fire damage out to 10 ft. and 1d4 out to 20 ft. Passing through wall deals 2d6 damage +1/level.</t>
  </si>
  <si>
    <t>Efreeti (9), Orc (9)</t>
  </si>
  <si>
    <t>Summer (10)</t>
  </si>
  <si>
    <t>The wall's damage increases to 2d6 points of fire damage to creatures within 10 feet, 1d6 points of fire damage to those past 10 feet but within 20 feet, and 2d8 points of fire damage + 1 point of fire damage per caster level (maximum +20) to any creature passing through it. Any creature that passes through the wall or is within 5 feet of the wall when it's created must succeed at a Reflex save or catch fire. Attempts to extinguish this fire use the spell's save DC.</t>
  </si>
  <si>
    <t>Augmented (5th): If you expend two uses of mythic power, you may move the wall 5 feet in any direction as a move action on your turn. Moving the wall into a fireproof barrier (such as a stone wall) destroys the part of the wall that overlaps the barrier.</t>
  </si>
  <si>
    <t>Wall Of Force</t>
  </si>
  <si>
    <t>V, S, M (powdered quartz)</t>
  </si>
  <si>
    <t>wall whose area is up to one 10-ft. square/level</t>
  </si>
  <si>
    <t>1 round /level (D)</t>
  </si>
  <si>
    <t>A wall of force creates an invisible wall of pure force. The wall cannot move and is not easily destroyed. A wall of force is immune to dispel magic, although a mage's disjunction can still dispel it.  A wall of force can be damaged by spells as normal, except for disintegrate, which automatically destroys it. It can be damaged by weapons and supernatural abilities, but a wall of force has hardness 30 and a number of hit points equal to 20 per caster level. Contact with a sphere of annihilation or rod of cancellation instantly destroys a wall of force.  Breath weapons and spells cannot pass through a wall of force in either direction, although dimension door, teleport, and similar effects can bypass the barrier. It blocks ethereal creatures as well as material ones (though ethereal creatures can usually circumvent the wall by going around it, through material floors and ceilings). Gaze attacks can operate through a wall of force.  The caster can form the wall into a flat, vertical plane whose area is up to one 10-foot square per level. The wall must be continuous and unbroken when formed. If its surface is broken by any object or creature, the spell fails.  Wall of force can be made permanent with a permanency spell.</t>
  </si>
  <si>
    <t>Isolation (6)</t>
  </si>
  <si>
    <t> Wall is immune to damage.</t>
  </si>
  <si>
    <t>The wall's hardness increases to 40, and its hit points increase to 30 per caster level. A non-mythic disintegrate spell or rod of cancellation negates a 10-foot-square section of a mythic wall of force for 1 round, after which the wall reforms at full strength. One side of the wall (chosen by you) repels creatures within 5 feet as a repulsion spell (using the DC wall of force would have if it allowed a saving throw).</t>
  </si>
  <si>
    <t>Wall Of Ice</t>
  </si>
  <si>
    <t>sorcerer/wizard 4, summoner 3, magus 4, bloodrager 4, occultist 4, unchained summoner 4</t>
  </si>
  <si>
    <t>V, S, M (a piece of quartz or rock crystal)</t>
  </si>
  <si>
    <t>anchored plane of ice, up to one 10-ft. square/level, or hemisphere of ice with a radius of up to 3 ft. + 1 ft./level</t>
  </si>
  <si>
    <t>Reflex negates; see text</t>
  </si>
  <si>
    <t>This spell creates an anchored plane of ice or a hemisphere of ice, depending on the version selected. A wall of ice cannot form in an area occupied by physical objects or creatures. Its surface must be smooth and unbroken when created. Any creature adjacent to the wall when it is created may attempt a Reflex save to disrupt the wall as it is being formed. A successful save indicates that the spell automatically fails.  Fire can melt a wall of ice, and it deals full damage to the wall (instead of the normal half damage taken by objects). Suddenly melting a wall of ice creates a great cloud of steamy fog that lasts for 10 minutes.  Ice Plane: A sheet of strong, hard ice appears. The wall is 1 inch thick per caster level. It covers up to a 10-foot-square area per caster level (so a 10th-level wizard can create a wall of ice 100 feet long and 10 feet high, a wall 50 feet long and 20 feet high, or any other combination of length and height that does not exceed 1,000 square feet). The plane can be oriented in any fashion as long as it is anchored. A vertical wall need only be anchored on the floor, while a horizontal or slanting wall must be anchored on two opposite sides.  Each 10-foot square of wall has 3 hit points per inch of thickness.  Creatures can hit the wall automatically. A section of wall whose hit points drop to 0 is breached. If a creature tries to break through the wall with a single attack, the DC for the Strength check is 15 + caster level.  Even when the ice has been broken through, a sheet of frigid air remains. Any creature stepping through it (including the one who broke through the wall) takes 1d6 points of cold damage + 1 point per caster level (no save).  Hemisphere: The wall takes the form of a hemisphere whose maximum radius is 3 feet + 1 foot per caster level. The hemisphere is as hard to break through as the ice plane form, but it does not deal damage to those who go through a breach.</t>
  </si>
  <si>
    <t> Ice plane creates wall or hemisphere creates dome.</t>
  </si>
  <si>
    <t>Boreal (9), Marid (9)</t>
  </si>
  <si>
    <t>Elements (8), Winter (8)</t>
  </si>
  <si>
    <t>The wall's hit points increase to 5 hit points per inch of thickness. Add your tier to the Strength check DC to break through the wall. The damage dealt to those that step through the wall increases to 1d8 points of cold damage + 1 point per caster level. Any creature that passes through the wall must succeed at a Fortitude save or be staggered for 1d4 rounds; this is a cold effect.</t>
  </si>
  <si>
    <t>Augmented (5th): If you expend two uses of mythic power, you cover the wall in sharp, protruding icicles. Any creature that touches, strikes, or breaks through the wall takes 1d6 points of cold damage, 1d6 points of piercing damage, and 1 point of bleed damage.</t>
  </si>
  <si>
    <t>Wall of Iron</t>
  </si>
  <si>
    <t>sorcerer/wizard 6, summoner 5, magus 6, occultist 6, unchained summoner 6</t>
  </si>
  <si>
    <t>V, S, M (a small iron sheet plus gold dust worth 50 gp)</t>
  </si>
  <si>
    <t>iron wall whose area is up to one 5-ft. square/level; see text</t>
  </si>
  <si>
    <t>You cause a flat, vertical iron wall to spring into being. The wall inserts itself into any surrounding nonliving material if its area is sufficient to do so. The wall cannot be conjured so that it occupies the same space as a creature or another object. It must always be a flat plane, though you can shape its edges to fit the available space.  A wall of iron is 1 inch thick per four caster levels. You can double the wall's area by halving its thickness. Each 5-foot square of the wall has 30 hit points per inch of thickness and hardness 10. A section of wall whose hit points drop to 0 is breached. If a creature tries to break through the wall with a single attack, the DC for the Strength check is 25 + 2 per inch of thickness.  If you desire, the wall can be created vertically resting on a flat surface but not attached to the surface, so that it can be tipped over to fall on and crush creatures beneath it. The wall is 50% likely to tip in either direction if left unpushed. Creatures can push the wall in one direction rather than letting it fall randomly. A creature must make a DC 40 Strength check to push the wall over. Creatures with room to flee the falling wall may do so by making successful Reflex saves. Any Large or smaller creature that fails takes 10d6 points of damage while fleeing from the wall. The wall cannot crush Huge and larger creatures.  Like any iron wall, this wall is subject to rust, perforation, and other natural phenomena. Iron created by this spell is not suitable for use in the creation of other objects and cannot be sold.</t>
  </si>
  <si>
    <t>Artifice (7), Metal (6)</t>
  </si>
  <si>
    <t> 30 hp/four levels; can topple onto foes.</t>
  </si>
  <si>
    <t>Shaitan (13)</t>
  </si>
  <si>
    <t>Wall Of Thorns</t>
  </si>
  <si>
    <t>druid 5, shaman 5</t>
  </si>
  <si>
    <t>wall of thorny brush, up to one 10-ft. cube/level (S)</t>
  </si>
  <si>
    <t>A wall of thorns spell creates a barrier of very tough, pliable, tangled brush bearing needle-sharp thorns as long as a human's finger. Any creature forced into or attempting to move through a wall of thorns takes piercing damage per round of movement equal to 25 minus the creature's AC. Dexterity and dodge bonuses to AC do not count for this calculation. (Creatures with an AC of 25 or higher, without considering Dexterity and dodge bonuses, take no damage from contact with the wall.) You can make the wall as thin as 5 feet thick, which allows you to shape the wall as a number of 10-by-10-by-5-foot blocks equal to twice your caster level. This has no effect on the damage dealt by the thorns, but any creature attempting to break through takes that much less time to force its way through the barrier.  Creatures can force their way slowly through the wall by making a Strength check as a full-round action. For every 5 points by which the check exceeds 20, a creature moves 5 feet (up to a maximum distance equal to its normal land speed). Of course, moving or attempting to move through the thorns incurs damage as described above. A creature trapped in the thorns can choose to remain motionless in order to avoid taking any more damage.  Any creature within the area of the spell when it is cast takes damage as if it had moved into the wall and is caught inside. In order to escape, it must attempt to push its way free, or it can wait until the spell ends. Creatures with the ability to pass through overgrown areas unhindered can pass through a wall of thorns at normal speed without taking damage.  A wall of thorns can be breached by slow work with edged weapons. Chopping away at the wall creates a safe passage 1 foot deep for every 10 minutes of work. Normal fire cannot harm the barrier, but magical fire burns it away in 10 minutes.</t>
  </si>
  <si>
    <t>Blood (5), Plant (5)</t>
  </si>
  <si>
    <t> Thorns damage anyone who tries to pass.</t>
  </si>
  <si>
    <t>Verdant (11)</t>
  </si>
  <si>
    <t>Thorns (10)</t>
  </si>
  <si>
    <t>The damage dealt increases to 30 minus the creature's AC. Any creature adjacent to the wall is automatically grappled by it. Any creature that begins its turn grappled by the wall takes 2d6 points of damage. Half of this damage is bludgeoning, and the other half is piercing. For the purpose of escaping this grapple, the wall's CMD is 10 + your caster level + your tier.</t>
  </si>
  <si>
    <t>Augmented (6th): If you expend two uses of mythic power, the wall automatically grapples creatures other than you within 10 feet. Any creature grappled by the wall takes 2d6 points of bleed damage. If a creature doesn't escape the wall's grapple, on its next turn the wall automatically pins it.</t>
  </si>
  <si>
    <t>Warp Wood</t>
  </si>
  <si>
    <t>druid 2, shaman 2, occultist 2</t>
  </si>
  <si>
    <t>1 Small wooden object/level, all within a 20-ft. radius</t>
  </si>
  <si>
    <t>You cause wood to bend and warp, permanently destroying its straightness, form, and strength. A warped door springs open (or becomes stuck, requiring a Strength check to open, at your option). A boat or ship springs a leak. Warped ranged weapons are useless. A warped melee weapon causes a -4 penalty on attack rolls.  You may warp one Small or smaller object or its equivalent per caster level. A Medium object counts as two Small objects, a Large object as four, a Huge object as eight, a Gargantuan object as 16, and a Colossal object as 32.  Alternatively, you can unwarp wood (effectively warping it back to normal) with this spell. Make whole, on the other hand, does no good in repairing a warped item.  You can combine multiple consecutive warp wood spells to warp (or unwarp) an object that is too large for you to warp with a single spell. Until the object is completely warped, it suffers no ill effects.</t>
  </si>
  <si>
    <t> Bends wood.</t>
  </si>
  <si>
    <t>Water Breathing</t>
  </si>
  <si>
    <t>cleric/oracle 3, druid 3, sorcerer/wizard 3, alchemist 3, summoner/unchained summoner 3, magus 3, bloodrager 3, shaman 3, psychic 3</t>
  </si>
  <si>
    <t>V, S, M/DF (short reed or piece of straw)</t>
  </si>
  <si>
    <t>living creatures touched</t>
  </si>
  <si>
    <t>2 hours/level; see text</t>
  </si>
  <si>
    <t>The transmuted creatures can breathe water freely. Divide the duration evenly among all the creatures you touch. The spell does not make creatures unable to breathe air.</t>
  </si>
  <si>
    <t>Water (3)</t>
  </si>
  <si>
    <t>Subjects can breathe underwater.</t>
  </si>
  <si>
    <t>Water Walk</t>
  </si>
  <si>
    <t>cleric/oracle 3, ranger 3, witch 3, shaman 3, psychic 3, medium 2</t>
  </si>
  <si>
    <t>The transmuted creatures can tread on any liquid as if it were firm ground. Mud, oil, snow, quicksand, running water, ice, and even lava can be traversed easily, since the subjects' feet hover an inch or two above the surface. Creatures crossing molten lava still take damage from the heat because they are near it. The subjects can walk, run, charge, or otherwise move across the surface as if it were normal ground.  If the spell is cast underwater (or while the subjects are partially or wholly submerged in whatever liquid they are in), the subjects are borne toward the surface at 60 feet per round until they can stand on it.</t>
  </si>
  <si>
    <t>Oceans (3)</t>
  </si>
  <si>
    <t>Subject treads on water as if solid.</t>
  </si>
  <si>
    <t>Waves of Exhaustion</t>
  </si>
  <si>
    <t>Waves of negative energy cause all living creatures in the spell's area to become exhausted. This spell has no effect on a creature that is already exhausted.</t>
  </si>
  <si>
    <t>Repose (8), Toil (7)</t>
  </si>
  <si>
    <t> Several targets become exhausted.</t>
  </si>
  <si>
    <t>Oni (15), Daemon (15)</t>
  </si>
  <si>
    <t>Occult (14)</t>
  </si>
  <si>
    <t>Waves of Fatigue</t>
  </si>
  <si>
    <t>sorcerer/wizard 5, witch 5, psychic 5, mesmerist 5, spiritualist 5</t>
  </si>
  <si>
    <t>Waves of negative energy render all living creatures in the spell's area fatigued. This spell has no effect on a creature that is already fatigued.</t>
  </si>
  <si>
    <t>Toil (5)</t>
  </si>
  <si>
    <t> Several targets become fatigued.</t>
  </si>
  <si>
    <t>Undead (11)</t>
  </si>
  <si>
    <t>Web</t>
  </si>
  <si>
    <t>sorcerer/wizard 2, witch 2, magus 2</t>
  </si>
  <si>
    <t>V, S, M (spider web)</t>
  </si>
  <si>
    <t>webs in a 20-ft.-radius spread</t>
  </si>
  <si>
    <t>Web creates a many-layered mass of strong, sticky strands. These strands trap those caught in them. The strands are similar to spiderwebs but far larger and tougher. These masses must be anchored to two or more solid and diametrically opposed points or else the web collapses upon itself and disappears. Creatures caught within a web become grappled by the sticky fibers. Attacking a creature in a web doesn't cause you to become grappled.  Anyone in the effect's area when the spell is cast must make a Reflex save. If this save succeeds, the creature is inside the web but is otherwise unaffected. If the save fails, the creature gains the grappled condition, but can break free by making a combat maneuver check or Escape Artist check as a standard action against the DC of this spell. The entire area of the web is considered difficult terrain. Anyone moving through the webs must make a combat maneuver check or Escape Artist check as part of their move action, with a DC equal to the spell's DC. Creatures that fail lose their movement and become grappled in the first square of webbing that they enter.  If you have at least 5 feet of web between you and an opponent, it provides cover. If you have at least 20 feet of web between you, it provides total cover.  The strands of a web spell are flammable. A flaming weapon can slash them away as easily as a hand brushes away cobwebs. Any fire can set the webs alight and burn away one 5-foot square in 1 round. All creatures within flaming webs take 2d4 points of fire damage from the flames.  Web can be made permanent with a permanency spell. A permanent web that is damaged (but not destroyed) regrows in 10 minutes.</t>
  </si>
  <si>
    <t> Fills 20-ft.-radius spread with sticky spiderwebs that can grapple foes and impair movement.</t>
  </si>
  <si>
    <t>The webs are filled with spider swarms (one spider swarm for each 10-foot-by-10-foot area covered in webs). Any creature caught in or moving through the webs is attacked by a spider swarm (or multiple swarms, if it passes through the space of more than one swarm). The spiders don't leave the area of webbing. Destroying the web in an area destroys the swarm there as well, and completely destroying the web destroys all the swarms.</t>
  </si>
  <si>
    <t>Augmented (5th): If you expend two uses of mythic power, the webs increase to a 50-foot-radius spread. Webs span any gaps between available anchor points in the area, possibly creating multiple non-contiguous webbed areas. Non-mythic abilities that make creatures immune to webs (such as freedom of movement) instead give them a +5 bonus on saves, combat maneuver checks, and Escape Artist checks against mythic web.</t>
  </si>
  <si>
    <t>Weird</t>
  </si>
  <si>
    <t>any number of creatures, no two of which can be more than 30 ft. apart</t>
  </si>
  <si>
    <t>This spell functions like phantasmal killer, except it can affect more than one creature. Only the affected creatures see the phantasmal creatures attacking them, though you see the attackers as shadowy shapes.  If a subject's Fortitude save succeeds, it still takes 3d6 points of damage and is stunned for 1 round. The subject also takes 1d4 points of Strength damage.</t>
  </si>
  <si>
    <t>Madness (9), Nightmare (9)</t>
  </si>
  <si>
    <t> As phantasmal killer, but affects all within 30 ft.</t>
  </si>
  <si>
    <t>Harrow (19)</t>
  </si>
  <si>
    <t>Ancestors (18)</t>
  </si>
  <si>
    <t>Whirlwind</t>
  </si>
  <si>
    <t>cyclone 10 ft. wide at base, 30 ft. wide at top, and 30 ft. tall</t>
  </si>
  <si>
    <t>This spell creates a powerful cyclone of raging wind that moves through the air, along the ground, or over water at a speed of 60 feet per round. You can concentrate on controlling the cyclone's every movement or specify a simple program. Directing the cyclone's movement or changing its programmed movement is a standard action for you. The cyclone always moves during your turn. If the cyclone exceeds the spell's range, it moves in a random, uncontrolled fashion for 1d3 rounds and then dissipates. (You can't regain control of the cyclone, even if it comes back within range.) Any Large or smaller creature that comes in contact with the spell effect must succeed on a Reflex save or take 3d6 points of damage. A Medium or smaller creature that fails its first save must succeed on a second one or be picked up bodily by the cyclone and held suspended in its powerful winds, taking 1d8 points of damage each round on your turn with no save allowed. You may direct the cyclone to eject any carried creatures whenever you wish, depositing the hapless souls wherever the cyclone happens to be when they are released.</t>
  </si>
  <si>
    <t>Air (8), Weather (8)</t>
  </si>
  <si>
    <t> Cyclone deals damage and can pick up creatures.</t>
  </si>
  <si>
    <t>Stormborn (17)</t>
  </si>
  <si>
    <t>Storms (16)</t>
  </si>
  <si>
    <t>Whispering Wind</t>
  </si>
  <si>
    <t>bard 2, sorcerer/wizard 2, inquisitor 2, psychic 2, mesmerist 2, medium 2</t>
  </si>
  <si>
    <t>1 mile/level</t>
  </si>
  <si>
    <t>no more than 1 hour/level or until discharged (destination is reached)</t>
  </si>
  <si>
    <t>You send a message or sound on the wind to a designated spot. The whispering wind travels to a specific location within range that is familiar to you, provided that it can find a way to the location. A whispering wind is as gentle and unnoticed as a zephyr until it reaches the location. It then delivers its whisper-quiet message or other sound. Note that the message is delivered regardless of whether anyone is present to hear it. The wind then dissipates.  You can prepare the spell to bear a message of no more than 25 words, cause the spell to deliver other sounds for 1 round, or merely have the whispering wind seem to be a faint stirring of the air. You can likewise cause the whispering wind to move as slowly as 1 mile per hour or as quickly as 1 mile per 10 minutes.  When the spell reaches its objective, it swirls and remains in place until the message is delivered. As with magic mouth, whispering wind cannot speak verbal components, use command words, or activate magical effects.</t>
  </si>
  <si>
    <t>Wind (1)</t>
  </si>
  <si>
    <t>Sends a short message 1 mile/level.</t>
  </si>
  <si>
    <t>Wind Walk</t>
  </si>
  <si>
    <t>cleric/oracle 6, druid 7, alchemist 6, shaman 7</t>
  </si>
  <si>
    <t>you and one touched creature per three levels</t>
  </si>
  <si>
    <t>1 hour/level ; see text</t>
  </si>
  <si>
    <t>none and Will negates (harmless)</t>
  </si>
  <si>
    <t>no and yes (harmless)</t>
  </si>
  <si>
    <t>You alter the substance of your body to a cloudlike vapor (as the gaseous form spell) and move through the air, possibly at great speed. You can take other creatures with you, each of which acts independently.  Normally, a wind walker flies at a speed of 10 feet with perfect maneuverability. If desired by the subject, a magical wind wafts a wind walker along at up to 600 feet per round (60 mph) with poor maneuverability. Wind walkers are not invisible but rather appear misty and translucent. If fully clothed in white, they are 80% likely to be mistaken for clouds, fog, vapors, or the like.  A wind walker can regain its physical form as desired and later resume the cloud form. Each change to and from vaporous form takes 5 rounds, which counts toward the duration of the spell (as does any time spent in physical form). As noted above, you can dismiss the spell, and you can even dismiss it for individual wind walkers and not others.  For the last minute of the spell's duration, a wind walker in cloud form automatically descends 60 feet per round (for a total of 600 feet), though it may descend faster if it wishes. This descent serves as a warning that the spell is about to end.</t>
  </si>
  <si>
    <t>Wind (6)</t>
  </si>
  <si>
    <t>You and your allies turn vaporous and travel fast.</t>
  </si>
  <si>
    <t>Storms (12)</t>
  </si>
  <si>
    <t>Wind Wall</t>
  </si>
  <si>
    <t>cleric/oracle 3, druid 3, ranger 2, sorcerer/wizard 3, summoner 2, magus 3, bloodrager 3, shaman 3, occultist 3, spiritualist 3, unchained summoner 3</t>
  </si>
  <si>
    <t>V, S, M/DF (a tiny fan and an exotic feather)</t>
  </si>
  <si>
    <t>wall up to 10 ft./level long and 5 ft./level high (S)</t>
  </si>
  <si>
    <t>An invisible vertical curtain of wind appears. It is 2 feet thick and of considerable strength. It is a roaring blast sufficient to blow away any bird smaller than an eagle, or tear papers and similar materials from unsuspecting hands. (A Reflex save allows a creature to maintain its grasp on an object.) Tiny and Small flying creatures cannot pass through the barrier. Loose materials and cloth garments fly upward when caught in a wind wall. Arrows and bolts are deflected upward and miss, while any other normal ranged weapon passing through the wall has a 30% miss chance. (A giant-thrown boulder, a siege engine projectile, and other massive ranged weapons are not affected.) Gases, most gaseous breath weapons, and creatures in gaseous form cannot pass through the wall (although it is no barrier to incorporeal creatures).  While the wall must be vertical, you can shape it in any continuous path along the ground that you like. It is possible to create cylindrical or square wind walls to enclose specific points.</t>
  </si>
  <si>
    <t>Air (2)</t>
  </si>
  <si>
    <t>Deflects arrows, smaller creatures, and gases.</t>
  </si>
  <si>
    <t>Peace (6)</t>
  </si>
  <si>
    <t>Wish</t>
  </si>
  <si>
    <t>V, S, M (diamond worth 25,000 gp)</t>
  </si>
  <si>
    <t>Wish is the mightiest spell a wizard or sorcerer can cast. By simply speaking aloud, you can alter reality to better suit you. Even wish, however, has its limits. A wish can produce any one of the following effects. • Duplicate any sorcerer/wizard spell of 8th level or lower, provided the spell does not belong to one of your opposition schools. • Duplicate any non-sorcerer/wizard spell of 7th level or lower, provided the spell does not belong to one of your opposition schools. • Duplicate any sorcerer/wizard spell of 7th level or lower, even if it belongs to one of your opposition schools. • Duplicate any non-sorcerer/wizard spell of 6th level or lower, even if it belongs to one of your opposition schools. • Undo the harmful effects of many other spells, such as geas/ quest or insanity. • Grant a creature a +1 inherent bonus to an ability score. Two to five wish spells cast in immediate succession can grant a creature a +2 to +5 inherent bonus to an ability score (two wishes for a +2 inherent bonus, three wishes for a +3 inherent bonus, and so on). Inherent bonuses are instantaneous, so they cannot be dispelled. Note: An inherent bonus may not exceed +5 for a single ability score, and inherent bonuses to a particular ability score do not stack, so only the best one applies. • Remove injuries and afflictions. A single wish can aid one creature per caster level, and all subjects are cured of the same kind of affliction. For example, you could heal all the damage you and your companions have taken, or remove all poison effects from everyone in the party, but not do both with the same wish. • Revive the dead. A wish can bring a dead creature back to life by duplicating a resurrection spell. A wish can revive a dead creature whose body has been destroyed, but the task takes two wishes: one to recreate the body and another to infuse the body with life again. A wish cannot prevent a character who was brought back to life from gaining a permanent negative level. • Transport travelers. A wish can lift one creature per caster level from anywhere on any plane and place those creatures anywhere else on any plane regardless of local conditions. An unwilling target gets a Will save to negate the effect, and spell resistance (if any) applies. • Undo misfortune. A wish can undo a single recent event. The wish forces a reroll of any roll made within the last round (including your last turn). Reality reshapes itself to accommodate the new result. For example, a wish could undo an opponent's successful save, a foe's successful critical hit (either the attack roll or the critical roll), a friend's failed save, and so on. The reroll, however, may be as bad as or worse than the original roll. An unwilling target gets a Will save to negate the effect, and spell resistance (if any) applies. You may try to use a wish to produce greater effects than these, but doing so is dangerous. (The wish may pervert your intent into a literal but undesirable fulfillment or only a partial fulfillment, at the GM's discretion.) Duplicated spells allow saves and spell resistance as normal (but save DCs are for 9th-level spells). When a wish duplicates a spell with a material component that costs more than 10,000 gp, you must provide that component (in addition to the 25,000 gp diamond component for this spell).</t>
  </si>
  <si>
    <t> As limited wish, but with fewer limits.</t>
  </si>
  <si>
    <t>Arcane (19), Djinni (19), Draconic (19), Efreeti (19), Marid (19), Shaitan (19), Div (19), Impossible (19)</t>
  </si>
  <si>
    <t>Wood Shape</t>
  </si>
  <si>
    <t>one touched piece of wood no larger than 10 cu. ft. + 1 cu. ft./level</t>
  </si>
  <si>
    <t>Wood shape enables you to form one existing piece of wood into any shape that suits your purpose. While it is possible to make crude coffers, doors, and so forth, fine detail isn't possible. There is a 30% chance that any shape that includes moving parts simply doesn't work.</t>
  </si>
  <si>
    <t>Artifice (2)</t>
  </si>
  <si>
    <t> Reshapes wooden objects to suit you.</t>
  </si>
  <si>
    <t>Word of Recall</t>
  </si>
  <si>
    <t>cleric/oracle 6, druid 8, psychic 7</t>
  </si>
  <si>
    <t>you and touched objects or other willing creatures</t>
  </si>
  <si>
    <t>none or Will negates (harmless, object)</t>
  </si>
  <si>
    <t>no or yes (harmless, object)</t>
  </si>
  <si>
    <t>Word of recall teleports you instantly back to your sanctuary when the word is uttered. You must designate the sanctuary when you prepare the spell, and it must be a very familiar place. The actual point of arrival is a designated area no larger than 10 feet by 10 feet. You can be transported any distance within a plane but cannot travel between planes. You can transport, in addition to yourself, any objects you carry, as long as their weight doesn't exceed your maximum load. You may also bring one additional willing Medium or smaller creature (carrying gear or objects up to its maximum load) or its equivalent per three caster levels. A Large creature counts as two Medium creatures, a Huge creature counts as two Large creatures, and so forth. All creatures to be transported must be in contact with one another, and at least one of those creatures must be in contact with you. Exceeding this limit causes the spell to fail.  An unwilling creature can't be teleported by word of recall.  Likewise, a creature's Will save (or spell resistance) prevents items in its possession from being teleported. Unattended, nonmagical objects receive no saving throw.</t>
  </si>
  <si>
    <t>Teleports you back to designated place.</t>
  </si>
  <si>
    <t>Peace (12)</t>
  </si>
  <si>
    <t>Word Of Chaos</t>
  </si>
  <si>
    <t>chaotic, sonic</t>
  </si>
  <si>
    <t>nonchaotic creatures in a 40-ft.-radius spread centered on you</t>
  </si>
  <si>
    <t>Any nonchaotic creature within the area of a word of chaos spell suffers the following ill effects, depending on their HD. HD Effect Equal to caster level Deafened Up to caster level -1 Stunned, deafened Up to caster level -5 Confused, stunned, deafened Up to caster level -10 Killed, confused, stunned, deafened The effects are cumulative and concurrent. A successful Will save reduces or eliminates these effects. Creatures affected by multiple effects make only one save and apply the result to all the effects. Deafened: The creature is deafened for 1d4 rounds. Save negates. Stunned: The creature is stunned for 1 round. Save negates. Confused: The creature is confused for 1d10 minutes. This is a mind-affecting enchantment effect. Save reduces the confused effect to 1 round. Killed: Living creatures die. Undead creatures are destroyed. Save negates. If the save is successful, the creature instead takes 3d6 points of damage + 1 point per caster level (maximum +25). Furthermore, if you are on your home plane when you cast this spell, nonchaotic extraplanar creatures within the area are instantly banished back to their home planes. Creatures so banished cannot return for at least 24 hours. This effect takes place regardless of whether the creatures hear the word of chaos or not. The banishment effect allows a Will save (at a -4 penalty) to negate. Creatures whose HD exceed your caster level are unaffected by word of chaos.</t>
  </si>
  <si>
    <t>Chaos (7)</t>
  </si>
  <si>
    <t> Kills, confuses, stuns, or deafens nonchaotic subjects.</t>
  </si>
  <si>
    <t>When determining the spell's effect on non-mythic creatures, add your tier to your caster level. Non-chaotic creatures that fail their saves against the spell also take a -4 penalty on attack rolls and saving throws, and their spell resistance decreases by 5 for as long as the spell's other effects last.</t>
  </si>
  <si>
    <t>Zone of Silence</t>
  </si>
  <si>
    <t>bard 4, mesmerist 4</t>
  </si>
  <si>
    <t>5-ft.-radius emanation centered on you</t>
  </si>
  <si>
    <t>By casting zone of silence, you manipulate sound waves in your immediate vicinity so that you and those within the spell's area can converse normally, yet no one outside can hear your voices or any other noises from within, including language-dependent or sonic spell effects. This effect is centered on you and moves with you.  Anyone who enters the zone immediately becomes subject to its effects, but those who leave are no longer affected. Note, however, that a successful DC 20 Linguistics check to read lips can still reveal what's said inside a zone of silence.</t>
  </si>
  <si>
    <t>Espionage (4)</t>
  </si>
  <si>
    <t> Keeps eavesdroppers from overhearing you.</t>
  </si>
  <si>
    <t>Zone of Truth</t>
  </si>
  <si>
    <t>cleric/oracle 2, paladin 2, witch 2, inquisitor 2, psychic 2, medium 2</t>
  </si>
  <si>
    <t>Creatures within the emanation area (or those who enter it) can't speak any deliberate and intentional lies. Each potentially affected creature is allowed a save to avoid the effects when the spell is cast or when the creature first enters the emanation area. Affected creatures are aware of this enchantment. Therefore, they may avoid answering questions to which they would normally respond with a lie, or they may be evasive as long as they remain within the boundaries of the truth. Creatures who leave the area are free to speak as they choose.</t>
  </si>
  <si>
    <t>Honor (2)</t>
  </si>
  <si>
    <t>Subjects within range cannot lie.</t>
  </si>
  <si>
    <t>Wall Of Stone</t>
  </si>
  <si>
    <t>cleric/oracle 5, druid 6, sorcerer/wizard 5, summoner 4, magus 5, shaman 6, occultist 5, unchained summoner 5</t>
  </si>
  <si>
    <t>V, S, M/DF (a small block of granite)</t>
  </si>
  <si>
    <t>stone wall whose area is up to one 5-ft. square/level (S)</t>
  </si>
  <si>
    <t>This spell creates a wall of rock that merges into adjoining rock surfaces. A wall of stone is 1 inch thick per four caster levels and composed of up to one 5-foot square per level. You can double the wall's area by halving its thickness. The wall cannot be conjured so that it occupies the same space as a creature or another object.  Unlike a wall of iron, you can create a wall of stone in almost any shape you desire. The wall created need not be vertical, nor rest upon any firm foundation; however, it must merge with and be solidly supported by existing stone. It can be used to bridge a chasm, for instance, or as a ramp. For this use, if the span is more than 20 feet, the wall must be arched and buttressed. This requirement reduces the spell's area by half. The wall can be crudely shaped to allow crenellations, battlements, and so forth by likewise reducing the area.  Like any other stone wall, this one can be destroyed by a disintegrate spell or by normal means such as breaking and chipping.  Each 5-foot square of the wall has hardness 8 and 15 hit points per inch of thickness. A section of wall whose hit points drop to 0 is breached. If a creature tries to break through the wall with a single attack, the DC for the Strength check is 20 + 2 per inch of thickness.  It is possible, but difficult, to trap mobile opponents within or under a wall of stone, provided the wall is shaped so it can hold the creatures. Creatures can avoid entrapment with successful Reflex saves.</t>
  </si>
  <si>
    <t>Earth (5), Fortifications (5)</t>
  </si>
  <si>
    <t>Creates a stone wall that can be shaped.</t>
  </si>
  <si>
    <t>Shaitan (11)</t>
  </si>
  <si>
    <t>Mountain (10)</t>
  </si>
  <si>
    <t>The wall is 1 inch thick per 2 caster levels. The wall's hardness increases to 12.</t>
  </si>
  <si>
    <t>Augmented (7th): If you expend two uses of mythic power, the wall is impassable to ethereal travel and spells such as passwall and phase door. The wall is immune to non-mythic disintegrate, shatter, sympathetic vibration, and other non-mythic magical effects that specifically affect stone (including earthquake, soften earth and stone, and transmute rock to mud).</t>
  </si>
  <si>
    <t>Agonize</t>
  </si>
  <si>
    <t>cleric/oracle 3, sorcerer/wizard 4, occultist 3, psychic 4, unchained summoner 4</t>
  </si>
  <si>
    <t>one conjured outsider or elemental (see text)</t>
  </si>
  <si>
    <t>1 full round</t>
  </si>
  <si>
    <t>You afflict a creature you have conjured via planar ally (or a similar spell) with bolts of vicious energy. These foul energies inflict terrible pain upon the summoned creature, torturing it to make it more pliant to your will. The targeted creature must make a Fortitude save or take a -1 penalty for every 2 levels you possess (maximum -10) on all saves and checks made against you for the next hour. In addition, creatures that demand payment for their services reduce the payment by 20% for every 4 levels you possess (maximum 60% reduction). However, beings tortured by this spell quickly come to resent you, making them more likely to try to pervert your orders to malicious ends or try to seek retribution after their release. This spell has no effect on creatures that are immune to nonlethal damage.</t>
  </si>
  <si>
    <t>Ultimate Magic</t>
  </si>
  <si>
    <t>Kyton (3)</t>
  </si>
  <si>
    <t>Pain encourages an outsider to obey you.</t>
  </si>
  <si>
    <t>Burning Disarm</t>
  </si>
  <si>
    <t>cleric/oracle 1, druid 1, sorcerer/wizard 1</t>
  </si>
  <si>
    <t>Short (25 ft. + 5 ft./2 levels)</t>
  </si>
  <si>
    <t>Held metal item of one creature or 15 lbs. of unattended metal</t>
  </si>
  <si>
    <t>Instantaneous</t>
  </si>
  <si>
    <t>Reflex negates (object, see text)</t>
  </si>
  <si>
    <t>Yes (object)</t>
  </si>
  <si>
    <t>This spell causes a metal object to instantly become red hot. A creature holding the item may attempt a Reflex save to drop it and take no damage (even if it is not their turn), otherwise the hot metal deals 1d4 points of fire damage per caster level (maximum 5d4). Circumstances that prevent the creature from dropping the item (such as a locked gauntlet) mean the creature gets no saving throw. The heat does not harm the item, and it does not get hot enough or last long enough to ignite flammable objects. The item cools to its previous temperature almost instantly. If cast underwater, burning disarm deals half damage and boils the surrounding water.</t>
  </si>
  <si>
    <t>Cheliax Empire Of Devils</t>
  </si>
  <si>
    <t>Dweomer Retaliation</t>
  </si>
  <si>
    <t>sorcerer/wizard 3</t>
  </si>
  <si>
    <t>Long (400 ft. + 40 ft./level)</t>
  </si>
  <si>
    <t>one creature you counterspelled since your last turn</t>
  </si>
  <si>
    <t>You may only cast this spell immediately after successfully counterspelling an opponent. Drawing upon the residual energy of the countered spells, you gain a number of temporary hit points equal to the level of the countered spell plus your Charisma or Intelligence modifier (for sorcerers and wizards, respectively); your counterspelled opponent takes damage equal to this amount.  If the countered spell was at least 4th level, you and your opponent make opposed concentration checks. If you beat your opponent by 10 or more, you retain this spell (or its spell slot, if you are a sorcerer) as if you had not cast it.</t>
  </si>
  <si>
    <t>Emergency Force Sphere</t>
  </si>
  <si>
    <t>sorcerer/wizard 4</t>
  </si>
  <si>
    <t>5 ft.</t>
  </si>
  <si>
    <t>5-ft.-radius hemisphere of force centered on you</t>
  </si>
  <si>
    <t>None</t>
  </si>
  <si>
    <t>No</t>
  </si>
  <si>
    <t>As wall of force, except you create a hemispherical dome of force with hardness 20 and a number of hit points equal to 10 per caster level. The bottom edge of the dome forms a relatively watertight space if you are standing on a reasonably flat surface. The dome shape means that falling debris (such as rocks from a collapsing ceiling) tend to tumble to the side and pile up around the base of the dome. If you make a DC 20 Craft (stonemasonry), Knowledge (engineering), or Profession (architect or engineer) check, the debris is stable enough that it retains its dome-like configuration when the spell ends, otherwise it collapses.  Normally this spell is used to buy time for dealing with avalanches, floods, and rockslides, though it is also handy in dealing with ambushes.</t>
  </si>
  <si>
    <t>Signifer's Rally</t>
  </si>
  <si>
    <t>cleric/oracle 7, sorcerer/wizard 7</t>
  </si>
  <si>
    <t>V, S, M (100 gp worth of bloodstone for every ally teleported)</t>
  </si>
  <si>
    <t>one willing ally/5 levels</t>
  </si>
  <si>
    <t>You teleport up to one ally per five caster levels to your location.  You determine which allies you want to teleport at the time of casting; these allies have 1 round to decide to allow or refuse your spell, and they teleport immediately upon accepting. Allies are teleported as if you had cast teleport on them (your current location is at least "studied carefully" for this purpose), appearing in a puff of brimstone in a space adjacent to you. If you are in combat and your allies were not, your allies may roll initiative upon arrival but are not considered flat-footed even though they have not taken any actions. The spell does not function in areas warded against intrusion by evil creatures (such as a magic circle against evil effect).</t>
  </si>
  <si>
    <t>Twine Double</t>
  </si>
  <si>
    <t>V, S, M (cloth and twine)</t>
  </si>
  <si>
    <t>One duplicate creature</t>
  </si>
  <si>
    <t>As simulacrum, except you can only duplicate yourself, and the duplicate is created from cloth and twine rather than ice and snow. The double looks exactly like you except its eyes are balls of twine (DC 10 Perception check to recognize double's strange eyes). It wears clothing and gear that appear exactly like what you are wearing at the time of casting. Its copies of your magic items are nonfunctional but radiate magic and have the same auras as your items. Its aura is identical to yours. Attempts to scry you while the double exists have a 50% chance of targeting the double instead of you.  The double cannot attack, has no special abilities, and has a +0 bonus on all saves and checks. You may verbally give the double orders as a free action, or control it telepathically as a standard action. You know what the double is experiencing, and when controlling it telepathically you can see and hear everything it sees and hears, though events at your location may drown out the sensory inputs from the double. The double has hit points equal to half your hit points at the time of casting. If brought to 0 hit points, it is destroyed, reverting to cloth and twine. The double is an animated object.</t>
  </si>
  <si>
    <t>Fear</t>
  </si>
  <si>
    <t>bard 3, sorcerer/wizard 4, witch 4, inquisitor 4, antipaladin 4, bloodrager 4, shaman 4, occultist 4, psychic 4, mesmerist 3, spiritualist 4, medium 4</t>
  </si>
  <si>
    <t>V, S, M (the heart of a hen or a white feather)</t>
  </si>
  <si>
    <t>1 round/level or 1 round; see text</t>
  </si>
  <si>
    <t>An invisible cone of terror causes each living creature in the area to become panicked unless it succeeds on a Will save. If cornered, a panicked creature begins cowering. If the Will save succeeds, the creature is shaken for 1 round.</t>
  </si>
  <si>
    <t>Fear (4)</t>
  </si>
  <si>
    <t>Subjects within cone flee for 1 round/level.</t>
  </si>
  <si>
    <t>Draconic (9), Ghoul (9)</t>
  </si>
  <si>
    <t>Hold Animal</t>
  </si>
  <si>
    <t>druid 2, ranger 2, psychic 2, mesmerist 2</t>
  </si>
  <si>
    <t>This spell functions like hold person, except that it affects an animal instead of a humanoid.</t>
  </si>
  <si>
    <t>Animal (2)</t>
  </si>
  <si>
    <t>Paralyzes one animal for 1 round/level.</t>
  </si>
  <si>
    <t>Insect Plague</t>
  </si>
  <si>
    <t>cleric/oracle 5, druid 5, summoner 4, shaman 5, unchained summoner 5</t>
  </si>
  <si>
    <t>one swarm of wasps per three levels, each of which must be adjacent to at least one other swarm</t>
  </si>
  <si>
    <t>You summon a number of swarms of wasps (one per three levels, to a maximum of six swarms at 18th level, see the Pathfinder RPG Bestiary). The swarms must be summoned so that each one is adjacent to at least one other swarm (that is, the swarms must fill one contiguous area). You may summon the wasp swarms so that they share the area of other creatures. Each swarm attacks any creatures occupying its area. The swarms are stationary after being summoned, and won't pursue creatures that flee.</t>
  </si>
  <si>
    <t>Vermin (4)</t>
  </si>
  <si>
    <t>Wasp swarms attack creatures.</t>
  </si>
  <si>
    <t>Pestilence (11), Div (15)</t>
  </si>
  <si>
    <t>Baleful Polymorph</t>
  </si>
  <si>
    <t>druid 5, sorcerer/wizard 5, summoner 4, witch 5, magus 5, shaman 5, unchained summoner 5</t>
  </si>
  <si>
    <t>Fortitude negates, Will partial, see text</t>
  </si>
  <si>
    <t>As beast shape III, except that you change the subject into a Small or smaller animal of no more than 1 HD. If the new form would prove fatal to the creature, such as an aquatic creature not in water, the subject gets a +4 bonus on the save.  If the spell succeeds, the subject must also make a Will save. If this second save fails, the creature loses its extraordinary, supernatural, and spell-like abilities, loses its ability to cast spells (if it had the ability), and gains the alignment, special abilities, and Intelligence, Wisdom, and Charisma scores of its new form in place of its own. It still retains its class and level (or HD), as well as all benefits deriving therefrom (such as base attack bonus, base save bonuses, and hit points). It retains any class features (other than spellcasting) that aren't extraordinary, supernatural, or spell-like abilities.  Any polymorph effects on the target are automatically dispelled when a target fails to resist the effects of baleful polymorph, and as long as baleful polymorph remains in effect, the target cannot use other polymorph spells or effects to assume a new form. Incorporeal or gaseous creatures are immune to baleful polymorph, and a creature with the shapechanger subtype can revert to its natural form as a standard action.</t>
  </si>
  <si>
    <t>Transforms subject into harmless animal.</t>
  </si>
  <si>
    <t>The saving throw changes to Fortitude (partial) and Will (partial). A creature that fails the Fortitude save automatically fails the Will save. A target with the shapechanger subtype that fails its save can't use its shapechanging to shift out of its new form. A creature that succeeds at the Fortitude save is partially transformed into the intended animal. For 1 minute per level, it takes on cosmetic features appropriate to that animal and becomes one size category closer to the animal's size.</t>
  </si>
  <si>
    <t>Augmented (9th): If you expend four uses of mythic power, the spell affects all other creatures with 8 Hit Dice or fewer in a 1-mile radius. Affected creatures transform into Small or smaller animals appropriate to the local environment. You can select a number of creatures up to your tier to not be affected.</t>
  </si>
  <si>
    <t>Prying Eyes</t>
  </si>
  <si>
    <t>You create a number of semitangible, visible magical orbs (called "eyes") equal to 1d4 + your caster level. These eyes move out, scout around, and return as you direct them when casting the spell. Each eye can see 120 feet (normal vision only) in all directions.  While the individual eyes are quite fragile, they're small and difficult to spot. Each eye is a Fine construct, about the size of a small apple, that has 1 hit point, AC 18 (+8 bonus for its size), flies at a speed of 30 feet with a +20 bonus on Fly skill checks and a +16 bonus on Stealth skill checks. It has a Perception modifier equal to your caster level (maximum +15) and is subject to illusions, darkness, fog, and any other factors that affect your ability to receive visual information about your surroundings. An eye traveling in darkness must find its way by touch.  When you create the eyes, you specify instructions you want them to follow in a command of no more than 25 words. Any knowledge you possess is known by the eyes as well.  In order to report their findings, the eyes must return to your hand. Each replays in your mind all it has seen during its existence.  It takes an eye 1 round to replay 1 hour of recorded images. After relaying its findings, an eye disappears.  If an eye ever gets more than 1 mile away from you, it instantly ceases to exist. However, your link with the eye is such that you won't know if the eye was destroyed because it wandered out of range or because of some other event.  The eyes exist for up to 1 hour per caster level or until they return to you. Dispel magic can destroy eyes. Roll separately for each eye caught in an area dispel. Of course, if an eye is sent into darkness, it could hit a wall or similar obstacle and destroy itself.</t>
  </si>
  <si>
    <t> 1d4 + 1/level floating eyes scout for you.</t>
  </si>
  <si>
    <t>Rakshasa (11)</t>
  </si>
  <si>
    <t>Instant Summons</t>
  </si>
  <si>
    <t>V, S, M (sapphire worth 1,000 gp)</t>
  </si>
  <si>
    <t>one object weighing 10 lbs. or less whose longest dimension is 6 ft. or less</t>
  </si>
  <si>
    <t>You call some nonliving item directly to your hand from virtually any location.  First, you must place your arcane mark on the item. Then you cast this spell, which magically and invisibly inscribes the name of the item on a sapphire worth at least 1,000 gp. Thereafter, you can summon the item by speaking a special word (set by you when the spell is cast) and crushing the gem. The item appears instantly in your hand. Only you can use the gem in this way.  If the item is in the possession of another creature, the spell does not work, but you know who the possessor is and roughly where that creature is located when the summons occurs.  The inscription on the gem is invisible. It is also unreadable, except by means of a read magic spell, to anyone but you.  The item can be summoned from another plane, but only if no other creature has claimed ownership of it.</t>
  </si>
  <si>
    <t>Rune (7)</t>
  </si>
  <si>
    <t> Prepared object appears in your hand.</t>
  </si>
  <si>
    <t>Spellcasting Contract, Lesser</t>
  </si>
  <si>
    <t>cleric/oracle 5</t>
  </si>
  <si>
    <t>V, S, F (a written contract)</t>
  </si>
  <si>
    <t>willing creature touched</t>
  </si>
  <si>
    <t>permanent until contractually terminated</t>
  </si>
  <si>
    <t>This spell functions exactly like imbue with spell ability, except that you can imbue the target with any spell you have prepared (instead of just abjuration, divination, or conjuration [healing] spells) and the target may have more than one use of the imbued spells, depending upon the arrangements made when it is cast.  Casting this spell requires a contract between you and the target, explaining what spells are to be imbued and the circumstances that cause the contract to expire. The contract may be as simple as allowing the target one casting of each of the imbued spells (as per imbue with spell ability), or may continue for multiple days or even indefinitely, with the target regaining use of the imbued spells when you next prepare your own spells. You may include any proviso you see fit, such as requiring the target to pray to Asmodeus each morning, or restricting the target to only casting the imbued spells on himself. If the target does not agree to all the conditions in the contract, this spell fails when cast. The contract (and this spell) automatically expires if you or the target dies. While the contract remains in effect, you gain a profane bonus to your Armor Class, saving throws, and checks equal to the highestlevel spell you have imbued.  Once you cast this spell, you cannot prepare a new 5th-level spell to replace it until the contract expires. If the number of 5th-level spells you can cast decreases, and that number drops below your current number of active lesser spellcasting contract spells, the more recently cast imbued spells are dispelled.  Unlike imbue with spell ability, how the target uses the spell has no reflection on your alignment or relationship with Asmodeus; the Prince of Darkness accepts that allowing another access to his magic for good may benefit his plans in the long run. Note that unlike imbue with spell ability, you cannot dismiss this spell; you must abide by the contract's termination clause (though the contract may include a proviso for at-will nullification by either or both parties). This spell cannot be combined with imbue with spell ability or similar spells to give a target more spells than the limit.  Example: You cast this spell on your 5 HD fighter cohort after negotiating an appropriate contract, imbuing him with the ability to cast cure moderate wounds, magic weapon, and shield of faith once per day for 1 month. If he casts any of these spells, he recovers them when you prepare your spells. Until the contract ends, your 5th-level spell slot used to cast this spell remains expended and cannot be filled with a new spell. Because you imbued your cohort with a 2nd-level spell, you gain a +2 profane bonus to attacks, saves, and checks while the contract remains in effect.</t>
  </si>
  <si>
    <t>AP 29</t>
  </si>
  <si>
    <t>Asmodeus</t>
  </si>
  <si>
    <t>Spellcasting Contract</t>
  </si>
  <si>
    <t>cleric/oracle 7</t>
  </si>
  <si>
    <t>This spell functions like lesser spellcasting contract, except if the target has 9 HD or more, you can imbue him with one or two 2ndlevel spells and one 3rd-level spell.</t>
  </si>
  <si>
    <t>Spellcasting Contract, Greater</t>
  </si>
  <si>
    <t>This spell functions like lesser spellcasting contract, except if the target has 13 HD or more you can imbue him with one or two 4thlevel spells and one 5th-level spell.</t>
  </si>
  <si>
    <t>Ancestral Communion</t>
  </si>
  <si>
    <t>bard 2, cleric/oracle 2</t>
  </si>
  <si>
    <t>V, S, F/DF (stone or metal image of your ancestor)</t>
  </si>
  <si>
    <t>You contact the spirits of your ancestors and use their great wisdom to bolster your own knowledge. Consulting with the spirits is a full-round action. If you consult with the spirits before making a Knowledge check, you gain a +4 insight bonus on the check. If you have already failed at a Knowledge check, you may consult with your ancestors and make another attempt. The insight bonus on these checks increases to +6 at caster level 7th and +8 at caster level 11th. You may consult with the spirits for this purpose as often as you like while the spell remains in effect. Only you can hear the spirits speak to you.</t>
  </si>
  <si>
    <t>Dwarves of Golarion</t>
  </si>
  <si>
    <t>Ancestral Gift</t>
  </si>
  <si>
    <t>bard 4, cleric/oracle 4</t>
  </si>
  <si>
    <t>magical weapon</t>
  </si>
  <si>
    <t>10 minutes/level</t>
  </si>
  <si>
    <t>A ghostly manifestation of one of your ancestors appears before you bearing a weapon of your choice in its hands. The weapon may be any simple, martial, or dwarven weapon. It has a +1 enhancement bonus and one weapon special ability (your choice) from the Pathfinder RPG Core Rulebook with a price equivalent to a +1 bonus (if the weapon is a double weapon, the ability and the enhancement bonus only apply to one end, or the weapon can have a +1 enhancement bonus on both ends but no other magical abilities).  You may use the weapon as if you were proficient in it. The weapon may not be wielded by anyone else, and if removed from your grasp, it vanishes and the spell ends immediately.  If you conjure a weapon with the flaming, frost, shock, or thundering property, this spell has the fire, cold, electricity, or sonic descriptor (respectively).</t>
  </si>
  <si>
    <t>Summon Ancestral Guardian</t>
  </si>
  <si>
    <t>bard 3, cleric/oracle 3</t>
  </si>
  <si>
    <t>two summoned ancestor spirits</t>
  </si>
  <si>
    <t>You call the spirits of two ancestors to manifest in the mortal world and attack your enemies. Each appears as a transparent image of a powerful, wise dwarf armed with a traditional dwarven weapon of your choice. These spirits move and attack at your direction, each having the abilities of a spiritual weapon, except they can attack different targets and deal physical damage (bludgeoning, piercing, or slashing, according to the weapon the spirit wields) instead of force damage. Like creatures conjured with a summon monster spell, your ancestors are not harmed if these manifestations are destroyed.</t>
  </si>
  <si>
    <t>See Through Stone</t>
  </si>
  <si>
    <t>druid 4, ranger 3</t>
  </si>
  <si>
    <t>You gain the ability to see through solid rock as if it were transparent glass. You may see through 1 foot of stone per caster level. You see within the stone as if you were looking at the area in normal light, even if there is no illumination, though low-light vision and darkvision have no effect on your ability to see through stone. Metal at least 1 inch thick or wood or dirt at least 3 feet thick blocks your vision.  The spell does not negate concealment for those creatures hiding behind stone objects (the stone is still an obstacle to your attacks).</t>
  </si>
  <si>
    <t>Rune of Durability</t>
  </si>
  <si>
    <t>V, S, M (iron filings)</t>
  </si>
  <si>
    <t>You inscribe an angular rune upon the surface of a weapon, increasing its hit points. A weapon that bears this rune multiplies its hit points by 2, as if it were one size category larger than it actually is. Placing more than one rune of this type on a weapon has no effect.</t>
  </si>
  <si>
    <t>Rune of Warding</t>
  </si>
  <si>
    <t>V, S, M (powdered adamantine, diamond, or mithral worth 200 gp)</t>
  </si>
  <si>
    <t>doorway or portal touched</t>
  </si>
  <si>
    <t>no (object) and yes (see text)</t>
  </si>
  <si>
    <t>You inscribe a series of runes upon the surface of a door or around the border of an entryway. They function as a glyph of warding (blast glyph), though unlike a glyph of warding, these runes are always visible. The runes count as a glyph of warding for the purpose of what spells can defeat it, placing multiple glyphs in the same area, and so on.</t>
  </si>
  <si>
    <t>Genius Avaricious</t>
  </si>
  <si>
    <t>cleric/oracle 6, sorcerer/wizard 6</t>
  </si>
  <si>
    <t>V, S, M (valuable offerings; see text), F (one gold coin)</t>
  </si>
  <si>
    <t>a vestige of the archdevil Mammon imbues a coin with a negotiable degree of power</t>
  </si>
  <si>
    <t>instantaneous (see text)</t>
  </si>
  <si>
    <t>Casting this spell constitutes performing a rite of sacrifice to the archdevil Mammon, making an offering to the Lord of Erebus and channeling a measure of his disembodied might into a single coin. The power and abilities of this vestige correspond directly to the value of the offering, allowing for three distinct effects.   Corrupted Coin: Making a sacrifice worth 1,500 gp corrupts the focus into a "lucky" or "unlucky" coin as per the caster's will for 1 month. Any creature that bears the coin gains a bonus or penalty (decided by the caster at the time of casting) on all Appraise, Bluff, Craft, and Profession checks. This bonus or penalty is equal to 1 per 3 caster levels (maximum +5 at 15th level). In addition, the coin can produce an effect similar to the spell augury once per day-its ?ip producing a weal (heads), woe (tails), or nothing result (landing on the edge). Potentially unknown to the bearer (if different from the caster), the caster can telepathically hear any question asked of the coin and, as a free action, influence the result as he chooses.   Mammon's Mantle: Making a sacrifice worth 3,000 gp transforms the coin into a kind of infernal aegis for any who swallow the coin. Upon ingesting the coin, the target gains a bonus to Charisma equal to +1 per 3 caster levels (maximum +5 at 15th level). The bearer's blood also takes on a hue like liquid gold and runs slowly, granting him immunity to poison, disease, and aging effects, and causing him to automatically stabilize if reduced to fewer than 0 hit points. Additionally, the bearer can eat gold to heal himself, regaining 1 hit point for every 20 gold pieces he consumes (materials other than gold provide no bene?t). The coin's effects last for 1 day per caster level.   Gold Guardian: Making a sacrifice worth 6,000 gp allows the focus coin to animate nearby coins. When cast into a pile of 100,000 coins, an animate hoard forms under the control of the caster. The guardian serves for 1 month. After this month, coins begin disappearing from the guardian at a rate of 100 gp per day, reducing the creature's hit points by 1 per day. When the guardian's hit points reach 0, the guardian collapses and the focus coin is destroyed. Coins lost from the guardian can be replaced, restoring any lost hit points.   In addition to the effects of any of these offerings, should the focus coin be swallowed, any being sired or conceived by the creature while the magic is in effect is born as a tie?ing (bearing an indirect relation to Mammon himself).</t>
  </si>
  <si>
    <t>AP 30</t>
  </si>
  <si>
    <t>Protection from Energy</t>
  </si>
  <si>
    <t>cleric/oracle 3, druid 3, ranger 2, sorcerer/wizard 3, alchemist 3, summoner/unchained summoner 3, inquisitor 3, bloodrager 3, shaman 3, occultist 3, psychic 3, spiritualist 3</t>
  </si>
  <si>
    <t>Protection from energy grants temporary immunity to the type of energy you specify when you cast it (acid, cold, electricity, fire, or sonic). When the spell absorbs 12 points per caster level of energy damage (to a maximum of 120 points at 10th level), it is discharged.  Protection from energy overlaps (and does not stack with) resist energy. If a character is warded by protection from energy and resist energy, the protection spell absorbs damage until its power is exhausted.</t>
  </si>
  <si>
    <t>Luck (3), Protection (3)</t>
  </si>
  <si>
    <t>Absorb 12 points/level of damage from one kind of energy.</t>
  </si>
  <si>
    <t>Destined (7), Elemental (7)</t>
  </si>
  <si>
    <t>Endurance (6)</t>
  </si>
  <si>
    <t>Retrieve Item</t>
  </si>
  <si>
    <t>bard 2, sorcerer/wizard 2</t>
  </si>
  <si>
    <t>an unattended object weighing 1 lb. or less whose longest dimension is 6 inches or less</t>
  </si>
  <si>
    <t>You call a specific nonliving item directly to your hand from a nearby location. First, you must cast the spell on the item while holding it. Thereafter, you can summon the item by speaking a special word (set by you when the spell is cast) and snapping your fingers. The item appears instantly in your hand.  If the item is in the possession of another creature, the spell fails.</t>
  </si>
  <si>
    <t>Classic Treasures</t>
  </si>
  <si>
    <t>Spherescry</t>
  </si>
  <si>
    <t>V, S, AF (onyx sphere worth at least 50 gp)</t>
  </si>
  <si>
    <t>This spell allows remote viewing through spheres that have previously consumed some portion of the spellcaster's body: a single digit of a finger or toe at a minimum. The caster can view and listen to events within a 20-foot radius of the associated sphere; this radius follows the sphere if the sphere moves. Unlike a true scrying spell, no other spells operate through the associated sphere, but spherescry produces no indication of its activity on the target and cannot be discovered by normal methods of magical detection.</t>
  </si>
  <si>
    <t>Illusory Poison</t>
  </si>
  <si>
    <t>1 minute/level or until discharged (see text)</t>
  </si>
  <si>
    <t>Will disbelief, then Fortitude (see text)</t>
  </si>
  <si>
    <t>You create a phantasm of an oily green phantasmal poison on the target weapon. The first creature hit by the poisoned weapon must make a Will save against the illusion spell; success means the spell has no effect and is expended from the weapon. If the creature fails its save, it believes it has been poisoned and must make Fortitude saves at the spell's DC to avoid suffering illusory poison damage. Delay poison allows the target to ignore the effects of the phantasmal poison until the delay poison spell ends, at which time it may make a Will save to realize the poison is illusory and recover all illusory poison damage. Neutralize poison, lesser restoration, or restoration immediately recovers all damage from the spell. A successful dispel magic spell ends the effect of the illusion, as do spells that penetrate illusions (such as true seeing). The target automatically recovers all illusory poison damage after 1 hour.</t>
  </si>
  <si>
    <t>Gnomes Of Golarion</t>
  </si>
  <si>
    <t>Arcane Reinforcement</t>
  </si>
  <si>
    <t>concentration (up to 8 hours)</t>
  </si>
  <si>
    <t>You cast this spell as you begin crafting an item using a Craft skill, and add your Spellcraft ranks to Craft checks made to create that item. As part of concentrating on the spell, you must continue chanting the verbal components, pausing at most for a few seconds at a time to speak, chew, and so on. If the crafting takes more than 1 day to complete, you must cast the spell each day to gain its benefit.  This spell originated among wizards of the Arcanamirium, though the Pathfinder Society also uses it.</t>
  </si>
  <si>
    <t>Faction Guide</t>
  </si>
  <si>
    <t>Canopic Conversion</t>
  </si>
  <si>
    <t>cleric/oracle 9, sorcerer/wizard 9</t>
  </si>
  <si>
    <t>V, S, F (four alabaster canopic jars worth 100 gp each), M (black onyx worth 100 gp per hit die of the target)</t>
  </si>
  <si>
    <t>one living humanoid</t>
  </si>
  <si>
    <t>instantaneous and see text</t>
  </si>
  <si>
    <t>This spell eviscerates the target, drawing forth its life essence as well as its internal organs. The target takes 1d6 hit points of damage per caster level (maximum 20d6). If this damage kills the target, the spell pulls the creature's organs into a set of 4 canopic jars and seals them; 1d4 rounds later, the corpse revives as a mummy (if 8 HD or fewer) or an advanced mummy (if 9 HD or more).  The mummy is not under your control, but the canopic jars give the bearer certain powers over it. Anyone holding one of the jars can communicate with the mummy as if the two shared a common language. The bearer gains the benefits of protection from evil and sanctuary, but only against that mummy. Unsealing or breaking a jar is a standard action, which dissipates its power (and protection) but lets the bearer issue a short command to the mummy, similar to a suggestion spell (Will DC 23 negates). You (and only you) may unseal all 4 jars in a 10-minute ritual to control the mummy with an similar to geas (Will DC 23 negates); most casters typically include a restriction that the mummy will not harm them, as unsealing the jars leaves them vulnerable.  The pharaohs of ancient Osirion sometimes used this spell to punish their enemies. The Risen Guard does not use the spell (though they have access to it), preferring trustworthy living guardians for the Ruby Prince. The Whispering Way may have copies of the spell.</t>
  </si>
  <si>
    <t>Chastise</t>
  </si>
  <si>
    <t>bard 1, sorcerer/wizard 1</t>
  </si>
  <si>
    <t>You gain a +5 bonus on Bluff, Diplomacy, and Intimidate checks to convince a listener that they will get in trouble with their superiors or with the law if they don't do what you ask.  This spell is primarily used by the Eagle Knights, though they did not create it; Hellknights also use it extensively to gather information and foster cooperation.</t>
  </si>
  <si>
    <t>Summon Elemental Steed</t>
  </si>
  <si>
    <t>close (25 ft. + 5 ft./level)</t>
  </si>
  <si>
    <t>one chariot</t>
  </si>
  <si>
    <t>You summon a greater elemental (air, earth, fire, or water) bound in the form of a mighty chariot that moves at your command and can carry up to nine Medium creatures.  Passengers inside are not harmed by the elemental, and can see, breathe, and act normally, suffering no environmental damage even when the elemental chariot is flying, underwater, burrowing, or using earth glide. Passengers are not otherwise protected, though the elemental chariot does provide cover like a normal chariot.  The elemental keeps all of its statistics and abilities, except it loses its slam attacks and gains a trample attack (Pathfinder RPG Bestiary 305).  When you use a summoning spell to summon an air, earth, fire, or water creature, it is a spell of that type.  This spell is almost exclusively used by the Green Faith.</t>
  </si>
  <si>
    <t>Hibernate</t>
  </si>
  <si>
    <t>You place a willing subject into a cataleptic state. It remains aware of its surroundings but is paralyzed, appearing dead unless observers make a DC 20 Heal check. Hibernate delays the effects of poison, disease, and bleed effects for the spell's duration, and half of any hit point damage suffered by the subject is converted to nonlethal damage.  This spell originated with the Green Faith, but has spread to all other druidic religions.</t>
  </si>
  <si>
    <t>Sotto Voce</t>
  </si>
  <si>
    <t>fear, mind-affecting, sonic</t>
  </si>
  <si>
    <t>bard 1, cleric/oracle 0, sorcerer/wizard 0</t>
  </si>
  <si>
    <t>Your dry, rasping whisper fills a living creature of 4 or fewer Hit Dice with unnatural dread. The affected creature must make a Will save or be shaken for 1 round.  This spell originated among the followers of the Whispering Way, but necromancers and other intimidating folk outside that group are known to use it.</t>
  </si>
  <si>
    <t>Tomb Legion</t>
  </si>
  <si>
    <t>cleric/oracle 8, sorcerer/wizard 8</t>
  </si>
  <si>
    <t>Three or more advanced mummies, no two of which can be more than 30 ft. apart; see text</t>
  </si>
  <si>
    <t>This spell functions like shambler, except that it calls into existence 1d4+2 advanced mummies rather than shambling mounds.  Though the spell has fallen out of favor among the Risen Guard because the Ruby Prince frowns on the use of undead, this spell is popular among followers of the Whispering Way.</t>
  </si>
  <si>
    <t>Tripvine</t>
  </si>
  <si>
    <t>bard 1, druid 1, sorcerer/wizard 1</t>
  </si>
  <si>
    <t>10-foot-long rope or vine</t>
  </si>
  <si>
    <t>You animate a rope, vine, or similar object so that it attempts to trip any creature that comes near. The rope attacks anything in a 10-foot-square area you designate. The rope does not provoke an attack of opportunity. Its CMB is equal to your caster level +2. A tripped target that was running, jumping, or charging takes 1d6 points of nonlethal damage. Creatures aware of the tripvine gain a +4 bonus to their CMD against it.  The Green Faith created this spell, but it is now common.</t>
  </si>
  <si>
    <t>Ape Walk</t>
  </si>
  <si>
    <t>druid 3, ranger 2, sorcerer/wizard 3</t>
  </si>
  <si>
    <t>V, S, M (an ape or monkey paw)</t>
  </si>
  <si>
    <t>(harmless) The subject can climb as well as an ape or monkey, gaining a climb speed of 30 feet and a +8 racial bonus on Climb skill checks. The affected creature must have her hands free to climb in this manner. In addition, as long as she has 10 feet of space in which to make a running start, the subject can make a long jump of up to 10 feet without making an Acrobatics check (an Acrobatics check is still required to jump longer distances).</t>
  </si>
  <si>
    <t>Sargava</t>
  </si>
  <si>
    <t>Defoliate</t>
  </si>
  <si>
    <t>druid 2, ranger 1, sorcerer/wizard 2</t>
  </si>
  <si>
    <t>V, S, M (a locust)</t>
  </si>
  <si>
    <t>You hurl a tiny ball of negative energy, destroying plant life either in a line 60 feet long or a 10-foot-radius spread. This effect removes the cover and concealment provided by trees and undergrowth, eliminates the movement penalties associated with undergrowth, and so forth.  You may also target a single plant creature with this spell.  You must succeed on a ranged touch attack to hit your target.  An affected plant creature takes 2d8 points of damage.</t>
  </si>
  <si>
    <t>Radiation (8)</t>
  </si>
  <si>
    <t>Heatstroke</t>
  </si>
  <si>
    <t>druid 3, sorcerer/wizard 3</t>
  </si>
  <si>
    <t>Fortitude partial, see text</t>
  </si>
  <si>
    <t>A wavering red ray projects from your finger. You must succeed on a ranged touch attack with the ray to hit your target.  The ray inflicts 1d4 points of nonlethal damage, causing the target to suffer from heatstroke as its body temperature dramatically increases. Except as noted above, this spell otherwise functions as ray of exhaustion.  Characters wearing heavy clothing or armor of any sort take a -4 penalty on their saves.</t>
  </si>
  <si>
    <t>Swallow Your Fear</t>
  </si>
  <si>
    <t>bard 1, cleric/oracle 1</t>
  </si>
  <si>
    <t>You make the affected subjects ready for battle despite their fear. If a target is suffering from a fear effect of any kind, he gains a +2 morale bonus to Strength and Constitution, a +1 morale bonus on Will saves, and a -2 penalty to AC.  If the subject is frightened, he remains in place and gains the confused condition for the remainder of the fear effect, except he treats all results of "attack self " as "do nothing" and treats "attack nearest creature" as "act normally." If the subject is panicked, he remains in place and gains the confused condition for the duration of the fear effect.</t>
  </si>
  <si>
    <t>AP 35</t>
  </si>
  <si>
    <t>Blood Rage</t>
  </si>
  <si>
    <t>adept 3, bard 2, cleric/oracle 3, sorcerer/wizard 3</t>
  </si>
  <si>
    <t>V, S, M (a drop of blood from each creature to be affected)</t>
  </si>
  <si>
    <t>one willing living creature per 2 levels, no two of which may be more than 30 ft. apart</t>
  </si>
  <si>
    <t>The targets of this spell become angrier as they fight, the pain of their wounds fueling their strength. An affected creature gains a cumulative +2 morale bonus to Strength and a cumulative -1 penalty to AC for every 5 points of damage it takes (maximum +10 Strength, -5 AC) for the duration of the spell. These bonuses last until the spell expires or the target falls unconscious.</t>
  </si>
  <si>
    <t>Orcs of Golarion</t>
  </si>
  <si>
    <t>Shield the Banner</t>
  </si>
  <si>
    <t>adept 1, cleric/oracle 1</t>
  </si>
  <si>
    <t>standard touched</t>
  </si>
  <si>
    <t>This spell is used to protect one of a tribe's most valuable possessions: its tribal banner. Any creature (other than a member of the tribe which the standard represents) attempting to directly attack or touch the standard must make a Will save. This spell functions as sanctuary, but only protects a standard or banner. In addition, the spell grants a +2 bonus to the standard's hardness, and +10 to the standard's hit points for the duration of the spell.</t>
  </si>
  <si>
    <t>Vigor</t>
  </si>
  <si>
    <t>adept 0, cleric/oracle 0</t>
  </si>
  <si>
    <t>This spell infuses the subject with a small surge of strength. The creature gets a +1 competence bonus on a single melee damage roll. It must choose to use the bonus before making the roll to which it applies. Ranged or spell attacks are unaffected by this spell.</t>
  </si>
  <si>
    <t>Absorbing Touch</t>
  </si>
  <si>
    <t>alchemist 3</t>
  </si>
  <si>
    <t>1 day/level (D)</t>
  </si>
  <si>
    <t>Fortitude negates (object)</t>
  </si>
  <si>
    <t>You absorb the next object your hand touches into your body. If you are already holding an object, you can attempt to absorb it; otherwise, you may touch an object as a standard action separate from casting the spell. You can absorb any nonmagical, nonliving object weighing no more than 1 pound per caster level. A container and its contents count as a single object. Objects in the possession of another creature receive a Fortitude saving throw to prevent absorption. You may continue to attempt to absorb objects until one is absorbed.  An absorbed object melds with your hand and cannot be targeted, but the object's weight still counts against your carrying capacity. If you dismiss the spell, the item appears in the hand that absorbed it, or falls to the ground if that hand is full. Multiple castings let you absorb additional items, but you can only store a single item per hand.</t>
  </si>
  <si>
    <t>APG</t>
  </si>
  <si>
    <t>Caster absorbs an item for 1 day/level.</t>
  </si>
  <si>
    <t>Accelerate Poison</t>
  </si>
  <si>
    <t>druid 2, ranger 2, sorcerer/wizard 2, occultist 2</t>
  </si>
  <si>
    <t>V, S, M (a thorn)</t>
  </si>
  <si>
    <t>You hasten the onset of poison in the target. If the poison normally has an onset time, its effects begin immediately. If the poison has no onset time, its frequency is doubled, requiring two saving throws and inflicting damage twice per round or minute, though its duration is halved. Accelerate poison does not change the cure condition for the poison. If the target is affected by more than one poison, you may choose which is affected if you administered the poison; otherwise, randomly determine which poison is affected.</t>
  </si>
  <si>
    <t>Hastens targeted poison’s onset.</t>
  </si>
  <si>
    <t>Acid Pit</t>
  </si>
  <si>
    <t>sorcerer/wizard 4, summoner/unchained summoner 4</t>
  </si>
  <si>
    <t>V, S, M (drop of acid), F (Fine shovel worth 10 gp)</t>
  </si>
  <si>
    <t>10-ft.-by-10-ft. hole, 10 ft. deep/2 levels</t>
  </si>
  <si>
    <t>1 round + 1 round/level</t>
  </si>
  <si>
    <t>This spell functions as create pit, except that it places a 5-footdeep pool of acid at the bottom of the pit. The pit has a maximum depth of 100 feet. Creatures who fall into the pit take falling damage as normal (the acid counts as a yielding surface), plus 2d6 points of acid damage per round spent in contact with the acid. In addition, exposed items carried by a creature in the pit may be harmed. Refer to Table 9-2: Items Affected by Magical Attacks (Core Rulebook 216). Items are affected one at a time in the order listed on the table, and must make Fortitude saves after 3 consecutive rounds in the acid or gain the broken condition. Objects with the broken condition (regardless of how they became broken) must make a Fortitude saving throw each round spent within the acid or be destroyed. The walls of the pit are quite slippery and have a Climb DC of 30.</t>
  </si>
  <si>
    <t>Creates a pit with a layer of acid on the bottom.</t>
  </si>
  <si>
    <t>Alchemical Allocation</t>
  </si>
  <si>
    <t>alchemist 2</t>
  </si>
  <si>
    <t>This extract causes a pale aura to emanate from your mouth.  If you consume a potion or elixir on the round following the consumption of this extract, you can spit it back into its container as a free action. You gain all the benefits of the potion or elixir, but it is not consumed. You can only gain the benefits of one potion or elixir in this way per use of this extract.</t>
  </si>
  <si>
    <t>Gain potion’s benefits without consuming it.</t>
  </si>
  <si>
    <t>Allfood</t>
  </si>
  <si>
    <t>ranger 2</t>
  </si>
  <si>
    <t>V, S, M (a pinch of salt and pepper)</t>
  </si>
  <si>
    <t>object touched, weighing up to 5 lbs./level</t>
  </si>
  <si>
    <t>You can transform one object, weighing up to 5 lbs. per caster level, into an edible substance that any living creature can chew, swallow, and safely digest. This allfood always has a bland taste and slightly gooey consistency when chewed regardless of its original nature.  One pound of allfood provides enough sustenance to support a Medium creature for an entire day.  Objects of similar nature in close proximity, such as a pile of rocks, count as a single object for the purpose of this spell. You cannot use this spell to transform objects with magical or other exceptional qualities. An object's hardness is considered to be 0 for the purposes of eating it, but it retains its normal hardness for all other situations, and becomes no more vulnerable to sunder attacks, break attempts, or any other action typically directed against objects. Objects such as hot coals or a burning torch continue to produce energy even after you transform them into allfood and if a creature attempts to eat such an object, it takes damage accordingly.</t>
  </si>
  <si>
    <t>Turns item up to 5 lbs./level into food.</t>
  </si>
  <si>
    <t>Alter Winds</t>
  </si>
  <si>
    <t>druid 1, sorcerer/wizard 1, occultist 1, spiritualist 1</t>
  </si>
  <si>
    <t>immobile 10-ft.-radius emanation</t>
  </si>
  <si>
    <t>You subtly enhance or diminish the effects of natural winds within the spell's area, which is an immobile emanation around a point touched by you as the spell is cast. Within the area, natural (but not magical) wind effects are either increased or decreased by one step in intensity (Core Rulebook 439). The maximum wind force you can affect with this spell is based on your caster level, as shown on the table below. Alter winds has no effect on magical wind effects. Caster Level Wind Force 1st-3rd Light 4th-9th Moderate 10th-15th Strong 16th or higher Severe</t>
  </si>
  <si>
    <t>Increase/decrease strength of natural winds.</t>
  </si>
  <si>
    <t>Amplify Elixir</t>
  </si>
  <si>
    <t>This extract greatly enhances the effects of any potion or elixir you consume. For the duration of this extract, any potion or elixir you consume is treated as if it were empowered. Increase all variable numeric effects of the potion or elixir by half. If the potion or elixir does not have any variable numeric effects, it is instead treated as if it were extended (double the duration of the potion or elixir). If the potion or elixir does not have any variable numeric effects, or has an instantaneous duration, amplify elixir has no effect. Amplify elixir affects oils that target you, but it has no effect on oils that target your equipment.</t>
  </si>
  <si>
    <t>Empowers or extends the effects of any potion or elixir.</t>
  </si>
  <si>
    <t>Ant Haul</t>
  </si>
  <si>
    <t>alchemist 1, cleric/oracle 1, druid 1, ranger 1, sorcerer/wizard 1, summoner/unchained summoner 1, occultist 1, psychic 1, medium 1</t>
  </si>
  <si>
    <t>V, S, M/DF (a small pulley)</t>
  </si>
  <si>
    <t>The target's carrying capacity triples (see Table 7-4: Carrying Capacity on page 171 of the Core Rulebook). This does not affect the creature's actual Strength in any way, merely the amount of material it can carry while benefiting from this spell. It also has no effect on encumbrance due to armor. If the creature wears armor it still takes the normal penalties for doing so regardless of how much weight the spell allows it to carry.</t>
  </si>
  <si>
    <t>Triples carrying capacity of a creature.</t>
  </si>
  <si>
    <t>Aqueous Orb</t>
  </si>
  <si>
    <t>druid 3, sorcerer/wizard 3, summoner/unchained summoner 3, magus 3, bloodrager 3</t>
  </si>
  <si>
    <t>V, S, M (a drop of water and a glass bead)</t>
  </si>
  <si>
    <t>10-ft.-diameter sphere</t>
  </si>
  <si>
    <t>You create a rolling sphere of churning water that can engulf those it strikes. The aqueous orb can move up to 30 feet per round, rolling over barriers less than 10 feet tall. It automatically quenches any nonmagical fires and functions as dispel magic against magical fires as long as those fires are size Large or less.  Any creature in the path of the aqueous orb takes 2d6 points of nonlethal damage. A successful Reflex save negates this damage, but a Large or smaller creature that fails its save must make a second save or be engulfed by the aqueous orb and carried along with it. Engulfed creatures are immersed in water and must hold their breath unless capable of breathing water. They gain cover against attacks from outside the aqueous orb but are considered entangled by its churning currents, takes 2d6 points of nonlethal damage at the beginning of their turn each round they remain trapped. Creatures within the orb may attempt a new Reflex save each round to escape into a random square adjacent to the aqueous orb. The orb may hold one Large creature, 4 Medium, or 16 Small or smaller creatures within it.  The sphere moves as long as you actively direct it (a move action for you); otherwise, it merely stays at rest and churns in place. An aqueous orb stops if it moves outside the spell's range.</t>
  </si>
  <si>
    <t>Creates rolling sphere of water.</t>
  </si>
  <si>
    <t>Aquatic (7)</t>
  </si>
  <si>
    <t>Arcane Concordance</t>
  </si>
  <si>
    <t>V, S, M (a spent wand)</t>
  </si>
  <si>
    <t>A shimmering, blue and gold radiance surrounds you, enhancing arcane spells cast by your allies within its area. Any arcane spell cast by a creature within the area gains a +1 enhancement bonus to the DC of any saving throws against the spell, and can be cast as if one of the following metamagic feats was applied to it (without increasing the spell level or casting time): Enlarge Spell, Extend Spell, Silent Spell, or Still Spell (you choose the metamagic feat when you cast arcane concordance).</t>
  </si>
  <si>
    <t>Grants metamagic to arcane spells.</t>
  </si>
  <si>
    <t>Arrow Eruption</t>
  </si>
  <si>
    <t>ranger 2, sorcerer/wizard 2</t>
  </si>
  <si>
    <t>V, S, M (arrow or crossbow bolt)</t>
  </si>
  <si>
    <t>30-ft.-radius burst</t>
  </si>
  <si>
    <t>You create exact duplicates of the arrow or crossbow bolt you used to kill a creature in the previous round and launch one at enemy creatures within a 30-foot radius of the corpse. You can target one creature per caster level (maximum 15) within range of the burst and must make a single attack roll and apply it to each arrow. These duplicate arrows possess all the intrinsic magical properties of the arrow that killed the original creature as well as those passed on to it by your bow. They also enjoy the full benefit of any bonuses or modifiers you applied to the attack from other magical items, feats, and class or racial features. However, this spell cannot reproduce any spells or other limited-use magical effects that you used to enhance that particular attack. This includes such effects as the true strike spell, as well as any area spell you might have placed on the arrow by means of the arcane archer's imbue arrow class feature.</t>
  </si>
  <si>
    <t>Creates duplicates of an arrow used to kill a creature in the previous round.</t>
  </si>
  <si>
    <t>Aspect of the Bear</t>
  </si>
  <si>
    <t>You take on an aspect of a bear. You gain a +2 enhancement bonus to natural armor and a +2 enhancement bonus on CMB rolls. You can also perform bull rush, grapple, and overrun combat maneuvers without provoking attacks of opportunity.</t>
  </si>
  <si>
    <t>+2 AC and combat maneuver rolls.</t>
  </si>
  <si>
    <t>Aspect of the Falcon</t>
  </si>
  <si>
    <t>You take on an aspect of a falcon. Your eyes become wide and raptor-like, and you grow feathers on the sides of your head. You gain a +3 competence bonus on Perception checks, a +1 competence bonus on ranged attacks, and the critical multiplier for your bows and crossbows becomes 19-20/x3.  This effect does not stack with any other effect that expands the threat range of a weapon, such as the Improved Critical feat or a keen weapon.</t>
  </si>
  <si>
    <t>Gives bonuses on Perception and ranged attacks.</t>
  </si>
  <si>
    <t>Aspect of the Stag</t>
  </si>
  <si>
    <t>When you cast this spell, you take on an aspect of a stag, including some of its physical characteristics. Your features become elongated and sinewy, and you grow a set of antlers you can use for defense. You gain a +2 dodge bonus to AC against attacks of opportunity, your base speed increases by 20 ft., you can move through any undergrowth (including magically manipulated undergrowth) at your normal speed, and can even make a 5-foot step within such terrain.  Furthermore, when you are hit with an attack of opportunity, you can make a single attack with your antlers against the opponent that hit you as an immediate action. This attack uses your highest base attack bonus plus your Strength or Dexterity bonus (your choice) and deals 1d8 points of piercing damage (if you are Medium; 1d6 points of damage if Small) plus your Strength modifier on a successful hit. The antlers have a critical multiplier of 19-20/x2.</t>
  </si>
  <si>
    <t>+2 AC against attacks of opportunity</t>
  </si>
  <si>
    <t>Aspect of the Wolf</t>
  </si>
  <si>
    <t>When you cast this spell, you take on an aspect of a wolf, including some of its physical characteristics. You become more rugged, your ears become elongated, and you sprout sharp fangs and fur.  You gain a +4 enhancement bonus to Strength and Dexterity, the scent ability, a +2 enhancement bonus on trip attacks, and can make a trip combat maneuver as a swift action. This trip attack does not provoke attacks of opportunity.</t>
  </si>
  <si>
    <t>Subject gains +4 Str and Dex, and +2 bonus on trip attacks.</t>
  </si>
  <si>
    <t>Moon (10)</t>
  </si>
  <si>
    <t>Aura of Greater Courage</t>
  </si>
  <si>
    <t>paladin 2</t>
  </si>
  <si>
    <t>10/minutes per level</t>
  </si>
  <si>
    <t>When you cast this spell you strengthen your paladin's aura of courage. Until the end of its duration, all allies within that aura are immune to fear (magical or otherwise). If you do not have the aura of courage class feature, aura of greater courage has no effect.</t>
  </si>
  <si>
    <t>Increases strength of a paladin’s aura of courage.</t>
  </si>
  <si>
    <t>Ball Lightning</t>
  </si>
  <si>
    <t>air, electricity</t>
  </si>
  <si>
    <t>druid 4, sorcerer/wizard 4, magus 4, bloodrager 4, shaman 4, occultist 4</t>
  </si>
  <si>
    <t>V, S, M/DF (a small iron ring)</t>
  </si>
  <si>
    <t>two or more 5-ft.-diameter spheres</t>
  </si>
  <si>
    <t>You create two globes of lightning that fly in whichever direction you indicate. For every 4 caster levels above 7th, you create an additional globe of lightning (3 globes at 11th, 4 globes at 15th, to the maximum of 5 globes at 19th). These globes fly at a rate of 20 feet per round and have perfect maneuverability. Wind does not affect a flying sphere's course.  If a globe enters a space with a creature, it stops moving for the round and deals 3d6 points of electricity damage to that creature, though a successful Reflex save negates the damage. Creatures wearing metal armor take a -4 penalty on this saving throw.  Each globe moves as long as you actively direct it (it's a move action for you to direct all the spheres created by a single casting of this spell); otherwise they stay at rest. These globes have no mass and cannot push aside unwilling creatures or move solid objects. A ball lightning globe winks out if it exceeds the spell's range.</t>
  </si>
  <si>
    <t>Flying lightning spheres deal 3d6</t>
  </si>
  <si>
    <t>Banish Seeming</t>
  </si>
  <si>
    <t>inquisitor 3, witch 5, psychic 5</t>
  </si>
  <si>
    <t>V, S, M (a cold iron nail)</t>
  </si>
  <si>
    <t>instantaneous and 1 round/level; see text</t>
  </si>
  <si>
    <t>With a melee touch attack you can dispel an illusion or return a creature to its natural form. This functions as dispel magic directed at the effect in question, except you receive a +2 enhancement bonus on your dispel check and you can only dispel illusions or changes in form created by supernatural effects or spells. If multiple effects are changing the creature's appearance, you can dispel one such effect for every four caster levels you possess, starting with the highest caster level spells and proceeding to spells with lower caster levels.  The caster level for supernatural abilities such as change shape is equal to the target creature's Hit Dice. A creature returned to its natural form by banish seeming is prevented from changing its form again for a number of rounds equal to your caster level.  Banish seeming has no effect on nonmagical means of changing appearance, such as that provided by a disguise or extraordinary ability.</t>
  </si>
  <si>
    <t>Revelation (3)</t>
  </si>
  <si>
    <t>Dispels touched illusion or a creature’s change in form.</t>
  </si>
  <si>
    <t>Bard's Escape</t>
  </si>
  <si>
    <t>bard 5</t>
  </si>
  <si>
    <t>V, S, M (pieces of a smashed fiddle)</t>
  </si>
  <si>
    <t>you and up to 1 willing creature/2 caster levels, no two of which can be more than 30 ft. apart</t>
  </si>
  <si>
    <t>You whisk yourself and willing allies out of a tight jam, or instantly transfer yourselves to another location to achieve greater strategic positioning. You can move any allies within range to any other space of your choosing within range. Those spaces need not be in line of sight or line of effect from your original position, but must be open locations on surfaces able to support the creatures teleported. Except as noted above, this spell otherwise functions as dimension door.</t>
  </si>
  <si>
    <t>You and allies escape an emergency by teleporting to safety.</t>
  </si>
  <si>
    <t>Beguiling Gift</t>
  </si>
  <si>
    <t>bard 1, witch 1, psychic 1, mesmerist 1</t>
  </si>
  <si>
    <t>V, S, F (the object to be offered)</t>
  </si>
  <si>
    <t>You offer an object to an adjacent creature, and entice it into using or consuming the proffered item. If the target fails its Will save, it immediately takes the offered object, dropping an already held object if necessary. On its next turn, it consumes or dons the object, as appropriate for the item in question. For example, an apple would be eaten, a potion consumed, a ring put on a finger, and a sword wielded in a free hand. If the target is physically unable to accept the object, the spell fails. The subject is under no obligation to continue consuming or using the item once the spell's duration has expired, although it may find a cursed item difficult to be rid of.</t>
  </si>
  <si>
    <t>Subject immediately accepts an offered</t>
  </si>
  <si>
    <t>Bestow Grace</t>
  </si>
  <si>
    <t>one good creature touched</t>
  </si>
  <si>
    <t>Will (harmless)</t>
  </si>
  <si>
    <t>With this spell you can bestow your divine grace on another good creature for a short amount of time, infusing that creature with a portion of your holy virtue. When you touch the subject, you grant that creature a sacred bonus to its saving throws equal to its Charisma bonus (if any) on all saving throws.</t>
  </si>
  <si>
    <t>Subject gains bonus on saving throws equal to Cha modifier.</t>
  </si>
  <si>
    <t>Blaze of Glory</t>
  </si>
  <si>
    <t>good, mind-affecting</t>
  </si>
  <si>
    <t>1 standard action or immediate action; see text</t>
  </si>
  <si>
    <t>30-ft.-radius burst centered on you</t>
  </si>
  <si>
    <t>You fall unconscious but also unleash a spectacular wave of holy energy that heartens and heals your allies while leaving your opponents daunted and damaged. You can cast this spell as either a standard action on your turn, or as an immediate action when brought to below 0 hit points. If cast as a standard action, you are immediately reduced to -1 hit points, but stable, after casting the spell.  When you cast this spell, any good creature within range is healed for 1d6 points of damage per two caster levels. All evil creatures within range take the same amount as damage instead (a successful Will save halves this damage). In addition, all allies and enemies within range are affected as if by the prayer spell for 1 round per caster level.</t>
  </si>
  <si>
    <t>Last stand cures good creatures, hurts evil.</t>
  </si>
  <si>
    <t>Blessing Of Fervor</t>
  </si>
  <si>
    <t>cleric/oracle 4</t>
  </si>
  <si>
    <t>With this blessing, you call your allies to move forth and empower them to conquer and become victorious. Each round for the duration of this spell, each of your allies can choose one of the following bonuses for that round at the beginning of its turn (their choice). • Increase its speed by 30 feet. • Stand up as a swift action without provoking an attack of opportunity. • Make one extra attack as part of a full attack action, using its highest base attack bonus. • Gain a +2 bonus on attack rolls and a +2 dodge bonus to AC and Reflex saves. •Cast a single spell of 2nd level or lower as if it were an enlarged, extended, silent, or still spell. These effects are not cumulative with similar effects, such as those provided by haste or a speed weapon, nor do they actually grant an extra action, so you can't use it to cast a second spell or otherwise take an extra action in the round. Blessing of fervor does not stack with haste.</t>
  </si>
  <si>
    <t>Gives allies a choice of benefits.</t>
  </si>
  <si>
    <t>Martyred (9)</t>
  </si>
  <si>
    <t>Ancestors (8)</t>
  </si>
  <si>
    <t>Affected creatures can choose two of the spell's bonuses each round rather than one.</t>
  </si>
  <si>
    <t>Blessing of the Salamander</t>
  </si>
  <si>
    <t>When you cast this on a creature, its skin turns slick and clammy and it is able to regenerate damage each round. While under the effects of the spell, the creature gains fast healing 5, fire resistance 20 and a +2 competence bonus to its Combat Maneuver Defense.</t>
  </si>
  <si>
    <t>Subject gets fast healing 2, fire resistance 10, and +2 to its CMD.</t>
  </si>
  <si>
    <t>Blood Biography</t>
  </si>
  <si>
    <t>bard 2, cleric/oracle 3, inquisitor 3, sorcerer/wizard 3, bloodrager 3, occultist 2, psychic 3, medium 2</t>
  </si>
  <si>
    <t>V, S, M/DF (a scrap of parchment)</t>
  </si>
  <si>
    <t>one creature's blood or one bloodstain</t>
  </si>
  <si>
    <t>You learn the answers to a specific set of questions about a creature so long as you have access to at least one drop of its blood. You can cast this spell on the blood of the living or the dead, but living or undead creatures are entitled to a saving throw to resist the spell. You can cast the spell on dried or fresh blood. Once you cast the spell the answers to the following four questions appear on any flat surface you designate (a wall, a piece of paper, and so on). • Who are you? (The name by which the creature is most commonly known) • What are you? (Gender, race, profession/role) • How was your blood shed? (Brief outline of the events that caused its wound, to the best of the victim's knowledge) • When was your blood shed? These answers always appear in a language you can read even if the creature cannot speak that or any language.</t>
  </si>
  <si>
    <t>Learn about a creature with its blood.</t>
  </si>
  <si>
    <t>Portents (6)</t>
  </si>
  <si>
    <t>Bloodhound</t>
  </si>
  <si>
    <t>alchemist 3, inquisitor 2, ranger 2, occultist 3</t>
  </si>
  <si>
    <t>V, S, M (a drop of blood and a pinch of cinnamon)</t>
  </si>
  <si>
    <t>You gain the scent special quality, including the ability to track by scent. You receive a +8 competence bonus on Perception checks involving smell and a +4 competence bonus on Survival checks to track using scent. You take a -4 penalty on saving throws against odor-related effects such as the stench ability and stinking cloud. A creature under the effects of bloodhound can detect poison by scent with a DC 20 Perception check.</t>
  </si>
  <si>
    <t>Gives caster the scent special ability.</t>
  </si>
  <si>
    <t>Bloody Claws</t>
  </si>
  <si>
    <t>You give a creature the ability to deal bleed damage when making natural attacks so long as the attack deals slashing or piercing damage. This bleed damage for each attack is equal to one-half your caster level (limited to the creature's maximum damage with that attack), though bleed damage does not stack. When two or more attacks deal bleed damage, take the worse effect.</t>
  </si>
  <si>
    <t>Causes bleed damage with natural attacks.</t>
  </si>
  <si>
    <t>Bomber's Eye</t>
  </si>
  <si>
    <t>alchemist 1</t>
  </si>
  <si>
    <t>This extract allows you to throw weapons farther and more accurately. While this extract is in effect, increase the range of any thrown weapon by 10 feet. In addition, you receive a +1 insight bonus on attack rolls made with thrown weapons.</t>
  </si>
  <si>
    <t>Increases thrown weapon range; +1 attack.</t>
  </si>
  <si>
    <t>Borrow Fortune</t>
  </si>
  <si>
    <t>oracle 3, psychic 3, medium 3</t>
  </si>
  <si>
    <t>When you make a d20 roll, you may choose to immediately cast this spell to reroll that die before success or failure is known, keeping the more favorable result. For the next two rounds following your casting of the spell, you must roll two dice each time a d20 roll is called for, keeping the less favorable result.</t>
  </si>
  <si>
    <t>Fate (3)</t>
  </si>
  <si>
    <t>(Oracle only.) Retry attack or check, but do worse on next two.</t>
  </si>
  <si>
    <t>Borrow Skill</t>
  </si>
  <si>
    <t>bard 1, psychic 1, medium 1</t>
  </si>
  <si>
    <t>up to 1 round/level (see description)</t>
  </si>
  <si>
    <t>You borrow one of the target's known skills. After touching the subject, you can make a single check with the chosen skill using the subject's skill ranks, but modified by your own key ability.  If you take longer than the spell's duration to make the check or the check requires more time, then it fails and you must use your own skill ranks (if any). If the borrowed skill is a class skill for you, you gain the +3 bonus on checks using that skill.</t>
  </si>
  <si>
    <t>Cooperation (1)</t>
  </si>
  <si>
    <t>Make a skill check using another’s ranks.</t>
  </si>
  <si>
    <t>Bow Spirit</t>
  </si>
  <si>
    <t>ranger 4</t>
  </si>
  <si>
    <t>A bow spirit is a shapeless force that hovers about you, taking ammunition from your quiver and firing it. For as long as the bow spirit lasts, you can spend a swift action to direct the bow spirit to fire an arrow or a bolt at a target of your choice, as if the bow spirit were firing the necessary ranged weapon. The bow spirit uses your base attack bonus plus your Dexterity modifier, as well as any bonuses and effects from feats you have that affect ranged attacks, or bonuses from the ammunition it uses.  A bow spirit's attacks do not provoke attacks of opportunity.  There must be ammunition available for the bow spirit to use, and it expends ammunition as if used by you.  A bow spirit occupies your space, and moves with you.  It cannot be attacked or harmed by physical attacks, but dispel magic, disintegrate, a sphere of annihilation, or a rod of cancellation affects it. A bow spirit's AC against touch attacks is 10 + your Dexterity modifier.</t>
  </si>
  <si>
    <t>Summons an invisible spirit that fires your arrows for you as a swift action.</t>
  </si>
  <si>
    <t>Brand</t>
  </si>
  <si>
    <t>inquisitor 0</t>
  </si>
  <si>
    <t>Brand etches an indelible rune or mark of no more than 6 characters onto a creature, inflicting 1 point of damage. The mark may be placed on any exposed portion of the creature, typically the head or forearm. A brand can be hidden by clothing or removed by scraping it away (causing 1d6 points of damage), though the brand returns if the damage is healed.</t>
  </si>
  <si>
    <t>Creates permanent brand on target creature.</t>
  </si>
  <si>
    <t>Brand, Greater</t>
  </si>
  <si>
    <t>inquisitor 4</t>
  </si>
  <si>
    <t>This spell functions like brand, except that it inflicts 1d6 points of damage when applied and cannot be removed, even temporarily. In addition, a greater brand blazes as bright as a torch when brought within 30 feet of a visible symbol of your faith. While the symbol is blazing, the recipient is sickened.  Like the effects of bestow curse, a greater brand cannot be dispelled, but it can be removed by any means that removes a mark of justice.</t>
  </si>
  <si>
    <t>As brand, but brand glows when near your holy symbol.</t>
  </si>
  <si>
    <t>Break</t>
  </si>
  <si>
    <t>sorcerer/wizard 1, bloodrager 1, occultist 1, psychic 1</t>
  </si>
  <si>
    <t>V, S, M (a twig)</t>
  </si>
  <si>
    <t>one Medium or smaller object</t>
  </si>
  <si>
    <t>You can attempt to break or at least damage any one Medium or smaller object within range. If the target fails its Fortitude saving throw, it gains the broken condition. If cast on a broken item, that item is destroyed on a failed save.</t>
  </si>
  <si>
    <t>Gives an object the broken condition.</t>
  </si>
  <si>
    <t>You can target up to 1 Medium or smaller object per caster level.</t>
  </si>
  <si>
    <t>Augmented (3rd): If you expend two uses of mythic power, target objects gain the broken condition on a successful save and are destroyed on a failed save. This doesn't affect mythic objects or objects held or carried by mythic creatures.</t>
  </si>
  <si>
    <t>Brilliant Inspiration</t>
  </si>
  <si>
    <t>bard 6, psychic 8</t>
  </si>
  <si>
    <t>1 round/level and special (see below)</t>
  </si>
  <si>
    <t>You open a link between your mind and the subject's mind, giving advice and encouragement for as long as the spell is in effect. Each time the subject of the spell makes an attack roll, ability check, or skill check, it rolls two d20s and takes the better result. If any roll is a natural 20, the spell's effect ends-your brilliant advice is spent.</t>
  </si>
  <si>
    <t>Leadership (6)</t>
  </si>
  <si>
    <t>Take best of two d20 rolls.</t>
  </si>
  <si>
    <t>Bristle</t>
  </si>
  <si>
    <t>You give a creature the ability to redirect a portion of its innate toughness away from its own defense and toward the amount of damage it deals with natural attacks. Each round, as a swift action at the start of its turn, the creature can choose to reduce some or all of its natural armor bonus to AC and gain an enhancement bonus on all damage rolls for natural attacks equal to that amount. The reduction to natural armor, and thus the enhancement bonus on damage rolls, cannot exceed 1 point per 3 caster levels, to a maximum penalty/bonus of -5/+5 at 15th level. A creature cannot reduce its natural armor bonus to less than 0 with this spell.  All attacks directed against the creature use its adjusted AC until the start of its next turn, at which time it can choose to modify its AC again or keep it at its current level. Creatures make this decision without any need for conscious thought or reflection; even creatures with no Intelligence score can benefit from this spell, although they always opt for the maximum possible reduction and bonus, regardless of any tactical advantage they might lose.</t>
  </si>
  <si>
    <t>Trade natural armor bonus for a bonus on attacks with natural weapons.</t>
  </si>
  <si>
    <t>Burning Gaze</t>
  </si>
  <si>
    <t>druid 2, sorcerer/wizard 2, witch 2, magus 2, bloodrager 2, shaman 2, occultist 2, mesmerist 2</t>
  </si>
  <si>
    <t>V, S, M/DF (eye of a mundane salamander)</t>
  </si>
  <si>
    <t>Fortitude negates (see text)</t>
  </si>
  <si>
    <t>Your eyes burn like hot coals, allowing you to set objects or foes alight with a glance. As a standard action as long as this spell's effects persist, you may direct your burning gaze against a single creature or object within 30 feet of your location. Targeted creatures must succeed at a Fortitude save or take 1d6 points of fire damage. Unattended objects do not get a save. Creatures damaged by the spell must make a Reflex save or catch fire. Each round, burning creatures may attempt a Reflex save to quench the flames; failure results in another 1d6 points of fire damage. Flammable items worn by a creature must also save or take the same damage as the creature. If a creature or object is already on fire, it suffers no additional effects from burning gaze. Note that this spell does not grant an actual gaze attack- foes and allies are not in danger of catching on fire simply by meeting your gaze.</t>
  </si>
  <si>
    <t>Inflict 1d6 fire damage to creature.</t>
  </si>
  <si>
    <t>Vengeance (4)</t>
  </si>
  <si>
    <t>You may focus your burning gaze on a creature or object as a move action instead of as a standard action. The target takes 1d8 points of fire damage for failing its save and for each round it's on fire.</t>
  </si>
  <si>
    <t>Augmented: If you expend two uses of mythic power, once during the spell's duration you can, as a full-round action, direct your burning gaze at up to one creature per caster level.</t>
  </si>
  <si>
    <t>Burst Bonds</t>
  </si>
  <si>
    <t>inquisitor 1</t>
  </si>
  <si>
    <t>one object or creature restraining you</t>
  </si>
  <si>
    <t>Fortitude half (object)</t>
  </si>
  <si>
    <t>You blast your restraints with divine wrath, dealing 1d6 points of damage per caster level to the target object (maximum 5d6), ignoring hardness of 10 or less. A Fortitude save halves the damage, although only magical restraints receive a saving throw.  You can also target a creature that is grappling or otherwise restraining you (such as by adhesive or the swallow whole ability) with the spell. You don't need to make a touch attack to use burst bonds against a creature, and you can cast this spell without making a concentration check while grappled or pinned. The creature does not take damage as above. If you are grappled and your target fails its save, you may make an immediate attempt to break the grapple (but not reverse it) as a free action, with a +1 luck bonus to your CMB per caster level (maximum +5). If the target creature fails its save and you are restrained by an ability that originally allowed a saving throw, burst bonds allows a new saving throw with a +1 luck bonus per two caster levels (maximum +5).</t>
  </si>
  <si>
    <t>1d6 damage/level (max 5d6) to restraints.</t>
  </si>
  <si>
    <t>Cacophonous Call</t>
  </si>
  <si>
    <t>bard 2</t>
  </si>
  <si>
    <t>V, S, M (a scrap of sheet music)</t>
  </si>
  <si>
    <t>You fill your target's mind with a blaring cacophony of discordant sounds, making it hard for the target to act and concentrate.  The creature gains the nauseated condition for the duration of the spell if it fails its Will save.</t>
  </si>
  <si>
    <t>Nauseates target.</t>
  </si>
  <si>
    <t>Cacophonous Call, Mass</t>
  </si>
  <si>
    <t>one creature/level (all of which must be within 30 feet)</t>
  </si>
  <si>
    <t>This spell functions as cacophonous call, except that it affects multiple creatures.</t>
  </si>
  <si>
    <t>Nauseates multiple targets.</t>
  </si>
  <si>
    <t>Calcific Touch</t>
  </si>
  <si>
    <t>sorcerer/wizard 4, bloodrager 4, psychic 4</t>
  </si>
  <si>
    <t>creature or creatures touched (up to one per level)</t>
  </si>
  <si>
    <t>Your touch progressively transmutes the substance of creatures you touch into stone. Once per round, you may deliver a touch attack that inflicts 1d4 points of Dexterity damage and slows the target (as the spell) for 1 round. A successful Fortitude save negates the slow effect but not the ability damage. A target reduced to 0 Dexterity is petrified permanently. Break enchantment, restoration, or stone to flesh can reverse the effects of calcific touch.</t>
  </si>
  <si>
    <t>Touch attack slows target, 1d4 Dex damage.</t>
  </si>
  <si>
    <t>Call Animal</t>
  </si>
  <si>
    <t>druid 1, ranger 1, mesmerist 1</t>
  </si>
  <si>
    <t>see description</t>
  </si>
  <si>
    <t>one animal whose CR is equal or less than your caster level</t>
  </si>
  <si>
    <t>This spell calls the nearest wild animal of a particular type you designate (provided the animal's CR is equal to or less than your caster level) to seek you out. The animal moves toward you under its own power, so the time it takes to arrivedepends on how close an animal of the desired type is when you cast the spell. If there is no animal of that type capable of reaching you within the spell's duration, you are aware of this fact, but the spell is wasted. Knowledge of the local fauna makes this spell more effective, and the GM may permit a Knowledge (nature) skill check (DC 15) to know what animals can be found in an area.  When the called animal arrives, it approaches to within 5 feet of you and remains nearby for the duration of the spell.  Its starting attitude is indifferent, modified by circumstances and interaction. Other than starting attitude, this spell gives you no special influence or ability to communicate with the called animal, although you may use other spells or abilities to do so.  Once the spell's duration expires, the animal acts in accordance with its attitude. Most animals will likely wander off, but a hostile predatory animal may attack, especially if it is hungry or provoked.  Domesticated animals or animals trained by someone else, including such creatures as familiars or animal companions, are unaffected by call animals.</t>
  </si>
  <si>
    <t>Makes an animal come to you.</t>
  </si>
  <si>
    <t>You can call up to one animal per 2 caster levels. Animals that answer your call have a starting attitude of friendly. Add your tier to Handle Animal checks attempted to influence these animals. You may use this spell to call magical beasts with Intelligence 1 or 2, but they can attempt Will saving throws (with a +4 bonus) to resist the spell.</t>
  </si>
  <si>
    <t>Campfire Wall</t>
  </si>
  <si>
    <t>fire, light</t>
  </si>
  <si>
    <t>bard 3, druid 2, ranger 2, sorcerer/wizard 3, occultist 2</t>
  </si>
  <si>
    <t>V, S, M/DF (ash made from burnt thorns)</t>
  </si>
  <si>
    <t>20-ft.-radius sphere centered on fire source</t>
  </si>
  <si>
    <t>2 hours/level; see below (D)</t>
  </si>
  <si>
    <t>You can create a barrier around a fire of at least campfire size that shelters everyone inside so long as the fire continues to burn. The barrier appears as a crackling sphere of light and fire that is clearly visible, providing as much illumination as a torch.  The barrier bocks line of sight, granting creatures on either side of the barrier total concealment from creatures on the other side. Any object or creature passing through the barrier from outside takes 1d6 points of fire damage and is also outlined with light equivalent to that of a torch, for 1d6 minutes. Creatures outlined in this way are plainly visible regardless of the light conditions and do not benefit from any sort of concealment, magical or otherwise. The light is not bright enough to have any special effect on undead or creatures vulnerable to light.  Creatures inside the barrier can leave without penalty, but if they try to return they suffer the same consequences as anyone else. If the fire source at the barrier's center is extinguished or moved, the spell ends.</t>
  </si>
  <si>
    <t>Creates a shelter around a campfire.</t>
  </si>
  <si>
    <t>Cast Out</t>
  </si>
  <si>
    <t>inquisitor 3, psychic 4, medium 2</t>
  </si>
  <si>
    <t>With a melee touch attack you blast a single creature and disrupt any magic controlling it. The target takes 2d8 points of damage + 1 point per caster level (maximum +15). In addition, you make a dispel check against any magic jar effect (including a ghost's malevolence ability) or enchantment (compulsion) spells on the target creature, starting with the highest level spells and proceeding to lower level spells. Treat this as a targeted dispel magic spell, except cast out can dispel one such spell for every four caster levels you possess. A successful Will save halves the damage and limits the dispelling to a single spell or effect.</t>
  </si>
  <si>
    <t>Does 2d8 damage +1/level (max +15) to creature and dispels an effect.</t>
  </si>
  <si>
    <t>Castigate</t>
  </si>
  <si>
    <t>fear, language-dependent, mind-affecting, emotion</t>
  </si>
  <si>
    <t>inquisitor 2, mesmerist 2</t>
  </si>
  <si>
    <t>You compel the target to beg for forgiveness. On a failed save, the target cowers with fear. On a successful save, it is shaken for 1 round. Each round on its turn, a cowering subject may attempt a new save to end the effect. A creature who worships the same god as you takes a -2 penalty on its saving throw.</t>
  </si>
  <si>
    <t>Judgment (2)</t>
  </si>
  <si>
    <t>Causes target to be shaken and cower.</t>
  </si>
  <si>
    <t>Castigate, Mass</t>
  </si>
  <si>
    <t>inquisitor 5, mesmerist 5</t>
  </si>
  <si>
    <t>This spell functions as castigate, except it affects many creatures.</t>
  </si>
  <si>
    <t>As castigate, but affects multiple creatures.</t>
  </si>
  <si>
    <t>Challenge Evil</t>
  </si>
  <si>
    <t>V, DF</t>
  </si>
  <si>
    <t>one evil creature</t>
  </si>
  <si>
    <t>1 minute/level (D)</t>
  </si>
  <si>
    <t>You challenge an evil creature to bring the fight to you, or suffer the consequences. You gain a +2 sacred bonus on all melee attacks against the subject of the spell. At the end of its turn, if the target has not made at least one attack on you, it becomes sickened. If you move away from the target, the spell ends.</t>
  </si>
  <si>
    <t>Sickens creature if it refuses to fight you.</t>
  </si>
  <si>
    <t>Chameleon Stride</t>
  </si>
  <si>
    <t>You fade into the background, and while you are not truly invisible, you are hard to pinpoint due to your translucent state.  While under the effects of this spell, you gain a +4 bonus on Stealth checks and have concealment from creatures more than 5 feet away (attacks have a 20% miss chance).</t>
  </si>
  <si>
    <t>Gives a +4 bonus on Stealth checks and concealment.</t>
  </si>
  <si>
    <t>Clashing Rocks</t>
  </si>
  <si>
    <t>druid 9, sorcerer/wizard 9</t>
  </si>
  <si>
    <t>Reflex partial, see text</t>
  </si>
  <si>
    <t>You create two Colossal-sized masses of rock, dirt, and stone and slam them together against a single creature between them. The clashing rocks appear up to 30 feet away from the target on opposite sides and rush toward it with a mighty grinding crash. You must make a ranged touch attack to hit the target with the rocks. The clashing rocks ignore concealment and cover, and if there is a solid barrier between the target and either of the clashing rocks, the spell has a +28 bonus on the Strength check to burst through the barrier and continue unimpeded to the target. A creature struck by the clashing rocks takes 20d6 points of bludgeoning damage and is knocked prone. If the target fails a Reflex saving throw, it is also buried under the resulting rubble as if by a cave-in (see Pathfinder RPG Core Rulebook 415).  If the clashing rocks miss the target, the target still takes 10d6 points of bludgeoning damage from falling rocks and is knocked prone. A successful Reflex save reduces this damage to half and the target remains standing. Creatures other than the target that occupy the spaces where the clashing rocks appear or within their path (30 feet wide, 30 feet high, and up to 60 feet long) must also make Reflex saves or take 10d6 points of bludgeoning damage and be knocked prone (save for half and remain standing). A creature can only take damage once from the clashing rocks, no matter how many times the clashing rocks pass over a target creature.</t>
  </si>
  <si>
    <t>Ruins (9)</t>
  </si>
  <si>
    <t>20d6 damage to target creature.</t>
  </si>
  <si>
    <t>Deep Earth (19)</t>
  </si>
  <si>
    <t>Mountain (18)</t>
  </si>
  <si>
    <t>Cleanse</t>
  </si>
  <si>
    <t>cleric/oracle 5, inquisitor 6</t>
  </si>
  <si>
    <t>Positive energy infuses and cleanses your body. This spell cures 4d8 points of damage + 1 point per caster level (maximum +25) and ends any and all of the following adverse conditions affecting you: ability damage, blinded, confused, dazzled, deafened, diseased, exhausted, fatigued, nauseated, poisoned, and sickened. In addition, cleanse functions as break enchantment upon a single additional effect of your choice that is affecting you and that can be legally affected by this effect.  If used by undead or other creatures healed by negative energy, the spell cleanses with negative energy rather than positive.</t>
  </si>
  <si>
    <t>Divine (5)</t>
  </si>
  <si>
    <t>As heal, but only cures 4d8 damage +1/level (max +25).</t>
  </si>
  <si>
    <t>Healing (10)</t>
  </si>
  <si>
    <t>Cloak of Dreams</t>
  </si>
  <si>
    <t>bard 5, sorcerer/wizard 6, witch 6, shaman 7, occultist 6, psychic 6, mesmerist 5</t>
  </si>
  <si>
    <t>V, S, M (a rose petal and a drop of perfume)</t>
  </si>
  <si>
    <t>You are surrounded by a soporific aroma that causes living creatures that begin their turn or end their movement within 5 feet of you to fall asleep for 1 minute. Creatures must save each time they begin their turn or end their movement within the cloak of dreams, even if they have previously saved against the effect. Sleeping creatures are helpless but can be awakened with a standard action or after being wounded.  Creatures with the scent special quality have a -4 penalty on their saves.</t>
  </si>
  <si>
    <t>Nightmare (6), Whimsy (6)</t>
  </si>
  <si>
    <t>Living creatures within 5 ft. fall asleep.</t>
  </si>
  <si>
    <t>Stars (12)</t>
  </si>
  <si>
    <t>Cloak of Shade</t>
  </si>
  <si>
    <t>V, S, M (a leaf from a shade tree)</t>
  </si>
  <si>
    <t>one creature per level</t>
  </si>
  <si>
    <t>(harmless) This spell provides the subject with some degree of protection from the harmful effects of the sun. The cloaked subject treats environmental heat due to sun exposure as one level less: severe heat is considered very hot conditions, while very hot is considered average temperature (see page 444 of the Core Rulebook for heat dangers). The cloak of shade also reduces any penalties from sunlight by 1. The spell does not, however, eliminate the effects of direct sunlight on creatures vulnerable to sunlight. Cloak of shade has no effect on environmental heat from sources other than the sun.</t>
  </si>
  <si>
    <t>Reduces effects of sun exposure and heat.</t>
  </si>
  <si>
    <t>Cloak of Winds</t>
  </si>
  <si>
    <t>druid 3, ranger 3, sorcerer/wizard 3, magus 3, bloodrager 3, occultist 3, spiritualist 3</t>
  </si>
  <si>
    <t>You shroud a creature in a whirling screen of strong, howling wind. The subject is never checked or blown away by strong winds of windstorm or lesser strength (whether natural or magically created), and ranged attack rolls against the subject take a -4 penalty. Tiny or smaller creatures must succeed at a Fortitude save to successfully touch or attack the subject in melee. Failure knocks the attacker prone and pushes it 5 feet away from the subject per level of the caster. This movement can pass through the squares of other creatures without affecting them and does not provoke attacks of opportunity, but the creature takes 3d6 points of nonlethal damage, plus 1d6 if the creature strikes a solid object that blocks its movement.</t>
  </si>
  <si>
    <t>Creates screen of strong wind around you.</t>
  </si>
  <si>
    <t>Confess</t>
  </si>
  <si>
    <t>inquisitor 2, psychic 2, mesmerist 2</t>
  </si>
  <si>
    <t>You ask the target creature a single question. On the subject's next action, it must answer truthfully in the same language as the question or take 1d6 points of damage per two caster levels (maximum 5d6) and be sickened for 2d4 rounds. A successful Will save negates the sickening effect and halves the damage. A creature that is unable to answer still takes damage.</t>
  </si>
  <si>
    <t>Creature answers question truthfully or takes 1d6 damage/two levels (max 5d6).</t>
  </si>
  <si>
    <t>Contagious Flame</t>
  </si>
  <si>
    <t>three or more rays</t>
  </si>
  <si>
    <t>You blast several enemies with beams of fire. You may fire three rays, plus one additional ray for every four levels beyond 11th (to a maximum of five rays at 19th level). Each ray requires a ranged touch attack to hit and deals 4d6 points of fire damage.  The rays may be fired at the same or different targets, but all rays must be aimed at targets within 30 feet of each other and fired simultaneously.  Every round on your turn, a new ray of fire launches from each creature who took damage from the spell in the previous round-these new rays attack as if you fired them, but their point of origin is the previous creature damaged. You can choose the new targets as a free action, all of whom must be within close range (25 ft. + 5 ft./2 levels) of their new starting point. This contagion of flame continues for a total of three rounds-a creature can be struck more than once by this spell over the course of these three rounds, although never by a ray of fire that launches from itself.</t>
  </si>
  <si>
    <t>Scorching rays cause 4d6 fire damage, then move on to new targets.</t>
  </si>
  <si>
    <t>Coordinated Effort</t>
  </si>
  <si>
    <t>bard 3, inquisitor 3, psychic 4</t>
  </si>
  <si>
    <t>you plus one willing creature per 3 levels, no two of which can be more than 30 ft. part</t>
  </si>
  <si>
    <t>Choose a single teamwork feat that you possess. You forge a link with your allies, allowing them to gain the benefits of the chosen feat even if they do not have it themselves. You must be a part of the group qualifying for a given bonus for your allies to gain the benefits. For example, two of your allies flanking an orc would gain no benefit from your Outflank feat, but an ally flanking the orc with you would. Your allies' positioning and actions must still meet the prerequisites listed in the teamwork feat for either of you to receive the listed bonus.</t>
  </si>
  <si>
    <t>Cooperation (3)</t>
  </si>
  <si>
    <t>Grants a teamwork feat you have.</t>
  </si>
  <si>
    <t>Corruption Resistance</t>
  </si>
  <si>
    <t>chaotic, evil, good, or lawful</t>
  </si>
  <si>
    <t>antipaladin 2, inquisitor 2, paladin 2</t>
  </si>
  <si>
    <t>You grant the touched creature limited protection from magical effects that inflict damage based on the target creature's alignment, such as holy smite, order's wrath, a paladin's smite evil attack, or an unholy weapon. Choose one alignment type: chaos, evil, good, or law. The subject takes 5 less points of damage from effects that specifically harm creatures of that alignment. The value of the protection increases to 10 points at 7th level and 15 points at 11th level. The spell protects the recipient's equipment as well.  Corruption resistance protects against spells, spell-like abilities, and special abilities, not physical attacks. Corruption resistance only protects against damage. The subject can still suffer side effects from such attacks. When you use this spell to protect an alignment, it gains the descriptor of that alignment.</t>
  </si>
  <si>
    <t>Protects creature against damage from alignment-based attacks.</t>
  </si>
  <si>
    <t>Coward's Lament</t>
  </si>
  <si>
    <t>You compel an opponent to face you in combat, or suffer for its cowardice. Each round that the target fails to attack you in melee, it receives a cumulative -1 penalty to its Armor Class, attack rolls, and saving throws (maximum penalty -5). Each round at the end of its turn, the target may attempt a Will saving throw to prevent the penalties from increasing for that round. All penalties reset to zero when the target attacks you in melee, but increase again if it stops attacking. If the target is prevented from attacking you by physical restraint, magic, or impassable terrain, the penalties do not increase. If you move away from the target, the spell ends.</t>
  </si>
  <si>
    <t>If subject doesn’t attack you it receives a penalty.</t>
  </si>
  <si>
    <t>Crafter's Curse</t>
  </si>
  <si>
    <t>sorcerer/wizard 1, occultist 1</t>
  </si>
  <si>
    <t>V, S, M (a broken tool)</t>
  </si>
  <si>
    <t>The target of crafter's curse takes a -5 penalty on all Craft skill checks while the spell lasts.</t>
  </si>
  <si>
    <t>Subject takes –5 on Craft skill checks.</t>
  </si>
  <si>
    <t>Crafter's Fortune</t>
  </si>
  <si>
    <t>alchemist 1, sorcerer/wizard 1, occultist 1</t>
  </si>
  <si>
    <t>V, S, F (a tool)</t>
  </si>
  <si>
    <t>1 day/level or until discharged (D)</t>
  </si>
  <si>
    <t>The target is struck by inspiration and gains a +5 luck bonus on its next Craft skill check.</t>
  </si>
  <si>
    <t>Industry (1)</t>
  </si>
  <si>
    <t>Subject gains +5 on next Craft check.</t>
  </si>
  <si>
    <t>Create Pit</t>
  </si>
  <si>
    <t>sorcerer/wizard 2, summoner/unchained summoner 2</t>
  </si>
  <si>
    <t>V, S, F (miniature shovel costing 10 gp)</t>
  </si>
  <si>
    <t>You create a 10-foot-by-10-foot extradimensional hole with a depth of 10 feet per two caster levels (maximum 30 feet).  You must create the pit on a horizontal surface of sufficient size. Since it extends into another dimension, the pit has no weight and does not otherwise displace the original underlying material. You can create the pit in the deck of a ship as easily as in a dungeon floor or the ground of a forest.  Any creature standing in the area where you first conjured the pit must make a Reflex saving throw to avoid falling into it.  In addition, the edges of the pit are sloped, and any creature ending its turn on a square adjacent to the pit must make a Reflex saving throw with a +2 bonus to avoid falling into it.  Creatures subjected to an effect intended to push them into the pit (such as bull rush) do not get a saving throw to avoid falling in if they are affected by the pushing effect.  Creatures who fall into the pit take falling damage as normal.  The pit's coarse stone walls have a Climb DC of 25. When the duration of the spell ends, creatures within the hole rise up with the bottom of the pit until they are standing on the surface over the course of a single round.</t>
  </si>
  <si>
    <t>Caves (2)</t>
  </si>
  <si>
    <t>Creates an extradimensional pit.</t>
  </si>
  <si>
    <t>Kobold Sorcerer (5), Kobold (5)</t>
  </si>
  <si>
    <t>Create Treasure Map</t>
  </si>
  <si>
    <t>bard 2, druid 3, ranger 2, sorcerer/wizard 2, occultist 2, psychic 2, medium 2</t>
  </si>
  <si>
    <t>V, S, M (powdered metal and rare inks worth 100 gp)</t>
  </si>
  <si>
    <t>You can take a piece from a dead creature's body and use it to create a map that reveals the locations of any valuables that creature knew about while still alive. You must cut this piece off yourself and the creature cannot have died more than 24 hours prior to the casting of this spell. You cannot cast this spell on a creature without a physical body, and the portion you remove must have a fairly level surface such as a piece of hide, carapace, or skin. The map you create is accurate to the best knowledge the creature had at the time of its death. It reveals the location of one source of treasure for every three caster levels you possess.  Any inaccuracies or faulty information held by the creature are represented on the map as well. Similarly, the map cannot account for any changes that occur after the creature's death.  You must choose the scale of the map when creating it, opting between nearby (e.g., one or two dungeon levels), local (e.g., a valley or community), or broad (e.g., a country or larger). The map reveals the locations of what the creature deemed most valuable within its area. Depending on the creature, the map might reveal a source of tasty food, suitable mates, or even your own treasure vault.</t>
  </si>
  <si>
    <t>Creates treasure map out of a creature’s corpse.</t>
  </si>
  <si>
    <t>Cup Of Dust</t>
  </si>
  <si>
    <t>druid 3, witch 3, occultist 3, psychic 3, mesmerist 3</t>
  </si>
  <si>
    <t>V, S, M (a pinch of dust)</t>
  </si>
  <si>
    <t>You curse the target with a thirst no drink can quench. On a failed saving throw, the target begins to dehydrate (see page 444 of the Core Rulebook for starvation and thirst). The effects of this spell cannot inflict more nonlethal damage than the target has hit points. No amount of drinking can counter this effect, although the target still experiences the other normal effects of any liquid imbibed (such as poisons or potions). Cup of dust can be removed with a break enchantment, limited wish, miracle, remove curse, or wish spell, but effects suffered as a result of dehydration must be healed by normal means.</t>
  </si>
  <si>
    <t>Causes a creature to become dehydrated.</t>
  </si>
  <si>
    <t>On a failed save, the target immediately takes 1d6 points of nonlethal damage per tier. Add your tier to the DC of any further Constitution checks the target attempts to resist dehydration as part of this spell's effects. While the curse is in effect, the target gains no benefit from any spell, effect, or item that requires drinking, such as potions and elixirs (though these are still used up when the target drinks them).</t>
  </si>
  <si>
    <t>Dancing Lantern</t>
  </si>
  <si>
    <t>bard 1, cleric/oracle 1, ranger 1, sorcerer/wizard 1, witch 1, shaman 1</t>
  </si>
  <si>
    <t>V, S, F (a lantern)</t>
  </si>
  <si>
    <t>animates one lantern</t>
  </si>
  <si>
    <t>You can animate a lantern and order it to follow you. The lantern floats at shoulder height and remains within 5 feet of you, no matter how fast you move. The lantern cannot support any additional weight. The lantern illuminates its normal area, even if it does not have any oil in it. For the purposes of spells or effects targeting it the lantern always acts as if in your possession even when not directly on your person. A dancing lantern can be made permanent with a permanency spell (CL 9th, 2,500 gp).</t>
  </si>
  <si>
    <t>Animates a lantern that follows you.</t>
  </si>
  <si>
    <t>Light (2)</t>
  </si>
  <si>
    <t>Deadly Finale</t>
  </si>
  <si>
    <t>1 creature/3 levels no two of which can be more than 30 ft. apart</t>
  </si>
  <si>
    <t>You must have a bardic performance in effect to cast this spell.  With a flourish, you immediately end your performance, dealing 2d8 points of sonic damage to each target. In addition, each target takes 3d6 points of bleed damage for 1d6 rounds. A save negates the bleed damage but not the sonic damage.</t>
  </si>
  <si>
    <t>Deals 2d8 damage to multiple targets.</t>
  </si>
  <si>
    <t>Deafening Song Bolt</t>
  </si>
  <si>
    <t>up to 3 creatures, no two of which can be more than 30 ft. apart</t>
  </si>
  <si>
    <t>Three notes you sing or perform become tangible bolts of arcane energy that shriek across the battlefield. Each bolt requires a ranged touch attack to hit and deals 3d10 points of sonic damage, deafening the target for 1d6 rounds. The bolts may be fired at the same or different targets, but all must be fired simultaneously.</t>
  </si>
  <si>
    <t>Blast of song deals 3d10 damage and deafens targets.</t>
  </si>
  <si>
    <t>Defile Armor</t>
  </si>
  <si>
    <t>inquisitor 4, antipaladin 3</t>
  </si>
  <si>
    <t>armor touched</t>
  </si>
  <si>
    <t>As sanctify armor, except you gain DR 5/good when using your judgment or smite ability.</t>
  </si>
  <si>
    <t>As sanctify armor, but gain DR 5/good when using judgment or smite.</t>
  </si>
  <si>
    <t>You gain DR 5/good while wearing the target armor. While using your judgment or smite ability, this improves to DR 10/good.</t>
  </si>
  <si>
    <t>Augmented (3rd): If you expend two uses of mythic power, while you use your judgment or smite, add half your tier to your AC as a profane bonus.</t>
  </si>
  <si>
    <t>Deflection</t>
  </si>
  <si>
    <t>V, S, M (a piece of rubber dipped in glue)</t>
  </si>
  <si>
    <t>You surround yourself in a whirling barrier of force that sends any attack that misses you hurling back toward its source.  This applies to any melee or ranged attack directed against you so long as it uses an attack roll to determine whether or not it strikes you. If an attack misses you, the attacker must make a second attack roll against its own Armor Class, using all of the applicable modifiers of the original attack and if it hits, the attacker takes the attack's damage and suffers all the other consequences of getting struck with that attack. You cannot deflect attacks that miss you for any reason besides a failed attack roll (such as concealment). Similarly, you cannot deflect attacks that actually do strike you but simply fail to do any harm.</t>
  </si>
  <si>
    <t>Defense (7)</t>
  </si>
  <si>
    <t>Attacks that miss are redirected back to the source of the attack.</t>
  </si>
  <si>
    <t>Delayed Consumption</t>
  </si>
  <si>
    <t>alchemist 5</t>
  </si>
  <si>
    <t>When you consume this extract, you quickly consume another extract of your choice-this second extract's effects do not come into effect until a later point. You must consume this second, companion extract on the round following delayed consumption or waste the extract. The companion extract can be no higher than 4th level, and you must pay any costs associated with the companion extract when you consume it.  At any point during the duration of this extract, you can cause the companion extract to take effect as an immediate action. You can only have one delayed consumption in effect at one time. If a second is consumed, the first is dispelled without any effect.</t>
  </si>
  <si>
    <t>Extract doesn’t come into effect until you want it to.</t>
  </si>
  <si>
    <t>Denounce</t>
  </si>
  <si>
    <t>bard 4, inquisitor 4, psychic 5, mesmerist 4</t>
  </si>
  <si>
    <t>You speak out against a single creature within line of sight and turn possible allies against it by drawing upon the power of your voice and conviction. Creatures in the area who can see the denounced creature must make a Will saving throw or have their starting attitude toward the denounced creature worsened by two levels (see page 94 of the Core Rulebook). For example, creatures previously indifferent to the subject turn unfriendly.  Diplomacy checks made to reverse the effects of denounce are made at a -10 penalty.</t>
  </si>
  <si>
    <t>Worsens attitudes toward target creature.</t>
  </si>
  <si>
    <t>Detect Aberration</t>
  </si>
  <si>
    <t>druid 1, ranger 1, psychic 1</t>
  </si>
  <si>
    <t>concentration, up to 10 minutes/level (D)</t>
  </si>
  <si>
    <t>This spell functions like detect animals or plants, except it detects creatures of the aberration type.</t>
  </si>
  <si>
    <t>Reveals presence of aberrations.</t>
  </si>
  <si>
    <t>Detonate</t>
  </si>
  <si>
    <t>acid, cold, electricity, or fire</t>
  </si>
  <si>
    <t>alchemist 4, sorcerer/wizard 4, magus 4, bloodrager 4</t>
  </si>
  <si>
    <t>V, S, M (two vials; one containing acid and one containing an alkaline solution worth a total of 50 gp)</t>
  </si>
  <si>
    <t>30-ft.-radius spread centered on you</t>
  </si>
  <si>
    <t>1 round, then instantaneous</t>
  </si>
  <si>
    <t>You flood yourself with a potent surge of elemental energy.  One round after completing the casting of the spell, the energy explodes from your body.  When this spell creates the explosion of energy, choose one of the following four energy types: acid, cold, electricity, or fire. The explosion inflicts 1d8 points of damage of that energy type per caster level (maximum 10d8) to all creatures and unattended objects within 15 feet, and half that amount to targets past 15 feet but within 30 feet. You automatically take half damage from the explosion, without a saving throw, but any other energy resistance or energy immunity effects you may have in place can prevent or lessen this overflow damage caused by the explosion.</t>
  </si>
  <si>
    <t>Inflicts 1d8/level energy damage to all creatures within 15 ft.</t>
  </si>
  <si>
    <t>Devolution</t>
  </si>
  <si>
    <t>sorcerer/wizard 3, summoner/unchained summoner 3, psychic 3</t>
  </si>
  <si>
    <t>V, S, M (a chameleon scale)</t>
  </si>
  <si>
    <t>one eidolon</t>
  </si>
  <si>
    <t>This spell causes an eidolon to lose one evolution plus one additional evolution for every five caster levels. Evolutions with the highest total cost are lost first. If there is a tie, randomly determine which is lost. If this spell causes an eidolon to fail to meet the prerequisites for other evolutions or abilities, those evolutions or abilities are lost as long as this spell persists.</t>
  </si>
  <si>
    <t>Target eidolon temporarily loses 1 evolution +1/five levels.</t>
  </si>
  <si>
    <t>The saving throw changes to Will (partial). If it succeeds at its save, the eidolon loses one evolution, chosen at random.</t>
  </si>
  <si>
    <t>Discordant Blast</t>
  </si>
  <si>
    <t>bard 4</t>
  </si>
  <si>
    <t>10 ft. or 30 ft.</t>
  </si>
  <si>
    <t>You create a wave of thunder and force, either in a 10-foot-radius burst centered on you or in 30-foot cone-shaped burst.  Creatures in the area take 3d6 points of sonic damage and are pushed away as if bull rushed. Make a combat maneuver check and apply its results to each creature in the area. Your CMB for this bull rush is equal to your caster level plus your Charisma modifier. This bull rush does not provoke an attack of opportunity. A discordant blast cannot penetrate a silence spell (or any similar magical silence effect).</t>
  </si>
  <si>
    <t>3d6 sonic damage in 10-ft. burst or 30-ft.</t>
  </si>
  <si>
    <t>The damage dealt increases to 5d6 points of sonic damage, and you gain a +2 bonus on combat maneuver checks to the bull rush opponents. The spell can penetrate non-mythic magical silence and dispels any non-mythic silence effect of 4th level or lower.</t>
  </si>
  <si>
    <t>Divine Transfer</t>
  </si>
  <si>
    <t>With a single touch, you transfer some of your life essence to the subject, transferring your hit points and your resolve. When you touch the subject you can transfer up to a number of hit points equal to your Constitution score to the target. These hit points heal the subject, but cannot raise the subject's hit points higher than its normal hit point total. In addition, the subject gains DR/evil equal to your Charisma bonus (if any) for the duration of the spell.</t>
  </si>
  <si>
    <t>Transfer hit points and give DR/evil to target creature.</t>
  </si>
  <si>
    <t>Divine Vessel</t>
  </si>
  <si>
    <t>oracle 8</t>
  </si>
  <si>
    <t>You accept otherworldly energies into your body and transform.  Your size increases by one category, your height doubles, and your weight increases by a factor of eight. Your features shift into those of a cold and alien being of logic, a creature of primal chaos, an angelic presence, or a fiendish monster, as chosen by you. You gain a +6 size bonus to Strength and Constitution, a +3 natural armor bonus, darkvision 60 ft., and SR of 12 + your caster level. These modifiers replace the normal modifiers for increasing your size. The size modifier for AC, attacks, CMB, and CMD changes as appropriate for your new size category.  This spell doesn't change your base speed. Determine space and reach as appropriate for your new size.  If insufficient room is available for the desired growth, you attain the maximum possible size and may make a Strength check (using your increased Strength) to burst any enclosures in the process (see page 175 of the Core Rulebook for rules on breaking objects). If you fail, you are constrained without harm by the materials enclosing you-the spell cannot crush you by increasing your size.  All equipment you wear or carry is similarly enlarged by this spell. Melee weapons deal more damage. Other magical properties are not affected by this spell. Any enlarged item that leaves your possession (including a projectile or thrown weapon) instantly returns to its normal size. This means that thrown and projectile weapons deal their normal damage.  Magical effects that increase size do not stack.  You gain additional abilities as noted below.  Anarchic aspect: You gain the following abilities: an additional +2 bonus to Constitution, DR 10/lawful, resist acid 10, electricity 10, and sonic 10, a +4 bonus on saves against poison, blindsense 30 feet, and a fly speed of 60 feet (good maneuverability). You gain a bite attack dealing 2d6 points of damage. Your natural weapons and any weapons you wield are considered chaotic-aligned for the purpose of overcoming damage resistance.  Axiomatic aspect: You gain the following abilities: an additional +2 bonus to Strength, DR 10/chaotic, resist cold 10, electricity 10, and fire 10, a +4 bonus on saves against poison, low-light vision, and a fly speed of 60 feet (good maneuverability). You gain 2 slam attacks dealing 1d6 points of damage each. Your natural weapons and any weapons you wield are considered lawful-aligned for the purpose of overcoming damage resistance.  Celestial aspect: You gain the following abilities: a +2 bonus to Dexterity, DR 10/evil, resist acid 10, cold 10, and electricity 10, a +4 bonus on saves against poison, low-light vision, and a fly speed of 60 feet (good maneuverability). You gain 2 slam attacks dealing 1d6 points of damage each. Your natural weapons and any weapons you wield are considered goodaligned for the purpose of overcoming damage resistance.  Fiendish aspect: You gain the following abilities: an additional +2 bonus to Strength, DR 10/good, resist acid 10, cold 10, and fire 10, a +4 bonus on saves against poison, see in darkness, and a fly speed of 60 feet (good maneuverability).  You gain 2 claw attacks dealing 1d6 points of damage each. Your natural weapons and any weapons you wield are considered evil-aligned for the purpose of overcoming damage resistance.  When used to assume an anarchic, axiomatic, celestial, or fiendish aspect, this spell is a chaotic, lawful, good, or evil spell respectively.</t>
  </si>
  <si>
    <t>(Oracle only.) Change into a huge, otherworldly creature.</t>
  </si>
  <si>
    <t>Draconic Reservoir</t>
  </si>
  <si>
    <t>alchemist 3, sorcerer/wizard 3, bloodrager 3</t>
  </si>
  <si>
    <t>V, S, M (a scale from dragon that produces the energy you seek to absorb)</t>
  </si>
  <si>
    <t>10 minutes/level or until discharged; see text</t>
  </si>
  <si>
    <t>Draconic reservoir functions as protection from energy, absorbing 6 points of one type of energy damage per caster level (acid, cold, electricity, or fire, maximum 60 points). Each round, as a swift action, the subject can release 1d6 points of the absorbed energy and apply it to any melee attack, as if using an acidic, flaming, frost, or shock weapon. The first creature the subject strikes with this attack takes the energy damage in addition to any other consequences of the attack.  Releasing energy in this way does not "free up" space to absorb still more energy; the maximum amount of energy the spell can absorb remains fixed. The subject cannot release more energy than he currently has absorbed. Once the subject has absorbed all the energy allowed by the spell, he takes damage as normal from that energy type. Once the energy has been released, the spell is discharged.  Draconic reservoir does not stack with protection from energy.  Draconic reservoir overlaps (and does not stack with) resist energy. If a character is warded by draconic reservoir and resist energy, draconic reservoir absorbs damage until it reaches its maximum limit.</t>
  </si>
  <si>
    <t>Dragon (3)</t>
  </si>
  <si>
    <t>Subject can absorb energy damage and enhance melee attacks with it.</t>
  </si>
  <si>
    <t>The amount of energy damage the spell absorbs increases to 10 points per caster level (maximum 100 points). The energy damage from the weapons improves as if using a corrosive burst, flaming burst, icy burst, or shocking burst weapon.</t>
  </si>
  <si>
    <t>Augmented (3rd): If you expend two uses of mythic power, spending a swift action applies the energy damage to any number of creatures the target hits this round, not just the first.</t>
  </si>
  <si>
    <t>Dragon's Breath</t>
  </si>
  <si>
    <t>alchemist 4, sorcerer/wizard 4, bloodrager 4</t>
  </si>
  <si>
    <t>V, S, M (a dragon scale)</t>
  </si>
  <si>
    <t>30 ft. or 60 ft.</t>
  </si>
  <si>
    <t>cone-shaped burst or line</t>
  </si>
  <si>
    <t>You breathe out a blast of energy. Creatures in the affected area take 1d6 points of energy damage per caster level (maximum of 12d6). A successful Reflex save results in half damage. The spell's effect and energy type depend on the type of dragon scale used: Black dragon: 60-foot line of acid. Blue or bronze dragon: 60-foot line of electricity. Green dragon: 30-foot cone of acid. Gold or red dragon: 30-foot cone of fire. Silver or white dragon: 30-foot cone of cold. Brass dragon: 60-foot line of fire. Copper dragon: 60-foot line of acid.</t>
  </si>
  <si>
    <t>Dragon (4)</t>
  </si>
  <si>
    <t>Gives you a dragon’s breath weapon.</t>
  </si>
  <si>
    <t>Kobold Sorcerer (9), Kobold (9)</t>
  </si>
  <si>
    <t>The spell's duration changes to 1 minute/level or until discharged. You can use the breath weapon up to three times during this duration. On the round you cast the spell, using the breath weapon is a free action; later uses require a standard action. You must wait 1d4 rounds between each use of the breath weapon. All uses for a particular casting have the same range, area, and energy type. You can have only one dragon's breath spell in effect at a time; casting a new one ends the previous one.</t>
  </si>
  <si>
    <t>Dust Of Twilight</t>
  </si>
  <si>
    <t>bard 2, sorcerer/wizard 2, bloodrager 2</t>
  </si>
  <si>
    <t>V, S, M (coal dust)</t>
  </si>
  <si>
    <t>creatures and objects in a 10-ft. spread</t>
  </si>
  <si>
    <t>Fortitude negates (fatigue only)</t>
  </si>
  <si>
    <t>A shower of iridescent black particles clings to and extinguishes torches, lanterns, sunrods, and similar mundane light sources and dispels any spell of 2nd level or lower with the light descriptor (as dispel magic). Creatures in the area must make a Fortitude save or become fatigued.</t>
  </si>
  <si>
    <t>Black particles extinguish light sources.</t>
  </si>
  <si>
    <t>Stars (4)</t>
  </si>
  <si>
    <t>A creature that fails its Fortitude save against the spell must also succeed at a Will save at the same DC or fall asleep (as the sleep spell). Creatures that succeed at their saves are merely drowsy (as the lullaby spell).</t>
  </si>
  <si>
    <t>Augmented: If you expend two uses of mythic power, add half your tier to the level of light spells mythic dust of twilight dispels.</t>
  </si>
  <si>
    <t>Eagle Eye</t>
  </si>
  <si>
    <t>druid 2, ranger 2, shaman 2, psychic 2</t>
  </si>
  <si>
    <t>Eagle eye creates a magical sensor directly above you. The sensor can appear anywhere above you, to a maximum height equal to the spell's range. You can see from this vantage as if you were actually there, rotating your viewpoint 360 degrees.  You perceive with your normal visual senses. A caster using eagle eye can easily see for a considerable distance. The spell does not penetrate any solid surface, although it is unaffected by foliage and the like.</t>
  </si>
  <si>
    <t>Creates a magical sensor high above you.</t>
  </si>
  <si>
    <t>Elemental Aura</t>
  </si>
  <si>
    <t>alchemist 3, sorcerer/wizard 3, magus 3, bloodrager 3</t>
  </si>
  <si>
    <t>This spell forms an aura of energy around you, damaging all those that come near you. Choose an energy type: acid, cold, electricity, or fire. Creatures adjacent to you when this spell is cast and at the start of your turn take 2d6 points of energy damage of the selected type. This aura has an additional effect, depending upon the type of energy chosen.  Acid: Creatures affected by your aura take 1 point of ongoing acid damage per round for 1 round per three caster levels, and are sickened for the duration of the ongoing acid damage.  Cold: Creatures affected by your aura are fatigued. A creature that is already fatigued suffers no additional effect.  Electricity: Creatures affected by your aura are staggered for 1 round.  Fire: Creatures affected by your aura catch on fire (Core Rulebook 444).  Creatures adjacent to you are allowed a Reflex save to halve the damage and negate the additional effect. The aura's additional effects do not stack if a creature takes damage from your aura multiple times. You may only have one elemental aura in effect at one time. When you cast this spell to deal acid, cold, electricity, or fire damage, it is a spell of that type.</t>
  </si>
  <si>
    <t>Creates an aura of energy around you.</t>
  </si>
  <si>
    <t>Boreal (7)</t>
  </si>
  <si>
    <t>Elemental Speech</t>
  </si>
  <si>
    <t>air, earth, fire, or water</t>
  </si>
  <si>
    <t>bard 3, cleric/oracle 3, druid 2, sorcerer/wizard 2, mesmerist 3</t>
  </si>
  <si>
    <t>This spell enables you to converse with creatures associated with a chosen element, including but not limited to true elemental creatures. This spell gains the elemental subtype based on the version of the spell you cast. Elemental speech does not guarantee a friendly reaction; it merely enables communication. You may converse with all creatures of the selected type with an Intelligence score of 1 or greater, even if they do not understand one another.  When cast as an air spell, you can converse in Auran and with any creature that has the air subtype or a fly speed.  When cast as an earth spell, you can converse in Terran and with any creature that has the earth subtype or a burrow speed.  When cast as a fire spell, you can converse in Ignan and with any creature that has the fire subtype.  When cast as a water spell, you can converse in Aquan and with any creature that has the water subtype or a swim speed.</t>
  </si>
  <si>
    <t>Enables you to speak to elementals and some creatures.</t>
  </si>
  <si>
    <t>Elemental Touch</t>
  </si>
  <si>
    <t>alchemist 2, sorcerer/wizard 2, magus 2, bloodrager 2</t>
  </si>
  <si>
    <t>V, S, M (a bit of the chosen element: earth, water, air, or fire)</t>
  </si>
  <si>
    <t>Upon completing the casting of this spell, elemental energy infuses your hands. Choose an energy type: acid, cold, electricity, or fire. You gain a melee touch attack causing 1d6 points of damage of that energy type, along with a special effect described below. You also deal energy damage and the related special effect when you attack with your hands using an unarmed strike, a single claw, or a single slam attack. This bonus damage can never apply to multiple weapons.  Acid: Your touch attack causes 1 point of ongoing acid damage per round for 1 round per three caster levels. The target must make a Fortitude save or be sickened for the duration of the ongoing acid damage.  Cold: The target must make a Fortitude save or be fatigued.  A creature that is already fatigued suffers no additional effect.  Electricity: The target must make a Fortitude save or be staggered for 1 round.  Fire: Your hands ignite and shed light as a torch. Your touch may cause targets to catch on fire (Core Rulebook 444).  Subsequent attacks inflict the normal damage, but the additional effects do not stack. This spell grants no special protection to anything held in or worn on your hands. When you cast this spell to deal acid, cold, electricity, or fire damage, it is a spell of that type.</t>
  </si>
  <si>
    <t>Gain energy damage touch attack.</t>
  </si>
  <si>
    <t>Elude Time</t>
  </si>
  <si>
    <t>alchemist 5, psychic 7</t>
  </si>
  <si>
    <t>V, S, M (powdered diamond, emerald, ruby, and sapphire dust worth 500 gp)</t>
  </si>
  <si>
    <t>up to 1 minute/level; see text</t>
  </si>
  <si>
    <t>You place yourself in a state of suspended animation, similar to temporal stasis. At the time of casting, you choose when the stasis will expire, up to the maximum duration of the spell.  Until the duration ends, time ceases to flow for you, and all bodily functions cease. No force or effect can harm you until the spell expires or is removed, such as by a successful dispel magic spell.</t>
  </si>
  <si>
    <t>Puts you in temporary suspended animation.</t>
  </si>
  <si>
    <t>Enemy Hammer</t>
  </si>
  <si>
    <t>sorcerer/wizard 6, occultist 6, psychic 6, spiritualist 6</t>
  </si>
  <si>
    <t>V, S, M (puppet strings)</t>
  </si>
  <si>
    <t>You grab a creature with telekinesis and use it to batter nearby opponents or objects. You must target a specific creature when casting this spell and once you select that creature you cannot switch to another. Each round, as a standard action, you can attempt to hurl the target at any creature or object within 30 feet of it. You must make an attack roll whenever you use the target as a weapon. The attack bonus for this attack is equal to your caster level plus either your Intelligence or Charisma modifier (whichever is higher). If you successfully hit the new target with the creature both it and the creature take damage based on the creature's size. Creature Size Damage Dealt Fine 1d4 Diminutive 1d6 Tiny 1d8 Small 1d10 Medium 2d6 Large 2d8 Huge 2d10 Gargantuan 3d6 Colossal 3d8 The target creature can make a Fortitude saving throw each time you attempt to use it as a weapon. If it makes its saving throw it can act normally, but if it fails its save it loses all actions for the round and ends its turn prone in a square adjacent to the target of your attack. However, if the creature chooses to resist your efforts to move it, taking no other actions for the round, it gets a +4 circumstance bonus on its saving throw. The spell ends immediately if the target creature dies or is destroyed.</t>
  </si>
  <si>
    <t>Allows you to telekinetically use a creature as a weapon.</t>
  </si>
  <si>
    <t>Enter Image</t>
  </si>
  <si>
    <t>bard 2, cleric/oracle 3, sorcerer/wizard 3, occultist 2, psychic 3, mesmerist 2, medium 3</t>
  </si>
  <si>
    <t>V, S, M/DF (a drop of paint and a ball of clay)</t>
  </si>
  <si>
    <t>50 ft./level</t>
  </si>
  <si>
    <t>transfer consciousness to any object bearing your likeness</t>
  </si>
  <si>
    <t>You gain a dim impression of the activities around any object bearing your face or form and can also project your consciousness into one such object at a time, allowing you to observe or even interact with nearby creatures. This spell allows you to leave your body and subconsciously monitor the immediate area around any depiction of your image whether one, hundreds, or even thousands. Each such image has the full range of your normal senses (sight, hearing, smell, etc.) and you can make a Perception check to notice anything occurring nearby. The DC of this check is always 10 greater than what it would be if you were actually present at that location, so even if you would normally notice something automatically (such as talking, normally a DC of 0), you would need to make a DC 10 Perception check to notice it.  You may, at any time, choose to fill one specific image within range with your consciousness. While inside an image you lose the ability to monitor any other images within range but remain fully aware of your own body's surroundings. Your body is defenseless and helpless (always failing any saving throw) while your consciousness is filling an image, but you can return to it at any time as an immediate action.  When you fill an image with your consciousness it gains a limited form of animation. Statues and similar three-dimensional representations can move their heads, make gestures, and talk, but cannot attack or leave their square without assistance.  Portraits or similar two-dimensional representations bearing your likeness can also talk and your image can move anywhere within the picture or even temporarily alter it (such as by picking a flower in the painting). You cannot use any spells or other abilities while within an image.  You may leave the image at any time, returning you to your body. Once your consciousness departs from an object bearing your likeness, it immediately reverts to the appearance it had before you entered it. If someone destroys or damages the image you return to your body unharmed. The spell lasts until you cease concentrating, or until it is terminated by some outside means, such as a dispel magic cast upon either the image or your body, or if your body is killed.</t>
  </si>
  <si>
    <t>Aristocracy (3)</t>
  </si>
  <si>
    <t>Transfers your consciousness to an object bearing your likeness.</t>
  </si>
  <si>
    <t>Euphoric Tranquility</t>
  </si>
  <si>
    <t>bard 6, cleric/oracle 8, druid 8, sorcerer/wizard 8, psychic 8, mesmerist 6</t>
  </si>
  <si>
    <t>V, S, M/DF (a poppy flower)</t>
  </si>
  <si>
    <t>none and Will partial (see below)</t>
  </si>
  <si>
    <t>A creature under the effect of this enchantment enters a state of euphoria. The target treats all creatures as dear friends and abhors violence, but may rise up to protect itself if violence is perpetrated against it. Until the end of the spell's duration, the creature's speed is halved, and it cannot make attacks or cast spells. If the creature is attacked, it gets a Will saving throw. If the saving throw succeeds, the creature can make act normally for 1 round. If the saving throw fails, the creature moves half its speed away from the attacker as its next action.  Furthermore, if the creature is interacted with, or questioned while under the effects of this spell, it is considered to have an attitude of Helpful (see the Diplomacy skill, Core Rulebook 94), though any advice or answers it gives may be disjointed or stream of consciousness due to its euphoric state.</t>
  </si>
  <si>
    <t>Love (8)</t>
  </si>
  <si>
    <t>Makes a single creature peaceful and friendly.</t>
  </si>
  <si>
    <t>Ancestors (16), Enchantment (14), Peace (16), Stars (16)</t>
  </si>
  <si>
    <t>Evolution Surge, Lesser</t>
  </si>
  <si>
    <t>summoner/unchained summoner 2</t>
  </si>
  <si>
    <t>your eidolon</t>
  </si>
  <si>
    <t>This spell causes your eidolon to take on new characteristics.  You can grant the eidolon any evolution whose total cost does not exceed 2 evolution points. You may only grant one evolution with this spell, even if that evolution can be taken multiple times.  You can grant an evolution that allows you to spend additional evolution points to upgrade that evolution. This spell cannot be used to grant an upgrade to an evolution that the eidolon already possesses. The eidolon must meet any prerequisites of the selected evolution. This spell does not allow an eidolon to exceed its maximum number of natural attacks.</t>
  </si>
  <si>
    <t>Grants eidolon an evolution with 2 evolution points.</t>
  </si>
  <si>
    <t>Evolution Surge</t>
  </si>
  <si>
    <t>summoner/unchained summoner 3</t>
  </si>
  <si>
    <t>This spell functions as lesser evolution surge, except that you can grant any evolution whose total cost does not exceed 4 evolution points.</t>
  </si>
  <si>
    <t>Grants eidolon an evolution with 4 evolution points.</t>
  </si>
  <si>
    <t>Evolution Surge, Greater</t>
  </si>
  <si>
    <t>summoner/unchained summoner 4</t>
  </si>
  <si>
    <t>This spell functions as lesser evolution surge, except that you can grant any two evolutions whose total cost does not exceed 6 evolution points.</t>
  </si>
  <si>
    <t>Grants eidolon two evolutions with a total of 6 evolution points.</t>
  </si>
  <si>
    <t>Expeditious Excavation</t>
  </si>
  <si>
    <t>druid 1, sorcerer/wizard 1</t>
  </si>
  <si>
    <t>V, S, M (tiny shovel)</t>
  </si>
  <si>
    <t>dirt in a 5-ft. cube</t>
  </si>
  <si>
    <t>You can excavate and move earth, dust, and sand up to the size of a 5-foot cube. If you are buried, you may open a 5-foot cube around yourself, but the spell cannot be used for tunneling.  Besides its mundane applications, you can open a 5-foot-deep pit at a creature's feet. A Medium or smaller creature falls prone in the pit unless it succeeds on a Reflex save. With a successful save, it can choose to land harmlessly on its feet in the pit or hop to an adjacent square; this movement does not provoke attacks of opportunity. A creature can escape a 5-foot-deep pit with a DC 5 Climb check. Larger creatures may ignore pits smaller than their size.  The earth excavated by this spell is ordinarily distributed harmlessly across the spell's range, but you may choose to throw up a burst of grit and debris when you dig a pit. This cloud of debris provides concealment to any creatures in the square affected and all adjacent squares for 1 round. Expeditious excavation has no effect on solid rock or earth creatures.</t>
  </si>
  <si>
    <t>Moves 5-ft. cubes of earth.</t>
  </si>
  <si>
    <t>Deep Earth (3)</t>
  </si>
  <si>
    <t>Expend</t>
  </si>
  <si>
    <t>V, S, M (miniature broken hourglass)</t>
  </si>
  <si>
    <t>You cause all creatures in the affected area to use up one or more of their limited-use magical abilities without any actual effect. A limited-use magical ability is any supernatural or spelllike ability which a creature can only activate a certain number of times during a set interval (3/day, 1/hour, etc.). The spell does not affect abilities which the creature can use at will or which are constant. It also does not apply to magical items or anything else external to a creature. A creature in the spell's area must make a Will saving throw or expend a single use of one of its abilities. Abilities with the greatest number of uses per day are affected first; if more than one ability has the same number of uses, randomly determine which one is affected first. Creatures must continue making Will saves, expending an additional use of an ability for each failed save, until they succeed, at which point the spell has no further effect.</t>
  </si>
  <si>
    <t>Wastes creatures’ limited use magical ability.</t>
  </si>
  <si>
    <t>Time (14)</t>
  </si>
  <si>
    <t>Feast Of Ashes</t>
  </si>
  <si>
    <t>druid 2, witch 2, occultist 2, psychic 2</t>
  </si>
  <si>
    <t>V, S, M (a pinch of ash)</t>
  </si>
  <si>
    <t>close (25 ft. + 5 ft/2 levels)</t>
  </si>
  <si>
    <t>2 days/level (D)</t>
  </si>
  <si>
    <t>You curse the target with a hunger no food can assuage. On a failed saving throw, the target begins to starve (see page 444 of the Core Rulebook). The effects of this spell cannot inflict more nonlethal damage than the target has hit points. No amount of eating can counter the effect and, further, even attempting to eat causes the target to become nauseated for 1 round unless they make a DC 12 Fortitude save. The target still experiences the other normal effects of anything consumed (such as poisons or potions).  Feast of ashes can be removed with a break enchantment, limited wish, miracle, remove curse, or wish spell, but effects suffered as a result of starvation must be healed by normal means.</t>
  </si>
  <si>
    <t>A target starves with an insatiable hunger.</t>
  </si>
  <si>
    <t>Ghoul (5)</t>
  </si>
  <si>
    <t>On a failed save, the target immediately takes 1d6 points of nonlethal damage per tier. Add your tier to the DC of any further Constitution checks the target attempts to resist the effects of starvation as part of this spell's effects. While the curse is in effect, the target gains no benefit from any spell, effect, or item that requires eating, such as the food from a heroes' feast spell (though the food is still used up when the target eats it).</t>
  </si>
  <si>
    <t>Feather Step</t>
  </si>
  <si>
    <t>bard 1, druid 1, ranger 1, psychic 1</t>
  </si>
  <si>
    <t>For the duration of this spell, the subject ignores the adverse movement effects of difficult terrain, and can even take 5-foot steps in difficult terrain.</t>
  </si>
  <si>
    <t>Subject ignores adverse movement effects in difficult terrain.</t>
  </si>
  <si>
    <t>Feather Step, Mass</t>
  </si>
  <si>
    <t>bard 3, druid 3, ranger 3, psychic 3</t>
  </si>
  <si>
    <t>As feather step, except this spell affects multiple creatures.</t>
  </si>
  <si>
    <t>As feather step, but multiple creatures.</t>
  </si>
  <si>
    <t>Fester</t>
  </si>
  <si>
    <t>inquisitor 3, witch 2</t>
  </si>
  <si>
    <t>V, S, M (rotted meat)</t>
  </si>
  <si>
    <t>Necrotic energy permeates the target, blocking healing abilities.  The subject gains spell resistance equal to 12 + your caster level against effects that restore hit points or grant temporary hit points. In addition, any healing provided by effects that ignore spell resistance (such as fast healing, regeneration, and some spells) are halved. If the target succeeds on a Fortitude saving throw, fester lasts only a single round.</t>
  </si>
  <si>
    <t>Gives subject SR 12 + your level vs. healing effects.</t>
  </si>
  <si>
    <t>Fester, Mass</t>
  </si>
  <si>
    <t>inquisitor 6, witch 6</t>
  </si>
  <si>
    <t>This spell functions as fester, except that it affects multiple foes.</t>
  </si>
  <si>
    <t>As fester, but affecting multiple targets.</t>
  </si>
  <si>
    <t>Fiery Body</t>
  </si>
  <si>
    <t>This spell transforms your body into living flame. You and your equipment are immune to fire damage. In fact, every time you would normally take damage from fire, you are instead healed of damage at a rate of 1 point per 3 points of damage the fire attack would have normally inflicted. You are immune to blindness, critical hits, ability score damage, deafness, disease, drowning, electricity, poison, stunning, and all spells that affect your physiology or respiration. You take only half damage from acid or electricity. You take 150% as much damage from cold than normal.  You gain a +6 enhancement bonus to your Dexterity score and a fly speed of 40 ft. (perfect maneuverability). Your unarmed attack deals an additional 3d6 points of fire damage, and you are considered armed when making unarmed attacks. Your body burns so brightly that creatures who do not avert their gaze from you are dazzled. Fire spells you cast have their save DCs increased by +1. If you enter water, you are surrounded by a 5-foot radius of steam and bubbles that grant you concealment (50% miss chance) but you take 2d6 points of damage each round you remain in water.</t>
  </si>
  <si>
    <t>Ash (9)</t>
  </si>
  <si>
    <t>You gain various fire-related powers.</t>
  </si>
  <si>
    <t>Light (18), Summer (18)</t>
  </si>
  <si>
    <t>Fire Breath</t>
  </si>
  <si>
    <t>V, S, M (a chili pepper)</t>
  </si>
  <si>
    <t>1 round/level or until discharged; see text</t>
  </si>
  <si>
    <t>Up to thrice during this spell's duration, you can belch forth a cone of fire as a standard action. The first cone deals 4d6 points of fire damage to every creature in the area. The second cone of flame deals 2d6 points of fire damage to every creature in the area. The third cone of flame deals 1d6 points of fire damage to every creature in the area. A successful Reflex save halves this damage. After the third cone of flame, the spell ends.</t>
  </si>
  <si>
    <t>Exhale a cone of flame at will.</t>
  </si>
  <si>
    <t>Fire of Entanglement</t>
  </si>
  <si>
    <t>1 swift action</t>
  </si>
  <si>
    <t>special; see text</t>
  </si>
  <si>
    <t>The next creature you attack using your smite evil class ability is wreathed in flames that impede its movement.  Until the end of the spell's duration, the target is entangled.  If the target starts its turn in a square adjacent to you, it is considered to be entangled to an immobile object (you) and cannot move. A target that saves against this spell is affected for only 1 round.</t>
  </si>
  <si>
    <t>Your ability to smite evil also entangles your foe.</t>
  </si>
  <si>
    <t>Fire of Judgment</t>
  </si>
  <si>
    <t>After casting this spell, the next creature you attack using your smite evil class ability is engulfed in flames of positive energy. At the start of its turn, the target takes 1d6 points of damage, and takes an additional 1d6 points of damage each time it attacks a creature other than you. If the creature is an outsider with the evil subtype, an evil-aligned dragon, or an undead creature this damage increases to 1d10. With a successful saving throw, a creature is affected by this spell for only 1 round. This damage is divine in nature and bypasses any DR the creature possesses.</t>
  </si>
  <si>
    <t>Smited creature takes damage when it attacks.</t>
  </si>
  <si>
    <t>Fire of Vengeance</t>
  </si>
  <si>
    <t>After casting this spell, the next creature you attack using your smite evil class ability is engulfed in holy flames that flare up when the target attacks someone other than you. If at any time during the duration of your smite evil effect the target makes an attack that does not include you, it takes 3d8 points of fire damage. Once triggered in this manner, or when your smite evil ability expires, the spell ends.</t>
  </si>
  <si>
    <t>Smited creature takes 3d8 damage.</t>
  </si>
  <si>
    <t>Fire Snake</t>
  </si>
  <si>
    <t>druid 5, sorcerer/wizard 5, magus 5, occultist 5</t>
  </si>
  <si>
    <t>V, S, M (a snake scale)</t>
  </si>
  <si>
    <t>You create a sinuous line of flames that you may shape as desired. The fire snake affects one 5-foot square per caster level, and each square must be adjacent to the previous square, starting with you. The fire snake may not extend beyond its maximum range. Creatures in the path of the fire snake take 1d6 points of fire damage per caster level (maximum 15d6).</t>
  </si>
  <si>
    <t>Creates a serpentine path of fire 5 ft. long/level that deals 1d6 fire damage/level.</t>
  </si>
  <si>
    <t>Light (10)</t>
  </si>
  <si>
    <t>The damage dealt increases to 1d10 points of damage per level (maximum 15d10). Any creature that fails its saving throw against the spell is grappled by a snake made of fire that lasts for 1 round per caster level. The snake can be dispelled, but not attacked. A grappled creature takes 1d10 points of fire damage on your turn each round. The snake's CMB is equal to your caster level plus your tier, and its CMD is equal to its CMB + 10.</t>
  </si>
  <si>
    <t>Augmented (6th): If you expend two uses of mythic power, the maximum damage increases to 20d10, and any creature that fails its saving throw against the spell is pinned instead of grappled.</t>
  </si>
  <si>
    <t>Firebrand</t>
  </si>
  <si>
    <t>one creature/4 levels, no two of which can be more than 30 ft. apart</t>
  </si>
  <si>
    <t>Will negates (harmless), but see below</t>
  </si>
  <si>
    <t>You mark several allies with a flaming rune. This rune does not cause damage, and sheds light as if it were a torch. While the firebrand burns, any creature it marks is immune to damage from any fire spell you cast. All of the target's weapons (both natural and manufactured) inflict +1d6 points of fire damage on a hit (this bonus fire damage stacks with any amount of fire damage a creature's weapons might already inflict). At any point during the spell's duration, a creature bearing a firebrand can launch a beam of fire at any target within 30 feet as a swift action. This ray requires a ranged touch attack to hit and deals 6d6 points of fire damage. Once a creature uses its firebrand to fire a ray in this manner, the effects of the spell end for that creature.</t>
  </si>
  <si>
    <t>Allies gain flaming weapons, immunity to your fire spells, and a one-use ray of fire attack.</t>
  </si>
  <si>
    <t>Firefall</t>
  </si>
  <si>
    <t>sorcerer/wizard 4, magus 4, bloodrager 4</t>
  </si>
  <si>
    <t>one fire source, up to a 20-foot cube</t>
  </si>
  <si>
    <t>Will negates and Reflex negates; see text</t>
  </si>
  <si>
    <t>Firefall causes a fire to erupt into a geyser of dazzlingly bright liquid flame. The spell uses one fire source, which is immediately extinguished. A fire larger than a 20-foot cube is only partly extinguished. Magical fires are not extinguished, but a creature of the fire subtype used as the source takes 1 point of damage per caster level (no saving throw).  The coruscating rain of fire fills a hemispherical burst with a radius of 60 feet. All creatures and objects in the area take 5d6 points of fire damage and catch on fire (Core Rulebook 444).  Creatures who make successful Reflex saves take half damage and don't catch on fire. Creatures within 120 feet of the original fire source are blinded for 1d4+1 rounds (Will negates).</t>
  </si>
  <si>
    <t>Causes fire to burst up, dealing 2d6 fire damage.</t>
  </si>
  <si>
    <t>Flames Of The Faithful</t>
  </si>
  <si>
    <t>inquisitor 2</t>
  </si>
  <si>
    <t>Fortitude negates (object, harmless)</t>
  </si>
  <si>
    <t>yes (object, harmless)</t>
  </si>
  <si>
    <t>With a touch, you cause a glowing rune to appear on a single weapon, granting that weapon the flaming property (and allowing it to cause an extra 1d6 points of fire damage on a successful hit). If you are using the judgment class feature, your weapon gains the flaming burst property instead. The spell functions only for weapons that you wield. If the weapon leaves your hand for any reason, the spell effect ends. The effects of this spell do not stack with any existing flaming or flaming burst weapon property that the target weapon may already possess.</t>
  </si>
  <si>
    <t>Gives weapon flaming property.</t>
  </si>
  <si>
    <t>The fire damage dealt by this spell bypasses fire resistance andfire immunity. On a successful critical hit, the target catches onfire (Core Rulebook 444).</t>
  </si>
  <si>
    <t>Flare Burst</t>
  </si>
  <si>
    <t>bard 1, druid 1, sorcerer/wizard 1, magus 1, bloodrager 1, psychic 1</t>
  </si>
  <si>
    <t>10-ft.-radius burst of light</t>
  </si>
  <si>
    <t>This spell functions as flare, except it affects all creatures in a 10-foot-radius burst from the target point.</t>
  </si>
  <si>
    <t>As flare, but on all creatures within 10 ft.</t>
  </si>
  <si>
    <t>Fluid Form</t>
  </si>
  <si>
    <t>alchemist 4, sorcerer/wizard 6, psychic 6</t>
  </si>
  <si>
    <t>S, M (a mixture of oil and water)</t>
  </si>
  <si>
    <t>When you cast this spell, your body takes on a slick, oily appearance. For the duration of this spell, your form can stretch and shift with ease and becomes slightly transparent, as if you were composed of liquid. This transparency is not enough to grant concealment. You gain DR 10/slashing and your reach increases by 10 feet. In addition, you can pass through small holes or narrow openings, even mere cracks, with anything you were carrying at the time the spell was cast (except other creatures). Finally, you can move through water with a swim speed of 60 feet and can breathe both water and air for the duration of this effect. You are treated as if you had the water subtype while this spell is in effect.</t>
  </si>
  <si>
    <t>Flowing (6), Rivers (6)</t>
  </si>
  <si>
    <t>Gain DR 10/slashing, increases reach 10 ft.,</t>
  </si>
  <si>
    <t>Nanite (13)</t>
  </si>
  <si>
    <t>Fly, Mass</t>
  </si>
  <si>
    <t>This spell functions as fly (Core Rulebook 284), save that it can target numerous creatures and lasts longer.</t>
  </si>
  <si>
    <t>Feather (6), Vermin (8)</t>
  </si>
  <si>
    <t>One creature/level gains ability to fly.</t>
  </si>
  <si>
    <t>Foe to Friend</t>
  </si>
  <si>
    <t>bard 5, psychic 7, mesmerist 5</t>
  </si>
  <si>
    <t>Cast this spell when an enemy is about to make an attack against an ally. The creature makes the attack against a valid target of your choice instead or the attack is negated.  In addition, the target is considered an ally for determining flanking for 1 round.</t>
  </si>
  <si>
    <t>Redirect an enemy creature's attack.</t>
  </si>
  <si>
    <t>Follow Aura</t>
  </si>
  <si>
    <t>inquisitor 2, occultist 3</t>
  </si>
  <si>
    <t>10 minutes/level (D)</t>
  </si>
  <si>
    <t>Choose one alignment type: chaotic, evil, good, or lawful. You gain the ability to follow the trail of a strong or overwhelming aura of that alignment (see detect evil, Core Rulebook 266). This is treated as tracking using the scent special quality, except you are following the traces of their aura upon the ground rather than their scent, and you receive no bonus on Perception checks. At 10th level, you can track the trail of creatures with a moderate alignment aura as well.  When you use this spell to track a given alignment, it gains the descriptor of the opposite alignment. For example, when follow aura is used to track evil, it gains the good descriptor.</t>
  </si>
  <si>
    <t>Gain ability to follow the trail of the aura of an alignment.</t>
  </si>
  <si>
    <t>Fool's Forbiddance</t>
  </si>
  <si>
    <t>V, S, M (a ring of keys)</t>
  </si>
  <si>
    <t>10-ft.-radius spherical emanation centered on you</t>
  </si>
  <si>
    <t>Through your antics and performance, you create an area of warding that adversely affects all enemies that dare enter it. When an enemy creature enters the area it must make an immediate Will saving throw. If it fails, the creature is confused as long as it is in the area and for 1 round after it leaves. If it succeeds on the saving throw, the creature is staggered as long as it is in the area and for 1 round after it leaves.</t>
  </si>
  <si>
    <t>Confuses enemies who come within a magical emanation centered on you.</t>
  </si>
  <si>
    <t>Forced Repentance</t>
  </si>
  <si>
    <t>inquisitor 4, paladin 4</t>
  </si>
  <si>
    <t>one evil creature without the evil subtype</t>
  </si>
  <si>
    <t>You force an evil creature that does not have the evil subtype to momentarily reflect on its past actions and be overcome by grief and conscience. The target immediately drops prone and begins to loudly confess all of its sins and transgressions to the caster for the duration of the spell. The spell immediately ends if you move out of line of sight or if the target is attacked.</t>
  </si>
  <si>
    <t>Redemption (4)</t>
  </si>
  <si>
    <t>Target falls prone and confesses all of its sins.</t>
  </si>
  <si>
    <t>Frozen Note</t>
  </si>
  <si>
    <t>30-ft.-radius emanation centered on you</t>
  </si>
  <si>
    <t>any number of creatures within area</t>
  </si>
  <si>
    <t>concentration (up to 1 round/level); see text</t>
  </si>
  <si>
    <t>You produce and sustain a single perfect musical note that holds nearby creatures, friend as well as foe, utterly spellbound until you stop singing. Affected creatures are both paralyzed and oblivious to their surroundings so long as you maintain the note.  Maintaining this note requires your absolute attention; if you take damage or take any other action, including moving from your current square, the spell instantly ends. Creatures that succeed in their initial saving throw must make a new one for each round they spend within the area of the spell until they fail and become captivated. Creatures with 4 or more Hit Dice greater than your caster level are not affected by this spell. However, those with 4 or more Hit Dice less than your caster level do not receive a saving throw to resist it. The note is so clear and flawless that less than extraordinary attempts to avoid hearing it merely grant targets a bonus on their saving throws. Targets get a +2 circumstance bonus on their saving throw for each barrier between your voice and their ears. This includes such things as a creature stopping up its ears with wax, closing all windows and doors in a nearby building, or even crawling into a barrel and pulling down the top.  If a target that had previously made its saving throw loses the benefit of one or more of its barriers it must immediately make a new saving throw. Similarly, any target that had previously failed its saving throw gets a new save each time it gains the protection of a barrier.</t>
  </si>
  <si>
    <t>Paralyzes creatures listening to your song.</t>
  </si>
  <si>
    <t>Gallant Inspiration</t>
  </si>
  <si>
    <t>This word of arcane-empowered inspiration often ensures success of a crucial endeavor. Cast this spell when a creature fails an attack roll or skill check. The creature gains a +2d4 competence bonus to the attack roll or skill check retroactively.  If the bonus is enough to turn the failure into a success, the roll succeeds.</t>
  </si>
  <si>
    <t>+2d4 bonus on failed attack roll or skill check.</t>
  </si>
  <si>
    <t>Getaway</t>
  </si>
  <si>
    <t>bard 6, sorcerer/wizard 6, occultist 6, psychic 6, mesmerist 6, spiritualist 6</t>
  </si>
  <si>
    <t>V, S, M (a brass doorknob)</t>
  </si>
  <si>
    <t>you and one willing creature/2 levels, all of which must be within 30 feet of you</t>
  </si>
  <si>
    <t>Getaway teleports you and allies you designate at the time of casting to a predetermined location. You must initially cast the spell at that location-all creatures affected by the spell must be present at that time and within 30 feet of you. At any time before the spell's duration expires, you may trigger the spell as a swift action. At this time, all affected creatures (or their remains and gear) within 30 feet of you are teleported to the location where you first cast the spell. Creatures more than 30 feet away from you are left behind. Selected creatures within 30 feet of you who do not wish to travel with you at that time can simply choose not to go. You can be transported any distance within a plane but cannot travel between planes.</t>
  </si>
  <si>
    <t>Teleports a group of predetermined allies and creatures to a predetermined location.</t>
  </si>
  <si>
    <t>Geyser</t>
  </si>
  <si>
    <t>fire, water</t>
  </si>
  <si>
    <t>druid 4, sorcerer/wizard 5, magus 5</t>
  </si>
  <si>
    <t>V, S, M/DF (a piece of lava rock)</t>
  </si>
  <si>
    <t>spout of boiling water filling a 5 ft. square and spraying upward 10 ft./2 levels</t>
  </si>
  <si>
    <t>Reflex partial (see below)</t>
  </si>
  <si>
    <t>You cause a column of boiling water to spring forth from any horizontal surface, knocking over creatures directly over it and exposing nearby creatures to searing droplets as its spray falls back to the ground.  Any creature entering the geyser, or occupying the square it appears in, must make a Reflex saving throw to avoid being hurled into the air and then tossed to the ground. If the creature fails its saving throw, it takes 3d6 points of fire damage from the boiling water and also takes falling damage based upon the height of the geyser (e.g., if the geyser is 50 feet tall, the creature takes 5d6 falling damage), landing prone in a random square adjacent to the geyser. A successful saving throw halves the damage and negates the falling damage, and the creature is moved to the closest square adjacent to the geyser (Large-sized or larger creatures are moved enough so that they are not on top of the geyser but still adjacent to it).  This movement does not provoke attacks of opportunity and does not count toward the creature's normal movement.  In addition, the geyser sprays boiling water in a hemispherical emanation around its square. The radius of this emanation is equal to one-half the geyser's height (e.g., a 50-foot geyser has a 25-foot-radius emanation). Any creature within this area, including yourself, takes 1d6 points of fire damage each round as droplets of boiling water cascade on them.  You can choose to make a smaller geyser than your level permits if an obstruction prevents it from reaching its full height, or if you simply want to create a spread of boiling rain that's smaller than what would be created by a full-height geyser spell.</t>
  </si>
  <si>
    <t>Creates a geyser of boiling water.</t>
  </si>
  <si>
    <t>Aquatic (9)</t>
  </si>
  <si>
    <t>Water (10)</t>
  </si>
  <si>
    <t>Ghostbane Dirge</t>
  </si>
  <si>
    <t>bard 2, cleric/oracle 2, inquisitor 2, paladin 1, shaman 2, occultist 2</t>
  </si>
  <si>
    <t>V, S, M/DF (an old reed from a wind instrument)</t>
  </si>
  <si>
    <t>one incorporeal creature</t>
  </si>
  <si>
    <t>The target coalesces into a semi-physical form for a short period of time. While subject to the spell, the incorporeal creature takes half damage (50%) from nonmagical attack forms, and full damage from magic weapons, spells, spell-like effects, and supernatural effects.</t>
  </si>
  <si>
    <t>Incorporeal creature takes half damage from nonmagical weapons.</t>
  </si>
  <si>
    <t>Spirits (2)</t>
  </si>
  <si>
    <t>Ghostbane Dirge, Mass</t>
  </si>
  <si>
    <t>bard 4, cleric/oracle 5, inquisitor 5, paladin 3, shaman 5, occultist 5</t>
  </si>
  <si>
    <t>one incorporeal creature/level, no two of which can be more than 30 ft. apart</t>
  </si>
  <si>
    <t>This spell functions as ghostbane dirge, except that it affects multiple targets.</t>
  </si>
  <si>
    <t>As ghostbane dirge, but affects multiple creatures.</t>
  </si>
  <si>
    <t>Spirits (10)</t>
  </si>
  <si>
    <t>Glide</t>
  </si>
  <si>
    <t>druid 2, ranger 1, sorcerer/wizard 2, summoner/unchained summoner 2, witch 2, shaman 2, occultist 2, psychic 2</t>
  </si>
  <si>
    <t>V, S, M/DF (a leaf )</t>
  </si>
  <si>
    <t>until landing or 1 minute/level (D)</t>
  </si>
  <si>
    <t>You take no damage from falls (as if from feather fall). In addition, you can move up to 5 feet in any horizontal direction for every 1 foot you fall, at a speed of 60 feet per round. You cannot use this spell to actually gain height, merely coast in other directions as you fall. If subjected to a strong wind or any other effect that causes you to rise you can take advantage of it in order to increase the distance you can glide. The spell ends as soon as your feet touch the ground regardless of its remaining duration. If the spell expires while you are still in the air you fall the remaining distance as normal.</t>
  </si>
  <si>
    <t>No fall damage, move 60 ft./round while falling.</t>
  </si>
  <si>
    <t>Grace</t>
  </si>
  <si>
    <t>cleric/oracle 2, paladin 1</t>
  </si>
  <si>
    <t>Until the end of your turn, your movement does not provoke attacks of opportunity.</t>
  </si>
  <si>
    <t>Movement doesn't provoke attacks of opportunity.</t>
  </si>
  <si>
    <t>Gravity Bow</t>
  </si>
  <si>
    <t>ranger 1, sorcerer/wizard 1, occultist 1</t>
  </si>
  <si>
    <t>Gravity bow significantly increases the weight and density of arrows or bolts fired from your bow or crossbow the instant before they strike their target and then return them to normal a few moments later. Any arrow fired from a bow or crossbow you are carrying when the spell is cast deals damage as if one size larger than it actually is. For instance, an arrow fired from a Medium longbow normally deals 1d8 points of damage, but it would instead deal 2d6 points of damage if fired from a gravity bow (see page 145 of the Core Rulebook for more information). Only you can benefit from this spell. If anyone else uses your bow to make an attack the arrows deal damage as normal for their size.</t>
  </si>
  <si>
    <t>Arrows do damage as though one size category bigger.</t>
  </si>
  <si>
    <t>Grove of Respite</t>
  </si>
  <si>
    <t>druid 4, ranger 4, shaman 5</t>
  </si>
  <si>
    <t>V, S, M/DF (a leaf or blade of grass and a drop of water)</t>
  </si>
  <si>
    <t>20-ft.-radius grove</t>
  </si>
  <si>
    <t>2 hours/level (D)</t>
  </si>
  <si>
    <t>You conjure a sheltered grove of trees surrounding a shallow spring. The grove appears from nowhere even in the most barren, rocky soil regardless of season, but the spell must be cast outside on open ground.  The area within the grove is temperate and comfortable, like that of a tiny hut, although the grove provides no illumination and provides no protection from the elements. The water in the grove's spring is clean and drinkable. Additionally, the trees provide a variety of ripe fruit, regardless of season, which acts as a goodberry spell for up to eight people. The grove is warded with an alarm spell that alerts you whenever any creature enters the area. Once the spell expires, the grove vanishes, including all fruit, water, and other materials from it, although any nourishment or healing gained from its effects remains.</t>
  </si>
  <si>
    <t>Creates trees and a small spring.</t>
  </si>
  <si>
    <t>Guiding Star</t>
  </si>
  <si>
    <t>cleric/oracle 3, ranger 2, witch 3, shaman 2, psychic 3</t>
  </si>
  <si>
    <t>V, S, M (a spool of thread or string)</t>
  </si>
  <si>
    <t>You form a bond with your surroundings when you cast this spell. For the remaining duration of the spell you can always, as a standard action, determine your approximate distance from that area as well as the direction you must travel in order to reach it. You cannot determine the location of the area if you are on a different plane. The area counts as "very familiar" for the purposes of teleport or similar spells. You can only attune yourself to one location at a time. If you cast the spell at another spot you lose the ability to locate your original area.</t>
  </si>
  <si>
    <t>Know approximate distance from where you cast this spell.</t>
  </si>
  <si>
    <t>Stars (6)</t>
  </si>
  <si>
    <t>Heroic Finale</t>
  </si>
  <si>
    <t>You must have a bardic performance in effect to cast this spell. With a flourish, you immediately end the performance, and one creature within range affected by your bardic performance can make a move action or a standard action of their choice.</t>
  </si>
  <si>
    <t>Subject within range of your bardic performance can take an action.</t>
  </si>
  <si>
    <t>Hero's Defiance</t>
  </si>
  <si>
    <t>The instant before you are reduced to 0 or fewer hit points, you can expend a use of your lay on hands ability to heal yourself as if you had used lay on hands, plus an additional 1d6 hit points.  If this healing brings your hit point total above 0 hit points, you do not fall, and may continue to act. If you have no more uses of lay on hands this spell has no effect.</t>
  </si>
  <si>
    <t>Allows the use of lay on hands while falling unconscious.</t>
  </si>
  <si>
    <t>Hidden Speech</t>
  </si>
  <si>
    <t>bard 2, inquisitor 3, witch 2, psychic 2, mesmerist 2, medium 2</t>
  </si>
  <si>
    <t>V, S, M/DF (a cipher written on a piece of parchment)</t>
  </si>
  <si>
    <t>you plus one creature/level, no two of which can be more than 30 ft. apart</t>
  </si>
  <si>
    <t>You greatly enhance the ability of the subjects to communicate hidden messages to each other. Each target gains a +10 competence bonus on Bluff checks to send secret message to other recipients. Others using opposed Sense Motive checks to decipher these messages receive a -5 penalty. All subjects affected by the spell must share a language to be able to pass messages.</t>
  </si>
  <si>
    <t>Gain +10 on Bluff to send secret messages.</t>
  </si>
  <si>
    <t>Hide Campsite</t>
  </si>
  <si>
    <t>V, S, M (a sprig of mistletoe, and a vial of quicksilver)</t>
  </si>
  <si>
    <t>one 20-ft. cube</t>
  </si>
  <si>
    <t>You make the area around a campsite appear to be a thicket of untouched and forbidding foliage, or some other unwelcoming feature matching the surrounding terrain. Creatures outside the area cannot sense any activity going on inside the area- they cannot smell campfires or cooking food, they cannot hear conversation, loud noises, or spells being cast, and they cannot even feel heat or a rush of wind coming from the area. Those inside the area can see out normally. Once a creature steps into the area of the spell, it can see everything in and around the area normally.</t>
  </si>
  <si>
    <t>Hides all traces of your campsite.</t>
  </si>
  <si>
    <t>Holy Whisper</t>
  </si>
  <si>
    <t>You whisper a single word in the primordial language of good that is anathema to the minions of evil and strengthens the resolve of good creatures. Evil creatures within the burst must make a Fortitude saving throw or become sickened for 1 round/ level. Evil outsiders with the evil subtype, evil-aligned dragons, and undead in the burst also take 2d8 points of damage if they fail their saves. Good-aligned creatures in the burst gain a +2 sacred bonus on attack and damage rolls for 1 round.</t>
  </si>
  <si>
    <t>Whisper sickens evil creatures, gives good creatures bonuses.</t>
  </si>
  <si>
    <t>Honeyed Tongue</t>
  </si>
  <si>
    <t>bard 2, inquisitor 2, paladin 1, mesmerist 2</t>
  </si>
  <si>
    <t>V, M/DF (a drop of honey)</t>
  </si>
  <si>
    <t>This spell augments your diplomacies. While under the effects of spell, you roll two dice each time you make a Diplomacy check to change a creature's attitude, taking the highest roll.  If this results in a roll low enough to reduce the creature's attitude by a step, that creature gets some clue that you are manipulating it with a spell. Alternatively you can cast this spell before making a Diplomacy check to gather information, gaining a +5 competence bonus on the check.</t>
  </si>
  <si>
    <t>Roll 2 dice when using Diplomacy, take higher roll.</t>
  </si>
  <si>
    <t>Hungry Pit</t>
  </si>
  <si>
    <t>sorcerer/wizard 5, summoner/unchained summoner 5</t>
  </si>
  <si>
    <t>Reflex negates; Reflex half; see text</t>
  </si>
  <si>
    <t>This spell functions as create pit, except that the pit has the ability to squeeze and crush any creature trapped within it and has a maximum depth of 100 feet. Creatures who fall into the hole take falling damage as normal. In addition, anyone within the pit, not just those on the bottom, takes 4d6 points of bludgeoning damage each round as the pit contracts and then returns to its normal size (a successful Reflex save halves this damage). The ever-shifting walls of the pit are quite difficult to scale and have a Climb DC of 35.</t>
  </si>
  <si>
    <t>Caves (6)</t>
  </si>
  <si>
    <t>As create pit, but dealing 4d6 damage to those in it as it closes.</t>
  </si>
  <si>
    <t>Hydraulic Push</t>
  </si>
  <si>
    <t>druid 1, sorcerer/wizard 1, magus 1, bloodrager 1, shaman 1</t>
  </si>
  <si>
    <t>You call forth a quick blast of water that knocks over and soaks one creature or square. You can use this blast of water to make a bull rush against any one creature or object. Your CMB for this bull rush is equal to your caster level plus your Intelligence, Wisdom, or Charisma modifier, whichever is highest. This bull rush does not provoke an attack of opportunity. Hydraulic push extinguishes any normal fires on a creature, object, or in a single 5-foot square which it is targeted against. Magical fires are unaffected.</t>
  </si>
  <si>
    <t>Rivers (1)</t>
  </si>
  <si>
    <t>Wave of water bull rushes an enemy.</t>
  </si>
  <si>
    <t>Aquatic (3)</t>
  </si>
  <si>
    <t>The water is boiling hot or freezing cold, dealing 1d6 points of fire or cold damage per 2 caster levels. Add your tier to your CMB for the spell.</t>
  </si>
  <si>
    <t>Hydraulic Torrent</t>
  </si>
  <si>
    <t>druid 3, sorcerer/wizard 3, magus 3, bloodrager 3</t>
  </si>
  <si>
    <t>60-ft. line</t>
  </si>
  <si>
    <t>You call forth a powerful stream of water that batters all creatures and obstacles in its path until it strikes something it cannot push past. Against creatures and moveable objects this stream acts as a bull rush. You can bull rush creatures of any size, not just those one size larger than your own. Make a combat maneuver check and apply its results to each creature within the area. Your CMB for this bull rush is equal to your caster level plus your Intelligence, Wisdom, or Charisma modifier, whichever is highest. This bull rush does not provoke an attack of opportunity.  Against immovable objects this stream instead allows you to make a Strength check to destroy the target. When attempting to break an object, the stream has an effective Strength equal to your caster level plus the ability score modifier as above. The Break DC depends on the object you're trying to break-page 175 of the Pathfinder RPG Core Rulebook lists several sample Break DCs for various objects.  Hydraulic torrent extinguishes any normal fires it encounters along its path. Magical fires are unaffected.</t>
  </si>
  <si>
    <t>Creates torrent of water that bull rushes any creature in its path.</t>
  </si>
  <si>
    <t>The water is boiling hot or freezing cold, dealing 1d6 points of fire or cold damage per 2 caster levels. Add your tier to your CMB for the spell and on the Strength check to destroy immovable targets.</t>
  </si>
  <si>
    <t>Augmented (3rd): If you expend two uses of mythic power, the spell can extinguish magical fires as if using a targeted dispel magic. Freezing cold water hardens into ice on the ground (Core Rulebook 442), lasting as long as prevailing conditions allow. Boiling hot water turns into steam, creating an area of concealing mist (equivalent to obscuring mist) that fills the affected squares and all squares adjacent to the line of the spell.</t>
  </si>
  <si>
    <t>Ill Omen</t>
  </si>
  <si>
    <t>witch 1, psychic 1, mesmerist 1, medium 1</t>
  </si>
  <si>
    <t>V, S, M (hair from a black cat)</t>
  </si>
  <si>
    <t>1 round/level or until discharged</t>
  </si>
  <si>
    <t>You afflict the target with bad luck. On the next d20 roll the target makes, it must roll twice and take the less favorable result. For every five caster levels you have, the target must roll twice on an additional d20 roll (to a maximum of five rolls at 20th level).  A target who can speak and has at least one free hand and who is aware of the spell and its effects (such as from a Spellcraft check to identify the spell as it is cast) can negate one reroll by spending a move action to utter a brief prayer or good luck charm to appease the spirits of ill fortune.</t>
  </si>
  <si>
    <t>Target rolls twice for checks and attacks and uses worst roll.</t>
  </si>
  <si>
    <t>Harrow (3)</t>
  </si>
  <si>
    <t>For the target's unlucky d20 rolls, it must roll three times and take the lowest result. Spending a move action to utter a prayer or good luck charm allows the target to roll twice instead of three times.</t>
  </si>
  <si>
    <t>Augmented (4th): If you expend two uses of mythic power, you afflict the target with especially foul luck. Any natural 20 it rolls counts as a natural 1 instead.</t>
  </si>
  <si>
    <t>Innocence</t>
  </si>
  <si>
    <t>bard 1, mesmerist 1</t>
  </si>
  <si>
    <t>You surround yourself with an aura of innocence and trustworthiness. You gain a +10 competence bonus on Bluff skill checks to convince others of your innocence. They find it difficult to believe you capable of any wrongdoing. This bonus does not apply to other uses of the Bluff skill, such as feinting in combat, creating a diversion to hide, or communicating secret messages via innuendo, nor does it apply to any use of the skill to convince anyone of anything other than your complete innocence and blamelessness.</t>
  </si>
  <si>
    <t>Gain +10 on Bluff checks to seem innocent.</t>
  </si>
  <si>
    <t>Instant Armor</t>
  </si>
  <si>
    <t>cleric/oracle 2, paladin 2, psychic 2</t>
  </si>
  <si>
    <t>You instantly wrap your body in a suit of armor made from opaque force. At your option, the armor can be decorated with your religion's holy symbol in a prominent place, such as upon the breastplate or helm. While it exists, this armor replaces any garments or other sort of armor worn, magical as well as mundane. You lose access to, and all benefits from, armor replaced by this spell until the spell ends and the instant armor disappears. Instant armor acts in all ways as armor typical of its type (armor bonus, maximum Dexterity bonus, arcane spell failure chance, and so on). Since instant armor is made of force, incorporeal creatures can't bypass it the way they do normal armor. The sort of armor you can create with this spell depends on your caster level. Caster Level Armor Created 5th or lower chainmail 6th-8th banded mail 9th-11th half-plate 12th or higher full plate If you choose to create lesser armor than your level allows you gain a +1 magical enhancement bonus to the armor you do create for every type of armor you pass over. For instance, if you have the capacity to create full plate instant armor you could instead choose to create +1 half-plate, +2 banded mail, or +3 chainmail. You cannot replace these bonuses with armor special properties.</t>
  </si>
  <si>
    <t>Summon armor temporarily replacing your current attire.</t>
  </si>
  <si>
    <t>Instant Enemy</t>
  </si>
  <si>
    <t>ranger 3</t>
  </si>
  <si>
    <t>one creature that is not your favored enemy.</t>
  </si>
  <si>
    <t>With this spell you designate the target as your favored enemy for the remainder of its duration. Select one of your favored enemy types. For the duration of the spell, you treat the target as if it were that type of favored enemy for all purposes.</t>
  </si>
  <si>
    <t>Target is treated as a favored enemy type of your choice.</t>
  </si>
  <si>
    <t>Invigorate</t>
  </si>
  <si>
    <t>This spell banishes feelings of weariness. For the duration, the subject takes no penalties from the fatigued or exhausted conditions. The effect of invigorate is merely an illusion, however, not a substitute for actual rest or respite. When the spell ends, the subject takes 1d6 points of nonlethal damage, along with the return of the original condition(s). A creature can be under the effects of only one invigorate spell at a time; if it is cast a second time on that creature, the first immediately ends.</t>
  </si>
  <si>
    <t>Temporarily relieves fatigue or exhaustion.</t>
  </si>
  <si>
    <t>Invigorate, Mass</t>
  </si>
  <si>
    <t>bard 3, psychic 4, mesmerist 3</t>
  </si>
  <si>
    <t>creatures touched, up to one/level</t>
  </si>
  <si>
    <t>This spell work as invigorate, except it affects multiple creatures.</t>
  </si>
  <si>
    <t>As invigorate, but multiple creatures.</t>
  </si>
  <si>
    <t>Jester's Jaunt</t>
  </si>
  <si>
    <t>instantiations</t>
  </si>
  <si>
    <t>You teleport the target to a space you can see within 30 feet of the target. The destination must be on solid ground, and the teleportation cannot end in a space that is by nature hazardous to the creature you are teleporting.</t>
  </si>
  <si>
    <t>Teleport target within 30 ft. of itself.</t>
  </si>
  <si>
    <t>Keen Senses</t>
  </si>
  <si>
    <t>alchemist 1, druid 1, ranger 1, occultist 1</t>
  </si>
  <si>
    <t>V, M/DF (a hawk's feather)</t>
  </si>
  <si>
    <t>The subject gains a +2 competence bonus on Perception checks and gains low-light vision. Subjects that have low-light vision double the distance they can see under the effects of this spell.</t>
  </si>
  <si>
    <t>Gain +2 Perception and low-light vision.</t>
  </si>
  <si>
    <t>King's Castle</t>
  </si>
  <si>
    <t>This spell allows you to switch places with an ally. When you cast this spell, choose a single ally within range. You teleport to your ally's space while your ally teleports to your former space.</t>
  </si>
  <si>
    <t>Instantly switch places with a single ally.</t>
  </si>
  <si>
    <t>Knight's Calling</t>
  </si>
  <si>
    <t>You compel an enemy to come and fight you. On its turn, the target moves its speed toward you, avoiding any other dangers along its path (including any movement that would provoke attacks of opportunity). The target may do nothing but move on its turn. If the target ends its move adjacent to you, you can make an attack of opportunity against the target.</t>
  </si>
  <si>
    <t>Forces target to move toward you and fight you.</t>
  </si>
  <si>
    <t>Lead Blades</t>
  </si>
  <si>
    <t>ranger 1, occultist 1</t>
  </si>
  <si>
    <t>Lead blades increases the momentum and density of your melee weapons just as they strike a foe. All melee weapons you are carrying when the spell is cast deal damage as if one size category larger than they actually are. For instance, a Medium longsword normally deals 1d8 points of damage, but it would instead deal 2d6 points of damage if benefiting from lead blades (see page 145 of the Core Rulebook for more information). Only you can benefit from this spell. If anyone else uses one of your weapons to make an attack it deals damage as normal for its size.</t>
  </si>
  <si>
    <t>Melee weapons damage as if one size bigger.</t>
  </si>
  <si>
    <t>Life Bubble</t>
  </si>
  <si>
    <t>cleric/oracle 5, druid 4, ranger 3, sorcerer/wizard 5, occultist 4, psychic 5</t>
  </si>
  <si>
    <t>V, S, M/DF (a bit of eggshell)</t>
  </si>
  <si>
    <t>You surround the touched creatures with a constant and moveable 1-inch shell of tolerable living conditions. This shell enables the subjects to breathe freely, even underwater or in a vacuum, as well as making them immune to harmful gases and vapors, including inhaled diseases and poisons and spells like cloudkill and stinking cloud. In addition, the shell protects subjects from extremes of temperature (per endure elements) as well as extremes of pressure.  Life bubble does not provide protection from negative or positive energy (such as found on the Negative and Positive Energy planes), the ability to see in conditions of poor visibility (such as in smoke or fog), nor the ability to move or act normally in conditions that impede movement (such as underwater).  When you cast this spell it has a total duration of 2 hours per caster level. You can divide this duration up in any manner you wish, not necessarily equally, between up to 1 creature per caster level.</t>
  </si>
  <si>
    <t>Protects from environmental effects.</t>
  </si>
  <si>
    <t>Light Lance</t>
  </si>
  <si>
    <t>good, light</t>
  </si>
  <si>
    <t>lance of light</t>
  </si>
  <si>
    <t>1 round + 1 round/level (D)</t>
  </si>
  <si>
    <t>You create a glorious beam of brilliant radiance that acts as a +1 holy lance suitable for your size. You must have a free hand when casting the spell and, once you call the lance into being, you cannot switch it to another hand or put it down without prematurely ending the spell. As a standard action while holding a light lance, you can choose not to make an attack and instead hold the lance aloft as a beacon of light and truth, creating an area of bright light with a radius of 90 feet. If you choose to do this for one or more additional rounds the lance also casts a spear of brilliant light up into the sky that grows progressively more visible as it continues to climb toward the heavens. Under cover of night or other darkness, if nothing obstructs the beam, it becomes visible for an additional 2 miles during each round in which you continue to aim your lance skyward (2 miles in the second round, 4 miles in the third round, and so on).</t>
  </si>
  <si>
    <t>Creates a soaring beacon of light.</t>
  </si>
  <si>
    <t>Lily Pad Stride</t>
  </si>
  <si>
    <t>V, S, M (a frog's leg)</t>
  </si>
  <si>
    <t>trail of lily pads behind you</t>
  </si>
  <si>
    <t>10 minutes/level (D); see text</t>
  </si>
  <si>
    <t>Your every footstep creates aquatic plants capable of supporting your weight and that of any creature of your size or smaller that is following you. These lily pads only appear when you cross water or other liquids which do not immediately destroy plants. You can walk across these liquid surfaces without any fear of stumbling (though if knocked prone, dragged under, or otherwise pulled off your feet you still sink in the liquid). For the duration of the spell, any creature of your size or smaller can attempt to follow you by making a DC 10 Acrobatics check every round. Each such check allows it to move at half its normal land speed. If the creature takes a -5 penalty on its check it can move at its normal speed.  If a creature fails an Acrobatics check, or if a creature that's larger than you attempts to follow, it falls through, damaging the plants. Each time a creature falls through, all subsequent creatures take a cumulative -5 penalty on their Acrobatics checks when traveling across that particular stretch of plants.  As you move, the lily pads disappear behind you once you pass beyond the spell's range. Otherwise, they remain until the spell's duration expires.</t>
  </si>
  <si>
    <t>Walk across water on moving lily pads.</t>
  </si>
  <si>
    <t>Lockjaw</t>
  </si>
  <si>
    <t>V, S, M (sticky tree gum)</t>
  </si>
  <si>
    <t>You give a creature the ability to use one of its natural attacks to firmly attach itself to an opponent. Choose one of the creature's natural attacks (usually a claw or bite attack).  The creature gains the grab ability with that natural attack, including the +4 bonus on combat maneuver checks to start or maintain a grapple. A creature with multiple natural attacks can strike at its grappled opponent with its other natural attacks, but cannot attack any other creature.</t>
  </si>
  <si>
    <t>Creature gains grab ability with natural attack.</t>
  </si>
  <si>
    <t>Marks Of Forbiddance</t>
  </si>
  <si>
    <t>one enemy and one ally</t>
  </si>
  <si>
    <t>Marks of Forbiddance magically brand two creatures, preventing them from committing violence against one another. When you cast this spell choose one enemy and one ally within range. Both targets become branded with the sigil of forbiddance. Until the end of the spell's duration, in order for the two targets to attack one another, even with a targeted spell, each attacker must attempt a Will save. If the save succeeds, that target can attack the other normally.  If the save fails, the target can't follow through with the attack and the action is lost. This spell does not prevent the targets from attacking each other with area of effect spells or abilities.</t>
  </si>
  <si>
    <t>Makes 2 creatures pass Will saves in order to attack each other.</t>
  </si>
  <si>
    <t>Mask Dweomer</t>
  </si>
  <si>
    <t>witch 1, occultist 1, psychic 1</t>
  </si>
  <si>
    <t>V, S, M (a piece of gauze)</t>
  </si>
  <si>
    <t>You mask and manipulate a spell's magic aura to make it harder to detect. Select one spell effect on the target creature or object. You must have either cast this spell yourself or have perceived it by means such as detect magic or arcane sight.  Both the desired spell effect and mask dweomer are hidden from detect magic, although more powerful spells (such as arcane sight) pierce the deception if the caster succeeds on a Will save. Analyze dweomer automatically detects both mask dweomer and any masked spell effects.</t>
  </si>
  <si>
    <t>Hides presence of a spell from detect magic.</t>
  </si>
  <si>
    <t>Memory Lapse</t>
  </si>
  <si>
    <t>bard 1, sorcerer/wizard 1, occultist 1, mesmerist 1</t>
  </si>
  <si>
    <t>You cause the target to forget what happened from the casting of the spell back to the beginning of its last turn. This may allow a retry on a Diplomacy, Intimidate, or opposed skill check, though only with respect to the target, not other creatures that may be present.</t>
  </si>
  <si>
    <t>Memory (2)</t>
  </si>
  <si>
    <t>Subject forgets events back to last turn.</t>
  </si>
  <si>
    <t>Insanity (2)</t>
  </si>
  <si>
    <t>Moonstruck</t>
  </si>
  <si>
    <t>druid 4, sorcerer/wizard 4, witch 4, bloodrager 4, psychic 4</t>
  </si>
  <si>
    <t>V, S, M (a pinch of powdered moonstone)</t>
  </si>
  <si>
    <t>You invoke the mystical power of the moon to drive the target into a mad, bestial frenzy. If the target fails its save, it is dazed for 1 round, dropping held items as its nails and teeth elongate and sharpen. The target gains a bite attack and two claw attacks that deal damage appropriate for the creature's size, and for the remainder of the spell's duration the target behaves as if under simultaneous rage and confusion spells, attacking with its natural weapons in preference to other actions. During the final round of the spell's duration, the target is again dazed as it returns to its normal state.</t>
  </si>
  <si>
    <t>Insanity (4), Rage (6), Moon (4)</t>
  </si>
  <si>
    <t>Subject is enraged and confused.</t>
  </si>
  <si>
    <t>Moon (8)</t>
  </si>
  <si>
    <t>Nap Stack</t>
  </si>
  <si>
    <t>V, S, M (a little silk pillow worth 100 gp)</t>
  </si>
  <si>
    <t>30-ft.-radius emanation</t>
  </si>
  <si>
    <t>You reduce the amount of uninterrupted sleep or rest creatures within the spell's area need in order to recover from injuries, regain spells, or other special abilities to 2 hours instead of the normal eight. In addition, if creatures continue to sleep or rest beyond the initial 2 hours, every additional 2 hours counts as a day of rest for the purpose of recovering hit points, ability damage, as well as for enduring diseases, poisons, or other afflictions. This means 8 total hours of sleep counts as 4 days for natural healing and for saving throws as diseases or similar afflictions run their course. When suffering from diseases, poison, or other afflictions, sleepers experience vivid dreams that help them track their recovery. If things go poorly they can, at any time, wake themselves up in order to seek a better alternative. If awoken or otherwise disturbed during this 8-hour period, creatures may return to sleep but they no longer enjoy the benefits of the accelerated recovery time. Creatures can only enjoy the benefits of this spell once in any 1-week period.</t>
  </si>
  <si>
    <t>Subjects only need 2 hours for a night’s sleep, and can sleep even longer for more benefits.</t>
  </si>
  <si>
    <t>Natural Rhythm</t>
  </si>
  <si>
    <t>V, S, M (a handful of pebbles dropped one by one onto the ground)</t>
  </si>
  <si>
    <t>You enhance a creature's ability to harm an opponent based on the number of times it has already injured that opponent with a natural attack. Each time the creature successfully strikes an opponent with a natural attack, the subject gains a cumulative +1 bonus on damage rolls made against that opponent when making natural attacks (maximum +5 bonus). If an attack misses, the bonus to damage for all attacks resets to +0.</t>
  </si>
  <si>
    <t>+1 on damage rolls with each hit (max +5).</t>
  </si>
  <si>
    <t>Nature's Exile</t>
  </si>
  <si>
    <t>druid 3, witch 3</t>
  </si>
  <si>
    <t>This spell curses the creature touched, making it inimical to the natural world. All animals have an initial attitude of hostile toward the target. Familiars, being magical beasts, are not affected by this spell, but animal companions are. If you have an animal companion, it does not become hostile, but as long as you remain cursed, your animal companion takes a -2 penalty on all attack rolls, skill checks, and saving throws. The target also takes a -10 penalty on Survival skill checks as the weather and environment themselves seem to conspire to cause trouble.  Nature's exile can be removed with break enchantment, limited wish, miracle, remove curse, or wish.</t>
  </si>
  <si>
    <t>Gives subject –10 on Survival checks.</t>
  </si>
  <si>
    <t>Negate Aroma</t>
  </si>
  <si>
    <t>V, S, M/DF (a pinch of alum)</t>
  </si>
  <si>
    <t>one creature or object/level touched</t>
  </si>
  <si>
    <t>With a gesture, this spell allows you to dismiss even the foulest or most distinctive scents. When cast, the targeted creatures or objects lose all natural and unnatural odors. A creature under the effect of negate aroma cannot be tracked, located, or pinpointed by the scent special quality. In addition, this spell prevents the target creature from using the stench special ability and similar odor-based abilities (such as those possessed by troglodytes).  Negate aroma does not prevent the target from acquiring outside smells or odors. Dowsing the creature with a pungent substance effectively negates the benefits of the spell until the substance is neutralized or washed away.</t>
  </si>
  <si>
    <t>Subject cannot be tracked by scent.</t>
  </si>
  <si>
    <t>Oath Of Peace</t>
  </si>
  <si>
    <t>Entreating your deity for aid, you make a temporary oath of peace, granting you superior defenses but means you can't attack for the duration of the oath. For as long as you are subject to this spell, you gain a +5 sacred bonus to AC and on saving throws, as well as DR 10/evil. If you make a direct or indirect attack or any show any hostility toward any creature, the spell immediately ends.</t>
  </si>
  <si>
    <t>Grants +5 AC and DR 10/evil, can’t attack.</t>
  </si>
  <si>
    <t>You don't provoke attacks of opportunity when you attempt Heal checks, cast targeted spells with the harmless descriptor, or use positive energy effects to heal living creatures.</t>
  </si>
  <si>
    <t>Oracle's Burden</t>
  </si>
  <si>
    <t>oracle 2</t>
  </si>
  <si>
    <t>You entreat the forces of fate to bestow your oracle's curse upon another creature. The target creature suffers all the hindrances and none of the benefits of your oracle's curse class feature. You still suffer all effects of your oracle's curse.  If you do not have the oracle's curse class feature, this spell has no effect.</t>
  </si>
  <si>
    <t>(Oracle only.) Creature is affected by negative oracle's curse effects.</t>
  </si>
  <si>
    <t>Pain Strike</t>
  </si>
  <si>
    <t>sorcerer/wizard 3, witch 3, bloodrager 3, psychic 2, spiritualist 3</t>
  </si>
  <si>
    <t>Pain strike racks the targeted creature with agony, inflicting 1d6 points of nonlethal damage per round for 1 round per level (maximum 10 rounds). Additionally, the affected creature is sickened for the spell's duration, and the caster gains a +4 circumstance bonus on Intimidate checks against the target.</t>
  </si>
  <si>
    <t>Torture (2)</t>
  </si>
  <si>
    <t>Inflicts 1d6 nonlethal damage 1 round/level.</t>
  </si>
  <si>
    <t>Vengeance (6)</t>
  </si>
  <si>
    <t>Pain Strike, Mass</t>
  </si>
  <si>
    <t>sorcerer/wizard 5, witch 5, psychic 4, spiritualist 5</t>
  </si>
  <si>
    <t>one living creature/level, no two of which can be more than 30 ft. apart</t>
  </si>
  <si>
    <t>This spell works like pain strike, except as noted above.</t>
  </si>
  <si>
    <t>As pain, but affects multiple creatures.</t>
  </si>
  <si>
    <t>Vengeance (12)</t>
  </si>
  <si>
    <t>Paladin's Sacrifice</t>
  </si>
  <si>
    <t>You open up a brief but powerful divine conduit between you and another creature, taking on the damage and any other effects that creature suffers. When a creature in range is hit by an attack or fails a saving throw, you can cast this spell and the wounds and/or effects are magically transmitted to you instead of the target. You are affected as if you were hit by the attack or failed the saving throw, taking all the damage and suffering all of the adverse effects. Any resistances or immunities you have are applied normally, but you cannot otherwise reduce or negate the damage or effects in any way.  If you use this spell against an effect that also targets you or includes you in its area, you suffer the effects for both yourself and the target you spared, potentially taking damage or suffering other consequences twice.</t>
  </si>
  <si>
    <t>Take the damage and effects for another creature.</t>
  </si>
  <si>
    <t>Phantasmal Revenge</t>
  </si>
  <si>
    <t>sorcerer/wizard 7, psychic 7, mesmerist 6</t>
  </si>
  <si>
    <t>touch and unlimited; see text</t>
  </si>
  <si>
    <t>dead body touched</t>
  </si>
  <si>
    <t>Will disbelief then Fortitude partial; see text</t>
  </si>
  <si>
    <t>When you cast this eerie spell upon a recently slain creature, you cause a ghastly, spectral image of it to rise up from its corpse, shrieking for vengeance before it vanishes in a burst of unnatural light. This phantom then unerringly seeks out the creature that killed it, as long as that creature is on the same plane, and tries to slay its killer in turn.  Only the corpse's killer can see the phantasmal image created by this spell. You and any others who witness the spell's casting or its ultimate effects see only a vague shape. The target first gets a Will save to disbelieve the illusion. If that save fails, the target must succeed on Fortitude saving throw or take 10 points of damage per caster level from the phantasmal image. Even if the Fortitude save is successful, the target takes 5d6 points of damage + 1 point of damage per caster level. You know immediately if the spell succeeded or failed to kill its target but gain no other information, including the identity of the target of the spell.  The creature providing the corpse must have died no more than 1 day per caster level prior to the casting of this spell. If the creature that provided the corpse was not, in fact, killed by another, or if the killer is dead or no longer on the same plane, the spell fails. Phantasmal revenge makes no moral judgments; it targets winners of fair fights just as easily as murderers. Any given body can only be targeted by a phantasmal revenge spell once.</t>
  </si>
  <si>
    <t>Ghost from corpse hunts killer.</t>
  </si>
  <si>
    <t>Vengeance (14)</t>
  </si>
  <si>
    <t>Phantasmal Web</t>
  </si>
  <si>
    <t>bard 5, sorcerer/wizard 5, psychic 5, mesmerist 5, spiritualist 5</t>
  </si>
  <si>
    <t>one creature/level, no two of which may be more than 30 ft. apart</t>
  </si>
  <si>
    <t>You implant within the minds of your targets the illusion that they are engulfed in tangled webs teeming with swarms of tiny spiders. Those who fail to disbelieve the phantasmal web are treated as if in a web spell, but must also make a Fortitude save at the beginning of each turn or become nauseated for that round by the phantasmal spiders.  As the phantasmal web exists only in the minds of the targets, it cannot be burned or destroyed, and it provides no cover (though it does provide concealment) against attacks made by the targets. Targets cannot escape the phantasmal web by moving, even by teleportation. Freedom of movement allows unobstructed movement but does not negate the concealment or nausea effects.  Targets of the spell perceive everyone else around them to be engulfed in webs and swarming spiders, but the spell has no visible effect to other creatures (who may assist allies to disbelieve the effect).</t>
  </si>
  <si>
    <t>Insanity (6)</t>
  </si>
  <si>
    <t>Catches subjects in illusory web.</t>
  </si>
  <si>
    <t>Pied Piping</t>
  </si>
  <si>
    <t>V or F (musical instrument)</t>
  </si>
  <si>
    <t>90 ft.</t>
  </si>
  <si>
    <t>90-ft.-radius emanation, centered on you</t>
  </si>
  <si>
    <t>You call forth a melody so compelling and attractive that creatures belonging to a group with a specific, identifiable physical trait (such as type, subtype, age, gender, or hair color) find it almost impossible not to approach and follow you. You choose the nature of the creatures you seek to attract when you cast the spell and, once you make this choice, cannot alter it. You can only use physical traits to determine your audience. You can never use social and other more voluntary criteria (such as alignment, religion, nationality, or class) to select targets for this spell.  Eligible creatures must make a saving throw each round spent within the area of the spell and, once they fail, approach you at their normal movement speed and stand as close to you as possible without actually entering an occupied square.  If you move, they do their best to maintain their proximity to you and follow. Affected creatures can take no actions other than listening to your music and following you if you move.  Those entering the area while the spell is in effect must also successfully save or be compelled to come to you.  The attractive power of the spell does not cause affected creatures to put themselves in jeopardy and they have enough presence of mind to avoid or negotiate around obstacles and other perilous hazards. If unable to approach or follow you without endangering themselves, they simply wait, swaying to the music, until you pass out of range, at which point they regain their senses after 1 round/caster level. If circumstances change once you move out of range, making it possible for affected creatures to resume their attempts to get near you they do so, and, if they manage to return to within the area of the spell before it wears off, the spell continues as normal.  If attacked, affected creatures can take defensive measures, even going so far as to avoid existing threats by moving out of the area of the spell, but cannot make attacks themselves or take any other actions until the effects of the spell wear off. The effects of the spell persist for 1 round/caster level even after you stop concentrating. Once the spell ceases, the affected creatures continue to stay near you until the effects of the spell wear off.</t>
  </si>
  <si>
    <t>Compel similar creatures to follow you.</t>
  </si>
  <si>
    <t>Pillar Of Life</t>
  </si>
  <si>
    <t>5-ft.-square pillar of positive energy, 20 ft. high</t>
  </si>
  <si>
    <t>You conjure a pillar of positive energy in a single 5-foot square within range that radiates light as if it were a sunrod. Living creatures adjacent to the pillar can spend a standard action to touch the pillar and heal 2d8 points of damage + 1 point per caster level (maximum +20). Creatures can move into the square containing the pillar, but if an undead creature moves into the pillar it takes 1d6 points of damage per caster level (maximum 10d6). Undead creatures vulnerable to bright light take 1d8 points if damage per caster level (maximum 10d8). A creature cannot benefit or suffer more than once from a single casting of this spell.</t>
  </si>
  <si>
    <t>Created pillar heals 2d8 + 1/level (max +20).</t>
  </si>
  <si>
    <t>Healing (12)</t>
  </si>
  <si>
    <t>The damage healed increases to 3d8 points of damage + 1 point per caster level (maximum +20). The damage dealt to undead increases to 1d8 points of damage per caster level (maximum 10d8), or 2d6 points of damage per caster level for undead vulnerable to bright light (maximum 20d6). If a dead creature is brought into the pillar's square and that creature could be revived by breath of life, the pillar of life ends and the creature returns to life as per breath of life.</t>
  </si>
  <si>
    <t>Planar Adaptation</t>
  </si>
  <si>
    <t>alchemist 5, cleric/oracle 4, sorcerer/wizard 5, summoner/unchained summoner 5, occultist 4, psychic 4, spiritualist 5, medium 4</t>
  </si>
  <si>
    <t>Planar adaptation grants you immunity to the harmful environmental effects of a particular plane of existence, including such hazards as toxicity, extreme temperatures, and lack of air. Additionally, you gain energy resistance 20 to a single energy type prevalent on that plane (choose one if more than one type is equally prevalent). Planar adaptation has no when cast upon your native plane.</t>
  </si>
  <si>
    <t>Resist harmful effects of other plane.</t>
  </si>
  <si>
    <t>Planar Adaptation, Mass</t>
  </si>
  <si>
    <t>cleric/oracle 6, sorcerer/wizard 7, summoner/unchained summoner 6, occultist 6, psychic 6</t>
  </si>
  <si>
    <t>This spell functions like planar adaptation, except as noted above.</t>
  </si>
  <si>
    <t>As planar adaptation, but affects multiple creatures.</t>
  </si>
  <si>
    <t>Pox Pustules</t>
  </si>
  <si>
    <t>druid 2, witch 2</t>
  </si>
  <si>
    <t>V, S, M (leaves from a toxic plant)</t>
  </si>
  <si>
    <t>You inflict a painful, itching rash on the target creature. The target is sickened and takes a -4 penalty to Dexterity (this penalty cannot lower Dexterity below 0). The target can spend a move action scratching furiously at the rash to remove the sickened condition (but not the Dexterity penalty) until the start of its next turn.</t>
  </si>
  <si>
    <t>Subject is sickened and has –4 Dex.</t>
  </si>
  <si>
    <t>The Dexterity penalty increases to -6. The target takes 1 point of bleed damage each round. If the target spends a move action scratching, increase its bleed damage each round by 1. If the bleeding is stopped, scratching causes it to start again at 1 point of bleed per round.</t>
  </si>
  <si>
    <t>Protective Spirit</t>
  </si>
  <si>
    <t>A protective spirit is an invisible, mindless, shapeless force that hovers about you, defending you against unexpected attacks. When a creature makes an attack of opportunity against you, the protective spirit makes an immediate attack using your base attack bonus plus your Dexterity modifier. On a successful hit, the spirit does no damage, but it causes the attack of opportunity to automatically miss. A protective spirit can defend against a number of attacks of opportunity equal to your Dexterity bonus (minimum 1) per round.  A protective spirit occupies your space, and moves with you. It cannot be attacked or harmed by physical attacks, but dispel magic, disintegrate, a sphere of annihilation, or a rod of cancellation affects it. A protective spirit's AC against touch attacks is 10 + your Dexterity modifier.</t>
  </si>
  <si>
    <t>Protects from attacks of opportunity.</t>
  </si>
  <si>
    <t>Purging Finale</t>
  </si>
  <si>
    <t>You must have a bardic performance in effect to cast this spell. With a flourish, you immediately end your bardic performance, removing one of the following conditions on a creature within range affected by your bardic performance: cowering, dazzled, exhausted, paralyzed, shaken, or stunned.</t>
  </si>
  <si>
    <t>Removes one negative effect.</t>
  </si>
  <si>
    <t>Purified Calling</t>
  </si>
  <si>
    <t>V, S, M (a stick of incense)</t>
  </si>
  <si>
    <t>Your eidolon is restored to full health when you summon it. Upon casting this spell, you must immediately begin the ritual to summon your eidolon. Upon completion of the ritual, your eidolon appears at full hit points and without any damage or penalties to its ability scores, regardless of its previous condition. In addition, any temporary negative conditions affecting your eidolon are immediately removed.  Permanent conditions and ability drain are not affected by this spell.</t>
  </si>
  <si>
    <t>Eidolon summoned is fully healed.</t>
  </si>
  <si>
    <t>Putrefy Food and Drink</t>
  </si>
  <si>
    <t>witch 0</t>
  </si>
  <si>
    <t>1 cu. ft./level of food and water or one potion; see text</t>
  </si>
  <si>
    <t>This spell causes otherwise edible food to rot and spoil instantly, and water and other liquids to become brackish and undrinkable. Holy water and similar food and drink of significance are spoiled by putrefy food and drink, but the spell has no effect on creatures of any type, nor upon unholy water. Water weighs about 8 pounds per gallon. One cubic foot of water contains roughly 8 gallons and weighs about 60 pounds.  Although potions and elixirs are unaffected by the normal use of the spell, you can instead choose to target a single such object with this spell, destroying it if it fails a saving throw.</t>
  </si>
  <si>
    <t>Makes food and water inedible.</t>
  </si>
  <si>
    <t>Rally Point</t>
  </si>
  <si>
    <t>good, mind-affecting, emotion</t>
  </si>
  <si>
    <t>one 5-ft. square</t>
  </si>
  <si>
    <t>You create a spot that has the power to briefly hearten any good creature who comes into contact with it. A good creature who enters this square (even if simply as part of its normal move) gains a +2 morale bonus on attacks, saving throws, and 2 temporary hit points per caster level for 1 round. Nongood creatures gain no benefit from this spell.  A creature cannot benefit more than once from the same casting of this spell.</t>
  </si>
  <si>
    <t>Square gives good creatures bonuses.</t>
  </si>
  <si>
    <t>Rebuke</t>
  </si>
  <si>
    <t>20-ft.-radius burst centered on you</t>
  </si>
  <si>
    <t>Your wrathful words cause physical harm to your enemies.  Your enemies take 1d8 points of damage per two caster levels (maximum 5d8) and are staggered for 1 round. Half of this damage is sonic damage, but the other half results directly from divine power and is therefore not subject to being reduced by resistance to sonic-based attacks. is especially devastating to foes who worship your god, inflicting 1d6 points of damage per caster level (maximum 10d6) and stunning them for 1d4 rounds. A successful Fortitude save halves the damage and negates the staggering or stunning effect.  Enemies do not need to hear a rebuke to be harmed by it, but it is negated by magical silence.</t>
  </si>
  <si>
    <t>Judgment (4)</t>
  </si>
  <si>
    <t>Foes take 1d8 damage/two caster levels (max 5d8).</t>
  </si>
  <si>
    <t>Rampart</t>
  </si>
  <si>
    <t>druid 7, sorcerer/wizard 7</t>
  </si>
  <si>
    <t>V, S, M (a handful of earth)</t>
  </si>
  <si>
    <t>10-ft.-high earthen wall, in a line up to 10 ft. long/2 levels, or a circle with radius of up to 3 ft. + 1 ft./level</t>
  </si>
  <si>
    <t>You create a massive rampart of hard-packed earth and stone 5 feet thick. The rampart cannot be conjured so that it occupies the same space as another creature or object. Each 5-foot-wide section of the rampart has hardness 0 and 180 hit points. A section of the rampart whose hit points drop to 0 is breached. If a creature tries to break through the rampart with a single attack, the DC for the Strength check is 60. A creature can climb over the rampart with a DC 20 Climb check.</t>
  </si>
  <si>
    <t>Creates 5-ft.-thick earthen barrier.</t>
  </si>
  <si>
    <t>Rejuvenate Eidolon, Lesser</t>
  </si>
  <si>
    <t>summoner/unchained summoner 1</t>
  </si>
  <si>
    <t>V, S, M (a drop of your blood)</t>
  </si>
  <si>
    <t>eidolon touched</t>
  </si>
  <si>
    <t>By laying your hand upon an eidolon, you cause its wounds to close and its form to solidify. This spell cures 1d10 points of damage +1 point per caster level (maximum +5).</t>
  </si>
  <si>
    <t>Eidolon cured 1d10 damage +1/level (max +5).</t>
  </si>
  <si>
    <t>Rejuvenate Eidolon</t>
  </si>
  <si>
    <t>This spell functions as lesser rejuvenate eidolon, except that it cures 3d10 points of damage +1 point per caster level (maximum +10).</t>
  </si>
  <si>
    <t>As lesser rejuvenate eidolon, but cures 3d10 damage +1/level (max +10).</t>
  </si>
  <si>
    <t>Rejuvenate Eidolon, Greater</t>
  </si>
  <si>
    <t>summoner/unchained summoner 5</t>
  </si>
  <si>
    <t>This spell functions as lesser rejuvenate eidolon, except that it cures 5d10 points of damage +1 point per caster level (maximum +20).</t>
  </si>
  <si>
    <t>As lesser rejuvenate eidolon, but cures 5d10 damage +1/level (max +20).</t>
  </si>
  <si>
    <t>Resounding Blow</t>
  </si>
  <si>
    <t>antipaladin 4, inquisitor 5, paladin 4</t>
  </si>
  <si>
    <t>You must have a melee weapon in hand to cast this spell.  On a successful melee attack, your weapon resounds with a thunderous clash. The target takes 1d6 points of sonic damage. Your weapon is not harmed by this attack.  If you are using your judgment ability or smite ability against the target, it is staggered for 1 round on a successful attack. A successful Fortitude save negates the staggering effect.  On a successful critical hit, the target is stunned for 1 round and deafened for 1d6 rounds. A successful Fortitude save negates the stunning and deafening effects. If you are also using judgment or smite, your foe makes only a single save against all effects.  This spell immediately ends if your weapon leaves your hand.  Resounding blow stacks with the thundering weapon property.</t>
  </si>
  <si>
    <t>Melee attack deals 1d6 more damage.</t>
  </si>
  <si>
    <t>Rest Eternal</t>
  </si>
  <si>
    <t>cleric/oracle 4, druid 5, witch 5, shaman 5</t>
  </si>
  <si>
    <t>V, S, M/DF (ashes and a vial of holy or unholy water)</t>
  </si>
  <si>
    <t>one dead creature touched</t>
  </si>
  <si>
    <t>You place a curse upon a dead creature that bars its spirit from returning. Anyone casting a spell that would communicate with the dead creature, return it to life, or turn it into an undead creature must succeed on a caster level check with a DC of 11 plus your caster level. Rest eternal cannot be dispelled, but it can be negated with remove curse or break enchantment.</t>
  </si>
  <si>
    <t>Dead creature cannot be revived.</t>
  </si>
  <si>
    <t>Restful Sleep</t>
  </si>
  <si>
    <t>bard 1</t>
  </si>
  <si>
    <t>V, S, M (a pinch of sand)</t>
  </si>
  <si>
    <t>8 hours or 24 hours; see text</t>
  </si>
  <si>
    <t>You cast this spell immediately prior to resting. While under the effects of this spell, you and your allies enjoy a restful night's sleep. If a subject completes a full night's rest, it regains hit points as if it had undergone a full day of bed rest (regaining twice its character level in hit points). If a subject completes a full day's rest, it regains three times its character level in hit points. Any significant interruption during the rest (such as being awoken) prevents any healing that night and ends the effect of this spell on the awakened subject. Any healing acquired while under the effects of restful sleep is considered natural healing, and has no affect on effects requiring magical healing to cure.</t>
  </si>
  <si>
    <t>Gain more hit points while sleeping.</t>
  </si>
  <si>
    <t>Resurgent Transformation</t>
  </si>
  <si>
    <t>V, S, M (a pinch of meteoric iron worth 100 gp)</t>
  </si>
  <si>
    <t>1 hour/level or until triggered, then 1 round/level</t>
  </si>
  <si>
    <t>Resurgent transformation grants you the ability to recover from deadly wounds with restored vitality and a will to fight, but at a price. Once cast, resurgent transformation lies dormant for up to 1 hour per level until you are reduced to one-quarter hit points or less. Once triggered, you immediately gain a +4 enhancement bonus to Constitution and Strength, damage reduction 5/-, and the benefits of a haste spell. In addition, you heal 4d8 points of damage + 1 point per caster level (maximum +25). Resurgent transformation can even save you from death by healing the damage from an otherwise mortal wound, though it does not prevent death from massive damage or from causes other than hit point loss. Your mental faculties are impaired by this magical transformation, however, causing 1d4 points of Intelligence and Wisdom damage.  The advantages from your transformation persist for 1 round per caster level after the spell is triggered. Once the spell ends, it takes a heavy toll, leaving you exhausted and inflicting 1d4 points of Constitution damage. Utilizing more than one resurgent transformation in a day is particularly risky.  The expiration of a second resurgent transformation in a 24- hour period inflicts an additional 1d4 points of Constitution damage and results in death from system shock unless you succeed at a DC 15 Fortitude save, made after the Constitution damage has been applied.  If the spell expires or is dispelled before the transformation has been triggered, no adverse effects result.</t>
  </si>
  <si>
    <t>Gain second wind when close to death.</t>
  </si>
  <si>
    <t>Retribution</t>
  </si>
  <si>
    <t>inquisitor 3</t>
  </si>
  <si>
    <t>one creature who has just struck you with an attack</t>
  </si>
  <si>
    <t>Retribution blasts those who have the temerity to assault your person. You may target anyone who has just struck you with an attack within the previous round, whether with a melee, ranged, or natural weapon, or a spell that requires an attack roll. The target is wracked with shooting pains that impose a -4 penalty on attack rolls, skills checks, and ability checks. On a successful Fortitude save, the penalty only lasts for 1 round.  A target who worships the same god as you takes a -2 penalty on its saving throw.</t>
  </si>
  <si>
    <t>Recent attacker is aff licted with penalties.</t>
  </si>
  <si>
    <t>Reviving Finale</t>
  </si>
  <si>
    <t>a 20-ft.-radius burst centered on you</t>
  </si>
  <si>
    <t>Will half (harmless)</t>
  </si>
  <si>
    <t>You must have a bardic performance in effect to cast this spell.  With a flourish, you immediately end your bardic performance, and allies within the area of the spell regain 2d6 hit points. This spell has no effect on undead creatures.</t>
  </si>
  <si>
    <t>Allies cured 2d6 damage.</t>
  </si>
  <si>
    <t>Righteous Vigor</t>
  </si>
  <si>
    <t>inquisitor 3, paladin 2</t>
  </si>
  <si>
    <t>Infusing the target with a surge of furious divine energy, you enhance a creature's ability to hit an opponent based on the number of times it has already hit that opponent with a successful attack. Each time the subject successfully strikes an opponent with a successful melee attack, the subject gains a cumulative +1 morale bonus on attack rolls (maximum +4 bonus) and gains 1d8 temporary hit points (to a maximum of 20 temporary hit points). If an attack misses, the attack bonus resets to +0 but any accumulated temporary hit points remain. The temporary hit points disappear at the end of the spell's duration.</t>
  </si>
  <si>
    <t>Boosts attack bonus with each hit.</t>
  </si>
  <si>
    <t>River of Wind</t>
  </si>
  <si>
    <t>druid 4, sorcerer/wizard 4, magus 4, bloodrager 4, occultist 4</t>
  </si>
  <si>
    <t>Summoning up the power of the tempest, you direct a current of forceful winds where you please. This spell creates a 5-foot-diameter line of wind-the direction of the wind is away from your location when you cast the spell, and remains constant in that direction for the spell duration. Creatures caught in a river of wind take 4d6 nonlethal damage and are knocked prone. A successful Fortitude save halves the damage and prevents being knocked prone.  A creature that begins its turn wholly or partially within a river of wind must make a Fortitude save or be pushed 20 feet in the wind's direction of flow, take 2d6 nonlethal damage, and be knocked prone-a successful Fortitude save means the creature merely takes 1d6 nonlethal damage. Creatures under the effect of freedom of movement and creatures with the air subtype are unaffected by a river of wind.</t>
  </si>
  <si>
    <t>Creates wind that causes nonlethal damage</t>
  </si>
  <si>
    <t>Sacred Bond</t>
  </si>
  <si>
    <t>cleric/oracle 3, inquisitor 2, paladin 2</t>
  </si>
  <si>
    <t>V, S, F (a pair of golden bracelets worth 100 gp each worn by both you and the target)</t>
  </si>
  <si>
    <t>To use this spell, you first touch the intended recipient, creating a sympathetic field of healing energies between you.  Once the spell has been cast, you and the target may cast conjuration (healing) spells with a range of touch upon each other so long as you are within close range (25 ft. + 5 ft./2 levels). Should either you or the target remove your bracelet, the spell immediately ends.</t>
  </si>
  <si>
    <t>Cast touch healing spells from a distance.</t>
  </si>
  <si>
    <t>The range at which you and the target can cast conjuration (healing) spells on each other increases to medium (100 feet + 10 feet per caster level). When you or the target uses the sacred bond to cast a healing spell on the other, the caster also heals a number of hit points equal to the minimum amount the spell can heal.</t>
  </si>
  <si>
    <t>Augmented (6th): If you expend two uses of mythic power, casting a healing spell through the link heals the caster the normal amount instead of the minimum amount. You and the target can use the link to heal each other with targeted healing abilities such as lay on hands. Unlike with healing spells, a character using a healing ability in this way doesn't heal herself.</t>
  </si>
  <si>
    <t>Sacrificial Oath</t>
  </si>
  <si>
    <t>You create a powerful bond between yourself and a single creature. Until the end of the spell's duration, each time the target is hit with an attack or fails a saving throw, you can take the full damage of that attack and any other effects that creature suffers. If you choose not to take on the damage and effects, you instead take a number of points of damage equal to your Constitution score as backlash. Any resistances or immunities you have are applied normally, but you cannot otherwise reduce or negate the damage or effects of either the transfer or the backlash. If you or the subject of the spell move out of line of sight, the spell ends.</t>
  </si>
  <si>
    <t>Martyr (6)</t>
  </si>
  <si>
    <t>Take damage for an ally for many rounds.</t>
  </si>
  <si>
    <t>Saddle Surge</t>
  </si>
  <si>
    <t>you and your mount</t>
  </si>
  <si>
    <t>1 round/level (D); see text</t>
  </si>
  <si>
    <t>You and your mount form a perfect synergy that endows both of you with advantages based upon how far you travel each round. For every 5 feet your mount moves in a given round, you gain a +1 competence bonus on Ride checks and both you and your mount gain a +1 morale bonus on damage rolls made with weapons or natural attacks for 1 round. For instance, if your mount traveled 40 feet in a round, you would gain a +8 bonus on Ride checks and you and your mount would both gain a +8 bonus on damage rolls for 1 round, to a maximum bonus equal to your caster level. You must be mounted to enjoy the benefits of this spell. If you dismount, get knocked off, or take any other action that separates you from your mount, the spell immediately ends.</t>
  </si>
  <si>
    <t>Bonus damage for moving on mount.</t>
  </si>
  <si>
    <t>Sanctify Armor</t>
  </si>
  <si>
    <t>inquisitor 4, paladin 3</t>
  </si>
  <si>
    <t>You imbue your armor with a righteous aura. It gains a +1 enhancement bonus per four caster levels (maximum +5 at 20th level). When using your judgment or smite ability, you gain DR 5/evil.  An outfit of regular clothing counts as armor that grants no AC bonus for the purpose of this spell.</t>
  </si>
  <si>
    <t>+1 AC/four levels (max +5).</t>
  </si>
  <si>
    <t>You gain DR 5/evil while wearing the target armor. While you're using your judgment or smite ability, this improves to DR 10/evil.</t>
  </si>
  <si>
    <t>Augmented (3rd): If you expend two uses of mythic power, when you use judgment or smite, add half your tier to your AC as a sacred bonus.</t>
  </si>
  <si>
    <t>Saving Finale</t>
  </si>
  <si>
    <t>You must have a bardic performance in effect to cast this spell. With a flourish, you can immediately end your bardic performance when a creature within range affected by your bardic performance fails a saving throw, allowing the subject to immediately reroll the failed saving throw.</t>
  </si>
  <si>
    <t>Subject rerolls failed saving throw.</t>
  </si>
  <si>
    <t>Add your tier as a bonus on the saving throw reroll.</t>
  </si>
  <si>
    <t>Scent Trail</t>
  </si>
  <si>
    <t>V, S, M (a queen ant)</t>
  </si>
  <si>
    <t>You, or a willing creature you touch, lay down a trail of scents that only the creatures you designate at the time of can detect. These creatures find it very easy to follow this trail.  They gain a +20 competence bonus on any Survival checks made for the purpose of tracking the creature laying this trail.  Subject creatures with the scent special ability gain a +10 competence bonus on Wisdom or Survival checks to follow the trail.  In addition, you can leave scent messages along the trail.  Each word or emotion in this message requires spending a move action in the same spot. Subject creatures seeking to understand this message must make another DC 20 Survival check, with a -1 penalty for every word or emotion in the message, in order to understand it. Creatures cannot benefit from this smell if they cannot use, or do not have, a sense of smell. Creatures can use this spell to backtrack through a dungeon, maze, or similar areas even if the creature laying down the trail crossed over the spot multiple times.</t>
  </si>
  <si>
    <t>Leave trail for allies to follow.</t>
  </si>
  <si>
    <t>Screech</t>
  </si>
  <si>
    <t>witch 3</t>
  </si>
  <si>
    <t>You emit a shrill, piercing shriek, startling those around you into dropping their guard. Enemies in the area must make a successful saving throw or immediately provoke attacks of opportunity from foes that threaten them. You and your allies are unaffected by your own screech.</t>
  </si>
  <si>
    <t>Foes provoke attacks of opportunity.</t>
  </si>
  <si>
    <t>Sculpt Corpse</t>
  </si>
  <si>
    <t>V, S, M (lump of wax)</t>
  </si>
  <si>
    <t>With a clammy caress and a word to the powers lurking beyond death, you can reshape a dead body look like another creature or even a specific person so long as you have firsthand knowledge of how that creature or person actually looks.  You can make the corpse one size larger or smaller and change anything else about it including its apparent type, gender, or age. Creatures with a reason to suspect deception may make a Will saving throw to realize that the corpse was altered. If you chose to make the corpse look like a specific individual anyone who knows that individual can make a Will save to realize that the corpse is not actually that person. However, if a creature fails its Will save by 5 or less they believe the corpse is that of someone who closely resembled the person they knew rather than a deliberate fake. This spell merely changes the appearance of the corpse. Any spell or effect that targets the corpse (such as speak with dead or raise dead) treats it as if it still had its original appearance.</t>
  </si>
  <si>
    <t>Makes corpse look like another creature.</t>
  </si>
  <si>
    <t>Seamantle</t>
  </si>
  <si>
    <t>druid 8, sorcerer/wizard 8</t>
  </si>
  <si>
    <t>V, S, M (a cup of water)</t>
  </si>
  <si>
    <t>You sheathe yourself within a churning column of pure elemental water up to 30 feet high that fills your space. You gain a swim speed equal to your land speed and can see, hear, and breathe normally within the seamantle, but attacks against you are treated as if you were under the surface of the water. You gain improved cover (+8 cover bonus to AC, +4 bonus on Reflex saves) against foes that do not have freedom of movement effects. The cover granted by the seamantle does not enable you to make Stealth checks or prevent attacks of opportunity. Magical attacks against you are unaffected unless they require attack rolls or state that they do not function underwater (such as cloudkill).  The seamantle blocks line of effect for any fire spell or supernatural fire effect, but enemies can attempt to use fire spells within the seamantle; this requires a caster level check (DC 20 + spell level), and if successful the fire spell takes as a bubble of steam contained within the seamantle rather than its usual effect.  The seamantle allows you to make a slam attack by forming a pseudopod of water, inflicting damage appropriate for your size. This slam attack has a reach of 30 feet. In addition, as a standard action, you can attempt to extinguish fires by touch.  You automatically extinguish up to a 10-foot cube of normal fire. Against magical fire effects, your touch acts as dispel magic; this also applies to any non-instantaneous fire affect that comes into contact with you (such as flame blade, flaming sphere, or incendiary cloud). Even if you fail to extinguish a fire, you are not harmed by it. A flaming or flaming burst weapon that strikes you has its power suppressed for 1d4 rounds if the wielder fails a Fortitude save.</t>
  </si>
  <si>
    <t>Sheathes you in protective water.</t>
  </si>
  <si>
    <t>Aquatic (17)</t>
  </si>
  <si>
    <t>Water (16)</t>
  </si>
  <si>
    <t>Seek Thoughts</t>
  </si>
  <si>
    <t>alchemist 3, bard 3, inquisitor 3, sorcerer/wizard 3, summoner/unchained summoner 3, witch 3, occultist 3, psychic 2, mesmerist 3, spiritualist 3, medium 2</t>
  </si>
  <si>
    <t>V, S, M (a handful of copper coins)</t>
  </si>
  <si>
    <t>concentration, up to 1 minute/level</t>
  </si>
  <si>
    <t>Similar to detect thoughts, seek thoughts allows you to sift through the surface thoughts of those around you. You may scan for either the answer to a simple question (such as "Where is the hidden lair of the wererats?") or for information on a general topic (such as the beliefs of an evil cult). You detect the number of creatures who are thinking about this question or topic within range, as well as their location if they are visible to you. Seek thoughts does not let you read actual surface thoughts, only if a given creature is thinking about the topic you are concentrating on. A successful Will save prevents you from sensing a creature's thoughts for the duration of the spell.  You can maintain concentration on seek thoughts while you engage in normal conversation, allowing you to ask leading questions about topics of interest. A creature conversing with you while you concentrate can notice that you are distracted with a successful DC 25 Sense Motive check.</t>
  </si>
  <si>
    <t>Thought (3)</t>
  </si>
  <si>
    <t>Detects thinking creatures’ thoughts.</t>
  </si>
  <si>
    <t>Share Language</t>
  </si>
  <si>
    <t>bard 1, cleric/oracle 2, druid 2, sorcerer/wizard 2, occultist 2, psychic 1, mesmerist 1, medium 1</t>
  </si>
  <si>
    <t>V, S, M (a page from a dictionary)</t>
  </si>
  <si>
    <t>You can share your facility for one particular language with another creature. For 24 hours the target can read, understand, and communicate to the best of its ability in any one language which you already know. For every 5 levels you possess, you can grant the use of another language you know, to a maximum of 5 languages at 20th level. The target must have the physical capacity to articulate sounds, make gestures, or engage in whatever other method speakers of the language use to communicate with each other in order to actually converse. If the target lacks the mental capacity to grasp an actual language it still gains enough knowledge to respond to and carry out even extremely complex commands or suggestions coached in the language (whether written or spoken). However, since this spell does not endow the target with greater reasoning capacity, merely a temporarily enhanced vocabulary, the person offering up instructions to non-sentient creatures must take care to remove any ambiguity or guesswork.  Similarly, this spell does not affect the basic nature of the target, or its disposition toward you or anyone else, so convincing it to actually carry out these instructions could require negotiation, threats, or outright bribery.</t>
  </si>
  <si>
    <t>Language (2), Cooperation (2)</t>
  </si>
  <si>
    <t>Subject understands chosen language.</t>
  </si>
  <si>
    <t>Shadow Projection</t>
  </si>
  <si>
    <t>With this spell, you infuse your life force and psyche into your shadow, giving it independent life and movement as if it were an undead shadow (see Pathfinder RPG Bestiary 245). Your physical body lies comatose while you are projecting your shadow, and your body has no shadow or reflection while the spell is in effect.  While projecting your shadow, you gain a shadow's darkvision, defensive abilities, fly speed, racial stealth modifier, and strength damage attack. You do not gain the creature's create spawn ability, nor its skill ranks or Hit Dice.  Your shadow has Hit Dice and hit points equal to your own.  Your shadow projection has the undead type and may be turned or affected as undead.  If your shadow projection is slain, you return to your physical body and are immediately reduced to -1 hit points.  Your condition becomes dying, and you must begin making Constitution checks to stabilize.</t>
  </si>
  <si>
    <t>Temporarily become a shadow.</t>
  </si>
  <si>
    <t>Share Senses</t>
  </si>
  <si>
    <t>sorcerer/wizard 4, witch 3, psychic 3, medium 3</t>
  </si>
  <si>
    <t>V, S, M (a hair, scale, or feather from your familiar)</t>
  </si>
  <si>
    <t>your familiar</t>
  </si>
  <si>
    <t>Spending a moment in meditation and conjuring an image of the creature to mind, you reshape your link with your familiar, causing it to functions like a scrying sensor. Upon this spell you can hear, see, or smell (any one, your choice) what your familiar is experiencing. You gain the benefits of any nonmagical special abilities your familiar has tied to the chosen sense (such as low-light vision or scent), but use your own Perception skill. You don't need line of sight or line of effect to your familiar, but you must have an active empathic link. You may change the sense you are sharing as a standard action. Unlike other scrying spells, share senses does not allow magically or supernaturally enhanced senses to work through it, and you are unable to see in magical or natural darkness unless your familiar possesses the ability to see in such conditions.  The sensory link with your familiar can be detected as though it were a scrying sensor.</t>
  </si>
  <si>
    <t>See/hear/smell what your familiar is.</t>
  </si>
  <si>
    <t>Shifting Sand</t>
  </si>
  <si>
    <t>V, S, M (a handful of sand)</t>
  </si>
  <si>
    <t>20-ft. spread</t>
  </si>
  <si>
    <t>You cause an earthen or sandy surface to shift and churn within the area. The shifting sand obliterates tracks and is considered difficult terrain. Acrobatics checks in the area take a penalty equal to your caster level (maximum +10). Creatures entering or beginning their turn in the shifting sand must make a Reflex save each round or become entangled until the beginning of their next turn. If they attempt to move while entangled, they must make a second Reflex save or fall prone. Creatures with the stability racial trait (like dwarves) may apply it as a bonus on their saving throws.  As a move action, you may move the area of shifting sand up to 10 feet in any direction. Creatures that are entangled or prone in the spell's area are carried along with the shifting sand in the same direction if possible. This movement does not provoke attacks of opportunity. Unattended Medium or smaller objects may also be carried along or shallowly buried by the shifting sand.</t>
  </si>
  <si>
    <t>Creates difficult terrain and erases tracks;</t>
  </si>
  <si>
    <t>Deep Earth (7)</t>
  </si>
  <si>
    <t>Shared Wrath</t>
  </si>
  <si>
    <t>V, S, M (a thorny vine)</t>
  </si>
  <si>
    <t>up to one creature/level, no two of which can be more than 30 ft. apart</t>
  </si>
  <si>
    <t>This spell functions as wrath, except that you grant multiple creatures the bonuses against your designated foe. All subjects of shared wrath receive their bonuses against the same creature.</t>
  </si>
  <si>
    <t>As wrath, but affects multiple creatures.</t>
  </si>
  <si>
    <t>Sift</t>
  </si>
  <si>
    <t>bard 0, inquisitor 0, occultist 0, psychic 0, medium 0</t>
  </si>
  <si>
    <t>one 10-ft. cube</t>
  </si>
  <si>
    <t>You examine an area at range as if you were searching for fine details with the Perception skill. Make a Perception check with a -5 penalty, modified as normal for conditions. No penalty is applied for distance. Apply the result against the DC for any hidden features, such as secret doors, traps, or hidden treasure. You must be able to see the area you are attempting to search, and you only find details that can be perceived with sight or touch. Sift detects only objects and features, not actual creatures.</t>
  </si>
  <si>
    <t>See area as though examining it.</t>
  </si>
  <si>
    <t>Sirocco</t>
  </si>
  <si>
    <t>air, fire</t>
  </si>
  <si>
    <t>druid 6, sorcerer/wizard 6, magus 6, occultist 6</t>
  </si>
  <si>
    <t>V, S, M/DF (handful of fine sand cast into the air)</t>
  </si>
  <si>
    <t>cylinder (20-ft. radius, 60 ft. high)</t>
  </si>
  <si>
    <t>A blast of furnace-hot wind blasts downward, inflicting 4d6 fire damage +1 point per caster level to all creatures in the area and knocking them prone. A successful Fortitude save halves the fire damage and negates being knocked prone. Flying creatures forced into the ground by the powerful downdraft take damage as if they fell unless they make a DC 15 Fly check, in which case they remain at their original altitude.  Any creature that takes damage from a sirocco becomes fatigued (or exhausted, if already fatigued, such as from a previous round of exposure to a sirocco spell). Creatures with the water subtype take a -4 penalty on all saving throws against this spell and take double normal damage.</t>
  </si>
  <si>
    <t>Hot wind does 4d6 damage, fatigues those damaged, and knocks creatures prone.</t>
  </si>
  <si>
    <t>Light (12), Summer (12)</t>
  </si>
  <si>
    <t>Sleepwalk</t>
  </si>
  <si>
    <t>inquisitor 4, witch 4, psychic 4, mesmerist 4</t>
  </si>
  <si>
    <t>V, S, M (a sprig of belladonna worth 100 gp)</t>
  </si>
  <si>
    <t>unconscious creature touched</t>
  </si>
  <si>
    <t>You compel an unconscious or sleeping creature to rise and move in a half-awake state. The target creature staggers about if led or guided, but remains helpless for all other purposes.  The subject moves at half speed and is limited to a single move action each round. It is not capable of moving at a higher rate of speed or taking actions other than movement except by magical assistance, and automatically fails any Dexterity- or Strength-based skill checks. If the creature takes any damage while sleepwalking it must make a new saving throw or the spell ends and the creature awakes (if it has more than 0 hit points). When the spell ends or is dismissed, the target remains unconscious and must be awoken normally. While sleepwalk allows an unconscious creature to move, it does not awaken the creature, nor does it stabilize or otherwise heal them. A disabled creature that moves about while under the effects of this spell does not start dying again as a result of this movement.</t>
  </si>
  <si>
    <t>Causes creature to move while asleep.</t>
  </si>
  <si>
    <t>Slipstream</t>
  </si>
  <si>
    <t>druid 2, ranger 2, sorcerer/wizard 2, bloodrager 2</t>
  </si>
  <si>
    <t>V, S, M/DF (a few drops of oil and water)</t>
  </si>
  <si>
    <t>Reflex negates (harmless)</t>
  </si>
  <si>
    <t>You create a low-cresting wave of water that carries the target along the surface of water or the ground. When moving across level ground, the target's speed increases by 10 feet.  If going downhill, speed increases by 20 feet instead, but slipstream provides no movement bonus when going uphill.  While swimming, the slipstream increases the target's swim speed by 20 feet-if the target does not have a swim speed, this spell grants a swim speed of 20 ft.</t>
  </si>
  <si>
    <t>Oceans (2), Rivers (2)</t>
  </si>
  <si>
    <t>Wave boosts creature’s speed.</t>
  </si>
  <si>
    <t>Aquatic (5)</t>
  </si>
  <si>
    <t>Snake Staff</t>
  </si>
  <si>
    <t>cleric/oracle 5, druid 5, shaman 6</t>
  </si>
  <si>
    <t>V, S, M (a knife suitable for whittling)</t>
  </si>
  <si>
    <t>1 or more pieces of wood, no two of which can be more than 30 ft. apart</t>
  </si>
  <si>
    <t>With a long hissing whisper, you transform ordinary pieces of wood into various sorts of snakes that immediately attack your foes.   As long as the snakes remain within sight, you can direct their actions telepathically as a free action. You can only apply this spell to wooden objects not in a creature's possession or not part of a larger structure or plant. Each time you cast this spell you can create a number of snakes equal to your caster level. More powerful snakes take up more than one of your available total, as noted below.   Venomous Snake: A stick or piece of firewood. Counts as 1 snake.   Constrictor Snake: A staff or tree branch. Counts as 2 snakes.   Advanced Venomous Snake: A stick or piece of firewood. Counts as 2 snakes.   Advanced Constrictor Snake: A staff or tree branch. Counts as 3 snakes.   Advanced Giant Venomous Snake: A log or pile of debris. Counts as 4 snakes.   Advanced Giant Constrictor Snake: A fallen tree or a large pile of debris. Counts as 5 snakes.</t>
  </si>
  <si>
    <t>Transforms wood into snakes to fight for you.</t>
  </si>
  <si>
    <t>Occult (10)</t>
  </si>
  <si>
    <t>Solid Note</t>
  </si>
  <si>
    <t>one solidified musical note</t>
  </si>
  <si>
    <t>You give temporary physical form to a single musical note and can hang it, suspended, wherever you wish within range, allowing you to use it as hook, pulley, door blocker, or anything else your imagination desires. The exact appearance of the solid note depends on your melody. You can make it spiked or smooth, simple or convoluted, and with any color pattern you wish, however, it always has a size approximately equal to that of your outstretched hand. Once created, the solid note resists all attempts to move it but instantly disappears if enough force or weight is brought to bear against it. The note has an effective Strength equal to 10 + your caster level. It cannot hold more weight than the equivalent of a heavy load for its Strength without disappearing. Any creature that wins an opposed Strength check against the note (by pushing open a door which the note is holding shut for example) also causes it to disappear. The note can never deal actual harm to a creature and disappears if successfully attacked (AC 10 + your Charisma modifier) or overcome with a combat maneuver such as bull rush (CMD 2 + your base attack bonus + your Charisma modifier). Any creature obstructed by the solid note simply fails to budge it and loses that action for the round.</t>
  </si>
  <si>
    <t>Creates tangible music note.</t>
  </si>
  <si>
    <t>Spark</t>
  </si>
  <si>
    <t>bard 0, cleric/oracle 0, druid 0, sorcerer/wizard 0, witch 0, magus 0, occultist 0</t>
  </si>
  <si>
    <t>V or S</t>
  </si>
  <si>
    <t>one Fine object</t>
  </si>
  <si>
    <t>You can make an unattended Fine flammable object catch on fire. This works as if you were using flint and steel except that you can use spark in any sort of weather and it takes much less time to actually ignite an object.</t>
  </si>
  <si>
    <t>Ignites flammable objects.</t>
  </si>
  <si>
    <t>Spiked Pit</t>
  </si>
  <si>
    <t>sorcerer/wizard 3, summoner/unchained summoner 3</t>
  </si>
  <si>
    <t>This spell functions as create pit, except that the pit is lined with wickedly sharp spikes along its bottom and walls and has a maximum depth of 50 feet. Creatures who fall into the pit take falling damage as normal, plus 2d6 points of piercing damage from the spikes. Any creature or object coming into contact with the spikes along the walls, such as a creature trying to climb out, or rope or other typical aids to climbing, takes 1d6 points of piercing damage each round they are in contact with the walls. For those willing to accept the damage incurred while climbing, the pit's walls have a Climb DC of 20.</t>
  </si>
  <si>
    <t>Caves (3)</t>
  </si>
  <si>
    <t>As create pit, but filled with spikes.</t>
  </si>
  <si>
    <t>Spiritual Ally</t>
  </si>
  <si>
    <t>cleric/oracle 4, spiritualist 4, medium 4</t>
  </si>
  <si>
    <t>spiritual ally of force</t>
  </si>
  <si>
    <t>An ally made of pure force appears in a single 5-foot square within range. The ally takes the form of a servant of your god.  The spiritual ally occupies its space, though you and your allies can move through it, since it is your ally. The spiritual ally carries a single weapon, one favored by your deity (as for spiritual weapon), which has the same threat range and critical modifiers as a real weapon of its form. Each round on your turn, starting with the turn that you cast this spell, your spiritual ally can make an attack against a foe within its reach that you designate. The spiritual ally threatens adjacent squares and can flank and make attacks of opportunity as if it were a normal creature. The spiritual ally uses your base attack bonus (gaining extra attacks if your base attack bonus is high enough) plus your Wisdom bonus when it makes a melee attack. When the spiritual ally hits, it deals 1d10 points of force damage + 1 point of damage per 3 caster levels (maximum +5 at 15th level). It strikes as a spell, not a weapon, so it bypasses DR and can affect incorporeal creatures.  Each round after the first, you can move the spiritual ally as a swift action. It has a speed of 30 feet, and a fly speed of 30 feet (perfect maneuverability). Being a construct of force, the spiritual ally cannot be harmed by any physical attacks, but dispel magic, disintegrate, a sphere of annihilation, or a rod of cancellation affects it. A spiritual ally's AC against touch attacks is 10.  If an attacked creature has spell resistance, you make a caster level check (1d20 + caster level) against that spell resistance the first time the spiritual ally strikes it. If the ally is successfully resisted, the spell is dispelled. If not, the weapon has its normal full effect on that creature for the duration of the spell.</t>
  </si>
  <si>
    <t>Creates a divine ally to aid you.</t>
  </si>
  <si>
    <t>Spirits (8)</t>
  </si>
  <si>
    <t>Spite</t>
  </si>
  <si>
    <t>witch 4, mesmerist 3</t>
  </si>
  <si>
    <t>V, S, M (rare inks worth 250 gp)</t>
  </si>
  <si>
    <t>1 hour/level (D) or until discharged</t>
  </si>
  <si>
    <t>Choose a single touch range spell of 4th level or lower with a casting time of 1 standard action or less. As part of the action of casting spite, you cast the associated spell and bind it into a defensive ward in the form of a tattoo, birthmark, or wart somewhere upon your body. The next time you are hit by a melee attack or a combat maneuver is used successfully against you, the stored spell is triggered against your foe. You do not need to succeed on a touch attack to affect the target, but in all other respects the spell is treated as though you had cast it normally. If the attacking creature is not a valid target for the spell, the stored spell is lost with no effect.  You can have only one spite spell in effect at a time; if you cast this spell a second time, the previous spell effect ends.</t>
  </si>
  <si>
    <t>Inflict touch spell upon creature that attacks you.</t>
  </si>
  <si>
    <t>Stay the Hand</t>
  </si>
  <si>
    <t>1/round per level and special; see text</t>
  </si>
  <si>
    <t>You cause a creature's arm to waver and prevent it from striking another creature. You can cast this spell when the target is about to make a melee attack against another creature. On a failed saving throw, the target does not follow through with its attack, and its entire action is wasted for the round. On a successful saving throw, the target can make its attack, forcing its strike though the compulsion but losing both accuracy and power, taking a -5 penalty on its attack and damage rolls. Whether or not the target makes its initial save or not, it is subject to a -2 penalty on attack and damage rolls against the creature it originally targeted for the duration of the spell.</t>
  </si>
  <si>
    <t>Subject cannot attack with melee weapon.</t>
  </si>
  <si>
    <t>Stone Call</t>
  </si>
  <si>
    <t>druid 2, ranger 2, sorcerer/wizard 2, magus 2, bloodrager 2</t>
  </si>
  <si>
    <t>A rain of dirt, gravel, and small pebbles fills the area, dealing 2d6 points of bludgeoning damage to every creature in the area. This damage only occurs once, when the spell is cast.  For the remaining duration of the spell, this debris covers the ground, making the entire area difficult terrain. At the end of the duration, the rocks disappear, leaving no aftereffects (other than the damage dealt).</t>
  </si>
  <si>
    <t>Ruins (2)</t>
  </si>
  <si>
    <t>2d6 damage to all creatures in area.</t>
  </si>
  <si>
    <t>Mountain (4)</t>
  </si>
  <si>
    <t>Stone Fist</t>
  </si>
  <si>
    <t>alchemist 1, druid 1, sorcerer/wizard 1, magus 1, bloodrager 1</t>
  </si>
  <si>
    <t>V, S, M (a chip of granite)</t>
  </si>
  <si>
    <t>This spell transforms your hands into living stone. While this spell is in effect, your unarmed strikes do not provoke attacks of opportunity and deal 1d6 points of lethal bludgeoning damage (1d4 if you are Small). In addition, your unarmed strikes ignore the hardness of any object with a hardness less than 8.  Stone to flesh immediately dispels stone fist. Should you be the target of transmute rock to mud, this spell immediately ends and you take 4d6 points of damage.</t>
  </si>
  <si>
    <t>Your unarmed strikes are lethal.</t>
  </si>
  <si>
    <t>Mountain (2)</t>
  </si>
  <si>
    <t>Stormbolts</t>
  </si>
  <si>
    <t>cleric/oracle 8, druid 8, sorcerer/wizard 8, witch 8, shaman 8</t>
  </si>
  <si>
    <t>V, S, M/DF (a copper rod)</t>
  </si>
  <si>
    <t>a 30-ft.-radius spread, centered on you</t>
  </si>
  <si>
    <t>When you cast this spell, lightning spills forth from your body in all directions. The bolts do not harm natural vegetation or creatures in the area you wish to exclude from damage. Any other creatures within the area take 1d8 points of electricity damage per caster level (maximum 20d8) and are stunned for 1 round. A successful saving throw halves the damage and negates the stun effect.</t>
  </si>
  <si>
    <t>1d8 damage/level (max 20d8) to targets.</t>
  </si>
  <si>
    <t>Strong Jaw</t>
  </si>
  <si>
    <t>Laying a hand upon an allied creature's jaw, claws, tentacles, or other natural weapons, you enhance the power of that creature's natural attacks. Each natural attack that creature makes deals damage as if the creature were two sizes larger than it actually is (see page 302 of the Pathfinder Bestiary for more information). If the creature is already Gargantuan or Colossal-sized, double the amount of damage dealt by each of its natural attacks instead. This spell does not actually change the creature's size; all of its statistics except the amount of damage dealt by its natural attacks remain unchanged.</t>
  </si>
  <si>
    <t>Natural attacks damage as two sizes bigger.</t>
  </si>
  <si>
    <t>Stumble Gap</t>
  </si>
  <si>
    <t>sorcerer/wizard 1</t>
  </si>
  <si>
    <t>You create a shallow extradimensional hole perfectly sized to trip anyone who steps within it. This hole occupies a single 5-foot square with a depth of six inches. Any creature occupying the square when you first create the hole, or who later steps into the square containing the hole, must make a Reflex saving throw to avoid falling prone in an adjacent square and taking 1d6 points of damage. A creature that makes its saving throw still stumbles ever so slightly and takes a -1 penalty on all rolls and checks for 1 round. The spell has no effect on creatures adjacent to the square containing the hole.</t>
  </si>
  <si>
    <t>Small hole trips creatures.</t>
  </si>
  <si>
    <t>Stunning Finale</t>
  </si>
  <si>
    <t>You must have a bardic performance in effect to cast this spell.  With a flourish, you immediately end your bardic performance, assaulting the senses of the targets with your finale. Each target is stunned for 1 round. On a successful saving throw, a target is staggered for 1 round.</t>
  </si>
  <si>
    <t>Stuns 3 creatures for 1 round.</t>
  </si>
  <si>
    <t>Suffocation</t>
  </si>
  <si>
    <t>sorcerer/wizard 5, witch 5, occultist 5, psychic 5, spiritualist 5</t>
  </si>
  <si>
    <t>V, S, M (a vial containing a bit of the caster's breath)</t>
  </si>
  <si>
    <t>This spell extracts the air from the target's lungs, causing swift suffocation. The target can attempt to resist this spell's effects with a Fortitude save-if he succeeds, he is merely staggered for 1 round as he gasps for breath. If the target fails, he immediately begins to suffocate. On the target's next turn, he falls unconscious and is reduced to 0 hit points. One round later, the target drops to -1 hit points and is dying. One round after that, the target dies. Each round, the target can delay that round's effects from occurring by making a successful Fortitude save, but the spell continues for 3 rounds, and each time a target fails his Fortitude save, he moves one step further along the track to suffocation. This spell only affects living creatures that must breathe. It is impossible to defeat the effects of this spell by simply holding one's breath-if the victim fails the initial saving throw, the air in his lungs is extracted.</t>
  </si>
  <si>
    <t>Murder (5)</t>
  </si>
  <si>
    <t>Target quickly suffocates to death.</t>
  </si>
  <si>
    <t>Death (10)</t>
  </si>
  <si>
    <t>Suffocation, Mass</t>
  </si>
  <si>
    <t>one living creature/2 levels (no two of which may be more than 30 feet apart)</t>
  </si>
  <si>
    <t>This spell functions as suffocation except as noted above. Note that the duration of this spell is much longer, forcing those suffering from the effect to make far more Fortitude saves to stave off eventual suffocation.</t>
  </si>
  <si>
    <t>Murder (9)</t>
  </si>
  <si>
    <t>One creature/level suffocates to death.</t>
  </si>
  <si>
    <t>Summon Eidolon</t>
  </si>
  <si>
    <t>V, S, M (a silver coin)</t>
  </si>
  <si>
    <t>You open a rift between dimensions that summons your eidolon.  Treat this as if you had summoned your eidolon normally, except that it only remains with you for the duration of this spell. While summoned in this way, your eidolon cannot touch any creature warded by protection from evil or a similar effect and your eidolon can be sent back to its home plane by dispel magic.  If you cast this spell while your eidolon is already on your plane, this spell has no effect. This spell allows you to summon your eidolon even if it has been returned to its home plane due to damage.</t>
  </si>
  <si>
    <t>Instantly summons your eidolon for duration of spell.</t>
  </si>
  <si>
    <t>Swarm Skin</t>
  </si>
  <si>
    <t>druid 6, witch 6</t>
  </si>
  <si>
    <t>V, S, M/DF (a crushed insect hive)</t>
  </si>
  <si>
    <t>You convert all of your soft tissue into swarms of insects or other creatures and send them off to do your bidding, leaving nothing but your bones and gear behind. These swarms have all their normal qualities and abilities but also bear a tiny portion of your consciousness that allows you to perceive what they do and to control their actions. While in this form, you cannot use any of your own abilities or take any actions other than controlling the swarms. Each time you cast this spell you get a total allotment of levels equal to your caster level and any swarm you choose to create costs one or more of those levels. You can "spend" your allotment of levels to create any combination of swarms so long as their total does not exceed your caster level. Number of Levels S warm Type(s) 2 caster levels Spider swarm (Pathfinder Bestiary page 258) 4 caster levels Rat swarm (Bestiary 232) 6 caster levels Crab swarm, wasp swarm (Bestiary 50, 275) 8 caster levels Centipede swarm, leech swarm (Bestiary 43, 187) 10 caster levels Army ant swarm (Bestiary 16) Once you create these swarms they remain in existence until destroyed or you order them to return to your body. When all swarms have returned to your body or are destroyed, your flesh wraps itself back around your bones and you regain the ability to act normally. If your bones are not where you left them you must first locate them in order to regain access to your body. You always know if your bones are destroyed and your consciousness remains in control of the swarms until they too are destroyed (and your die). If you can use the swarms to get help and arrange for someone to repair your bones (using anything that would normally restore you to life), at which point you can return the swarms to your body.</t>
  </si>
  <si>
    <t>Vermin (5)</t>
  </si>
  <si>
    <t>Turns your body into a swarm that can attack.</t>
  </si>
  <si>
    <t>Thorn Body</t>
  </si>
  <si>
    <t>alchemist 3, druid 4, shaman 4</t>
  </si>
  <si>
    <t>This spell causes spines to grow from your exposed skin, damaging creatures that strike you. Any creature striking you with a melee weapon, an unarmed strike, or a natural weapon takes 1d6 points of piercing damage +1 point per caster level (maximum +15). Creatures using melee weapons with reach are unaffected by this spell. Creatures that successfully grapple you take 2d6 points of piercing damage +1 point per caster level (maximum +15). In addition, your natural attacks and unarmed strikes deal an additional 1d6 points of piercing damage.  Thorns created by this spell persist through any new physical shape or form you assume, such as via wildshape or any polymorph effect.</t>
  </si>
  <si>
    <t>Your attackers take 1d6 +1 damage/level.</t>
  </si>
  <si>
    <t>Thorns (8)</t>
  </si>
  <si>
    <t>Threefold Aspect</t>
  </si>
  <si>
    <t>druid 5, witch 4</t>
  </si>
  <si>
    <t>S, F (silver crescent worth 5 gp)</t>
  </si>
  <si>
    <t>24 hours (D)</t>
  </si>
  <si>
    <t>Threefold aspect allows you to shift your appearance between your natural age and three idealized age categories: young adult (youth/maiden), adulthood (father/mother), or elderly (elder/crone). In each case, your appearance is your own at the appropriate age, rather than that of a new individual.  You may change between these three aspects or your actual age as a standard action. As the young adult, you gain a +2 enhancement bonus to Dexterity and Constitution, but suffer a -2 penalty to Wisdom. In the adult aspect, you gain a +2 enhancement bonus to Wisdom and Intelligence, but take a -2 penalty to Dexterity. As the elderly aspect, you gain a +4 enhancement bonus to Wisdom and Intelligence, but take a -2 penalty to Strength and Dexterity. As enhancement bonuses, these stack with any bonuses or penalties you may have from your actual age (which are untyped bonuses)-the bonuses granted by this spell represent your idealized form in this threefold aspect rather than simply duplicating your ability scores at any one particular age.  True seeing reveals your natural appearance overlaid with that your aspect, recognizing both as part of your true self.  Individuals who study you closely and have interacted with you at another apparent age recognize a resemblance (as though family) with a successful DC 20 Perception check.  Threefold aspect does not alter your clothing or equipment, and does not heal any deformity or injury unrelated to age.</t>
  </si>
  <si>
    <t>Appear older or younger.</t>
  </si>
  <si>
    <t>Imperious (9)</t>
  </si>
  <si>
    <t>Time (8)</t>
  </si>
  <si>
    <t>Thundering Drums</t>
  </si>
  <si>
    <t>You strike the ground in front of you, filling the area in front of you with the thunder of pounding drums. Any creature in the area takes 1d8 points of sonic damage per caster level (maximum 5d8) and is knocked prone. A successful Fortitude save halves the damage and negates being knocked prone.</t>
  </si>
  <si>
    <t>1d8 damage/level and knocked prone.</t>
  </si>
  <si>
    <t>Timely Inspiration</t>
  </si>
  <si>
    <t>A word of arcane-empowered inspiration can snatch victory from seeming defeat. Cast this spell when a creature fails an attack roll or skill check. The target gains a +1 competence bonus per five caster levels (maximum +3 bonus) on the attack roll or skill check retroactively. If the bonus is enough to make the failure a success, the roll succeeds.</t>
  </si>
  <si>
    <t>Gives bonus on failed check/attack.</t>
  </si>
  <si>
    <t>Tireless Pursuit</t>
  </si>
  <si>
    <t>inquisitor 1, ranger 1</t>
  </si>
  <si>
    <t>V, S, M (a hard biscuit)</t>
  </si>
  <si>
    <t>You harden your body against the stresses of long travel. You halve the damage caused by hustling and forced marching (see Pathfinder RPG Core Rulebook 171). In addition, for the duration of the spell you ignore any fatigue caused by such travel. Once the spell ends, if you still have any nonlethal damage caused by the hustling or forced march, you become fatigued, or exhausted if already fatigued.</t>
  </si>
  <si>
    <t>Ignore fatigue while hustling.</t>
  </si>
  <si>
    <t>Tireless Pursuers</t>
  </si>
  <si>
    <t>inquisitor 4, ranger 3</t>
  </si>
  <si>
    <t>V, S, M (a hard biscuit broken into pieces)</t>
  </si>
  <si>
    <t>you plus one touched creature/3 levels</t>
  </si>
  <si>
    <t>This spell functions as tireless pursuit, except as noted above.</t>
  </si>
  <si>
    <t>As tireless pursuit, but affects multiple creatures.</t>
  </si>
  <si>
    <t>Touch of Gracelessness</t>
  </si>
  <si>
    <t>bard 1, sorcerer/wizard 1, bloodrager 1, mesmerist 1, spiritualist 1</t>
  </si>
  <si>
    <t>With a single touch, you reduce a creature to a fumbling clown.  The target takes a penalty to its Dexterity equal to 1d6+1 per two caster levels (maximum 1d6+5). This penalty cannot drop the target's Dexterity score below 1.  In addition, if the subject moves more than half its speed, it falls prone. If the subject flies, its maneuverability is reduced by one step (perfect maneuverability becomes good, good becomes average, and so on).  A successful Fortitude save halves the penalty to Dexterity and negates the possibility of falling prone or the reduction to fly maneuverabilities.</t>
  </si>
  <si>
    <t>Subject loses 1d6 + 1 Dex/two levels and is prone to falling down.</t>
  </si>
  <si>
    <t>Touch of the Sea</t>
  </si>
  <si>
    <t>alchemist 1, druid 1, sorcerer/wizard 1, bloodrager 1</t>
  </si>
  <si>
    <t>V, S, M (a fish scale)</t>
  </si>
  <si>
    <t>You cause webs to grow between the target's fingers and its feet to transform into flippers, granting a swim speed of 30 feet along with the standard +8 bonus on Swim checks and the ability to take 10 even if distracted or endangered. You can also use the run action while swimming, provided you swim in a straight line. This transformation causes any boots or gloves the target is wearing to meld into its form (although magic items with a continuous effect continue to function). This spell does not grant the target any ability to breathe water.</t>
  </si>
  <si>
    <t>Swim speed becomes 30 ft.</t>
  </si>
  <si>
    <t>Transmogrify</t>
  </si>
  <si>
    <t>V, S, M (a flask of quicksilver worth 1,000 gp)</t>
  </si>
  <si>
    <t>Your eidolon's form shifts and transforms. This spell allows you to change any of the eidolon's evolutions by allocating its evolution pool on new evolutions. If you have the aspect or greater aspect ability, this spell also allows you to change the evolution points spent to modify you, including removing or adding points as allowed by those abilities.  Your eidolon cannot benefit from this spell more than once per day. This spell does not allow you to change your eidolon's base form.</t>
  </si>
  <si>
    <t>Change your eidolon's evolutions.</t>
  </si>
  <si>
    <t>Transmute Potion to Poison</t>
  </si>
  <si>
    <t>1 round then 1 minute/level; see text</t>
  </si>
  <si>
    <t>This extract causes you to take on a pale, sickly pallor for 1 round. During this time, if you consume a potion, it has no effect. Instead, your mouth fills with a vile poison that you can spit onto a weapon as a free action. If you do not spit out the poison in 1 round, it affects you instead. The effect of the poison depends on the level of spell contained in the potion consumed (see sidebar). If the poison is not used within 1 minute per caster level it becomes inert. You can only create one dose of poison in this way per casting of this spell.</t>
  </si>
  <si>
    <t>Spit poison onto weapon</t>
  </si>
  <si>
    <t>Treasure Stitching</t>
  </si>
  <si>
    <t>bard 4, cleric/oracle 5, sorcerer/wizard 5, occultist 4</t>
  </si>
  <si>
    <t>V, S, M (a piece of embroidered cloth no larger than 10-ft. square worth 100 gp)</t>
  </si>
  <si>
    <t>all objects on cloth</t>
  </si>
  <si>
    <t>You can transform all objects placed on a cloth into an embroidered, two-dimensional representation, making it easy for you to store and transport the items. You can pile any amount or weight of objects on the cloth so long as the pile stays within the dimensions of the cloth (up to a 10-foot cube).  When you cast the spell the entire pile disappears into the cloth, replaced by a highly accurate, sewn picture of the pile from whatever angle you wish. The cloth retains its normal weight and dimensions. You can restore the pile of objects at any time as a full-round action by unfurling the cloth and ordering the spell to end, consuming the cloth. Anyone else wishing to restore the objects must successfully dispel your spell. If the cloth is destroyed or significantly damaged, all objects held within the cloth are lost. This spell cannot affect artifacts or other sorts of similarly unique objects.</t>
  </si>
  <si>
    <t>Objects on cloth become embroidered.</t>
  </si>
  <si>
    <t>True Form</t>
  </si>
  <si>
    <t>druid 4, sorcerer/wizard 4, occultist 4, psychic 4</t>
  </si>
  <si>
    <t>up to one creature/3 levels, no two of which can be more than 30 ft. apart</t>
  </si>
  <si>
    <t>True form removes any polymorph effect from a target creature, returning it to its true form, even against its will. Against creatures affected by polymorph spell effects (such as baleful polymorph or giant form), you must make a caster level check (1d20 + caster level, maximum +15) against a DC of 11 + caster level of the effect. Success means that the polymorph immediately ends.  A creature with the supernatural ability to change shape (such as a lycanthrope) must make a Will saving throw or immediately revert to its true form. If it fails this first saving throw, the creature can attempt another Will saving throw to overcome the spell as a full-round action that does not provoke attacks of opportunity. If this save succeeds, the spell ends and the creature is capable of changing shape once again. If the second save fails, the creature is locked in its true form for the duration of the spell, preventing any further polymorph effects from changing its shape.</t>
  </si>
  <si>
    <t>Removes polymorph effects.</t>
  </si>
  <si>
    <t>The spell's target changes to up to one creature per 2 caster levels. If a target is a creature that has the ability to change shape between a specific set of forms (such as a barghest or lycanthrope), you may choose which form the creature takes. To force such a creature into a form, you must have either seen it in that form or succeeded at an appropriate Knowledge check to know the creature has the ability to take that form.</t>
  </si>
  <si>
    <t>Augmented (6th): If you expend three uses of mythic power, the spell creates an area affecting all shapechanging creatures. The range changes to 30 feet and the spell affects all creatures in a 30-foot radius around you. Each creature must attempt a saving throw against the spell every round it remains in the area.</t>
  </si>
  <si>
    <t>Tsunami</t>
  </si>
  <si>
    <t>10-ft.-deep wave 10 ft. wide/level and 2 ft. tall/level</t>
  </si>
  <si>
    <t>5 rounds</t>
  </si>
  <si>
    <t>You create a massive wave of water that then moves in a straight line across water or land-you select the direction the wave travels (which must be perpendicular to its width), but once set in motion, the wave cannot change course. Over the surface of open water, the wave travels at a speed of 60 feet per round-on land or underwater, the wave travels at a speed of 30 feet per round.  Creatures struck by a tsunami take 8d6 points of bludgeoning damage (a Fortitude save halves this damage).  In addition, the tsunami makes a special CMB check against any creature it strikes-the wave's CMB is equal to your caster level + your relevant spellcasting ability score modifier (whichever is highest) + 8 (for the wave's size). If this CMB check defeats a creature's CMD, the creature is knocked prone and carried along by the wave. A creature carried along by a tsunami can attempt to escape the wave on its turn as a standard action by making a CMB or Swim check opposed by the wave's CMB check-if a creature fails to escape, it takes another 6d6 points of bludgeoning damage (Fortitude save for half ) and continues being carried along by the wave.  Objects struck by a tsunami are swept up if they are Huge or smaller and are carried along by the wave, deposited in a pile at the end of the wave's journey. Gargantuan or larger objects, as well as structures or objects firmly attached to the ground, take 8d6 points of bludgeoning damage when a tsunami passes through its space-if this is enough to destroy the object or structure, the remains are carried along by the wave. Hardness does not reduce this damage, nor is it halved as damage dealt to objects normally is. Freedom of movement prevents a creature from being carried along by a tsunami but does not prevent damage caused by it hitting a creature.  A solid barrier that is taller than the tsunami that is not destroyed by the wave stops that portion of the wave from continuing onward, leaving a gap in the wave as the rest of it continues forward.</t>
  </si>
  <si>
    <t>Oceans (9)</t>
  </si>
  <si>
    <t>Huge wave damages and sweeps up all in its path.</t>
  </si>
  <si>
    <t>Water (18)</t>
  </si>
  <si>
    <t>The wave increases to 20 feet wide per caster level and 3 feet tall per caster level. The damage dealt to those struck by the wave increases to 12d6 points of bludgeoning damage. Add your tier to the wave's special combat maneuver check. The damage dealt to those that fail to escape the wave increases to 6d8 points of bludgeoning damage.</t>
  </si>
  <si>
    <t>Augmented (5th): If you expend three uses of mythic power, you create a truly monstrous wave. The wave increases to 20 feet deep, 20 feet wide per caster level, and 5 feet tall per caster level. The duration of the effect increases to 10 rounds, and the speed of the wave increases to 120 feet per round on the surface of the water and 60 feet per round on land or underwater.</t>
  </si>
  <si>
    <t>Twilight Knife</t>
  </si>
  <si>
    <t>sorcerer/wizard 3, witch 3, bloodrager 3, occultist 3, psychic 3, spiritualist 3</t>
  </si>
  <si>
    <t>V, S, F (a small knife)</t>
  </si>
  <si>
    <t>floating knife of force</t>
  </si>
  <si>
    <t>You create a darkly sinister floating knife that attacks the same creature as you each round. If you choose not to attack a creature, or you make an attack that affects multiple opponents, the knife makes no attack during that round.  The knife uses your base attack bonus modified by either your Intelligence or Charisma bonus (whichever is higher) when making this attack. Unless you specifically will it to do otherwise, or it proves impossible to do so, the knife always maneuvers itself so that it can flank your opponent before making the attack. The knife deals 1d4 points of force damage on a successful hit and has the same threat range and critical multipliers as a normal dagger. In addition, if the target is denied a Dexterity bonus to AC or the knife flanks the target, the knife can make sneak attacks as a rogue, inflicting an extra 1d6 points of force damage per four caster levels on a successful attack.  A twilight knife cannot be attacked or harmed by physical attacks, but dispel magic, disintegrate, a sphere of annihilation, or a rod of cancellation affects it. A twilight knife's AC against touch attacks is 12 (10 + size bonus for Tiny object) plus your Dexterity modifier.  If an attacked creature has spell resistance, you make a caster level check (1d20 + caster level) against that spell resistance the first time the twilight knife strikes it. If the knife is successfully resisted, the spell is dispelled. If not, the weapon has its normal full effect on that creature for the duration of the spell.</t>
  </si>
  <si>
    <t>Floating knife attacks with you.</t>
  </si>
  <si>
    <t>Occult (6)</t>
  </si>
  <si>
    <t>Twin Form</t>
  </si>
  <si>
    <t>alchemist 6</t>
  </si>
  <si>
    <t>V, S, M (a blend of soil and the caster's blood)</t>
  </si>
  <si>
    <t>1 round/level or until discharged (D)</t>
  </si>
  <si>
    <t>This extract splits a perfect double of yourself from your body, dressed and equipped exactly as you are. You are able to shift your consciousness from one body to the other once each round as a free action. This shift takes place either immediately before your turn or immediately after it, but not during the round. You may act normally in the body you inhabit. Your other self is treated as though dazed, except it may take a single move action each round during your turn. Your twin cannot speak while you are in your other body, and cannot flank, make attacks of opportunity, or otherwise threaten enemies.  Both you and your twin have the same statistics and start with the number of hit points you had when you ingested the extract. Once you have split, these hit points are tracked separately. Any spells, extracts, or magical effects (such as from potions) that were active when you ingested the extract are active for both you and your twin. If any such effects expire, are dispelled, dismissed, or otherwise used or ended, they end for both of you. Extracts or spells cast after you split affect you and your twin as though you were two separate targets. Your equipment is linked between your two selves, and if an item on one is consumed or destroyed, its duplicate is used up or destroyed as well.  The body you do not inhabit crumbles into dust when the extract's duration expires or is dismissed. If the body you inhabit is destroyed, you immediately shift to your surviving self and the extract immediately ends. The body you left behind crumbles into dust, and you are stunned until the start of your next turn. If the body you do not inhabit is destroyed, the extract also ends immediately, but you suffer no ill effects.  You have no special ability to sense what your second body is experiencing, though you immediately know if it has been destroyed. You may switch between bodies at any distance on the same plane. If your bodies cross into separate planes (including through the use of teleport or blink), the body you inhabit survives, while your other body is destroyed.</t>
  </si>
  <si>
    <t>Creates controllable duplicate of you.</t>
  </si>
  <si>
    <t>Unfetter</t>
  </si>
  <si>
    <t>V, S, M (a broken chain)</t>
  </si>
  <si>
    <t>This spell breaks the life link between you and your eidolon. This spell allows your eidolon to venture more than 100 feet away from you without penalty. It can travel any distance while this spell is in effect without penalty, but if the spell expires while the eidolon is farther than 100 feet away, it immediately loses hit points as normal for distance and is possibly sent back to its home plane. While this spell is in effect, you cannot sacrifice hit points to prevent damage to your eidolon. Damage that would be transferred due to the life bond ability is not transferred. If you attempt to use the transposition ability while this spell is in effect, you must roll on the teleport mishap table, using the "studied carefully" row.</t>
  </si>
  <si>
    <t>Remove distance restriction on eidolon.</t>
  </si>
  <si>
    <t>Universal Formula</t>
  </si>
  <si>
    <t>alchemist 4</t>
  </si>
  <si>
    <t>V, S, M (quicksilver and powdered platinum worth 100 gp)</t>
  </si>
  <si>
    <t>As you ingest this extract, it transforms into the appropriate extract for any formula you know of 3rd level or lower and takes effect immediately. If the chosen formula has an expensive material component, it must be provided along with the component for this formula. You may not create an infused extract with this formula.</t>
  </si>
  <si>
    <t>Acts as any extract 3rd level or lower.</t>
  </si>
  <si>
    <t>Unwilling Shield</t>
  </si>
  <si>
    <t>bard 5, inquisitor 5, sorcerer/wizard 6, witch 6, occultist 5, psychic 6, mesmerist 5, spiritualist 6</t>
  </si>
  <si>
    <t>V, S, M (ruby dust worth 250 gp)</t>
  </si>
  <si>
    <t>Like shield other, unwilling shield creates a mystic connection between you and the target, but unlike shield other, the target shares the wounds that you receive. In addition, the link draws upon the target's life force to supplement your own defenses. You gain a +1 luck bonus to AC and on saving throws. You take only half damage from all wounds and attacks (including those dealt by special abilities) that deal hit point damage. The amount of damage not taken by you is taken by the target. Forms of harm that do not involve hit points, such as charm effects, ability damage, level draining, and death effects are not affected. If you take a reduction in hit points from a lowered Constitution score, the reduction is not split with the target because it is not hit point damage. When the spell ends, subsequent damage is no longer divided between you and the subject, but damage already split is not assigned to you. If you and the target of the spell move out of range of each other, the spell remains active, but damage is no longer shared until you are once again within range of each other.</t>
  </si>
  <si>
    <t>Subject shares wounds you receive.</t>
  </si>
  <si>
    <t>Unwitting Ally</t>
  </si>
  <si>
    <t>bard 0, psychic 1, mesmerist 0</t>
  </si>
  <si>
    <t>You befuddle the target's mind. The target has difficulty telling friend from foe for a short period of time. The subject is considered your ally and not your enemies' ally while determining flanking. The subject takes no other hostile action against your enemies due to this spell's effect.</t>
  </si>
  <si>
    <t>Subject is considered ally for 1 round.</t>
  </si>
  <si>
    <t>Vanish</t>
  </si>
  <si>
    <t>bard 1, sorcerer/wizard 1, magus 1, occultist 1, psychic 1, mesmerist 1</t>
  </si>
  <si>
    <t>1 round/level (up to 5 rounds) (D)</t>
  </si>
  <si>
    <t>This spell functions like invisibility, except the effect only lasts for 1 round per caster level (maximum of 5 rounds). Like invisibility, the spell immediately ends if the subject attacks any creature.</t>
  </si>
  <si>
    <t>As invisibility for 1 round/level (5 max).</t>
  </si>
  <si>
    <t>Veil of Positive Energy</t>
  </si>
  <si>
    <t>personal or 5 ft.; see text</t>
  </si>
  <si>
    <t>you or all creatures within 5 ft.; see text</t>
  </si>
  <si>
    <t>You surround yourself with a veil of positive energy, making it harder for undead creatures to harm you. When under the effect of this spell, you gain a +2 sacred bonus to AC and a+2 sacred bonus on saves. Both of these bonuses apply only against attacks or effects created by undead creatures. You can dismiss this spell before its normal duration as a swift action on your turn to deal a number of points of positive energy damage equal to your level to all undead creatures within 5 feet of you.</t>
  </si>
  <si>
    <t>+2 AC, +2 on saves vs. undead.</t>
  </si>
  <si>
    <t>Venomous Bolt</t>
  </si>
  <si>
    <t>one arrow or bolt</t>
  </si>
  <si>
    <t>You infuse a single arrow or crossbow bolt with natural venom as you fire it. In addition to its normal damage, anyone struck by this arrow or bolt is affected as if by the poison spell. If the arrow is not fired immediately, the spell ends with no effect.</t>
  </si>
  <si>
    <t>Arrow or bolt poisons target.</t>
  </si>
  <si>
    <t>Versatile Weapon</t>
  </si>
  <si>
    <t>bard 2, ranger 2, sorcerer/wizard 3, magus 3, bloodrager 3, occultist 2, psychic 3</t>
  </si>
  <si>
    <t>You transform the physical makeup of a weapon as you desire.  This spell functions like greater magic weapon, except that it subtly alters the physical properties of a weapon, enabling it to bypass damage reduction of one the following types: bludgeoning, cold iron, piercing, silver, or slashing. The affected weapon still inflicts damage of its normal type and its hardness and hit points are unchanged. This spell can be cast on a natural weapon or unarmed strike.</t>
  </si>
  <si>
    <t>Weapon bypasses some DR.</t>
  </si>
  <si>
    <t>Vomit Swarm</t>
  </si>
  <si>
    <t>alchemist 2, witch 2</t>
  </si>
  <si>
    <t>one swarm of spiders</t>
  </si>
  <si>
    <t>You vomit forth a swarm of spiders (Bestiary, page 258) that attacks all other creatures within its area. The swarm begins adjacent to you, but if no living creatures are within its area, it moves in one direction of your choosing at its normal speed.  You can move the swarm or change the swarm's direction by spending a standard action to concentrate on the swarm, otherwise it continues moving in its current direction. If your caster level is at least 7th, you can vomit forth a swarm of wasps instead (Bestiary 275). Finally, if your caster level is at least 13th, you can vomit forth a swarm of army ants (Bestiary 16).</t>
  </si>
  <si>
    <t>Vermin (2)</t>
  </si>
  <si>
    <t>Produces a spider swarm that fights for you.</t>
  </si>
  <si>
    <t>Vortex</t>
  </si>
  <si>
    <t>druid 7, sorcerer/wizard 7, shaman 7</t>
  </si>
  <si>
    <t>V, S, M/DF (a stirring spoon)</t>
  </si>
  <si>
    <t>whirlpool 50 ft. deep, 30 ft. wide at top, and 5 ft. wide at base</t>
  </si>
  <si>
    <t>Reflex negates, see text</t>
  </si>
  <si>
    <t>You create a powerful and immobile whirlpool in any body of liquid large enough to contain the spell's effect. Any Large or smaller creature that comes in contact with the spell effect must succeed on a Reflex save or take 3d6 points of bludgeoning damage. A Medium or smaller creature that fails its first save must succeed on a second one or be pulled into the whirlpool and held suspended in its powerful currents, taking 1d8 points of damage each round on your turn with no save allowed.  You may direct the whirlpool to eject any carried creatures whenever you wish. A boat that is equal in length or shorter than the vortex's width that passes through a vortex takes 6d6 points of damage and is caught up by the current. If the boat's captain makes a DC 25 Profession (sailor) check (or if the boat is longer than the vortex's width), the boat takes only half damage and is not caught up by the vortex.</t>
  </si>
  <si>
    <t>Creates a whirlpool in water.</t>
  </si>
  <si>
    <t>Elements (14)</t>
  </si>
  <si>
    <t>Wake of Light</t>
  </si>
  <si>
    <t>a 10-ft.-wide path in a straight line, up to 120 ft. long</t>
  </si>
  <si>
    <t>You and your mount lay down a trail of glowing, heavenly mist behind you as you move that makes passage easier for good creatures but more difficult for evil creatures. This glowing trail of mist appears behind your mount in a straight line starting where you cast the spell and ending where your mount ends its movement. The mist takes the form of a path 10 feet wide and up to 120 feet long and always floats just above the ground, up to a height of 1 foot. Thereafter, the mist persists for 1 round per level.  Good creatures may walk along the top of the mist as if it were solid, treating squares of difficult terrain containing the mist as normal terrain. Evil creatures find the mist thick and cloying, and treat squares of normal terrain containing the mist as difficult terrain instead. Neutral creatures pass through the mist with no effect. The mist has no effect on obstacles or otherwise impassable terrain, and does not block sight or provide concealment.  Except for very special circumstances (such as a celestial or fiendish mount), mounts use the alignment of their rider when determining how this spell affects them. You must be mounted to enjoy the benefits of this spell. If you dismount, get knocked off, or take any other action that separates you from your mount, the spell immediately ends, although the mist remains for the spell's normal duration.  A wake of light cannot follow across water, underwater, or through the air in the case of a mount capable of walking on water, swimming, or flight.</t>
  </si>
  <si>
    <t>Magical trail aids good creatures, hinders evil ones.</t>
  </si>
  <si>
    <t>Wall of Lava</t>
  </si>
  <si>
    <t>earth, fire</t>
  </si>
  <si>
    <t>V, S, M/DF (a chunk of dried lava)</t>
  </si>
  <si>
    <t>lava wall whose area is up to one 5-ft. square/level (S)</t>
  </si>
  <si>
    <t>This spell creates a vertical wall of lava that is 1 inch thick for every 4 caster levels and composed of up to one 5-foot square per level. A wall of lava's maximum height cannot exceed half of its width (with a minimum height of 5 feet). The wall cannot be conjured so that it occupies the same space as a creature or object. A section of a wall of lava can be destroyed by damage (hardness 4, hp 90), but if a section is destroyed, the remaining lava in the wall immediately fills in any such hole created, reducing the wall's overall size by one 5-foot square but remaining a contiguous barrier. Each time a weapon strikes a wall of lava, it takes 2d6 points of fire damage (or the creature who strikes the wall takes 2d6 fire damage if the attack was via an unarmed strike or natural attack).  A creature can move through a wall of lava as a full-round action by making a DC 25 Strength check-failure indicates that the creature is pushed back out of the wall to the point he just attempted to leave. A creature with a burrow speed can move through the wall using its burrow speed. An attempt to move through a wall of lava inflicts 20d6 fire damage. A wall of lava also radiates heat as if it were a wall of fire, although the heat from a wall of lava radiates from both sides.  Once per round as a move action, you can direct the wall of lava to erupt. This causes a plume of lava to fire at any target within 60 feet of either side of the wall, but reduces the wall's overall size by 1d4 5-foot square sections. You must make a ranged touch attack to hit the target, which takes 10d6 points of fire damage on a hit. Holes created in a wall of lava from this effect instantly reseal, reducing the overall size of the wall.  All damage inflicted by physical contact with a wall of lava continues for 1d3 rounds after exposure ceases, but this additional damage is only half that dealt during actual contact (that is, 1d6 or 5d6 or 10d6 points per round).</t>
  </si>
  <si>
    <t>Wall damages foes that try to enter, periodically launches lava at nearby targets.</t>
  </si>
  <si>
    <t>Wall of Suppression</t>
  </si>
  <si>
    <t>V, S, M (powdered adamantine worth 1,000 gp)</t>
  </si>
  <si>
    <t>anti-magic wall occupying up to two 5 ft. cubes/level (S)</t>
  </si>
  <si>
    <t>10 minutes/level; see text</t>
  </si>
  <si>
    <t>You create a wall of glittering motes that suppresses or even negates any magical effect passing through it. The wall appears to have no actual substance and does not physically obstruct or impede anything attempting to move through it. However, the wall exerts a powerful anti-magical effect.  Any magic item or magical spell or effect of your caster level or lower that passes through the wall is suppressed for 1 round per level. Spells or effects with durations expire normally, even while thus suppressed. A spell or with a duration greater than that of the suppression resumes functioning normally when the suppression ends.  The wall affects all magical effects, including spells, spelllike abilities, magical items, and any effects stemming from them that pass through the wall. The wall does not suppress a creature's ability to cast spells, use spell-like abilities, or any other sort of limited-use abilities even if the wall suppresses a particular application of those abilities. However, if a creature with magical abilities that are constant or otherwise always active passes through the wall, those abilities are suppressed for the normal duration.  The wall blocks line of effect, so no spell or effect can pass through the wall, but it does not block line of sight. Magic items or spell effects with a higher caster level than yours are unaffected by the wall of suppression. The wall does not affect artifacts, anything stemming from the direct action of a deity, or similarly powerful sorts of magic.</t>
  </si>
  <si>
    <t>Creates wall that disables magic.</t>
  </si>
  <si>
    <t>Wandering Star Motes</t>
  </si>
  <si>
    <t>light, mind-affecting</t>
  </si>
  <si>
    <t>bard 4, sorcerer/wizard 4, witch 4, shaman 4, occultist 4, psychic 4</t>
  </si>
  <si>
    <t>V, S, M (a sprinkle of flash powder)</t>
  </si>
  <si>
    <t>one living creature and special; see text</t>
  </si>
  <si>
    <t>1/round per level</t>
  </si>
  <si>
    <t>You create sparkling motes of bright light that shoot toward the target and swirl around it in a complex pattern. The pattern clearly outlines the target and radiates light as if it were a sunrod, negating any concealment for the target. The target must make a successful Will save. If the target fails its save, it is dazed for 1 round and must make another save on its next turn or be dazed again for 1 round. The target must continue making Will saves each round. If a target makes its Will save, the wandering star motes jump to the nearest enemy within 30 feet, who must now make Will saves every round or be dazed. Any time a target makes its Will save, the wandering star motes jump to the next nearest enemy within 30 feet.  A given creature can only be affected by the wandering star motes once; once a target has successfully saved against the spell, it cannot be affected again. If there are no new targets within 30 feet of a target that has successfully made its save, the spell immediately ends. The spell only affects enemy creatures; your allies are not affected.</t>
  </si>
  <si>
    <t>Outlines subject and produces light as a sunrod.</t>
  </si>
  <si>
    <t>Stars (8)</t>
  </si>
  <si>
    <t>Ward the Faithful</t>
  </si>
  <si>
    <t>All creatures within the area who worship the same god as you gain a +2 deflection bonus to AC and a +2 resistance bonus on all saves. At 12th level, these bonuses increase to +3. At 18th level, the bonuses increase to +4.  If you do not worship a specific deity, the bonuses apply to those who share your faith. If you do not have a specific faith or religion, the spell provides benefits only to yourself. Enemies gain the benefits of this spell if they worship the same god or share the same faith as you, even if you view them as heretical.</t>
  </si>
  <si>
    <t>Creatures of same faith gain bonuses to AC and on saving throws.</t>
  </si>
  <si>
    <t>Weapon of Awe</t>
  </si>
  <si>
    <t>cleric/oracle 2, inquisitor 2, paladin 2, occultist 2</t>
  </si>
  <si>
    <t>You transform a single weapon into an awe-inspiring instrument. The weapon gains a +2 sacred bonus on damage rolls, and if the weapon scores a critical hit, the target of that critical hit becomes shaken for 1 round with no saving throw.  This is a mind-affecting fear effect. A ranged weapon affected by this spell applies these effects to its ammunition.  You can't cast this spell on a natural weapon, but you can cast it on an unarmed strike.</t>
  </si>
  <si>
    <t>Weapon gets +2 on damage rolls.</t>
  </si>
  <si>
    <t>Winds of Vengeance</t>
  </si>
  <si>
    <t>cleric/oracle 9, druid 9, sorcerer/wizard 9, shaman 9</t>
  </si>
  <si>
    <t>You surround yourself with a buffeting shroud of supernatural, tornado-force winds. These winds grant you a fly speed of 60 feet with perfect maneuverability. Neither your armor nor your load affects this fly speed. The winds shield you from any other wind effects, and form a shell of breathable air around you, allowing you to fly and breathe underwater or in outer space. Ranged weapons (including giant-thrown boulders, siege weapon projectiles, and other massive ranged weapons) passing through the winds are deflected by the winds and automatically miss you. Gases and most gaseous breath weapons cannot pass though the winds. In addition, when a creature hits you with a melee attack, you can shape your winds so they lash out at that creature as an immediate action. The creature must make a Fortitude saving throw or take 5d8 points of bludgeoning damage and be knocked prone (if on the ground). On a failed save, Huge flying creatures are checked and Large-sized or smaller flying creatures are blown away instead of knocked prone (see page 439 of the Pathfinder RPG Core Rulebook for more information). On a successful save, the damage is halved and the creature is not knocked prone (or checked or blown away).</t>
  </si>
  <si>
    <t>Wind (9)</t>
  </si>
  <si>
    <t>Grants flight; attack with wind.</t>
  </si>
  <si>
    <t>Vengeance (18)</t>
  </si>
  <si>
    <t>World Wave</t>
  </si>
  <si>
    <t>earth, water</t>
  </si>
  <si>
    <t>1 round/level or 1 hour/level; see text (D)</t>
  </si>
  <si>
    <t>You cause any sort of natural terrain (including water, forest, desert, tundra, and so on) to surge beneath your feet and safely propel you with devastating force over great distances. This wave of terrain undulates as it passes over the world, harmlessly lifting or stretching objects, creatures, and phenomena with a connection to nature but tearing through and damaging anything else it encounters. When you cast the spell you must choose the wave's type, either a tsunami or a swell. If you choose a tsunami, you create a 30-foot-high tidal wave of earth or water hurtling across the landscape that lasts for 1 round per level. If you choose a swell, you create a more controlled and gentle 5-foot-high wave that lasts for 1 hour per level. Regardless of its form or composition, the crest of the wave extends 10 feet in front of and behind you, and 5 feet per level to both your left and right. You can stand or sit on the crest of this wave without any fear of falling off it and can even lie down and sleep (or take any other actions you could take if standing on solid ground) as it travels. You can grant up to one additional creature per level the ability to safely accompany you on this wave.  When you first create the wave, you must choose its path by facing the direction you wish it to travel. Once you make this decision, you cannot change it. The wave, in either version, moves at eight times your base land speed. Any object, creature, or phenomena strongly connected to, or a part of, the natural world simply rises up and down with the wave as it passes, taking no damage or injury. However, anything else coming into contact with the wave takes either 6d6 points of bludgeoning damage (if the tsunami) or 1d6 points of bludgeoning damage (if the swell).  The wave damages any manufactured object or structure. On the Material Plane, it also damages any creature of the aberration, construct, outsider, or undead type, or with the extraplanar subtype. Creatures with the construct or undead type take double damage from the wave. Other creatures, or creatures with even one druid class level (regardless of their type), are considered a part of the natural world and are unaffected by the wave. Note that on other planes of existence, what is considered to be a part of the natural world may vary at the GM's discretion.  The wave can travel up or down the sides of natural features so long as it does not exceed a 45-degree angle. You cannot alter the dimensions of the wave as it travels. If the wave encounters terrain that it cannot incorporate into itself, the wave simply flows over or around the obstacle (creatures riding the wave are harmlessly displaced to the side to avoid the obstacle) unless the terrain occupies one-half or more of the area of the wave's crest. In such cases the spell ends in 1d6 rounds as the wave falters and collapses, unless its duration would normally cause it to expire prior to that.  The momentum of the wave carries you forward through this new terrain without any injury until it collapses, at which point you suffer the normal effects of the terrain in which you are deposited. Terrain the wave cannot incorporate includes anything primarily made from fire (such as lava), air (such as an open cliff face), or something man-made (such as a city).  You can only create the wave if standing on the ground. You cannot create it when underground or on terrain that it cannot incorporate.</t>
  </si>
  <si>
    <t>Exploration (9)</t>
  </si>
  <si>
    <t>Earth moves you across distances.</t>
  </si>
  <si>
    <t>Aquatic (19)</t>
  </si>
  <si>
    <t>Wrath</t>
  </si>
  <si>
    <t>You focus your anger against an enemy. Choose one enemy creature that you can see. You gain a +1 morale bonus on attack rolls and weapon damage rolls against that designated creature for every three caster levels you have (at least +1, maximum +3). You also receive this bonus on caster level checks made to overcome the creature's spell resistance, if any. At 12th level, you gain the benefits of the Improved Critical feat on attack rolls made against the designated creature. This effect doesn't stack with any other effect that expands the threat range of a weapon.</t>
  </si>
  <si>
    <t>+1 attack and damage against target creature.</t>
  </si>
  <si>
    <t>Thorns (4)</t>
  </si>
  <si>
    <t>Wrathful Mantle</t>
  </si>
  <si>
    <t>force, light</t>
  </si>
  <si>
    <t>cleric/oracle 3, paladin 3</t>
  </si>
  <si>
    <t>touch or 5 ft.; see text</t>
  </si>
  <si>
    <t>creature touched or all creatures within 5 ft.; see text</t>
  </si>
  <si>
    <t>A shimmering mantle of light shrouds the subject, light like a torch. The subject of the spell gains a +1 resistance bonus on all saving throws per four caster levels (maximum +5 at 20th level). The subject can end the wrathful mantle at any time as a swift action to deal 2d8 points of force damage to all creatures within 5 feet.</t>
  </si>
  <si>
    <t>Hatred (2)</t>
  </si>
  <si>
    <t>Subject shines and gets +1/four levels on all saves.</t>
  </si>
  <si>
    <t>Hunter's Eye</t>
  </si>
  <si>
    <t>inquisitor 3, ranger 2</t>
  </si>
  <si>
    <t>Sharpening your perceptive abilities and tuning them against obfuscating effects, hunter's eye greatly enhances your senses against the target creature. You gain the ability to perceive the target when it is invisible or ethereal as though using the see invisibility spell, and receive a +20 competence bonus on Perception checks to locate the target. You ignore concealment provided by fog or mist, blur, displacement, invisibility, and similar effects affecting the target, but not concealment provided by darkness. This spell provides no benefits to your allies, and no benefits against creatures other than the target.</t>
  </si>
  <si>
    <t>+20 on Perception checks to locate a target.</t>
  </si>
  <si>
    <t>Hunter's Howl</t>
  </si>
  <si>
    <t>ranger 1</t>
  </si>
  <si>
    <t>With a single primal howl, you strike fear in your opponents.  Until the end of the spell's duration, you treat those affected by it as if they were your favored enemy, gaining a +2 bonus on weapon attack and damage rolls against them, and a +2 bonus on Bluff, Knowledge, Perception, Sense Motive, and Survival checks against them. If an affected creature is already one of your favored enemies, it is shaken instead. This is a mindaffecting fear effect.</t>
  </si>
  <si>
    <t>Treat enemies as favored for 1 round/level.</t>
  </si>
  <si>
    <t>Perceive Cues</t>
  </si>
  <si>
    <t>alchemist 2, inquisitor 2, ranger 2, witch 2, occultist 2, psychic 2, mesmerist 2</t>
  </si>
  <si>
    <t>V, S, M (a drop of water)</t>
  </si>
  <si>
    <t>Your senses become preternaturally keen, and you gain insight into subtle behavioral cues. For the duration of the spell, you receive a +5 competence bonus on Perception and Sense Motive checks.</t>
  </si>
  <si>
    <t>+5 Perception and Sense Motive 10 min./level.</t>
  </si>
  <si>
    <t>Residual Tracking</t>
  </si>
  <si>
    <t>ranger 1, occultist 2</t>
  </si>
  <si>
    <t>V, S, M (a bit of plaster)</t>
  </si>
  <si>
    <t>footprint touched</t>
  </si>
  <si>
    <t>By touching a footprint, you receive a clear mental image of the person or creature that made it. The image has the exact same appearance as the creature that made the footprint at the moment it made the imprint, including any telling features or expressions, any gear or equipment, or anything else the creature was carrying at the time. For example, the footprint of a horse would reveal both the horse and any creature riding it when it made the footprint.</t>
  </si>
  <si>
    <t>Tell creature's appearance by footprint.</t>
  </si>
  <si>
    <t>Blessing of Courage and Life</t>
  </si>
  <si>
    <t>cleric/oracle 2, paladin 2</t>
  </si>
  <si>
    <t>1 minute/level (see below)</t>
  </si>
  <si>
    <t>With this prayer you provide long-lasting succor to a wounded creature. For as long as the effect lasts, the target receives a +2 morale bonus on saving throws against fear and death effects.  At any time while the spell is in effect, the target can choose to end the spell as a swift action for a burst of healing energy. The target loses the saving throw bonus, but is healed of 1d8 points of damage +1 point per caster level (maximum +10).</t>
  </si>
  <si>
    <t>Grants a +2 bonus on saves vs. fear and death.</t>
  </si>
  <si>
    <t>Death (4)</t>
  </si>
  <si>
    <t>Constricting Coils</t>
  </si>
  <si>
    <t>cleric/oracle 5, sorcerer/wizard 5</t>
  </si>
  <si>
    <t>V, S, M/DF (a snakeskin)</t>
  </si>
  <si>
    <t>This spell functions like hold monster, except that the target is constricted as if by the coils of a large snake, taking 1d6+6 points of bludgeoning damage each round that it fails its save. A successful save ends both the paralyzing and constriction effects.</t>
  </si>
  <si>
    <t>AP 42</t>
  </si>
  <si>
    <t>Ancestral Memory</t>
  </si>
  <si>
    <t>alchemist 5, cleric/oracle 5, druid 4</t>
  </si>
  <si>
    <t>When you cast this spell, you open your mind to the vast experiences of your ancestors in the hope of learning something pertinent about your current situation. The chance of successfully finding an ancestral memory that is pertinent is equal to 70% + your caster level. Failure indicates you merely gain a +5 insight bonus on all Intelligence-based skill checks for the duration of the spell.  Success indicates that you not only gain the +5 insight bonus on all Intelligence-based skill checks, but that one of your ancestors came across a situation or problem similar to one you are currently facing. In this case, the GM provides you with some specific information to assist you in overcoming your problem.  For example, a character might encounter a clay golem deep underground, and finds that her magic weapon and spells seem to be useless against the creature. She successfully casts ancestral memory, and "remembers" the proper type of weapons and spells that work against such creatures.</t>
  </si>
  <si>
    <t>Inner Sea World Guide</t>
  </si>
  <si>
    <t>Gorum's Armor</t>
  </si>
  <si>
    <t>cleric/oracle 1, inquisitor 1, magus 1</t>
  </si>
  <si>
    <t>V, S, M (1 iron spike)</t>
  </si>
  <si>
    <t>1 suit of metal armor or 1 metal shield</t>
  </si>
  <si>
    <t>The targeted suit of armor or shield sprouts thousands of tiny iron spikes like porcupine quills. These do not harm the armor's wearer (though donning or removing armor under the effects of this spell takes twice as long), but they act as armor spikes or shield spikes (as appropriate). Any creature attacking the wearer with natural weapons takes 1 point of piercing damage for each attack that hits. At 5th level, the spikes gain a +1 enhancement bonus on attack and damage rolls; this bonus increases to +2 at 10th level. At 15th level, the spikes also gain the anarchic weapon quality.</t>
  </si>
  <si>
    <t>The damage to attackers increases to 1d4 points of piercingdamage and affects creatures that attack the wearer with amelee weapon, an unarmed strike, or a natural weapon. Meleeweapons with reach do not endanger a creature in this way.If you're wearing the armor and are taking bleed damage,the spikes lengthen and grow wicked barbs-this increases theirdamage against foes that strike you to 1d6 + 1/2 your caster level(maximum +5), and the spikes deal 1 point of bleed damage toany foe damaged by them. When your bleeding stops, the spikesimmediately return to their normal size and any bleed effectscaused by the armor end.</t>
  </si>
  <si>
    <t>Harrowing</t>
  </si>
  <si>
    <t>bard 3, sorcerer/wizard 3, witch 3</t>
  </si>
  <si>
    <t>V, S, F (a Harrow deck)</t>
  </si>
  <si>
    <t>1 day/level or until fulfilled</t>
  </si>
  <si>
    <t>You use a Harrow deck to tell a fortune for yourself or someone else. If you cast harrowing on another creature, you must remain adjacent to the target for the duration of the casting time. A harrowing must describe one set of events or course of action (for example, "hunting down the pirate king," or "traveling to Viperwall to search for a magic sword") that the target of the spell intends to undertake at some point during the spell's duration. If you have access to a Harrow deck, draw nine cards when this spell is cast. If you do not have a Harrow deck, you can simulate the draws by rolling a d6 and a d10 for each of the nine cards, as detailed on page 293 of this book. Record the ability score and alignment associated with each card. Each of these cards grants a luck bonus or a penalty on a specific type of d20 check; the magnitude of the penalty or bonus depends upon how closely that particular card's alignment matches the target creature's alignment. If the card and target's alignments are identical, that card provides a +2 luck bonus on the associated suit's check. If the card and target's alignments are of the opposite alignment (see below), the card inflicts a -1 penalty on that associated check. If the card has any other alignment, it provides a +1 luck bonus on the associated suit's check. While penalties persist on all associated checks for as long as the harrowing persists, the bonuses are one-use bonuses that the harrowed character can "spend" at any time to modify that card's associated check. You can spend a bonus to modify an appropriate roll after the die is rolled, but cannot spend the bonus once you know the result of the roll. Since all of the bonuses granted by a harrowing are luck bonuses, they do not stack with each other. Penalties, on the other hand, do stack. Once you spend all of the bonuses granted by a harrowing, or once the spell's duration ends, the spell ends and the penalties are removed. A single creature can only be under the effects of one harrowing at a time. If it is subjected to a second harrowing while a previous harrowing is still in effect, the new harrowing automatically fails. Associated Suit Checks Suit Associated Check Hammer (Str) Attack rolls (ranged and melee) Key (Dex) Reflex saving throws Shield (Con) Fortitude saving throws Book (Int) Skill checks Star (Wis) Will saving throws Crown (Cha) Any d20 roll Opposition Alignments Alignment Opposition LG CE NG NE CG LE LN CN N LG, LE, CG, or CE (pick one when spell is cast) CN LN LE CG NE NG CE LG</t>
  </si>
  <si>
    <t>Harrow (7)</t>
  </si>
  <si>
    <t>The bonuses and penalties associated with your reading aredoubled, resulting in a +4 luck bonus if the card's and target'salignment are identical, a -2 penalty if the alignments areopposite, and a +2 luck bonus for any other alignment. You canuse each bonus twice-once at this doubled value, the secondtime at the normal value (+2 or +1). You must use a given card'sdoubled bonus before you can use its lower bonus. Once youhave used both bonuses, or when the spell's duration ends, thespell ends and any penalties are removed.A mythic harrowing cast on the target of a non-mythicharrowing supersedes and negates the harrowing effect. Ifa creature is subjected to a second mythic harrowing while aprevious mythic harrowing is still in effect, the new mythicharrowing automatically fails.</t>
  </si>
  <si>
    <t>Augmented (6th): If you expend two uses of mythic powerduring the reading, you may discard one card of your choiceand draw one new card in its place, replacing the effects ofthe chosen card with the effects of the newly drawn card. Youmust keep this new card. You can use each bonus twice, bothat the doubled values. Once you have used both bonuses,or when the spell's duration ends, the spell ends and anypenalties are removed.</t>
  </si>
  <si>
    <t>Infernal Healing</t>
  </si>
  <si>
    <t>cleric/oracle 1, magus 1, sorcerer/wizard 1, summoner/unchained summoner 1, witch 1</t>
  </si>
  <si>
    <t>V, S, M (1 drop of devil blood or 1 dose of unholy water)</t>
  </si>
  <si>
    <t>You anoint a wounded creature with devil's blood or unholy water, giving it fast healing 1. This ability cannot repair damage caused by silver weapons, good-aligned weapons, or spells or effects with the good descriptor. The target detects as an evil creature for the duration of the spell and can sense the evil of the magic, though this has no long-term effect on the target's alignment.</t>
  </si>
  <si>
    <t>Infernal Healing, Greater</t>
  </si>
  <si>
    <t>cleric/oracle 4, magus 4, sorcerer/wizard 4, summoner/unchained summoner 4, witch 4</t>
  </si>
  <si>
    <t>As infernal healing, except the target gains fast healing 4 and the target detects as an evil cleric.</t>
  </si>
  <si>
    <t>Lover's Vengeance</t>
  </si>
  <si>
    <t>bard 3, cleric/oracle 3, sorcerer/wizard 3, witch 3</t>
  </si>
  <si>
    <t>V, M (a piece of jewelry worth at least 100 gp)</t>
  </si>
  <si>
    <t>up to 1 day/level (D) or until discharged</t>
  </si>
  <si>
    <t>Yes (harmless)</t>
  </si>
  <si>
    <t>You inspire yourself or a lover to a vengeful rage against a chosen enemy, who must be a creature that has wronged you in some way. If cast on you, the next time you are in combat with that enemy, you gain the benefits of a rage spell. If cast on a lover, he or she gains the benefits of a rage spell the next time the lover is in combat against your enemy. This variant of the spell must be cast within 1 hour of an intimate encounter with the target. The rage effect lasts 1 round per level. If the creature that triggers the rage effect is one of your lovers or ex-lovers, the benefits granted by the rage spell double. This spell counts as a contingency spell on the target for the purpose of multiple contingent effects. Worshipers of Calistria are fond of using this spell, and many keep the effect running whenever possible.</t>
  </si>
  <si>
    <t>Shield Of The Dawnflower</t>
  </si>
  <si>
    <t>fire, good, light</t>
  </si>
  <si>
    <t>bard 4, cleric/oracle 4, magus 4, paladin 4, ranger 4</t>
  </si>
  <si>
    <t>You create a disk of sunlight on one arm. Any creature that strikes you with a melee attack deals normal damage, but also takes 1d6 points of fire damage + 1 point per caster level (maximum +15). Creatures with reach weapons are not subject to this damage if they attack you. The shield provides illumination as if it were a continual flame spell. You can only have one instance of this spell in effect at a time. It does not stack with similar damaging aura spells such as fire shield.</t>
  </si>
  <si>
    <t>The disk of sunlight protects you as a buckler with a +1enhancement bonus per 4 caster levels (maximum +5).You can make a melee touch attack with your shield of theDawnflower in place of a normal attack to deal its fire damageto a creature. Creatures taking damage from your shield catch onfire (Reflex negates); the save DC to extinguish the fire is equalto the DC of the spell.</t>
  </si>
  <si>
    <t>Teleport Trap</t>
  </si>
  <si>
    <t>V, S, M (powdered lodestone and silver worth 100 gp per 40-ft. cube)</t>
  </si>
  <si>
    <t>one 40-ft. cube/level (S)</t>
  </si>
  <si>
    <t>Teleport trap wards an area, redirecting all teleportation into or out of the area to a specific point within the area determined by you at the time of casting. The destination must be an open space on a solid surface. The spell's area overlaps walls and other solid and liquid objects (preventing intruders from bypassing the ward by teleporting into a wall or through similar means). A teleporting creature that is affected by a teleport trap can resist the effect with a Will save-if the save is successful, the creature simply doesn't teleport at all (but the use of the teleport effect is still consumed)-either to the intended location or the teleport trap's actual destination. A DC 27 Knowledge (arcana) allows such a creature to recognize the teleport trap's presence, but does not reveal the trap's linked destination.  At your discretion, the teleport trap can exclude a category of creatures, such as an alignment, a type of creature, or creatures that carry a specific item or know a password (though this only works if the creature is teleporting out of the area, not into it). You select this option and the conditions at the time you cast the spell. Overly complicated conditions may cause the spell to fail entirely. Multiple castings of teleport trap can be linked to cover a larger area, allowing teleported creatures to be directed to a single point within the combined area of the spells.  Teleport trap can be made permanent at the cost of 7,000 gp. A single permanency spell can be used on all teleport traps that share a linked destination, but the gold piece cost must be paid for each individual spell.  The Pathfinders of the Grand Lodge make use of permanent teleport traps in several key locations, trapping would-be intruders in a small wing of jail cells. At least one crypt of the Whispering Tyrant makes use of the spell as well, trapping grave robbers in coffin-sized stone cysts, there to die a slow and agonizing death from thirst and starvation.</t>
  </si>
  <si>
    <t>Trap (7)</t>
  </si>
  <si>
    <t>Unbreakable Heart</t>
  </si>
  <si>
    <t>bard 1, cleric/oracle 1, paladin 1, ranger 1, witch 1</t>
  </si>
  <si>
    <t>1 creature</t>
  </si>
  <si>
    <t>The target creature gains a +4 morale bonus on saving throws against mind-affecting effects that rely on negative emotions (such as crushing despair, rage, or fear effects) or that would force him to harm an ally (such as confusion). If the target is already under such an effect when receiving this spell, that effect is suppressed for the duration of this spell. It does not affect mind-affecting effects based on positive emotions (such as good hope or the inspire courage bard ability). A creature can still be charmed or otherwise magically controlled while under this spell's effects, but if such a creature ever receives a new saving throw against that effect as a result of being ordered to attempt to harm or otherwise oppose a true ally, he can roll that saving throw twice and take the better result as his actual roll. Calm emotions counters and dispels unbreakable heart.</t>
  </si>
  <si>
    <t>Vision of Lamashtu</t>
  </si>
  <si>
    <t>cleric/oracle 7, inquisitor 6, witch 7</t>
  </si>
  <si>
    <t>10 minutes (see text)</t>
  </si>
  <si>
    <t>This spell functions exactly as the spell nightmare. In addition to the effects of that spell, you can cause a second spell to be delivered when the target wakes at the nightmare's conclusion.  You must have this second spell prepared, and it must be cast immediately after vision of Lamashtu (effectively adding the two spells' casting times). This second spell "rides along" with the nightmare, affecting the target as soon as it wakes from its fitful sleep. Any spell can be sent along with the nightmare, so long as it is of 6th level or lower, affects one target (which is always the nightmare's recipient), and does not deal hit point damage. The second spell's range is irrelevant for the purposes of vision of Lamashtu, and even touch attacks can be delivered in this manner (you must still make a successful touch attack in order to affect the target, though, with the act of touching occurring within the context of the victim's nightmare). The target is allowed to save against the second spell if a save is allowed. For example, a cleric of Lamashtu could send bestow curse along as part of a vision of Lamashtu, but not blade barrier (affects an area), destruction (too high level), or inflict moderate wounds (deals hit point damage).</t>
  </si>
  <si>
    <t>Trail of the Rose</t>
  </si>
  <si>
    <t>S, V</t>
  </si>
  <si>
    <t>1 rose touched</t>
  </si>
  <si>
    <t>This spell creates an illusory trail in the form of a misty and visible scent coming from the rose used as this spell's material component. When you cast this spell, the scent of the rose leaves a faint pink-tinged illusion that ripples and flows in the area. Only you and up to six creatures you designate upon casting the spell can see the illusion. To designate a creature, you must know it well. It is not enough simply to have met that creature once or heard of the creature.  When you move, this illusory scent leaves a trail, though there are no telltale signs of which direction you moved if creatures designated by this spell find a middle section of the trail. This is typically used to create backtracking method for the caster's handpicked allies, useful for navigating in and out of mazes or labyrinthine cave complexes without leaving behind an obvious trail.</t>
  </si>
  <si>
    <t>Faiths Of Purity</t>
  </si>
  <si>
    <t>Shelyn</t>
  </si>
  <si>
    <t>Acidic Spray</t>
  </si>
  <si>
    <t>magus 5, sorcerer/wizard 5</t>
  </si>
  <si>
    <t>V, S, M (a vial of acid worth 10 gp)</t>
  </si>
  <si>
    <t>Reflex partial (see text)</t>
  </si>
  <si>
    <t>A spray of acid erupts from your outstretched hand, dealing 1d6 points of acid damage per caster level (maximum 15d6) to each creature within its area (Reflex half ). This acid continues to burn for 1 round, dealing 1d6 points of acid damage per two caster levels (maximum 7d6) to any creature that failed its saving throw against the spell (a second Reflex save on the creature's turn negates this additional damage).</t>
  </si>
  <si>
    <t>1d6/level acid damage plus 1 round of acid.</t>
  </si>
  <si>
    <t>Acute Senses</t>
  </si>
  <si>
    <t>alchemist 2, bard 2, inquisitor 2, ranger 2, psychic 2</t>
  </si>
  <si>
    <t>V, S, M (a glass lens)</t>
  </si>
  <si>
    <t>The target gains a +10 enhancement bonus on Perception checks. The bonus increases to +20 at caster level 8th, and +30 (the maximum) at caster level 16th.</t>
  </si>
  <si>
    <t>Subject gains a bonus on Perception checks.</t>
  </si>
  <si>
    <t>Age Resistance, Lesser</t>
  </si>
  <si>
    <t>alchemist 3, druid 4, sorcerer/wizard 4, witch 4, occultist 3, psychic 4</t>
  </si>
  <si>
    <t>You ignore the physical detriments of being middle-aged. This spell does not cause you to look younger, nor does it prevent you from dying of old age, but as long as the spell is in effect, you ignore the -1 penalties to Strength, Dexterity, and Constitution that accrue once you become middle-aged. You retain the agerelated bonuses to Intelligence, Wisdom, and Charisma while under the effects of this spell. Additional penalties that you accrue upon becoming old or venerable apply in full.</t>
  </si>
  <si>
    <t>Ignore penalties from middle age.</t>
  </si>
  <si>
    <t>Age Resistance, Greater</t>
  </si>
  <si>
    <t>alchemist 5, druid 7, sorcerer/wizard 7, witch 7, occultist 5, psychic 7</t>
  </si>
  <si>
    <t>This spell functions as lesser age resistance, except you ignore all Strength, Dexterity, and Constitution penalties gained from middle age, old age, and venerable age.</t>
  </si>
  <si>
    <t>Ignore penalties from venerable age.</t>
  </si>
  <si>
    <t>Imperious (15)</t>
  </si>
  <si>
    <t>Age Resistance</t>
  </si>
  <si>
    <t>alchemist 4, druid 6, sorcerer/wizard 6, witch 6, occultist 4, psychic 6</t>
  </si>
  <si>
    <t>This spell functions as lesser age resistance, except you ignore the Strength, Dexterity, and Constitution penalties gained at middle age and old age.</t>
  </si>
  <si>
    <t>Ignore penalties from old age.</t>
  </si>
  <si>
    <t>Allegro</t>
  </si>
  <si>
    <t>1 round/level (D) or until discharged</t>
  </si>
  <si>
    <t>This spell allows you to act more swiftly while maintaining a bardic performance. You must already be maintaining a bardic performance before you can cast allegro. You gain the benefits of the spell haste for as long as you maintain that bardic performance. If you cease maintaining the bardic performance or it is interrupted, this spell's duration ends. As an immediate action while you are maintaining a bardic performance, you can dismiss allegro to reroll a Reflex save or Dexterity-based skill check-you must choose to reroll before the result of the original roll is known. You must take the result of the reroll, even if it's worse than the original roll. Allegro dispels and is dispelled by slow.</t>
  </si>
  <si>
    <t>Gain haste while maintaining bardic performance.</t>
  </si>
  <si>
    <t>Animate Dead, Lesser</t>
  </si>
  <si>
    <t>cleric/oracle 2, sorcerer/wizard 3, shaman 2, occultist 2, spiritualist 2</t>
  </si>
  <si>
    <t>This spell functions as animate dead, except you can only create a single Small or Medium skeleton or zombie. You cannot create variant skeletons or zombies with this spell.</t>
  </si>
  <si>
    <t>Create one skeleton or zombie.</t>
  </si>
  <si>
    <t>Anthropomorphic Animal</t>
  </si>
  <si>
    <t>druid 3, sorcerer/wizard 3, witch 3</t>
  </si>
  <si>
    <t>V, S, M (a humanoid thumb bone)</t>
  </si>
  <si>
    <t>animal touched</t>
  </si>
  <si>
    <t>You transform the touched animal into a bipedal hybrid of its original form with a humanoid form, similar to how a lycanthrope's hybrid form is a mix of a humanoid and animal form. The animal's size, type, and ability scores do not change. It loses its natural attacks except for bite (if it had one as an animal), all types of movement other than its land speed, and special attacks that rely on its natural attacks. One pair of its limbs is able to manipulate objects and weapons as well as human hands do; limbless animals like snakes temporarily grow a pair of arms. The creature's Intelligence increases to 3, and it gains the ability to speak one language you know. It is not considered proficient in any manufactured weapons. It can attack with unarmed strikes, dealing unarmed strike damage for a creature of its size (unless it has a bite attack, which is a natural attack).  Anthropomorphic animal can be made permanent with a permanency spell cast by a caster of 11th level or higher at a cost of 7,500 gp.</t>
  </si>
  <si>
    <t>Animal becomes bipedal.</t>
  </si>
  <si>
    <t>Anticipate Peril</t>
  </si>
  <si>
    <t>alchemist 1, bard 1, ranger 1, sorcerer/wizard 1, occultist 1, psychic 1, mesmerist 1, spiritualist 1, medium 1</t>
  </si>
  <si>
    <t>1 minute/level or until activated</t>
  </si>
  <si>
    <t>A creature affected by anticipate peril gains a preternatural sense of danger. The first time during this spell's duration that the target has to make an initiative check, the creature adds an insight bonus on that initiative check equal to the spell's caster level (maximum +5). Once this bonus applies, the effects of the spell end.</t>
  </si>
  <si>
    <t>Target gains a bonus on one initiative check.</t>
  </si>
  <si>
    <t>Add your tier to the spell's initiative bonus and the maximum initiative bonus the spell can grant.</t>
  </si>
  <si>
    <t>Arboreal Hammer</t>
  </si>
  <si>
    <t>one Huge or larger tree</t>
  </si>
  <si>
    <t>This spell animates a tree's branch and directs it against your foes. At caster level 10th or lower, you can target a Huge tree. At caster level 11th-15th, you can target a Gargantuan tree, and at caster level 16th or higher you can target a Colossal tree. The animated branch makes slam attacks with a Strength score equal to 10 + your caster level. The branch strikes once per round with an attack bonus equal to your caster level + the branch's Strength modifier, adjusted by the appropriate size modifier (-2 for Huge, -4 for Gargantuan, -8 for Colossal). A Huge tree's slam deals 2d6 points of damage, a Gargantuan tree's slam deals 3d6 points of damage, and a Colossal tree's slam deals 4d6 points of damage; the tree adds 1-1/2 times its Strength modifier to this damage. A Huge tree has reach 15 feet, a Gargantuan has reach 20 feet, and a Colossal has reach 30 feet. The tree attacks the creature you designate when you cast the spell, and is unable to move. You can direct the tree against a new target as a move action. The tree does not gain a bonus for flanking, nor can it help another combatant flank. It cannot attack a foe you cannot see.</t>
  </si>
  <si>
    <t>Tree branches attack opponents.</t>
  </si>
  <si>
    <t>You animate two branches instead of one, allowing the tree to attack twice per round. Add your tier to your caster level when determining the tree's Strength score. A creature struck by both slam attacks in the same round must succeed at a Fortitude save against the spell's DC or be staggered for 1 round.</t>
  </si>
  <si>
    <t>Augmented (7th): If you expend two uses of mythic power, the tree attempts three slam attacks per round and its slams bypass all damage reduction. A creature struck by all three slam attacks in the same round is stunned for 1 round and staggered for 1d4 rounds after the stun ends. A successful Fortitude save negates the stun and reduces the duration of being staggered by half.</t>
  </si>
  <si>
    <t>Arcana Theft</t>
  </si>
  <si>
    <t>magus 4, psychic 5</t>
  </si>
  <si>
    <t>This spell functions as a targeted dispel magic spell, except it only affects creatures and it requires a melee touch attack. If the melee touch attack is successful and the spell successfully dispels one spell affecting the target, that spell is instead transferred to you, treating you as the original target. You do not receive a new saving throw or spell resistance check against this spell and must accept its affects even if they are not beneficial. This does not alter the spell's duration; for example, if the spell only has 4 rounds of duration remaining when it is stolen, it only affects you for 4 rounds. If the spell or effect has a duration of permanent, its duration continues for 1 hour per caster level of the original caster, after which it ends. The stolen spell does not revert to the original target.</t>
  </si>
  <si>
    <t>Targeted dispel transfers an effect to you.</t>
  </si>
  <si>
    <t>Archon's Aura</t>
  </si>
  <si>
    <t>good, lawful</t>
  </si>
  <si>
    <t>20-ft. radius centered on you</t>
  </si>
  <si>
    <t>You gain a powerful aura, similar to an archon's aura of menace.  Any hostile creature within a 20-foot radius of you must make a Will save to resist the effects of this aura. If the creature fails, it takes a -2 penalty on attack rolls and saving throws and to Armor Class for the duration of this spell, or until it successfully hits you with an attack. A creature that has resisted or broken the cannot be affected again by this particular casting of archon's aura.</t>
  </si>
  <si>
    <t>Aura penalizes enemy attacks and AC.</t>
  </si>
  <si>
    <t>Arrow of Law</t>
  </si>
  <si>
    <t>V, S, DF (a holy symbol)</t>
  </si>
  <si>
    <t>arrow-shaped projectile of lawful energy</t>
  </si>
  <si>
    <t>Will partial (see text)</t>
  </si>
  <si>
    <t>You fire a shimmering arrow of pure order from your holy symbol at any one target in range as a ranged touch attack.  A chaotic creature struck by an arrow of law takes 1d8 points of damage per two caster levels (maximum 5d8). A chaotic outsider instead takes 1d6 points of damage per caster level (maximum 10d6) and is dazed for 1 round. A successful Will save reduces the damage to half and negates the daze effect.  This spell deals only half damage to creatures that are neither chaotic nor lawful, and they are not dazed. The arrow has no effect on lawful creatures.</t>
  </si>
  <si>
    <t>Harm and possibly daze chaotic creatures.</t>
  </si>
  <si>
    <t>Ash Storm</t>
  </si>
  <si>
    <t>V, S, M/DF (a pinch of ash)</t>
  </si>
  <si>
    <t>Driving ash blocks all sight (even darkvision) within the spell's area of effect, and falling cinders cause the ground in the area to become difficult terrain.</t>
  </si>
  <si>
    <t>Hamper vision and movement.</t>
  </si>
  <si>
    <t>Astral Projection, Lesser</t>
  </si>
  <si>
    <t>cleric/oracle 5, sorcerer/wizard 5, psychic 5</t>
  </si>
  <si>
    <t>This spell functions as astral projection, except you cannot leave the Astral Plane and explore other planes (though you can still return to the plane you were on when you cast this spell).</t>
  </si>
  <si>
    <t>Limited astral travel.</t>
  </si>
  <si>
    <t>Atavism</t>
  </si>
  <si>
    <t>By bringing forth the primeval ancestry of the target animal, you awaken a savage engine of destruction. The animal immediately gains the advanced creature simple template.  It gains a +2 bonus on all rolls, including damage rolls and special ability DCs, a +4 bonus to AC and CMD, and +2 hit points per HD. The animal's primal instincts take hold for the duration of this spell-if the animal knows tricks granted by the Handle Animal skill, it loses access to all of those tricks save for "attack." This spell has no effect on animals that already have the advanced creature template.</t>
  </si>
  <si>
    <t>Animal gains advanced creature simple template.</t>
  </si>
  <si>
    <t>Atavism, Mass</t>
  </si>
  <si>
    <t>one animal/level, no two of which can be more than 30 ft. apart</t>
  </si>
  <si>
    <t>This spell functions as atavism, except it affects multiple creatures.</t>
  </si>
  <si>
    <t>One animal/level gains advanced template.</t>
  </si>
  <si>
    <t>Aura of Doom</t>
  </si>
  <si>
    <t>cleric/oracle 4, psychic 4, spiritualist 4</t>
  </si>
  <si>
    <t>V, S, M/DF (powdered bone)</t>
  </si>
  <si>
    <t>20-ft.-radius emanation centered on you</t>
  </si>
  <si>
    <t>10 minute/level</t>
  </si>
  <si>
    <t>You emanate an almost palpable aura of horror. All non-allies within this spell's area, or that later enter the area, must make a Will save to avoid becoming shaken. A successful save suppresses the effect. Creatures that leave the area and come back must save again to avoid being affected by the effect.</t>
  </si>
  <si>
    <t>Creatures in your aura become shaken.</t>
  </si>
  <si>
    <t>Badger's Ferocity</t>
  </si>
  <si>
    <t>cleric/oracle 3, druid 3, ranger 2, sorcerer/wizard 2, occultist 2</t>
  </si>
  <si>
    <t>one weapon/3 levels</t>
  </si>
  <si>
    <t>This functions like keen edge, except it affects multiple weapons and requires your concentration. You select the weapons to be affected, and can only affect one weapon per creature. If a creature's weapon exceeds the spell's range, the spell ends for that weapon.</t>
  </si>
  <si>
    <t>Weapons are keen while you concentrate.</t>
  </si>
  <si>
    <t>Battlemind Link</t>
  </si>
  <si>
    <t>inquisitor 4, sorcerer/wizard 6, occultist 5, psychic 6, mesmerist 4, medium 4</t>
  </si>
  <si>
    <t>personal and close (25 ft. + 5 ft./2 levels)</t>
  </si>
  <si>
    <t>you and 1 ally</t>
  </si>
  <si>
    <t>You fuse your thoughts with an ally's, allowing the two of you to fight in tandem, perfectly coordinated. You and the ally each roll initiative in combat and use the higher die result before adding modifiers. This has three effects.   Melee: If you both make melee attacks against the same creature, you both make attack rolls and both use the higher of the two dice for your attack rolls (plus bonuses).   Ranged: If you both make ranged attacks against the same creature, you both make attack rolls and both use the higher of the two dice for your attack roll (plus bonuses).   Spell: If you both cast spells and target the same area or same creature, affected creatures take a -2 penalty on their saving throw against the spells.   You and the target lose these benefits if you cannot see each other or if you or the target is unconscious or helpless.</t>
  </si>
  <si>
    <t>Education (6)</t>
  </si>
  <si>
    <t>You and an ally gain attack and AC bonuses.</t>
  </si>
  <si>
    <t>Bestow Grace of the Champion</t>
  </si>
  <si>
    <t>good, law</t>
  </si>
  <si>
    <t>cleric/oracle 7, paladin 4</t>
  </si>
  <si>
    <t>lawful good creature touched</t>
  </si>
  <si>
    <t>1 round/level (see text)</t>
  </si>
  <si>
    <t>You channel the power of good and law into the target, temporarily giving it powers similar to those of a paladin.  The target gains the ability to use detect evil at will as a spell-like ability, immunity to disease (suppressing any diseases currently affecting it), and immunity to fear (ending any fear effects currently affecting it); can lay on hands (on itself only) once as a paladin of 1/2 your caster level; and can smite evil once as a paladin of 1/2 your caster level. It adds its Charisma bonus to all its saving throws. It can use spell completion, spell trigger, or other magic items that require the ability to cast spells as a paladin. Any abilities not used by the time the spell expires are lost. This spell has no if cast on a paladin.</t>
  </si>
  <si>
    <t>Target gains paladin abilities for 1 round/level.</t>
  </si>
  <si>
    <t>Devotion (14)</t>
  </si>
  <si>
    <t>Blade of Bright Victory</t>
  </si>
  <si>
    <t>your paladin bonded weapon</t>
  </si>
  <si>
    <t>You strengthen the bond between your divine bond weapon and its celestial spirit. The weapon gains the ghost touch property. You may change your weapon's damage type (bludgeoning, piercing, slashing) as a swift action. You gain a sacred bonus to your CMD against disarm and sunder attacks directed at your bonded weapon; this bonus is equal to half your caster level.</t>
  </si>
  <si>
    <t>Bonded weapon gains ghost touch.</t>
  </si>
  <si>
    <t>Blade of Dark Triumph</t>
  </si>
  <si>
    <t>antipaladin 3</t>
  </si>
  <si>
    <t>your fiendish boon weapon</t>
  </si>
  <si>
    <t>You strengthen the bond between your fiendish boon weapon and its unholy spirit. The weapon gains the ghost touch property.  You may change your weapon's damage type (bludgeoning, piercing, slashing) as a swift action. You gain a profane bonus to your CMD against disarm and sunder attacks directed at your boon weapon; this bonus is equal to half your caster level.</t>
  </si>
  <si>
    <t>Blessing of the Mole</t>
  </si>
  <si>
    <t>cleric/oracle 3, inquisitor 3, paladin 3, ranger 3</t>
  </si>
  <si>
    <t>1 creature/level</t>
  </si>
  <si>
    <t>none (harmless)</t>
  </si>
  <si>
    <t>The targets gain darkvision 30 feet and a +2 competence bonus on Stealth checks.</t>
  </si>
  <si>
    <t>1 ally/level gains darkvision and a +2 Stealth bonus.</t>
  </si>
  <si>
    <t>Blood Crow Strike</t>
  </si>
  <si>
    <t>Your unarmed strikes release blasts of energy in the form of bolts of fire or glowing red crows, which fly instantaneously to strike your target. You can make unarmed strike or flurry of blows attacks against the target as if it were in your threatened area; each successful attack deals damage as if you had hit it with your unarmed strike, except half the damage is fire and half is negative energy (this negative energy does not heal undead). For example, if you are a 14th-level monk, you can use a flurry of blows to attack five times, creating one energy crow for each successful attack against the target, and dealing 2d6 points of damage (plus appropriate unarmed strike modifiers) with each crow.</t>
  </si>
  <si>
    <t>Unarmed strikes create crows that deal fire and negative energy damage.</t>
  </si>
  <si>
    <t>Unarmed strikes attempted with this spell are treated as if you had the Improved Critical (unarmed strike) feat. Use your tier plus your monk level (if any) when determining your unarmed strike damage for this spell. Fire damage from this spell bypasses fire resistance.</t>
  </si>
  <si>
    <t>Blood Mist</t>
  </si>
  <si>
    <t>V, S, M (a pinch of dried red algae)</t>
  </si>
  <si>
    <t>medium (100ft. +10ft./level)</t>
  </si>
  <si>
    <t>60-ft. radius</t>
  </si>
  <si>
    <t>This spell summons forth a misty cloud of rust-red toxic algae. Any creature within the mist is coated by it, turning the creature the same reddish color. All targets within the mist gain concealment. Any creature within the mist must save or take 1d4 points of Wisdom damage and become enraged, attacking any creatures it detects nearby (as the "attack nearest creature" result of the confused condition). An enraged creature remains so as long as the spell is in effect. A creature only needs to save once each time it is within the mist (though leaving and returning requires another save).</t>
  </si>
  <si>
    <t>Mist causes Wisdom damage and rage.</t>
  </si>
  <si>
    <t>Blood Transcription</t>
  </si>
  <si>
    <t>alchemist 2, magus 2, wizard 2, witch 2</t>
  </si>
  <si>
    <t>one dead spellcaster</t>
  </si>
  <si>
    <t>By consuming 1 pint of blood from a spellcaster killed within the last 24 hours, you can attempt to learn a spell that spellcaster knew. Select one spell available to the dead  spellcaster (this must be a spell on your spell list); you gain the knowledge of this spell for 24 hours. During this time, you may write it down (or teach it to your familiar, if you are a witch) using the normal rules for copying a spell from another source. Once you have learned it, you may prepare the spell normally.</t>
  </si>
  <si>
    <t>Learn a spell from the target's blood.</t>
  </si>
  <si>
    <t>Boiling Blood</t>
  </si>
  <si>
    <t>bard 2, cleric/oracle 2, sorcerer/wizard 2, witch 2, bloodrager 2, psychic 2</t>
  </si>
  <si>
    <t>one creature per three levels, no two of which may be more than 30 ft. apart</t>
  </si>
  <si>
    <t>concentration + 1 round/level (D)</t>
  </si>
  <si>
    <t>The blood of the targeted creatures begins to boil. If a target fails its save, it takes 1 point of fire damage per round. This spell has no effect on creatures that don't have blood.  If a target has the orc subtype, it doesn't take fire damage and instead gains a +2 morale bonus to Strength.</t>
  </si>
  <si>
    <t>Targets take fire damage; orcs get +2 Strength.</t>
  </si>
  <si>
    <t>A target that fails its save takes 1d3 points of fire damage per round. If a target has the orc subtype, it also gains fire resistance 5. Augmented: If you expend two uses of mythic power, you can affect allies as though they had the orc subtype.</t>
  </si>
  <si>
    <t>Bungle</t>
  </si>
  <si>
    <t>sorcerer/wizard 1, witch 1, psychic 1, mesmerist 1</t>
  </si>
  <si>
    <t>concentration + 2 rounds or until triggered</t>
  </si>
  <si>
    <t>The target takes a -20 penalty on its next attack roll or check that requires a d20 roll. The action must be one deliberately taken by the target on its turn. Creatures with more than 10 HD are unaffected by this spell.</t>
  </si>
  <si>
    <t>Target takes a –20 penalty on its next attack roll or check.</t>
  </si>
  <si>
    <t>Burrow</t>
  </si>
  <si>
    <t>alchemist 3, druid 3, ranger 3, sorcerer/wizard 3, bloodrager 3</t>
  </si>
  <si>
    <t>The subject can burrow at a speed of 15 feet (or 10 feet if it wears medium or heavy armor, or if it carries a medium or heavy load) through sand, loose soil, or gravel, or at a speed of 5 feet through stone. Using burrow requires only as much concentration as walking, so the subject can attack or cast spells normally. The burrowing creature cannot charge or run. Loose material collapses behind the target 1 round after it leaves the area. This spell does not give the target the ability to breathe underground, so when passing through loose material, the creature must hold its breath and take only short trips, or else it may suffocate.</t>
  </si>
  <si>
    <t>Target gains a burrow speed of 15.</t>
  </si>
  <si>
    <t>The target can breathe underground while burrowing. If you're 3rd tier, the burrow speed increases to 20 feet through sand, soil, or gravel, and to 10 feet through stone. At 6th tier, these speeds increase to 30 feet and 15 feet respectively. At 9th tier, these speeds increase to 40 feet and 20 feet.</t>
  </si>
  <si>
    <t>Augmented (3rd): If you expend two uses of mythic power, the burrowing creature may leave behind an open tunnel with a diameter equal to half its space. When the spell's effect ends, this tunnel closes up immediately.</t>
  </si>
  <si>
    <t>Burst of Nettles</t>
  </si>
  <si>
    <t>10-ft.-radius burst</t>
  </si>
  <si>
    <t>You release a burst of barbed, acid-filled nettles. Creatures caught in the burst take 3d6 points of damage plus 1d6 points of acid damage on the next round. Those that save take half damage from the initial burst and no damage on the next round.</t>
  </si>
  <si>
    <t>Burst deals 3d6 damage and 1d6 acid.</t>
  </si>
  <si>
    <t>Cackling Skull</t>
  </si>
  <si>
    <t>one skull</t>
  </si>
  <si>
    <t>This spell functions as magic mouth, except rather than creating an illusory mouth on any surface, it affects a skull.  In addition, when the skull's magic is triggered, it releases wild and unnerving cackles before speaking its message.  All creatures that can hear the cackles must save or become shaken for 1d4 rounds.</t>
  </si>
  <si>
    <t>Skull acts as magic mouth, listeners are shaken.</t>
  </si>
  <si>
    <t>Call Construct</t>
  </si>
  <si>
    <t>cleric/oracle 8, sorcerer/wizard 8, occultist 6, psychic 8</t>
  </si>
  <si>
    <t>V, S, M (a sapphire worth 1,000 or 5,000 gp; see text)</t>
  </si>
  <si>
    <t>construct touched</t>
  </si>
  <si>
    <t>This spell functions as instant summons, except it can only summon a construct you control. For constructs such as golems that are immune to magic, the value of the specially inscribed sapphire must be at least 5,000 gp. For other constructs, a 1,000 gp sapphire suffices.  If the construct is no longer under your control or destroyed, the spell fails, but you know roughly where the construct or its remains are located.</t>
  </si>
  <si>
    <t>Summon your construct to you.</t>
  </si>
  <si>
    <t>Cape Of Wasps</t>
  </si>
  <si>
    <t>druid 4, witch 4</t>
  </si>
  <si>
    <t>You summon a wasp swarm (Bestiary 275), which fills your space (up to 5 feet by 5 feet) but does not attack you. The dense cloud of vermin gives you partial concealment against ranged attacks. Any creature that makes a successful melee attack against you takes 2d6 points of swarm damage and poison from the wasp swarm, but is not affected by the swarm's distraction ability. As a free action on your turn, you may have the swarm cling to you tightly, giving you a fly speed of 20 feet (poor maneuverability); when using the swarm to fly, it does not provide concealment or harm creatures that strike you. You can return the swarm to its protective shape as a free action on your turn.</t>
  </si>
  <si>
    <t>Wasp swarm defends or carries you.</t>
  </si>
  <si>
    <t>The wasp swarm fills a 15-foot-by-15-foot space centered on you (or on 1 of your squares, if your space is larger than 1 square). Creatures in the area of the swarm are affected by it normally (including the swarm's distraction ability). Add your tier to the swarm's distraction DC. When you use the swarm to fly, it fills only your space, your fly speed is 30 feet (average maneuverability), and the swarm still provides partial concealment against ranged attacks.</t>
  </si>
  <si>
    <t>Caustic Eruption</t>
  </si>
  <si>
    <t>instantaneous and 2 rounds; see text</t>
  </si>
  <si>
    <t>Reflex half (see text)</t>
  </si>
  <si>
    <t>Acid erupts from your space in all directions, causing 1d6 points of damage per caster level (maximum 20d6) to creatures and unattended objects in the area. On your turn in each of the next 2 rounds, creatures and objects that failed their saves against the initial burst take an additional 1d6 points of acid damage per 2 caster levels (maximum 10d6) unless the acid is neutralized, dispelled, or washed away.</t>
  </si>
  <si>
    <t>Burst deals 1d6 acid/level and lingers.</t>
  </si>
  <si>
    <t>Chord Of Shards</t>
  </si>
  <si>
    <t>During your bardic performance, you can strike a chord whose notes transform into a shower of razor sharp, crystalline shards. The shards deal 2d6 points of piercing damage to all creatures caught in the area of effect.</t>
  </si>
  <si>
    <t>Performance deals 2d6 piercing damage.</t>
  </si>
  <si>
    <t>The damage dealt increases to 2d8 points of piercing damage and bypasses all damage reduction. Any creature damaged by the shards takes 1d8 points of sonic damage.</t>
  </si>
  <si>
    <t>Circle Of Clarity</t>
  </si>
  <si>
    <t>cleric/oracle 7, sorcerer/wizard 7, shaman 8, psychic 7</t>
  </si>
  <si>
    <t>V, S, F (a crystal lens worth 100 gp)</t>
  </si>
  <si>
    <t>You create a magical emanation that interferes with all figments and glamers within it, giving creatures a +4 bonus on saving throws to recognize them as illusions. The emanation negates concealment less than total concealment within the area. Perception checks to notice creatures or objects within the area gain a bonus equal to half your caster level (maximum +10). The spell is stationary if cast on a point in space. It is mobile if centered on a creature or object, though creatures or attended objects can negate the spell with a saving throw or spell resistance.</t>
  </si>
  <si>
    <t>Education (8)</t>
  </si>
  <si>
    <t>Emanation hampers illusions and stealth.</t>
  </si>
  <si>
    <t>Stars (14)</t>
  </si>
  <si>
    <t>Cold Ice Strike</t>
  </si>
  <si>
    <t>cleric/oracle 6, sorcerer/wizard 6, occultist 6</t>
  </si>
  <si>
    <t>30-ft. line</t>
  </si>
  <si>
    <t>You create a shredding flurry of ice slivers, which blast from your hand in a line. The line deals 1d6 points of cold damage per caster level (maximum 15d6).</t>
  </si>
  <si>
    <t>Cone of ice slivers deals 1d6 cold/level.</t>
  </si>
  <si>
    <t>Compassionate Ally</t>
  </si>
  <si>
    <t>emotion, mind-affecting</t>
  </si>
  <si>
    <t>bard 2, cleric/oracle 2, sorcerer/wizard 2, psychic 2, mesmerist 2, medium 2</t>
  </si>
  <si>
    <t>At the sight of an injured ally, the target immediately disengages from its current course of action and rushes to provide aid. If the target possesses curative spells or magic items, it utilizes them to help the injured ally. If not, the target provides aid by performing a Heal check. The target remains with the injured ally to assure her safety and refuses to leave the ally's side until her wounds are fully treated or the spell ends, but can otherwise defend itself and make attacks.</t>
  </si>
  <si>
    <t>Target is compelled to help injured ally.</t>
  </si>
  <si>
    <t>Conjure Black Pudding</t>
  </si>
  <si>
    <t>sorcerer/wizard 6, summoner/unchained summoner 5, psychic 6</t>
  </si>
  <si>
    <t>V, S, M (a flask of acid worth 10 gp)</t>
  </si>
  <si>
    <t>close (25 ft. + 5 ft./2 level)</t>
  </si>
  <si>
    <t>one summoned black pudding</t>
  </si>
  <si>
    <t>You summon a black pudding (Bestiary 35) that immediately attacks creatures near it. You have no control over the creature, and it may attack you if there are no more obvious opponents. The black pudding is treated as a summoned creature and has the extraplanar subtype. The black pudding's split ability works normally, but all puddings derived from the summoned one disappear when the spell ends.</t>
  </si>
  <si>
    <t>Summon a black pudding.</t>
  </si>
  <si>
    <t>Contagion, Greater</t>
  </si>
  <si>
    <t>disease, evil</t>
  </si>
  <si>
    <t>cleric/oracle 5, druid 5, sorcerer/wizard 6, witch 5</t>
  </si>
  <si>
    <t>This spell functions as contagion, except the victim cannot overcome the disease without magic-making the required number of saves does not cure it. The DC to remove the disease with magic is equal to the save DC + 5.</t>
  </si>
  <si>
    <t>Infect a subject with a magical disease.</t>
  </si>
  <si>
    <t>Control Construct</t>
  </si>
  <si>
    <t>sorcerer/wizard 7, occultist 6</t>
  </si>
  <si>
    <t>one construct</t>
  </si>
  <si>
    <t>none (see text)</t>
  </si>
  <si>
    <t>You wrest the control of a construct from its master. For as long as you concentrate, you can control the construct as if you were its master. You must make a Spellcraft check each round to maintain control. The DC of the Spellcraft check is (10 + the construct's HD). If the construct's creator or master is present and trying to control the construct, you both must make opposed Spellcraft checks each round to control the construct.</t>
  </si>
  <si>
    <t>Take control of a construct.</t>
  </si>
  <si>
    <t>Control Summoned Creature</t>
  </si>
  <si>
    <t>bard 3, cleric/oracle 4, sorcerer/wizard 4, summoner/unchained summoner 3, occultist 3, psychic 4, mesmerist 3</t>
  </si>
  <si>
    <t>You seize control of a summoned creature by disrupting the bond between it and the caster who summoned it. If the creature fails its save, you may command it as if you had summoned it. The original caster can attempt to regain control of the creature as a standard action by making an opposed Spellcraft check against you. When your spell ends, control reverts to the original summoner. If the summoning spell ends before this spell ends, the remaining duration of this spell is lost.</t>
  </si>
  <si>
    <t>Direct a summoned monster as if you had summoned it.</t>
  </si>
  <si>
    <t>Boundaries (10)</t>
  </si>
  <si>
    <t>Corrosive Consumption</t>
  </si>
  <si>
    <t>With a touch, this spell causes a small, rapidly growing patch of corrosive acid to appear on the target. On the first round, the acid deals 1 point of acid damage per caster level (maximum 15). On the second round, the acid patch grows and deals 1d4 points of acid damage per caster level (maximum 15d4). On the third and final round, the acid patch covers the entire creature and deals 1d6 points of acid damage per caster level (maximum 15d6). The target can spend a full-round action to scrape off the acid, or can wash it off with at least 1 gallon of liquid to halve the damage for that round and negate the remaining rounds of the spell.</t>
  </si>
  <si>
    <t>Demodand (6)</t>
  </si>
  <si>
    <t>Acidic patch damages an opponent.</t>
  </si>
  <si>
    <t>Corrosive Touch</t>
  </si>
  <si>
    <t>magus 1, sorcerer/wizard 1, summoner/unchained summoner 1, bloodrager 1</t>
  </si>
  <si>
    <t>Your successful melee touch attack deals 1d4 points of acid damage per caster level (maximum 5d4).</t>
  </si>
  <si>
    <t>Touch attack deals 1d4 acid/level.</t>
  </si>
  <si>
    <t>Countless Eyes</t>
  </si>
  <si>
    <t>alchemist 3, inquisitor 3, sorcerer/wizard 3, witch 3, bloodrager 3, occultist 3, psychic 3</t>
  </si>
  <si>
    <t>The target sprouts extra eyes all over its body, including on the back of its head. It gains all-around vision (Bestiary 2 294) and cannot be flanked.</t>
  </si>
  <si>
    <t>Extra eyes give all-around vision.</t>
  </si>
  <si>
    <t>Create Demiplane</t>
  </si>
  <si>
    <t>cleric/oracle 8, sorcerer/wizard 8, summoner/unchained summoner 6, witch 8, occultist 6, psychic 8</t>
  </si>
  <si>
    <t>4 hours</t>
  </si>
  <si>
    <t>V, S, F (a forked metal rod worth at least 500 gp)</t>
  </si>
  <si>
    <t>extradimensional demiplane, up to 10 10-ft. cubes/level (S)</t>
  </si>
  <si>
    <t>1 day/level or instantaneous (see text)</t>
  </si>
  <si>
    <t>This spell functions as create lesser demiplane, except the area is larger and you can add more features to the plane. You can use this spell to expand a demiplane you created with create lesser demiplane (you do not need to create an entirely new plane using this spell), in which case it has a duration of 1 day/level. Alternatively, when cast within your demiplane, you may add (or remove) one of the following features to your demiplane with each casting of the spell, in which case it has an instantaneous duration.  Alignment: Your plane gains the (mildly) chaos-, good-, evil-, law-, or neutral-aligned alignment trait (see Alignment Traits, GameMastery Guide 187). You cannot give your demiplane an alignment trait for an alignment you do not have.  Bountiful: Your demiplane gains a thriving natural ecology, with streams, ponds, waterfalls, and plants. The demiplane provides enough plant-based food (nuts, grains, fruit, fungi, and so on) to support one Medium creature for every 10-foot cube of the demiplane. The demiplane does not have any animals unless you transport them there, but the ecology can sustain itself for as long as the demiplane exists without requiring watering, gardening, pollination, and so on, and dead organic material decays and returns to the soil in the normal manner. If your demiplane has ambient light, these plants are normal, familiar surface plants; if it is a realm of twilight or darkness, these plants are fungi and other plants adapted to near-darkness or underground locations.  Elemental: Your plane gains the air-, earth-, fire-, or water-elemental dominant trait (see Elemental and Energy Traits, GameMastery Guide 186).  Gravity: By default a demiplane's gravity is normal and oriented in one direction, like what most creatures are used to on the Material Plane. By selecting this feature, the plane's gravity is heavy, light, none, objectively directional, or subjectively directional (see Gravity, GameMastery Guide 184).  Seasonal: The demiplane has a seasonal cycle and a light cycle, usually similar to those of a land on the Material Plane, but customizable as you see fit (for example, your demiplane could always be winter, day and night could alternate every 4 hours, and so on).  Shape: By default, the demiplane has a fixed shape and borders. By selecting this feature, you may make your plane self-contained so it loops upon itself when a creature reaches one edge (see Shape and Size, GameMastery Guide 185). You may designate areas or locations on the edges of your plane where this occurs (such as a pair of secret doors or a path in the woods) or apply it to the entire plane.  Structure: Your demiplane has a specific, linked physical structure, such as a giant tree, floating castle, labyrinth, mountain, and so on. (This option exists so you can pick a theme for your plane without having to worry about the small details of determining what spells you need for every hill, hole, wall, floor, and corner).  You can make this spell permanent with the permanency spell, at a cost of 20,000 gp. If you have cast create demiplane multiple times to enlarge the demiplane, each casting's area requires its own permanency spell.</t>
  </si>
  <si>
    <t>Greed (8)</t>
  </si>
  <si>
    <t>As lesser create demiplane, but larger and with planar traits.</t>
  </si>
  <si>
    <t>Ectoplasm (17)</t>
  </si>
  <si>
    <t>Create Demiplane, Lesser</t>
  </si>
  <si>
    <t>cleric/oracle 7, sorcerer/wizard 7, summoner 5, witch 7, occultist 5, psychic 7, unchained summoner 6</t>
  </si>
  <si>
    <t>2 hours</t>
  </si>
  <si>
    <t>extradimensional demiplane, up to three 10-ft. cubes/level (S)</t>
  </si>
  <si>
    <t>You create a small, finite demiplane. You must be on the Astral or Ethereal Plane or on a plane that has access to one of those planes (such as the Material Plane) to cast this spell.  When you cast the spell, you decide whether the demiplane is within the Astral or the Ethereal Plane. It is filled with air or water (decided by you). The plane is generally flat and featureless, such as an earth, stone, water, or wood floor. The "walls" and "ceiling" of the plane may appear like solid earth, stone, wood, or water, or they may end in mist, a featureless void, or a similar unreal-looking border. The plane's environmental conditions are those of a temperate spring day on the Material Plane. You determine the plane's light level (bright, normal, dim, or darkness), which affects the entire plane.  There are no native creatures or plants on this plane, though you may bring some there (if the plane's light is bright or normal, it counts as sunlight for growing plants). The environment of the plane counts as normal terrain for the purpose of effects that target earth, stone, wood, and so on.  For example, you could use move earth to create a hill or wall of stone to create a barricade.  When you finish casting this spell, you may bring yourself and up to seven other creatures to the plane automatically by joining hands in a circle. The demiplane is another plane of existence, and therefore is outside the range of any spell or ability that cannot affect or reach other planes. Creatures can only enter the plane by the use of planar travel magic such as astral projection, etherealness, or plane shift. You are considered "very familiar" with your entire demiplane.  As a standard action, you may eject a creature from your demiplane. The creature may resist with a Will saving throw. An ejected creature goes to the closest plane to your demiplane (usually the Astral Plane or the Ethereal Plane, but if you cast this spell on the Material Plane, the creature is sent to the Material Plane). When the spell ends, the plane dissolves, and all creatures in the plane are ejected in this manner with no saving throw. The plane cannot be dispelled, but a creature on the plane can destroy it by using limited wish, mage's disjunction, miracle, or wish and making a successful dispel check.  If you are within the demiplane, you can add to its area by casting the spell again. Alternatively, you may cast this spell again to reset the duration of an existing area to that of your latest casting. If the duration on one area of the demiplane ends and other parts remain, creatures in the expiring area are shunted to remaining areas. If a collapsing portion of the demiplane would leave one section cut off from other sections of the demiplane (for example, if there were three areas connected in a straight line and the center part expired), the stranded sections count as separate demiplanes under your control. You may reconnect these stranded sections by the spell again to create a linked area between the two.  You can make this spell permanent with the permanency spell, at a cost of 17,500 gp. If you have cast create lesser demiplane multiple times to enlarge the demiplane, each casting's area requires its own permanency spell.</t>
  </si>
  <si>
    <t>Create your own demiplane.</t>
  </si>
  <si>
    <t>Create Demiplane, Greater</t>
  </si>
  <si>
    <t>6 hours</t>
  </si>
  <si>
    <t>extradimensional demiplane, up to 20 10-ft. cubes/level (S)</t>
  </si>
  <si>
    <t>This spell functions as create demiplane, except the area is larger and you can add more features to the plane. You can use this spell to expand a demiplane you created with lesser create demiplane or create demiplane (you do not need to create an entirely new plane using this spell), in which case it has aduration of 1 day/level. Alternatively, when cast within your demiplane, you may add to your demiplane (or remove from it) one of the following features (or any of the features described in create demiplane) with each casting of the spell, in which case it has an instantaneous duration.  Energy: Your plane gains the (minor) negative- or positivedominant energy trait (see Elemental and Energy Traits, GameMastery Guide 186). A plane cannot have both the negative-dominant and positive-dominant energy traits.  Magic: Your plane gains the dead magic, enhanced magic, impeded magic, or wild magic planar trait (see Magic Traits, GameMastery Guide 187). If you selected dead magic, you are trapped within your plane unless it has a permanent planar portal (such as the portal feature, below). If you selected enhanced or impeded magic, choose one type of magic to be enhanced or impeded, such as "effects with the fire descriptor or that manipulate fire" or "death spells and spells from the Death or Repose domains." A plane cannot be enhanced and impeded for the same kinds of spells.  Morphic: You may use move earth at will in your demiplane at one-tenth of the spell's normal casting time, and can reshape normal plants in the same manner (such as by twisting trees into a fence or humanlike shapes). You are even able to affect rock formations with this ability, though the casting time for this is only half normal.  Portal: Your demiplane gains a permanent gate to one location on another plane, which can only be used for planar travel. This location must be very familiar to you.  This gate is always open and usable from both sides, but you can secure it using normal means (such as by building a door around it).  Time: By default, time passes at the normal rate in your demiplane. By selecting this feature, you may make your plane have the erratic time, flowing time (half or double normal time), or timeless trait (see Time, GameMastery Guide 185).  You can make this spell permanent with the permanency spell, at a cost of 22,500 gp. If you have cast create greater demiplane multiple times to enlarge the demiplane, each casting's area requires its own permanency spell.</t>
  </si>
  <si>
    <t>Solitude (9)</t>
  </si>
  <si>
    <t>As create demiplane, but larger and with more planar traits.</t>
  </si>
  <si>
    <t>Curse, Major</t>
  </si>
  <si>
    <t>cleric/oracle 5, sorcerer/wizard 6, witch 5, shaman 5, occultist 5, psychic 6, mesmerist 4, spiritualist 5</t>
  </si>
  <si>
    <t>This spell functions as bestow curse, except the DC to remove the curse is equal to the save DC + 5.</t>
  </si>
  <si>
    <t>As bestow curse, but harder to remove.</t>
  </si>
  <si>
    <t>Curse Of Disgust</t>
  </si>
  <si>
    <t>curse, emotion, mind-affecting</t>
  </si>
  <si>
    <t>bard 3, sorcerer/wizard 5, witch 5, occultist 4, psychic 6, mesmerist 3</t>
  </si>
  <si>
    <t>You place a curse upon a creature, causing it to avoid the sight of a specific trigger, which is a kind of creature, object, or condition designated by you. When the target is within 30 feet of a trigger and is aware of the trigger, it gains the sickened condition and feels an urge to leave. A successful Will save negates the urge to leave, but the sickened condition persists as long as the target is within 30 feet of a trigger and aware of it. Example triggers include beggars, filthy clothing, diseased creatures, the king, blood, spiders, rats, corpses, and sewage.</t>
  </si>
  <si>
    <t>Target is sickened when viewing a trigger.</t>
  </si>
  <si>
    <t>Curse of Magic Negation</t>
  </si>
  <si>
    <t>cleric/oracle 5, inquisitor 4, sorcerer/wizard 4, witch 4, occultist 4, psychic 4, mesmerist 3</t>
  </si>
  <si>
    <t>V, S, M (powdered lead and platinum worth 250 gp)</t>
  </si>
  <si>
    <t>You disrupt the target creature's ability to draw upon magical energies. For the duration of the spell, it gains the negated spellblight (see page 97). Dispel checks to remove the spellblight take a -5 penalty due to this spell's interference with magical energies.</t>
  </si>
  <si>
    <t>Target gains the negated spellblight.</t>
  </si>
  <si>
    <t>Cursed Earth</t>
  </si>
  <si>
    <t>curse, evil; see text</t>
  </si>
  <si>
    <t>cleric/oracle 9, sorcerer/wizard 9, witch 9</t>
  </si>
  <si>
    <t>V, S, M (powdered onyx 10,000 gp), DF</t>
  </si>
  <si>
    <t>1-mile radius emanating from the touched point</t>
  </si>
  <si>
    <t>You lay a terrible curse upon the land, blighting those who live and die there. Choose one of the following effects.  Famine: All normal plants in the area reduce their growth and food production by half, as if affected by the stunt growth effect of diminish plants.  Living Death: Any creatures of Small size or larger killed in the area rise as uncontrolled zombies 24 hours after their death, as do corpses buried in the area. Burning or dismembering the corpses prevents them from rising as zombies.  Plague: Every day at sundown, all creatures in the area must make a Fortitude save or catch one of the following diseases (your choice, decided at the time of casting): blinding sickness, bubonic plague, cackle fever, filth fever, leprosy, mindfire, red ache, shakes, or slimy doom. The disease is contracted immediately (the onset period does not apply). Use the disease's listed frequency and save DC to determine further effects. This is a disease effect.</t>
  </si>
  <si>
    <t>Plants die, living creatures catch diseases, or dead creatures rise as zombies.</t>
  </si>
  <si>
    <t>Cushioning Bands</t>
  </si>
  <si>
    <t>sorcerer/wizard 2, summoner/unchained summoner 2, psychic 2</t>
  </si>
  <si>
    <t>V, S,</t>
  </si>
  <si>
    <t>1 hour/level or until discharged (D)</t>
  </si>
  <si>
    <t>Invisible bands of force encircle vital areas of the target. The bands resist crushing forces and impacts without interfering with movement. The target gains DR 2/piercing or slashing and takes half damage from constriction, falling, and being buried, as well as from similar crushing effects such as crushing hand. Grapple checks for attacks other than constricting (such as pinning or swallowing whole) are not affected. Once the spell has blocked 12 points of damage per caster level (to a maximum of 120 points at 10th level), it is discharged. The bands have no effect on incorporeal attacks unless they deal damage from constriction or crushing, or unless the attacks would be subject to damage reduction.</t>
  </si>
  <si>
    <t>Force bands protect against crushing.</t>
  </si>
  <si>
    <t>Dance of a Hundred Cuts</t>
  </si>
  <si>
    <t>You become a lethal combat dancer, swirling and spinning with grace and precision. You gain a morale bonus on melee attack rolls, melee damage rolls, and Acrobatics checks, and to Armor Class. This bonus is equal to +1 per 3 caster levels (maximum +5 at 15th level). The bonus to AC is lost under any circumstances that would cause you to lose your Dexterity bonus to AC. You must remain moving for the spell to stay in effect. If in any round you do not either move at least 10 feet or make a melee attack, the spell's duration ends.</t>
  </si>
  <si>
    <t>Duels (5)</t>
  </si>
  <si>
    <t>Gain +1 combat bonus/3 levels.</t>
  </si>
  <si>
    <t>Dance of a Thousand Cuts</t>
  </si>
  <si>
    <t>This spell functions as dance of a hundred cuts, except you also gain the benefits of haste.</t>
  </si>
  <si>
    <t>Duels (8)</t>
  </si>
  <si>
    <t>As dance of a hundred cuts, plus the benefits of haste.</t>
  </si>
  <si>
    <t>Darkvision, Greater</t>
  </si>
  <si>
    <t>alchemist 4, antipaladin 4, ranger 4, sorcerer/wizard 4, occultist 4, psychic 4, medium 4</t>
  </si>
  <si>
    <t>This spell functions as darkvision, except the target's darkvision has a range of 120 feet.</t>
  </si>
  <si>
    <t>See 120 ft. in total darkness.</t>
  </si>
  <si>
    <t>Daze, Mass</t>
  </si>
  <si>
    <t>bard 4, inquisitor 4, sorcerer/wizard 4, summoner/unchained summoner 4, witch 4, occultist 4, psychic 3, mesmerist 4, medium 3</t>
  </si>
  <si>
    <t>one or more humanoid creatures, no two of which  may be more than 30 ft. apart</t>
  </si>
  <si>
    <t>This spell functions as daze, except as noted above.</t>
  </si>
  <si>
    <t>As daze, but affecting multiple creatures.</t>
  </si>
  <si>
    <t>Decompose Corpse</t>
  </si>
  <si>
    <t>cleric/oracle 1, druid 1, sorcerer/wizard 1, witch 1, occultist 1, psychic 1, spiritualist 1, medium 1</t>
  </si>
  <si>
    <t>V, S, M (a pinch of dried toadstool)</t>
  </si>
  <si>
    <t>one corpse or corporeal undead</t>
  </si>
  <si>
    <t>instantaneous or 1 minute; see text</t>
  </si>
  <si>
    <t>Using this spell, the caster rapidly decomposes the flesh from a single corpse of size Huge or smaller, leaving behind a perfectly cleaned skeleton. If it is cast on a non-skeletal corporeal undead, the creature takes a -2 penalty on all rolls and to its Armor Class and CMD for 1 minute.</t>
  </si>
  <si>
    <t>Turn a corpse into a clean skeleton.</t>
  </si>
  <si>
    <t>Defensive Shock</t>
  </si>
  <si>
    <t>alchemist 2, magus 2, sorcerer/wizard 2, bloodrager 2, occultist 2</t>
  </si>
  <si>
    <t>V, S, M (a hollow metal sphere)</t>
  </si>
  <si>
    <t>1 minute/level or until discharged</t>
  </si>
  <si>
    <t>Electrical energy floods your body, shocking the next creature that touches you. Any creature striking you with its body or a handheld weapon takes 1d6 points of electricity damage per two caster levels (maximum 6d6). If the attacker has spell resistance, it applies against this damage. Each time the spell discharges, the number of damage dice it deals is halved (rounded down); when the spell's damage dice reach 0, the spell ends.</t>
  </si>
  <si>
    <t>Electricity damages your attackers.</t>
  </si>
  <si>
    <t>Nanite (5)</t>
  </si>
  <si>
    <t>Delay Pain</t>
  </si>
  <si>
    <t>bard 2, cleric/oracle 2, inquisitor 2, sorcerer/wizard 2, witch 2, bloodrager 2, psychic 2, mesmerist 2</t>
  </si>
  <si>
    <t>You override the target's ability to feel pain. Pain effects (such as pain strike** and symbol of pain) do not affect the target until this spell's duration has expired. This does not negate any physical damage, ability damage, or ability drain that a pain effect has already done, but it does negate ongoing penalties from pain while the spell lasts.</t>
  </si>
  <si>
    <t>Kyton (1)</t>
  </si>
  <si>
    <t>Ignore pain for 1 hour/level.</t>
  </si>
  <si>
    <t>Delusional Pride</t>
  </si>
  <si>
    <t>bard 1, sorcerer/wizard 1, witch 1, psychic 1, mesmerist 1, medium 1</t>
  </si>
  <si>
    <t>The target becomes so distracted by an overblown sense of its worth that it takes a -2 penalty on attacks and skill checks.  However, this feeling also gives the target a +2 morale bonus on saves against charm and compulsion effects.</t>
  </si>
  <si>
    <t>Target is penalized on attacks and checks but gains bonus against charms and compulsions.</t>
  </si>
  <si>
    <t>Diagnose Disease</t>
  </si>
  <si>
    <t>cleric/oracle 1, druid 1, paladin 1, ranger 1, witch 1, occultist 1, psychic 1, mesmerist 1</t>
  </si>
  <si>
    <t>You determine whether a creature, object, or area carries any sort of disease or infestation (including molds, slimes, and similar hazards), or any exceptional or supernatural effects causing the sickened or nauseated effects. If there is disease present, you know what disease it is and its effects. If the target is a creature, you gain a +4 bonus on Heal checks to treat the creature's disease. The spell can penetrate many barriers, but 1 foot of stone, 1 inch of common metal, a thin sheet of lead, or 3 feet of wood or dirt blocks it.</t>
  </si>
  <si>
    <t>Detect and identify diseases.</t>
  </si>
  <si>
    <t>Disfiguring Touch</t>
  </si>
  <si>
    <t>cleric/oracle 2, sorcerer/wizard 2, witch 2, bloodrager 2, occultist 2, psychic 2, mesmerist 2, spiritualist 2</t>
  </si>
  <si>
    <t>With a touch, you cause the victim of this spell to suffer a painful curse that causes it to grow hideously disfigured. The physical appearance of the deformity is subject to the caster's whim (most demon worshipers choose deformities that reflect their Abyssal patron's shape or form). The target takes one of the following penalties.  • -2 decrease to an ability score (minimum 1).  • -2 penalty on attack rolls or saving throws.  • Land speed reduced by 5 feet.  You may also invent other effects, but they should be no more powerful than those described above.</t>
  </si>
  <si>
    <t>Target becomes disfigured.</t>
  </si>
  <si>
    <t>The target takes two different penalties (chosen from the same list) instead of one.</t>
  </si>
  <si>
    <t>Augmented: If you expend two uses of mythic power, the target also gains the fatigued condition because of its painful disfigurement. If this fatigue is negated without removing the curse, it returns after 1 hour.</t>
  </si>
  <si>
    <t>Disguise Other</t>
  </si>
  <si>
    <t>bard 2, inquisitor 2, sorcerer/wizard 2, occultist 2, psychic 2, medium 2</t>
  </si>
  <si>
    <t>10 minute/level (D)</t>
  </si>
  <si>
    <t>This spell functions as disguise self, except you can disguise either yourself or another creature.</t>
  </si>
  <si>
    <t>As disguise self, but affects you or another.</t>
  </si>
  <si>
    <t>Distracting Cacophony</t>
  </si>
  <si>
    <t>bard 2, sorcerer/wizard 3, psychic 3</t>
  </si>
  <si>
    <t>The air fills with loud and discordant noise, making concentration difficult. Casting a spell in this area of cacophony requires a concentration check (DC 15 + the level of the spell being cast). Any other concentration checks in the area have their DCs increased by 5. The DC of Perception checks involving hearing is likewise increased by 5.</t>
  </si>
  <si>
    <t>Noise makes it difficult to cast.</t>
  </si>
  <si>
    <t>Distressing Tone</t>
  </si>
  <si>
    <t>bard 2, inquisitor 2</t>
  </si>
  <si>
    <t>1d4 living creatures</t>
  </si>
  <si>
    <t>You create a powerful tone that vibrates living flesh. Targets must save or gain the sickened condition. Creatures that are immune to critical hits are immune to this spell.</t>
  </si>
  <si>
    <t>Sound sickens 1d4 creatures.</t>
  </si>
  <si>
    <t>Divine Pursuit</t>
  </si>
  <si>
    <t>inquisitor 5</t>
  </si>
  <si>
    <t>1 minute/level; see text</t>
  </si>
  <si>
    <t>Select one creature within 60 feet that you have damaged. If that creature has a burrow, climb, fly, or swim speed, you gain that form of movement for the duration of the spell at the same speed and maneuverability as the selected creature. If this gives you the burrow or swim speed, you can breathe while burrowing or swimming. If the creature moves 1,000 feet or more from you, the spell ends. If the creature has more than one of these types of movement, you select one from the types available to the creature.</t>
  </si>
  <si>
    <t>Gain a movement type of your prey.</t>
  </si>
  <si>
    <t>The speed of the movement form provided by the spell increases by 30 feet. This adjustment is treated as an enhancement bonus. You gain a bonus on Perception and Survival skill checks attempted against the selected creature. This is a sacred bonus if you're good or a profane bonus if you're evil; if you're neutral, choose either the sacred or profane bonus.</t>
  </si>
  <si>
    <t>Dread Bolt</t>
  </si>
  <si>
    <t>cleric/oracle 2</t>
  </si>
  <si>
    <t>arrow-shaped projectile of evil energy</t>
  </si>
  <si>
    <t>instantaneous (1d4 rounds)</t>
  </si>
  <si>
    <t>You unleash a crackling missile of darkness from your unholy symbol at any one target in range as a ranged touch attack.  A good creature struck by dread bolt takes 1d8 points of damage per two caster levels (maximum 5d8). A good outsider instead takes 1d6 points of damage per caster level (maximum 10d6) and is sickened for 1 round. A successful Will save reduces the damage to half and negates the sickened effect. This spell deals only half damage to creatures that are neither good nor evil, and they are not sickened. The bolt has no effect on evil creatures.</t>
  </si>
  <si>
    <t>Harm and possibly sicken good creatures.</t>
  </si>
  <si>
    <t>Eagle Aerie</t>
  </si>
  <si>
    <t>druid 6, summoner/unchained summoner 6</t>
  </si>
  <si>
    <t>summoned eagles</t>
  </si>
  <si>
    <t>You summon a flight of giant eagles (one per three caster levels, maximum of six; Bestiary 118) to ferry you and your allies across the skies. The eagles avoid combat if possible but defend themselves if attacked; if the eagles attack, the remaining duration of the spell changes from 1 hour per level to 1 round per level (so if the spell had 5 full hours left, the eagles remain in combat for 5 rounds before the spell ends).</t>
  </si>
  <si>
    <t>Summon 1 giant eagle/3 levels.</t>
  </si>
  <si>
    <t>Ear-Piercing Scream</t>
  </si>
  <si>
    <t>bard 1, inquisitor 1, sorcerer/wizard 1, witch 1, bloodrager 1, psychic 1, medium 1</t>
  </si>
  <si>
    <t>Fortitude partial (see text)</t>
  </si>
  <si>
    <t>You unleash a powerful scream, inaudible to all but a single target. The target is dazed for 1 round and takes 1d6 points of sonic damage per two caster levels (maximum 5d6). A successful save negates the daze effect and halves the damage.</t>
  </si>
  <si>
    <t>Deal sonic damage and daze target.</t>
  </si>
  <si>
    <t>The damage dealt increases to 1d8 points of sonic damage per 2 caster levels (maximum 5d8) and the duration that creatures in the area are dazed is a number of rounds equal to your tier.</t>
  </si>
  <si>
    <t>Augmented (3rd): If you expend two uses of mythic power, the spell affects a 30-foot cone rather than a single target.</t>
  </si>
  <si>
    <t>Echolocation</t>
  </si>
  <si>
    <t>alchemist 4, bard 4, druid 4, sorcerer/wizard 5, occultist 4, psychic 5</t>
  </si>
  <si>
    <t>You can perceive the world by creating high-pitched noises and listening to their echoes. This gives you blindsight to a range of 40 feet. The echo-producing noises are too highpitched to be heard by most creatures, and can only be detected by dragons, other creatures with this ability (such as bats), and creatures with hearing-based blindsense or blindsight. You cannot use this ability if you are deaf, and cannot detect anything in an area of silence.</t>
  </si>
  <si>
    <t>Sonic sense gives you blindsight 40 ft.</t>
  </si>
  <si>
    <t>Nanite (11)</t>
  </si>
  <si>
    <t>Eldritch Fever</t>
  </si>
  <si>
    <t>curse, disease, evil</t>
  </si>
  <si>
    <t>inquisitor 3, sorcerer/wizard 3, witch 3, psychic 3</t>
  </si>
  <si>
    <t>1 standard</t>
  </si>
  <si>
    <t>The target gains the eldritch ague spellblight (see page 96).</t>
  </si>
  <si>
    <t>Target gains the eldritch ague spellblight.</t>
  </si>
  <si>
    <t>Envious Urge</t>
  </si>
  <si>
    <t>bard 4, sorcerer/wizard 6, psychic 6, mesmerist 4</t>
  </si>
  <si>
    <t>You fill creatures with feelings of seething envy. Affected targets turn upon the nearest creature (whether an ally or enemy) and attempt to disarm it of a valuable weapon, steal something it is holding, or grapple it and strip it of something it prizes (your choice). Affected targets can attempt a new Will save each round as a free action to end this effect.</t>
  </si>
  <si>
    <t>Targets steal from or disarm others.</t>
  </si>
  <si>
    <t>Insanity (12)</t>
  </si>
  <si>
    <t>Epidemic</t>
  </si>
  <si>
    <t>cleric/oracle 6, druid 6, sorcerer/wizard 7, witch 6</t>
  </si>
  <si>
    <t>living creature</t>
  </si>
  <si>
    <t>The target contracts one of the following diseases: blinding sickness, bubonic plague, cackle fever, filth fever, leprosy, mindfire, red ache, shakes, or slimy doom (Core Rulebook 557), as the spell contagion. However, the disease is highly contagious, and any creature that touches the infected target, is touched by the target, or spends more than an hour in a confined space with the target must make a save against the disease's normal DC (not the spell DC) or contract the disease. If the initial target overcomes the disease by making the required number of saving throws, it remains a carrier of the disease for a length of time equal to the disease's frequency, and can continue to infect others during this time.</t>
  </si>
  <si>
    <t>Infect a subject with a highly contagious disease.</t>
  </si>
  <si>
    <t>Eruptive Pustules</t>
  </si>
  <si>
    <t>alchemist 3, sorcerer/wizard 3, witch 3, bloodrager 3</t>
  </si>
  <si>
    <t>Your skin erupts in swollen, pus-filled bumps that burst open if you are struck. Any creature that strikes you with its body or a hand-held weapon deals normal damage, but at the same time the attacker takes 1d6 points of acid damage and must save or be sickened for 1 round. If the attack against you is a critical hit, the attacker must save or be nauseated instead of sickened. This damage can harm a swarm.</t>
  </si>
  <si>
    <t>Acid boils burst when you are attacked.</t>
  </si>
  <si>
    <t>Excruciating Deformation</t>
  </si>
  <si>
    <t>sorcerer/wizard 3, witch 3, bloodrager 3, psychic 3</t>
  </si>
  <si>
    <t>Your touch attack causes your target to become painfully malformed. Its limbs twist and buckle, while its body contorts uncontrollably, shifting and warping. Each round the target suffers excruciating pain and takes 2d6 points of nonlethal damage, 1 point of Dexterity damage, and 1 point of Constitution damage, and its speed is reduced by 10 feet. Once per round as a free action on its turn, the target can attempt a new Fortitude saving throw to resist the spell for 1 round.</t>
  </si>
  <si>
    <t>Target takes Dex and Con damage.</t>
  </si>
  <si>
    <t>Exquisite Accompaniment</t>
  </si>
  <si>
    <t>phantom instrument</t>
  </si>
  <si>
    <t>You create a phantom instrument, a glowing construct of magic in the form of a portable musical instrument of your choice. The instrument floats beside you, moving as you move (even if you teleport). It cannot be damaged, but can be dispelled. The instrument plays as you direct, and as long as it plays, you do not have to expend rounds of bardic performance from your daily allotment to maintain an effect.  Activating a bardic performance or switching to a new still costs a round of your overall bardic performances per day.</t>
  </si>
  <si>
    <t>Instrument maintains bardic performance for you.</t>
  </si>
  <si>
    <t>False Life, Greater</t>
  </si>
  <si>
    <t>alchemist 4, sorcerer/wizard 4, witch 4, bloodrager 4, shaman 4, occultist 4, psychic 4, mesmerist 3, spiritualist 4, medium 3</t>
  </si>
  <si>
    <t>This spell functions as false life, except you gain temporary hit points equal to 2d10 + 1 point per caster level (maximum +20). The effects of this spell do not stack with those of false life.</t>
  </si>
  <si>
    <t>Gain 2d10 temporary hp + 1/level.</t>
  </si>
  <si>
    <t>Familiar Melding</t>
  </si>
  <si>
    <t>sorcerer/wizard 4, witch 4, shaman 4</t>
  </si>
  <si>
    <t>You project your soul into your familiar, taking over its body while leaving its consciousness intact. When you transfer your soul upon casting, your body is, as near as anyone can tell, dead.  While possessing your familiar, you can communicate with it telepathically. You keep your Intelligence, Wisdom, Charisma, level, class, base attack bonus, base save bonuses, alignment, and mental abilities. The familiar's body retains its own Strength, Dexterity, Constitution, hit points, natural abilities, and automatic abilities. A body with extra limbs does not allow you to make more attacks (or more advantageous twoweapon attacks) than normal. You may use any abilities the familiar has, including spells and spell-like abilities. You cannot speak unless your familiar has the ability to speak a language. You cannot cast spells with somatic components if your familiar does not have anthropomorphic limbs that can perform the appropriate motions.  As a standard action, you can return to your body as long as it is within range. If your familiar is slain while your soul is in it and your body is within range, your soul returns to your own body, unharmed. If your familiar is out of range when slain, you die.  The spell ends when you shift from the familiar to your own body.</t>
  </si>
  <si>
    <t>Possess your familiar.</t>
  </si>
  <si>
    <t>Fickle Winds</t>
  </si>
  <si>
    <t>cleric/oracle 5, druid 5, ranger 3, sorcerer/wizard 5, spiritualist 5</t>
  </si>
  <si>
    <t>one or more Medium creatures/level, no two of which can be more than 30 ft. apart</t>
  </si>
  <si>
    <t>You create a mobile cylinder of wind encompassing every target of the spell and protecting them as wind wall, but not interfering with them in any way. For example, arrows and bolts fired at the targets are deflected upward and miss, but the targets' own arrows or bolts pass through the wall as if it were not there.  A Large creature counts as 4 Medium creatures for the purpose of how many targets you can effect with the spell; a Huge creature counts as 8, a Gargantuan creature as 16, and a Colossal creature as 32. This spell has no effect within the area of a higher-level wind or weather spell.</t>
  </si>
  <si>
    <t>Wind walls selectively block attacks.</t>
  </si>
  <si>
    <t>Fleshworm Infestation</t>
  </si>
  <si>
    <t>cleric/oracle 4, inquisitor 4, sorcerer/wizard 4, witch 4, psychic 4</t>
  </si>
  <si>
    <t>With a touch, you cause an infestation of ravenous worms to manifest in the target's flesh. The target must make a Fortitude save every round. Failure means it takes 1d6 hit points of damage and 2 points of Dexterity damage, and is staggered for 1 round. If it makes the save, it takes no hit point or Dexterity damage and is only sickened for 1 round rather than staggered. Fleshworm infestation cannot be ended early by remove disease or heal, as the infestation starts anew if the current worms are slain. Protection from evil negates this spell's effects for as long as the two durations overlap.  Dispel evil automatically ends a fleshworm infestation.</t>
  </si>
  <si>
    <t>Worms deal hp and Dex damage.</t>
  </si>
  <si>
    <t>Forbid Action</t>
  </si>
  <si>
    <t>cleric/oracle 1, inquisitor 1, occultist 1, psychic 1, mesmerist 1</t>
  </si>
  <si>
    <t>close (25 ft. +5 ft./2 levels)</t>
  </si>
  <si>
    <t>You forbid the target a single course of action, which it avoids to the best of its ability. You may demand the target not take actions that fall into one of the following options. Attack: The target cannot take any action that involves an attack roll, or uses a spell or ability that targets a foe or an area that includes a foe. Cast: Target cannot cast spells or use spell-like abilities. Communicate: The target cannot take any actions that allow it to communicate with anyone. This includes such acts as speaking, Bluff checks to pass secret messages, writing, and using telepathy. It does not prevent verbalizations made for purposes other than communication, such as command words or the verbal component of spellcasting. Draw: Target cannot ready or prepare any item, weapon, component, or equipment. Move: The target can take no act that would cause it to end up in a different location. The target does not resist being moved by others (and thus can be picked up or dragged, or can float along on a raft), but does not consciously attempt to move (including not directing a mount to move). The target is free to take any actions not forbidden by the caster. For example, a target affected by this spell's demand to not move is still free to cast spells, make attacks, or shout for help.</t>
  </si>
  <si>
    <t>Legislation (1)</t>
  </si>
  <si>
    <t>Target obeys your command to not do something.</t>
  </si>
  <si>
    <t>Forbid Action, Greater</t>
  </si>
  <si>
    <t>cleric/oracle 5, inquisitor 5, occultist 5, psychic 5, mesmerist 4</t>
  </si>
  <si>
    <t>This spell functions as forbid action, except up to one creature per level may be affected. Each creature must receive the same forbidden action.</t>
  </si>
  <si>
    <t>Legislation (5)</t>
  </si>
  <si>
    <t>As forbid action, but 1 creature/level.</t>
  </si>
  <si>
    <t>Force Hook Charge</t>
  </si>
  <si>
    <t>magus 3, bloodrager 3, psychic 4</t>
  </si>
  <si>
    <t>close (25 feet + 5 feet/2 levels)</t>
  </si>
  <si>
    <t>one creature or object within range and you</t>
  </si>
  <si>
    <t>You create a hook of force that strikes the target and drags you to a space adjacent to it. Make a ranged touch attack against the target; if the touch attack succeeds, the target takes 1 point of force damage per caster level. Whether or not the touch attack hits, the force hook drags you in a straight line to a square adjacent to the target. This movement provokes attacks of opportunity as normal. The pulling hook keeps you from falling as part of this movement; therefore you can use it to cross a pit or chasm, or reach a higher or lower elevation. If the line of effect from you to the target passes through an area that is too small to fit your body (such as a portcullis or arrow slit), the hook pulls you to that location and you take damage as if you had fallen the distance from your starting point to that location. If you are restrained, such as being chained to a wall, the hook pulls you to the maximum extent of your restraints but does not break the restraints.  If your travel to the destination is not blocked, you land on your feet, unharmed by the sudden motion. However, the spell does not guarantee you a safe landing space when you arrive. For example, if your target is flying or on a ledge with no room for you to stand, once the hook pulls you adjacent to the target, you begin to fall.  If you use this spell with your spell combat class ability, you can make your melee attack from your starting position or your ending position.</t>
  </si>
  <si>
    <t>Hook of force drags you to the target.</t>
  </si>
  <si>
    <t>Force Punch</t>
  </si>
  <si>
    <t>magus 3, sorcerer/wizard 3, bloodrager 3, psychic 3, spiritualist 3</t>
  </si>
  <si>
    <t>This spell charges your hand with telekinetic force. Your successful melee touch attack deals 1d4 points of force damage per level (maximum 10d4) and causes the target to be pushed away from you in a straight line up to 5 feet per two caster levels. For every size category of the target above Medium, reduce the distance pushed by 5 feet (-5 feet for Large, -10 feet for Huge, -15 for Gargantuan, and -20 feet for Colossal) to a minimum of 0 feet. A successful Fortitude save negates the movement but not the damage.</t>
  </si>
  <si>
    <t>Fist (4)</t>
  </si>
  <si>
    <t>Target takes 1d4 force damage per level and is pushed away.</t>
  </si>
  <si>
    <t>Forced Quiet</t>
  </si>
  <si>
    <t>bard 1, inquisitor 1, sorcerer/wizard 1, witch 1, psychic 1, mesmerist 1</t>
  </si>
  <si>
    <t>With a gesture, you muffle sound around the target, making it unable to yell or otherwise make loud noises. This does not affect spellcasting by the target. The target can still use sonic effects, but the DC of these effects decreases by 2. The target gains a +2 bonus on saving throws against sonic effects. The target gains a +4 circumstance bonus on Stealth checks.</t>
  </si>
  <si>
    <t>Target cannot make loud noises.</t>
  </si>
  <si>
    <t>Frigid Touch</t>
  </si>
  <si>
    <t>druid 2, magus 2, sorcerer/wizard 2, bloodrager 2</t>
  </si>
  <si>
    <t>This spell causes your hand to glow with a pale blue radiance. Your melee touch attack deals 4d6 points of cold damage and causes the target to be staggered for 1 round.  If the attack is a critical hit, the target is staggered for 1 minute instead.</t>
  </si>
  <si>
    <t>Target takes cold damage and is staggered.</t>
  </si>
  <si>
    <t>Frostbite</t>
  </si>
  <si>
    <t>druid 1, magus 1, witch 1, bloodrager 1, shaman 1</t>
  </si>
  <si>
    <t>Your melee touch attack deals 1d6 points of nonlethal cold damage + 1 point per level, and the target is fatigued. The fatigued condition ends when the target recovers from the nonlethal damage. This spell cannot make a creature exhausted even if it is already fatigued. You can use this melee touch attack up to one time per level.</t>
  </si>
  <si>
    <t>Target takes cold damage and is fatigued.</t>
  </si>
  <si>
    <t>Fumbletongue</t>
  </si>
  <si>
    <t>1d4 rounds</t>
  </si>
  <si>
    <t>This enchantment causes a creature to be unable to speak intelligibly. Any effort the target makes to talk, in any language, comes out as a useless mix of unconnected words and noises. Even magic words are affected to some extent; the target has a 20% spell failure chance for any spell it attempts to cast with verbal components, and a 20% chance to incorrectly use a command word to activate a magic item.  This spell has no effect on telepathic communication, or the vocalizations of creatures that lack a spoken language.</t>
  </si>
  <si>
    <t>Target cannot speak intelligently.</t>
  </si>
  <si>
    <t>Fungal Infestation</t>
  </si>
  <si>
    <t>1d3 days</t>
  </si>
  <si>
    <t>You coat the target in necrotic fungus that makes its flesh soft and fragile. Toadstools, ringworm, and other disgusting fungal growths sprout from its skin. The target takes 1d3 points of Charisma damage. Any physical attack against the target automatically adds 1d6 points of bleed damage.</t>
  </si>
  <si>
    <t>Target takes bleed from attacks.</t>
  </si>
  <si>
    <t>Ghostly Disguise</t>
  </si>
  <si>
    <t>alchemist 2, bard 2, inquisitor 2, sorcerer/wizard 2, witch 2, occultist 2, psychic 2, mesmerist 2, medium 2</t>
  </si>
  <si>
    <t>You make yourself-including clothing, armor, weapons, and equipment-appear translucent like a ghost. Any mundane or magical disguise on you is affected by this illusion as well; for example, if you are disguised as the king or a sahuagin, you look like a ghostly version of the king or a sahuagin. Your ghostly form may have a pale green, blue, or violet coloration, or a muted version of your normal appearance.  The spell does not actually make you ghostly or provide any incorporeal abilities. If you choose, the illusion can make you appear to float slightly above the ground, though you are actually still on the ground. A creature that interacts with the glamer gets a Will save to recognize it as an illusion.</t>
  </si>
  <si>
    <t>You look like a ghost of yourself.</t>
  </si>
  <si>
    <t>Haunting Choir</t>
  </si>
  <si>
    <t>mind-affecting, pain</t>
  </si>
  <si>
    <t>You create a spectral choir and conduct its tortured, ghostly moans, deluding listeners into believing they are suffering the torments of the dead.  The transparent singers occupy a 10-foot cube, but they are intangible and do not interfere with creatures in any physical way, nor can they be attacked.  Creatures within 30 feet of the choir experience wracking pain that causes them to take a -2 penalty on attack rolls, skill checks, and ability checks.  Individuals who exit the area of effect take these penalties for an additional 2 rounds before the delusion wears off.</t>
  </si>
  <si>
    <t>Spirits cause wracking pain to listeners.</t>
  </si>
  <si>
    <t>Haunting Mists</t>
  </si>
  <si>
    <t>fear, shadow</t>
  </si>
  <si>
    <t>bard 2, sorcerer/wizard 2, witch 2, psychic 2, mesmerist 2</t>
  </si>
  <si>
    <t>An illusion of misty vapor inhabited by shadowy shapes arises around you. It is stationary. The illusory mist obscures all sight, including darkvision, beyond 5 feet. A creature 5 feet away has concealment (attacks have a 20% miss chance).  Creatures farther away have total concealment (50% miss chance, and the attacker cannot use sight to locate the target).  All creatures within the mist must save or take 1d2 points of Wisdom damage and gain the shaken condition. The shaken condition lasts as long as the creature remains in the mist.</t>
  </si>
  <si>
    <t>Creatures are shaken and take Wis damage.</t>
  </si>
  <si>
    <t>Hex Ward</t>
  </si>
  <si>
    <t>inquisitor 1, witch 1, shaman 1, occultist 1</t>
  </si>
  <si>
    <t>You give the target a +4 resistance bonus on saving throws against witch hexes.</t>
  </si>
  <si>
    <t>Target gains +4 on saves against witch hexes.</t>
  </si>
  <si>
    <t>The target gains immunity to one witch hex (but not a major hex or grand hex) of your choice.</t>
  </si>
  <si>
    <t>Augmented (3rd): If you expend two uses of mythic power, instead of granting immunity to one witch hex, you can grant immunity to two hexes or one major hex. If you're at least 6th tier and expend three uses of mythic power, you instead grant immunity to three hexes, two major hexes, or one grand hex.</t>
  </si>
  <si>
    <t>Holy Ice</t>
  </si>
  <si>
    <t>cold, good, water</t>
  </si>
  <si>
    <t>V, S, M (a flask of holy water or 5 pounds of powdered silver worth 25 gp)</t>
  </si>
  <si>
    <t>wall of ice or flying ice javelins (see text)</t>
  </si>
  <si>
    <t>1 minute/level, instantaneous, or until expended (see text)</t>
  </si>
  <si>
    <t>Reflex negates or none (see text)</t>
  </si>
  <si>
    <t>This spell creates a large mass of frozen holy water that can be used for one of two effects.  Holy Ice Wall: This functions like wall of ice (hemisphere or plane). Any creature that takes damage from holy water takes 1 point of damage every time it touches or attacks the ice wall with melee attacks; extended contact with the wall (such as standing or walking on it) deals 1d6 points of damage. Even when the ice has been broken through, a sheet of frigid holy air remains. Any creature that steps through it (including the one who broke through the wall) takes 1d6 points of damage + 1 point per caster level (no save); half of this damage is cold damage, half is damage from holy water (creatures unharmed by holy water do not take the damage).  Holy Ice Javelins: The spell creates a number of javelins of frozen holy water in your square equal to your caster level (maximum 15), which hurl themselves toward one or more targets that are no more than 10 feet away from each other.  You must succeed on attack rolls (one per javelin) to hit the target with the javelin, using your base attack bonus + your Wisdom modifier. The javelins deal 1d6 damage each, plus 1 point of cold damage and 1 point of damage from holy water.  The javelins are destroyed by this attack.</t>
  </si>
  <si>
    <t>Create wall or javelins of frozen holy water.</t>
  </si>
  <si>
    <t>Holy Shield</t>
  </si>
  <si>
    <t>You gain the ability to magically project the defense of your shield to protect another creature at a distance. As a swift action, you designate one target within 30 feet. The target gains your shield's shield bonus and enhancement bonus to Armor Class until your next turn; you gain no benefit from the shield's shield bonus or enhancement bonus while using this spell and cannot use any of the shield's other properties or abilities (such as magical abilities, making a shield bash, or providing cover with a tower shield). As a swift action, you may move the protection to another target (including yourself); if you move the protection to yourself, you may use any of the shield's properties or abilities as normal. If the shielded creature exceeds the 30-foot range, your shield's protection automatically reverts to you. Any circumstance that would make you lose your shield bonus (such as an enemy breaking the shield, you dropping the shield, or you becoming helpless or unconscious) means the protected creature loses the shield's benefit.</t>
  </si>
  <si>
    <t>Lend your shield's protection to another.</t>
  </si>
  <si>
    <t>Horn of Pursuit</t>
  </si>
  <si>
    <t>bard 1, inquisitor 1, paladin 1, ranger 1</t>
  </si>
  <si>
    <t>3 peals of a horn</t>
  </si>
  <si>
    <t>You create the sound of a large hunting horn, blowing up to three notes as loud as a roaring dragon. These notes can be heard up to 2 miles away in typical outdoor conditions.  You can make these sounds at any point during the spell's duration as a free action, and each sounding can be short or long, allowing you to send very simple coded messages.</t>
  </si>
  <si>
    <t>Create three notes heard miles away.</t>
  </si>
  <si>
    <t>Howling Agony</t>
  </si>
  <si>
    <t>death, pain</t>
  </si>
  <si>
    <t>inquisitor 2, sorcerer/wizard 3, witch 3, bloodrager 3, psychic 2, mesmerist 2, spiritualist 3</t>
  </si>
  <si>
    <t>V, S, M (a needle and a dried eyeball)</t>
  </si>
  <si>
    <t>You send wracking pains through the targets' bodies. Because of the pain, affected creatures take a -2 penalty to AC, attacks, melee damage rolls, and Reflex saving throws, and must succeed at a concentration check (DC equal to the DC of this spell) to cast spells. However, if an affected creature spends a move action screaming as loudly as possible, it can act without any other penalties for the remainder of its turn. "Screaming," for the purposes of this spell, includes any vocalization of pain or its telepathic equivalent; creatures that cannot scream (such as creatures without the natural ability to communicate or vocalize) suffer the full effect of the spell.</t>
  </si>
  <si>
    <t>Screaming pain limits the target's actions.</t>
  </si>
  <si>
    <t>Ice Body</t>
  </si>
  <si>
    <t>sorcerer/wizard 7, witch 7, shaman 7</t>
  </si>
  <si>
    <t>Your form transmutes into living ice, granting you several abilities. You gain the cold subtype and damage reduction 5/ magic. You are immune to ability score damage, blindness, critical hits, deafness, disease, drowning, electricity, poison, stunning, and all spells or attacks that affect your physiology or respiration, because you have no physiology or respiration while this spell is in effect. You cannot drink (and thus can't use potions) or play wind instruments.  Your unarmed attack deals damage equal to a club sized for you (1d4 for Small characters or 1d6 for Medium characters) plus 1 point of cold damage, and you are considered armed when making unarmed attacks. You may burrow through nonmagical ice or snow at your base speed as easily as a fish swims through water. You can move through magical ice and snow if you succeed on a caster level check (1d20 + caster level) against a DC of 11 + the caster level of the effect; you automatically succeed on caster level checks against effects that you created. Your passage through snow and ice in this fashion leaves behind no tunnel or hole.</t>
  </si>
  <si>
    <t>Your body becomes living ice.</t>
  </si>
  <si>
    <t>Ice Crystal Teleport</t>
  </si>
  <si>
    <t>sorcerer/wizard 6, summoner 5, witch 6, unchained summoner 6</t>
  </si>
  <si>
    <t>1d4 rounds and instantaneous</t>
  </si>
  <si>
    <t>This spell functions as teleport, except you use it to teleport yourself or one other creature to a safe location you specify (the target can bring along objects as long as their weight doesn't exceed the target's heavy load). You can only send the target to a location with which you are very familiar. The target is first trapped in ice (hardness 0, 3 hit points per inch of thickness, 1 inch thick per caster level) for 1d4 rounds, during which time it is paralyzed, aware but unable to take any physical actions, and begins to fade away as the teleportation aspect takes effect. At the end of the 1d4 rounds, the target teleports to the specified location, and the ice's hit points drop to 0 and it quickly melts away. If the ice is destroyed before the target teleports, the spell ends and the teleport doesn't occur.</t>
  </si>
  <si>
    <t>Target is frozen, then teleported.</t>
  </si>
  <si>
    <t>Icicle Dagger</t>
  </si>
  <si>
    <t>sorcerer/wizard 1, summoner/unchained summoner 1, witch 1, bloodrager 1, occultist 1</t>
  </si>
  <si>
    <t>one icicle</t>
  </si>
  <si>
    <t>You create a masterwork dagger out of ice. The dagger deals 1 point of cold damage in addition to normal dagger damage.  If the dagger leaves your hand for more than 1 round, it melts and the spell ends. At 6th level, the dagger functions as a +1 frost dagger. At 11th level, it gains the returning property when thrown, melting away and reforming in your hand just before your next turn.</t>
  </si>
  <si>
    <t>Masterwork ice dagger deals +1 cold damage.</t>
  </si>
  <si>
    <t>Icy Prison</t>
  </si>
  <si>
    <t>sorcerer/wizard 5</t>
  </si>
  <si>
    <t>medium (10 ft. + 10 ft./level)</t>
  </si>
  <si>
    <t>You trap the target in solid ice 1 inch thick per caster level. If the creature fails its save, it is helpless, but can still breathe (the ice blocks line of effect to the target). If the target makes its save, it gains the entangled condition but can otherwise act normally. Whether or not the target saves, it takes 1 point of cold damage per caster level each round it is helpless or entangled in the ice. The ice has hardness 0 and 3 hit points per inch of thickness; if broken, the creature is freed. A creature can break the ice as a full-round action with a successful Strength check (DC 15 + your caster level).</t>
  </si>
  <si>
    <t>Thick ice holds and damages the target.</t>
  </si>
  <si>
    <t>Icy Prison, Mass</t>
  </si>
  <si>
    <t>one creature/level, no two of which can be more than 30 ft. apart.</t>
  </si>
  <si>
    <t>This spell functions as icy prison, except as noted above.</t>
  </si>
  <si>
    <t>As icy prison, but it affects 1 creature/level.</t>
  </si>
  <si>
    <t>Imbue with Aura</t>
  </si>
  <si>
    <t>You infuse another creature with your divine aura, causing the target to radiate an aura identical to your own clerical aura. The target's actual alignment is not changed, but spells like detect evil or detect good detect only the aura, not the creature's actual alignment. For the duration of this spell, effects influenced by the target's alignment function according to the imposed aura, not the creature's actual aura. When the spell ends, the target's aura returns to normal, and alignmentaffecting magic affects it according to its actual alignment.</t>
  </si>
  <si>
    <t>Target emulates your cleric aura.</t>
  </si>
  <si>
    <t>Interplanetary Teleport</t>
  </si>
  <si>
    <t>This spell functions as teleport, except there is truly no range limit and you do not need to have seen your destination, though you must have a solid grasp of which world you wish to travel to ("the third planet from the sun" is an acceptable destination, but "a habitable world near that bright star" is not). If you have a specific location on a planet in mind, you arrive there without a chance of failure; otherwise you arrive at a location that would not immediately be life-threatening.  If no such safe landing zone exists on the world, such as someone attempting to travel into the sun without the proper precautions in place, the spell simply fails.</t>
  </si>
  <si>
    <t>Void (9)</t>
  </si>
  <si>
    <t>Teleport to another planet.</t>
  </si>
  <si>
    <t>Interrogation</t>
  </si>
  <si>
    <t>inquisitor 1, sorcerer/wizard 1, witch 1, psychic 1, mesmerist 1</t>
  </si>
  <si>
    <t>You question the target, backed up by the threat of magical pain. You may ask one question per two caster levels. The target can either answer the question or take 1d4 points of damage plus your Wisdom bonus. The target is not compelled to answer truthfully, but the threat of pain gives it a -4 penalty on Bluff checks to convince you when it is lying.</t>
  </si>
  <si>
    <t>Target answers questions or suffers pain.</t>
  </si>
  <si>
    <t>Interrogation, Greater</t>
  </si>
  <si>
    <t>inquisitor 4, psychic 4</t>
  </si>
  <si>
    <t>This spell functions as interrogation, except you may ask one question per caster level and the spell deals damage equal to 1d8 points plus your Wisdom bonus if the target doesn't answer a question.</t>
  </si>
  <si>
    <t>As interrogation, except with more pain and more questions.</t>
  </si>
  <si>
    <t>Joyful Rapture</t>
  </si>
  <si>
    <t>bard 5, cleric/oracle 6, sorcerer/wizard 7, psychic 6, mesmerist 5</t>
  </si>
  <si>
    <t>all allies and opponents within a 60-ft.-radius burst centered on you</t>
  </si>
  <si>
    <t>Your inspired words overwhelm others with transcendental bliss. All allies within the area of effect are freed from any harmful emotion effects. The spell also cures 1d4 points of Intelligence, Wisdom, or Charisma damage (your choice) to all allies in the area.</t>
  </si>
  <si>
    <t>Negate harmful emotions.</t>
  </si>
  <si>
    <t>Martyred (15)</t>
  </si>
  <si>
    <t>Ki Arrow</t>
  </si>
  <si>
    <t>bard 1, sorcerer/wizard 1, witch 1, psychic 1</t>
  </si>
  <si>
    <t>1 arrow touched</t>
  </si>
  <si>
    <t>Fortitude (object)</t>
  </si>
  <si>
    <t>You imbue an arrow with your power and throw it at a target up to 100 feet away. Make a ranged attack roll. If it hits, the target takes damage from the arrow as if you had hit it with a single unarmed strike (including your Strength bonus).</t>
  </si>
  <si>
    <t>Arrow deals damage as your unarmed strike.</t>
  </si>
  <si>
    <t>Ki Leech</t>
  </si>
  <si>
    <t>cleric/oracle 3, sorcerer/wizard 3, witch 3, psychic 3</t>
  </si>
  <si>
    <t>You place your spirit in a receptive state so when you confirm a critical hit against a living enemy or reduce a living enemy to 0 or fewer hit points, you can steal some of that creature's ki. This replenishes 1 point of ki as long as you have at least 1 ki point in your ki pool. This does not allow you to exceed your ki pool's maximum. This ability does not stack with similar abilities (such as the steal ki ability of the hungry ghost monk in the Advanced Player's Guide).  This spell has no effect if you do not have a ki pool.</t>
  </si>
  <si>
    <t>Add to your ki pool when you critically hit.</t>
  </si>
  <si>
    <t>Ki Shout</t>
  </si>
  <si>
    <t>bard 5, sorcerer/wizard 7, psychic 7</t>
  </si>
  <si>
    <t>close (25 ft + 5 ft./2 levels)</t>
  </si>
  <si>
    <t>With a guttural bark, you unleash a sudden blast of sonic energy that strikes your opponent. The target takes 1d6 points of sonic damage per level (maximum 20d6) and is stunned for 1 round; a successful Fortitude save reduces the damage by half and negates the stun.</t>
  </si>
  <si>
    <t>Target takes 1d6 sonic/level and is stunned.</t>
  </si>
  <si>
    <t>Know The Enemy</t>
  </si>
  <si>
    <t>cleric/oracle 1, inquisitor 1, paladin 1, ranger 1</t>
  </si>
  <si>
    <t>S, V, DF</t>
  </si>
  <si>
    <t>You commune with the divine, reflecting on one type of creature you encountered in the last day. You may make a Knowledge check regarding that creature type with a +10 insight bonus.</t>
  </si>
  <si>
    <t>Education (1)</t>
  </si>
  <si>
    <t>Gain +10 on a monster Knowledge check.</t>
  </si>
  <si>
    <t>The insight bonus increases to +15 plus your tier. If the check is successful, you gain a +5 insight bonus on your next attack roll or saving throw against a creature of that type, as long as the roll occurs within 24 hours of casting the spell.</t>
  </si>
  <si>
    <t>Leashed Shackles</t>
  </si>
  <si>
    <t>inquisitor 4, sorcerer/wizard 6, psychic 6, spiritualist 6</t>
  </si>
  <si>
    <t>medium (100 ft. +10 ft./level)</t>
  </si>
  <si>
    <t>You create shackles of force that attach to the target's limbs. You designate an object or location within 30 feet of the target for the shackles to anchor themselves to; this must be the ground, a wall, or a sturdy structure for the anchoring to occur. The target is entangled, and cannot move more than 30 feet from the anchor point of the spell. The shackle itself cannot be attacked (though it can be dispelled), but if the object or area it is attached to is broken, the target is free to move away (though it is still entangled).</t>
  </si>
  <si>
    <t>Target is restricted to a specific location.</t>
  </si>
  <si>
    <t>Lend Judgment</t>
  </si>
  <si>
    <t>one ally</t>
  </si>
  <si>
    <t>You create a conduit of divine knowledge and outrage between you and an ally. That ally gains the benefit of one of your active judgments (as do you). If you cannot use a judgment (for example, if you are not in combat, are frightened or unconscious, and so on) or change judgments, the ally loses the benefit of the judgment. If you have multiple judgments active, the ally gains only one, chosen when you cast this spell.</t>
  </si>
  <si>
    <t>Ally gains the benefit of one judgment.</t>
  </si>
  <si>
    <t>Lend Judgment, Greater</t>
  </si>
  <si>
    <t>This functions as lend judgment, except the ally gains the benefit of all your active judgments.</t>
  </si>
  <si>
    <t>Ally receives all your judgments.</t>
  </si>
  <si>
    <t>Lightning Arc</t>
  </si>
  <si>
    <t>V, S, M (fur and two glass figurines)</t>
  </si>
  <si>
    <t>two creatures or objects which must be no more than 60 ft. apart</t>
  </si>
  <si>
    <t>yes (see text)</t>
  </si>
  <si>
    <t>You generate an arc of lightning between two targets. The lightning deals 1d6 points of electricity damage per caster level (maximum 15d6) to both targets and any creatures in a line connecting them. The spell fails if there is no line of effect between the targets. Lightning arc sets fire to combustibles and damages objects in its path. It can melt metals that have a low melting point, such as lead, gold, copper, silver, or bronze.</t>
  </si>
  <si>
    <t>Targets in a line take 1d6 electricity/level.</t>
  </si>
  <si>
    <t>The damage dealt increases to 1d8 points of electricity damage per caster level (maximum 15d8). A target that fails its save is blinded by the flash for 1 round and deafened by thunder for 1d4 rounds.</t>
  </si>
  <si>
    <t>Augmented (6th): If you expend two uses of mythic power, the two targets can be up to 120 feet apart, the lightning can turn once up to 90 degrees to connect the targets, and the spell's electrical damage bypasses electricity resistance and electricity immunity.</t>
  </si>
  <si>
    <t>Loathsome Veil</t>
  </si>
  <si>
    <t>sorcerer/wizard 3, witch 3, psychic 3, mesmerist 3</t>
  </si>
  <si>
    <t>V, S, M (a tangle of multicolored threads)</t>
  </si>
  <si>
    <t>transparent pattern 40 ft. long, 20 ft. high</t>
  </si>
  <si>
    <t>This spell creates a transparent veil of shifting, multicolored strands of light that form into endlessly varied and alien patterns. One side of the veil, chosen by you at the time of casting, is harmless. The other side twists and turns into impossible shapes, affecting any creature with 60 feet who views the veil. The veil affects a maximum of 24 Hit Dice of creatures. Creatures with the fewest HD are affected first.  Among creatures with equal HD, those who are closest to the spell are affected first. The effect is according to the creature's HD.  4 HD or fewer: The creature is nauseated while it can see the veil, nauseated for 1d4 rounds after it last saw the veil, then sickened for 2d4 rounds after it last saw the veil.  8 HD or fewer: The creature is nauseated for 1d4 rounds, sickened while it can see the veil, then sickened for 1d4 rounds after it last saw the veil.  9 or more HD: The creature is sickened while it can see the veil.  A successful saving throw ignores all effects of the veil.  Sightless creatures are not affected by loathsome veil.  Affected creatures can avert or close their eyes to avoid seeing the veil, similar to avoiding a gaze attack.  Loathsome veil can be made permanent with the permanency spell by a caster of 10th level or higher for the cost of 7,500 gp.</t>
  </si>
  <si>
    <t>Nauseate and/or sicken weak creatures.</t>
  </si>
  <si>
    <t>Lunar Veil</t>
  </si>
  <si>
    <t>darkness, shadow</t>
  </si>
  <si>
    <t>cleric/oracle 7, sorcerer/wizard 7, witch 7, psychic 7</t>
  </si>
  <si>
    <t>120-ft.-radius emanation</t>
  </si>
  <si>
    <t>Will negates, see text</t>
  </si>
  <si>
    <t>You conjure a tremendous area of shadow to obscure moonlight within the area, creating something akin to a lunar eclipse. The light level is lowered by two steps (though unlike deeper darkness, areas of normal light or dimmer become normal darkness rather than supernaturally dark).  Lycanthropes in the area must make a Will save every round or revert to their humanoid forms. In addition, lycanthropes attempting to assume animal or hybrid form within the affected area take a -5 penalty on Constitution checks to do so.</t>
  </si>
  <si>
    <t>Dispel light and revert lycanthropes.</t>
  </si>
  <si>
    <t>Moon (14)</t>
  </si>
  <si>
    <t>Mad Hallucination</t>
  </si>
  <si>
    <t>close (20 ft.)</t>
  </si>
  <si>
    <t>5 minute/level (maximum 1 hour)</t>
  </si>
  <si>
    <t>This spell induces a hallucinogenic reality in the mind of your target. Surfaces seem to swim, and movement constantly distracts the eye. The target takes a -2 penalty on Will saving throws, caster level checks, Intelligence-based skill checks, and Wisdom-based skill checks.</t>
  </si>
  <si>
    <t>Target takes penalties to mental actions.</t>
  </si>
  <si>
    <t>Mad Monkeys</t>
  </si>
  <si>
    <t>bard 3, druid 3, sorcerer/wizard 3, summoner/unchained summoner 3</t>
  </si>
  <si>
    <t>swarm of monkeys</t>
  </si>
  <si>
    <t>You summon a swarm of screeching, mischievous monkeys. The swarm understands and obeys your commands and has the statistics of a monkey swarm (Bestiary 2 212). Creatures failing a saving throw against the mad monkeys' distraction attack are deafened for 1 minute as well as nauseated. The monkeys attempt one disarm or steal combat maneuver each turn as a free action against any creature that begins its turn in the swarm, using your caster level plus your casting ability score bonus (Intelligence for wizards; Wisdom for druids; Charisma for bards, sorcerers, and summoners) for its CMB. Recovering an item from the monkeys requires a successful disarm or steal attempt against that CMB + 10. An object stolen by the monkeys takes swarm damage each round the swarm is in possession of the object.</t>
  </si>
  <si>
    <t>Summon a swarm of mischievous monkeys.</t>
  </si>
  <si>
    <t>Malfunction</t>
  </si>
  <si>
    <t>sorcerer/wizard 4, occultist 4</t>
  </si>
  <si>
    <t>This functions as confusion, except it only affects constructs, and instead of babbling incoherently, the construct takes no actions on its turn (but may still make attacks of opportunity).</t>
  </si>
  <si>
    <t>Construct behaves oddly for 1 round/level.</t>
  </si>
  <si>
    <t>Malicious Spite</t>
  </si>
  <si>
    <t>bard 3, sorcerer/wizard 4, psychic 4, mesmerist 3</t>
  </si>
  <si>
    <t>V, S, M (powdered turquoise worth 150 gp)</t>
  </si>
  <si>
    <t>You invoke feelings of a driving malicious intent. The target's malice is directed at a second individual as designated by you at the time of casting. Thereafter, the target attempts to slander, abuse, and even plot murder against the target of its spite. This loathing is not overt, and the target's actions against the object of its spite remain subtle and indirect.  The enchanted target remains within its financial and ethical means when acting against the second individual, though the malice toward this other person pushes the target to the limit of what it would do to a hated individual.  Each day, the target takes 2 points of Wisdom damage as the all-encompassing spite dominates its thoughts. The target can only alleviate the ability damage by acting upon the emotion and performing a spiteful act. Examples of spiteful acts are spiking the target's drink to make it an easier target for thugs, damaging the target's property, starting foul rumors about the target, framing the target for a crime, paying lepers or beggars to accost the target, extorting or blackmailing the target, or arranging for others to physically harm the target.  When the spell ends, the target remembers the spiteful behavior, but not the motivation for it.</t>
  </si>
  <si>
    <t>Target is compelled to plot against another.</t>
  </si>
  <si>
    <t>Marionette Possession</t>
  </si>
  <si>
    <t>alchemist 3, sorcerer/wizard 3, summoner/unchained summoner 3, witch 3, psychic 3, mesmerist 3</t>
  </si>
  <si>
    <t>V, S, F (a piece of paper with the target's name)</t>
  </si>
  <si>
    <t>one willing creature</t>
  </si>
  <si>
    <t>10 minutes/level or until you return to your body</t>
  </si>
  <si>
    <t>You project your soul out of your body and into the body of a willing creature. This possession is blocked by protection from evil or a similar ward. The target's soul shares its body with you; it is helpless but can still use its senses. You and the target's soul can communicate telepathically as if using a common language.  You keep your Intelligence, Wisdom, Charisma, level, class, base attack bonus, base save bonuses, alignment, and mental abilities. The body retains its Strength, Dexterity, Constitution, hit points, natural abilities, and natural attacks (such as a bite or sting). A body with extra limbs does not allow you to make more attacks (or more advantageous two-weapon attacks) than normal. You can't choose to activate the body's extraordinary, spell-like, or supernatural abilities.  As a standard action, you can return to your own body, ending the spell. While your soul is possessing the target, your body is helpless. If the host body is slain, you return to your own body if it is within range, and the life force of the host departs (it is slain). If the host body is slain beyond the range of the spell, both you and the host die. Any life force with nowhere to go is treated as slain.</t>
  </si>
  <si>
    <t>As magic jar, but limited to line of sight.</t>
  </si>
  <si>
    <t>Masterwork Transformation</t>
  </si>
  <si>
    <t>bard 2, cleric/oracle 2, druid 2, sorcerer/wizard 2, witch 2, occultist 2</t>
  </si>
  <si>
    <t>V, S, M (see below)</t>
  </si>
  <si>
    <t>one weapon, suit of armor, shield, tool, or skill kit touched</t>
  </si>
  <si>
    <t>You convert a non-masterwork item into its masterwork equivalent. A normal sword becomes a masterwork sword, a suit of leather armor becomes a masterwork suit of leather armor, a set of thieves' tools becomes masterwork thieves' tools, and so on. If the target object has no masterwork equivalent, the spell has no effect. You can affect 50 pieces of ammunition as if they were one weapon. You decide if the object's appearance changes to reflect this improved quality.  The material component for the spell is magical reagents worth the cost difference between a normal item and the equivalent masterwork item (typically 300 gp for a weapon, 150 gp for armor, or 50 gp for a tool). If an object has multiple masterwork options (such as a double weapon, or a spiked shield that could be made masterwork as a weapon or armor), you choose one option of the object to affect (though you can cast the spell again to affect another option).</t>
  </si>
  <si>
    <t>Greed (2)</t>
  </si>
  <si>
    <t>Make a normal item into a masterwork one.</t>
  </si>
  <si>
    <t>Miserable Pity</t>
  </si>
  <si>
    <t>1 round/level and 1 minute; see text</t>
  </si>
  <si>
    <t>This spell functions as sanctuary, except creatures attempting to attack the target who fail their saves also feel a strong sense of pity toward the target, as if it were weak, pathetic, and not a threat. If the target breaks the spell by attacking, any creature that failed its save against the spell gains a +2 morale bonus on attack rolls against the target for 1 minute.</t>
  </si>
  <si>
    <t>Opponents cannot attack a pathetic creature.</t>
  </si>
  <si>
    <t>Monstrous Physique I</t>
  </si>
  <si>
    <t>alchemist 3, magus 3, sorcerer/wizard 3, bloodrager 3</t>
  </si>
  <si>
    <t>When you cast this spell, you can assume the form of any Small or Medium creature of the monstrous humanoid type. If the form you assume has any of the following abilities, you gain the listed ability: climb 30 feet, fly 30 feet (average maneuverability), swim 30 feet, darkvision 60 feet, low-light vision, and scent. If the form you assume has the aquatic subtype, you gain the aquatic and amphibious subtypes.  Small monstrous humanoid: If the form you take is that of a Small monstrous humanoid, you gain a +2 size bonus to your Dexterity and a +1 natural armor bonus.  Medium monstrous humanoid: If the form you take is that of a Medium monstrous humanoid, you gain a +2 size bonus to your Strength and a +2 natural armor bonus.</t>
  </si>
  <si>
    <t>Take the form and some of the powers of a Small or Medium monstrous humanoid.</t>
  </si>
  <si>
    <t>Each mythic monstrous physique spell must be learned individually, and you must know the respective non-mythic monstrous physique spell to learn its mythic version. You don't have to learn them in order, and aren't required to know a lower-level mythic monstrous physique spell before you learn a higher-level one (for example, you can learn mythic monstrous physique II if you know monstrous physique II, even if you don't know mythic monstrous physique I). Each mythic monstrous physique spell adds the following benefits to its respective non-mythic version. The spell's bonuses to ability scores increase by 2 each, the natural armor bonus increases by 1, and the ability score penalties decrease by 2 each (minimum penalty of 0). Alternatively, you can cast this spell on another willing creature, changing the range to touch and the target to one creature.</t>
  </si>
  <si>
    <t>Augmented (4th): If you expend two uses of mythic power, the ability score bonuses increase by an additional 2. Additionally, you can cast this spell on other willing creatures, changing the range to touch and the target to one creature per tier.</t>
  </si>
  <si>
    <t>Monstrous Physique II</t>
  </si>
  <si>
    <t>alchemist 4, magus 4, sorcerer/wizard 4, bloodrager 4</t>
  </si>
  <si>
    <t>This spell functions as monstrous physique I, except it also allows you to assume the form of a Tiny or Large creature of the monstrous humanoid type. If the form you assume has any of the following abilities, you gain the listed ability: climb 60 feet, fly 60 feet (good maneuverability), swim 60 feet, darkvision 60 feet, low-light vision, scent, freeze, grab, leap attack, mimicry, pounce, sound mimicry, speak with sharks, and trip. If the creature has the undersized weapons special quality, you gain that quality.  Tiny monstrous humanoid: If the form you take is that of a Tiny monstrous humanoid, you gain a +4 size bonus to your Dexterity, a -2 penalty to your Strength, and a +1 natural armor bonus.  Large monstrous humanoid: If the form you take is that of a Large monstrous humanoid, you gain a +4 size bonus to your Strength, a -2 penalty to your Dexterity, and a +4 natural armor bonus.</t>
  </si>
  <si>
    <t>Take the form and some of the powers of a Tiny or Large monstrous humanoid.</t>
  </si>
  <si>
    <t>Monstrous Physique III</t>
  </si>
  <si>
    <t>alchemist 5, magus 5, sorcerer/wizard 5</t>
  </si>
  <si>
    <t>This spell functions as monstrous physique II, except it also allows you to assume the form of a Diminutive or Huge creature of the monstrous humanoid type. If the form you assume has any of the following abilities, you gain the listed ability: burrow 30 feet, climb 90 feet, fly 90 feet (good maneuverability), swim 90 feet, all-around vision, blindsense 30 feet, darkvision 60 feet, low-light vision, scent, blood frenzy, cold vigor, constrict, ferocity, freeze, grab, horrific appearance, jet, leap attack, mimicry, natural cunning, overwhelming, poison, pounce, rake, sound mimicry, speak with sharks, trample, trip, and web. If the creature has the undersized weapons special quality, you gain that quality.  Diminutive monstrous humanoid: If the form you take is that of a Diminutive monstrous humanoid, you gain a +6 size bonus to your Dexterity, a -4 penalty to your Strength, and a +1 natural armor bonus.  Huge monstrous humanoid: If the form you take is that of a Huge monstrous humanoid, you gain a +6 size bonus to your Strength, a -4 penalty to your Dexterity, and a +6 natural armor bonus.</t>
  </si>
  <si>
    <t>Take the form and some of the powers of a Diminutive or Huge monstrous humanoid.</t>
  </si>
  <si>
    <t>Monstrous Physique IV</t>
  </si>
  <si>
    <t>alchemist 6, magus 6, sorcerer/wizard 6</t>
  </si>
  <si>
    <t>This spell functions as monstrous physique III except it allows you to use more abilities. If the form you assume has any of the following abilities, you gain the listed ability: burrow 60 feet, climb 90 feet, fly 120 feet (good maneuverability), swim 120 feet, blindsense 60 feet, darkvision 90 feet, low-light vision, scent, tremorsense 60 feet, blood frenzy, breath weapon, cold vigor, constrict, ferocity, freeze, grab, horrific appearance, jet, leap attack, mimicry, natural cunning, overwhelming, poison, pounce, rake, rend, roar, sound mimicry, speak with sharks, spikes, trample, trip, and web. If the creature has immunity or resistance to any energy types, you gain resistance 20 to those energy types. If the creature has vulnerability to an energy type, you gain that vulnerability. If the creature has immunity to poison, you gain a +8 bonus on saves against poison.</t>
  </si>
  <si>
    <t>As monstrous physique III, with more abilities.</t>
  </si>
  <si>
    <t>Murderous Command</t>
  </si>
  <si>
    <t>antipaladin 1, cleric/oracle 1, occultist 1, psychic 1, mesmerist 1, medium 1</t>
  </si>
  <si>
    <t>You give the target a mental urge to kill its nearest ally, which it obeys to the best of its ability. The target attacks its nearest ally on its next turn with a melee weapon or natural weapon. If necessary, it moves to or charges to the nearest ally in order to make this attack. If it is unable to reach its closest ally on its next turn, the target uses its turn to get as close as possible to the ally.</t>
  </si>
  <si>
    <t>Hatred (1)</t>
  </si>
  <si>
    <t>Target is compelled to kill its ally.</t>
  </si>
  <si>
    <t>This spell lasts for a number of rounds equal to your tier. Each round after the first, the target can attempt a new saving throw at the beginning of its turn to break free of the spell.</t>
  </si>
  <si>
    <t>Augmented: If you expend two uses of mythic power, the target attacks its nearest ally with its most powerful spell, spell-like ability, or supernatural ability. If it has no such ability, it attacks the ally with a melee weapon or natural weapon as normal and gains a +4 morale bonus on the attack and damage rolls.</t>
  </si>
  <si>
    <t>Oppressive Boredom</t>
  </si>
  <si>
    <t>bard 2, sorcerer/wizard 2, psychic 2, mesmerist 2, medium 2</t>
  </si>
  <si>
    <t>1 round/level or until broken (see text)</t>
  </si>
  <si>
    <t>You fill your target with boredom. The target loses all interest in its current task and must make a Will save against the spell's effect in order to perform its next action. If the target fails, it takes no action that round. The boredom lasts until the duration expires or the target breaks the spell's effect with a successful Will save.</t>
  </si>
  <si>
    <t>Target loses its next action.</t>
  </si>
  <si>
    <t>Oracle's Vessel</t>
  </si>
  <si>
    <t>oracle 4</t>
  </si>
  <si>
    <t>The target gains all the benefits of your oracle's curse, with none of the penalties. In some cases, this has no effect (for example, a fighter with your haunted curse can't cast spells and doesn't gain any benefit from having additional spells known).</t>
  </si>
  <si>
    <t>Oracle only. Target gains the benefits of your oracle's curse.</t>
  </si>
  <si>
    <t>Orb Of The Void</t>
  </si>
  <si>
    <t>cleric/oracle 8, sorcerer/wizard 8, psychic 8</t>
  </si>
  <si>
    <t>V, S, M (a black gemstone of any kind worth 50 gp)</t>
  </si>
  <si>
    <t>1-ft.-diameter sphere</t>
  </si>
  <si>
    <t>You create a small weightless sphere of pure negative energy. As a move action, you can move it up to 30 feet per round in any direction. If it enters a space with a living creature, it stops moving for the round and that creature gains one negative level (Fortitude negates). Any creature passing through or ending its turn in the space occupied by the sphere gains one negative level (Fortitude negates). Twenty-four hours after gaining a negative level from the sphere, the subject must make a Fortitude saving throw (the DC of this save is equal to the DC of this spell) for each negative level. If the save succeeds, that negative level is removed. If it fails, that negative level becomes permanent.  If more than one orb (from different castings of the spell) enters the same space, the orbs automatically fuse together. The resulting orb uses the higher of the two orbs' DCs as its DC and whichever duration has more time left. If the orbs are from different casters, each must make an opposed Intelligence check to move the sphere.  An undead creature that passes through or ends its turn in the space occupied by the orb gains 2d4 x 5 temporary hit points for 1 hour.</t>
  </si>
  <si>
    <t>Sphere inflicts negative levels.</t>
  </si>
  <si>
    <t>A creature that fails its save against the orb gains 2 negative levels rather than 1. A successful Fortitude save reduces this to 1 negative level.</t>
  </si>
  <si>
    <t>Augmented (6th): If you expend two uses of mythic power, the orb doesn't automatically stop when in enters a space with a living creature, but the saving throw DC decreases by 2 for each creature after the first it affects each round. An individual creature can be affected by the orb of the void only once per round, even if the orb moves through its space more than once.</t>
  </si>
  <si>
    <t>Overwhelming Grief</t>
  </si>
  <si>
    <t>You cause a single opponent to become profoundly stricken with intense grief. He can take no actions, takes a -2 penalty to Armor Class, and loses his Dexterity bonus (if any). He can attempt a new save each round to break the spell's effect.</t>
  </si>
  <si>
    <t>Grieving target can take no actions and is denied its Dex bonus.</t>
  </si>
  <si>
    <t>Enchantment (8)</t>
  </si>
  <si>
    <t>Overwhelming Presence</t>
  </si>
  <si>
    <t>bard 6, cleric/oracle 9, inquisitor 6, sorcerer/wizard 9, psychic 4, mesmerist 6</t>
  </si>
  <si>
    <t>V, S, M (a swan feather)</t>
  </si>
  <si>
    <t>Your presence inspires incredible awe in those nearby. A creature that fails a save against this spell falls to the ground and prostrates itself before you, believing it bows before a divine presence. A flying creature incapable of hovering must land immediately in order to prostrate itself. These creatures are considered to be helpless for the duration of the spell.  Each round on its turn, a target of this spell may attempt a new saving throw to end the effect; this is a full-round action that does not provoke attacks of opportunity. A creature that recovers from this spell early after being affected by it for at least 1 round takes 1d6 points of Wisdom drain and is staggered for 1d4 rounds. A creature that makes the initial save to resist this spell is merely staggered for 1 round.</t>
  </si>
  <si>
    <t>Aristocracy (9)</t>
  </si>
  <si>
    <t>Creatures bow before you as if you were divine.</t>
  </si>
  <si>
    <t>Imperious (19), Martyred (19)</t>
  </si>
  <si>
    <t>Insanity (18)</t>
  </si>
  <si>
    <t>Pernicious Poison</t>
  </si>
  <si>
    <t>antipaladin 2, druid 2, sorcerer/wizard 2, witch 2, occultist 2</t>
  </si>
  <si>
    <t>You weaken the target's defenses against poison. The target gains a -4 penalty on saves against poison, and poisons affecting the target continue for another 2 frequency increments (for example, black adder venom lasts 8 rounds instead of 6, and arsenic lasts for 6 minutes instead of 4). Attempts to cure the poisoned target with skill or magic take a -4 penalty.</t>
  </si>
  <si>
    <t>Venom (2)</t>
  </si>
  <si>
    <t>Target takes a –4 penalty against poison.</t>
  </si>
  <si>
    <t>The number of successful saving throws needed to cure a poison increases by one. If the poison deals ability damage on a failed saving throw, that ability damage increases by 1.</t>
  </si>
  <si>
    <t>Augmented (6th): If you expend two uses of mythic power, the target's penalty on saves against poison increases to -8, and the penalty for attempting to cure the target with skill or magic increases to -8. If you expend three uses of mythic power, the poison bypasses the creature's poison immunity (this doesn't affect poison immunity from not having a Constitution score).</t>
  </si>
  <si>
    <t>Persuasive Goad</t>
  </si>
  <si>
    <t>instantaneous and 1 minute</t>
  </si>
  <si>
    <t>Your eyes flash and the target takes 1d6 points of nonlethal damage. For the next minute, you gain a +4 circumstance bonus on Intimidate checks against the target.</t>
  </si>
  <si>
    <t>Target takes 1d6 nonlethal damage; you gain an Intimidate bonus.</t>
  </si>
  <si>
    <t>Piercing Shriek</t>
  </si>
  <si>
    <t>pain, sonic</t>
  </si>
  <si>
    <t>bard 2, psychic 2</t>
  </si>
  <si>
    <t>medium (100 ft. + 10ft./level)</t>
  </si>
  <si>
    <t>You emit an ear-splitting shriek which can be heard only by the target of this spell; all other observers merely see you screaming silently. The target suffers wracking pain from the scream, gaining the staggered condition. This spell has no effect on deaf creatures and cannot penetrate an area of silence.</t>
  </si>
  <si>
    <t>Target is staggered by a painful sound.</t>
  </si>
  <si>
    <t>Plague Carrier</t>
  </si>
  <si>
    <t>cleric/oracle 4, druid 4, sorcerer/wizard 5, witch 5</t>
  </si>
  <si>
    <t>The target's natural attacks carry filth fever (DC 10 + 1/2 of the creature's Hit Dice + creature's Con modifier)</t>
  </si>
  <si>
    <t>Target's attacks carry filth fever.</t>
  </si>
  <si>
    <t>Plague Storm</t>
  </si>
  <si>
    <t>1 minute/level and instantaneous (see text)</t>
  </si>
  <si>
    <t>You create a hideous gray cloud, similar to fog cloud, that occasionally crackles with foul-smelling bolts of sickly green lightning. Creatures in the area must save or contract one of the following diseases: blinding sickness, bubonic plague, cackle fever, demon fever, devil chills, filth fever, leprosy, mindfire, red ache, shakes, or slimy doom (the disease is chosen by you when you cast the spell and applies to all creatures that fail the save). The disease is contracted immediately (the onset period does not apply) and is an instantaneous effect. Use the disease's listed frequency to determine further effects, but the disease's save DC increases by +2. For more information see page 557 of the Core Rulebook.  Unlike a fog cloud, the plague storm moves away from you at 10 feet per round, rolling along the surface of the ground.  Figure out the cloud's new spread each round based on its new point of origin, which is 10 feet farther away from the point of origin where you cast the spell.  Because the vapors are heavier than air, they sink to the lowest level of the terrain, even pouring down den or sinkhole openings. The cloud cannot penetrate liquids, nor can it be cast underwater.</t>
  </si>
  <si>
    <t>Cloud infects creatures like contagion.</t>
  </si>
  <si>
    <t>Play Instrument</t>
  </si>
  <si>
    <t>You may play one instrument of your choice as if you had 1 rank in the appropriate Perform skill. Instead of a conventional instrument, you may use an object as an improvised instrument, such as using a barrel as a drum or a bow as a harp, playing it as if it were crafted to make music.</t>
  </si>
  <si>
    <t>Play instrument as if you were skilled.</t>
  </si>
  <si>
    <t>Polar Midnight</t>
  </si>
  <si>
    <t>cold, darkness</t>
  </si>
  <si>
    <t>30-ft. spread</t>
  </si>
  <si>
    <t>You plunge an area into the brutal chill of the arctic night.  Illumination conditions are dropped by two steps (though only to darkness, not supernatural darkness), and all creatures in the area take 5d6 points of cold damage and 1d6 points of Dexterity damage per round. A successful Fortitude save each round negates the Dexterity damage but not the cold damage.  Any creature that doesn't move on its turn becomes encased in a sheath of ice equivalent to wall of ice, is helpless, and cannot breathe. Corpses in the area for longer than 1 round are transmuted into solid ice; reviving the icy corpse requires true resurrection, miracle, or wish. As a move action, you may move the area of effect up to 10 feet in any direction.</t>
  </si>
  <si>
    <t>Cold darkness paralyzes and deals damage.</t>
  </si>
  <si>
    <t>Winter (18)</t>
  </si>
  <si>
    <t>Polypurpose Panacea</t>
  </si>
  <si>
    <t>alchemist 1, sorcerer/wizard 1, psychic 1, mesmerist 1</t>
  </si>
  <si>
    <t>This creates one of several cantrip-level effects relating to your health, well-being, and entertainment. The panacea has no side effects (for example, the intoxication panacea does not cause a hangover). When you use polypurpose panacea, choose one of the following effects.  Analgesic: You do not feel minor aches and pains, such as from arthritis, a cold, or a hangover, for 1 hour. For the duration, you gain a +2 resistance bonus against pain-related spells.  Clarity: You get a +1 competence bonus on a single attack roll, saving throw, or skill check within 1 minute. You must choose to use the bonus before making the roll to which it applies.  Hallucination: You have pleasant hallucinations for 1 hour, such as wandering lights, music, playful surreal animals, and so on. You can tell these are not real, but they are distracting, and you take a -2 penalty on Perception checks for the duration.  Intoxication: You feel comfortably intoxicated for 1 hour, as if you had a few alcoholic beverages.  Lucid Dream: If you take this panacea within 1 hour of going to sleep, you have a lucid dream that is under your control and lasts for an hour.  Resistance: You gain a +1 resistance bonus on saves for 1 minute.  Sleep: You enter a pleasant and restful sleep for at least 1 hour unless wakened. If you would normally begin sleeping at this time, when the panacea ends you continue sleeping normally.  Sobriety: You become completely sober for 1 hour, negating any penalties to your actions for being drunk (GameMastery Guide 237). Magical and alchemical methods (such as detect poison) still detect you as inebriated. Time spent under the effect of this panacea do not count toward the time necessary to sober up (it merely delays your intoxication).  Tenacity: You gain 1 temporary hit point for 1 minute.  Wakefulness: You remain awake for 2 hours without feeling sleepy, and without side effects such as jitteriness. You gain a +5 resistance bonus against sleep-related spells such as lullaby and sleep. This use of the panacea merely delays your need for sleep and does not count as rest or sleep. You can use it multiple times in succession, but as each effect wears off, you are as tired as you would be had you not used the panacea.</t>
  </si>
  <si>
    <t>Gain a relaxing or entertaining effect.</t>
  </si>
  <si>
    <t>Possess Object</t>
  </si>
  <si>
    <t>sorcerer/wizard 5, witch 5</t>
  </si>
  <si>
    <t>one object; see text</t>
  </si>
  <si>
    <t>This spell functions as magic jar, except you transfer your mind to a single object, animating it as if using animate objects, except your mind controls the object as if it were your own body. You cannot speak or cast spells while possessing the object. Because your original body is effectively dead while under the effect of this spell, this temporarily suspends disease, poisons, and other afflictions affecting you.</t>
  </si>
  <si>
    <t>Possess and animate one object.</t>
  </si>
  <si>
    <t>Prediction of Failure</t>
  </si>
  <si>
    <t>curse, fear, mind-affecting</t>
  </si>
  <si>
    <t>sorcerer/wizard 8, witch 8, occultist 6, psychic 8</t>
  </si>
  <si>
    <t>permanent or 1 round/level (see text)</t>
  </si>
  <si>
    <t>You wrack the target's body and mind with the anguish and suffering of every bitter failure it will ever experience, rendering it permanently shaken and sickened. A successful Will save reduces the duration to 1 round per level. If the target is a spellcaster, failing this saving throw means it also gains a random minor spellblight (see page 95).</t>
  </si>
  <si>
    <t>Target is permanently shaken and sickened, and may gain a spellblight.</t>
  </si>
  <si>
    <t>Imperious (17)</t>
  </si>
  <si>
    <t>Primal Scream</t>
  </si>
  <si>
    <t>You voice a mighty yell from the depths of your soul, invigorating yourself and dispelling enchantment and paralysis effects. This functions as break enchantment, except it only affects you and only frees you from enchantment and paralysis effects. If the caster level check to break the hostile effect succeeds, you give voice to your scream and the spell takes effect normally; if not, this spell fails without further effect. You can cast this spell even when paralyzed or unable to speak because of an enchantment effect, but not in an area of silence , if you are unable to speak for reasons other than enchantments or paralysis (for example, if you are gagged), or if cast in an environment where speaking is not possible.</t>
  </si>
  <si>
    <t>Free yourself from enchantments and paralysis effects.</t>
  </si>
  <si>
    <t>Protective Penumbra</t>
  </si>
  <si>
    <t>cleric/oracle 2, sorcerer/wizard 2, witch 2, occultist 2, psychic 2, spiritualist 2</t>
  </si>
  <si>
    <t>This spell keeps the target slightly in shadow. A target with light blindness, light sensitivity, or vulnerability to sunlight (such as vampires and wraiths) may ignore penalties from those qualities. The spell gives the target a +2 bonus on saving throws against nonmagical hazards related to bright light, such as glare or sunburn.</t>
  </si>
  <si>
    <t>Shadow protects the target from light.</t>
  </si>
  <si>
    <t>Rain of Frogs</t>
  </si>
  <si>
    <t>bard 3, druid 3, sorcerer/wizard 3, summoner/unchained summoner 3, witch 3, shaman 4, psychic 3</t>
  </si>
  <si>
    <t>one swarm of poisonous frogs</t>
  </si>
  <si>
    <t>This spell functions as summon swarm, except you summon a swarm of poisonous frogs. This swarm has the statistics of a centipede swarm (Bestiary 43), except it has the animal type and its poison deals Constitution damage instead of Dexterity damage.</t>
  </si>
  <si>
    <t>Summon a swarm of poisonous frogs.</t>
  </si>
  <si>
    <t>Raise Animal Companion</t>
  </si>
  <si>
    <t>druid 5, paladin 4, ranger 4</t>
  </si>
  <si>
    <t>V, S, M (a diamond worth 1,000 gp)</t>
  </si>
  <si>
    <t>dead animal companion or bonded mount</t>
  </si>
  <si>
    <t>This spell functions as raise dead, but it only affects an animal companion, familiar, or paladin's bonded mount.</t>
  </si>
  <si>
    <t>As raise dead, but on an animal.</t>
  </si>
  <si>
    <t>Rapid Repair</t>
  </si>
  <si>
    <t>cleric/oracle 5, sorcerer/wizard 5, occultist 4</t>
  </si>
  <si>
    <t>The targeted construct gains fast healing 5. This does not stack with any fast healing the construct already has. Fast healing has no effect on a construct that has been brought to 0 hit points or destroyed.</t>
  </si>
  <si>
    <t>Construct gains fast healing 5.</t>
  </si>
  <si>
    <t>Ray of Sickening</t>
  </si>
  <si>
    <t>cleric/oracle 1, druid 1, sorcerer/wizard 1, summoner/unchained summoner 1, witch 1, bloodrager 1, mesmerist 1</t>
  </si>
  <si>
    <t>This spell functions as ray of exhaustion, except the target is sickened if it fails its save and unaffected if it makes its save.</t>
  </si>
  <si>
    <t>Plague (1)</t>
  </si>
  <si>
    <t>Ray makes the subject sickened.</t>
  </si>
  <si>
    <t>Reckless Infatuation</t>
  </si>
  <si>
    <t>bard 2, sorcerer/wizard 3, witch 3, psychic 3, mesmerist 2</t>
  </si>
  <si>
    <t>You fill your target with feelings of intense infatuation for a specific individual known to the target. At the time of the casting, you designate a single creature as the focus of the target's desire.  Thereafter, the target does all it can to remain within 30 feet of the object of its desire. If the target moves outside this range, it gains the staggered condition until it is again near the focus of its desire. If remaining within 30 feet of the focus of its affection would place the target in obvious physical danger, the target can attempt a second save to break the spell's effect.  Reckless infatuation counters unadulterated loathing.</t>
  </si>
  <si>
    <t>Target is compelled to stay near another.</t>
  </si>
  <si>
    <t>Remove Sickness</t>
  </si>
  <si>
    <t>cleric/oracle 1, druid 1, witch 1, mesmerist 1, spiritualist 1</t>
  </si>
  <si>
    <t>You quell feelings of illness and nausea in the target, giving it a +4 morale bonus on saving throws against disease, nausea, and sickened effects. If the subject is already under the influence of one of these effects when receiving the spell, that effect is suppressed for the duration of the spell.</t>
  </si>
  <si>
    <t>Suppress disease, nausea, and the sickened condition.</t>
  </si>
  <si>
    <t>Reprobation</t>
  </si>
  <si>
    <t>curse, see text</t>
  </si>
  <si>
    <t>cleric/oracle 5, druid 5, inquisitor 4, paladin 4</t>
  </si>
  <si>
    <t>one creature of your faith</t>
  </si>
  <si>
    <t>You cast the target out of your religion as a curse and punishment for acts or misdeeds against the tenets of your faith. This has three effects.  First, the target is marked with a magical symbol visible only to members of your faith. This symbol indicates that the target has transgressed and that the faithful should not help it. Likewise, the target is not to be persecuted because of the mark (though this would not keep members of a lawful faith from imprisoning a known criminal if these crimes were known to have taken place after he gained the mark).  Second, the target is no longer affected by helpful spells cast by the faithful and is always treated as an enemy for the purpose of other spells cast by those of your faith. For example, cure light wounds cast by a member of your faith has no effect on the target. If the target were traveling with a cleric of your faith who cast prayer, that spell would penalize rather than aid the target, despite the target's friendship with the cleric.  Third, if the target is a divine spellcaster, a member of a prestige class of your faith, or otherwise has some ability because the target belongs to your faith, it cannot use those abilities while the mark remains in place. For example, a paladin of your faith would be unable to cast paladin spells or use lay on hands or other class abilities. The target can join another faith to regain the use of these abilities, but the mark remains visible to those of your faith, even if those of the new faith accept the target.  This powerful spell with no saving throw is used to punish severe transgressions that do not deserve death or when you prefer to be merciful rather than meting out a more severe punishment. However, the spell has one drawback that prevents it from being overused. If the target did not commit any acts or misdeeds against your faith, the spell does not affect it but affects you instead, even if you are innocent of the charges.  This potential backlash prevents inquisitions run by corrupt members of the faith, and it means that most accusations of misconduct are carefully investigated (and usually verified with magic) before this sentence is handed down.  This mark can be removed like any other curse effect. In addition, a member of your faith can use atonement to break the curse if he makes a caster level check against your caster level; remove curse also requires a caster of your faith and a caster level check to end the reprobation.</t>
  </si>
  <si>
    <t>Marked target is shunned by your religion.</t>
  </si>
  <si>
    <t>Resonating Word</t>
  </si>
  <si>
    <t>You speak a terrible word of power, setting up potentially lethal vibrations in the chosen target. The target must save once each round on your turn, and the effects grow stronger for each saving throw the creature fails.  On the first round, the target takes 5d6 points of sonic damage and is staggered for 1 round. A successful save halves the damage and negates the staggered effect.  On the second round, the target takes 5d6 points of damage and is stunned for 1 round. A successful save halves the damage and negates the stunning effect.  On the third round, the target takes 10d6 points of damage and is stunned for 1d4+1 rounds. A successful save halves the damage and negates the stunning effect.  The resonating word has no power after the third round, even if the spell's duration is increased.</t>
  </si>
  <si>
    <t>Target is damaged, staggered, and stunned.</t>
  </si>
  <si>
    <t>The damage dealt increases to 8d6 points on the 1st and 2nd rounds and 15d6 on the 3rd round. The target takes a -4 penalty on saving throws against all sonic effects.</t>
  </si>
  <si>
    <t>Restore Corpse</t>
  </si>
  <si>
    <t>cleric/oracle 1, druid 1, sorcerer/wizard 1, witch 1, occultist 1, psychic 1, medium 1</t>
  </si>
  <si>
    <t>You grow flesh on a decomposed or skeletonized corpse of a Medium or smaller creature, providing it with sufficient flesh that it can be animated as a zombie rather than a skeleton. The corpse looks as it did when the creature died. The new flesh is somewhat rotted and not fit for eating.</t>
  </si>
  <si>
    <t>Skeletal corpse grows flesh.</t>
  </si>
  <si>
    <t>Restore Eidolon</t>
  </si>
  <si>
    <t>This spell functions as restoration, except it only affects an eidolon.</t>
  </si>
  <si>
    <t>Restoration for an eidolon.</t>
  </si>
  <si>
    <t>Restore Eidolon, Lesser</t>
  </si>
  <si>
    <t>This spell functions as lesser restoration, except it only affects an eidolon.</t>
  </si>
  <si>
    <t>Lesser restoration for an eidolon.</t>
  </si>
  <si>
    <t>Ride the Lightning</t>
  </si>
  <si>
    <t>You may transform into lightning as a standard action and instantly travel in a straight line to a distance of up to 120 feet, rematerializing in the new location as a free action. This movement does not provoke attacks of opportunity. Creatures in this line take 10d6 points of electrical damage and are staggered for 1 round (a successful Reflex save halves the damage and negates the staggered condition, spell resistance applies).  Objects in your path are damaged as well, with combustible objects being set ablaze and metals with low melting points melted. If your path is interrupted by a barrier or otherwise deflected, you materialize short of your final destination in the nearest open space; targets in the line to that point take damage as normal. You are immune to electricity while this spell lasts.</t>
  </si>
  <si>
    <t>Transform into electricity.</t>
  </si>
  <si>
    <t>Ride The Waves</t>
  </si>
  <si>
    <t>cleric/oracle 4, druid 4, sorcerer/wizard 4, witch 4, bloodrager 4, shaman 4</t>
  </si>
  <si>
    <t>The target gains the ability to breathe water and a swim speed of 30 feet. This swim speed means the target also gains the standard +8 bonus on Swim checks and the ability to take 10 on Swim checks even while distracted or endangered. The target can use the run action while swimming, provided it swims in a straight line. The spell does not make the target unable to breathe air.</t>
  </si>
  <si>
    <t>Target can breathe water and swim.</t>
  </si>
  <si>
    <t>Sanctify Corpse</t>
  </si>
  <si>
    <t>cleric/oracle 1, inquisitor 1, paladin 1, witch 1, spiritualist 1</t>
  </si>
  <si>
    <t>V, S, DF, M (a pinch of silver dust)</t>
  </si>
  <si>
    <t>This spell blesses a corpse with positive energy, preventing it from being turned into an undead creature. Attempts to raise the corpse as an undead automatically fail. If the corpse is of a person slain by a creature that creates undead out of its slain foes (such as a shadow, vampire, or wraith), that is delayed until the end of this spell. It is possible to protect a corpse for an extended time by casting this spell each day.  Sanctify corpse can be made permanent with a permanency spell by a caster of 9th level or higher for the cost of 500 gp.</t>
  </si>
  <si>
    <t>Prevent a corpse from becoming an undead creature.</t>
  </si>
  <si>
    <t>Sands of Time</t>
  </si>
  <si>
    <t>cleric/oracle 3, sorcerer/wizard 3, witch 3, shaman 4, occultist 3, psychic 3, spiritualist 3</t>
  </si>
  <si>
    <t>touched creature or object</t>
  </si>
  <si>
    <t>10 minutes/level or instantaneous (see text)</t>
  </si>
  <si>
    <t>You temporarily age the target, immediately advancing it to the next age category. The target immediately takes the age penalties to Strength, Dexterity, and Constitution for its new age category, but does not gain the bonuses for that category.  A creature whose age is unknown is treated as if the spell advances it to middle age. Ageless or immortal creatures are immune to this spell.  If you cast this on an object, construct, or undead creature, it takes 3d6 points of damage + 1 point per caster level (maximum +15) as time weathers and corrodes it. This version of the spell has an instantaneous duration.</t>
  </si>
  <si>
    <t>Target temporarily ages.</t>
  </si>
  <si>
    <t>Scouring Winds</t>
  </si>
  <si>
    <t>air, earth</t>
  </si>
  <si>
    <t>druid 7, sorcerer/wizard 7, witch 7</t>
  </si>
  <si>
    <t>sandstorm in 20-ft. radius, 20 ft. high</t>
  </si>
  <si>
    <t>This spell brings forth a windstorm of stinging sand that blocks all vision. You can move the storm up to 30 feet each round as a move action.  Any creature in the area takes 3d6 points of piercing damage each round. The area is considered a windstorm (see Table 13-10: Wind Effects, Core Rulebook 439).  If a creature with spell resistance successfully resists this spell, it is unaffected by the winds and sand, but still unable to see within the area of the spell.</t>
  </si>
  <si>
    <t>Winds block vision and deal 3d6 damage.</t>
  </si>
  <si>
    <t>The spell's damage increases to 4d8 points of piercing damage. Any creature in the area at the start of your turn must succeed at a Reflex save or be blinded for as long as it remains in the area and for 1d4 rounds after it leaves.</t>
  </si>
  <si>
    <t>Augmented (5th): If you expend two uses of mythic power, the sandstorm's radius and height each increase to 40 feet, and the damage dealt increases to 6d8 points of piercing damage. Each round, you can either move the storm up to 50 feet as a move action or up to 10 feet as a swift action.</t>
  </si>
  <si>
    <t>Sculpt Simulacrum</t>
  </si>
  <si>
    <t>sorcerer/wizard 2, psychic 2</t>
  </si>
  <si>
    <t>simulacrum touched</t>
  </si>
  <si>
    <t>You create cosmetic changes to a simulacrum, similar to disguise self, except the changes are physical rather than illusory. This does not change any of the simulacrum's abilities.</t>
  </si>
  <si>
    <t>Alter a simulacrum's appearance.</t>
  </si>
  <si>
    <t>Serenity</t>
  </si>
  <si>
    <t>bard 4, cleric/oracle 5, sorcerer/wizard 6, psychic 5, mesmerist 4</t>
  </si>
  <si>
    <t>You fill the targets' minds with feelings of tranquility. Those attempting to commit violence become stricken with wracking pain and take 3d6 points of nonlethal damage each round they attempt to harm another creature. If attacked, affected individuals can defend themselves and may participate in combat by using Combat Expertise, fighting defensively, or taking the total defense action without triggering the spell's nonlethal damage.</t>
  </si>
  <si>
    <t>Peaceful feelings harm those attempting violence.</t>
  </si>
  <si>
    <t>Peace (10)</t>
  </si>
  <si>
    <t>Shadowbard</t>
  </si>
  <si>
    <t>phantom singer</t>
  </si>
  <si>
    <t>You conjure up a quasi-real phantom singer that is visible as a shifting, shadowy duplicate of yourself. The singer follows you automatically, moving as you move even if you teleport.  The singer cannot be damaged, but can be dispelled. When a shadowbard comes into being, it immediately begins a bardic performance of your choice-it has access to all of the bardic performances that you do. It continues that bardic performance until you direct it as a move action to switch to a different performance. Rounds spent by a shadowbard creating a bardic performance do not decrease the number of rounds you can use your own bardic performance, nor can a shadowbard's bardic performance be used to trigger spells that require you to begin or cease a bardic performance.</t>
  </si>
  <si>
    <t>Shadowy duplicate starts a bardic performance.</t>
  </si>
  <si>
    <t>Shadow Step</t>
  </si>
  <si>
    <t>bard 4, sorcerer/wizard 4, witch 4, psychic 4, spiritualist 4</t>
  </si>
  <si>
    <t>To use this spell, you must be in an area of dim light or darkness. You enter a shadow or area of darkness, which transports you along a coiling path of shadowstuff to another dim or dark location within range.</t>
  </si>
  <si>
    <t>Teleport from one shadow to another.</t>
  </si>
  <si>
    <t>Shadow Weapon</t>
  </si>
  <si>
    <t>sorcerer/wizard 1, witch 1, bloodrager 1, occultist 1, psychic 1</t>
  </si>
  <si>
    <t>one shadow weapon</t>
  </si>
  <si>
    <t>Drawing upon the Plane of Shadow, you shape a quasi-real masterwork melee weapon of a type you are proficient with. You may use this weapon to make attacks as if it were a real weapon, dealing normal damage for a weapon of its type. The first time you hit a creature with the weapon, it may make a Will save to disbelieve; failure means the weapon deals damage normally, success means it only takes 1 point of damage from the weapon's attacks. The weapon only deals 1 point of damage to objects.  If an attacked creature has spell resistance, you make a caster level check (1d20 + caster level) against that spell resistance the first time the shadow weapon strikes it. If the weapon is successfully resisted, the spell is dispelled. If not, the target may save to disbelieve as normal.  At 5th level, the weapon gains a +1 enhancement bonus. At 10th-level, you may increase the enhancement bonus to +2 or add the frost or keen weapon property. The frost and keen properties have no effect if the target makes its disbelief save.  The spell ends if the weapon leaves your possession.</t>
  </si>
  <si>
    <t>Create a quasi-real masterwork weapon.</t>
  </si>
  <si>
    <t>Add your tier to your caster level when determining what enhancement bonus or weapon special abilities the weapon can have. The weapon deals half damage to creatures that disbelieve in it and to objects, instead of only 1 point. You can spend a swift action to transform the weapon into a dull black metal ring on your finger, or to return it from its ring form to its weapon form in your hand.</t>
  </si>
  <si>
    <t>Shard of Chaos</t>
  </si>
  <si>
    <t>chaos</t>
  </si>
  <si>
    <t>dart-shaped projectile of chaotic energy</t>
  </si>
  <si>
    <t>instantaneous (1d6 rounds)</t>
  </si>
  <si>
    <t>You hurl a multicolored shard of congealed chaos from your holy symbol, affecting any one target in range as a ranged touch attack.  A lawful creature struck by the shard takes 1d8 points of damage per two caster levels (maximum 5d8). A lawful outsider instead takes 1d6 points of damage per caster level (maximum 10d6) and is slowed (as slow) for 1 round. A successful Will save reduces the damage to half and negates the slow effect. The bolt has no effect on chaotic creatures. This spell deals only half damage to creatures that are neither lawful nor chaotic, and they are not slowed.</t>
  </si>
  <si>
    <t>Harm and possibly slow lawful creatures.</t>
  </si>
  <si>
    <t>Share Memory</t>
  </si>
  <si>
    <t>bard 2, sorcerer/wizard 2, witch 2, occultist 2, psychic 2, mesmerist 2, medium 2</t>
  </si>
  <si>
    <t>you and one creature touched</t>
  </si>
  <si>
    <t>You momentarily link your mind with the target and share a single memory of no longer than 1 minute. You can show the target one of your memories, show the target one of its own memories, or view one of the target's memories.</t>
  </si>
  <si>
    <t>Share one memory with the target.</t>
  </si>
  <si>
    <t>Simulacrum, Lesser</t>
  </si>
  <si>
    <t>sorcerer/wizard 4, psychic 4</t>
  </si>
  <si>
    <t>V, S, M (an ice sculpture of the target plus powdered rubies worth 50 gp per HD of the simulacrum)</t>
  </si>
  <si>
    <t>This spell functions as simulacrum, except you can't create a simulacrum of a creature whose HD or levels exceed your caster level, and it has no magical abilities. The creature is not under your control, though it recognizes you are its creator.</t>
  </si>
  <si>
    <t>Creates a double of a weak creature.</t>
  </si>
  <si>
    <t>Skinsend</t>
  </si>
  <si>
    <t>alchemist 2, sorcerer/wizard 2, witch 2, occultist 2, psychic 2</t>
  </si>
  <si>
    <t>You cause your own skin to peel off your body and animate as a magical creature you control. You may project your consciousness to your animated skin or return it to your actual body as a standard action. When your consciousness is in your body, you are helpless (except for transferring your will to your skin, or dismissing the spell).  Your possessed skin is identical to you in all ways, except the following: It has only half the number of hit points you had at the time you cast the spell, and cannot be healed above this maximum; construct type, traits, and immunities; Str 3, Con -; DR 10/piercing or slashing; and compression (as the universal monster ability, Bestiary 2 295). Your skin can take any actions you could normally take in your own body (such as to fight or cast spells).  When your skin leaves your body, your body's hit points drop to 0. Your body cannot heal damage naturally while you have no skin, nor do spells that cure hit point damage work on your body; only regeneration (from a regenerate spell, ring of regeneration, the regeneration monster ability, or any other effect that can regrow missing limbs) or heal can regrow your skin and allow you heal above 0 hit points.  If your body is regenerated before your skin returns to it, the skin dies and your consciousness returns automatically to your body. Your skin can be preserved with gentle repose and is suitable for any purpose that requires some of your flesh (such as a resurrection spell) or any magic or ritual that requires a creature's skin.  When your skin returns to your body, you regain hit points equal to your skin's remaining hit points. If the spell ends before you reunite with your skin or if your skin is killed while you are in your body, you remain helpless and at 0 hit points until your full body is restored to you (requiring powerful magic, as described above). If your body dies while you are possessing your skin, you die when the spell ends, regardless of how many hit points the skin has left. If your body or skin is slain with your consciousness in it, the spell ends and you are instantly killed.  This spell leaves long scars on your skin where it split apart, although these fade normally with the use of healing magic.</t>
  </si>
  <si>
    <t>Animate and possess your own skin as if it were a separate creature.</t>
  </si>
  <si>
    <t>Smug Narcissism</t>
  </si>
  <si>
    <t>bard 3, sorcerer/wizard 5, witch 5, psychic 5, mesmerist 3</t>
  </si>
  <si>
    <t>V, S, M (a tiny shard of a mirror)</t>
  </si>
  <si>
    <t>You cause your target to become overwhelmed by its own importance, talents, and attractiveness. The target cannot help but look at itself in every reflective surface at every possible opportunity. In social situations, the target always tries to comment about how attractive it is or how ugly someone else is by comparison. The target remains constantly distracted, always looking for a reflective surface to gaze upon (such as a mirror, pool of water, a polished shield, and so on). The distraction gives the target a -2 penalty on all skill checks. In combat, the target worries about enemies damaging its appearance, and focuses on defense rather than offense (casting defensive spells rather than offensive spells, using the fight defensively or total defense action, and so on).</t>
  </si>
  <si>
    <t>Target is distracted by its sense of self.</t>
  </si>
  <si>
    <t>Snapdragon Fireworks</t>
  </si>
  <si>
    <t>bard 2, sorcerer/wizard 1</t>
  </si>
  <si>
    <t>S, V, M (a bundle of sulfur wrapped in cloth)</t>
  </si>
  <si>
    <t>dragon-shaped fireworks</t>
  </si>
  <si>
    <t>A favorite display at halfling midsummer festivals, this spell lets you create fireworks in the shape of tiny dragons.  Once per round, as a move action, you may designate a target 5-foot-square within range and launch a pyrotechnic in that direction. The pyrotechnic takes a zigzag path from you to that square, always missing creatures and objects in its path, and detonates in that square with a bang and a colorful burst of fire and light. Creatures in the target square take 1d4 points of fire damage and are dazzled for 1 round (Reflex half, a successful save negates the dazzled condition).  Normally when this spell is used as part of a festival, the chosen target is high in the sky to increase visibility and protect observers.</t>
  </si>
  <si>
    <t>Create 1 dragon firework/level.</t>
  </si>
  <si>
    <t>Sonic Thrust</t>
  </si>
  <si>
    <t>bard 4, sorcerer/wizard 5, psychic 5</t>
  </si>
  <si>
    <t>Will negates (object) or none (see text)</t>
  </si>
  <si>
    <t>yes (object) (see text)</t>
  </si>
  <si>
    <t>You produce a sweeping rush of sound that can hurl creatures or objects away from you, like the violent thrust version of telekinesis. You can hurl one object or creature per caster level (maximum 15) that is within range; it flies in a straight line away from you. Any objects of creatures thrown must be within 10 feet of each other. You can hurl a total weight of up to 25 pounds per caster level (maximum 375 pounds at 15th level).  You can use this spell to hurl an object or creature toward a particular target. You must succeed on attack rolls (one per creature or object thrown) to hit the target with the items, using your base attack bonus + your Intelligence modifier (if a wizard) or Charisma modifier (if a bard or sorcerer). Hurled weapons cause standard damage (with no Strength bonus; note that arrows or bolts deal damage as daggers of their size when used in this manner). Other objects cause damage ranging from 1 point per 25 pounds (for less dangerous objects) to 1d6 points of damage per 25 pounds (for hard, dense objects). Objects and creatures that miss their target land in a square adjacent to the target.  Creatures that fall within the weight capacity of the spell can be hurled, but they are allowed Will saves (and spell resistance) to negate the effect, as are those whose held possessions are targeted by the spell.  If a hurled creature is thrown against a solid surface, it takes damage as if it had fallen 10 feet (1d6 points).</t>
  </si>
  <si>
    <t>Sound moves targets away from you.</t>
  </si>
  <si>
    <t>Soothe Construct</t>
  </si>
  <si>
    <t>cleric/oracle 4, sorcerer/wizard 5, occultist 4</t>
  </si>
  <si>
    <t>You soothe the elemental spirit of a targeted construct, reducing its chance of going berserk by 1d4% per four caster levels (maximum 5d4%). If cast on a construct that has already gone berserk and you are its master, you may immediately roll d% to end the construct's berserk state, it returns to normal functioning, and its berserk chance returns to 0%.</t>
  </si>
  <si>
    <t>Reduce the berserk chance of a construct.</t>
  </si>
  <si>
    <t>Spear Of Purity</t>
  </si>
  <si>
    <t>spear-shaped projectile of good energy</t>
  </si>
  <si>
    <t>instantaneous (1 round)</t>
  </si>
  <si>
    <t>You hurl a pure white or golden spear of light from your holy symbol, affecting any one target within range as a ranged touch attack.  An evil creature struck by the spear takes 1d8 points of damage per two caster levels (maximum 5d8). An evil outsider instead takes 1d6 points of damage per caster level (maximum 10d6) and is blinded for 1 round. A successful Will save reduces the damage to half and negates the blinded effect. This spell deals only half damage to creatures that are neither evil nor good, and they are not blinded. The spear has no effect on good creatures.</t>
  </si>
  <si>
    <t>Harm and possibly blind evil creatures.</t>
  </si>
  <si>
    <t>Spit Venom</t>
  </si>
  <si>
    <t>cleric/oracle 4, druid 3, witch 3, shaman 4</t>
  </si>
  <si>
    <t>one stream of venom</t>
  </si>
  <si>
    <t>You spit a stream of venom at a target using a ranged touch attack. If the venom hits, it causes blindness for 1 round. The target must also save or be poisoned by black adder venom; the DC in successive rounds of the poison is equal to the spell's DC.</t>
  </si>
  <si>
    <t>Spit blinding black adder venom.</t>
  </si>
  <si>
    <t>Steal Voice</t>
  </si>
  <si>
    <t>bard 2, sorcerer/wizard 2, witch 2, psychic 2, mesmerist 2, medium 2</t>
  </si>
  <si>
    <t>The target's throat constricts, giving it the caster croak spellblight (see page 95).</t>
  </si>
  <si>
    <t>Target gains the croaking spellblight.</t>
  </si>
  <si>
    <t>Strangling Hair</t>
  </si>
  <si>
    <t>sorcerer/wizard 3, witch 3, psychic 3</t>
  </si>
  <si>
    <t>Your hair animates and extends to grapple and constrict an opponent. Make a grapple check against the target using your caster level as the base attack bonus plus a bonus equal to your Intelligence bonus (if a witch or wizard) or Charisma bonus (if a sorcerer). This grapple check does not provoke attacks of opportunity. If your hair succeeds in grappling a foe, that creature takes 1d6 points of damage or your unarmed strike damage, whichever is greater, and gains the grappled condition. Your hair receives a +5 bonus on grapple checks made against opponents it is already grappling, but cannot move foes or pin foes. Each round that your hair succeeds on a grapple check, it deals an additional 1d6 points of damage. The CMD of your hair, for the purposes of escaping the grapple, is equal to 10 + its CMB.  Once you choose a target, your hair continues to attack that target independently of your own actions. You may designate a new target as a move action, which causes your hair to release its current target (if any) and attack the new target that round. Your hair cannot be targeted as a separate creature, but it can be dispelled.</t>
  </si>
  <si>
    <t>Your hair animates and grapples.</t>
  </si>
  <si>
    <t>You may use your hair to attempt dirty trick, disarm, steal, or trip combat maneuvers instead of grapple combat maneuvers. Add your tier to combat maneuver checks attempted with your hair and to your hair's damage rolls made as part of a grapple.</t>
  </si>
  <si>
    <t>Summon Elder Worm</t>
  </si>
  <si>
    <t>This spell functions as summon nature's ally VIII, except you summon a purple worm with the giant creature simple template (Bestiary 295).</t>
  </si>
  <si>
    <t>Summon a giant purple worm.</t>
  </si>
  <si>
    <t>Summon Froghemoth</t>
  </si>
  <si>
    <t>This spell functions as summon nature's ally IX, except you summon a froghemoth (Bestiary 136).</t>
  </si>
  <si>
    <t>Summon a froghemoth.</t>
  </si>
  <si>
    <t>Summon Minor Ally</t>
  </si>
  <si>
    <t>1d3 summoned creatures</t>
  </si>
  <si>
    <t>This spell functions as summon nature's ally I, except you can summon 1d3 Tiny or smaller animals, such as bats, lizards, monkeys, rats, ravens, toads, or weasels. The summoned animals must all be the same type of creature.</t>
  </si>
  <si>
    <t>Summon 1d3 Tiny animals.</t>
  </si>
  <si>
    <t>Summon Minor Monster</t>
  </si>
  <si>
    <t>antipaladin 1, bard 1, cleric/oracle 1, sorcerer/wizard 1, summoner/unchained summoner 1, witch 1, psychic 1, medium 1</t>
  </si>
  <si>
    <t>This spell functions as summon monster I, except you can summon 1d3 Tiny or smaller animals, such as bats, lizards, monkeys, rats, ravens, toads, or weasels. The summoned animals must all be the same type of creature. As with animals summoned with summon monster I, you may apply one alignment-appropriate template to these animals.</t>
  </si>
  <si>
    <t>Surmount Affliction</t>
  </si>
  <si>
    <t>cleric/oracle 2, inquisitor 2, spiritualist 2</t>
  </si>
  <si>
    <t>You temporarily overcome one harmful condition. This does not end the effect causing the condition; it just suspends that condition's effect for the duration of the spell. You can surmount any one of the following conditions: blinded, confused, dazed, dazzled, deafened, fatigued, frightened, paralyzed, shaken, or sickened.</t>
  </si>
  <si>
    <t>Temporarily suppress one condition.</t>
  </si>
  <si>
    <t>Martyred (5)</t>
  </si>
  <si>
    <t>You can cast this spell with no verbal or somatic component, and even if you're helpless (but not unconscious). You temporarily overcome a number of additional harmful conditions equal to half your tier.</t>
  </si>
  <si>
    <t>Augmented (7th): If you expend three uses of mythic power, you become immune to all afflictions the spell can normally overcome. In addition, you overcome (but do not become immune to) one of the following conditions: exhausted, nauseated, panicked, petrified, staggered, and stunned.</t>
  </si>
  <si>
    <t>Symbol of Healing</t>
  </si>
  <si>
    <t>cleric/oracle 3, paladin 4, witch 4, occultist 3</t>
  </si>
  <si>
    <t>V, S, M (mercury and phosphorous, plus powdered diamond and opal worth a total of 500 gp)</t>
  </si>
  <si>
    <t>Will half (harmless) (see text)</t>
  </si>
  <si>
    <t>yes (harmless) (see text)</t>
  </si>
  <si>
    <t>This spell functions as symbol of death, except all creatures within 60 feet of the symbol of healing instead are bathed in positive energy and heal 2d8 points + 1 point of damage per caster level (maximum +15). Undead and other creatures harmed by positive energy instead take 2d8 points of damage + 1 point per caster level (maximum +15); a Will save reduces this damage by half. A creature can only be healed or harmed by the symbol once in any 24-hour period. Once triggered, the symbol remains active for 10 minutes per caster level.  Symbol of healing can be made permanent with a permanency spell by a caster of 10th level or higher for the cost of 10,000 gp.</t>
  </si>
  <si>
    <t>Triggered rune heals living creatures.</t>
  </si>
  <si>
    <t>Symbol of Mirroring</t>
  </si>
  <si>
    <t>sorcerer/wizard 2, witch 2, occultist 2, mesmerist 2</t>
  </si>
  <si>
    <t>V, S, M (mercury and phosphorous, plus powdered diamond and opal worth a total of 100 gp)</t>
  </si>
  <si>
    <t>Will partial (harmless)</t>
  </si>
  <si>
    <t>This spell functions as symbol of death, except it instead creates one illusory duplicate of each creature within 60 feet of the symbol. These duplicates function as mirror image, moving with the original creatures and mimicking their movements, sounds, and actions exactly. If an illusory double is destroyed, a new one appears on the creature's turn. The images last for as long as a creature remains within 60 feet of the symbol, and for 1 round/level thereafter. Once triggered, the symbol remains active for 10 minutes per caster level.  Symbol of mirroring can be made permanent with a permanency spell by a caster of 10th level or higher for the cost of 5,000 gp.</t>
  </si>
  <si>
    <t>Triggered rune creates mirror images.</t>
  </si>
  <si>
    <t>Symbol of Revelation</t>
  </si>
  <si>
    <t>cleric/oracle 4, sorcerer/wizard 4, witch 4, occultist 3</t>
  </si>
  <si>
    <t>V, S, M (mercury and phosphorous, plus powdered diamond and opal worth a total of 1,000 gp)</t>
  </si>
  <si>
    <t>This spell functions as symbol of death, except it is only activated by invisible creatures, creatures affected by an illusion (glamer) effect, creatures with the shapechanger subtype, or creatures that have magically changed their shape. These creatures are outlined by a pale light that functions like faerie fire, except it lasts for 10 minutes per caster level; the symbol does not otherwise reveal their true form. Once triggered, a symbol of revelation remains active for 10 minutes per caster level.  Symbol of revelation can be made permanent with a permanency spell by a caster of 12th level or higher for the cost of 10,000 gp.</t>
  </si>
  <si>
    <t>Triggered symbol reveals illusions.</t>
  </si>
  <si>
    <t>Symbol of Scrying</t>
  </si>
  <si>
    <t>cleric/oracle 5, sorcerer/wizard 5, witch 5, occultist 4</t>
  </si>
  <si>
    <t>This spell functions as symbol of death, except that, when triggered, it creates a scrying sensor linked to you and centered on the symbol, even if you are on a different plane than the symbol. You are immediately aware that the symbol has been triggered if you are conscious, and are awakened from normal sleep if sleeping. The symbol does not otherwise disturb your concentration. You may observe the area through the symbol as if using a scrying spell with the sensor as the target creature. Once triggered, the symbol remains active for 10 minutes per caster level.  Unlike symbol of death, a symbol of scrying is not considered a magical trap. Symbol of scrying can be made permanent with a permanency spell by a caster of 13th level or higher for the cost of 10,000 gp.</t>
  </si>
  <si>
    <t>Triggered rune activates scrying sensor.</t>
  </si>
  <si>
    <t>Symbol of Sealing</t>
  </si>
  <si>
    <t>V, S, M (mercury and phosphorous, plus powdered diamond and opal worth a total of 5,000 gp)</t>
  </si>
  <si>
    <t>This spell allows you to scribe a potent rune of power upon or above a door or other opening measuring no more than 20 square feet/level in size. When the casting is completed, the symbol immediately triggers, glowing visibly and sealing the door or opening with an invisible barrier of force equivalent to a wall of force. Destroying the symbol ends the effect, though destroying it once the symbol has been activated requires destroying the wall of force first. Once triggered, the wall remains for 10 minutes per caster level.  When scribing a symbol of sealing, you can specify a password or phrase that allows a creature speaking it to bypass the seal and pass through the opening. You can also attune any number of creatures to the symbol of sealing, but doing this extends the casting time as described under symbol of death (Core Rulebook 355). However, the force wall created by the symbol blocks attacks and line of effect even for creatures that know the password or are attuned-the password only prevents them from triggering the symbol, not from ignoring its effects if triggered.  A disintegrate spell or similar effect can destroy the wall of force created by the symbol if the caster makes a caster level check against a DC of 11 + your caster level. A knock spell has no effect on a symbol of sealing or its force wall. A symbol of sealing cannot be dispelled, but mage's disjunction automatically destroys it.</t>
  </si>
  <si>
    <t>Create triggered wall of force.</t>
  </si>
  <si>
    <t>Symbol of Slowing</t>
  </si>
  <si>
    <t>This spell functions as symbol of death, except all creatures within 60 feet of a symbol of slowing are slowed (as the slow spell) for 1 round per caster level.  Symbol of slowing can be made permanent with a permanency spell by a caster of 11th level or higher for the cost of 10,000 gp.</t>
  </si>
  <si>
    <t>Triggered rune slows creatures.</t>
  </si>
  <si>
    <t>Symbol of Strife</t>
  </si>
  <si>
    <t>cleric/oracle 9, sorcerer/wizard 9, witch 9, occultist 6</t>
  </si>
  <si>
    <t>V, S, M (mercury and phosphorous, plus powdered diamond and opal worth a total of 15,000 gp)</t>
  </si>
  <si>
    <t>This spell functions as symbol of death, except all creatures within the radius of a symbol of strife are compelled to attack the nearest conscious creaturefor 1 round per caster level (similar to the "attack nearest creature" result of the confusion spell), even after leaving the symbol's area of effect. If no other creatures are visible, an affected creature can act normally. Once triggered, the symbol remains active for 10 minutes per caster level.  Symbol of strife can be made permanent with a permanency spell by a caster of 18th level or higher for the cost of 25,000 gp.</t>
  </si>
  <si>
    <t>Riot (9)</t>
  </si>
  <si>
    <t>Triggered rune makes creatures attack.</t>
  </si>
  <si>
    <t>Symbol of Vulnerability</t>
  </si>
  <si>
    <t>This spell functions as symbol of death, except it saps the defenses of all creatures within 60 feet. Affected creatures receive a -4 penalty to spell resistance and a -4 penalty on saving throws, and energy resistances and damage reduction (if any) are reduced by 10 each (to a minimum of 0). Once triggered, the symbol remains active for 10 minutes per level.  The effects last as long as the creature is within 60 feet of the symbol, and for 1 round per caster level afterward.  Symbol of vulnerability can be made permanent with a permanency spell by a caster of 18h level or higher for the cost of 25,000 gp.</t>
  </si>
  <si>
    <t>Triggered rune gives penalties.</t>
  </si>
  <si>
    <t>Tar Ball</t>
  </si>
  <si>
    <t>V, S, M (a tiny ball of bitumen)</t>
  </si>
  <si>
    <t>ranged attack</t>
  </si>
  <si>
    <t>You create a sticky ball of burning tar that you can hurl at your enemies as a ranged attack. If the tar ball strikes, it deals 1d4 points of fire damage + your Strength modifier, and splashes the target with hot, sticky tar. The tar deals 1d4 points of fire damage each round on the creature's turn for the next 1d4 rounds and gives the target a -2 penalty to Dexterity for that duration. If desired, the target can use a full-round action to attempt to extinguish or cool the tar before taking this additional damage.  Extinguishing or cooling the tar requires a DC 15 Reflex save or at least 1 gallon of nonflammable liquid. Rolling on the ground provides the target a +2 bonus on the save. Leaping into a lake or magically cooling the target automatically ends the effect.</t>
  </si>
  <si>
    <t>Burning tar harms target and penalizes its Dex.</t>
  </si>
  <si>
    <t>Temporary Resurrection</t>
  </si>
  <si>
    <t>sorcerer/wizard 7, witch 7, occultist 6, psychic 7</t>
  </si>
  <si>
    <t>V, S, M (diamond dust worth 500 gp)</t>
  </si>
  <si>
    <t>You restore temporary life to a body that has been dead for less than 48 hours. The spell lasts for 24 hours, after which the target dies again. The target gains 1 permanent negative level while under the effect of this spell; this negative level goes away when the target dies or is permanently raised from the dead (such as with raise dead). The target still counts as a dead corpse (but not undead) for the purpose of spells that revive dead creatures, so a cleric can cast raise dead or a similar spell on the target even while this spell is active. Once a creature has been revived with temporary resurrection, this spell cannot be used on it again until it is permanently raised from the dead.</t>
  </si>
  <si>
    <t>Bring a creature to life for 24 hours, after which it dies again.</t>
  </si>
  <si>
    <t>Terrible Remorse</t>
  </si>
  <si>
    <t>bard 3, cleric/oracle 4, inquisitor 3, sorcerer/wizard 4, psychic 4, mesmerist 3, spiritualist 4</t>
  </si>
  <si>
    <t>1 living creature</t>
  </si>
  <si>
    <t>You fill a target with such profound remorse that it begins to harm itself. Each round, the target must save or deal 1d8 points of damage + its Strength modifier to itself using an item held in its hand or with unarmed attacks. If the creature saves, it is staggered for 1 round and takes a -2 penalty to Armor Class, after which the spell ends.</t>
  </si>
  <si>
    <t>Creature is compelled to harm itself.</t>
  </si>
  <si>
    <t>Touch of Slime</t>
  </si>
  <si>
    <t>alchemist 4, druid 4, sorcerer/wizard 4, witch 4, bloodrager 4, psychic 4</t>
  </si>
  <si>
    <t>V, S, M (a drop of acid and a black glass sphere)</t>
  </si>
  <si>
    <t>You create a coating of slime on your hand. When you make a successful melee touch attack with the slime, it pulls free of you and sticks to the target, at which point it acts like green slime (Core Rulebook 416), dealing 1d3 points of Constitution damage per round. Anything that destroys green slime (scraping, freezing, burning, cutting, sunlight, or remove disease) destroys this slime. If the slime kills a creature, it consumes the body and then dies. It cannot transfer to a creature other than the original target, and dies if separated from the original target.</t>
  </si>
  <si>
    <t>Touch infests a target with green slime.</t>
  </si>
  <si>
    <t>Toxic Gift</t>
  </si>
  <si>
    <t>antipaladin 2, sorcerer/wizard 3, occultist 3</t>
  </si>
  <si>
    <t>You can cast this spell only if you are currently poisoned. You draw upon the poison in your body and duplicate its effects in the target, which is affected by the same poison you are, except it uses this spell's DC instead of the poison's normal DC. If you are affected by more than one poison, you must choose one to afflict upon the target.</t>
  </si>
  <si>
    <t>Target suffers the effect of the poison in you.</t>
  </si>
  <si>
    <t>Transmute Blood To Acid</t>
  </si>
  <si>
    <t>acid, pain</t>
  </si>
  <si>
    <t>V, S, M (a wax doll and a vial of acid worth 10 gp)</t>
  </si>
  <si>
    <t>concentration (maximum 1 round/5 levels)</t>
  </si>
  <si>
    <t>You transmute blood in the target's body to acid, dealing 1d6 points of acid damage/2 levels (maximum 12d6) each round.  The creature is staggered and sickened by the debilitating pain. A successful Fortitude save each round halves the damage and negates the staggered condition for 1 round. If this damage reduces the creature to 0 or fewer hit points, it dissolves, leaving only the barest trace of remains. A dissolved creature's equipment is unaffected.  Anyone who strikes the target with a non-reach melee weapon, natural weapon, or unarmed attack takes 3d6 points of acid damage as the acidic blood sprays on the attacker. If the attack is from a piercing or slashing manufactured weapon, the weapon also takes this damage.  This spell has no effect on creatures immune to critical hits or bleed effects.</t>
  </si>
  <si>
    <t>Target takes acid damage each round, and its attackers take acid damage.</t>
  </si>
  <si>
    <t>Unadulterated Loathing</t>
  </si>
  <si>
    <t>antipaladin 2, bard 2, sorcerer/wizard 3, witch 3, psychic 3, mesmerist 2</t>
  </si>
  <si>
    <t>You fill the target with a terrible loathing aimed at a specific creature. At the time of the casting, you designate a single creature as the object of the target's revulsion. Thereafter, the target does all it can to remain at least 60 feet away from the object of its loathing. As soon as the target moves within this range, it becomes nauseated until it can again get away from the object of its revulsion. If traveling beyond 60 feet of the object of its loathing would place the target in obvious physical danger, the target can attempt a second save to break the spell's effect.  Unadulterated loathing counters reckless infatuation.</t>
  </si>
  <si>
    <t>Target is compelled to avoid another creature.</t>
  </si>
  <si>
    <t>Enchantment (6)</t>
  </si>
  <si>
    <t>Unbreakable Construct</t>
  </si>
  <si>
    <t>sorcerer/wizard 5, occultist 4</t>
  </si>
  <si>
    <t>V, S, M (powdered adamantine worth 100 gp)</t>
  </si>
  <si>
    <t>This spell increases the target's DR/adamantine by 5 or its hardness by 5. If the target does not have DR/adamantine or hardness, this spell has no effect.</t>
  </si>
  <si>
    <t>Increase construct hardness or DR.</t>
  </si>
  <si>
    <t>Undead Anatomy I</t>
  </si>
  <si>
    <t>alchemist 3, magus 3, sorcerer/wizard 3, bloodrager 3, spiritualist 3</t>
  </si>
  <si>
    <t>When you cast this spell, you can assume the form of any Small or Medium corporeal creature of the undead type, which must be vaguely humanoid-shaped (like a ghoul, skeleton, or zombie). You gain a bite attack (1d6 for Medium forms, 1d4 for Small forms), two claw or slam attacks (1d6 for Medium forms, 1d4 for Small forms), and darkvision 60 feet. If the form you assume has any of the following abilities, you gain the listed ability: climb 30 feet, fly 30 feet (average maneuverability), swim 30 feet, low-light vision, and scent.  In this form, you detect as an undead creature (such as with detect undead, but not with magic that reveals your true form, such as true seeing) and are treated as undead for the purposes of channeled energy, cure spells, and inflict spells, but not for other effects that specifically target or react differently to undead (such as searing light).  Small undead: If the form you take is that of a Small undead, you gain a +2 size bonus to your Dexterity and a +1 natural armor bonus.  Medium undead: If the form you take is that of a Medium undead, you gain a +2 size bonus to your Strength and a +2 natural armor bonus.</t>
  </si>
  <si>
    <t>Take the form and some of the powers of a Small or Medium undead.</t>
  </si>
  <si>
    <t>Undead Anatomy II</t>
  </si>
  <si>
    <t>alchemist 5, magus 5, sorcerer/wizard 5, spiritualist 5</t>
  </si>
  <si>
    <t>This spell functions as undead anatomy I, except it also allows you to assume the form of a Tiny or Large corporeal creature of the undead type. If the form you assume has any of the following abilities, you gain the listed ability: climb 60 feet, fly 60 feet (good maneuverability), swim 60 feet, darkvision 60 feet, low-light vision, blood drain, DR 5/bludgeoning, scent, freeze, grab, mimicry, pounce, shadowless, sound mimicry, and trip.  In this form, you gain a +4 bonus on saves against mindaffecting effects, disease, poison, sleep, and stunning. If the form has a vulnerability to an attack (such as sunlight), you gain that vulnerability.  Tiny undead: If the form you take is that of a Tiny undead, you gain a +4 size bonus to your Dexterity, a -2 penalty to your Strength, and a +1 natural armor bonus.  Large undead: If the form you take is that of a Large undead, you gain a +4 size bonus to your Strength, a -2 penalty to your Dexterity, and a +4 natural armor bonus.</t>
  </si>
  <si>
    <t>Take the form and some of the powers of a Tiny or Large undead.</t>
  </si>
  <si>
    <t>Undead Anatomy III</t>
  </si>
  <si>
    <t>alchemist 6, magus 6, sorcerer/wizard 6, spiritualist 6</t>
  </si>
  <si>
    <t>This spell functions as undead anatomy II, except it also allows you to assume the form of a Diminutive or Huge corporeal creature of the undead type. If the form you assume has any of the following abilities, you gain the listed ability: burrow 30 feet, climb 90 feet, fly 90 feet (good maneuverability), swim 90 feet, all-around vision, blindsense 30 feet, darkvision 60 feet, low-light vision, scent, constrict, disease, DR 5/-, fear aura, grab, jet, natural cunning, overwhelming, poison, pounce, rake, trample, trip, unnatural aura, and web.  If the creature has immunity or resistance to any energy types, you gain resistance 20 to those energy types. If the creature has vulnerability to an energy type, you gain that vulnerability. In this form, you gain a +8 bonus on saves against mind-affecting effects, disease, poison, sleep, and stunning. If the form has a vulnerability to an attack (such as sunlight), you gain that vulnerability.  Diminutive undead: If the form you take is that of a Diminutive undead, you gain a +6 size bonus to your Dexterity, a -4 penalty to your Strength, and a +1 natural armor bonus.  Huge undead: If the form you take is that of a Huge undead, you gain a +6 size bonus to your Strength, a -4 penalty to your Dexterity, and a +6 natural armor bonus.</t>
  </si>
  <si>
    <t>Take the form and some of the powers of a Diminutive or Huge undead.</t>
  </si>
  <si>
    <t>Undead Anatomy IV</t>
  </si>
  <si>
    <t>1 minute/level (D) (see text)</t>
  </si>
  <si>
    <t>This spell functions as undead anatomy III, except it allows you to use more abilities. If the form you assume has any of the following abilities, you gain the listed ability: burrow 60 feet, climb 90 feet, fly 120 feet (good maneuverability), swim 120 feet, blindsense 60 feet, darkvision 90 feet, lifesense 60 feet, low-light vision, scent, tremorsense 60 feet, breath weapon, constrict, DR 10/magic and silver, DR 15/bludgeoning and magic, fast healing 5, fiery death, fire aura, grab, incorporeal, jet, poison, pounce, rake, rend, roar, spikes, trample, trip, and web.  If the creature's form is incorporeal, the spell's duration is in rounds per level instead of minutes per level, and your bite and claw (or slam) attacks are incorporeal touch attacks. If the creature has immunity or resistance to any energy types, you gain resistance 30 to those energy types. If the creature has vulnerability to an energy type, you gain that vulnerability.  In this form, you gain a +8 bonus on saves against mindaffecting effects, disease, poison, sleep, and stunning. If the form has a vulnerability to an attack (such as sunlight), you gain that vulnerability.  Tiny undead: If the form you take is that of a Tiny undead, you gain a -2 penalty to your Strength, a +8 size bonus to your Dexterity, and a +3 natural armor bonus.  Large undead: If the form you take is that of a Large undead, you gain a +6 size bonus to your Strength, a -2 penalty on your Dexterity, a +2 size bonus to your Constitution, and a +6 natural armor bonus.</t>
  </si>
  <si>
    <t>As undead anatomy III, but with more abilities.</t>
  </si>
  <si>
    <t>Unholy Ice</t>
  </si>
  <si>
    <t>cold, evil, water</t>
  </si>
  <si>
    <t>V, S, M (a flask of unholy water or 5 pounds of powdered silver worth 25 gp)</t>
  </si>
  <si>
    <t>This spell functions as holy ice, except it is made of frozen unholy water rather than holy water.</t>
  </si>
  <si>
    <t>Create wall or javelins of frozen unholy water.</t>
  </si>
  <si>
    <t>Unholy Sword</t>
  </si>
  <si>
    <t>antipaladin 4</t>
  </si>
  <si>
    <t>This spell allows you to channel the powers of evil into your sword, or any other melee weapon you choose. The weapon acts as a +5 unholy weapon (+5 enhancement bonus on attack and damage rolls, extra 2d6 damage against good opponents).  It also emits a magic circle against good effect (as the spell). If the magic circle ends, the sword creates a new one on your turn as a free action. The spell is automatically canceled 1 round after the weapon leaves your hand. You cannot have more than one unholy sword at a time.  If this spell is cast on a magic weapon, the powers of the spell supersede any that the weapon normally has, rendering the normal enhancement bonus and powers of the weapon inoperative for the duration of the spell. This spell is not cumulative with any spells that modify the weapon in any way.  This spell does not work on artifacts. A masterwork weapon's bonus to attack does not stack with this spell's enhancement bonus to attack.</t>
  </si>
  <si>
    <t>Weapon becomes +5, deals +2d6 damage vs. good.</t>
  </si>
  <si>
    <t>Unnatural Lust</t>
  </si>
  <si>
    <t>bard 1, sorcerer/wizard 2, witch 2, psychic 2, mesmerist 1</t>
  </si>
  <si>
    <t>Your target is filled with lust and desire for a single creature or object as designated by you at the time of casting. That creature or object must be within the spell's range and perceivable by the target of the spell. The target is filled with the compulsion to rush to the subject of its lust and passionately kiss or caress that subject on its next turn, taking no other actions. If the target would not normally have lustful feelings toward the designated creature or object, it receives a +4 bonus on its saving throw.</t>
  </si>
  <si>
    <t>Target is compelled to kiss or caress another.</t>
  </si>
  <si>
    <t>Enchantment (2)</t>
  </si>
  <si>
    <t>Unprepared Combatant</t>
  </si>
  <si>
    <t>The target takes a -4 penalty on initiative checks and Reflex saves.</t>
  </si>
  <si>
    <t>Target takes –4 on initiative and Reflex saves.</t>
  </si>
  <si>
    <t>Unshakable Chill</t>
  </si>
  <si>
    <t>druid 2, sorcerer/wizard 2, witch 2, bloodrager 2</t>
  </si>
  <si>
    <t>The target is filled with an unshakable chill for the duration of the spell, and suffers from the effects of severe cold (Core Rulebook 442). Severe cold means if the initial saving throw fails, the target takes 1d6 points of nonlethal cold damage and must save every 10 minutes (using the DC of severe cold instead of this spell's DC) or take additional damage.</t>
  </si>
  <si>
    <t>Target is afflicted with severe cold.</t>
  </si>
  <si>
    <t>Winter (2)</t>
  </si>
  <si>
    <t>On a failed save, the target immediately takes 1d6 points of nonlethal cold damage per tier. Add your tier to the DC of any other Fortitude saves the target attempts to resist severe cold as part of the spell's effects. The target also takes a -4 penalty on saves against spells or effects with the cold descriptor.</t>
  </si>
  <si>
    <t>Augmented (5th): If you expend two uses of mythic power, the target gains vulnerability to fire (Bestiary 305).</t>
  </si>
  <si>
    <t>Utter Contempt</t>
  </si>
  <si>
    <t>antipaladin 3, bard 4, sorcerer/wizard 6, psychic 5, mesmerist 4</t>
  </si>
  <si>
    <t>V, S, M (spittle)</t>
  </si>
  <si>
    <t>You fill the target's heart with malice for all other creatures.  The target's attitude toward all creatures other than itself worsens by two steps.</t>
  </si>
  <si>
    <t>Target's attitude worsens by two categories.</t>
  </si>
  <si>
    <t>Vengeful Outrage</t>
  </si>
  <si>
    <t>emotion, language-dependent, mind-affecting</t>
  </si>
  <si>
    <t>bard 5, sorcerer/wizard 6, witch 6, psychic 6, mesmerist 5</t>
  </si>
  <si>
    <t>You place a magical command upon a creature to seek out and destroy a single enemy that has inflicted some perceived or actual harm to the target. You designate the enemy at the time of casting, which must be known by the target (such as "your brother's murderer") or can easily identify by sight (such as "the hill giant king"). The target is under the of a geas to find and capture or kill this enemy, and the target takes the penalties of that spell as long as it is not actively trying to reach the enemy. When the target enters combat with the enemy, it gains a +6 morale bonus to Strength and Constitution, a +3 morale bonus on Will saves, and is immune to the shaken and frightened conditions.  If you designate one of the target's friends or loved ones as the enemy, the target gains another saving throw to overcome the spell as soon as it enters combat with the enemy.</t>
  </si>
  <si>
    <t>Target is compelled to destroy one enemy.</t>
  </si>
  <si>
    <t>Vermin Shape I</t>
  </si>
  <si>
    <t>alchemist 4, druid 3, magus 4, sorcerer/wizard 4, witch 3, bloodrager 4</t>
  </si>
  <si>
    <t>When you cast this spell, you assume the form of any Small or Medium creature of the vermin type. If the form you assume has any of the following abilities, you gain the listed ability: climb 30 feet, fly 30 feet (average maneuverability), swim 30 feet, darkvision 60 feet, low-light vision, scent, and lunge. You don't gain full immunity to mind-affecting effects, but you do gain a +2 resistance bonus on all saving throws against such effects.  Small vermin: If you take the form of a Small vermin, you gain a +2 size bonus to your Dexterity and a +2 natural armor bonus.  Medium vermin: If you take the form of a Medium vermin, you gain a +2 size bonus to your Strength and a +3 natural armor bonus.</t>
  </si>
  <si>
    <t>Take the form and some of the powers of a Small or Medium vermin.</t>
  </si>
  <si>
    <t>Vermin Shape II</t>
  </si>
  <si>
    <t>alchemist 5, druid 4, magus 5, sorcerer/wizard 5, witch 4</t>
  </si>
  <si>
    <t>This spell functions as vermin shape I, except it also allows you to assume the form of a Tiny or Large creature of the vermintype. If the form you assume has any of the following abilities, you gain the listed ability: burrow 30 feet, climb 60 feet, fly 60 feet (good maneuverability), swim 60 feet, darkvision 60 feet, low-light vision, tremorsense 30 feet, scent, blood drain, constrict, grab, lunge, poison, pull, trample, and web. You don't gain full immunity to mind-affecting effects, but you do gain a +4 bonus on all saving throws against such effects.  Tiny vermin: If you take the form of a Tiny vermin, you gain a +4 size bonus to your Dexterity, a -2 penalty to your Strength, and a +1 natural armor bonus.  Large vermin: If you take the form of a Large vermin, you gain a +4 size bonus to your Strength, a -2 penalty to your Dexterity, and a +5 natural armor bonus.</t>
  </si>
  <si>
    <t>As vermin shape, but Tiny or Large.</t>
  </si>
  <si>
    <t>Vestment of the Champion</t>
  </si>
  <si>
    <t>antipaladin 2, paladin 2</t>
  </si>
  <si>
    <t>This functions as magic vestment, except it only affects armor or a shield you are wearing or carrying. If the armor or shield is worn or carried by anyone other than you, the spell has no effect, but resumes its effect when you are wearing or carrying it again.</t>
  </si>
  <si>
    <t>Armor or shield gains a</t>
  </si>
  <si>
    <t>Virtuoso Performance</t>
  </si>
  <si>
    <t>While this spell is active, you may start a second bardic performance while maintaining another. Starting the second performance costs 2 rounds of bardic performance instead of 1. Maintaining both performances costs a total of 3 rounds of bardic performance for each round they are maintained.  When this spell ends, one of the performances ends immediately (your choice).  Virtuoso performance does not stack with any other method of maintaining simultaneous bardic performances.</t>
  </si>
  <si>
    <t>Start a second bardic performance while maintaining the first.</t>
  </si>
  <si>
    <t>Vision of Hell</t>
  </si>
  <si>
    <t>evil, fear</t>
  </si>
  <si>
    <t>bard 3, cleric/oracle 3, sorcerer/wizard 3, witch 3, bloodrager 3, occultist 3, psychic 3, mesmerist 3</t>
  </si>
  <si>
    <t>V, M (a pinch of brimstone)</t>
  </si>
  <si>
    <t>50-ft.-radius emanation</t>
  </si>
  <si>
    <t>You overlay a realistic illusion of a terrifying hellscape upon an area. Structures, equipment, and creatures within the area are not hidden, though environmental features take on an infernal appearance. While you are prepared for these images and are not affected by them, any other creature within the area must make a Will save or become shaken and also take a -2 penalty on saves versus fear effects; the fear and penalty persists as long as the creature remains in the area. Devils and any lawful evil creatures suffer no negative effects from this spell.</t>
  </si>
  <si>
    <t>Illusory hellscape makes creatures shaken.</t>
  </si>
  <si>
    <t>Vitriolic Mist</t>
  </si>
  <si>
    <t>alchemist 4, sorcerer/wizard 4, summoner/unchained summoner 4, bloodrager 4</t>
  </si>
  <si>
    <t>V, S, M (a piece of lemon rind)</t>
  </si>
  <si>
    <t>This functions as fire shield, except it wreathes you in yellow or green acidic mist instead of hot or cold flames. The spell deals acid damage to attackers and protects you against acid damage. This spell does not shed light.</t>
  </si>
  <si>
    <t>As fire shield, except acid damage.</t>
  </si>
  <si>
    <t>Vocal Alteration</t>
  </si>
  <si>
    <t>alchemist 1, bard 1, inquisitor 1, sorcerer/wizard 1, witch 1, occultist 1, psychic 1, mesmerist 1, medium 1</t>
  </si>
  <si>
    <t>You alter the target's voice to something else. For example, you could make the target's voice high-pitched, husky, or nasal, or change its accent to an accent you are familiar with.  If this spell is used as part of a disguise, the target gets a +10 bonus on the Disguise check when trying to fool a listener.  The target can vary the disguised voice just as it could its normal voice. For example, a halfling female given a male dwarf noble's voice and accent could speak in falsetto, with a rural halfling accent, and so on.</t>
  </si>
  <si>
    <t>Disguise target's voice.</t>
  </si>
  <si>
    <t>Volcanic Storm</t>
  </si>
  <si>
    <t>druid 4, sorcerer/wizard 4, witch 4, bloodrager 4</t>
  </si>
  <si>
    <t>V, S, M/DF (obsidian and ash)</t>
  </si>
  <si>
    <t>Chunks of hot volcanic rock and clumps of ash pound down when this spell is cast, dealing 3d6 points of bludgeoning damage and 2d6 points of fire damage to every creature in the area. This damage only occurs once, when the spell is cast.  For the remaining duration of the spell, heavy ash rains down in the area. Creatures inside this area take a -4 penalty on Perception skill checks and the entire area is treated as difficult terrain. At the end of the duration, the rock and ash disappear, leaving no aftereffects (other than the damage dealt).</t>
  </si>
  <si>
    <t>Hot rocks deal 5d6 damage.</t>
  </si>
  <si>
    <t>Wall of Sound</t>
  </si>
  <si>
    <t>bard 4, magus 4, sorcerer/wizard 5, bloodrager 4, psychic 5, spiritualist 5</t>
  </si>
  <si>
    <t>V, S, M (a tuning fork and a quartz crystal)</t>
  </si>
  <si>
    <t>translucent wall of sound up to 20 ft. long/level or a ring of sound with a radius of up to 5 ft./two levels; either form 20 ft. high</t>
  </si>
  <si>
    <t>A translucent barrier of pure sound springs into existence. This wall is silent except for a faint hum, but bursts with discordant noise when touched by an object or creature. The wall deflects arrows, bolts, loose debris, and Small or smaller flying creatures like a wind wall spell, except these things rebound harmlessly rather than being directed upward. The burst of discordant noise deals 2d4 points of sonic damage to creatures within 10 feet of the triggering object or creature; touching or passing through the wall deals 2d6 points of sonic damage + 1 point of sonic damage per caster level (maximum +20). If you evoke the wall so that it appears where creatures are, each creature takes damage as if passing through the wall. A silence spell suppresses the wall within its area, but the wall reappears when the silence ends.</t>
  </si>
  <si>
    <t>Sonic wall deflects and damages creatures.</t>
  </si>
  <si>
    <t>Wartrain Mount</t>
  </si>
  <si>
    <t>antipaladin 1, bard 2, druid 2, inquisitor 1, paladin 1, ranger 1, mesmerist 2</t>
  </si>
  <si>
    <t>V, S, M (a swatch of black cloth)</t>
  </si>
  <si>
    <t>one indifferent or friendly animal</t>
  </si>
  <si>
    <t>You instill the target animal with the combat training general purpose (see the Handle Animal skill, Core Rulebook 98). This supersedes the animal's previous trained purpose and any tricks it knows. When the spell ends, it reverts to its previous trained purpose and known tricks.</t>
  </si>
  <si>
    <t>Animal gains the combat training general purpose.</t>
  </si>
  <si>
    <t>Waves of Ecstasy</t>
  </si>
  <si>
    <t>bard 6, cleric/oracle 7, sorcerer/wizard 7, witch 7, psychic 7, mesmerist 6</t>
  </si>
  <si>
    <t>1 round/level; see text</t>
  </si>
  <si>
    <t>You emanate waves of intense pleasure that cause all targets within range to falter. Affected creatures are stunned for 1 round and are staggered for the remainder of the spell. A creature that makes its save is staggered for the first round and can act normally thereafter.</t>
  </si>
  <si>
    <t>Pleasure stuns and staggers creatures.</t>
  </si>
  <si>
    <t>Web Shelter</t>
  </si>
  <si>
    <t>cleric/oracle 2, druid 2, ranger 2, sorcerer/wizard 2, summoner/unchained summoner 2, witch 2, shaman 2</t>
  </si>
  <si>
    <t>close (25 ft. + 5 ft./two levels)</t>
  </si>
  <si>
    <t>5 ft.-10 ft. diameter web sphere or 5 ft.-20 ft. hemisphere</t>
  </si>
  <si>
    <t>You create a shelter of slightly sticky webbing. The shelter has a hinged door large enough to accommodate a Medium creature. The opaque walls of the shelter measure 1 inch thick and provide total cover to anyone within it.  Only Fine creatures with negligible Strength can be caught in the webbing (including swarms); all other creatures can pull themselves free without making a Strength check or taking an action. The webbing is sticky enough to hold twigs, leaves, dirt, and other light items, allowing you to conceal the shelter. The shelter is watertight and insulated when the door is closed. Its surface has a hardness of 0 and 2 hit points for every 5-foot square of web surface area. It takes normal damage from fire and burns as easily as wood. When the spell ends, the webbing decays rapidly and disappears.</t>
  </si>
  <si>
    <t>Create a comfortable shelter made of webbing.</t>
  </si>
  <si>
    <t>Witness</t>
  </si>
  <si>
    <t>bard 3, inquisitor 3, witch 3, occultist 3, psychic 3, mesmerist 3, medium 3</t>
  </si>
  <si>
    <t>You link your senses to the target, allowing you to see and hear through its eyes and ears. As a move action you can shift your senses from yourself to the target or back again. When using the target's senses, you are blind and deaf. When perceiving through the target, you use its normal and special senses (such as darkvision), not your own.</t>
  </si>
  <si>
    <t>See through the target's eyes and ears.</t>
  </si>
  <si>
    <t>Wooden Phalanx</t>
  </si>
  <si>
    <t>three or more wood golems, no two of which can be more than 30 ft. apart (see text)</t>
  </si>
  <si>
    <t>You create 1d4+2 wood golems with the advanced template (Bestiary 164, 294). The golems willingly aid you in combat or battle, perform a specific mission, or serve as bodyguards. You can only have one wooden phalanx spell in effect at one time.  If you cast this spell while another casting is still in effect, the previous casting is dispelled.</t>
  </si>
  <si>
    <t>Industry (9)</t>
  </si>
  <si>
    <t>Creates 1d4+2 temporary wood golems to fight for you.</t>
  </si>
  <si>
    <t>Thorns (18)</t>
  </si>
  <si>
    <t>Word of Resolve</t>
  </si>
  <si>
    <t>Will negate (harmless)</t>
  </si>
  <si>
    <t>You focus your aura on one ally, allowing it to reroll a failed saving throw against a charm or fear effect with a +4 sacred bonus. If you do not have the aura of courage class ability, this spell has no effect on the target's fear. If you do not have the aura of resolve class ability, this spell has no effect on any charm effects on the target.</t>
  </si>
  <si>
    <t>Ally rerolls a save against charm or fear.</t>
  </si>
  <si>
    <t>Youthful Appearance</t>
  </si>
  <si>
    <t>alchemist 1, bard 1, sorcerer/wizard 1, witch 1, occultist 1, psychic 1, medium 1</t>
  </si>
  <si>
    <t>You make your target look like a younger version of itself. You select how much younger it looks (for example, "10 years" or "as a young adult"). You cannot otherwise change details of the target's appearance other than those directly associated with aging (for example, gray hair returns to its original color). The target cannot appear so much younger that it changes size.  This spell does not affect any age-based modifications to ability scores or other age-related effects.</t>
  </si>
  <si>
    <t>Target appears younger.</t>
  </si>
  <si>
    <t>Staggering Fall</t>
  </si>
  <si>
    <t>cleric/oracle 2, sorcerer/wizard 2, witch 2</t>
  </si>
  <si>
    <t>one falling creature</t>
  </si>
  <si>
    <t>1 round/level (see below)</t>
  </si>
  <si>
    <t>Fort. partial (see below)</t>
  </si>
  <si>
    <t>This spell must be cast on a creature as it falls, either from a height or after being knocked prone or tripped. The magic of this spell causes the creature to hit the ground particularly hard, knocking the wind from it. The creature takes an additional 1d6 points of damage from the fall. In addition, the creature becomes staggered for the duration of the spell unless it makes a Will save. Each round the spell's effects persist, the creature may attempt a new Will save as a free action to end the staggered effect early. A creature under the effects of this spell must take a standard action to stand up.</t>
  </si>
  <si>
    <t>Rival Guide</t>
  </si>
  <si>
    <t>Sheet Lightning</t>
  </si>
  <si>
    <t>You create a dazzling flash of electricity that fills the target area. Sheet lightning inflicts 1 point of electricity damage to all creatures within the area of effect (no save). The true power of the spell, though, lies not in the damage it inflicts but in the overwhelming pain the lightning creates. The sudden flash and jolt dazes living creatures for 1 round if they fail a saving throw. Creatures that save are instead dazzled for 1 round. Any creature wearing metal armor takes a -2 penalty to its saving throw against this spell.</t>
  </si>
  <si>
    <t>Breeze</t>
  </si>
  <si>
    <t>sorcerer/wizard 0</t>
  </si>
  <si>
    <t>V, S, M (a miniature fan)</t>
  </si>
  <si>
    <t>1 hour (D)</t>
  </si>
  <si>
    <t>You create a light wind that blows against the target, from a direction of your choice. The breeze grants the subject a +2 bonus on saves against very hot conditions, severe heat, breath weapons, and saves against cloud vapors and gases (such as cloudkill, stinking cloud, and inhaled poisons). This spell does not function without air or underwater.  You can only have one breeze active at any one time. If you cast this spell while another casting is still in effect, the previous casting is dispelled.</t>
  </si>
  <si>
    <t>Paizo Blog</t>
  </si>
  <si>
    <t>Drench</t>
  </si>
  <si>
    <t>one creature or object of size Large or smaller</t>
  </si>
  <si>
    <t>A sudden downpour soaks the target creature or object. The rain follows the subject up to the range of the spell, soaking the target with water. If the target is on fire, the flames are automatically extinguished. Fires smaller than campfires (such as lanterns and torches) are automatically extinguished by this spell.</t>
  </si>
  <si>
    <t>Jolt</t>
  </si>
  <si>
    <t>spark of electricity</t>
  </si>
  <si>
    <t>Yes</t>
  </si>
  <si>
    <t>You cause a spark of electricity to strike the target with a successful ranged touch attack. The spell deals 1d3 points of electricity damage.</t>
  </si>
  <si>
    <t>Penumbra</t>
  </si>
  <si>
    <t>V, S, M (a bit of soot)</t>
  </si>
  <si>
    <t>This spell keeps the creature or object touched slightly in shadow. The target of this spell does not suffer any penalties or blindness caused by bright light, such as those from light sensitivity or light blindness.  You can have only one penumbra spell active at any one time. If you cast this spell while another casting is still in effect, the previous casting is dispelled.</t>
  </si>
  <si>
    <t>Root</t>
  </si>
  <si>
    <t>1 minute (D)</t>
  </si>
  <si>
    <t>This spell strengthens the subject's connection to the ground below, bolstering its defense against combat maneuvers. It gains a +2 insight bonus to its CMD to resist being moved or tripped and a +2 competence bonus on all Acrobatics checks made to balance or remain standing on earth, sand, stone, or a similar rocky substance.</t>
  </si>
  <si>
    <t>Scoop</t>
  </si>
  <si>
    <t>6 inch diameter container of force Duration concentration</t>
  </si>
  <si>
    <t>You will a small vessel of force into existence. As a move action, you can direct the container up to 15 feet per round in any direction, though the spell ends if the distance between you and the container ever exceeds the spell's range. You can dip the container to pick up or drop a liquid as a move action. The vessel holds up to 1 pint of liquid or small objects, weighing up to 5 pounds. You can also gather up a pint of liquid or small objects spread cross a surface with 1 minute of careful concentration.</t>
  </si>
  <si>
    <t>Dazzling Blade</t>
  </si>
  <si>
    <t>one metal weapon</t>
  </si>
  <si>
    <t>Dazzling blade makes a weapon appear dazzlingly shiny, as if crafted from pure silver and heavily polished. In combat, the flashing movements of a dazzling blade become almost hypnotic. The wielder of a weapon under the effects of dazzling blade gains a +1 competence bonus on all Bluff checks made to feint in combat. The wielder also gains a +1 competence bonus on all CMB checks made to disarm a foe, and a +1 competence bonus to his CMD against disarm attempts made against the weapon bearing the dazzling blade effect. This bonus increases by +1 for every 3 caster levels, to a maximum bonus of +5 at 12th level.  The wielder of a dazzling blade can discharge the spell into a blinding burst of silvery light as a free action. The wielder selects an adjacent opponent as the focal point of this burst of light-that creature must make a Will save to avoid being blinded for 1 round (with a successful save, the creature is instead dazzled for 1 round).  Despite its shiny appearance, a dazzling blade grants no extra benefit against creatures that are vulnerable to silver.</t>
  </si>
  <si>
    <t>Dazzling Blade, Mass</t>
  </si>
  <si>
    <t>One metal weapon/level, no two of which can be more than 30 ft. apart</t>
  </si>
  <si>
    <t>This spell functions like dazzling blade, except that it affects multiple weapons. Each wielder of a dazzling blade can discharge the weapon's effect to attempt to blind a foe independently of the others.</t>
  </si>
  <si>
    <t>Summon Accuser</t>
  </si>
  <si>
    <t>evil, lawful</t>
  </si>
  <si>
    <t>bard 4, cleric/oracle 4, sorcerer/wizard 4, summoner/unchained summoner 4, witch 4</t>
  </si>
  <si>
    <t>V, S, F/DF (chunk of rotten meat)</t>
  </si>
  <si>
    <t>1 accuser devil</t>
  </si>
  <si>
    <t>This spell summons a single accuser devil from Hell to do the spellcaster's bidding, similar to how summon monster spells function. Accuser devils, known to diabolists as zebubs, are hideous flying creatures with the torso of a plump human infant and the body and wings of an enormous fly. They make excellent spies, for they have the ability to grant visions of what they have witnessed to others-the Queen's Hands sometimes use summoned zebubs to observe suspects from afar. Accuser devils are detailed on page 84 of the Pathfinder RPG Bestiary 2.</t>
  </si>
  <si>
    <t>Summon Infernal Host</t>
  </si>
  <si>
    <t>bard 5, cleric/oracle 5, sorcerer/wizard 5, summoner/unchained summoner 5, witch 5</t>
  </si>
  <si>
    <t>V, S, F/DF (strip of rune-inscribed parchment)</t>
  </si>
  <si>
    <t>1d4+1 lesser host devils or 1 greater host devil</t>
  </si>
  <si>
    <t>This spell functions as summon monster V, save that it can only be used to summon host devils. These noxious flying devils, known also as gaavs and magaavs, are detailed on page 58 of Pathfinder Campaign Setting: Princes of Darkness, Book of the Damned, Vol. 1.</t>
  </si>
  <si>
    <t>Echean's Excellent Enclosure</t>
  </si>
  <si>
    <t>V, S, M (a sphere of glass worth 100 gp and an iron nail, with which you pierce the glass on casting)</t>
  </si>
  <si>
    <t>You call into being around you an invisible barrier of force within which magic cannot persist. Within the area of the spell, effects are suppressed and creatures are affected as by antimagic field. An immobile sphere of impenetrable force surrounds the field, equivalent in all ways to a spherical wall of force, including its immunity to dispel magic and vulnerability to a sphere of annihilation or rod of cancellation. The barrier has hardness 40 and 20 hit points per caster level, and can be damaged by both mundane attacks and spells cast from outside the field. If the bubble of force is destroyed, the spell's duration ends.  Spells cannot be cast within, into, or out of the enclosure, and teleportation effects that ignore a wall of force (such as dimension door or teleport) are thwarted by the enclosure's field of antimagic.  Echean's excellent enclosure has the same effect on summoned creatures of any type and incorporeal undead that an antimagic field does, causing them to wink out of existence for the duration of Echean's excellent enclosure unless their spell resistance, if any, allows them to remain where they are within the field.</t>
  </si>
  <si>
    <t>Ablative Sphere</t>
  </si>
  <si>
    <t>V, S, M (a crystalline sphere worth 10 gp)</t>
  </si>
  <si>
    <t>1 minute per level (D)</t>
  </si>
  <si>
    <t>The Garundi tenaciously protect their homes, and through the years they have perfected magic to aid them in their defense.  An immobile, crystalline, weblike globe surrounds you.  When the ablative sphere winks into existence, it provides you with improved cover (Pathfinder RPG Core Rulebook 196). The barrier does not impede a spell's line of sight or effect.  The sphere is 1 inch thick per caster level, has hardness 5, and 3 hit points per inch of thickness. When an ablative sphere loses hit points, the level of cover it provides is reduced. When the ablative sphere has lost one-third of its hit points, it provides cover instead of improved cover. Once it has lost two-thirds of its hit points, it provides only partial cover. Finally, when the ablative sphere's hit points reach 0, the globe is destroyed. When an attack reduces an ablative sphere's hit points to 0, you take any remaining damage.</t>
  </si>
  <si>
    <t>Humans Of Golarion</t>
  </si>
  <si>
    <t>Garundi</t>
  </si>
  <si>
    <t>Burning Arc</t>
  </si>
  <si>
    <t>one primary target plus one additional target/3 levels  (each of which must be within 15 ft. of the primary target)</t>
  </si>
  <si>
    <t>Keleshites brag that they stole this spell from genie-kind thousands of years ago while other civilizations struggled without fire.  This spell causes an arc of flame to leap from your fingers, burning a number of enemies nearby. It deals 1d6 points of fire damage per caster level (maximum 10d6). For every additional target the discharge arcs to, reduce the number of damage dice by half (rounded down). Therefore, at 9th level, your burning arc deals 9d6 points of fire damage to the primary target, then 4d6 points of fire damage to a secondary target, then 2d6 points of fire damage to an additional target.  Each target can attempt a Reflex saving throw for half damage. The Reflex DC to halve the damage of the secondary bolts is 2 lower than the DC to halve the damage of the primary bolt. You may choose secondary targets as you like, but they must all be within 15 feet of the primary target, and no target can be struck more than once. You can choose to affect fewer secondary targets than the maximum.</t>
  </si>
  <si>
    <t>Keleshite</t>
  </si>
  <si>
    <t>Snow Shape</t>
  </si>
  <si>
    <t>cleric/oracle 2, druid 1, sorcerer/wizard 2</t>
  </si>
  <si>
    <t>V, S, M/DF (a miniature shovel)</t>
  </si>
  <si>
    <t>snow or snow-sculpted object touched, up to 5 cubic ft.  + 1 cubic ft./level</t>
  </si>
  <si>
    <t>In frozen northern lands, where the earth may be hidden beneath heavy drifts of snow, Ulfen druids developed a variation of stone shape that other spellcasters have since learned.  You can form a mass of snow into any shape that suits your purpose, as per the spell stone shape. While it's possible to make crude objects with snow shape, most fine details aren't possible.  However, a successful Craft (weapons) check allows you to create a bladed weapon from the snow. The DC of this check is equal to the DC listed with the Craft (weapons) skill (Core Rulebook 93).  You must be the one to make the Craft check and must do so at the time of casting this spell. A failed check means that the spell is cast normally but the weapon created is malformed and useless. This spell can only be used to craft weapons and not more precise tools or elaborate armors.  Once you create the item with this spell, it solidifies into super-hard ice, gaining a hardness of 5 and 10 hit points per inch of thickness. This weapon takes double damage from fire.  Anyone using an ice weapon takes a -2 penalty on attacks due to the slippery, unwieldy nature of the weapon, but the weapon deals 1 point of cold damage in addition to its normal damage. A weapon created by this spell lasts for 24 hours before melting into uselessness.</t>
  </si>
  <si>
    <t>Ulfen</t>
  </si>
  <si>
    <t>Summon Totem Creature</t>
  </si>
  <si>
    <t>cleric/oracle 3, druid 3, ranger 3, sorcerer/wizard 3, summoner/unchained summoner 3</t>
  </si>
  <si>
    <t>V, S, M/DF (a piece of bone from any one of your totem animals)</t>
  </si>
  <si>
    <t>The Shoanti revere more than the deities of distant planes, but also the animals and natural forces of the rugged lands they call home. Shoanti spellcasters have learned ways to call upon the might of their quahs' totem creatures in times of need. A character must have been raised by the Shoanti and be considered part of a quah to be able to cast this spell. Characters with access to this spell can only summon creatures revered by the quah they are a part of, as noted on the following lists. Except as noted above, this spell functions as summon nature's ally III.  Lyrune-Quah (Moon Clan): air elemental (small), 1d3 bats, wolf, 1d3 owls.  Shadde-Quah (Axe Clan): 1d3 eagles, earth elemental (small), water elemental (small).  Shriikirri-Quah (Hawk Clan): air elemental (small), 1d3+1 hawks (familiars), horse.  Shundar-Quah (Spire Clan): air elemental (small), earth elemental (small), 1d3 eagles.  Sklar-Quah (Sun Clan): 1d3 fire beetles, fire elemental (small), horse.  Skoan-Quah (Skull Clan): 1d3+1 eagles (vultures), 1d3 fire beetles, 1d3 giant centipedes.  Tamiir-Quah (Wind Clan): air elemental (small), 1d3 eagles, earth elemental (small).</t>
  </si>
  <si>
    <t>Shoanti</t>
  </si>
  <si>
    <t>Battering Blast</t>
  </si>
  <si>
    <t>one creature or unattended object</t>
  </si>
  <si>
    <t>You hurl a fist-sized ball of force resembling a sphere of spikes to ram a designated creature or object. You must succeed on a ranged touch attack to strike your target. On a successful hit, you deal 1d6 points of force damage per two caster levels (maximum 5d6). For every 5 caster levels you possess beyond 5th, you gain a second ball of force.  A creature struck by any of these is subject to a bull rush attempt. The force has a Strength modifier equal to your Intelligence, Wisdom, or Charisma modifier (whichever is highest). The CMB for the force's bull rush uses your caster level as its base attack bonus, adding the force's Strength modifier and a +10 bonus for each additional blast directed against the same target. Each sphere of force makes its own separate bull rush attempt-if multiple spheres strike one target, you make multiple CMB checks but only take the highest result to determine success. If the bull rush succeeds, the force pushes the creature away from you in a straight line, and the creature must make a Reflex save or fall prone. This spell pushes an unattended object struck by it 20 feet away from you, provided it weighs no more than 25 pounds per level (maximum 250 pounds). This spell cannot move creatures or objects beyond your range. Used on a door or other obstacle, the spell attempts a Strength check to destroy it if the sheer damage inflicted by the spell doesn't do the job.</t>
  </si>
  <si>
    <t>Dungeons Of Golarion</t>
  </si>
  <si>
    <t>Undeath Ward</t>
  </si>
  <si>
    <t>cleric/oracle 5, inquisitor 4, sorcerer/wizard 6, witch 6</t>
  </si>
  <si>
    <t>V, S, M/DF (powdered silver)</t>
  </si>
  <si>
    <t>none or Will negates (see text)</t>
  </si>
  <si>
    <t>You create a pale silver barrier that repels undead. Mindless undead and intelligent undead with fewer Hit Dice than your caster level cannot enter the area or penetrate the barrier.  Undead of Hit Dice equal to or greater than your caster level can pass through this barrier by making a successful Will save against the spell, but as they do so, they take 3d6 points of damage. Once an undead creature makes its save again this spell and takes this damage, it can come and go without further penalty. This spell may only be used defensively, not aggressively. Forcing an undeath ward against creatures that the spell keeps at bay collapses the barrier.</t>
  </si>
  <si>
    <t>Silk To Steel</t>
  </si>
  <si>
    <t>bard 2, sorcerer/wizard 2, witch 2, occultist 2</t>
  </si>
  <si>
    <t>one scarf</t>
  </si>
  <si>
    <t>You imbue an ordinary scarf (or similar piece of clothing) with the strength of steel without altering its weight or flexibility.  Each round on your turn, you can decide to use the scarf to defend yourself (gaining a +2 shield bonus to your Armor Class) or to attack as if the scarf were a whip.</t>
  </si>
  <si>
    <t>Use a scarf as a shield or whip.</t>
  </si>
  <si>
    <t>Aram Zey's Focus</t>
  </si>
  <si>
    <t>alchemist 2, bard 2, sorcerer/wizard 2</t>
  </si>
  <si>
    <t>V, S, F (masterwork thieves' tools worth 100 gp)</t>
  </si>
  <si>
    <t>Aram Zey created this spell for use by his students, both to increase their confidence in their skills and to ensure more of them survived encounters with deadly traps. If you don't have the trapfinding class ability, this spell grants you the trapfinding ability of a rogue of half your character level.  If you have the trapfinding ability granted by class levels, however, this spell grants you a +5 competence bonus on all Disable Device checks made to disarm mechanical (but not magical) traps. While under the effects of Aram Zey's focus, whenever you trigger a trap by rolling poorly on a Disable Device check, you may roll a second Disable Device check. This new roll uses the same modifiers as the first roll. If your second roll is high enough to avoid accidentally springing the trap, you avoid setting it off, but still fail to disarm it. Each time you take advantage of this feature, the remaining duration of the spell is reduced by 1 minute-if less than a minute's worth of duration remains, the spell ends as soon as you reroll your Disable Device check.</t>
  </si>
  <si>
    <t>Pathfinder Society Field Guide</t>
  </si>
  <si>
    <t>Aram Zey's Trap Ward</t>
  </si>
  <si>
    <t>V, S, M (masterwork thieves' tools worth 100 gp)</t>
  </si>
  <si>
    <t>10 minutes/level or until discharged</t>
  </si>
  <si>
    <t>While he was researching the underlying causes of the resonance created by overlapping abjurations, Aram Zey discovered a way to manipulate that resonance to the caster's advantage when encountering magical traps.  The protection provided by Aram Zey's trap ward comes into play whenever the caster is subjected to the effects of a magical trap. The spell immediately discharges and interferes with the trap's function in an attempt to counter the trap's magic. When this occurs, make a caster level check as an immediate action. The DC of this check is equal to the trap's Disable Device DC. If you're successful, the trap ward dispels the magical effect of the trap before the effect actually manifests, effectively preventing the trap from triggering for the next 1d4 rounds and ending Aram Zey's trap ward immediately.</t>
  </si>
  <si>
    <t>Bite the Hand</t>
  </si>
  <si>
    <t>druid 3, inquisitor 3, sorcerer/wizard 4, summoner/unchained summoner 3, witch 4</t>
  </si>
  <si>
    <t>one creature summoned by a spell or spell-like ability</t>
  </si>
  <si>
    <t>With a short command and a wave of the hand, you compel the target creature to attack the being who summoned it, to the best of its ability. If the being who summoned it is not present, the creature acts normally according to its last task or instructions. This spell has no effect on called creatures, summoned creatures not brought forth by spells or spell-like abilities (such as a summoner's eidolon), or bonded creatures not explicitly summoned, such as a paladin's mount or wizard's familiar.</t>
  </si>
  <si>
    <t>Bite the Hand, Mass</t>
  </si>
  <si>
    <t>druid 6, inquisitor 6, sorcerer/wizard 7, summoner/unchained summoner 6, witch 7</t>
  </si>
  <si>
    <t>one creature summoned by a spell or spell-like ability/level, no two of which can be more than 30 ft. apart</t>
  </si>
  <si>
    <t>This spell functions like bite the hand, except as noted above.  The target creatures do not need to have all been summoned by the same being.</t>
  </si>
  <si>
    <t>Corpse Lanterns</t>
  </si>
  <si>
    <t>sorcerer/wizard 2, witch 2</t>
  </si>
  <si>
    <t>up to 4 lights, all within a 10-ft.-radius area</t>
  </si>
  <si>
    <t>This spell functions as dancing lights, except it summons up to four spheres of light, each of which glows a sickly pale green. These corpse lanterns shed dim light in a 20-foot radius, and do not increase the light level in areas of normal light or bright light. In dim or normal light, the radiance of corpse lanterns provides a strange contrast, giving all creatures in the area a -5 penalty on Stealth checks. In addition, the hue interferes with illusion (pattern) spells, giving all creatures in the illuminated area a +2 bonus on any saving throws against such spells. Unlike dancing lights, you may have more than one corpse lanterns spell active at a time, but you may only move one set in any given round.  Moving the corpse lanterns does not require concentration.  Corpse lanterns can be made permanent on an area with a permanency spell by a caster of at least 11th level for the cost of 7,500 gp.</t>
  </si>
  <si>
    <t>Gilded Whispers</t>
  </si>
  <si>
    <t>cleric/oracle 4, sorcerer/wizard 3</t>
  </si>
  <si>
    <t>V, S, M (100 gp of powdered gemstones)</t>
  </si>
  <si>
    <t>a gold or platinum coin</t>
  </si>
  <si>
    <t>Developed by priests of Abadar to catch thieves and skimmers, gilded whispers later spread to other faiths and was adapted to the arcane arts through the combined efforts of Aram Zey and Kreighton Shaine. Pathfinders most commonly use this spell to track bribes and illicit purchases back to their ultimate source, especially when they suspect the influence of Aspis Consortium agents.  Gilded whispers allows you to use a single coin as a conduit for an eavesdropping spell. When you use a divination (scrying) spell or item, such as clairvoyance/ clairaudience, scrying, or a crystal ball, you can choose to target a coin you have affected with gilded whispers instead of a creature or location (even if you would not otherwise be able to target an object), though any range limits on the scrying effect still apply. If the coin is held or carried by a creature, its owner receives any applicable saving throw against the effect. The caster of gilded whispers treats the coin as a familiar subject. The residual psychic impressions left upon the coin by other handlers help mask this dweomer from detection, protecting gilded whispers against location by detect magic, arcane sight, and similar effects unless the latter spell's caster succeeds on a caster level check (1d20 + caster level) against a DC of 11 + the caster level of the spellcaster who cast gilded whispers.  The scrying sensor created by using a divination (scrying) spell to observe or listen to the coin's surroundings can be detected as normal.</t>
  </si>
  <si>
    <t>Lipstitch</t>
  </si>
  <si>
    <t>S, M (a bone needle and sinew thread)</t>
  </si>
  <si>
    <t>A rare spell without verbal components, lipstitch sews the target's lips tightly together if it fails a saving throw, such that no clear speech, bite attacks, spellcasting, or use of command words is possible. The target takes 1d6 points of damage as the stitches weave through flesh. The victim can still make enough noise to be heard at a distance with a DC 10 Perception check.  The thread created by lipstitch can be burst with a DC 20 Strength check as a standard action or can be sliced open with a piercing or slashing weapon (wielded by the target or an ally) as a full-round action. Cutting the thread provokes attacks of opportunity, while making a Strength check does not. Either option causes 1d6 points of damage and 1 point of bleed damage. The target has a 20% chance of failing to cast spells with verbal components until the bleeding is stopped. The effects of multiple castings of this spell do not stack. Optionally, the thread can be removed more carefully over the course of a minute with a DC 20 Heal check. If the check fails, the target takes damage and bleeds as described above. If the check succeeds, the stitches are removed with no harm. Creatures with no mouths are unaffected by lipstitch. Creatures with multiple mouths lose the use of only one mouth per casting-the particular mouth is chosen by the caster.</t>
  </si>
  <si>
    <t>Petulengro's Validation</t>
  </si>
  <si>
    <t>alchemist 1, inquisitor 1, sorcerer/wizard 1</t>
  </si>
  <si>
    <t>V, S, M (a bit of hair, a fingernail, or a similar portion of a creature)</t>
  </si>
  <si>
    <t>After a particularly harrowing brush with death at the hands of doppelgangers, Venture-Captain Eliza Petulengro devised a means of being sure her companions were actually who they appeared to be. To cast this spell, you must have a bit of hair, a fingernail clipping, or some other portion of a creature. The sample must be no more than 1 week old per caster level. As part of casting, you touch the target creature, and instantly know whether the target is the same creature the sample is from. Note that if you wish to be discrete, you can cast the spell away from the target and hold the charge before touching the creature, so that the casting is not noticed. You can also use this spell to divine whether a dead body, or even partial remains from a body, belonged to the same person whose fingernail clipping or bit of hair you used when casting the spell.</t>
  </si>
  <si>
    <t>Sequester Thoughts</t>
  </si>
  <si>
    <t>bard 3, sorcerer/wizard 5</t>
  </si>
  <si>
    <t>V, S, M (a gemstone worth at least 500 gp)</t>
  </si>
  <si>
    <t>permanent until discharged (see text)</t>
  </si>
  <si>
    <t>Sequester thoughts allows you to erase a creature's memory of either an event lasting not more than 1 minute per caster level or all of its knowledge about a single topic (using the GM's discretion as to what constitutes a single topic). For example, you could erase a single battle from a creature's memory, or all knowledge of a plot to assassinate a king.  The memories you remove are stored within the gem used at the time of casting. If the gem is shattered, the memories return to the creature as long as the two are within 30 feet of each other. Once sequester thoughts has been cast, the spell remains active on the gem and can be dispelled (which shatters it). No portion of the spell remains active on the target creature, and the target does not radiate magic as a consequence of the spell, nor can its memories be returned by dispelling the creature or subjecting it to antimagic. If the gem is shattered or dispelled out of range from the creature, the thoughts sequestered within are forever lost save by the use of wish, miracle, or the like.  Sequester thoughts protects against detect thoughts, zone of truth, discern lies, and similar spells where the memories removed are concerned, though careful questioning may reveal the gaps in the creature's memory, or that it has been affected by the spell. Note that the creature itself does not remember any details of what memories were removed until the gem is broken.</t>
  </si>
  <si>
    <t>Sharesister</t>
  </si>
  <si>
    <t>cleric/oracle 3, witch 3</t>
  </si>
  <si>
    <t>V, S, M (a drop of your own blood)</t>
  </si>
  <si>
    <t>you and one creature of your gender</t>
  </si>
  <si>
    <t>(harmless) Ithuna Vardsdottir claims to have unearthed this ancient prayer in a ruined temple of Desna, though Pathfinders have reported the use of similar magic in Irrisen among the White Witches. While the name of this spell is sharesister, it works equally well on male or female creatures-both targets of the spell must simply be of the same gender.  When you deliver the spell, you receive a negative level for the duration of the spell, and the other target receives a +1 insight bonus to her caster level and a +1 insight bonus to the save DCs of all of her spells. At 11th level, you can opt to take four negative levels to grant a +2 insight bonus to the other target's caster level and spell save DCs if you wish, while at 17th level you can take 6 negative levels to increase the insight bonus to +3. Any effect that removes or prevents the negative level immediately ends the sharesister spell. Negative levels received from the spell vanish as soon as this spell effect ends.  Negative levels from multiple castings of this spell stack.</t>
  </si>
  <si>
    <t>Stalwart Resolve</t>
  </si>
  <si>
    <t>alchemist 2, cleric/oracle 2, inquisitor 1, paladin 1, witch 2</t>
  </si>
  <si>
    <t>(harmless) Stalwart resolve was originally created to temporarily aid those suffering from certain afflictions. The recipient of stalwart resolve ignores the effects of ability damage and penalties to a single ability score of your choice, except that damage equal to or greater than the ability score still causes unconsciousness or death. This applies whether or not the ability damage or penalty happened before or during the spell's duration, and whether or not multiple sources are involved. This spell has no effect on ability drain.</t>
  </si>
  <si>
    <t>Stolen Light</t>
  </si>
  <si>
    <t>bard 3, sorcerer/wizard 3</t>
  </si>
  <si>
    <t>V, S, F (a gem worth at least 500 gp)</t>
  </si>
  <si>
    <t>transparent gem touched</t>
  </si>
  <si>
    <t>permanent or 1 minute/level (see text)</t>
  </si>
  <si>
    <t>Kreighton Shaine researched this spell from the fragmentary notes of a Vudrani ascetic recorded in a strange tome, and rumors credit him with no fewer than a dozen permanent stolen light gems hidden in compartments and drawers in his study. Stolen light stores images within a gem. To store an image, as part of casting you must touch a gem worth not less than 500 gp. You trap within the gem an image of everything visible within a 30-foot cone measured from the gem, in a direction of your choice. Alternatively, you can capture a less detailed image of a single object within sight.  Once the casting is complete, the gem turns opaque, and the image inside cannot be seen. The stolen image remains within the gem until released or dispelled.  To release an image, you touch a gem holding stolen light as a standard action and speak a command word chosen at the time of casting. For 1 minute per caster level, the image stored within the gem becomes visible. Details can be made out as clearly as they could be perceived at the time of casting. Darkvision is of no use for making out details in a stolen image, though low-light vision or other exceptional visual talents may reveal information the caster did not see.  Light sources brighter than bright light are reduced to bright light in the stolen image. Once the image has been released, it cannot again be recovered from the gem.  Stolen light can be made permanent with the permanency spell by a caster of 10th level for a cost of 5,000 gp. This leaves the gem capable of projecting the image indefinitely, activated and deactivated by its command word, until it is destroyed or dispelled.</t>
  </si>
  <si>
    <t>Twisted Innards</t>
  </si>
  <si>
    <t>alchemist 2, magus 3, sorcerer/wizard 3, witch 3</t>
  </si>
  <si>
    <t>V, S, M (a cocoon tied with string)</t>
  </si>
  <si>
    <t>For the duration of this spell, your vital organs writhe, shift, and move about, making it difficult to strike you in a vulnerable area. While this spell is in effect, critical hits and sneak attacks against you have a 25% chance of failing to inflict any additional damage-though you still take the normal damage from the attack. At 7th level, the chance to ignore additional damage increases to 50%, while at 13th level the chance increases to 75%.</t>
  </si>
  <si>
    <t>Blot</t>
  </si>
  <si>
    <t>bard 3, cleric/oracle 3, sorcerer/wizard 3</t>
  </si>
  <si>
    <t>V, S, M (a bit of cloth made wet with saliva)</t>
  </si>
  <si>
    <t>10 ft.-radius burst</t>
  </si>
  <si>
    <t>This spell reduces all types of writing and other recognizable symbols found on any sort of surface within range into illegible smears. It affects books, carvings on stone, or even tattoos with equal ease. It does not affect writing that is not actually on a surface, such as an illusion, projection, reflection, or anything similar. Spellbooks and magical items that contain writing (such as scrolls) gain a saving throw to resist the effects of this spell. Against magical writing created by spell effects (such as glyphs of warding or symbols), blot instead functions as a dispel magic spell capable of targeting all such spell effects in the area. This spell has no on writing found on artifacts or similarly unique surfaces.</t>
  </si>
  <si>
    <t>Goblins Of Golarion</t>
  </si>
  <si>
    <t>Fire Sneeze</t>
  </si>
  <si>
    <t>alchemist 2, druid 2, sorcerer/wizard 2</t>
  </si>
  <si>
    <t>V, S, M (hot pepper soaked in oil)</t>
  </si>
  <si>
    <t>1 round + 1 round/2 levels</t>
  </si>
  <si>
    <t>This spell causes you to begin sneezing gouts of fire that can not only set creatures ablaze but also drop them flat on their backs.  Once you cast this spell, you must sneeze each round as a standard action-you can take no other standard action as long as this spell is in effect, nor can you take full-round actions. Each time you sneeze, you produce a 10-foot-long cone of fire and wind. All creatures caught in this cone take 2d6 points of fire damage-a successful Reflex save halves this damage. Any creature that fails to resist this spell with a Reflex save must immediately make a DC 12 Fortitude save or be knocked prone by the blast of wind associated with the sneeze.</t>
  </si>
  <si>
    <t>Limp Lash</t>
  </si>
  <si>
    <t>V, S, M (a dead wasp)</t>
  </si>
  <si>
    <t>special (see below)</t>
  </si>
  <si>
    <t>You create a dark whip-shaped field of energy that wraps around an enemy's neck, leaving everything except his head paralyzed until you let go of the whip or it is destroyed. You must make a ranged touch attack with this spell. If you strike your target, he takes a 1d6 penalty to his Strength, Dexterity, and Constitution each round.  This penalty cannot reduce any attribute to less than 1, and once any of these attributes reaches 1 the target collapses and his body, except his head, becomes paralyzed. While paralyzed in this way, the target retains full use of his senses, including the ability to feel pain, and can speak (including casting spells with only verbal components). The whip has a maximum length of 20 feet, 15 hit points, and a hardness of 5. The spell ends immediately if you let go of the whip or it is destroyed. When the spell ends, all penalties the target took from this spell also end.</t>
  </si>
  <si>
    <t>Aroden's Spellbane</t>
  </si>
  <si>
    <t>V, S, F (cold iron scepter worth at least 1,000 gp)</t>
  </si>
  <si>
    <t>One of many spells originally created by the Last Azlanti before he became a god, Aroden's spellbane creates an area within which spells selected by you simply do not function.  Select one spell per five caster levels at the time of casting.  The spells selected cannot be changed after the spell is cast. Aroden's spellbane otherwise functions like antimagic field, except its emanation only prevents the functioning of the selected spells. Only the exact spells mentioned are affected-a spellbane set to prevent the casting of summon nature's ally II would not prevent castings of summon nature's ally I or summon nature's ally III. If you move into an area where a previously cast spell you have selected as a banned spell is in effect, that spell is affected as if by antimagic field. If the spell affects a summoned creature that has spell resistance, you must make a caster level check against the creature's spell resistance to make it wink out.  Aroden's spellbane can even negate an antimagic field, another Aroden's spellbane, or any spell that specifies immunity to antimagic field (such as wall of force, prismatic sphere, and prismatic wall). Multiple spellbane effects can overlap.  Their effects stack, preventing the functioning of every spell targeted by any of the multiple spellbane emanations. Spell effects created by artifacts or deities cannot be suppressed by Aroden's spellbane.</t>
  </si>
  <si>
    <t>Inner Sea Magic</t>
  </si>
  <si>
    <t>Add half your tier to the number of spells you can select to notfunction in the area. As a full-round action, you can expend one useof mythic power to change one of the spells blocked by this effect.You can do this as often as you wish during the spell's duration.</t>
  </si>
  <si>
    <t>Bladed Dash</t>
  </si>
  <si>
    <t>bard 2, magus 2</t>
  </si>
  <si>
    <t>Both Quantium and Jalmeray claim that this spell was born in their arcane universities. Regardless of the spell's origin, it quickly spread throughout the Inner Sea and beyond as spellcasting sword-fighters learned of its existence.  When you cast this spell, you immediately move up to 30 feet in a straight line any direction, momentarily leaving a multi-hued cascade of images behind you. This movement does not provoke attacks of opportunity. You may make a single melee attack at your highest base attack bonus against any one creature you are adjacent to at any point along this 30 feet. You gain a circumstance bonus on your attack roll equal to your Intelligence or Charisma modifier, whichever is higher.  You must end the bonus movement granted by this spell in an unoccupied square. If no such space is available along the trajectory, the spell fails. Despite the name, the spell works with any melee weapon.</t>
  </si>
  <si>
    <t>Bladed Dash, Greater</t>
  </si>
  <si>
    <t>bard 5, magus 5</t>
  </si>
  <si>
    <t>This spell functions like bladed dash, save that you can make a single melee attack against every creature you pass during the 30 feet of your dash. You cannot attack an individual creature more than once with spell.</t>
  </si>
  <si>
    <t>Blast Barrier</t>
  </si>
  <si>
    <t>druid 4, ranger 3, sorcerer/wizard 3, witch 4</t>
  </si>
  <si>
    <t>V, S, M (handful of snow, earth, or gravel)</t>
  </si>
  <si>
    <t>close (25 ft. + 5ft./2 levels)</t>
  </si>
  <si>
    <t>1-ft.-thick wall up to 10 ft. high by 20 ft. wide</t>
  </si>
  <si>
    <t>concentration, up to 1 round/2 levels</t>
  </si>
  <si>
    <t>Reflex half (see below)</t>
  </si>
  <si>
    <t>yes (see below)</t>
  </si>
  <si>
    <t>Originally used by the winter witches on the field of battle in the early days of Irrisen, blast barrier has entered the oral traditions of many northern barbarian tribes as legends of winter witches possessing powers to bend the very ground of a battlefield to their will. Blast barrier, however, has proven to be an exceptionally versatile spell as far as terrains are concerned, for it works equally well in swamps, deserts, or any region where the ground is soft or easy to shape.   When you cast blast barrier, you cause a rippling wall of loose earth, mud, snow, sand, or gravel to spring up in a designated space within the spell's range. This wall provides total cover to all Large or smaller creatures and objects. The barrier can only spring up in an area of natural, unworked ground. The energy that forms the wall's matrix is unstable, and you must concentrate to maintain the wall's shape. A blast barrier has an AC of 9, hardness 0, and 5 hit points per caster level. When a blast barrier reaches 0 hit points, or when you cease concentrating on maintaining it, the energies that maintain the barrier's shape fail with explosive results, sending sharp chunks of the materials comprising the wall and magical energy out along both sides. Any creature that is adjacent to a blast barrier when it explodes takes 2d6 points of slashing damage and 1d6 points of sonic damage per 3 caster levels (maximum 6d6). A successful Reflex save halves the total damage done. Spell resistance applies as well.   This instability can make using a blast barrier risky, but many of the spellcasters that pioneered the spell became experts at its tactical applications, often using the barriers to cover an escape while lobbing spells and parting shots, hoping to trigger the barrier's destruction just as their would-be pursuers approached.</t>
  </si>
  <si>
    <t>Call Weapon</t>
  </si>
  <si>
    <t>bard 1, magus 1, ranger 1</t>
  </si>
  <si>
    <t>30 feet</t>
  </si>
  <si>
    <t>one melee weapon wielded by an ally</t>
  </si>
  <si>
    <t>This spell first rose to prominence among the elves of Kyonin in the war to retake their ancestral land from the demon lord Treerazer and his minions. Elite units of elven magi entered battle with this spell prepared to shield fallen comrades or stand firm against fell foes. As the elven presence returned to the world, this spell spread throughout the Inner Sea and beyond.  When you cast this spell, you cause a weapon wielded by an ally within 30 feet to telekinetically fly across the space between you and into your open hand. This extra energy persists in the weapon for the rest of the round, granting you a +2 circumstance bonus on attack rolls and weapon damage rolls made during the same round you cast this spell.  If the ally targeted for this spell is unwilling to give up her weapon, the spell fails. An unconscious or dying ally is considered a "willing" target so long as the weapon to be called is still in contact with the ally's body.</t>
  </si>
  <si>
    <t>Crusader's Edge</t>
  </si>
  <si>
    <t>cleric/oracle 4, inquisitor 4, paladin 4</t>
  </si>
  <si>
    <t>V, S, M (dried blood from an evil outsider, sprinkled on the weapon)</t>
  </si>
  <si>
    <t>This spell was created by the paladins of the Mendevian Crusades, and co-opted by inquisitors and rangers dedicated to tracking and fighting demons, devils, and other evil extraplanar creatures.  When you cast this spell on a melee weapon you imbue it with a powerful holy energy, granting the weapon the bane weapon quality against evil outsiders. Furthermore, whenever you score a successful critical hit against an outsider with the evil subtype, you not only deal normal critical damage with the weapon but also nauseate the outsider for 1d3 rounds-the outsider can reduce this nauseated condition to sickened for 1 round with a successful Fortitude save.</t>
  </si>
  <si>
    <t>Whenever you confirm a critical hit against an outsider with theevil subtype, you gain 2d6 temporary hit points. While wieldingthis weapon, you gain a +2 sacred bonus on saving throwsagainst spells, spell-like abilities, and special abilities originatingfrom evil outsiders.</t>
  </si>
  <si>
    <t>Augmented (5th): You can expend two uses of mythic powerto give the touched weapon the holy weapon special ability.</t>
  </si>
  <si>
    <t>Eaglesoul</t>
  </si>
  <si>
    <t>cleric/oracle 6, paladin 4, summoner/unchained summoner 5</t>
  </si>
  <si>
    <t>V, S, M (vellum inscribed with good outsider's name)</t>
  </si>
  <si>
    <t>1 hour/level (see below)</t>
  </si>
  <si>
    <t>As the Inner Sea's bravest men and women answered the call of what became the Second Mendevian Crusade, constructing the wardstones that eventually kept the brutal chaos of the Worldwound at bay, they realized that they needed help beyond traditional magics. Legends say that the first eaglesoul spell was created when an agathion avoral joined his own spirit with that of a courageous paladin who was about to be overwhelmed on the field of battle. The holy knight used the combined might of the agathion's great strength and his own to win the day for the crusaders. Now, although the spell is still in use chiefly among those that patrol the borders of the Worldwound, other champions of good have carried it with them to all corners of the Inner Sea region. When you cast this spell, you reach into the great beyond and beseech a good-aligned outsider for their aid against evil. The outsider infuses a small portion of its own power into you, making you a powerful force for good. You gain a +2 morale bonus on all Perception checks made against evil creatures, a +2 bonus on Initiative checks, and detect evil as a constant spell-like ability. In addition, once during the spell's duration you can call forth a surge of holy power when fighting an evil creature. Doing so is a swift action that shortens the spell's remaining duration so that its remaining hours of duration become rounds of duration. For the rest of this duration, the surge of power grants you the following benefits: • A +2 sacred bonus to AC • A +4 sacred bonus to Strength • Resistance 5 to acid and fire • A +5 sacred bonus on all Intimidate checks made against evil creatures • Fast healing 2 • Any critical threat roll made against an evil creature with a weapon you wield is automatically confirmed. Although this surge of power can be activated against any evil opponent, this ability activates automatically as soon as you attack any evil outsider, regardless of whether you hit or not, and regardless of whether you actually recognize that the target is in fact an evil outsider. In such cases the activation is a free action. Nongood spellcasters can cast this spell, but doing so causes them to be sickened (for spellcasters who are neither good nor evil) or staggered (for spellcasters who are evil) for the spell's duration.</t>
  </si>
  <si>
    <t>Eldritch Conduit</t>
  </si>
  <si>
    <t>V, S, M (a small mirror)</t>
  </si>
  <si>
    <t>Originally created by a disciple of the archwizard Nex, this spell was used to turn enemy soldiers in Geb's undead armies into conduits capable of blasting spell energy back into the far reaches of the Gebite lines. Since then, it has become a favorite among arcane casters with an understanding of battlefield tactics.  If the target of this spell fails to resist its effects with a Will save, he becomes outlined in faint radiance, as if via faerie fire. At any time before the eldritch conduit expires, you may cast another spell with an area effect of cone, cylinder, line, or sphere and use the subject of the eldritch conduit as the point of origin for that spell. Doing so ends the spell immediately. The target must be within close range (25 feet + 5 feet/2 levels) in order for you to use the conduit-if the target moves out of range, the eldritch conduit effect persists but cannot be utilized by you until you get back within range.</t>
  </si>
  <si>
    <t>Eldritch Conduit, Greater</t>
  </si>
  <si>
    <t>This spell functions like eldritch conduit save for the differences listed above and that the target must be within medium range (100 ft. + 10 ft./level) in order for you to use the conduit. Using a creature as a conduit for a spell ends the greater eldritch conduit effect on that creature, but does not end the effect for other eldritch conduits.</t>
  </si>
  <si>
    <t>Fleshcurdle</t>
  </si>
  <si>
    <t>V, S, M (scrap of pickled flesh)</t>
  </si>
  <si>
    <t>one living or undead creature</t>
  </si>
  <si>
    <t>You warp the target creature's flesh, discoloring it and causing it to become misshapen and impairing its function. When you cast this spell, you must choose one of three types of effects to inflict on the target-movement, attacks, or defense.  Attacks: One of the creature's natural attacks takes a -2 penalty on attack and damage rolls, only scores a critical hit on a natural 20, and only deals x2 damage on a confirmed critical hit.  Defense: The creature's natural armor bonus decreases by -4, to a minimum bonus of +0.  Movement: One of the creature's movement speeds (chosen by you) is halved.  Most undead are susceptible to fleshcurdle, but amorphous creatures and creatures without flesh are immune (such as elementals, oozes, plants, gaseous or incorporeal creatures, and skeletons).</t>
  </si>
  <si>
    <t>You can choose two effects instead of one effect, or maychoose to enhance one effect. If you enhance the attackeffect, all of the creature's natural attacks are affected. Ifyou enhance the defense effect, in addition to fleshcurdle's normal effect on natural armor bonus, any critical threatsagainst the creature gain a +4 bonus on the confirmation roll.If you enhance the movement effect, all of the creature'smovement speeds are halved.</t>
  </si>
  <si>
    <t>Augmented (6th): If you expend two uses of mythic power,you can choose two enhanced effects to inflict upon the target.</t>
  </si>
  <si>
    <t>Forceful Strike</t>
  </si>
  <si>
    <t>cleric/oracle 4, inquisitor 4, magus 4, paladin 4</t>
  </si>
  <si>
    <t>touch or reach of melee weapon</t>
  </si>
  <si>
    <t>You cast this spell as you strike a creature with a melee weapon, unarmed strike, or natural attack to unleash a concussive blast of force. You deal normal weapon damage from the blow, but also deal an additional amount of force damage equal to 1d4 points per caster level (maximum of 10d4). The force of the blow may be enough to knock the target backward as well. To determine if the target is pushed back, make a combat maneuver check with a bonus equal to your caster level to resolve a bull rush attempt against the creature struck. You do not move as a result of this free bull rush, but it can push the target back if it defeats the target's CMD. A successful Fortitude save halves the force damage and negates the bull rush effect.</t>
  </si>
  <si>
    <t>Geb's Hammer</t>
  </si>
  <si>
    <t>sorcerer/wizard 4, witch 4</t>
  </si>
  <si>
    <t>V, S, M (a leather glove coated in dried embalming herbs)</t>
  </si>
  <si>
    <t>sphere of undead remains composed of 3 or more destroyed undead</t>
  </si>
  <si>
    <t>Centuries of war with Nex trained the necromancers of Geb to extract every last resource from the mindless undead that make up most of Geb's rank-and-file troops.  When you cast this spell, you draw the remains of nearby destroyed undead together and fuse them into a mass of flesh and bone you can then hurl at any foes within range. Three corpses within range of the spell are required for the spell to function. Geb's hammer can be directed to attack one foe within range per round as a move action. It uses your caster level as its base attack bonus, modified by your Intelligence, Wisdom, or Charisma modifier (whichever one is highest). On a hit, the corpse hammer deals 1d6 points of damage per three caster levels (to a maximum of 6d6 points of damage).  Geb's hammer also has secondary effects based on the nature of the three bodies you use to create it. If the majority used to create Geb's hammer (at least two) were skeletal, the jagged bits of bone cause the corpse hammer to deal slashing damage and increase Geb's hammer's critical threat range to 19-20. On the other hand, if the majority were fleshy (at least two), the increased mass causes Geb's hammer to deal bludgeoning damage and increase its critical hit damage to x3.  Undead that have been destroyed by positive energy or a similar effect that does not leave a corpse, like a disintegrate spell, cannot be used to form Geb's hammer.</t>
  </si>
  <si>
    <t>Geniekind</t>
  </si>
  <si>
    <t>cleric/oracle 5, druid 5, sorcerer/wizard 5, summoner/unchained summoner 5</t>
  </si>
  <si>
    <t>V, S, M (a pinch of dust, embers, wind-blown sand or drops of water, depending on the genie type)</t>
  </si>
  <si>
    <t>Keleshite wizards and clerics have always sought to emulate the genies that they bind. The geniekind spell is the result of attempts to gain the power and influence of these proud outsiders without entirely forsaking the caster's own form.  Upon casting this spell, you must choose one type of genie to transform into, selecting from djinni, efreeti, marid, or shaitan. You retain your basic physical appearance but shift in some way to become more akin to the genie type you chose. While under the effects of geniekind, you gain a +2 racial bonus on all saving throws against paralysis, poison, sleep, and stunning effects, and a +4 enhancement bonus to your natural armor bonus. You also gain a +2 enhancement bonus to Constitution and a +5 bonus on all Diplomacy checks made when interacting with creatures of the same elemental subtype as your chosen genie. In addition, you gain other abilities depending upon the type of genie you choose to assume the form of, as detailed below.  Djinni: You gain the ability to fly at a speed of 60 feet with perfect maneuverability. When flying, your lower torso trails away into a vortex of wind and smoke. You gain resist electricity 10.  Efreeti: Your flesh turns a deep red and you grow large horns on your head. Your unarmed strikes and any melee weapon you wield deal +1d6 points of fire damage. You gain resist fire 10.  Marid: Your flesh turns blue and you gain webbed fingers and toes. You gain a swim speed of 60 feet and can breathe water. You gain resist cold 10.  Shaitan: Your flesh gains the coloration of stone and your hair appears to be sculpted from fine crystals. You gain a burrow speed of 60 feet and resist acid 10.</t>
  </si>
  <si>
    <t>Hungry Darkness</t>
  </si>
  <si>
    <t>darkness, force</t>
  </si>
  <si>
    <t>V, S, M (a bat's tooth)</t>
  </si>
  <si>
    <t>60-ft.-radius spread</t>
  </si>
  <si>
    <t>This spell creates an area of intense blackness, as deeper darkness, but filled with unseen chewing teeth and ravenous maws. Any creatures beginning its turn within the hungry darkness is gnawed and slashed by these unseen fangs of force, dealing 3d6 points of force damage and 2 points of Constitution damage per round. Once a creature leaves the cloud, it continues to take 1d6 points of bleed damage each round until it receives magical healing or enters an area of bright light. Spell resistance can prevent damage from the hungry darkness but not against the darkness it creates.</t>
  </si>
  <si>
    <t>Hunter's Lore</t>
  </si>
  <si>
    <t>inquisitor 2, ranger 2</t>
  </si>
  <si>
    <t>V, S, M (a scrap of paper torn from a book about monsters)</t>
  </si>
  <si>
    <t>Inquisitors and rangers alike learned long ago that knowledge of an enemy grants power over that enemy. This spell was created so that almost any enemy could have its vulnerabilities known and exploited.  For the duration of this spell you may spend a full-round action to take 20 on any Knowledge skill checks made to identify a foe's weaknesses, provided the foe in question is within line of sight and provided that you have at least one rank in that particular Knowledge skill. This spell allows you to make untrained Knowledge checks to determine a monster's weaknesses as if you had ranks in that skill, but you cannot take 20 on these checks.</t>
  </si>
  <si>
    <t>Impart Mind</t>
  </si>
  <si>
    <t>cleric/oracle 6, magus 5, sorcerer/wizard 6</t>
  </si>
  <si>
    <t>V, S, M (diamond dust worth at least 1,000 gp)</t>
  </si>
  <si>
    <t>permanent nonintelligent magic item touched</t>
  </si>
  <si>
    <t>This spell grants the target magic item temporary intelligence by siphoning off a tiny portion of your own mind to infuse the object. Only permanent magic items may be enhanced by this spell-one-use items and charged items cannot be affected by impart mind. Intelligent magic items cannot be affected by impart mind.  When you cast impart mind on a magic item, the item gains an Intelligence, Wisdom, and Charisma score of 10 and gains your alignment. You have no special control over the item once it becomes intelligent, although since it has your alignment, personality conflicts with items you wield won't be a problem. Determine the item's ego normally, as per the rules on intelligent items in the Core Rulebook.  An item made intelligent via impart mind communicates via speech and has normal senses to a range of 60 feet. It speaks and reads one language known by you-if you know multiple languages, you may choose which language the item knows.  When you cast impart mind on an item, roll once on Table 15-24 on page 534 of the Core Rulebook to randomly determine the item's power-add your caster level to this roll. By expending additional diamond dust in excess of the 1,000 gp worth of material components required to cast this spell, you can gain further bonuses on the d% roll made to determine the item's power. Every additional 100 gp in diamond dust you use in excess grants a cumulative +1 bonus to the roll, up to a maximum additional bonus equal to your caster level. If the item gains the ability to cast a spell, determine the spell it can cast randomly from spells you know of the appropriate level. If the item gains ranks in a skill, it gains ranks in a random skill in which you have at least 1 rank.  If you roll above 100, then you can choose one item power on Table 15-24 in the Core Rulebook to grant the item, and the item gains a special purpose. Roll once on Tables 15-25 and 15-26 on page 534 of the Core Rulebook to determine what the item's special purpose and dedicated powers are. These d% rolls are not modified by your caster level or any additional powdered gems you used to cast the spell.  Once this spell ends, the item reverts to its previous nature-if you cast this spell on the item again, it gains entirely different powers as determined by a new set of rolls.</t>
  </si>
  <si>
    <t>Khain's Army</t>
  </si>
  <si>
    <t>cleric/oracle 5, sorcerer/wizard 5, witch 5</t>
  </si>
  <si>
    <t>V, S, M/DF (a handful of ghoul's teeth)</t>
  </si>
  <si>
    <t>5 feet</t>
  </si>
  <si>
    <t>1d4+1 ghouls and 1 ghast</t>
  </si>
  <si>
    <t>Fortitude half (see text)</t>
  </si>
  <si>
    <t>Originally created by the priest-king of Nemret Noktoria, the ghoul Kortash Khain, for use by his minions to bolster their forces in battles against their enemies, Khain's army has become a favorite of many necromancers throughout Osirion and beyond. By scattering a handful of ghoul's teeth across the ground, you cause 1d4+1 ghouls led by a single ghast to rise up from the ground around you. The ghouls and their ghast leader must appear in squares adjacent to you, but after that they follow your spoken commands unerringly.  If one of the ghouls is destroyed while the spell's duration is still in effect, it bursts into a spray of rotten flesh and necromantic energy that deals 1d6 points of negative energy damage to all adjacent targets-this energy heals undead targets as typical for negative energy damage. If the ghast is destroyed in this manner, it deals twice as much negative energy damage as a ghoul. A successful Fortitude save halves the negative energy damage dealt. When this spell's duration expires, any remaining undead created by this spell crumble apart into dust and blow away without dealing any additional negative energy damage.</t>
  </si>
  <si>
    <t>Kiss of the First World</t>
  </si>
  <si>
    <t>bard 4, druid 4</t>
  </si>
  <si>
    <t>V, S, M (diamond dust worth 100 gp)</t>
  </si>
  <si>
    <t>living or undead creature touched</t>
  </si>
  <si>
    <t>This spell-a favorite of fey spellcasters-is traditionally bestowed with a kiss, though all that's really required to gift someone with a kiss of the First World is a touch. This spell infuses a living creature with a surge of positive energy from the First World, filling the target with the raw energies of life. The exact effects of this spell vary, depending on the nature of the creature touched. Constructs are immune to the effects of this spell.  Living Creature: A living creature gains a 20-foot increase to his base land speed and a +2 insight bonus on all Charismabased skill checks. In addition, the creature gains fast healing 2. Fire, acid, and negative energy cause this fast healing to stop functioning on the round following the attack.  Undead Creature: An undead creature targeted by this spell is staggered for the duration of this spell. It does not gain the benefits of any channel resistance it might normally enjoy, and the save DCs for any of its special attacks (but not spell-like abilities or spells) are reduced by 2.</t>
  </si>
  <si>
    <t>Light of Iomedae</t>
  </si>
  <si>
    <t>cleric/oracle 3, inquisitor 3, paladin 2</t>
  </si>
  <si>
    <t>medium (100 ft. +5 ft./level)</t>
  </si>
  <si>
    <t>all undead in a 10-foot-radius spread</t>
  </si>
  <si>
    <t>With this spell, you create shafts of blue light that illuminate all undead creatures in the area. Affected undead take a -20 penalty on all Stealth checks. Invisible undead are not made visible by this effect, but the light does make it easy to pinpoint the exact squares in which such undead are located (they still retain the 50% miss chance granted by invisibility).  The light of Iomedae increases light levels by one step in a 5-foot radius around an affected undead creature. Once an undead is affected, it remains illuminated as long as remains within the spell's range, even if it leaves the spell's original radius, until the spell's duration ends.  Affected undead must also make a Will save when they are first illuminated by the light of Iomedae. Those who fail this save lose all benefits of channel resistance and take a -2 penalty on all saving throws made against positive energy effects.</t>
  </si>
  <si>
    <t>Martial Marionette</t>
  </si>
  <si>
    <t>V, S, M (a marionette's crossbar)</t>
  </si>
  <si>
    <t>When you cast this spell, you take partial control of an opponent's limbs, making it difficult for him to attack you.  Any attacks made against you by the target of the spell take a -2 penalty due to the erratic and random motions the spell forces onto any efforts to strike you. In addition, any creature suffering the effects of this spell cannot flank you and cannot aid other opponents in flanking you.  As long as the affected creature is adjacent to you, you can cause the creature's limbs to flail into the path of other attacks against you as an immediate action. This provides partial cover against that attack, granting you a +2 bonus to AC and a +1 bonus on Reflex saves.</t>
  </si>
  <si>
    <t>Martyr's Bargain</t>
  </si>
  <si>
    <t>Among the faithful followers of the gods of purity-whether they be the servants of Desna in Nidal, zealous followers of Milani struggling against Cheliax's government, paladins of Iomedae fighting against the horrors of the Worldwound, or simply those that fight evil the world over-martyr's bargain represents true faith and true sacrifice.   You cast this spell as an immediate action when you are subject to a spell or spell-like ability that deals hit point damage, after attack rolls and saving throws have been rolled but before the damage itself is determined. The damage dealt by the spell and any related effects are then delayed for you (and you only) for a number of rounds equal to your caster level.   At the end of that time (or immediately if martyr's bargain is dispelled), the delayed damage takes effect on you as it would have at the time it was cast, but is maximized as if affected by the Maximize Spell metamagic feat. Spells and spell-like abilities that were already maximized gain no additional benefit from this spell. Nothing can prevent this delayed damage from affecting you.   You can be affected by only one martyr's bargain spell at a time. If you cast this spell while you are already under the effects of a previous martyr's bargain, the previous spell effect ends and you immediately take the damage it had delayed.</t>
  </si>
  <si>
    <t>Devotion (4)</t>
  </si>
  <si>
    <t>Music of the Spheres</t>
  </si>
  <si>
    <t>bard 5, cleric/oracle 6</t>
  </si>
  <si>
    <t>V, S, M (a stick of incense treated with special balms)</t>
  </si>
  <si>
    <t>20-ft.-radius spherical emanation, centered on you</t>
  </si>
  <si>
    <t>concentration, up to 1 round per level</t>
  </si>
  <si>
    <t>As any scholar of Desnan lore or astrologer can tell you, the music of the spheres is the harmonic constant that plays under and through all of reality. It is this constant song, this otherworldly music, that keeps the laws of reality constant and the connections between the planes of existence strong.  With this spell, one can amplify the underlying music of the spheres in the spell's area of effect to infuse yourself and all creatures within 20 feet of you, friend and foe alike. All creatures that begin their turn within the area of this spell's effect gain fast healing 5, resistance 10 to all energy types, and a +3 sacred bonus on all saving throws against poison and disease. Any creature that enters the area of effect does not gain the benefits of the music of the spheres until it begins its turn in that area. You must maintain concentration on the amplification of the music or the effects immediately end, but you can move around to prevent enemies from gaining the benefits of this spell.</t>
  </si>
  <si>
    <t>Orchid's Drop</t>
  </si>
  <si>
    <t>V, S, M (a much-diluted drop of sun orchid nectar worth 500 gp)</t>
  </si>
  <si>
    <t>Alchemists have tried for centuries to recreate Artokus Kirran's feat of genius that created the sun orchid elixir.  Although they have yet to unlock the elixir's exact formula, their efforts have not been entirely wasted. One by-product of their experiments was the orchid's drop formula. This extract, distilled from a much-diluted drop of the nectar of a sun orchid flower, can transform an alchemist's mutagen into a potent healing tonic.  As long as you're under the effects of orchid's drop, drinking a dose of your mutagen heals you of 2d10 points of damage. For the spell's duration, you gain a +2 alchemical bonus on all saving throws.</t>
  </si>
  <si>
    <t>Pugwampi's Grace</t>
  </si>
  <si>
    <t>bard 2, sorcerer/wizard 3, witch 3</t>
  </si>
  <si>
    <t>V, S, M (a pugwampi's hair)</t>
  </si>
  <si>
    <t>short (25 ft. + 5 ft./2 levels)</t>
  </si>
  <si>
    <t>one creature (see below)</t>
  </si>
  <si>
    <t>Hated by adventurers throughout the Inner Sea region, the gremlins known as pugwampis infect those around them with a malignant form of unluck-an effect that this spell emulates. If the target fails its Will save, it becomes infused with the so-called "grace of the pugwampi." A creature affected by this spell must roll two d20s whenever a situation calls for a d20 roll (such as an attack roll, a skill check, or a saving throw) and must use the lower of the two results generated. As with the aura shed by actual pugwampies, this spell has no effect on animals, gremlins, or gnolls. The effects of this spell are negated as long as a target gains any sort of luck bonus to a d20 roll (such as those granted by a luckstone or divine favor), but the spell's duration is not impacted by these effects. If the luck bonus goes away before the pugwampi's grace effect ends, the unluck returns and remains until the spell's normal duration runs out.</t>
  </si>
  <si>
    <t>Shadow Barbs</t>
  </si>
  <si>
    <t>cleric/oracle 4, inquisitor 4, sorcerer/wizard 4</t>
  </si>
  <si>
    <t>V, S, M (a single link from a spiked chain)</t>
  </si>
  <si>
    <t>spiked chain-like shadowy weapon</t>
  </si>
  <si>
    <t>This spell, developed originally by priests of Zon-Kuthon in Nidal's early years, has recently crossed the boundary between divine and arcane magic. Although it still bears some of the stigma of being associated with the Midnight Lord, it's rapidly becoming a favorite spell of magi and other martially minded arcane spellcasters.  When you cast this spell, you create a shadowy spiked chain that shimmers and pulses with darkness. The chain exists as long as you carry it; if you ever drop the chain, give it to another, or are disarmed, it immediately vanishes and the spell's duration ends.  The chain radiates darkness in a 10-foot-radius spread around you, reducing the illumination level in this area by one step, but not below the level of dim light.  You can wield the shadow barbs as a spiked chain as if you were fully proficient with spiked chains. Any additional abilities or feats that you possess that apply to spiked chains apply to the shadow barbs as well. The weapon functions as a +2 vicious spiked chain. Its enhancement bonus increases to +3 at caster level 11th, to +4 at caster level 15th, and finally to +5 at caster level 19th. When the spell effect ends, you can make a Will save against the spell-if successful, all of the damage caused to you by the shadow barbs' vicious weapon quality vanishes, unless you are dead or unconscious at the time the spell ends, in which case you automatically fail this Will save and the vicious weapon damage remains.</t>
  </si>
  <si>
    <t>Shining Cord</t>
  </si>
  <si>
    <t>magus 3</t>
  </si>
  <si>
    <t>V, S, M (a small length fine of silver chain worth 100 gp)</t>
  </si>
  <si>
    <t>1 round/level or instantaneous (see below)</t>
  </si>
  <si>
    <t>Fortitude partial (see below)</t>
  </si>
  <si>
    <t>When you cast this spell, you make a ranged touch attack against a single opponent within 30 feet. If you hit, a thin silver strand extends from your body to its, forming a connection that allows you to anticipate its actions. For the duration of the spell, you receive a +5 insight bonus on all Perception and Sense Motive checks opposed by the target.  You gain a +5 insight bonus on all Spellcraft checks made to identify your opponent's spell as part of a counterspelling attempt. Finally, you gain a +2 dodge bonus to your AC against attacks made against you by the target.  Lastly, if either you or the target moves more than 30 feet away from the other, the cord crackles with a surge of light and sends a blast of force along its length to the other end.  This blast deals 1d6 points of damage per two caster levels (maximum 10d6) and stuns the one who moved out of range for 1 round-a successful Fortitude save halves the damage and negates the stun effect. This blast ends the spell and severs the connection between you and your target.  Although the shining cord makes a visible connection between you and your target, creatures can move through it without ill effect. The cord even passes through solid objects as necessary to maintain the connection between you and the target.</t>
  </si>
  <si>
    <t>Siphon Magic</t>
  </si>
  <si>
    <t>V, S, M (a coiled length of copper wire wrapped around the palm)</t>
  </si>
  <si>
    <t>This spell attempts to transfer a magical effect from a creature you touch to yourself. When you touch the creature, siphon magic attempts to end one ongoing spell that has been cast on that creature, as if via a targeted dispel magic. If you know the specific spell effect you wish to target, you can name that spell effect to target that specific spell; otherwise siphon magic begins with the highest-level spell in effect and works its way down through all spells affecting the target until it dispels one or runs out of effects, as per dispel magic.  If siphon magic successfully ends a spell effect on the target, the remaining duration of that spell effect is transferred to you. That spell effect plays out for the rest of its duration as if you had been the original target. If the spell allows a saving throw to resist the effect, you gain a saving throw as if the spell were just being cast upon you, although this does not "reset" the spell's duration.</t>
  </si>
  <si>
    <t>Song of Kyonin</t>
  </si>
  <si>
    <t>1 round/level or until performance ends or changes (see text)</t>
  </si>
  <si>
    <t>Certain elven bards of Kyonin are known for the restorative power of their performances-mostly as a result of this spell. You must have a bardic performance in effect to cast this spell (although this spell is called song of Kyonin, the bardic performance need not be singing). As long as that performance continues, up to 3 creatures affected by the performance gain fast healing 2. When this bardic performance ends or you change to a different bardic performance, the fast healing granted by this spell ends as well, but all creatures affected by this spell heal 1d8 points of damage + 1 point per caster level (maximum +15) and are cured of any of the following conditions: exhausted, fatigued, nauseated, paralyzed, sickened, or stunned.</t>
  </si>
  <si>
    <t>Spell Absorption</t>
  </si>
  <si>
    <t>V, S, M (a prism)</t>
  </si>
  <si>
    <t>If you successfully counterspell a 3rd-level or lower level spell (through either dispel magic or normal means) while spell absorption is in effect, you absorb the countered spell and use it to regain spells you have already cast. If you're a wizard, you regain the use of any single spell that you have cast since the last time you prepared spells. If you're a sorcerer, you regain a single spell slot. The spell recovered or spell slot regained must be of an equal level or lower than the spell you counterspelled.</t>
  </si>
  <si>
    <t>Spell Absorption, Greater</t>
  </si>
  <si>
    <t>This spell functions as spell absorption, save that you can absorb countered spells of 6th level or lower.</t>
  </si>
  <si>
    <t>Spellscar</t>
  </si>
  <si>
    <t>V, S, M (a pinch of sand from the Spellscar Desert)</t>
  </si>
  <si>
    <t>This potent spell invokes the same sort of magical devastation that created the Mana Wastes so long ago- albeit on a much more localized (and thankfully temporary) scale. Within the area you choose to affect with spellscar, the terrain takes on a strange pale hue, as if colors were muted. Periodically, ripples of vibrant color wriggle through the terrain. Within this area, any spell, spell-like ability, or magic item activation automatically triggers a primal magic event-a spellcaster can avoid triggering such an event by making a concentration check (DC 15 + twice the spell's level), but non-spellcasters who activate magic items have no such option.  You gain a +4 insight bonus on concentration checks made to avoid triggering primal magic events while within a spellscar you have created, and if you do trigger a primal magic event, you may roll d% twice and pick which of the two results you wish to have occur.</t>
  </si>
  <si>
    <t>Suppress Primal Magic</t>
  </si>
  <si>
    <t>cleric/oracle 4, sorcerer/wizard 4</t>
  </si>
  <si>
    <t>Nexian wizards first created this spell while researching the nature of the Mana Wastes, hoping to create small zones within the magic-starved region where their own spells could still function reliably. The best the Nexians could manage was this spell-a method to temporarily stabilize magic so that spellcasting within a small area can be accomplished without fear of triggering primal magic events. In the area of effect of this spell, primal magic events cannot be triggered.  The emanation grants a +4 circumstance bonus on all saving throws against effects generated by primal magic outside of the spell's effect that expand into the area.  Unfortunately, suppressed primal magic tends to build up around the emanation created by this spell. When suppress primal magic's duration ends (or when the spell is dispelled), a primal magic event is immediately triggered at the center of the emanation if that point is still in an area where primal magic is active. The CR of this event is equal to the caster level of the recently ended suppress primal magic spell. The original caster of the suppress primal magic spell can attempt to negate this triggered primal magic event by making a DC 20 Will save-most spellcasters instead relocate to an area not affected by primal magic if they can so that they can end the spell's effect safely.</t>
  </si>
  <si>
    <t>Tattoo Potion</t>
  </si>
  <si>
    <t>alchemist 2, bard 2, sorcerer/wizard 2, witch 2</t>
  </si>
  <si>
    <t>V, S, M (a potion to be tattooed, special inks worth 500 gp)</t>
  </si>
  <si>
    <t>one potion</t>
  </si>
  <si>
    <t>one spell tattoo</t>
  </si>
  <si>
    <t>When you cast this spell, you mix special tattoo inks into a potion of your choice. Once you finish casting tattoo potion, the potion begins bubbling and fizzing-if no one drinks the potion within 1 minute of the spell being cast, the potion bubbles away into vapor and is destroyed.  When a potion under the effects of tattoo potion is imbibed, the effects of the potion do not occur. Instead, the potion transforms into a spell tattoo (see page 16) on the drinker's chest tattoo slot-if the drinker already has a magic tattoo in this location, the tattoo potion is wasted. Once the potion transforms into a spell tattoo, it remains in place permanently until it is used as a spell tattoo.</t>
  </si>
  <si>
    <t>Transfer Tattoo</t>
  </si>
  <si>
    <t>bard 1, sorcerer/wizard 1, witch 1</t>
  </si>
  <si>
    <t>V, S, M (tattooing needle)</t>
  </si>
  <si>
    <t>one magic tattoo</t>
  </si>
  <si>
    <t>With this spell, you can transfer one magic tattoo from one creature to another. A target that isn't willing to have his tattoo removed or to receive the transferred tattoo can resist this spell with a Fortitude save-if successful, the transfer fails and the caster of this spell is staggered for 1 round by the backlash of magical energy. A tattoo can be transferred from a dead creature in this manner to a living host, provided the body has been dead no longer than one hour per caster level.</t>
  </si>
  <si>
    <t>Vengeful Comets</t>
  </si>
  <si>
    <t>1 comet per 4 levels</t>
  </si>
  <si>
    <t>1 round/level or until completely discharged (see below)</t>
  </si>
  <si>
    <t>This spell causes a number of miniature comets (up to one per four caster levels) to orbit in the air above your head. Bits of snow and cold wind drift down from the orbiting comets, granting you a circumstance bonus equal to the number of comets on all saving throws against fire effects.  The actual use for the comets, though, is to make vengeful strikes against foes who dare to target you with offensive spells. As an immediate action whenever you are affected by a spell cast by another creature, you can fire one of your vengeful comets as a bolt of icy retribution (provided the source of the offensive spell is within range of your vengeful comet, of course). The comet requires a ranged touch attack to hit. If it hits, a comet deals 1d6 points of bludgeoning damage and 3d6 points of cold damage to the target, plus an additional amount of cold damage equal to the level of the spell you are retaliating against. If the spell you're retaliating against had the fire descriptor, you may opt to fire two comets instead of one.</t>
  </si>
  <si>
    <t>Vex Giant</t>
  </si>
  <si>
    <t>V, S, M (a fragment from a Large or larger weapon)</t>
  </si>
  <si>
    <t>1 round per level</t>
  </si>
  <si>
    <t>The giants and their kin have long plagued the peoples of Varisia, particularly the Shoanti of the Storval Plateau. Among the various tactics and methods the Shoanti have developed to fight against their enemies, this spell is one of the most widespread today.  When you cast vex giant, your senses and reflexes become particularly honed against a single target within 60 feet, provided the target is at least one size category larger than you. You may select your focused foe as a free action when you cast this spell-switching your focus to a different foe within 60 feet is a move action. If a foe moves beyond 60 feet from you, you lose your focus on that foe, although you may regain it by moving within 60 feet and spending a move action. Although the name of the spell is vex giant, it works equally well on any foe that's at least one size category larger than you.  Against a foe you are focused on, you do not provoke attacks of opportunity by moving through their threatened area. Additionally, the first successful melee attack you make against the foe in a round deals an additional 1d6 points of damage. Finally, you gain a +4 insight bonus on all combat maneuver checks made against your focused foe.</t>
  </si>
  <si>
    <t>Weaponwand</t>
  </si>
  <si>
    <t>bard 1, cleric/oracle 1, inquisitor 1, magus 1</t>
  </si>
  <si>
    <t>V, S, F (a magic wand)</t>
  </si>
  <si>
    <t>one weapon</t>
  </si>
  <si>
    <t>When you cast this spell on a weapon, you cause a portion of the weapon to open like the skin of a partially peeled apple, revealing a space large enough to insert a single wand within.  As part of the spell's casting, you can insert a single wand into the weapon, at which point the weapon returns to its original form with the wand held inside of it without negatively impacting the weapon's integrity. For the spell's duration, a character who wields the transmuted weapon is also considered to be wielding the wand as well. You can attack normally with the weapon or use the weapon as if it were the encased wand. If the effect created by the wand requires an attack roll to successfully strike a foe, you may make the attack roll as if you were making an attack with the weapon at its highest bonus (including any bonuses the weapon would normally receive) rather than just a normal attack with the wand-doing so does not allow you to add the weapon's damage to the wand's attack roll, but instead allows you to use your skill with the weapon to boost your chance of hitting with the spell.  At the end of the spell's duration, the encased wand is ejected from the weapon. If you have a free hand, you may catch the weapon as a free action; otherwise, the wand drops to the ground. If the weapon housing the wand is broken or destroyed during the duration of weaponwand, the encased wand is similarly broken or destroyed.</t>
  </si>
  <si>
    <t>Zone of Foul Flames</t>
  </si>
  <si>
    <t>V, S, M (a sliver of tree bark from a burnt tree from the Uskwood)</t>
  </si>
  <si>
    <t>The twisted druids of the Uskwood forsook fire in ages past for the glory of Zon-Kuthon. Despite this aversion, these servants of Nidal know well the sting of flame, and have learned to turn it back on those that wield it. This spell creates a zone where magical fire effects twist and lash out against those who create the effects. A zone of foul flames looks unremarkable to the casual observer, but a Perception check (DC = 20 + the caster's level) reveals a faint rippling effect in the area, as if of heat distortions in the air.  Whenever a creature casts a spell with the fire descriptor or activates a magical fire effect (as from a magic item or a special attack) while that creature is located in a zone of foul flames, that creature takes full fire damage from the effect.  If the effect allows a saving throw to reduce the damage, the victim may attempt the same saving throw to reduce the damage. All creatures in a zone of foul flames gain a +4 circumstance bonus on all saving throws against fire effects, except for those made by a creature attempting to save against fire damage from his own magic. Nonmagical fire in a zone of foul flames burns half as brightly but is otherwise not affected.</t>
  </si>
  <si>
    <t>Ablative Barrier</t>
  </si>
  <si>
    <t>alchemist 2, magus 2, sorcerer/wizard 3, summoner 2, bloodrager 2, occultist 2, psychic 3, unchained summoner 3</t>
  </si>
  <si>
    <t>V, S, M (a piece of metal cut from a shield)</t>
  </si>
  <si>
    <t>Invisible layers of solid force surround and protect the target, granting that target a +2 armor bonus to AC. Additionally, the first 5 points of lethal damage the target takes from each attack are converted into nonlethal damage. Against attacks that already deal nonlethal damage, the target gains DR 5/-. Once this spell has converted 5 points of damage to nonlethal damage per caster level (maximum 50 points), the spell is discharged.</t>
  </si>
  <si>
    <t>Ultimate Combat</t>
  </si>
  <si>
    <t>Surrounds the target with layers of force.</t>
  </si>
  <si>
    <t>Add half your tier to the spell's armor bonus. Add half your tier to the amount of lethal damage from each attack that is converted to nonlethal damage and to the DR against nonlethal damage. Add half your tier to your caster level when determining how much damage the spell converts before it's discharged.</t>
  </si>
  <si>
    <t>Absorb Toxicity</t>
  </si>
  <si>
    <t>alchemist 3, druid 4, sorcerer/wizard 5, witch 4, psychic 5</t>
  </si>
  <si>
    <t>V, S, M (a thorn from a poisonous plant)</t>
  </si>
  <si>
    <t>You absorb the toxicity of your surroundings, becoming toxic as a result. While under the effect of this spell, you are immune to diseases and poisons with which you come into contact. When you are exposed to a disease or poison, you can choose to absorb it. Doing so ends the immunity due to this spell to any disease and poison other than the one you absorbed. You remain immune to the new affliction until this spell ends. Casting absorb toxicity on yourself a second time does not allow you to absorb a second toxin, but instead resets the duration of the effect to its full 10 minutes/level.  While you have a disease or poison absorbed, you can use a melee touch attack to transfer that affliction to another creature. A missed attack does not discharge the spell, and you can try to transfer the affliction again in subsequent rounds. If you hit, this spell is discharged, and your target must make a saving throw against the transferred affliction (DC equal to this spell's save DC or the affliction's save DC, whichever is higher) or suffer its effect or initial effect immediately. The target then continues to suffer from the affliction's normal effects.  If the spell's duration expires before you have transferred the affliction, you are exposed to any absorbed poison or disease as if you had transferred it to yourself, but you gain a +2 bonus on saves against that particular instance of the poison or disease.</t>
  </si>
  <si>
    <t>You become immune to diseases and toxins, absorb one, and then spread it to others.</t>
  </si>
  <si>
    <t>Abundant Ammunition</t>
  </si>
  <si>
    <t>bard 1, cleric/oracle 1, ranger 1, sorcerer/wizard 1, psychic 1</t>
  </si>
  <si>
    <t>V, S, M/DF (a single piece of ammunition)</t>
  </si>
  <si>
    <t>one container touched</t>
  </si>
  <si>
    <t>When cast on a container such as a quiver or a pouch that contains nonmagical ammunition or shuriken (including masterwork ammunition or shuriken, but not special materials, alchemical attributes, or nonmagical treatments on the ammunition), at the start of each round this spell replaces any ammunition taken from the container the round before. The ammunition taken from the container the round before vanishes. If, after casting this spell, you cast a spell that enhances projectiles, such as align weapon or greater magic weapon, on the same container, all projectiles this spell conjures are affected by that spell.</t>
  </si>
  <si>
    <t>Replaces nonmagical ammunition every round.</t>
  </si>
  <si>
    <t>Adjuring Step</t>
  </si>
  <si>
    <t>alchemist 1, bard 1, magus 1, sorcerer/wizard 1, occultist 1, psychic 1</t>
  </si>
  <si>
    <t>V, S, M (a rabbit's foot)</t>
  </si>
  <si>
    <t>This spell creates a subtle and complicated force effect that is most effective when used by a still or slow-moving spellcaster or formula user. While you are subject to this spell, you can take two 5-foot steps each round and still cast spells and use spell-like abilities without provoke attacks of opportunity. This spell automatically discharges as soon as you make an attack, cast a harmful spell against another creature, or move more than 5 feet with a single move action. If the action that discharges the spell also provokes attacks of opportunity, that action still provokes attacks of opportunity as normal.</t>
  </si>
  <si>
    <t>You can move slowly and safely and still cast spells, until you move quickly, make an attack, or cast a harmful spell.</t>
  </si>
  <si>
    <t>Adoration</t>
  </si>
  <si>
    <t>The target of this spell is the subject of adoration by those whom it tries to affect with Diplomacy or during performance  combat. If the target is out of combat, it receives a +2 morale bonus on all Diplomacy checks it makes to influence creatures. If the creature is engaged in performance combat (see page 153), the target gains a +2 morale bonus on all performance combat checks.</t>
  </si>
  <si>
    <t>You gain a bonus on Diplomacy checks and performance combat checks.</t>
  </si>
  <si>
    <t>Air Bubble</t>
  </si>
  <si>
    <t>cleric/oracle 1, druid 1, ranger 1, sorcerer/wizard 1, witch 1, psychic 1</t>
  </si>
  <si>
    <t>S, M/DF (a small bladder filled with air)</t>
  </si>
  <si>
    <t>one creature or one object no larger than a Large two-handed weapon</t>
  </si>
  <si>
    <t>Air bubble creates a small pocket of breathable air that surrounds the touched creature's head or the touched object. The air bubble allows the creature touched to breathe underwater or in similar airless environments, or protects the object touched from water damage.  A firearm within an air bubble can be loaded-assuming the black powder comes from a powder horn, a cartridge, or some other airtight protective device-and fired. When shooting such a firearm underwater, the shot still takes the standard -2 penalty on attack rolls for every 5 feet of water the bullet passes through, in addition to normal penalties due to range. If a firearm within the air bubble explodes, the explosion occurs normally.</t>
  </si>
  <si>
    <t>Creates a small pocket of air around your head or an object.</t>
  </si>
  <si>
    <t>Air Walk, Communal</t>
  </si>
  <si>
    <t>alchemist 5, cleric/oracle 5, druid 5, occultist 5</t>
  </si>
  <si>
    <t>creatures touched</t>
  </si>
  <si>
    <t>This spell functions like air walk, except divide the duration in 10-minute intervals among the creatures touched.</t>
  </si>
  <si>
    <t>As air walk, but you may divide the duration among creatures touched.</t>
  </si>
  <si>
    <t>Animal Aspect</t>
  </si>
  <si>
    <t>alchemist 2, magus 2, druid 2, ranger 2, sorcerer/wizard 2, bloodrager 2, psychic 2</t>
  </si>
  <si>
    <t>V, S, M/DF (a part of the animal)</t>
  </si>
  <si>
    <t>You gain some of the beneficial qualities of an animal. Your base form is largely unchanged and your size is unaltered, but some of your body parts are altered. Armor or gear you are wearing adjusts to your new shape for the duration of the spell. When you cast animal aspect, choose one of the following animals to gain the associated benefits. You can only have one animal aspect or greater animal aspect spell active on you at a time.  Frog: Your legs become elongated and muscular. You gain a +4 competence bonus on Acrobatics checks, and you always jump as if you had a running start.  Gorilla: Your arms become long, flexible, and strong like those of a great ape. Your unarmed damage die type increases by one step, and you gain a +4 competence bonus on combat maneuver checks when making the grapple or reposition combat maneuver.  Monkey: Your hands and arms become dexterous like those of a simian. You gain a +4 competence bonus on Climb checks, and you can throw objects as if you had the Throw Anything feat.  Otter: Your hands and feet gain webbing, and your lungs gain capacity, allowing you to move through the water with ease. You gain a Swim speed equal to half your speed, and all the benefits of having a swim speed. Additionally, you can hold your breath for 4 rounds per point of Constitution before being forced to make Constitution checks to keep holding your breath.  Raccoon: Your hands become extremely dexterous, and your feet become padded. You gain a +2 competence bonus on Disable Device, Sleight of Hand, and Stealth checks.  Raptor: Your legs become built for running speed, like those of a deinonychus. You gain a enhancement bonus of +20 feet to your base speed.  Tree Lizard: Your hands and feet gain climbing claws and climbing pads. You gain a climb speed equal to half your normal speed and all the benefits of having a natural climb speed.</t>
  </si>
  <si>
    <t>You gain some of the beneficial qualities of an animal.</t>
  </si>
  <si>
    <t>You gain low-light vision, a +2 size bonus to the physical ability score of your choice, and a +1 enhancement bonus to your natural armor. Alternatively, you may cast the non-mythic form of this spell on a touched willing creature.</t>
  </si>
  <si>
    <t>Animal Aspect, Greater</t>
  </si>
  <si>
    <t>alchemist 3, magus 3, druid 3, ranger 3, sorcerer/wizard 4, bloodrager 3, psychic 4</t>
  </si>
  <si>
    <t>This spell functions like animal aspect, except you can either gain two aspects at once or one aspect that adds effects to the aspects that animal aspect grants, as described below.  Frog: You gain a Swim speed equal to half your normal speed, and all the benefits of having a swim speed.  Gorilla: You gain a +2 competence bonus on Perception checks, and a +1 competence bonus on Fortitude saves.  Monkey: You gain a +4 competence bonus on Acrobatics checks.  Otter: Your swim speed increases to your full normal speed, and you need not make concentration checks to cast spells underwater.  Raccoon: Your competence bonuses on Disable Device, Sleight of Hand, and Stealth checks increase to +4.  Raptor: Your enhancement bonus to speed increases to +30 feet, and you gain the benefit of the Run feat.  Tree Lizard: You gain a +4 competence bonus on Stealth checks.</t>
  </si>
  <si>
    <t>Competition (3)</t>
  </si>
  <si>
    <t>As animal aspect, but you gain two animal qualities.</t>
  </si>
  <si>
    <t>Ant Haul, Communal</t>
  </si>
  <si>
    <t>alchemist 2, cleric/oracle 2, druid 2, ranger 2, sorcerer/wizard 2, summoner/unchained summoner 2, occultist 2, psychic 2</t>
  </si>
  <si>
    <t>This spell functions like ant haul (see page 202 of the Pathfinder RPG Advanced Player's Guide), except you may divide the duration in 2-hour intervals among the creatures touched.</t>
  </si>
  <si>
    <t>As ant haul, but you may divide the duration among creatures touched.</t>
  </si>
  <si>
    <t>Arcane Cannon</t>
  </si>
  <si>
    <t>V, S, F (an ornate miniature cannon forged with a drop of your blood that costs 5,000 gp)</t>
  </si>
  <si>
    <t>one magically animated cannon</t>
  </si>
  <si>
    <t>Your focus becomes a Medium arcane cannon that appears in an unoccupied square within the spell's range. If no unoccupied square is within range, the spell fails. The cannon comes into existence loaded. Each round thereafter, the cannon can either fire or load. A cannon must be loaded to fire. You do not need to supply ammunition for the cannon.  On your turn, you can spend a move action to direct the cannon to wheel itself to a new location, moving the cannon up to 20 feet. If the arcane cannon ever leaves your line of sight, it winks out of existence, and the spell's duration ends.  The cannon has a range increment of 50 feet. It targets touch attack in the first range increment, and it has no misfire chance.  The cannon acts as a weapon with the conductive special weapon ability (see page 286 of the Advanced Player's Guide), which you can use to channel your spell-like or supernatural abilities as long as you are within the range of arcane cannon. The cannon's attack bonus is equal to your caster level + your Intelligence bonus or your Charisma bonus (for wizards or sorcerers, respectively) with an additional +1 per four caster levels (maximum +5 at 20th level). On a hit, the cannon deals 4d10 damage. The arcane cannon attacks have a critical modifier of x4.  The cannon has AC 10, hardness 10, and 80 hit points. If the cannon is subject to a spell or effect that requires a save, it uses your saving throw modifiers. The cannon never provokes attacks of opportunity. If the cannon is destroyed, so is your focus.</t>
  </si>
  <si>
    <t>Your focus becomes a magical cannon that fires on its own.</t>
  </si>
  <si>
    <t>Bestow Weapon Proficiency</t>
  </si>
  <si>
    <t>alchemist 2, antipaladin 2, cleric/oracle 2, magus 2, inquisitor 2, paladin 2, sorcerer/wizard 2, witch 2, occultist 2, psychic 2, medium 2</t>
  </si>
  <si>
    <t>V, S, M (pieces of shaved metal)</t>
  </si>
  <si>
    <t>You bestow the subject with the ability to use a single type of weapon he is not proficient in as if he were proficient with that weapon. The weapon can be of any type, including an exotic weapon, but the subject of the spell must be holding the weapon.</t>
  </si>
  <si>
    <t>Grants a creature proficiency in a single weapon for short period of time.</t>
  </si>
  <si>
    <t>Blistering Invective</t>
  </si>
  <si>
    <t>fire, language-dependent</t>
  </si>
  <si>
    <t>alchemist 2, bard 2, inquisitor 2, mesmerist 2</t>
  </si>
  <si>
    <t>30-ft. radius</t>
  </si>
  <si>
    <t>special, see below</t>
  </si>
  <si>
    <t>You unleash an insulting tirade so vicious and spiteful that enemies who hear it are physically scorched by your fury. When you cast this spell, make an Intimidate check to demoralize each enemy within 30 feet of you (see page 99 of the Pathfinder RPG Core Rulebook). Enemies that are demoralized this way take 1d10 points of fire damage and must succeed at a Reflex save or catch fire. Spell resistance can negate the fire damage caused by this spell, but does not protect the creature from the demoralizing effect.</t>
  </si>
  <si>
    <t>Make an Intimidate check against all foes within 30 feet; those demoralized also take fire damage.</t>
  </si>
  <si>
    <t>Enemies that are demoralized by your Intimidate check take 2d8 points of fire damage and catch fire (no saving throw). Any Reflex save attempted to extinguish the flames automatically fails as long as the creature remains demoralized by your Intimidate check.</t>
  </si>
  <si>
    <t>Augmented (5th): If you expend two uses of mythic power, the spell doesn't have the language-dependent descriptor and you don't take a penalty on your Intimidate check to demoralize creatures that are larger than you.</t>
  </si>
  <si>
    <t>Bowstaff</t>
  </si>
  <si>
    <t>inquisitor 1, paladin 1, ranger 1, occultist 2</t>
  </si>
  <si>
    <t>one weapon (bow)</t>
  </si>
  <si>
    <t>The bow that is touched takes on the rigidity and toughness of forged steel, allowing it to be used as a melee weapon. The spell allows a shortbow to be used as a club or a longbow to be used as a quarterstaff, although the bow retains its normal hit points and hardness. The bow's enhancement bonus, if any, applies on melee attack and damage rolls. Additional weapon special weapon qualities also apply to melee attacks if such qualities can be added to a melee weapon.</t>
  </si>
  <si>
    <t>A shortbow may double as a club, or a longbow as a quarterstaff.</t>
  </si>
  <si>
    <t>Brow Gasher</t>
  </si>
  <si>
    <t>inquisitor 2, magus 2, ranger 2, sorcerer/wizard 2, bloodrager 2, occultist 2</t>
  </si>
  <si>
    <t>one slashing melee weapon touched</t>
  </si>
  <si>
    <t>You imbue a slashing melee weapon with the ability to deal a gruesome head wound. When the target weapon hits a living creature, in addition to the normal effects of that hit, the wielder can discharge this spell as a free action to open a gash on the target's forehead that deals bleed damage equal to half your caster level. At the start of each of the target's turns, when it takes bleed damage, it also takes a cumulative -1 penalty on all attack rolls. When that penalty reaches -3, the target also treats all targets as having concealment (20% miss chance). When the penalty reaches -5, the target is blinded. Stopping the bleed damage ends the effects this spell imposes on the bleeding creature. A target that is immune to bleed damage is also immune to all this spell's effects.</t>
  </si>
  <si>
    <t>Slashing weapon deals bleed damage to an opponent's head.</t>
  </si>
  <si>
    <t>Bullet Shield</t>
  </si>
  <si>
    <t>alchemist 2, sorcerer/wizard 2, bloodrager 2, occultist 2, psychic 2</t>
  </si>
  <si>
    <t>V, S, M (a bullet)</t>
  </si>
  <si>
    <t>The warded creature gains a +4 deflection bonus to AC against firearm and ranged attacks, with an additional +1 to the bonus for every five caster levels you have (to a maximum of +8 at 20th level). Though the spell is called bullet shield, it also grants this protection from attacks made from firearms with the scatter weapon quality.</t>
  </si>
  <si>
    <t>You gain a +4 deflection bonus to AC against firearm attacks.</t>
  </si>
  <si>
    <t>Burst of Speed</t>
  </si>
  <si>
    <t>alchemist 3, antipaladin 3, magus 3, inquisitor 3, paladin 3, ranger 3, bloodrager 3, psychic 3, medium 3</t>
  </si>
  <si>
    <t>Until the end of your turn, you gain a +20-foot bonus to speed (or +10-foot bonus if you are wearing Medium or Heavy armor), your movement does not provoke attacks of opportunity, and you can move through the space of creatures that are larger than you are, but you cannot end your movement this round in a space occupied by a creature.</t>
  </si>
  <si>
    <t>You gain increased speed, and your movement ignores attacks of opportunity and allows you to move through the space of creatures larger than you are.</t>
  </si>
  <si>
    <t>Caging Bomb Admixture</t>
  </si>
  <si>
    <t>Upon drinking an extract created with this formulae, you make a significant change to your magical reserve that modifies the nature of all bombs you create and throw during this extract's duration. This effect on your magical reserve has no effect on any discoveries that you use to modify your bombs, but you can only have one admixture effect (formulae with the word "bomb admixture" in its title) active at a time. If you drink another bomb admixture, the effects of the former bomb admixture end and the new one becomes active.  When you throw a bomb and hit a direct target, it creates an invisible cubical prison composed of a solid wall of force.  The prison is as large as the splash area of the bomb that you threw, and traps any creature that is entirely inside the area.  Creatures within the area are caught and contained unless any creature within the splash radius is too big to fit inside, in which case the effect automatically fails. Teleportation and other forms of astral travel provide means for escape, but the force walls extend into the Ethereal Plane, blocking ethereal travel.  Like a wall of force, the cage created by the caging bomb admixture resists dispel magic, although a mage's disjunction still functions. The walls of the cage can be damaged by spells as normal, except for disintegrate, which automatically destroys the cage. The walls of this cage can be damaged by weapons and supernatural abilities, but the cage has a hardness of 20 and a number of hit points equal to 20 per alchemist level.  Contact with a sphere of annihilation or a rod of cancellation instantly destroys this cage.  When using caging bomb admixture, an alchemist can only have one cage in effect at a time. If the alchemist throws another bomb during the duration of caging bomb admixture, any other cage created by the earlier admixture ends, and a new one is created. When the duration of the caging bomb admixture ends, so does any remaining cage created by this admixture's effect.</t>
  </si>
  <si>
    <t>Your bombs create a cage of force that traps creatures inside the bomb's splash radius.</t>
  </si>
  <si>
    <t>Certain Grip</t>
  </si>
  <si>
    <t>alchemist 2, druid 2, sorcerer/wizard 2, bloodrager 2, occultist 2</t>
  </si>
  <si>
    <t>V, S, M/DF (a tiny ball of tar)</t>
  </si>
  <si>
    <t>The subject's grip and footing become sure, granting a +4 competence bonus on Climb checks, on Acrobatics checks to balance, and to CMD against bull rush, drag, reposition, and trip attempts. While affected by this spell, the target is also immune to the disarm combat maneuver.</t>
  </si>
  <si>
    <t>You gain a +4 competence bonus on Acrobatics and Climb checks and to CMD.</t>
  </si>
  <si>
    <t>Chain of Perdition</t>
  </si>
  <si>
    <t>cleric/oracle 3, sorcerer/wizard 3, bloodrager 3, psychic 3</t>
  </si>
  <si>
    <t>V, S, M/DF (chain link)</t>
  </si>
  <si>
    <t>10-ft. chain</t>
  </si>
  <si>
    <t>A floating chain of force with hooks at each end appears within an unoccupied space of your choosing within range. This chain is a Medium object that has a 10-foot reach. Physical attacks cannot hit or harm the chain of perdition, but dispel magic, disintegrate, a sphere of annihilation, or a rod of cancellation affects it normally. The chain's AC against touch attacks is 10 + your Charisma modifier (sorcerer), Intelligence modifier (wizard), or Wisdom modifier (cleric).  The chain can perform the dirty trick (blind or entangle), drag, reposition, and trip combat maneuvers, using your caster level in place of your Combat Maneuver Bonus, and your Charisma modifier (sorcerer), Intelligence modifier (wizard), or Wisdom modifier (cleric) in place of your Strength or Dexterity modifier. The chain does not provoke attacks of opportunity for making combat maneuvers. It suffers no penalty or miss chance due to darkness, invisibility, or other forms of concealment.  As a move action, you can move the chain up to 30 feet. If the chain goes beyond the spell's range or out of your sight, it returns to you.  If a creature that the chain attacks has spell resistance, you must make a caster level check (1d20 + caster level) against that spell resistance the first time the chain performs a successful maneuver against that creature. If the chain is successfully resisted, the spell is dispelled. If not, the weapon has its normal full effect on that creature for the duration of the spell.</t>
  </si>
  <si>
    <t>Psychopomp (3)</t>
  </si>
  <si>
    <t>Creates a floating chain of force.</t>
  </si>
  <si>
    <t>Companion Mind Link</t>
  </si>
  <si>
    <t>your animal companion</t>
  </si>
  <si>
    <t>The link between you and your animal companion becomes stronger. As long as you are within line of sight of your animal companion, you can telepathically communicate with it as if you two shared a language. Also, as long as you are within line of sight of the animal companion, you can push your animal companion a swift action instead of a move action, and you do not need to succeed at Handle Animal checks to handle your animal companion. Such checks automatically succeed.</t>
  </si>
  <si>
    <t>You can talk with your animal companion, and can handle it with supernatural ease.</t>
  </si>
  <si>
    <t>Compel Hostility</t>
  </si>
  <si>
    <t>bard 1, cleric/oracle 1, inquisitor 1, paladin 1, ranger 1, summoner/unchained summoner 1, witch 1, psychic 1, mesmerist 1, medium 1</t>
  </si>
  <si>
    <t>Whenever a creature you can see that threatens you makes an attack against one of your allies, as an immediate action, you can compel that creature to attack you instead. When you compel a creature to attack you, you must first overcome that creature's spell resistance, and the creature can attempt a Will saving throw to ignore the compulsion.  A summoner casting this spell can choose his eidolon as the target of the spell.</t>
  </si>
  <si>
    <t>Compels opponents to attack you instead of your allies.</t>
  </si>
  <si>
    <t>Damp Powder</t>
  </si>
  <si>
    <t>druid 1, sorcerer/wizard 1, witch 1</t>
  </si>
  <si>
    <t>V, S, M/DF (a damp piece of cotton)</t>
  </si>
  <si>
    <t>1 loaded firearm</t>
  </si>
  <si>
    <t>This spell causes ammunition already loaded into the target firearm is ruined with moisture. Any attempt to fire that ammunition fails, with no chance for misfire, and the user must then take a full-round action to clear the weapon before reloading and firing it. If aware of this spell's effect prior to firing the altered ammunition (a DC 16 Spellcraft check to identify the spell being cast or similar effect), the firearm's user can spend a standard action to clear the altered ammunition from the firearm. Doing so destroys that ammunition.</t>
  </si>
  <si>
    <t>Ruins ammunition loaded in the targeted firearm.</t>
  </si>
  <si>
    <t>Darkvision, Communal</t>
  </si>
  <si>
    <t>alchemist 3, antipaladin 3, ranger 4, sorcerer/wizard 3, occultist 3, psychic 3</t>
  </si>
  <si>
    <t>This spell functions like darkvision, except you may divide the duration in 1-hour intervals among the creatures touched.</t>
  </si>
  <si>
    <t>As darkvision, but you may divide the duration among creatures touched.</t>
  </si>
  <si>
    <t>Daybreak Arrow</t>
  </si>
  <si>
    <t>cleric/oracle 3, inquisitor 3, paladin 3, occultist 3</t>
  </si>
  <si>
    <t>up to 50 pieces of ammunition, all of which must be together at the time of casting</t>
  </si>
  <si>
    <t>Fortitude negates (harmless, object)</t>
  </si>
  <si>
    <t>You cause ammunition, including shuriken, to exude radiant energy. Creatures that take penalties in bright light take these penalties for 1 round after being struck by such ammunition. Undead and creatures harmed by sunlight take an additional 1d6 points of damage from such projectiles. This extra damage and half of any other damage you deal with an affected projectile results directly from radiant energy and is not subject to damage resistance. Such a projectile sheds light as if it were a sunrod for 1 round after it is fired or thrown.</t>
  </si>
  <si>
    <t>Targeted ammunition exudes radiant energy.</t>
  </si>
  <si>
    <t>The additional damage to undead and creatures harmed by sunlight increases to 1d8. The affected ammunition is entirely composed of radiant energy, and bypasses all damage resistance from undead targets and those harmed by sunlight. The duration of the sunrod light effect increases to 1 minute.</t>
  </si>
  <si>
    <t>Deadly Juggernaut</t>
  </si>
  <si>
    <t>antipaladin 3, cleric/oracle 3, inquisitor 3, paladin 3</t>
  </si>
  <si>
    <t>With every enemy life you take, you become increasingly dangerous and difficult to stop. During the duration of the spell, you gain a cumulative +1 luck bonus on melee attack rolls, melee weapon damage rolls, Strength checks, and Strength-based skill checks as well as DR 2/- each time you reduce a qualifying opponent to 0 or few hit points (maximum +5 bonus and DR 10/-) with a melee attack. A qualifying opponent has a number of Hit Dice equal to or greater than your Hit Dice -4.</t>
  </si>
  <si>
    <t>Your might increases with every kill you make.</t>
  </si>
  <si>
    <t>Deadeye's Lore</t>
  </si>
  <si>
    <t>bard 1, cleric/oracle 1, druid 1, inquisitor 1, ranger 1</t>
  </si>
  <si>
    <t>While subject to this spell, you take upon yourself the mantle of the hunter, channeling the insights of the spirits of the wild. You gain a +4 sacred bonus on all Survival checks for the duration of the spell, and you do not have to move at half your speed while traveling through the wilderness or while tracking.</t>
  </si>
  <si>
    <t>Gain a +4 bonus on Survival and move full speed while tracking.</t>
  </si>
  <si>
    <t>Debilitating Portent</t>
  </si>
  <si>
    <t>cleric/oracle 4, witch 4, psychic 4, spiritualist 4</t>
  </si>
  <si>
    <t>1 round/level (D) see text</t>
  </si>
  <si>
    <t>The target is surrounded by a glowing green aura of ill fate. Each time the spell's subject makes an attack or casts a spell, it must succeed at a Will saving throw with a DC = 10 + 1/2 caster level + Charisma (in the case of oracles), Intelligence (in the case of witches), or Wisdom (in the case of clerics). If it fails the saving throw, it deals half damage with the attack or spell. You can dismiss this spell as an immediate action when the target confirms a critical hit; doing so negates the critical hit. The attack that you negated still hits, but only deals half damage.</t>
  </si>
  <si>
    <t>Inflicts an ill fate on a creature, halving its damage when it attacks or casts a spell</t>
  </si>
  <si>
    <t>Delay Poison, Communal</t>
  </si>
  <si>
    <t>alchemist 3, bard 3, cleric/oracle 3, druid 3, inquisitor 3, paladin 3, ranger 3, witch 3</t>
  </si>
  <si>
    <t>This spell functions like delay poison, except you divide the duration in 1-hour intervals among the creatures touched.</t>
  </si>
  <si>
    <t>As delay poison, but you may divide the duration among creatures touched.</t>
  </si>
  <si>
    <t>Destabilize Powder</t>
  </si>
  <si>
    <t>V, S, M (a few drops of liquor)</t>
  </si>
  <si>
    <t>This spell makes the ammunition in the target firearm is prone to misfire. Increase the misfire range by 1 + 1 per five caster levels (maximum +5) for the ammunition currently loaded into that firearm. If aware of this spell's effect prior to firing the altered ammunition (a DC 17 Spellcraft check to identify the spell being cast or similar effect), the firearm's user can spend a standard action to clear the altered ammunition from the firearm. Doing so destroys that ammunition.</t>
  </si>
  <si>
    <t>Ammunition in the targeted firearm is prone to misfire.</t>
  </si>
  <si>
    <t>Discovery Torch</t>
  </si>
  <si>
    <t>bard 2, cleric/oracle 3, inquisitor 2</t>
  </si>
  <si>
    <t>An object you touch emanates a 20-foot radius of bright light. The effect looks like a regular flame but creates no heat and uses no oxygen. Allies within the area of this light gain a +2 enhancement bonus on Perception and Sense Motive checks, as well as on Knowledge checks to identify monsters that are also within the area and their special powers and vulnerabilities.  When an inquisitor casts this spell, the light emanation doubles (40-ft.-radius emanation) while that inquisitor has a judgment active.  Light spells counter and dispel darkness spells of an equal or lower level.</t>
  </si>
  <si>
    <t>Object touched emanates bright light, granting Perception and Sense Motive bonuses.</t>
  </si>
  <si>
    <t>Divine Arrow</t>
  </si>
  <si>
    <t>one projectile</t>
  </si>
  <si>
    <t>You imbue a projectile, such as an arrow or shuriken, with holy energy so that it deals extra damage to undead equal to that dealt by your lay on hands feature. This extra damage is not multiplied on a critical hit. Although this spell does not expend a daily use of your lay on hands class feature, you must have at least one daily use available to cast this spell. If the projectile hits a target or is destroyed before the duration ends, the spell is discharged.</t>
  </si>
  <si>
    <t>Imbues a projectile with holy energy.</t>
  </si>
  <si>
    <t>Dust Form</t>
  </si>
  <si>
    <t>alchemist 5, cleric/oracle 6, druid 6, witch 6, psychic 6</t>
  </si>
  <si>
    <t>V, S, M (a pinch of dust gathered from a gravestone or sacred shrine)</t>
  </si>
  <si>
    <t>Upon casting this spell, you keep your relative form, but you and your equipment become composed entirely of dust. While in this dust form, you take no penalties for squeezing, and can move through spaces as if you were a creature three size categories smaller without penalty. You are also considered incorporeal, though any nonmagical attack you make deals half damage (50%). Magic attacks are unaffected, and you can still use your magic items and other equipment as normal.  If the duration ends in a square that your normal space cannot occupy, you take 3d6 damage and are shunted to the nearest open space that you can normally occupy.</t>
  </si>
  <si>
    <t>You become an incorporeal creature of dust for a short period of time.</t>
  </si>
  <si>
    <t>Effortless Armor</t>
  </si>
  <si>
    <t>cleric/oracle 2, inquisitor 2, magus 2, paladin 2, ranger 2, occultist 2, psychic 2</t>
  </si>
  <si>
    <t>Armor you wear no longer reduces your speed. You also reduce the armor's armor check penalty by 1 + 1 per five caster levels (maximum 5).</t>
  </si>
  <si>
    <t>Armor you wear no longer slows your speed.</t>
  </si>
  <si>
    <t>Endure Elements, Communal</t>
  </si>
  <si>
    <t>alchemist 3, cleric/oracle 2, druid 2, paladin 2, ranger 2, sorcerer/wizard 2, psychic 2</t>
  </si>
  <si>
    <t>This spell functions like endure elements, except you divide the duration in 1-hour increments among the creatures touched.</t>
  </si>
  <si>
    <t>As endure elements, but you may divide the duration among creatures touched.</t>
  </si>
  <si>
    <t>Energy Siege Shot</t>
  </si>
  <si>
    <t>variable</t>
  </si>
  <si>
    <t>sorcerer/wizard 5, summoner/unchained summoner 5, occultist 5</t>
  </si>
  <si>
    <t>V, S, M (a ball of pitch)</t>
  </si>
  <si>
    <t>one Large siege engine</t>
  </si>
  <si>
    <t>yes (harmless/object)</t>
  </si>
  <si>
    <t>This spell transforms any ammunition fired by the target ranged siege engine into ammunition made of pure energy. When casting the spell, the caster picks a one of the following energy types: acid, cold, electricity, fire, sonic, or force. The ammunition within the siege weapon now deals that type of energy damage on a hit, though the amount of damage dealt by the ammunition does not change, nor does it change any of the other effects of the ammunition. Unlike other forms of energy damage, this energy damage does full damage to objects. Based on the type of energy the caster chose while casting, the ammunition also gains one of the following effects.  Acid: The ammunition deals half its damage in a splash to all creatures and unattended objects within 15 feet of the target hit by the siege engine. Creatures can halve the splash damage with a Reflex saving throw. The DC of the splash is the same as the DC of the spell.  Cold: The ammunition creates an ice sheen within a 20-foot-radius burst around the target of the siege engine's attack. That sheen lasts 1d6 rounds. Creatures within the ice sheen are entangled. Any creature within the area of the ice sheen at the start of its turn takes 2d6 cold damage.  Electricity: Creatures hit by the siege engine attack or within 15 feet of the attack are staggered for 1 round.  Fire: Creatures and wood objects within 15 feet of the attack may catch on fire (Core Rulebook 444 and page 164 of this book).  Sonic: Creatures hit by the attack or within 20 feet of the attack must succeed at a Fortitude saving throw or be deafened for one hour. The DC of this effect is the same as the spell DC.  Force: No extra effect.</t>
  </si>
  <si>
    <t>A Large siege engine deals energy damage that you designate with other effects depending on the type of energy you choose.</t>
  </si>
  <si>
    <t>Energy Siege Shot, Greater</t>
  </si>
  <si>
    <t>sorcerer/wizard 6, summoner/unchained summoner 6, occultist 6</t>
  </si>
  <si>
    <t>one siege engine of any size</t>
  </si>
  <si>
    <t>This spell functions like energy shot, except it can target siege engines of any size, not just Large siege engines.</t>
  </si>
  <si>
    <t>As energy siege shot, but you can affect any size siege engine.</t>
  </si>
  <si>
    <t>Fabricate Bullets</t>
  </si>
  <si>
    <t>V, S, M (1 pound of lead or other soft metal worth 2 gp)</t>
  </si>
  <si>
    <t>1 pound of soft metal</t>
  </si>
  <si>
    <t>You convert 1 pound of lead into bullets. When you cast this spell, you decide whether you create normal sling bullets, firearm bullets, or firearm pellets. The spell creates two sling bullets, 30 firearm bullets, or 10 uses of pellets.</t>
  </si>
  <si>
    <t>Converts 1 pound of metal into ammunition.</t>
  </si>
  <si>
    <t>Fiery Shuriken</t>
  </si>
  <si>
    <t>V, S, M (a pinch of sulfur and a single shuriken worth 2 sp)</t>
  </si>
  <si>
    <t>Two or more fiery shuriken</t>
  </si>
  <si>
    <t>You call forth two fiery projectiles resembling shuriken, plus one more for every two caster levels beyond 3rd (to a maximum of eight shuriken at 15th level), which hover in front of you. When these shuriken appear, you can launch some or all of them at the same target or different targets. Each shuriken requires a ranged touch attack roll to hit and deals 1d8 points of fire damage. You provoke no attacks of opportunity when launching them.  Any shuriken you do not launch as part of casting this spell remains floating near you for the spell's duration. On rounds subsequent to your casting of this spell, you can spend a swift action to launch one of these remaining shuriken or a standard action to launch any number of these remaining shuriken. If you fail to launch a shuriken before the duration ends, that shuriken disappears and is wasted.</t>
  </si>
  <si>
    <t>Calls forth several fiery projectiles ready to be flung at opponents.</t>
  </si>
  <si>
    <t>Find Quarry</t>
  </si>
  <si>
    <t>inquisitor 4, ranger 4</t>
  </si>
  <si>
    <t>You sense whether a well-known creature you can clearly visualize is within a 20-mile radius of your current location, as well as the distance and direction to the creature in relation to you. You also discern whether the creature is moving, and its direction, speed, and mode of movement. The radius you can sense increases by 5 miles for every two caster levels you have above 10th (to a maximum of a 45-mile radius at 20th level). Anything that would prevent locate creature from finding a creature also prevents find quarry from doing so.</t>
  </si>
  <si>
    <t>You can sense whether a particular creature is within 20 miles of your location.</t>
  </si>
  <si>
    <t>Flash Fire</t>
  </si>
  <si>
    <t>sorcerer/wizard 3, witch 3</t>
  </si>
  <si>
    <t>V, S, M (a pinch of powdered fool's gold)</t>
  </si>
  <si>
    <t>1 firearm</t>
  </si>
  <si>
    <t>Will negates (object); see text</t>
  </si>
  <si>
    <t>The firearm fires with a blinding flash, even if the firearm is not currently loaded. Every creature within 15 feet of the creature carrying the weapon must succeed at a Fortitude save or be blinded for 1d4 rounds. The creature carrying the firearm takes a -4 penalty on this saving throw. If the firearm is loaded, the ammunition is wasted.</t>
  </si>
  <si>
    <t>Ammunition in the targeted firearm creates a tremendous flash capable of blinding the weapon's bearer and those around him.</t>
  </si>
  <si>
    <t>Forest Friend</t>
  </si>
  <si>
    <t>V, S, M (a pinch of manure)</t>
  </si>
  <si>
    <t>one willing living creature per three levels, no two of which may be more than 30 ft. apart.</t>
  </si>
  <si>
    <t>While subject to this spell, the targets find that forested areas become helpful instead of hindering. The targets suffer no hindrances to movement and suffer no penalties on Acrobatics and Stealth checks from undergrowth in forested terrain. Furthermore, forested overgrowth imposes a miss chance 10% lower than normal.  When moving in and among trees, those subject to the spell gain a +5 circumstance bonus on Acrobatics checks and Climb checks. Rangers in their favored terrain can also add their favored terrain bonus on such Acrobatics and Climb checks.</t>
  </si>
  <si>
    <t>Plants in a forested area become helpful instead of hindering you and your allies.</t>
  </si>
  <si>
    <t>Frightful Aspect</t>
  </si>
  <si>
    <t>cleric/oracle 8, druid 8, sorcerer/wizard 8, witch 8, psychic 8</t>
  </si>
  <si>
    <t>V, S, M (the skin of a toad)</t>
  </si>
  <si>
    <t>You become a larger, awful version of yourself. You grow to size Large, and take on features that horrify your enemies. You gain the following abilities: a +6 size bonus to Strength, a +4 size bonus to Constitution, a +6 natural armor bonus, DR 10/magic, and spell resistance equal to 10 + half your caster level. You also emit an aura that emanates 30 feet from you. Enemy creatures within the aura are shaken. Each time a creature shaken by this aura hits you with a melee attack, that creature becomes frightened for 1d4 rounds, though at the end of that duration it is no longer affected by this aura. The aura's effect is a fear and mind-affecting effect.</t>
  </si>
  <si>
    <t>You take on a terrifying, Large-sized form of yourself and emit an aura that causes creatures to become shaken or frightened.</t>
  </si>
  <si>
    <t>Frost Fall</t>
  </si>
  <si>
    <t>druid 2, sorcerer/wizard 2, witch 2, occultist 2</t>
  </si>
  <si>
    <t>5-foot radius burst</t>
  </si>
  <si>
    <t>1 round/2 levels</t>
  </si>
  <si>
    <t>The area of this spell is covered in chilling frost, dealing 2d6 points of cold damage to all creatures within it. Creatures that the spell initially damages must succeed at a Fortitude save or become staggered for 1 round. The area remains chilled for the spell's duration. Any creature that starts your turn within the spell's area takes 1d6 points of cold damage (Fortitude saving throw for half) but does not become staggered even on a failed saving throw.</t>
  </si>
  <si>
    <t>The area is covered in a chilling frost.</t>
  </si>
  <si>
    <t>Haunted Fey Aspect</t>
  </si>
  <si>
    <t>bard 0, sorcerer/wizard 0, psychic 0, mesmerist 0, medium 0</t>
  </si>
  <si>
    <t>Personal</t>
  </si>
  <si>
    <t>You</t>
  </si>
  <si>
    <t>You surround yourself with disturbing illusions, making you look and sound like a bizarre, insane fey creature. You gain DR 1/cold iron against a single opponent until the end of the spell, or until you take damage.</t>
  </si>
  <si>
    <t>You surround yourself with disturbing illusions.</t>
  </si>
  <si>
    <t>Healing Thief</t>
  </si>
  <si>
    <t>sorcerer/wizard 3, witch 3, occultist 3, psychic 3, mesmerist 1</t>
  </si>
  <si>
    <t>V, S, M (a bit of sponge, damp with tears)</t>
  </si>
  <si>
    <t>With this spell you can steal the healing of the target creature. You must succeed at a melee touch attack to strike the target. If you do, until the effect ends, whenever your target is subject to a healing spell or a supernatural effect that heals hit points, the target only receives half the healing (rounded down) and you receive the other half (also rounded down). You must remain within 25 feet (plus 5 feet per two caster levels) of the target to gain this benefit. If you move outside that range, the spell is discharged. Once you steal 5 hit points per your caster level (maximum 50 hit points) of healing from this spell's effect, the spell is discharged.</t>
  </si>
  <si>
    <t>You siphon half of all magical healing that the targeted creature receives.</t>
  </si>
  <si>
    <t>Instead of stealing half the target's healing, you steal all of it. The amount of damage you steal before the spell is discharged increases to 10 points per caster level (maximum 100 points).</t>
  </si>
  <si>
    <t>Augmented (3rd): If you expend two uses of mythic power, the range of the spell changes to close (25 feet + 5 feet per 2 caster levels). If the target has fast healing or regeneration, you steal half of its fast healing or regeneration. Healing from these abilities count toward the maximum healing stolen before the spell is discharged.</t>
  </si>
  <si>
    <t>Heroic Invocation</t>
  </si>
  <si>
    <t>10 minutes /level</t>
  </si>
  <si>
    <t>Using worlds of ancient power, you bestow heroic powers on all creatures subject to this spell. They gain a +4 morale bonus on attack and damage rolls, gain 2d8+4 temporary hit points, and become immune to both fear and charm effects for the spell's duration.  At the end of the spell's duration, the subjects become fatigued.</t>
  </si>
  <si>
    <t>Grants a number of creatures bonuses on attacks and damage, temporary hit points, and immunity to fear and charm effects.</t>
  </si>
  <si>
    <t>Hostile Juxtaposition</t>
  </si>
  <si>
    <t>sorcerer/wizard 5, summoner 4, witch 5, psychic 5, unchained summoner 5</t>
  </si>
  <si>
    <t>V, S, M (a coin)</t>
  </si>
  <si>
    <t>one creature of your size or smaller</t>
  </si>
  <si>
    <t>You create a dimensional link to the target creature. When attacked or the subject of a spell that deals damage to you, you can spend an immediate action to cause yourself and the target creature to teleport and switch places. The target then becomes the target of the triggering attack or spell instead of you. If you fail to teleport out of the area of an effect, that effect might still affect you. If the target creature cannot fit safely into the new space without squeezing, or you try to teleport the target into an occupied space or a space it could not normally stand within, the juxtaposition fails. Further, if the target is unconscious or dead when you attempt to switch places, the juxtaposition fails. Once you have used it to teleport once, this spell is discharged.</t>
  </si>
  <si>
    <t>You create a dimensional link with a targeted creature, and switch spots with it.</t>
  </si>
  <si>
    <t>Hostile Juxtaposition, Greater</t>
  </si>
  <si>
    <t>sorcerer/wizard 7, summoner/unchained summoner 6, witch 7, psychic 7, mesmerist 4</t>
  </si>
  <si>
    <t>one creature/4 levels</t>
  </si>
  <si>
    <t>This spell functions like hostile juxtaposition, except you can target one creature for every four caster levels you have or you can target a single creature that is larger than you are. You can switch places with each target only once while the effect lasts. Once you have used it to teleport and switch places with each affected target, the spell is discharged.</t>
  </si>
  <si>
    <t>You may target one creature for every four of your caster levels.</t>
  </si>
  <si>
    <t>Hostile Levitation</t>
  </si>
  <si>
    <t>sorcerer/wizard 3, witch 3, bloodrager 3, occultist 3, psychic 3, mesmerist 3, spiritualist 3, medium 2</t>
  </si>
  <si>
    <t>V, S, M (a leather loop studded with lodestones)</t>
  </si>
  <si>
    <t>You levitate the target a few inches off the ground, removing solid footing and halving the target's speed. The target also takes a -4 penalty to CMD against bull rush, drag, and reposition attempts. A targeted creature that attacks with a melee or ranged weapon finds itself increasingly unstable; the first attack has a -1 penalty on attack rolls, the second -2, and so on, to a maximum penalty of -5. A full-round action spent stabilizing allows the creature to begin again at -1.  This spell fails if cast on a flying creature.</t>
  </si>
  <si>
    <t>Levitates the targeted creature up off the ground.</t>
  </si>
  <si>
    <t>Illusion of Calm</t>
  </si>
  <si>
    <t>alchemist 1, magus 1, sorcerer/wizard 1, occultist 1, psychic 1, mesmerist 1</t>
  </si>
  <si>
    <t>Will disbelieve (on hit; see below)</t>
  </si>
  <si>
    <t>When casting this spell, you create an illusory double that takes the same space of you. That double makes it look like you are standing still, even when you are not. While under the effects of this spell, you do not provoke attacks of opportunity when you cast a spell, make a ranged attack with a thrown weapon, or move out of your first square during a move action. It does not hide ranged attacks made with any type of projectile weapon.  When a creature hits you with an attack of any type, it gains a saving throw to disbelieve the figment. On a successful saving throw, it successfully disbelieves and the spell's effect ends for that creature.</t>
  </si>
  <si>
    <t>You appear to be standing still, even when you take some actions.</t>
  </si>
  <si>
    <t>Instrument of Agony</t>
  </si>
  <si>
    <t>1 minutes/level</t>
  </si>
  <si>
    <t>Will negates (harmless, object), see text</t>
  </si>
  <si>
    <t>yes (harmless, object), see text</t>
  </si>
  <si>
    <t>You cause a weapon to exude a palpable aura of divine fury. While wielding this weapon, a creature gains a +2 morale bonus on Intimidate checks. When an attack made using the targeted weapon hits, the wielder can spend a free action to discharge the effect to inflict agony on the creature the weapon hit. If that creature has spell resistance, it applies against this effect. If the creature fails a Will save, it is nauseated for 1d4+1 rounds. If it succeeds at the saving throw, the creature is instead sickened for 1 round. The sickened condition created by the instrument is a mind-affecting effect.</t>
  </si>
  <si>
    <t>Kyton (2)</t>
  </si>
  <si>
    <t>Weapon exudes divine fury, granting a bonus on Intimidate checks.</t>
  </si>
  <si>
    <t>Jolting Portent</t>
  </si>
  <si>
    <t>The creature you designate is surrounded by a glowing red aura of vengeful fate. Once per round when the target makes an attack or casts a spell, it must succeed at a Fortitude saving throw with a DC = 10 + 1/2 caster level + Charisma (in the case of oracles) or Wisdom (in the case of clerics). If the target fails the saving throw, it takes 4d6 + your Charisma modifier (in the case of oracles) or Wisdom modifier (in the case of clerics) electricity damage. It takes no damage on a successful saving throw. You can dismiss this spell as an immediate action when its subject confirms a critical hit to negate the critical hit and daze the creature for 1 round. The attack still hits its target and deals normal damage. The effects of the daze occur after the attack.</t>
  </si>
  <si>
    <t>You inflict a vengeful fate on a creature, dealing electricity damage each time it attacks or casts a spell.</t>
  </si>
  <si>
    <t>Judgment Light</t>
  </si>
  <si>
    <t>instantaneous, see text</t>
  </si>
  <si>
    <t>An inquisitor may only cast this spell while she has a judgment active. When she does cast this spell, it causes one or more of the following effects based on the inquisitor's active judgments.  Destruction: Red light erupts from the caster. Enemies in the area take 4d8 points of damage and become shaken for 1d4 rounds. A successful Will saving throw halves the damage and negates the shaken effect.  Healing: Green light erupts from the caster. Allies in the area regain a number of hit points equal to 1d8 + the caster's Wisdom modifier.  Justice: Blue light erupts from the caster, revealing hidden and invisible creatures to all. The light outlines such creatures for 1 round per caster level, imposing a -20 penalty on Stealth checks on those creatures.  Piercing: Violet light erupts from the caster, reducing the spell resistance of enemies within the burst by 5 for 1 round per caster level.  Protection: Amber light erupts from the caster, granting allies in the burst a +2 sacred bonus to AC and CMD, and a +4 bonus to AC against critical confirmation attack rolls for 1 round per caster level.  Purity: White light erupts from the caster, allowing each ally within the burst to attempt a saving throw against a single effect that allows a saving throw with a +2 sacred bonus on the roll.  Resiliency: Golden light erupts from the caster, granting allies within the burst DR 3/magic or the alignment your judgment allows for 1 round per caster level.  Resistance: Copper light erupts from the caster, granting allies within the burst resistance 5 against the energy the judgment protects the inquisitor against when she casts this spell for 1 round per caster level.  Smiting: Silver light erupts from the caster, making allies' weapons within the burst count as magic, the alignment her weapon is, and adamantine for purposes of overcoming damage reduction for 1 round per caster level.</t>
  </si>
  <si>
    <t>You gain an additional effect while a judgment is active.</t>
  </si>
  <si>
    <t>Jury-Rig</t>
  </si>
  <si>
    <t>bard 1, magus 1, sorcerer/wizard 1, summoner/unchained summoner 1, witch 1, occultist 1, psychic 1</t>
  </si>
  <si>
    <t>V, S, M (a pinch of tree resin)</t>
  </si>
  <si>
    <t>one broken object of up to 2 lbs./level</t>
  </si>
  <si>
    <t>When you cast this spell, a spectral force binds a broken weapon together, relieving the broken condition for a short time. While under the effects of this spell, an item with the broken condition suffers no adverse effects from that condition, and is treated as if it is not broken. The object regains no hit points, and damage can still destroy the object.</t>
  </si>
  <si>
    <t>Removes the broken condition from the targeted object.</t>
  </si>
  <si>
    <t>Kinetic Reverberation</t>
  </si>
  <si>
    <t>alchemist 2, sorcerer/wizard 2, psychic 2</t>
  </si>
  <si>
    <t>V, S, M (rubber tree sap)</t>
  </si>
  <si>
    <t>This spell converts the momentum and force from melee attacks made against the target of the spell, reflecting them back upon the attacker's weapon. After making a successful melee attack against the target, an attacker must make a Fortitude saving throw for the weapon used. If the weapon fails the save, it takes damage equal to the damage rolled against the target. Creatures using natural attacks or unarmed strikes are unaffected by this spell.</t>
  </si>
  <si>
    <t>Channels the force of an enemy's attack back into its weapon.</t>
  </si>
  <si>
    <t>Languid Bomb Admixture</t>
  </si>
  <si>
    <t>Will negates (special, see below)</t>
  </si>
  <si>
    <t>Upon drinking an extract created with this formula, you make a significant change to your magical reserve that modifies the nature of all bombs you create and throw during this extract's duration. This effect on your magical reserve has no effect on any discoveries that you use to modify your bombs, but you can only have one admixture effect (formulae with the words "bomb admixture" in their titles) active at a time. If you drink another bomb admixture, the effects of the former bomb admixture end and the those of the new one become active.  When you throw a bomb and hit a direct target, it affects up to four creatures-the creature the bomb hit directly, and up to three other creatures damaged by the splash (alchemist's choice). Those creatures must succeed at a Will saving throw or become fatigued.</t>
  </si>
  <si>
    <t>Empowers bombs you throw to cause fatigue in those directly hit or splashed by the bomb.</t>
  </si>
  <si>
    <t>Liberating Command</t>
  </si>
  <si>
    <t>bard 1, cleric/oracle 1, druid 1, paladin 1, ranger 1, sorcerer/wizard 1, occultist 1, psychic 1, medium 1</t>
  </si>
  <si>
    <t>If the target is bound, grappled, or otherwise restrained, he may make an Escape Artist check to escape as an immediate action. He gains a competence bonus on this check equal to twice your caster level (maximum +20). This spell has no effect if the target could not get free by using the Escape Artist skill (for example, if he were under the effects of a hold person spell or paralyzed by Strength damage).</t>
  </si>
  <si>
    <t>Target makes an Escape Artist check as an immediate action and gains a bonus on it.</t>
  </si>
  <si>
    <t>Life Conduit</t>
  </si>
  <si>
    <t>You utilize life conduit to share hit points with your eidolon. While this spell is active, you can spend a swift action to transfer 1d6 hit points between you and your eidolon, either taking damage yourself and healing your eidolon or healing yourself and damaging your eidolon. If your eidolon moves farther than 50 feet from you, this spell ends.</t>
  </si>
  <si>
    <t>You are bound even tighter to your eidolon than normal, and may share hit points with it through your life link ability.</t>
  </si>
  <si>
    <t>Life Conduit, Greater</t>
  </si>
  <si>
    <t>This spell functions like life conduit, except you can transfer 3d6 hit points as a swift action.</t>
  </si>
  <si>
    <t>You transfer 3d6 hit points to your eidolon as a swift action.</t>
  </si>
  <si>
    <t>Life Conduit, Improved</t>
  </si>
  <si>
    <t>This spell functions like life conduit, except you can transfer 2d6 hit points as a swift action.</t>
  </si>
  <si>
    <t>Transfers 2d6 hit points to your eidolon as a swift action.</t>
  </si>
  <si>
    <t>Lightning Lash Bomb Admixture</t>
  </si>
  <si>
    <t>Upon drinking an extract created with this formula, you make a significant change to your magical reserve that modifies the nature of all bombs you create and throw during this extract's duration. This effect on your magical reserve has no effect on any discoveries that you use to modify your bombs, but you can only have one admixture effect (formulae with the word "bomb admixture" in its title) active at a time. If you drink another bomb admixture, the effects of the former bomb admixture end and those of the new one become active.  When you throw a bomb and hit a direct target, lashes of electrical energy are released from the bomb, coalescing on the bomb's direct target and up to three creatures that take damage from the bomb's splash (alchemist's choice). Those affected by the electricity must succeed at a Reflex saving throw or take 1d6 points of electrical damage each time they take a move action to move more than 5 feet for the duration of the effect. This effect does not ignore spell resistance.</t>
  </si>
  <si>
    <t>Empowers bombs you throw with a ward that deals lightning damage each time those damaged by the bomb move more than 5 feet.</t>
  </si>
  <si>
    <t>Litany of Defense</t>
  </si>
  <si>
    <t>Invoking this litany strengthens your defenses. Any enhancement bonus your armor has is doubled and you are immune to fear.  While subject to this spell, the target cannot be the target of another spell that has the word "litany" in the title.</t>
  </si>
  <si>
    <t>Doubles armor's enhancement bonus.</t>
  </si>
  <si>
    <t>Litany Of Eloquence</t>
  </si>
  <si>
    <t>antipaladin 2, inquisitor 3, paladin 2</t>
  </si>
  <si>
    <t>Your litany is a fascinating diatribe of grace, causing your target to do nothing but listen. The target is fascinated. As usual, obvious danger prevents fascination and potential danger grants a save.  While subject to this spell, the target cannot be the target of another spell that has the word "litany" in the title.</t>
  </si>
  <si>
    <t>Fascinates a single creature for 1 round.</t>
  </si>
  <si>
    <t>Litany of Entanglement</t>
  </si>
  <si>
    <t>Your litany conjures chains of energy that lash upward from the ground and hamper the target's movement. The target is entangled. This spell has no effect on flying creatures, or creatures not standing upon solid ground.  While subject to this spell, the target cannot be the target of another spell that has the word "litany" in the title.</t>
  </si>
  <si>
    <t>Entangles a creature for 1 round.</t>
  </si>
  <si>
    <t>Litany Of Escape</t>
  </si>
  <si>
    <t>antipaladin 3, inquisitor 4, paladin 3</t>
  </si>
  <si>
    <t>one willing creature that is grappled</t>
  </si>
  <si>
    <t>With a powerful prayer, you call upon the servants of your god to whisk a friend out of a grapple. The target loses the grappled and pinned conditions and is teleported 10 feet. If there is no available space for the target to teleport to, the spell fails.</t>
  </si>
  <si>
    <t>Teleports a friend out of a grapple.</t>
  </si>
  <si>
    <t>Litany Of Madness</t>
  </si>
  <si>
    <t>antipaladin 4, inquisitor 6</t>
  </si>
  <si>
    <t>1 or more rounds (see below)</t>
  </si>
  <si>
    <t>no, see below</t>
  </si>
  <si>
    <t>This litany is a sermon of madness. The target is confused. At the start of each of its turns, it can make a Will saving throw against the confused effect (DC of the spell). If the target fails the save, it continues to be confused. If it makes the save, the effect ends.  While subject to this spell, the target cannot be the target of another spell that has the word "litany" in the title.</t>
  </si>
  <si>
    <t>A single target is confused for at least 1 round.</t>
  </si>
  <si>
    <t>Litany Of Righteousness</t>
  </si>
  <si>
    <t>good, language-dependent</t>
  </si>
  <si>
    <t>Calling down a litany of anathema, you make an evil more susceptible to the attacks of good creatures. If the target is evil, it takes double damage from attacks made by creatures with a good aura (from a class feature or as a creature with the good subtype). If the target also has the evil subtype; when it is hit with attacks made by creatures with a good aura, it is also dazzled for 1d4 rounds. If this spell targets a nonevil creature (or one that lacks the evil subtype), it has no effect, and the spell is wasted.  While subject to this spell, the target cannot be the target of another spell that has the word "litany" in the title.</t>
  </si>
  <si>
    <t>A single evil creature takes more damage from creatures with a good aura.</t>
  </si>
  <si>
    <t>Litany of Sight</t>
  </si>
  <si>
    <t>This litany reveals the unseen to you. You can see invisible creatures and objects within 30 feet.  While subject to this spell, the target cannot be the target of another spell that has the word "litany" in the title.</t>
  </si>
  <si>
    <t>You can see invisible creatures and objects within 30 feet of you.</t>
  </si>
  <si>
    <t>Litany of Sloth</t>
  </si>
  <si>
    <t>antipaladin 1, inquisitor 1, paladin 1</t>
  </si>
  <si>
    <t>With a litany against the wages of sloth, you slow the target's defenses. The target cannot make attacks of opportunity or cast spells defensively.  While subject to this spell, the target cannot be the target of another spell that has the word "litany" in the title.</t>
  </si>
  <si>
    <t>Single target cannot make attacks of opportunity for 1 round.</t>
  </si>
  <si>
    <t>Litany of Thunder</t>
  </si>
  <si>
    <t>language-dependent, sonic</t>
  </si>
  <si>
    <t>You call down a thunderous boom upon your enemy. The target becomes deafened until the condition is removed, and is confused for 1 round.  While subject to this spell, the target cannot be the target of another spell that has the word "litany" in the title.</t>
  </si>
  <si>
    <t>A single target is deafened until the condition is removed, and is confused for 1 round.</t>
  </si>
  <si>
    <t>Litany Of Vengeance</t>
  </si>
  <si>
    <t>This litany causes your enemy to feel the pain of blows more sharply. Anyone who hits the target with an attack gains a +5 sacred or profane bonus (depending on the alignment of the caster) to that attack's damage.  While subject to this spell, the target cannot be the target of another spell that has the word "litany" in the title.</t>
  </si>
  <si>
    <t>Allies attacking the target of the spell gain a +5 bonus on damage rolls for 1 round.</t>
  </si>
  <si>
    <t>Litany of Warding</t>
  </si>
  <si>
    <t>With this litany, you become more aware of your opponents. You can make two additional attacks of opportunity this round. Furthermore, you gain a +2 sacred bonus to AC against attacks of opportunity.  While subject to this spell, the target cannot be the target of another spell that has the word "litany" in the title.</t>
  </si>
  <si>
    <t>You gain two additional attacks of opportunity for 1 round.</t>
  </si>
  <si>
    <t>Litany of Weakness</t>
  </si>
  <si>
    <t>antipaladin 1, inquisitor 1</t>
  </si>
  <si>
    <t>Your litany proclaims your target weak, sapping its strength. The target is fatigued for 1 round.  While subject to this spell, the target cannot be the target of another spell that has the word "litany" in the title.</t>
  </si>
  <si>
    <t>Single target is fatigued for 1 round.</t>
  </si>
  <si>
    <t>Locate Weakness</t>
  </si>
  <si>
    <t>inquisitor 3, magus 3, ranger 2, sorcerer/wizard 3, witch 3, bloodrager 3, occultist 3, psychic 3</t>
  </si>
  <si>
    <t>V, S, M/DF (a pickled predator's eye)</t>
  </si>
  <si>
    <t>You can sense your foes' weak points, granting you greater damage with critical hits. Whenever you score a critical hit, roll the attack's damage dice (but not extra or precision damage dice) twice and take the highest result.</t>
  </si>
  <si>
    <t>You roll damage twice when you roll damage for a critical hit and take the best damage.</t>
  </si>
  <si>
    <t>Lock Gaze</t>
  </si>
  <si>
    <t>bard 1, inquisitor 1, magus 1, sorcerer/wizard 1, witch 1, psychic 1, mesmerist 1</t>
  </si>
  <si>
    <t>You compel the target to look at you and only you for the spell's duration or until the spell is discharged. While staring at you, the target is considered to be averting its eyes from every creature but you, granting creatures other than you concealment against the target's attacks. If the target willingly leaves your line of sight, it is blinded for 1 round and the spell ends. If you willingly leave the target's line of sight or become unconscious or dead, the spell creature suffers no ill effects. Blind creatures and creatures immune to gaze attacks are immune to this spell.</t>
  </si>
  <si>
    <t>Compels the target to look only at you for the duration of the spell.</t>
  </si>
  <si>
    <t>Longshot</t>
  </si>
  <si>
    <t>alchemist 1, antipaladin 1, inquisitor 1, magus 1, paladin 1, ranger 1, sorcerer/wizard 1, occultist 1, psychic 1</t>
  </si>
  <si>
    <t>V, S, M/DF (a piece of fletching)</t>
  </si>
  <si>
    <t>This spell reduces the effect of range, granting a +10-foot bonus to the range increment of any weapon used by the subject.</t>
  </si>
  <si>
    <t>Grants a +10 foot bonus to the range increment for any ranged weapon fired.</t>
  </si>
  <si>
    <t>Magic Siege Engine</t>
  </si>
  <si>
    <t>antipaladin 2, cleric/oracle 2, inquisitor 2, paladin 2, sorcerer/wizard 2, occultist 2</t>
  </si>
  <si>
    <t>one siege engine touched</t>
  </si>
  <si>
    <t>This spell permits an indirect fire siege engine to bombard its targets with greater accuracy, delivering more damage. The siege weapon receives a +1 enhancement bonus on targeting rolls and damage rolls. If used on a direct fire siege weapon, this spell acts a magic weapon.</t>
  </si>
  <si>
    <t>Siege engine gains +1 on targeting and damage rolls.</t>
  </si>
  <si>
    <t>Magic Siege Engine, Greater</t>
  </si>
  <si>
    <t>antipaladin 4, cleric/oracle 5, inquisitor 4, paladin 4, sorcerer/wizard 4, occultist 4</t>
  </si>
  <si>
    <t>V, S, M/DF (black powder)</t>
  </si>
  <si>
    <t>This spell functions like magic siege weapon, except it gives an indirect fire siege weapon an enhancement bonus on targeting and damage rolls of +1 per four caster levels (maximum +5). If used on a direct-fire siege weapon, this spell functions as greater magic weapon.</t>
  </si>
  <si>
    <t>Siege engine gains +1 on targeting and damage rolls for every four caster levels.</t>
  </si>
  <si>
    <t>Mask Dweomer, Communal</t>
  </si>
  <si>
    <t>witch 2, occultist 2, psychic 2</t>
  </si>
  <si>
    <t>creatures or objects touched</t>
  </si>
  <si>
    <t>This spell functions like mask dweomer (Advanced Player's Guide 232), except you divide the duration in 1-day increments among the creatures or objects touched.</t>
  </si>
  <si>
    <t>As mask dweomer, but you may divide the duration among creatures touched.</t>
  </si>
  <si>
    <t>Mind Blank, Communal</t>
  </si>
  <si>
    <t>sorcerer/wizard 9, witch 9, psychic 8</t>
  </si>
  <si>
    <t>This spell functions like mind blank, except you divide the duration in 1-hour increments among the creatures touched.</t>
  </si>
  <si>
    <t>As mind blank, but you may divide the duration among creatures touched.</t>
  </si>
  <si>
    <t>Mirror Strike</t>
  </si>
  <si>
    <t>magus 1, sorcerer/wizard 1, bloodrager 1, psychic 1</t>
  </si>
  <si>
    <t>V, S, M (a shard of mirror)</t>
  </si>
  <si>
    <t>You briefly alter the flow of time to split a melee attack into two attacks. Before the end of your next turn, when you make your next melee attack roll, compare the result to the AC of two opponents within your reach. If the selected opponents are flanking you, you gain a +2 bonus on your attack roll (and confirmation attack roll, see below). If you hit both enemies, you can deal half damage to each. Hitting only one opponent allows you to deal that opponent normal damage for your attack. On a critical threat, you can make only one attack roll to confirm the critical hit against both opponents. If you confirm against both, you deal half your critical hit damage to each. Your hit is a normal hit rather than a critical if you confirm against only one opponent. If you fail to use the effect before the end of your next turn, the spell ends.</t>
  </si>
  <si>
    <t>You may strike multiple opponents with a single attack.</t>
  </si>
  <si>
    <t>Moment of Greatness</t>
  </si>
  <si>
    <t>bard 1, cleric/oracle 1, sorcerer/wizard 1, psychic 1</t>
  </si>
  <si>
    <t>V, S, M/DF (rabbit fur)</t>
  </si>
  <si>
    <t>The caster and allies within a 50-ft. burst centered on the caster</t>
  </si>
  <si>
    <t>Each creature affected by this spell is given the potential for greater success and glory. If the affected creature is benefiting from a morale bonus of any type, it can double that morale bonus on one roll or check, before making the roll. Once an affected creature uses this spell's effect, the spell is discharged for that subject.</t>
  </si>
  <si>
    <t>Doubles a morale bonus.</t>
  </si>
  <si>
    <t>Imperious (3)</t>
  </si>
  <si>
    <t>Mount, Communal</t>
  </si>
  <si>
    <t>magus 2, sorcerer/wizard 2, summoner/unchained summoner 2, witch 2, occultist 2</t>
  </si>
  <si>
    <t>up to six mounts</t>
  </si>
  <si>
    <t>This spell functions like mount, except you can summon up to six light horses or ponies, and you divide the duration in 2-hour increments among the steeds summoned.</t>
  </si>
  <si>
    <t>As mount, but you may divide the duration among creatures touched.</t>
  </si>
  <si>
    <t>Mutagenic Touch</t>
  </si>
  <si>
    <t>V, S, M (a whole fingernail)</t>
  </si>
  <si>
    <t>When you are under of the effects of your  mutagen, you can cast this spell to safely pass it to another creature with a touch. You must make a successful touch attack against the target. On a hit, the effect of the mutagen passes to the target touched, though in a lesser form. The mutagen's effect ends for you, and passes on to the creature touched, but the target only gets half of the alchemical bonus to the physical ability modifier you chose when took the mutagen, and twice the penalty to the corresponding mental ability score. If the target's mental ability score drops below 3, the target is also confused for the remaining duration of the mutagen. The mutagen continues until the duration has ended. It can be ended earlier if the target drinks or is fed the contents of a vial of antitoxin, but with only 50% chance of success.  You can use this spell on a mutagen with either the greater mutagen or advance mutagen discoveries. When you do, you always pass on half the alchemical bonus to physical abilities and twice the penalty to the mental ability score.</t>
  </si>
  <si>
    <t>You can pass a weaker version of your mutagen to another creature.</t>
  </si>
  <si>
    <t>Named Bullet</t>
  </si>
  <si>
    <t>inquisitor 4, ranger 3, sorcerer/wizard 4, witch 4, psychic 4</t>
  </si>
  <si>
    <t>V, S, M/DF (an item from the selected creature or creature type)</t>
  </si>
  <si>
    <t>one piece of ammunition or one thrown weapon</t>
  </si>
  <si>
    <t>You imbue the target with deadly accuracy against a selected creature type (and subtype for humanoids or outsiders) or a specific creature you know and can name. When used against the selected creature, the ammunition never misfires and is unaffected by concealment (but not total concealment), and at a range of 30 feet or less, the attack targets the selected creature's touch AC. When the target hits the selected creature, you must overcome that creature's spell resistance, or this spell has no effect. A normal hit scored using the target against the selected creature is considered to be a critical threat and deals 1 extra point of damage per caster level (maximum 20), which is not multiplied on a critical hit. A natural critical hit deals the same extra damage, but that damage is multiplied due to the critical.  Once the target is used to attack the selected creature, successfully or not, this spell is discharged.</t>
  </si>
  <si>
    <t>Imbues ammunition with accuracy against a specific creature type.</t>
  </si>
  <si>
    <t>Increase the critical multiplier of the target weapon by 1 (maximum x4).</t>
  </si>
  <si>
    <t>Augmented (2nd): If you expend two uses of mythic power, the target ammunition or weapon returns to the creature that shot or threw it just before that creature's next turn (similar to a returning weapon). The spell isn't discharged until the target is used to attempt a second attack against the named creature. Ammunition that hits is destroyed and doesn't return.</t>
  </si>
  <si>
    <t>Named Bullet, Greater</t>
  </si>
  <si>
    <t>inquisitor 6, ranger 4, sorcerer/wizard 6, witch 6, psychic 6</t>
  </si>
  <si>
    <t>This spell functions like named bullet, except it deals 2 extra points of damage per caster level (maximum 40).</t>
  </si>
  <si>
    <t>As named bullet, but deals 2 points of damage for every caster level.</t>
  </si>
  <si>
    <t>Negative Reaction</t>
  </si>
  <si>
    <t>bard 1, magus 1, sorcerer/wizard 1, witch 1, psychic 1, medium 1</t>
  </si>
  <si>
    <t>The target's actions and words fail to impress. The target of this spell takes a -10 penalty on any Bluff, Diplomacy, and Intimidate checks as well as any performance combat checks it attempts.</t>
  </si>
  <si>
    <t>Targeted creature may not positively influence anyone.</t>
  </si>
  <si>
    <t>Nondetection, Communal</t>
  </si>
  <si>
    <t>antipaladin 4, sorcerer/wizard 4, occultist 4, psychic 4, mesmerist 4</t>
  </si>
  <si>
    <t>V, S, M (diamond dust worth 25 gp per target)</t>
  </si>
  <si>
    <t>This spell functions like nondetection, except you divide the duration in 1-hour increments among the creatures or objects touched.</t>
  </si>
  <si>
    <t>As nondetection, but you may divide the duration among creatures touched.</t>
  </si>
  <si>
    <t>Obsidian Flow</t>
  </si>
  <si>
    <t>druid 4, sorcerer/wizard 4, summoner 3, unchained summoner 4</t>
  </si>
  <si>
    <t>V, S, M/DF (a small piece of obsidian)</t>
  </si>
  <si>
    <t>You convert a thin layer of the ground to molten glass that cools quickly. Creatures in the area take 1d6 points of fire damage per two caster levels (maximum of 10d6) and become entangled. Any creature within the area that makes a successful Reflex save takes half damage and is not entangled. An entangled creature can attempt to free itself by spending a move action to attempt a Strength check or Escape Artist check (the DC equals the spell's saving throw DC).  The ground is covered with slippery expanses and sharp shards of obsidian. The area of effect is difficult terrain, and the DC of Acrobatics checks within the area of effect increases by 5. A successful DC 15 Acrobatics check is required to run or charge across the area. A creature that falls prone in the area takes 1d6 points of damage from sharp obsidian.</t>
  </si>
  <si>
    <t>Converts the surface of the ground into molten glass.</t>
  </si>
  <si>
    <t>Peacebond</t>
  </si>
  <si>
    <t>inquisitor 1, sorcerer/wizard 1, witch 1, occultist 1, psychic 1</t>
  </si>
  <si>
    <t>one sheathed or slung weapon</t>
  </si>
  <si>
    <t>You lock a weapon in place on its owner's body, or within the weapon's sheath or holster. Anyone who then tries to draw the weapon must spend a standard action and succeed at a Strength check (DC equal to the saving throw DC) to do so, provoking attacks of opportunity whether the attempt succeeds or fails.</t>
  </si>
  <si>
    <t>Locks a weapon in place on the target's body.</t>
  </si>
  <si>
    <t>Pellet Blast</t>
  </si>
  <si>
    <t>magus 4, sorcerer/wizard 3, summoner/unchained summoner 3, bloodrager 4, psychic 3</t>
  </si>
  <si>
    <t>V, S, M (a handful of metal pellets or handful of cold iron, silver, or adamantine pellets; see descriptions for cost)</t>
  </si>
  <si>
    <t>This spell creates an explosion of conjured metal pellets, striking everything within its area and dealing 1d8 points of piercing damage per two caster levels, maximum 5d8. This damage is subject to damage reduction. If the material component is made of cold iron (costing 50 gp), silver (costing 20 gp), or adamantine (costing 100 gp), the resulting blast can overcome damage reduction of the appropriate type. The pellets disappear after the spell is cast and the damage is dealt.</t>
  </si>
  <si>
    <t>Creates an explosion of conjured metal pellets.</t>
  </si>
  <si>
    <t>Phantom Chariot</t>
  </si>
  <si>
    <t>sorcerer/wizard 4, summoner/unchained summoner 3, occultist 4, spiritualist 4</t>
  </si>
  <si>
    <t>one quasi-real chariot and draft team</t>
  </si>
  <si>
    <t>You conjure a quasi-real heavy chariot with four horselike creatures in a team to pull it. (The exact description can be customized as you wish.) The chariot has all the normal qualities of a heavy chariot (see page 182). You or a person you designate while casting the spell must drive the chariot, which can carry up to six passengers (including the driver). The team and chariot make no sound and the team does not fight, although the driver can use the chariot like any normal chariot.  The chariot and team are essentially a single entity with an AC of 19 (-2 size, +6 natural armor, +5 Dex), and 10 hit points + 2 hit points per caster level (maximum 50). If the entity loses all its hit points, it disappears, possibly subjecting all aboard to a crash (treat as wrecked). The entity gains certain powers according to caster level, just like a mount does in the phantom steed spell.</t>
  </si>
  <si>
    <t>Conjures a quasi-real heavy chariot pulled by four horses.</t>
  </si>
  <si>
    <t>Phantom Driver</t>
  </si>
  <si>
    <t>bard 3, sorcerer/wizard 3, occultist 3, spiritualist 3</t>
  </si>
  <si>
    <t>one quasi-real, humanlike creature</t>
  </si>
  <si>
    <t>You conjure a Small or Medium, quasi-real, humanlike creature (the exact physical features can be customized as you wish). This creation can drive any vehicle you command it to. This phantom creature does not fight, and while animals that power a muscle-propelled vehicle driven by the creature do respond to its commands, animals otherwise shun the creature and refuse to attack it.  The rider has an AC of 20 (+1 size, +4 natural armor, +5 Dex) if it is a Small creature or an AC of 19 (+4 natural armor, +5 Dexterity) if it is a Medium creature. It has 7 hit points + 1 hit point per caster level. If it loses all its hit points, the phantom driver disappears. A phantom driver has a land speed of 30 feet, and makes all driver skill checks (no matter what skills are needed to drive the vehicle) as your caster level + your Intelligence modifier.</t>
  </si>
  <si>
    <t>Conjures a phantom to drive vehicles.</t>
  </si>
  <si>
    <t>Phantom Steed, Communal</t>
  </si>
  <si>
    <t>bard 4, sorcerer/wizard 4, summoner/unchained summoner 3, occultist 4, spiritualist 4</t>
  </si>
  <si>
    <t>up to six quasi-real, horselike creatures</t>
  </si>
  <si>
    <t>This spell functions like phantom steed, except you can summon up to six steeds, and you divide the duration in 1-hour intervals among the steeds summoned.</t>
  </si>
  <si>
    <t>As phantom steed, but you may divide the duration among creatures touched.</t>
  </si>
  <si>
    <t>Pilfering Hand</t>
  </si>
  <si>
    <t>bard 2, cleric/oracle 2, magus 2, sorcerer/wizard 2, occultist 2, psychic 2, mesmerist 2, spiritualist 2, medium 2</t>
  </si>
  <si>
    <t>one object</t>
  </si>
  <si>
    <t>You create and control an invisible telekinetic force, manipulating it with either startling abruptness or careful deliberateness, allowing you to seize an object from an opponent or remotely manipulate an object. You can utilize this force to one of two ends.  Abrupt Maneuver: You instantaneously attempt a disarm or steal combat maneuver against a target within range. Use your caster level as your Combat Maneuver Bonus, adding your Charisma modifier (bard, oracle, sorcerer), Intelligence modifier (magus, wizard), or Wisdom modifier (cleric) in place of your Strength or Dexterity modifier. This combat maneuver attempt does not provoke an attack of opportunity from its target, but casting this spell might. If you are successful, you pull the target object to you, and if you have enough hands free, you can catch it. Otherwise, the object lands in your square as if you dropped it.  Careful Maneuver: You attempt a Disable Device check or a Sleight of Hand check to pick-pocket a target within range. This spell lasts as long as you need to accomplish the task, requiring your full concentration for that duration. Once you resolve the skill check, the spell ends. If you are successful on your Sleight of Hand check, you pull the target object to you as with an abrupt maneuver. The target gains a +2 bonus on its Perception check to notice the successful attempt.</t>
  </si>
  <si>
    <t>You may seize an object or manipulate it from afar.</t>
  </si>
  <si>
    <t>Protection from Arrows, Communal</t>
  </si>
  <si>
    <t>alchemist 3, sorcerer/wizard 3, summoner/unchained summoner 3, psychic 3</t>
  </si>
  <si>
    <t>This spell functions like protection from arrows, except you divide the duration in 1-hour intervals among the creatures touched. Once the spell absorbs 10 points of damage per caster level (maximum 100 points) for a subject, the spell's effects end for that subject.</t>
  </si>
  <si>
    <t>As protection from arrows, but you may divide the duration among creatures touched.</t>
  </si>
  <si>
    <t>Protection from Chaos, Communal</t>
  </si>
  <si>
    <t>cleric/oracle 2, inquisitor 2, paladin 2, sorcerer/wizard 2, summoner/unchained summoner 2</t>
  </si>
  <si>
    <t>This spell functions like protection from chaos, except you divide the duration in 1-minute intervals among the creatures touched.</t>
  </si>
  <si>
    <t>As protection from chaos, but you may divide the duration among creatures touched.</t>
  </si>
  <si>
    <t>Protection from Energy, Communal</t>
  </si>
  <si>
    <t>cleric/oracle 4, druid 4, inquisitor 4, ranger 3, sorcerer/wizard 4, summoner/unchained summoner 4, psychic 4</t>
  </si>
  <si>
    <t>This spell functions like protection from energy, except you divide the duration in 10-minute intervals among the creatures touched. Once the spell absorbs 12 points of energy damage per caster level (maximum 120 points) for a subject, the spell's effects end for that subject.</t>
  </si>
  <si>
    <t>As protection from energy, but you may divide the duration among creatures touched.</t>
  </si>
  <si>
    <t>Protection from Evil, Communal</t>
  </si>
  <si>
    <t>This spell functions like protection from evil, except you divide the duration in 1-minute intervals among the creatures touched.</t>
  </si>
  <si>
    <t>As protection from evil, but you may divide the duration among creatures touched.</t>
  </si>
  <si>
    <t>Protection from Good, Communal</t>
  </si>
  <si>
    <t>antipaladin 2, cleric/oracle 2, inquisitor 2, sorcerer/wizard 2, summoner/unchained summoner 2</t>
  </si>
  <si>
    <t>This spell functions like protection from good, except you divide the duration in 1-minute intervals among the creatures touched.</t>
  </si>
  <si>
    <t>As protection from good, but you may divide the duration among creatures touched.</t>
  </si>
  <si>
    <t>Protection from Law, Communal</t>
  </si>
  <si>
    <t>This spell functions like protection from law, except you divide the duration in 1-minute intervals among the creatures touched.</t>
  </si>
  <si>
    <t>As protection from law, but you may divide the duration among creatures touched.</t>
  </si>
  <si>
    <t>Pup Shape</t>
  </si>
  <si>
    <t>V, S, M (a rag doll)</t>
  </si>
  <si>
    <t>Fortitude negates (and Will special, see text)</t>
  </si>
  <si>
    <t>You transform the subject animal into a Small magical beast (or a magical beast one size category smaller than the original creature, whichever is smaller), creating a young magical version of itself for a short period of time. While in this form, the target has only 1 HD (maximum hit points), and the target takes a -4 penalty to Strength, Constitution, Intelligence and Wisdom (minimum 1). The creature also gains a +4 size bonus to Dexterity and a +2 natural armor bonus.  Any nonevil creature that attempts to attack a creature in this form must succeed at a Will saving throw (using the DC of the spell) to overcome feelings of guilt and protectiveness toward the young and innocent-seeming creature. On a failed saving throw, it cannot follow through with the attack, that part of the action is lost, and it can't directly attack the transformed creature for the duration of the spell or until the spell's target attacks it. This part of the spell is a mind-affecting emotion effect. Evil creatures have no qualms about attacking the target of this spell, in fact, some particularly heinous creatures might go out of their ways to do the target harm.</t>
  </si>
  <si>
    <t>Transforms a single animal or magical beast into a younger and cuter version of itself for a short time.</t>
  </si>
  <si>
    <t>Qualm</t>
  </si>
  <si>
    <t>bard 2, inquisitor 2, sorcerer/wizard 2, witch 2, psychic 2, mesmerist 2, medium 2</t>
  </si>
  <si>
    <t>The target is suddenly beset with unexplainable doubts about the effectiveness of its actions and the righteousness of its cause. The creature takes a -10 penalty on its ability checks, skill checks, and concentration checks, until the duration ends, or until it spends its entire turn doing absolutely nothing (it spends a full-round action gaining focus). Spending an entire turn doing nothing discharges the spell.</t>
  </si>
  <si>
    <t>Redemption (2)</t>
  </si>
  <si>
    <t>Target gains penalties on ability checks, skill checks, and concentration checks until it spends an entire round doing nothing.</t>
  </si>
  <si>
    <t>Recoil Fire</t>
  </si>
  <si>
    <t>V, S, M (hoof shavings from a mule)</t>
  </si>
  <si>
    <t>The target firearm suddenly fires of its own volition, even if it is unloaded, generating a recoil so great that the wielder or carrier of the firearm must scramble to hold onto it and becomes flat-footed until the start of his next turn. If the wielder is already flat-footed, he is instead knocked prone. If the firearm was loaded, that ammunition is wasted.</t>
  </si>
  <si>
    <t>Ammunition in the targeted firearm generates excessive recoil.</t>
  </si>
  <si>
    <t>Reinforce Armaments</t>
  </si>
  <si>
    <t>cleric/oracle 1, magus 1, sorcerer/wizard 1, witch 1, occultist 1</t>
  </si>
  <si>
    <t>V, S, M/DF (a metal pin)</t>
  </si>
  <si>
    <t>one armor suit or weapon touched</t>
  </si>
  <si>
    <t>You reinforce a weapon or armor suit to give it a temporarily upgrade or mitigate the fragile quality (see page 146). A suit of armor or weapon touched that has the fragile quality is not considered to have the fragile quality for the spell's duration. Normal armor suits or weapons subjected to this spell instead gain the masterwork quality for the spell's duration and their hardness is doubled. If this spell is cast on masterwork or magical armor or weapons, their hardness is doubled for the duration of the spell.</t>
  </si>
  <si>
    <t>Temporarily mitigates the fragile quality in targeted weapon or armor.</t>
  </si>
  <si>
    <t>Reinforce Armaments, Communal</t>
  </si>
  <si>
    <t>cleric/oracle 2, magus 2, sorcerer/wizard 2, witch 2, occultist 2</t>
  </si>
  <si>
    <t>armor suits or weapons touched</t>
  </si>
  <si>
    <t>This spell functions like reinforce armaments, except you divide the duration in 10-minute intervals among the objects touched.</t>
  </si>
  <si>
    <t>As reinforce armaments, but you may divide the duration among objects touched.</t>
  </si>
  <si>
    <t>Reloading Hands</t>
  </si>
  <si>
    <t>magus 2, ranger 2, sorcerer/wizard 2</t>
  </si>
  <si>
    <t>projectile weapon touched</t>
  </si>
  <si>
    <t>1 round/caster level (D)</t>
  </si>
  <si>
    <t>Will negates (object, harmless)</t>
  </si>
  <si>
    <t>Once per round, phantom hands load a single ranged weapon or firearm with conjured ammunition. This ammunition counts as magical for overcoming damage reduction and attacking incorporeal creatures, but is the standard for its type (a normal bullet or pellets and black powder in the case of firearms). Conjured ammunition ceases to exist 1 round after it is removed from the weapon, or at the end of the duration, whichever comes first.</t>
  </si>
  <si>
    <t>Loads a single shot into your weapon every round.</t>
  </si>
  <si>
    <t>Resinous Skin</t>
  </si>
  <si>
    <t>alchemist 3, druid 3, sorcerer/wizard 3, bloodrager 3, psychic 3</t>
  </si>
  <si>
    <t>You coat your body with a resinous substance, protecting you from attacks and binding weapons that strike you. You gain DR 5/piercing, as well as a +4 circumstance bonus to your CMD against disarm attempts and on saving throws against effects that cause you to drop something you are holding. Additionally, you gain a +2 circumstance bonus on combat maneuver checks to initiate a grapple, maintain a grapple, and pin a foe. Any enemy you grapple takes a -2 penalty on attempts to break the grapple and to escape the grapple using Escape Artist. Any weapon, that strikes you becomes stuck unless its wielder succeeds at a Reflex saving throw. Such a weapon can be pulled free of you only with a successful Strength check (DC = your saving throw DC for this spell). This spell has no effect on unarmed strikes or natural weapons.</t>
  </si>
  <si>
    <t>You gain DR 5/piercing and +4 to CMD against disarm attempts.</t>
  </si>
  <si>
    <t>Resist Energy, Communal</t>
  </si>
  <si>
    <t>alchemist 3, cleric/oracle 3, druid 3, inquisitor 3, paladin 3, ranger 3, sorcerer/wizard 3, summoner/unchained summoner 3, occultist 3, psychic 3</t>
  </si>
  <si>
    <t>This spell functions like resist energy, except you divide the duration in 10-minute intervals among the creatures touched.</t>
  </si>
  <si>
    <t>As resist energy, but you may divide the duration among creatures touched.</t>
  </si>
  <si>
    <t>Returning Weapon</t>
  </si>
  <si>
    <t>bard 2, cleric/oracle 2, inquisitor 1, magus 1, ranger 1, sorcerer/wizard 2, witch 2, bloodrager 1, occultist 1, psychic 2</t>
  </si>
  <si>
    <t>one weapon that can be thrown</t>
  </si>
  <si>
    <t>For the duration of the spell, the target weapon acts as if it had the returning weapon special ability (see page 471 of the Core Rulebook).  This spell can be used as the prerequisite for the returning weapon special ability.</t>
  </si>
  <si>
    <t>Grants a weapon the returning special weapon quality.</t>
  </si>
  <si>
    <t>Returning Weapon, Communal</t>
  </si>
  <si>
    <t>bard 3, cleric/oracle 3, inquisitor 2, magus 2, ranger 2, sorcerer/wizard 3, witch 3, occultist 2, psychic 3</t>
  </si>
  <si>
    <t>weapons that can be thrown</t>
  </si>
  <si>
    <t>As returning weapon, but you may divide the duration among weapons touched.</t>
  </si>
  <si>
    <t>Ricochet Shot</t>
  </si>
  <si>
    <t>V, S, M (a wishbone)</t>
  </si>
  <si>
    <t>one projectile weapon</t>
  </si>
  <si>
    <t>You imbue a projectile weapon with the ability to ricochet any projectiles that hit one target so that they also hit another. When the wielder ricochets a projectile, she selects a primary target to attack. If she hits the primary target, the projectile ricochets instead of being destroyed. The wielder can then select a secondary target that is within 20 feet of the primary target. She makes an attack roll against the secondary target at the same base attack bonus, but does not gain the benefit from any enhancement bonuses or magic qualities on the projectile. If the shot comes from a firearm, the ricochet targets normal AC rather than touch AC.  While the spell lasts, the target weapon's wielder can ricochet one projectile per three caster levels you possess, to a maximum of six at caster level 18th. Once the target weapon's wielder ricochets that many shots, the spell is discharged. If the weapon's wielder fails to use all the ricochets before the spell end, those ricochets are wasted.</t>
  </si>
  <si>
    <t>Imbues a projectile weapon to give its ammunition the ability to ricochet.</t>
  </si>
  <si>
    <t>If the attack hits the secondary target, the wielder can select a tertiary target within 20 feet of the secondary target. This functions like a ricochet off the primary target. The tertiary target must be a different creature than the primary target.</t>
  </si>
  <si>
    <t>Augmented (3rd): If you expend two uses of mythic power, the secondary and tertiary attacks gain the enhancement bonus and magic qualities of the attack against the primary target.</t>
  </si>
  <si>
    <t>See Alignment</t>
  </si>
  <si>
    <t>alchemist 1, bard 1, sorcerer/wizard 1, psychic 1</t>
  </si>
  <si>
    <t>V, S, M (eye of newt)</t>
  </si>
  <si>
    <t>When you cast this spell, select a single alignment (such as lawful good or chaotic evil). Creatures of that alignment glow with a ghostly radiance while they are within your vision. Though you can see this radiance, other creatures cannot.  Spells and effects that obscure alignment, like undetectable alignment, also obscure the effects of this spell.</t>
  </si>
  <si>
    <t>Pick an alignment; in your sight, creatures and items with that alignment emit a ghostly radiance.</t>
  </si>
  <si>
    <t>Shadow Bomb Admixture</t>
  </si>
  <si>
    <t>Upon drinking an extract created with this formula, you make a significant change to your magical reserve that modifies the nature of all bombs you create and throw during this extract's duration. This effect on your magical reserve has no effect on any discoveries that you use to modify your bombs, but you can only have one admixture effect (formula with the word "bomb admixture" in its title) active at a time. If you drink another bomb admixture, the effects of the former bomb admixture end and the new one becomes active.  When you throw a bomb and hit a direct target, a shadowy substance is released from the bomb covering the direct target and up to three creatures that take damage from the bomb's splash (alchemist's choice). The affected creatures must successfully make a Fortitude saving throw, or they gain concealment but treat all other creatures as having concealment for the duration of the shadow bomb admixture. This effect does not ignore spell resistance.</t>
  </si>
  <si>
    <t>Empowers bombs you throw to cover the target with a shadowy substance that grants it concealment and limits its vision.</t>
  </si>
  <si>
    <t>Share Language, Communal</t>
  </si>
  <si>
    <t>bard 2, cleric/oracle 3, druid 3, sorcerer/wizard 3, occultist 3, psychic 2, mesmerist 2</t>
  </si>
  <si>
    <t>This spell functions like share language (Advanced Player's Guide 243), except you divide the duration in 1-hour increments among the creatures touched.</t>
  </si>
  <si>
    <t>As share language, but you may divide the duration among creatures touched.</t>
  </si>
  <si>
    <t>Shock Shield</t>
  </si>
  <si>
    <t>electricity, force</t>
  </si>
  <si>
    <t>alchemist 1, magus 1, sorcerer/wizard 1, bloodrager 1, occultist 1</t>
  </si>
  <si>
    <t>1 minutes/level (D)</t>
  </si>
  <si>
    <t>This spell creates an invisible shield similar to but not as strong as the shield spell. This shield hovers in front of you and negates magic missile attacks directed at you. The disk provides a +2 shield bonus to AC. This bonus applies against incorporeal touch attacks.  At any time, as a free action, you may dismiss your shield, at which point it deals 1d6 points of electrical damage to all creatures within a 5-foot burst, including you. A Reflex saving throw halves the damage.</t>
  </si>
  <si>
    <t>A shield of force protects you until you dismiss it in an explosion of electricity.</t>
  </si>
  <si>
    <t>Shocking Image</t>
  </si>
  <si>
    <t>bard 4, sorcerer/wizard 4, bloodrager 4, occultist 4, mesmerist 4</t>
  </si>
  <si>
    <t>This spell works like mirror image, except the illusory doubles it creates discharge an electric shock when destroyed. An opponent that uses a melee attack to destroy one of your images takes 2d6 points of electricity damage. You must overcome a target's spell resistance the first time you deal this electricity damage to it. Failure renders the target immune to damage from this spell.</t>
  </si>
  <si>
    <t>As mirror image, but the duplicates emit electrical damage when destroyed.</t>
  </si>
  <si>
    <t>Siege Of Trees</t>
  </si>
  <si>
    <t>one Large plant per three caster levels</t>
  </si>
  <si>
    <t>You imbue inanimate plants with limited mobility and a semblance of life. Each plant targeted acts as a light catapult (see page 162) until the end of the spell's duration, though you must spend a standard action to aim each of these tree catapults before the first time they fire, and anytime thereafter when you want the trees to fire at a new target. The catapult uses your caster level as its targeting bonus. With a free action, you can command one or all of the trees under your command to stop firing. You do not need to supply ammunition to these tree catapults; they will automatically load themselves with rocks and boulders in the area, digging them deep from the ground if need be. You can supply the trees ammunition if you desire. The tree will not load flaming ammunition, and these catapult trees cannot be affected by energy siege shot (see page 228) if the energy selected is fire.</t>
  </si>
  <si>
    <t>Transforms Large trees into arboreal catapults of the same size.</t>
  </si>
  <si>
    <t>Siege of Trees, Greater</t>
  </si>
  <si>
    <t>V,S</t>
  </si>
  <si>
    <t>one Gargantuan, Huge, or Large plant per three caster levels</t>
  </si>
  <si>
    <t>As siege of trees, but you can affect larger-sized plants. Each plant acts as a catapult of its size.</t>
  </si>
  <si>
    <t>As siege of trees, but can transform Huge and Gargantuan trees into arboreal catapults of the same size.</t>
  </si>
  <si>
    <t>Spell Immunity, Communal</t>
  </si>
  <si>
    <t>cleric/oracle 5, inquisitor 5, occultist 5, psychic 5</t>
  </si>
  <si>
    <t>This spell functions like spell immunity, except you divide the duration in 10-minute intervals among the creatures touched.</t>
  </si>
  <si>
    <t>As spell immunity, but you may divide the duration among creatures touched.</t>
  </si>
  <si>
    <t>Spell Immunity, Greater Communal</t>
  </si>
  <si>
    <t>This spell functions like greater spell immunity, except you divide the duration among the creatures in 10-minute intervals among the creatures touched.</t>
  </si>
  <si>
    <t>As greater spell immunity, but you may divide the duration among creatures touched.</t>
  </si>
  <si>
    <t>Spider Climb, Communal</t>
  </si>
  <si>
    <t>alchemist 3, druid 3, sorcerer/wizard 3, summoner/unchained summoner 3, occultist 3, psychic 3</t>
  </si>
  <si>
    <t>This spell functions like spider climb, except you divide the duration in 10-minute intervals among the creatures touched.</t>
  </si>
  <si>
    <t>As spider climb, but you may divide the duration among creatures touched.</t>
  </si>
  <si>
    <t>Spontaneous Immolation</t>
  </si>
  <si>
    <t>V, S, M (pinch of saltpeter)</t>
  </si>
  <si>
    <t>Fortitude half and Reflex (see description)</t>
  </si>
  <si>
    <t>You point your finger at a creature, causing it to spontaneously burst into flame. The target takes 3d6 points of fire damage and catches on fire (Pathfinder RPG Core Rulebook 444). A successful Fortitude save reduces this damage by half and prevents the target from catching on fire. Each round on your turn, a burning target can attempt a new save to extinguish the flames (DC equal to the DC of the spell); otherwise it takes another 1d6 fire damage.</t>
  </si>
  <si>
    <t>Target takes 3d6 points of fire damage and catches on fire.</t>
  </si>
  <si>
    <t>Stabilize Powder</t>
  </si>
  <si>
    <t>Ammunition currently loaded in the target firearm is less prone to misfire. Decrease the misfire range by 1 + 1 per five caster levels (maximum +5, minimum misfire 0) for the ammunition currently loaded into that firearm.</t>
  </si>
  <si>
    <t>Ammunition in the targeted firearm is less likely to misfire.</t>
  </si>
  <si>
    <t>Stoneskin, Communal</t>
  </si>
  <si>
    <t>alchemist 5, druid 6, inquisitor 5, sorcerer/wizard 5, summoner 4, psychic 5, unchained summoner 5</t>
  </si>
  <si>
    <t>V, S, M (granite and diamond dust worth 250 gp per creature affected)</t>
  </si>
  <si>
    <t>This spell functions like stoneskin, except you divide the duration in 10 minute intervals among the creatures touched. Once the spell has prevented 10 points of damage per caster level (maximum 150 points) for a subject, the spell's effects end for that subject.</t>
  </si>
  <si>
    <t>As stoneskin, but you may divide the duration among creatures touched.</t>
  </si>
  <si>
    <t>Summoner Conduit</t>
  </si>
  <si>
    <t>cleric/oracle 4, sorcerer/wizard 5, summoner/unchained summoner 4, witch 5, occultist 4, psychic 5</t>
  </si>
  <si>
    <t>V, S, M (two flies)</t>
  </si>
  <si>
    <t>one summoned creature or eidolon</t>
  </si>
  <si>
    <t>You exploit the invisible, mystic connection between the target creature and its summoner to harm that summoner. Whenever the target's summoned creature is the target of a spell that deals damage, the target's summoner is also considered to be a target of that spell. Such a summoner gains his normal defenses against the spell, such as a saving throw and spell resistance, and cannot be affected if he is on another plane of existence.</t>
  </si>
  <si>
    <t>The target takes damage whenever its summoned creature does.</t>
  </si>
  <si>
    <t>Sun Metal</t>
  </si>
  <si>
    <t>cleric/oracle 1, paladin 1, ranger 1</t>
  </si>
  <si>
    <t>The target weapon ignites into flame that does not hurt the weapon or the wielder, but damages those hit by the weapon. When the weapon's wielder hits with this weapon, it deals an additional 1d4 points of fire damage. This damage is not multiplied in the case of a critical hit. This effect immediately ends if the weapon is submerged in water. This effect does not stack with the flaming or flaming burst weapon special ability or any other effect that grants the weapon extra fire damage. It does not function on weapons with the frost or icy burst weapon special ability or any other effect that grants a weapon extra cold damage.</t>
  </si>
  <si>
    <t>Weapon touched bursts into flames.</t>
  </si>
  <si>
    <t>The additional damage dealt by the weapon increases to 1d6 points of fire damage. Any creature struck by the weapon is dazzled for 1 round (no saving throw). On a critical hit, the target is blinded for 1 round (Fortitude negates, DC equal to the DC of the spell).</t>
  </si>
  <si>
    <t>Symbol Of Striking</t>
  </si>
  <si>
    <t>cleric/oracle 5, magus 5, sorcerer/wizard 5, witch 5</t>
  </si>
  <si>
    <t>V, S, M (a masterwork melee weapon costing at least 300 gp)</t>
  </si>
  <si>
    <t>Will half, see text</t>
  </si>
  <si>
    <t>yes, see text</t>
  </si>
  <si>
    <t>This spell functions like symbol of death, except that using the material component, you scribe a symbol of striking so it fills a 5-foot square. Once triggered, the symbol of striking glows and  lasts for 10 minutes per caster level or until it has made a number of attacks of opportunity equal to your level, whichever comes first. When triggered, the symbol threatens its area and the area around it as if it were a Medium creature wielding a magic version of the weapon you used as the material component. Using your caster level + 1 + your Intelligence modifier (magus, witch, wizard) or Wisdom modifier (cleric) or Charisma modifier (oracle, sorcerer) as its attack bonus, the symbol can make a number of attacks of opportunity each round equal to 1 + the same ability score modifier you used to determine its attack bonus. It gains a bonus on damage rolls equal to the same ability score modifier you used to determine its attack bonus. A shadowy version of you wielding the material component appears to make these attacks.  The symbol attacks any non-attuned creature that provokes an attack of opportunity from the symbol. However, when the symbol first attacks a creature, the symbol must overcome that creature's spell resistance or be rendered unable to harm it. The symbol never again attacks such creatures. Further, when the symbol first attacks a creature, a successful Will saving throw allows the creature to see the shadow nature of the attacks and take half damage when such attacks hit.  Symbol of striking can be made permanent with a permanency spell by a caster of 13th level or higher for the cost of 10,000 gp.</t>
  </si>
  <si>
    <t>As symbol of death, but fills a 5-foot square.</t>
  </si>
  <si>
    <t>Tactical Acumen</t>
  </si>
  <si>
    <t>bard 2, inquisitor 2, magus 2, paladin 1, sorcerer/wizard 2, occultist 2, psychic 2, medium 2</t>
  </si>
  <si>
    <t>V, S, M/DF (a small piece of a map)</t>
  </si>
  <si>
    <t>The caster and all allies within a 30-ft.-radius burst, centered on the caster</t>
  </si>
  <si>
    <t>Tactical acumen grants you and your allies a mastery of battlefield tactics. Whenever you would gain a bonus on attack rolls or to AC due to battlefield position, such as flanking, higher ground, or cover, you gain an additional +1 insight bonus. This bonus increases by +1 for every five caster levels above 5th you possess (maximum +4).</t>
  </si>
  <si>
    <t>You gain an additional +1 on attack rolls or to AC due to battlefield positioning.</t>
  </si>
  <si>
    <t>Tar Pool</t>
  </si>
  <si>
    <t>druid 6, sorcerer/wizard 6, summoner 5, unchained summoner 6</t>
  </si>
  <si>
    <t>V, S, M/DF (a ball of hardened tar)</t>
  </si>
  <si>
    <t>You convert a layer of the ground to hot tar. Creatures in the area when the tar appears take 1d6 points of fire damage per two caster levels (maximum of 10d6) and must succeed at a Reflex save or become entangled. An entangled creature receives a saving throw each round to free itself from the tar, and can also attempt to free itself by spending a move action to attempt a Strength check or Escape Artist check (DC = spell saving throw DC).  It costs 2 squares of movement to enter a square in the area of effect, and the DC of Acrobatics checks within the area of effect increases by 5. The area is difficult terrain. A creature that moves into or starts its turn in the area takes 2d6 points of fire damage and must reattempt this Reflex save or become entangled. A creature that falls prone in the area takes a -4 penalty on its Reflex save against the tar and on Strength and Escape Artist checks to escape the tar.  A creature that escapes the tar still takes fire damage from the tar until the spell ends or that creature spends a full-round action removing the tar. A creature with tar on it takes a -4 penalty on Acrobatics and Fly checks made to fly with wings or similar appendages.</t>
  </si>
  <si>
    <t>Converts the top layer of the ground into hot tar.</t>
  </si>
  <si>
    <t>Targeted Bomb Admixture</t>
  </si>
  <si>
    <t>Upon drinking an extract created with this formula, you make a significant change to your magical reserve that modifies the nature of all bombs you create and throw during this extract's duration. This effect on your magical reserve has no effect on any discoveries that you use to modify your bombs, but you can only have one admixture effect (formula with the word "bomb admixture" in its title) active at a time. If you drink another bomb admixture, the effects of the former bomb admixture end and the new one becomes active.  When you throw bombs, they can only hit a direct target; they do not splash. However, the bomb deals its base damage plus double your Intelligence modifier instead of just its base damage plus your Intelligence modifier.</t>
  </si>
  <si>
    <t>Empowers bombs you throw to deal more damage to a single creature.</t>
  </si>
  <si>
    <t>Telekinetic Assembly</t>
  </si>
  <si>
    <t>magus 2, sorcerer/wizard 2, occultist 2, psychic 2</t>
  </si>
  <si>
    <t>Casting time 1 minute</t>
  </si>
  <si>
    <t>V, S, F (a miniature of the target siege engine, costing 10 gp)</t>
  </si>
  <si>
    <t>one disassembled siege engine</t>
  </si>
  <si>
    <t>You assemble a siege engine, using up to one fewer worker per two caster levels you possess. You can do without one additional worker if you have any ranks in Knowledge (engineering), plus one additional worker per 5 ranks you have in that skill. If your  caster level combined with Knowledge (engineering) fails to eliminate the need for workers, this spell fails.</t>
  </si>
  <si>
    <t>Assembles a siege engine using 1 fewer worker for every two caster levels.</t>
  </si>
  <si>
    <t>Telekinetic Charge</t>
  </si>
  <si>
    <t>sorcerer/wizard 4, bloodrager 4, psychic 4, spiritualist 4</t>
  </si>
  <si>
    <t>You telekinetically launch an ally across the battlefield to anywhere within this spell's range. While moving, your ally is flying just above the ground unless you wish otherwise. Movement from this spell provokes attacks of opportunity as normal, although you can lift your ally over objects or out of enemy reach, as long as your ally remains within this spell's range. If your ally lands adjacent to an opponent, he can spend an immediate action to make a melee attack against that opponent with a +2 bonus on the attack roll.</t>
  </si>
  <si>
    <t>Launches an ally through the air.</t>
  </si>
  <si>
    <t>Terrain Bond</t>
  </si>
  <si>
    <t>V, S, M (a pinch of earth taken from your most favored terrain)</t>
  </si>
  <si>
    <t>1 hour/2 levels (D)</t>
  </si>
  <si>
    <t>You call upon the spirits of nature to help you adapt to your environment. You treat the terrain you are in as your most favored terrain until this spell ends.  If you do not have the favored terrain class feature, you gain no benefit from this spell.</t>
  </si>
  <si>
    <t>Treat the terrain you are in as a favored terrain for the spell's duration.</t>
  </si>
  <si>
    <t>Thunder Fire</t>
  </si>
  <si>
    <t>bard 2, sorcerer/wizard 2, witch 2</t>
  </si>
  <si>
    <t>V, S, M (a piece of spent thunderstone)</t>
  </si>
  <si>
    <t>Will negates (object), see text</t>
  </si>
  <si>
    <t>yes (object), see text</t>
  </si>
  <si>
    <t>The firearm targeted creates a thunderous report, even if the firearm is not loaded. Every creature within 15 feet of the creature wielding or carrying the firearm must succeed at a Fortitude save or be deafened for 1 minute. The creature wielding or carrying the firearm takes a -4 penalty on this saving throw, and his misfire range increases by 1 for 1d4 rounds. If the firearm was loaded when it was targeted by this spell, that ammunition is wasted.</t>
  </si>
  <si>
    <t>Ammunition in the targeted firearm deafens opponents.</t>
  </si>
  <si>
    <t>Tongues, Communal</t>
  </si>
  <si>
    <t>alchemist 4, bard 3, cleric/oracle 5, sorcerer/wizard 4, summoner/unchained summoner 4, witch 4, psychic 4, mesmerist 3</t>
  </si>
  <si>
    <t>This spell functions like tongues, except you divide the duration in 10-minute intervals among the creatures touched.</t>
  </si>
  <si>
    <t>As tongues, but you may divide the duration among creatures touched.</t>
  </si>
  <si>
    <t>Touch Injection</t>
  </si>
  <si>
    <t>alchemist 2, sorcerer/wizard 3, psychic 3</t>
  </si>
  <si>
    <t>You must hold an elixir, infused extract, poison, or potion in hand as you cast this spell. The held substance drains from its container into a magical sac in your body. While the spell lasts, you can deliver the substance with a mere touch. To do so to an opponent, you must make a successful melee touch attack. If you hit, the substance takes effect immediately, despite any onset period, and that opponent receives the normal saving throw (if any) against the substance. In the case of a personal infused extract, the opponent receives both a Fortitude save and spell resistance. If you miss, the substance remains in the magical sac for you to use later.  This spell protects you from poison in the sac, but unless you have the poison use class feature, you suffer a 5% chance of exposing yourself to the poison when you first cast the spell. If you roll a natural 1 while attempting to inject the poison into an enemy, you are exposed to it.</t>
  </si>
  <si>
    <t>You can deliver an infusion, elixir, poison, or potion as a touch attack.</t>
  </si>
  <si>
    <t>Twisted Space</t>
  </si>
  <si>
    <t>magus 2, sorcerer/wizard 2, summoner/unchained summoner 2, psychic 2</t>
  </si>
  <si>
    <t>V, S, M (a length of wire bent into a circle)</t>
  </si>
  <si>
    <t>You distort the space around a creature, twisting the path of its melee attacks unpredictably, but always toward a nearby creature that the target threatens. Until the start of your next turn, melee attacks made by the target creature affect a random target instead of their intended target.</t>
  </si>
  <si>
    <t>Targeted creature's attacks target a random square instead of the intended target.</t>
  </si>
  <si>
    <t>Unerring Weapon</t>
  </si>
  <si>
    <t>inquisitor 1, magus 1, sorcerer/wizard 1, witch 1, bloodrager 1, occultist 2, psychic 1, medium 1</t>
  </si>
  <si>
    <t>one weapon or 20 projectiles, all of which must be together at the time of casting</t>
  </si>
  <si>
    <t>This spell causes a weapon to veer closer to vital areas, improving the result of a critical threat. This transmutation grants a +2 bonus on attack rolls to confirm critical hits plus 1 additional bonus point per four caster levels (maximum total bonus +7). If the spell is cast on projectiles, the effect ends on a specific projectile whenever that projectile is used to make an attack, regardless of whether the attack hits. For this spell, shuriken are considered projectiles.</t>
  </si>
  <si>
    <t>Grants a +2 bonus, +1 per four caster levels, on attack rolls to confirm a critical hit.</t>
  </si>
  <si>
    <t>Viper Bomb Admixture</t>
  </si>
  <si>
    <t>Upon drinking an extract created with this formula, you make a significant change to your magical reserve that modifies the nature of all bombs you create and throw during this extract's duration. This effect on your magical reserve has no effect on any discoveries that you use to modify your bombs, but you can only have one admixture effect (formula with the word "bomb admixture" in its title) active at a time. If you drink another bomb admixture, the effects of the former bomb admixture end and the new one becomes active.  When you throw a bomb and hit a target directly, up to four vipers are released from the bomb. One viper attacks the target of the direct hit, and the other vipers attack up to three creatures that take damage from the splash damage. The vipers make melee touch attacks (using your base attack bonus + Intelligence modifier) and on a hit deal 1d4 + your Intelligence modifier damage, and the target is poisoned as if by a venomous snake (Pathfinder RPG Bestiary 255). Hit or miss, the conjured vipers disappear after they make the attack. The conjured snakes are not damaged or adversely affected by the bombs you throw.</t>
  </si>
  <si>
    <t>Empowers bombs you throw to summon poisonous biting vipers that bite those hit or splashed by the bomb.</t>
  </si>
  <si>
    <t>Walk Through Space</t>
  </si>
  <si>
    <t>alchemist 6, magus 6, sorcerer/wizard 7, summoner/unchained summoner 6, witch 7, psychic 7</t>
  </si>
  <si>
    <t>V, S, M (a wren's egg)</t>
  </si>
  <si>
    <t>When under the effects of this spell, you can teleport up to 30 feet as a move action. You must end this movement in an unoccupied space that you can stand on within line of sight. Alternatively, you can spend a move action to teleport to a standing position from lying prone. Teleporting does not provoke attacks of opportunity.</t>
  </si>
  <si>
    <t>You can spend a move action to teleport 30 feet or to stand while prone without provoking attacks of opportunity.</t>
  </si>
  <si>
    <t>Warding Weapon</t>
  </si>
  <si>
    <t>magus 1, sorcerer/wizard 2, summoner/unchained summoner 2, bloodrager 1, occultist 1, psychic 2</t>
  </si>
  <si>
    <t>V, S, F (one melee weapon you are proficient in and you are holding)</t>
  </si>
  <si>
    <t>The focus of this spell flies upward above your head and takes a defensive position within your space. It lunges at opponents, as if guided by a martially trained hand, parrying and turning back melee attacks aimed at you, but does not strike back at any opponent nor does it damage them. The weapon serves only as a defense. While it protects you, you can cast spells without provoking attacks of opportunity, without the need to cast them defensively.  A creature with the Disruptive feat (Core Rulebook 122) can easily bypass this spell's defenses. You provoke attacks of opportunity for casting spells against these creatures even when subject to this spell, though you can still choose to cast defensively.</t>
  </si>
  <si>
    <t>Duels (2)</t>
  </si>
  <si>
    <t>The weapon you use for the focus of this spell defends you, allowing you to cast spells without provoking attacks of opportunity.</t>
  </si>
  <si>
    <t>Water Walk, Communal</t>
  </si>
  <si>
    <t>cleric/oracle 2, ranger 2, psychic 4</t>
  </si>
  <si>
    <t>This spell functions like water walk, except you divide the duration in 10-minute intervals among the creatures touched.</t>
  </si>
  <si>
    <t>As water walk, but you may divide the duration among creatures touched.</t>
  </si>
  <si>
    <t>Weaken Powder</t>
  </si>
  <si>
    <t>V, S, M/DF (an empty paper cartridge)</t>
  </si>
  <si>
    <t>Ammunition in the target firearm generates less of an explosive charge when fired. With such ammunition, the firearm's range increment is halved and the firer takes a -2 penalty on damage rolls. If aware of this spell's effect prior to firing the altered ammunition (a DC 16 Spellcraft check to identify the spell being cast or similar effect), the firearm's user can spend a standard action to clear the altered ammunition from the firearm. Doing so destroys that ammunition.</t>
  </si>
  <si>
    <t>Targeted firearm's ammunition halves the firearm's range and imposes a –2 penalty on damage rolls.</t>
  </si>
  <si>
    <t>Wilderness Soldiers</t>
  </si>
  <si>
    <t>30-ft.-radius emanation, centered on you</t>
  </si>
  <si>
    <t>You call on the plants nearby to aid you in combat. This spell is ineffective if no plants you can direct are within the area. You can spend a swift action and/or a standard action on each of your turns to direct one of the following attacks. The attack bonus or CMB for these attacks equals your base attack bonus + your Wisdom modifier. You grant a +1 bonus per three caster levels (maximum +5) on damage rolls due to this spell. Your wilderness soldiers never provoke attacks of opportunity, and they do not count as allies for flanking or other purposes.  Tree: A tree makes a melee attack with a 10-foot reach from its trunk. A hit deals an amount of damage equal to 1d8 points + your Wisdom modifier. The tree can instead attempt a bull rush, drag, or reposition combat maneuver with the same reach, but the tree cannot move itself.  Undergrowth or Hedgerow: Acting as a Medium creature, one square of undergrowth or hedgerow attempts a grapple combat maneuver against an opponent within or adjacent to that square. Heavy undergrowth gains a +2 bonus to its CMD. Undergrowth cannot move the grapple or pin a foe, but it can deal an amount of damage equal to 1d4 points + your Wisdom modifier by making a successful grapple check against a foe it is grappling. The undergrowth's CMD is 5 + its CMB. If you fail to direct the undergrowth to maintain the grapple, it releases its opponent.</t>
  </si>
  <si>
    <t>Nearby plants aid you in combat.</t>
  </si>
  <si>
    <t>Wreath of Blades</t>
  </si>
  <si>
    <t>magus 4, sorcerer/wizard 5, summoner/unchained summoner 5, witch 5, bloodrager 4, occultist 4, psychic 5</t>
  </si>
  <si>
    <t>V, S, F (four mithral daggers, each worth at least 502 gp each)</t>
  </si>
  <si>
    <t>5-foot-radius emanation centered on you</t>
  </si>
  <si>
    <t>Reflex half (special, see below)</t>
  </si>
  <si>
    <t>no (special, see below)</t>
  </si>
  <si>
    <t>The daggers serving as focus of this spell take on a deadly sharpness as they animate and spin around you, creating a 5-foot-radius emanation of spinning mithral blades that moves with you. Any creature that starts its turn within the area of the spinning blades takes 1d4 points of damage for every two caster levels (maximum 10d4 at 20th level) and the damage bypasses DR/silver.  Furthermore, the daggers ward off some attacks, in a way similar to the warding weapon spell (see page 48). While subject to this spell, you do not provoke attacks of opportunity for casting spells, even from creatures with the Disruptive feat. Creatures with the Spellbreaker feat (Core Rulebook 134) can easily bypass this defensive property, though they still take damage from the spell. Your casting (even failing to cast defensively) still provokes attacks of opportunity from creatures with that feat.  Lastly, the blades that serve as the focus for this spell can be enchanted for greater effect. When all of the blades share the same enhancement bonus and special weapon qualities, a creature that is damaged by this spell is also treated as if hit by one of these weapons. For example, if a 12th-level magus casts this spell using four +1 frost mithral daggers as focus, the damage dealt by the blades would be 6d4+1 plus 1d6 cold damage, as long as the daggers were commanded to be sheathed in ice. No matter the modifications made to the focus weapons, they must always be mithral daggers. No other type of weapons can serve as a focus for this spell.</t>
  </si>
  <si>
    <t>Four mithral daggers speed around you, attacking nearby creatures and protecting your spellcasting from attacks of opportunity.</t>
  </si>
  <si>
    <t>Aspect of the Nightingale</t>
  </si>
  <si>
    <t>bard 1, cleric/oracle 1, druid 1, paladin 1, ranger 1</t>
  </si>
  <si>
    <t>You take on an aspect of a nightingale. Your voice becomes clear and pleasant. You gain a +2 competence bonus on Perform (sing) checks and a +2 competence bonus on Diplomacy checks. Once per minute, if you are subject to a charm effect that allows a saving throw, you may roll twice and take the more favorable result.</t>
  </si>
  <si>
    <t>AP 50</t>
  </si>
  <si>
    <t>Vampiric Hunger</t>
  </si>
  <si>
    <t>antipaladin 3, cleric/oracle 3, druid 3, sorcerer/wizard 3, witch 3</t>
  </si>
  <si>
    <t>The target of this spell grows the fangs of a vampire, as well as a thirst for blood. For the duration of this spell, the target gains the ability to drain an opponent's blood during a grapple; if the target establishes or maintains a pin, it drains blood, dealing 1d4 points of Constitution damage. Each round it drains blood in this way, the target heals 5 hit points or gains 5 temporary hit points for the duration of the spell (up to a maximum number of temporary hit points equal to its full normal hit points). If the target does not drain blood in this way while under the effects of this spell, it becomes exhausted at the end of the spell's duration.</t>
  </si>
  <si>
    <t>Faiths Of Corruption</t>
  </si>
  <si>
    <t>Urgathoa</t>
  </si>
  <si>
    <t>Daemon Ward</t>
  </si>
  <si>
    <t>cleric/oracle 4, druid 5, paladin 4, sorcerer/wizard 4, witch 4</t>
  </si>
  <si>
    <t>V, S, M (50 gp worth of powdered silver)</t>
  </si>
  <si>
    <t>This spell functions like death ward, except as noted above and it only protects against these attacks from daemons.</t>
  </si>
  <si>
    <t>Horsemen Of The Apocalypse</t>
  </si>
  <si>
    <t>Death Knell Aura</t>
  </si>
  <si>
    <t>cleric/oracle 4, inquisitor 4, sorcerer/wizard 4, witch 4</t>
  </si>
  <si>
    <t>20-ft.-radius emanation, centered on you</t>
  </si>
  <si>
    <t>You gain a shimmering gray aura that feeds on the souls of creatures who die within it. The aura sheds light as a candle. If a creature at -1 or fewer hit points is within the aura at the start of its turn, it must save or die, granting you the benefits of death knell.</t>
  </si>
  <si>
    <t>Death Knell Aura, Greater</t>
  </si>
  <si>
    <t>cleric/oracle 6, inquisitor 6, sorcerer/wizard 6, witch 6</t>
  </si>
  <si>
    <t>This spell functions as death knell aura, except a dying creature in the area cannot stabilize on its own and automatically takes 1 point of bleed damage on its turn each round. An incorporeal undead or living spirit traveling outside the body (such as a person using astral projection or magic jar) within the aura at the start of its turn takes 1d8 points of damage.</t>
  </si>
  <si>
    <t>Scourge of the Horsemen</t>
  </si>
  <si>
    <t>acid, evil</t>
  </si>
  <si>
    <t>30-ft. burst</t>
  </si>
  <si>
    <t>This spell blasts the area with a horrific combination of soul-rending energy and physical corrosion. Creatures in the area of effect gain 1d4 negative levels, and take 1d6 points of acid damage per caster level (maximum 20d6).</t>
  </si>
  <si>
    <t>Summon Cacodaemon</t>
  </si>
  <si>
    <t>cleric/oracle 2, sorcerer/wizard 2, summoner/unchained summoner 2, witch 2</t>
  </si>
  <si>
    <t>V, S, F (a silver hook)</t>
  </si>
  <si>
    <t>This spell functions like summon monster, except it summons a single cacodaemon.</t>
  </si>
  <si>
    <t>Summon Cacodaemon, Greater</t>
  </si>
  <si>
    <t>cleric/oracle 4, sorcerer/wizard 4, summoner/unchained summoner 3, witch 4</t>
  </si>
  <si>
    <t>This spell functions like summon cacodaemon, except it summons 1d4+1 cacodaemons.</t>
  </si>
  <si>
    <t>Summon Ceustodaemon</t>
  </si>
  <si>
    <t>cleric/oracle 5, sorcerer/wizard 5, summoner/unchained summoner 4, witch 5</t>
  </si>
  <si>
    <t>V, S, F (ashes of a dead animal)</t>
  </si>
  <si>
    <t>This spell functions like summon monster, except it summons a single ceustodaemon.</t>
  </si>
  <si>
    <t>Summon Derghodaemon</t>
  </si>
  <si>
    <t>V, S, F (a handful of bug carapaces)</t>
  </si>
  <si>
    <t>This spell functions like summon monster, except it summons a single derghodaemon.</t>
  </si>
  <si>
    <t>Summon Erodaemon</t>
  </si>
  <si>
    <t>cleric/oracle 8, sorcerer/wizard 8, summoner/unchained summoner 6, witch 8</t>
  </si>
  <si>
    <t>V, S, F (a bent or tarnished wedding band)</t>
  </si>
  <si>
    <t>This spell functions like summon monster, except it summons a single erodaemon.</t>
  </si>
  <si>
    <t>Summon Meladaemon</t>
  </si>
  <si>
    <t>V, S, F (an empty wooden bowl)</t>
  </si>
  <si>
    <t>This spell functions like summon monster, except it summons a single meladaemon.</t>
  </si>
  <si>
    <t>Summon Thanadaemon</t>
  </si>
  <si>
    <t>V, S, F (two silver coins)</t>
  </si>
  <si>
    <t>This spell functions like summon monster, except it summons a single thanadaemon. You can only use this spell in an area with enough open water to accommodate the daemon's skiff, or when on the Astral Plane or Ethereal Plane.</t>
  </si>
  <si>
    <t>Call the Void</t>
  </si>
  <si>
    <t>Reflex for half; see text</t>
  </si>
  <si>
    <t>This spell surrounds you with an aura of nothingness that channels the mysterious energies of the Dark Tapestry. Creatures adjacent to you when this spell is cast and at the start of your turn take 2d6 points of damage. In addition, creatures affected by your aura are fatigued, cannot breathe, and cannot speak or cast spells with somatic components. Creatures adjacent to you are allowed a Reflex save to halve the damage and negate the fatigue effect, but cannot breathe or speak regardless of whether their save is successful as long as they are adjacent to you.</t>
  </si>
  <si>
    <t>Dragon Empires Primer</t>
  </si>
  <si>
    <t>Black Spot</t>
  </si>
  <si>
    <t>cleric/oracle 4, sorcerer/wizard 5, witch 4</t>
  </si>
  <si>
    <t>The black spot is a specific and feared pirate curse. An intangible, illusory black spot manifests above the target's head and remains until the target dies or the curse is lifted. The black spot cannot be covered or hidden by any means, including other illusions.  The black spot radiates a cursed aura in a 10-foot radius around its target. Anyone within the aura gains a +2 bonus on weapon attack and damage rolls against the target. In addition, the target has a -4 penalty on saving throws against death effects.  Every day in which a creature bears a black spot, it must make a Fortitude save. On a failed save, the creature takes 1 point of Constitution damage. The damage cannot be healed until the black spot is removed. If the creature's Constitution reaches 0, it dies. Pirates killed by this spell often return as ghosts, but that is not a direct effect of this spell.  The black spot cannot be dispelled, but it can be removed with break enchantment, limited wish, miracle, remove curse, or wish.</t>
  </si>
  <si>
    <t>Pirates Of The Inner Sea</t>
  </si>
  <si>
    <t>Salvage</t>
  </si>
  <si>
    <t>one shipwreck</t>
  </si>
  <si>
    <t>An invisible force pulls together the remains of a shipwreck. Bits of hull, tattered sails, broken masts, and smashed figureheads knit themselves back together. Rotten wood turns solid once more, and sails re-weave themselves as the rigging snakes across the masts. It takes a variable amount of time for the ship to rebuild itself, depending on its size. Size Duration Raft 1 minute Rowboat 1 minute Keelboat 10 minutes Longship 1 hour Sailing ship 2 hours Warship 3 hours Galleon 4 hours At the end of the duration, an air bubble forms around the repaired ship. If submerged, the ship shoots to the surface, erupting with a great splash before settling on the water. Though the spell requires time to repair the ship, its effects are instantaneous. A salvaged ship cannot be dispelled to return it to a shipwreck. However, before the spell's duration ends and while the ship is still being repaired, salvage can be dispelled to interrupt the repair process. The ship remains in the condition it was in when the spell was interrupted until a new salvage spell is cast (but continues to age normally and suffers the effects of its environments). A new salvage spell's duration is modified by any repairs already begun.</t>
  </si>
  <si>
    <t>Skeleton Crew</t>
  </si>
  <si>
    <t>cleric/oracle 3, sorcerer/wizard 4, summoner/unchained summoner 4, witch 4</t>
  </si>
  <si>
    <t>one or more humanoid corpses touched</t>
  </si>
  <si>
    <t>This spell turns corpses into skeletons (Pathfinder RPG Bestiary 250) that act as crew and obey your commands to the extent of their abilities.  The undead you create are 1 Hit Die skeletons that possess Profession (sailor) scores equal to half your character level plus your Wisdom modifier (for clerics), Intelligence modifier (for witches and wizards), or Charisma modifier (for sorcerers and summoners). Each skeleton can perform the duties of one crew member but has no other abilities. The created skeletons cannot speak, attack, or even defend themselves. The only orders they obey are ones pertaining to the operation of a ship. Skeletal crew members are not proficient with any weapons or armor.  You can't create more Hit Dice of skeletal crew members than twice your caster level with a single casting of skeleton crew. The desecrate spell doubles this limit.  The undead you create by casting skeleton crew remain under your control for the duration of the spell, and do not count against your limit of total Hit Dice worth of undead creatures you can control.  A skeletal crew member can only be created from a mostly intact humanoid corpse. The corpse must have bones. When you cast this spell, any flesh left on the corpses melts away into fog.</t>
  </si>
  <si>
    <t>Track Ship</t>
  </si>
  <si>
    <t>travel</t>
  </si>
  <si>
    <t>bard 2, cleric/oracle 2, sorcerer/wizard 2</t>
  </si>
  <si>
    <t>V, S, F (piece of ship)</t>
  </si>
  <si>
    <t>magical icon</t>
  </si>
  <si>
    <t>In order to cast this spell, you must have a piece of the ship you wish to track. Merchants often preserve slivers from their trade ships specifically for this purpose. You also need a nautical chart.  When you cast this spell, an icon of the targeted ship appears on the nautical chart. The icon moves as the ship moves for the duration of this spell. If the ship is not within the area delineated by the chart, the spell fails. If the ship is reduced to 0 or fewer hit points, its icon changes from a ship to a skull and crossbones.</t>
  </si>
  <si>
    <t>Unseen Crew</t>
  </si>
  <si>
    <t>bard 4, sorcerer/wizard 5, summoner/unchained summoner 5, witch 5</t>
  </si>
  <si>
    <t>one invisible sailor per level</t>
  </si>
  <si>
    <t>An unseen crew member is an invisible, shapeless force that performs the duties of one crew member. It can tie off ropes, hoist sails, swab decks, and other such duties. An unseen crew member possesses no other skills. It cannot fight, speak, or even defend itself.  An unseen crew member has a Strength score of 10 and a Profession (sailor) score equal to half your character level plus your Intelligence modifier (for witches and wizards) or your Charisma modifier (for bards, sorcerers, and summoners). It cannot fly, but it can climb, swim, or walk with a base speed of 20 feet.  An unseen crew member cannot be killed, but it dissipates if it takes more than 1 point of damage per caster level you possess from area attacks (it gets no saves against attacks). If you attempt to send an unseen crew member beyond the spell's range (measured from your current position), the crew member ceases to exist.</t>
  </si>
  <si>
    <t>Advanced Scurvy</t>
  </si>
  <si>
    <t>cleric/oracle 1, druid 1</t>
  </si>
  <si>
    <t>The subject contracts an advanced form of scurvy. He becomes constantly fatigued, suffers from bone pain (-1 penalty on Strength-and Dexterity-based checks), wounds easily (add +1 point of damage to any bleed effects affecting the target), experiences loose teeth, and is slow to heal (natural healing occurs at half the normal rate). Scurvy can be treated magically or can be overcome with proper nutrition; eating the right foods ends the fatigue and bone pain within 1-2 days and provides a full cure 2d6 days after that.</t>
  </si>
  <si>
    <t>AP 55</t>
  </si>
  <si>
    <t>Besmara</t>
  </si>
  <si>
    <t>Cloud Of Seasickness</t>
  </si>
  <si>
    <t>cleric/oracle 2, druid 2, sorcerer/wizard 2</t>
  </si>
  <si>
    <t>V, S, M (a piece of seaweed)</t>
  </si>
  <si>
    <t>This spell functions like stinking cloud, except as noted above and that the vapors make creatures sickened instead of nauseated.  Cloud of seasickness can be made permanent with a permanency spell (requiring a 9th-level caster and costing 2,500 gp). A permanent cloud of seasickness dispersed by wind reforms in 10 minutes.</t>
  </si>
  <si>
    <t>Submerge Ship</t>
  </si>
  <si>
    <t>V, S, M/DF (a glass marble or piece of soap)</t>
  </si>
  <si>
    <t>1 sailing vessel</t>
  </si>
  <si>
    <t>When this spell is cast upon a vessel, the ship is surrounded by a protective bubble of constantly replenishing, breathable air and sinks beneath the waves. For the duration of the spell, the ship can travel beneath the water as easily as it did above. While under the effects of this spell, the ship has magical propulsion that gives it a maximum speed of 120 feet and an acceleration of 30 feet (see the Skull &amp; Shackles Player's Guide for details). The ship's pilot uses the normal sailing skill to control the ship while under this spell's effects, and can command it to dive and ascend as part of the vessel's normal movement. Despite the magical propulsion, the ship still requires its crew to perform its normal functions.  The spell protects the ship and all aboard from the dangers of drowning and pressure, but not from damage from outside obstacles or creatures. The bubble cannot be used offensively and prevents an affected ship from rising into a space that won't accommodate it (like a sea cave too small to contain it or under another vessel). Creatures can enter or leave the bubble at will, but those outside the sphere cannot be forced inside against their will, the sphere proving substantial enough that such creatures may choose whether to enter or to slip away along its sides. At the end of the spell's duration the bubble pops, causing a ship still underwater at that time to gain the sinking condition. This spell has no effect if cast upon a ship in water that cannot cover the vessel entirely.  Although largely beneficial, this spell can be cast on a ship whose pilot does not want to submerge her vessel. The ship itself uses its Will saving throw to resist this effect.</t>
  </si>
  <si>
    <t>AP 56</t>
  </si>
  <si>
    <t>Heroic Fortune</t>
  </si>
  <si>
    <t>alchemist 2, bard 2, cleric/oracle 2, paladin 3</t>
  </si>
  <si>
    <t>V, S, DF, M (diamond dust worth 100 gp)</t>
  </si>
  <si>
    <t>This spell grants 1 hero point to the target. This hero point must be spent before the duration expires, or it is lost. The bonus hero point is spent before any other hero points the target might possess.</t>
  </si>
  <si>
    <t>Heroic Fortune, Mass</t>
  </si>
  <si>
    <t>bard 4, cleric/oracle 5</t>
  </si>
  <si>
    <t>V, S, DF, M (diamond dust worth 1,000 gp)</t>
  </si>
  <si>
    <t>one or more creatures, no two of which can be more  than 30 ft. apart</t>
  </si>
  <si>
    <t>This spell functions like heroic fortune, except as noted above.</t>
  </si>
  <si>
    <t>Severed Fate</t>
  </si>
  <si>
    <t>cleric/oracle 3, witch 2</t>
  </si>
  <si>
    <t>You curse the target, preventing it from drawing upon the powers of destiny. The target is shaken and cannot use hero points for the duration of the spell. This effect can be removed by dispel magic, remove curse, or other similar effects.</t>
  </si>
  <si>
    <t>Unravel Destiny</t>
  </si>
  <si>
    <t>cleric/oracle 3, sorcerer/wizard 3, witch 3</t>
  </si>
  <si>
    <t>You utter a dire portent, causing destiny and fate to unravel around the target. This profoundly disturbing effect causes the target to suffer a cumulative -2 penalty on all ability checks, attack rolls, saving throws, and skill checks for every hero point it possesses. The target can reduce this penalty by spending hero points normally, but it takes 2d6 points of damage for each hero point spent while this spell is in effect.</t>
  </si>
  <si>
    <t>Embrace Destiny</t>
  </si>
  <si>
    <t>oracle 1, sorcerer/wizard 2, witch 2</t>
  </si>
  <si>
    <t>Upon completing this spell, roll a single d20 and record the result. At any point during the duration of this spell, you may use that roll for a single ability check, attack roll, initiative check, saving throw, or skill check, using the recorded result in place of a roll. This spell cannot be used to replace a roll that has already been made; the recorded result must be used instead of a roll. Once you have used this recorded result or the duration of the spell ends, the spell's effect ends. You can't have more than one instance of embrace destiny active on you at the same time.</t>
  </si>
  <si>
    <t>Lost Kingdoms</t>
  </si>
  <si>
    <t>Groundswell</t>
  </si>
  <si>
    <t>cleric/oracle 2, druid 2, magus 2, ranger 2</t>
  </si>
  <si>
    <t>This spell allows the target to cause the ground to rise up beneath him. As a swift action, the target can cause the ground to rise 5 feet, while all adjacent squares are treated as steep slopes (Core Rulebook 428). The groundswell precludes flanking from creatures standing at lower elevations than the target. If the target moves after creating a groundswell, the ground returns to its normal elevation at the end of his turn; otherwise, it remains in place until the target moves or uses a swift action to return the ground to normal. A groundswell cannot increase elevation of the ground beyond 5 feet.</t>
  </si>
  <si>
    <t>Advanced Race Guide</t>
  </si>
  <si>
    <t>Ironbeard</t>
  </si>
  <si>
    <t>antipaladin 1, cleric/oracle 1, magus 1, paladin 1, ranger 1</t>
  </si>
  <si>
    <t>This spell causes a brushy beard of stiff iron to erupt from the face of a willing target. The ironbeard grants a +1 armor bonus to AC, and this bonus stacks with any armor worn by the creature. The ironbeard may also be used as a weapon equivalent to cold iron armor spikes. The ironbeard makes it difficult to speak, so any spellcasting with a verbal component has a 20% spell failure chance.</t>
  </si>
  <si>
    <t>Toilsome Chant</t>
  </si>
  <si>
    <t>You can cast this spell as part of the action to begin an inspire competence bardic performance. The benefit of inspire competence persists for as long as is necessary to complete the target's next skill check using the chosen skill (up to a maximum of 1 hour per caster level), even if you cease your bardic performance.</t>
  </si>
  <si>
    <t>Blend</t>
  </si>
  <si>
    <t>alchemist 1, druid 1, magus 1, ranger 1, sorcerer/wizard 1, witch 1, shaman 1, psychic 1, mesmerist 1</t>
  </si>
  <si>
    <t>You draw upon your elven link to the wilderness to change the coloration of yourself and your equipment to match that of your surroundings. This grants you a +4 circumstance bonus on Stealth checks and allows you to make Stealth checks without cover or concealment, but only while you move no more than half your base speed or less. If you move more than half your base speed on your turn, you gain no benefit from this spell until the start of your next turn. If you make an attack, this spell ends (as invisibility).</t>
  </si>
  <si>
    <t>Ward Of The Season</t>
  </si>
  <si>
    <t>cleric/oracle 4, druid 3, ranger 3, witch 3, shaman 3</t>
  </si>
  <si>
    <t>This spell harnesses the power of the seasons to protect the target and grant a number of bonuses. This spell has one of four different effects. The caster of the spell can select any one of the following four effects, but can change the effect as a standard action that reduces the total remaining duration by 1 hour.  Spring: The target is wrapped in light vines, culminating in a crown of bright, beautiful flowers. While the spell remains in effect, the target is immune to bleed effects and regains 1 hit point per round whenever below 0 hit points, as long as the target is still alive. This stabilizes the target. For each hit point restored in this way, the spell's total remaining duration is reduced by 1 hour.  Summer: The target is surrounded by tiny motes of light. While the spell remains in effect, the target's base speed increases 10 feet. The target may instead increase its base speed by 30 feet for 1 round by reducing the spell's total remaining duration by 1 hour.  Fall: A cloak of autumn leaves appears on the target. While the spell remains in effect, the target gains a +2 morale bonus on Fortitude saves. The target can decide to roll twice on any saving throw against disease or poison and take the higher result by reducing the spell's total remaining duration by 1 hour.  Winter: A flutter of snow and crisp air surrounds the target. While this spell remains in effect, the target automatically succeeds at Acrobatics skill checks made to avoid falling while moving across slick or narrow surfaces. The target can move freely through difficult terrain for 1 round by reducing the spell's remaining duration by 1 hour. Difficult terrain created by magic affects the target normally.</t>
  </si>
  <si>
    <t>Whispering Lore</t>
  </si>
  <si>
    <t>cleric/oracle 2, druid 1, ranger 1, witch 1, psychic 1, medium 1</t>
  </si>
  <si>
    <t>1 full-round action</t>
  </si>
  <si>
    <t>V, S, M/DF (an owl's beak)</t>
  </si>
  <si>
    <t>Upon casting this spell, you are able to gain knowledge from the land itself. As you walk through the terrain, it whisper information in a language you understand, though the whispering is so rambling it is hard to distinguish useful information. This whispering grants you a +4 insight bonus on a single Knowledge skill type appropriate to the type of terrain you are in. If you are within a cold, desert, forest, jungle, mountain, plains, swamp, or water environment, you gain the bonus on Knowledge (nature) checks. If you are within an underground environment, you gain the bonus on Knowledge (dungeoneering) checks. If you are within an urban environment, you gain the bonus on Knowledge (local) checks. If you are on a plane other than the Material Plane, you gain the bonus on Knowledge (planes) checks. If you enter a new terrain, you lose the previous terrain's skill bonus and gain the new bonus.</t>
  </si>
  <si>
    <t>Death From Below</t>
  </si>
  <si>
    <t>bard 3, sorcerer/wizard 2, bloodrager 2</t>
  </si>
  <si>
    <t>You grant the target a dodge bonus to its Armor Class against attacks from larger creatures. The bonus is equal to +1 for every size category the attacker is larger than the target of the spell, to a maximum of +1 per 3 caster levels. If the spell's target is a gnome, the maximum bonus is equal to +1 per 2 caster levels.</t>
  </si>
  <si>
    <t>Jitterbugs</t>
  </si>
  <si>
    <t>bard 1, sorcerer/wizard 2, psychic 2, mesmerist 1</t>
  </si>
  <si>
    <t>short (25 ft. +5 ft. 2/levels)</t>
  </si>
  <si>
    <t>You cause the target to perceive itself as being covered in creeping, crawling, stinging bugs. This causes the target to become jittery and unable to stay still, forcing it to constantly move and twitch. The target takes a -4 penalty on all Dexterity checks and Dexterity-based skill checks, and cannot take the delay, ready, or total defense actions.</t>
  </si>
  <si>
    <t>Starting on the second round of the spell, the affected target must succeed at a Fortitude save on your turn or be nauseated for 1 round, as if distracted by an actual swarm.</t>
  </si>
  <si>
    <t>Major Phantom Object</t>
  </si>
  <si>
    <t>illusory, unattended, nonmagical object, up to 1 cu. ft./level</t>
  </si>
  <si>
    <t>This spell functions as the major creation spell, except as noted above and the object created is a semi-real illusion. Any creature that interacts with the object may make a Will save, with success causing the object to cease to exist. A gnome casting this spell may make a Spellcraft check in place of any Craft check required to make a complex item.</t>
  </si>
  <si>
    <t>Minor Dream</t>
  </si>
  <si>
    <t>alchemist 2, bard 3, sorcerer/wizard 3, witch 2, psychic 3, mesmerist 3, medium 2</t>
  </si>
  <si>
    <t>you or one gnome touched</t>
  </si>
  <si>
    <t>This spell functions as the dream spell, except as follows. The messenger must be yourself or a gnome touched. The message can be no longer than 20 words. If the recipient of the message is not asleep when the spell is cast, the spell automatically fails.</t>
  </si>
  <si>
    <t>Minor Phantom Object</t>
  </si>
  <si>
    <t>sorcerer/wizard 4, psychic 4, mesmerist 4</t>
  </si>
  <si>
    <t>illusory, unattended, nonmagical object of nonliving plant matter, up to 1 cu. ft./level</t>
  </si>
  <si>
    <t>This spell functions as the minor creation spell, except the object created is a semi-real illusion. Any creature that interacts with the object may make a Will save, with success causing the object to cease to exist. A gnome casting this spell may make a Spellcraft check in place of any Craft check required to make a complex item.</t>
  </si>
  <si>
    <t>Recharge Innate Magic</t>
  </si>
  <si>
    <t>alchemist 1, bard 1, cleric/oracle 1, druid 1, inquisitor 1, magus 1, sorcerer/wizard 1, witch 1, psychic 1, mesmerist 1</t>
  </si>
  <si>
    <t>You channel magic energy into your own aura, recharging your innate magic abilities. You regain one use of all 0-level and 1st-level spell-like abilities you can use as a result of a racial trait.</t>
  </si>
  <si>
    <t>Forgetful Slumber</t>
  </si>
  <si>
    <t>bard 4, sorcerer/wizard 4, witch 4, psychic 4, mesmerist 4</t>
  </si>
  <si>
    <t>V, S, M (a few drops of river water)</t>
  </si>
  <si>
    <t>This spell acts as the deeper slumber spell, but only affects one creature of 10 Hit Dice or fewer. In addition, a creature affected by this spell awakens with no knowledge of the events that led to the spell's casting. The target loses all memory from the 5 minutes prior to falling asleep. No effect short of a miracle or wish can restore memories lost by this spell.</t>
  </si>
  <si>
    <t>Paragon Surge</t>
  </si>
  <si>
    <t>alchemist 3, cleric/oracle 3, magus 4, paladin 4, sorcerer/wizard 3, witch 3, medium 3</t>
  </si>
  <si>
    <t>personal (half-elf only)</t>
  </si>
  <si>
    <t>You surge with ancestral power, temporarily embodying all the strengths of both elvenkind and humankind simultaneously, and transforming into a paragon of both races, something greater than elf or human alone. Unlike with most polymorph  effects, your basic form does not change, so you keep all extraordinary and supernatural abilities of your half-elven form as well as all of your gear.  For the duration of the spell, you receive a +2 enhancement bonus to Dexterity and Intelligence and are treated as if you possessed any one feat for which you meet the prerequisites, chosen when you cast this spell. The first time each day that you cast this spell, you must select a feat and make all the associated choices that come with it. Once that choice is made, it is set for the day and additional castings must make the exact same decisions.</t>
  </si>
  <si>
    <t>Resilient Reservoir</t>
  </si>
  <si>
    <t>magus 3, paladin 3, sorcerer/wizard 4, witch 4, psychic 4, mesmerist 3</t>
  </si>
  <si>
    <t>special, see text</t>
  </si>
  <si>
    <t>1 round/ level</t>
  </si>
  <si>
    <t>none (see below)</t>
  </si>
  <si>
    <t>This spell creates a magical well of retribution that a caster can unleash with blinding speed.  Upon casting this spell, damage from melee attacks and touch spells gets transferred into a special pool that you then redirect before the spell's duration expires.  Each time you are struck by a melee attack or touch spell that deals hit point damage, 1 point of damage is negated and transferred into the reservoir created by this spell. The total number of points in the reservoir cannot exceed your caster level (to a maximum of 20 points at 20th level). As an immediate action, anytime before the spell's duration expires, you can release some or all of the energy of the reservoir, granting yourself an insight bonus on one skill check, attack roll, damage roll, or combat maneuver check, but you must do so before the roll is made. This bonus is equal to the number of points in the reservoir. For every five caster levels, you may call upon the reservoir one additional time (maximum of four times at 15th level).  If you are reduced to negative hit points while you are under the effect of this spell, the spell automatically release the remaining magic of the reservoir in a concussive blast of force. All creatures within a 15-foot radius take 1d6 points of force damage per 2 points remaining in the reserve (maximum of 10d6). A successful Reflex save halves this damage, and spell resistance applies to this effect.</t>
  </si>
  <si>
    <t>Urban Grace</t>
  </si>
  <si>
    <t>alchemist 1, bard 1, ranger 1, sorcerer/wizard 1, witch 1</t>
  </si>
  <si>
    <t>You become one with the city around you, allowing you to move more easily through its crowds and buildings. For the duration of this spell, your base land speed increases by 10 feet. In addition, it does not cost you 2 squares of movement to enter a square with crowds, though the crowd still provides cover to you. This ability does not allow you to enter the space of enemy creatures without making the appropriate Acrobatics check. In addition, you receive a +4 circumstance bonus on Acrobatics checks made to move across uneven urban surfaces, such as roofs and broken pavement, and on Climb checks made to scale walls and other artificial surfaces. Whenever you make an Acrobatics check to make a long jump between two buildings or artificial structures, you are always treated as if you had a running start, regardless of the actual distance traveled.</t>
  </si>
  <si>
    <t>Battle Trance</t>
  </si>
  <si>
    <t>alchemist 3, antipaladin 3, cleric/oracle 4, inquisitor 3, ranger 3, witch 4</t>
  </si>
  <si>
    <t>You are transformed into a single-minded force of destruction. You gain the ferocity monster special ability, a number of temporary hit points equal to 1d6 + your caster level (maximum +10), and a +4 morale bonus on saving throws against mind-affecting effects. You cannot use the withdraw action or willingly move away from a creature that has attacked you.  When you use this spell, you immediately take 4 points of Intelligence damage. You must make a DC 20 concentration check to cast spells, and all other concentration checks to cast spells have a -5 penalty.</t>
  </si>
  <si>
    <t>The number of temporary hit points you gain increases to 2d6 + your caster level (maximum +10) + your tier. The morale bonus on saving throws against mind-affecting effects increases to +6.</t>
  </si>
  <si>
    <t>Augmented (5th): If you expend two uses of mythic power, you gain a +4 morale bonus to Strength, immunity to non-mythic mind-affecting effects, and DR 5/epic.</t>
  </si>
  <si>
    <t>Ghost Wolf</t>
  </si>
  <si>
    <t>sorcerer/wizard 4, summoner/unchained summoner 2, bloodrager 4, psychic 4</t>
  </si>
  <si>
    <t>V, S, F (dire wolf tooth)</t>
  </si>
  <si>
    <t>one quasi-real wolflike creature</t>
  </si>
  <si>
    <t>1 hour/level (D) or 1 round/level; see text</t>
  </si>
  <si>
    <t>none (see description)</t>
  </si>
  <si>
    <t>This spell conjures a Large, quasi-real, wolflike creature made of roiling black smoke. It functions as phantom steed, except as noted above. In addition, the creature radiates an aura of fear. Any creature with fewer than 6 Hit Dice within 30 feet (except the ghost wolf ‘s rider) must make a Will save or become shaken for 1d4 rounds (this is a mind-affecting fear effect). A creature that makes its Will save is unaffected by the steed's fear aura for 24 hours.  The ghost wolf may also be used in combat. Once per round, the rider may direct the ghost wolf to attack in battle as a free action (bite +10, 1d8+6 points of damage); unlike an animal mount, this does not require a Ride check or any training. Once the ghost wolf attacks, it lasts for only 1 round per level thereafter.</t>
  </si>
  <si>
    <t>Half-Blood Extraction</t>
  </si>
  <si>
    <t>alchemist 5, cleric/oracle 5, druid 5, sorcerer/wizard 5, witch 5, psychic 5</t>
  </si>
  <si>
    <t>V, S, M (oils and poisons worth 3,000 gp), DF</t>
  </si>
  <si>
    <t>willing half-orc touched</t>
  </si>
  <si>
    <t>You transform the target half-orc into a full-blooded orc. The target loses all of its half-orc racial traits and gains the orc racial traits.</t>
  </si>
  <si>
    <t>Linebreaker</t>
  </si>
  <si>
    <t>alchemist 1, antipaladin 1, inquisitor 1, magus 1, paladin 1, ranger 1</t>
  </si>
  <si>
    <t>You gain a +20 foot bonus to your base speed when charging and a +2 bonus on combat maneuver checks made to bull rush or overrun.</t>
  </si>
  <si>
    <t>Savage Maw</t>
  </si>
  <si>
    <t>antipaladin 1, cleric/oracle 2, druid 2, inquisitor 2, magus 2, ranger 1, psychic 2</t>
  </si>
  <si>
    <t>1 minute/level (D), special (see below)</t>
  </si>
  <si>
    <t>Your teeth extend and sharpen, transforming your mouth into a maw of razor-sharp fangs. You gain a bite attack that deals 1d4 points of damage plus your Strength modifier. If you confirm a critical hit with this attack, it also deals 1 point of bleed damage. If you already have a bite attack, your bite deals 2 points of bleed damage on a critical hit. You are considered proficient with this attack. If used as part of a full-attack action, the bite is considered a secondary attack, is made at your full base attack bonus -5, and adds half your Strength modifier to its damage.  You can end this spell before its normal duration by making a bestial roar as a swift action. When you do, you can make an Intimidate check to demoralize all foes within a 30-foot radius that can hear the roar.</t>
  </si>
  <si>
    <t>Blessing Of Luck And Resolve</t>
  </si>
  <si>
    <t>cleric/oracle 2, inquisitor 2, paladin 2</t>
  </si>
  <si>
    <t>1 minute/level (D), special see below</t>
  </si>
  <si>
    <t>A favored blessing of halfling clerics, this spell grants its target a +2 morale bonus on saving throws against fear effects. If the target has the fearless racial trait, it is immune to fear instead. If the target fails a saving throw against fear, it can end the spell as an immediate action to reroll the save with a +4 morale bonus, and must take the new result, even if it is worse.</t>
  </si>
  <si>
    <t>Blessing Of Luck And Resolve, Mass</t>
  </si>
  <si>
    <t>cleric/oracle 6, inquisitor 6, paladin 4</t>
  </si>
  <si>
    <t>This spell functions like blessing of luck and resolve, except that it affects multiple creatures.</t>
  </si>
  <si>
    <t>Escaping Ward</t>
  </si>
  <si>
    <t>bard 2, inquisitor 2, magus 2, ranger 2, sorcerer/wizard 2</t>
  </si>
  <si>
    <t>This ward grants you extra maneuverability when you avoid attacks against larger foes. While affected by this spell, when you are attacked and missed by a creature that is at least one size category larger than you, you can, as an immediate action, move up to 5 feet away from the attacking creature. You can increase this movement by 5 feet for every 5 caster levels. This movement does not provoke attacks of opportunity.</t>
  </si>
  <si>
    <t>Fearsome Duplicate</t>
  </si>
  <si>
    <t>bard 3, inquisitor 3, sorcerer/wizard 3, witch 3, psychic 3, mesmerist 3</t>
  </si>
  <si>
    <t>monstrously distorted duplicate of you</t>
  </si>
  <si>
    <t>You create a larger and far more menacing version of yourself that you can send forth, manipulate like a puppet, and use to interact with others. You can make the duplicate  up to two size categories larger than you are and determine a theme as to how it alters your original appearance. However, this duplicate always retains some vestiges of your actual appearance. Creatures who already know you gain a +2 bonus on saving throws made to disbelieve this spell. Your duplicate has no actual substance, and you cannot use it to alter its surroundings or to attack or otherwise harm creatures it encounters. You can use the duplicate to speak, and interact verbally with creatures using the Bluff, Diplomacy, and Intimidate skills, and you gain a +2 competence bonus on Intimidate checks when using that skill through the duplicate.  You can see, hear, taste, and smell your duplicate's surroundings as if you are actually present using your Perception skill. While you also remain aware of your own immediate surroundings when controlling your duplicate, controlling it does take a toll on your senses. You take a -4 penalty on Perception checks while you control your duplicate.  The duplicate moves under your mental command, and while you need not act out its movements, you must take a standard action to control your duplicate for 1 round (concentrating on the spell) or it winks out of existence. You can maintain control of your duplicate even if you have no line of sight or line of effect to it.  The duplicate immediately winks out of existence if it is hit by an attack or in the area of a damaging effect, or if it moves beyond the maximum range of the spell.</t>
  </si>
  <si>
    <t>Village Veil</t>
  </si>
  <si>
    <t>bard 5, cleric/oracle 5, sorcerer/wizard 5, witch 5, psychic 5, mesmerist 5</t>
  </si>
  <si>
    <t>one 10-ft. cube per level</t>
  </si>
  <si>
    <t>You throw an illusion over an area to make creatures that view or interact with it believe it has suffered some great catastrophe or calamity that renders it utterly worthless for their needs. You must set a few general guidelines when casting the spell as to the nature of this disaster (fire, tornado, bandit raid, plague, etc.), after which the illusion fills in the remaining details to make it seem realistic. When casting the spell, you can grant creatures with particular, clearly identifiable physical traits (race, gender, age category, etc.) immunity to this spell. This allows all such eligible creatures to perceive the true nature of the affected area instead of its illusory appearance. Creatures without this immunity that fail their saving throws always perceive the affected area as having absolutely nothing of interest or worth to them. Unless they have reason for suspicion, they always move on without closely investigating the area. Creatures with sufficient reasons for suspicion who do choose to investigate the area gain another saving throw, this one with a +2 bonus, as they enter the village and directly interact with the illusion.  You can expand the area of this spell by casting it multiple times. Each time you do, you must effectively "attach" the spell to the existing area by using the same disaster and granting the same sorts of creatures immunity to its effects. If you fail to do this, the entire illusion, no matter how large, disappears.</t>
  </si>
  <si>
    <t>Bestow Insight</t>
  </si>
  <si>
    <t>bard 2, cleric/oracle 3, inquisitor 2, sorcerer/wizard 2, witch 2, psychic 2, mesmerist 2, medium 2</t>
  </si>
  <si>
    <t>one creature touched</t>
  </si>
  <si>
    <t>When casting this spell, choose a single skill that you have at least one rank in. The target gains a +2 insight bonus on skill checks with this skill and is considered trained in that skill. The insight bonus increases by 1 for every four levels of the caster (maximum +6). Furthermore, once before the spell's duration, the target can choose to roll two checks and take the greater result. Doing so ends the spell's other effects.</t>
  </si>
  <si>
    <t>Black Mark</t>
  </si>
  <si>
    <t>curse, fear</t>
  </si>
  <si>
    <t>druid 7, witch 7</t>
  </si>
  <si>
    <t>V, S, M (a flask of seawater)</t>
  </si>
  <si>
    <t>You mark the target with a black marking on its skin; the mark's exact appearance determined by you, but can be no larger than your hand. The black mark functions as a mark of justice, and when the mark is activated, the target becomes shaken anytime it is on or in the water more than a 5 feet from shore. In addition, as long as the black mark is active, the target is affected as if subject to nature's exile (Advanced Player's Guide 233), but all creatures with the aquatic or water subtype or with a swim speed are made hostile, even those not of the animal type, though non-aquatic animals are not.</t>
  </si>
  <si>
    <t>Any time the cursed creature travels on or in the water more than 1 mile from shore, each day it (or the vessel it's on) is attacked by one or more aquatic or water monsters, as if summoned by summon nature's ally VII (caster level 13th).</t>
  </si>
  <si>
    <t>Old Salt's Curse</t>
  </si>
  <si>
    <t>druid 5, witch 5, mesmerist 4</t>
  </si>
  <si>
    <t>You inflict a curse of the roiling sea upon the target, making it permanently sickened. Anytime the target is on or in the water more than a mile from shore, it also becomes staggered with seasickness. This curse cannot be dispelled, though remove curse or break enchantment can negate it.</t>
  </si>
  <si>
    <t>Sacred Space</t>
  </si>
  <si>
    <t>V, S, M (a vial of ambrosia)</t>
  </si>
  <si>
    <t>This spell sanctifies an area with heavenly power. The DC to resist spells or spell-like abilities with the good descriptor or channeled energy that damages evil outsiders (as when using Alignment Channel) increases by +2. In addition, evil outsiders take a -1 penalty on attack rolls, damage rolls, and saving throws, and they cannot be called or summoned into a sacred space. If the sacred space contains an altar, shrine, or other permanent fixture dedicated to your deity, pantheon, or good-aligned higher power, the modifiers given above are doubled. You cannot cast sacred space in an area with a permanent fixture dedicated to a deity other than yours.</t>
  </si>
  <si>
    <t>Truespeak</t>
  </si>
  <si>
    <t>bard 4, cleric/oracle 6, sorcerer/wizard 5, witch 5, psychic 5, mesmerist 4</t>
  </si>
  <si>
    <t>You can communicate with any creature that is not mindless. As long as you can be heard, your speech is understandable to all creatures, each of which hears you as though you were conversing in its language or other natural mode of communication, and you hear their responses as though in your own native language. You may ask questions and receive answers, though this spell does not make creatures more friendly or cooperative than normal, and non-sentient creatures may give limited responses. While using truespeak, your language-dependent effects can affect any creature that is not mindless.</t>
  </si>
  <si>
    <t>Veil Of Heaven</t>
  </si>
  <si>
    <t>You surround yourself with a veil of positive energy, making it harder for evil outsiders to harm you. For the duration of this spell, you gain a +2 sacred bonus to AC and on saves. Both of these bonuses apply only against attacks or effects created by outsiders with the evil subtype. You can dismiss this spell as a swift action to deal 1d8 points of damage + 1 point per paladin level to all such outsiders within 5 feet. A Will save halves this damage.</t>
  </si>
  <si>
    <t>Nine Lives</t>
  </si>
  <si>
    <t>cleric/oracle 8, witch 8</t>
  </si>
  <si>
    <t>V, S, M/DF (a cat's whisker)</t>
  </si>
  <si>
    <t>Despite its name, this powerful ward does not grant the target multiple lives, but rather gives the target the ability to get out of trouble and relieves harmful effects and conditions. For the spell's duration, the target can use any of the following abilities as an immediate action, but only up to a total of nine times, at which point the spell ends.  Cat's Luck: The target can use this ability when it fails a saving throw. The target can reroll the failed saving throw, but must take the new result even if it is worse.  Fortitude: The target uses this ability when a critical hit or sneak attack is scored against it. The critical hit or sneak attack is negated and the damage is instead rolled normally.  Rejuvenate: The target uses this ability when it is reduced to 0 or fewer hit points. The target is instantly healed 3d6 points of damage. If enough hit points are regained to bring the target to positive hit points, it does not fall unconscious. If it is not enough to leave the target with positive hit points, the target automatically stabilizes. Both of these effects work even if the damage was originally enough to kill the target.  Shake Off: The target uses this ability when it is under the effects of any of the following conditions: blinded, confused, cowering, dazed, dazzled, entangled, exhausted, fatigued, frightened, nauseated, panicked, shaken, sickened, or staggered. Using this ability ends one of those conditions.  Shimmy Out: The target uses this ability when it is grappled or pinned. The target automatically escapes the grapple as if it had succeeded at an Escape Artist check to escape the grapple.  Stay Up: The target uses this ability when it is tripped or otherwise knocked prone. The target steadies itself and stays upright.</t>
  </si>
  <si>
    <t>Steal Breath</t>
  </si>
  <si>
    <t>bard 2, druid 2, sorcerer/wizard 2, witch 2, bloodrager 2, psychic 2, mesmerist 2</t>
  </si>
  <si>
    <t>1 round (see text)</t>
  </si>
  <si>
    <t>You pull the breath from a creature's lungs, dealing damage and leaving it unable to speak, use breath weapons, or cast spells with verbal components. If the target fails its saving throw, it takes 2d6 points of damage, and it cannot speak, use breath weapons, or anything else requiring breathing, and a visible line of swirling air leaves the target's mouth and enters your mouth.  If, during the duration, the target moves out of range or line of effect to you, the spell immediately ends. This spell has no effect on creatures that do not need to breathe air.</t>
  </si>
  <si>
    <t>Blinding Ray</t>
  </si>
  <si>
    <t>cleric/oracle 2, inquisitor 3, paladin 2</t>
  </si>
  <si>
    <t>one or more rays of light</t>
  </si>
  <si>
    <t>You blast your enemies with blinding rays of sunlight. You may fire one ray, plus one additional ray for every four levels beyond 3rd (to a maximum of three rays at 11th level). Each ray requires a ranged touch attack to hit. If a ray hits, it explodes into powerful motes of light, and the target must save or be blinded for 1 round. If the target has light blindness, light sensitivity, or is otherwise vulnerable to bright light, it instead must save or be blinded for 1d4 rounds and take 1d4 points of damage per two caster levels (maximum 5d4). Any creature blinded by a ray sheds light as a sunrod for the duration of its blindness. The rays may be fired at the same or different targets, but all rays must be aimed at targets within 30 feet of each other and fired simultaneously.</t>
  </si>
  <si>
    <t>On a successful saving throw, the target is dazzled for 1 round. On a failed saving throw, the target is instead blinded for 1d4 rounds. A target with light blindness, light sensitivity, or any other vulnerability to light is instead blinded for 1d4 rounds on a successful saving throw and permanently blinded on a failed saving throw.</t>
  </si>
  <si>
    <t>Life Channel</t>
  </si>
  <si>
    <t>one touched creature with negative energy affinity</t>
  </si>
  <si>
    <t>When cast on a creature with negative energy affinity, the target is able to convert channeled positive energy into temporary hit points. When subject to an effect that heals hit points only to living creatures (such as cure light wounds or channel positive energy), the target gains a number of temporary hit points equal to half the number of hit points that the positive energy would normally heal. These temporary hit points go away at the end of this spell's duration.</t>
  </si>
  <si>
    <t>Spawn Ward</t>
  </si>
  <si>
    <t>The target becomes resistant to the effects of energy drain and blood drain attacks made by undead creatures, and cannot be made into undead spawn if killed while the spell is in effect.  If the attacking undead's Hit Dice is less than or equal to your caster level, the blood drain or energy drain has no effect. If the attacking undead's Hit Dice are greater than your caster level, the undead must make a Fortitude save (against the DC of the spell) with each attack for those special abilities to have any effect. The spell only prevents the Constitution damage from blood drain and negative levels from energy drain, but not any other effects of these attacks.</t>
  </si>
  <si>
    <t>Ancestral Regression</t>
  </si>
  <si>
    <t>alchemist 2, antipaladin 3, cleric/oracle 2, sorcerer/wizard 3, witch 2, psychic 2</t>
  </si>
  <si>
    <t>willing drow touched</t>
  </si>
  <si>
    <t>The target drow transforms into a surface elf. The drow loses her darkvision and light-blindness racial traits and gains the low-light vision racial trait in their place. The alignment and personality of the drow are not affected by the transformation, but the spell conceals her alignment as an undetectable alignment spell. The spell grants the target a +10 bonus on Disguise checks to pass as an elf, though she appears to be an elven analog of herself and can be recognized as such by other drow who know her.</t>
  </si>
  <si>
    <t>Web Bolt</t>
  </si>
  <si>
    <t>magus 1, sorcerer/wizard 1, witch 1, bloodrager 1</t>
  </si>
  <si>
    <t>fist-sized blob of webbing</t>
  </si>
  <si>
    <t>You launch a ball of webbing at a target, which must make a save or be affected as if by a web spell occupying only the creature's space. If the creature saves or breaks free of the webbing, the remaining webs dissolve and the square is not considered difficult terrain. The spell has no effect if the target is not on or adjacent to a solid surface that can support the webbing.</t>
  </si>
  <si>
    <t>Web Cloud</t>
  </si>
  <si>
    <t>You create a cloud of flame-resistant strands of adhesive webbing that billows and flows much like a cloudkill spell. The cloud moves away from you at a rate of 10 feet per round, rolling along the surface of the ground.  Figure out the cloud's new spread each round based on its new point of origin, which is 10 feet farther away from the point of origin where the caster cast the spell. Creatures trapped in the webbing remain trapped even after the cloud passes, but the area the cloud leaves behind does not count as difficult terrain.  Because the webbing is heavier than air, it sinks to the lowest level of the land, even pouring down den or sinkhole openings. The cloud of webbing cannot penetrate liquids, nor can it be cast underwater.  The cloud otherwise acts like a web spell. A creature in the cloud at the start of its turn must save against the cloud or be affected. The webbing of this spell is flammable (see the web spell), but has fire resistance 5.</t>
  </si>
  <si>
    <t>Gloomblind Bolts</t>
  </si>
  <si>
    <t>magus 3, sorcerer/wizard 3, witch 3, bloodrager 3</t>
  </si>
  <si>
    <t>one or more bolts of energy</t>
  </si>
  <si>
    <t>You create one or more bolts of negative energy infused with shadow pulled from the Shadow Plane. You can fire one bolt, plus one for every four levels beyond 5th (to a maximum of three bolts at 13th level) at the same or different targets, but all bolts must be aimed at targets within 30 feet of each other and require a ranged touch attack to hit. Each bolt deals 4d6 points of damage to a living creature or heals 4d6 points of damage to an undead creature. Furthermore, the bolt's energy spreads over the skin of creature, possibly blinding it for a short time. Any creature struck by a bolt must succeed at a Reflex saving throw or become blinded for 1 round.</t>
  </si>
  <si>
    <t>Shadowy Haven</t>
  </si>
  <si>
    <t>V, S, M (a small black silk bag)</t>
  </si>
  <si>
    <t>one 5-foot square of floor touched</t>
  </si>
  <si>
    <t>This spell functions like rope trick, except the point of entry is through a 5-foot-square instead of a rope. The space holds as many as 10 creatures of any size.  When this spell is cast upon a 5-foot-square part of a wall, it creates an extradimensional space adjacent to the Plane of Shadow. Creatures in the extradimensional space are hidden beyond the reach of spells (including divinations) unless those spells work across planes. The space holds as many as 10 creatures (of any size). The entrance to the extradimensional space remains visible as an area that is darker than the ambient illumination.  Spells cannot be cast across the extradimensional interface, nor can area effects cross it. Those in the extradimensional space can see out of it as if a 5-foot-by-5-foot door or window were centered on the affected surface. The window is invisible (though it is within the shadowed entrance to the spell, which is visible), and even creatures that can see the window from the outside can't see through it. Anything inside the extradimensional space is ejected when the spell ends. Only one creature may enter or exit the extradimensional space at a time.  The entrance is only open when the area around it is in dim light. Any other level of light (brighter or darker) closes the entrance, trapping creatures inside the extradimensional space. If the entrance is closed when the spell expires, there is a 50% chance that creatures in it are ejected into the Shadow Plane instead of the location of the entrance. If this occurs, the creatures appear on the Shadow Plane 1d10 miles in a random direction from their corresponding location on the Material Plane. The spell has no effect if cast on a plane that is not adjacent to the Shadow Plane.  Because the extradimensional space is adjacent to the Shadow Plane, any shadow walk spell or similar effect that allows travel to the Shadow Plane is more accurate, reducing the distance creatures arrive off-target by half.</t>
  </si>
  <si>
    <t>Fire Trail</t>
  </si>
  <si>
    <t>trail of flame that follows the caster's movements; see text</t>
  </si>
  <si>
    <t>When you cast this spell, flammable liquid oozes from your pores, dripping onto the ground and spontaneously combusting. The flame does not harm you. During this spell's duration, each time you leave your space, you create a trail of fire that burns within the spaces you move through for 1 round before it burns out. You can leave up to 60 feet of flame trail each round, assuming you are Small or Medium. If you are larger than Medium, the maximum trail length is reduced based on your size. If you are Large, you can leave a trail up to 30 feet long (and 10 feet wide), and if you are Huge, you can leave a trail up to 15 feet long (and 15 feet wide); even larger casters can only leave a trail up to 10 feet long (and as wide as your space) each round. You choose where to leave a flame trail.  Creatures that start their turn adjacent to the flame trail take 1d6 points of fire damage. Creatures that start their turn within the flame trail or that enter an area of flame take a number of points of fire damage equal to 1d6 + 1 per caster level (maximum +10). If a creature moves into an area of the flame trail multiple times in a round, it takes this damage each time it enters the area of the flame trail. Flammable objects in or adjacent to the fire trail catch fire.</t>
  </si>
  <si>
    <t>Mudball</t>
  </si>
  <si>
    <t>druid 1, magus 1, sorcerer/wizard 1, witch 1</t>
  </si>
  <si>
    <t>single fist-sized blob of sticky mud</t>
  </si>
  <si>
    <t>When you cast this spell, you conjure a single ball of sticky mud and launch it at an enemy's face as a ranged touch attack. If the mudball hits, the target is blinded. Each round at the beginning of its turn, a creature blinded by this spell can attempt a Reflex saving throw to shake off the mud, ending the effect. The mudball can also be wiped off by the creature affected by it or by a creature adjacent to the creature affected by it as a standard action.</t>
  </si>
  <si>
    <t>Vomit Twin</t>
  </si>
  <si>
    <t>creation, teleportation</t>
  </si>
  <si>
    <t>alchemist 3, magus 3, sorcerer/wizard 4, summoner/unchained summoner 3, psychic 4</t>
  </si>
  <si>
    <t>creates one ooze duplicate of the caster</t>
  </si>
  <si>
    <t>Upon casting this spell, you vomit forth a disgusting ooze copy of yourself into a single adjacent square. As long as the twin exists, whenever you take a move action to move, the twin can move as well, although it does not need to follow you and cannot take any other actions. On subsequent rounds, at the start of your turn, you can instantaneously exchange places with your twin, as if using teleport. This is not an action and does not provoke an attack of opportunity.  The twin has a speed of 30 feet and provokes attacks of opportunity from movement as normal. It has an AC equal to 10 + 1/2 your caster level and a number of hit points equal to your caster level. If the twin is reduced to 0 hit points, it is destroyed, although you can create a new one on your turn as a standard action as long as the duration persists. You cannot have more than one vomit twin at a time.</t>
  </si>
  <si>
    <t>Any spell you cast that has a range of touch, close, medium, or long can originate from the twin instead of you. The twin gains a deflection bonus to AC equal to your tier, and has hit points equal to double your caster level. The twin can attempt attacks of opportunity using your base attack bonus, but has no ability score modifiers, skills, or feats. It threatens an area appropriate for your size and wields a copy of the weapon you were wielding when you cast mythic vomit twin. If the twin's weapon is destroyed or disarmed, on your turn the twin generates a new weapon from its own substance. Its attacks deal damage using that weapon's die type.</t>
  </si>
  <si>
    <t>Augmented (5th): If you expend two uses of mythic power, you create two copies when you cast the spell, and both can be active at the same time. If you instead expend three uses of mythic power, you create three copies when you cast the spell, and all three can be active at the same time.</t>
  </si>
  <si>
    <t>Agonizing Rebuke</t>
  </si>
  <si>
    <t>emotion, mind-affecting, pain</t>
  </si>
  <si>
    <t>antipaladin 2, cleric/oracle 3, inquisitor 3, witch 3, psychic 3, mesmerist 2</t>
  </si>
  <si>
    <t>With a word and a gesture, you instill such apprehension in your target that the thought of attacking you causes it mental distress and pain. Each time the target makes an attack against you, targets you with a harmful spell, or otherwise takes and action that would harm you, it takes 2d6 points of nonlethal damage.</t>
  </si>
  <si>
    <t>Chains Of Fire</t>
  </si>
  <si>
    <t>magus 6, sorcerer/wizard 6</t>
  </si>
  <si>
    <t>V, S, F (a drop of oil and a small piece of flint)</t>
  </si>
  <si>
    <t>This spell functions like chain lightning, except as noted above, and the spell deals fire damage instead of electricity damage.</t>
  </si>
  <si>
    <t>Death Candle</t>
  </si>
  <si>
    <t>death, evil, fire</t>
  </si>
  <si>
    <t>antipaladin 1, cleric/oracle 2, inquisitor 2, witch 2</t>
  </si>
  <si>
    <t>This spell functions like death knell, except instead of using the slain target's life energy to enhance yourself, you use it to summon a Small fire elemental resembling a burning, howling version of the slain creature. The elemental acts immediately on your turn and otherwise behaves as if you had summoned it with summon monster II. The elemental remains for a number of rounds equal to the Hit Dice of the slain creature.</t>
  </si>
  <si>
    <t>Firestream</t>
  </si>
  <si>
    <t>magus 3, sorcerer/wizard 3, bloodrager 3</t>
  </si>
  <si>
    <t>20-ft. line</t>
  </si>
  <si>
    <t>concentration, up to 1 round/level; see text</t>
  </si>
  <si>
    <t>A rushing stream of fire sprays from your outstretched hand, dealing 2d6 points of fire damage to every creature in the area. Each round you continue to concentrate on the spell, you can select a new area for it to affect.  Firestream sets fire to combustibles and damages objects in the area. It can melt metals with low melting points, such as lead, gold, copper, silver, and bronze. If the damage caused to an interposing barrier shatters or breaks through it, the firestream may continue beyond the barrier if the area permits; otherwise it stops at the barrier just as any other spell effect does.</t>
  </si>
  <si>
    <t>The damage dealt increases to 2d10 points of fire damage. Any creature that fails its saving throw also catches fire (Core Rulebook 444). The continuous line of fire pushes against all creatures, making them treat the spell's area as difficult terrain.</t>
  </si>
  <si>
    <t>Augmented (4th): If you expend two uses of mythic power, you create a second line of fire using your other hand. If you overlap the lines, creatures in the overlap must attempt two saving throws and take the lower result, but don't take damage from both lines. You may stop either line of fire as a free action on your turn, but once you stop maintaining a line, you must cast mythic firestream again to recreate it.</t>
  </si>
  <si>
    <t>Fury Of The Sun</t>
  </si>
  <si>
    <t>curse, fire</t>
  </si>
  <si>
    <t>You curse the target to suffer unbearable heat. On a failed saving throw, the target is immediately subjected to severe heat (Core Rulebook 444), takes 1d4 points of nonlethal damage, and is suffering from heatstroke (fatigued). The target must save every 10 minutes as normal for severe heat (starting at DC 15 rather than the DC of this spell). Because this heat is internal, the target cannot avoid it using the normal methods for escaping heat dangers such as Survival checks or finding shade.</t>
  </si>
  <si>
    <t>Healing Warmth</t>
  </si>
  <si>
    <t>alchemist 4, cleric/oracle 4, druid 4, inquisitor 4, psychic 4</t>
  </si>
  <si>
    <t>This spell grants you temporary immunity to fire damage as protection from energy. As a standard action, you may sacrifice 12 points of remaining energy absorption from the spell to heal a touched creature of 1d8 points of damage. Healing a creature provokes an attack of opportunity. When the spell has absorbed 12 points of fire damage per caster level (to a maximum of 120 points at 10th level), it is discharged.</t>
  </si>
  <si>
    <t>Scorching Ash Form</t>
  </si>
  <si>
    <t>alchemist 4, sorcerer/wizard 4</t>
  </si>
  <si>
    <t>S, M (a bit of gauze and a handful of ashes)</t>
  </si>
  <si>
    <t>This spell functions like gaseous form, except the target becomes a visible swirl of hot ash and smoke instead of harmless translucent gas. The target gains the fire subtype. Any creature that begins its turn sharing a space with the target takes 2d6 points of fire damage and must make a Fortitude save (DC 15, + 1 per previous check) or suffer the effects of smoke inhalation (Core Rulebook 444).</t>
  </si>
  <si>
    <t>The damage dealt increases to 3d6 points of fire damage. This otherwise makes the same changes as mythic gaseous form.</t>
  </si>
  <si>
    <t>Augmented: If you expend two uses of mythic power, the target can shift into or out of scorching ash form as a move action.</t>
  </si>
  <si>
    <t>Touch Of Combustion</t>
  </si>
  <si>
    <t>druid 1, inquisitor 1, magus 1, sorcerer/wizard 1, witch 1, bloodrager 1, psychic 1</t>
  </si>
  <si>
    <t>Your successful melee touch attack causes the target to ignite in a violent burst of flame, dealing 1d6 points of fire damage. If it fails its saving throw, the target also catches on fire (Core Rulebook 444). If the target catches fire, on the first round thereafter, creatures adjacent to it (including you) must each succeed at a Reflex save or take 1d4 points of fire damage.</t>
  </si>
  <si>
    <t>Improve Trap</t>
  </si>
  <si>
    <t>antipaladin 2, druid 3, inquisitor 3, ranger 2, sorcerer/wizard 3, witch 3</t>
  </si>
  <si>
    <t>one trap</t>
  </si>
  <si>
    <t>When this spell is cast upon a trap, it improves one specific element of the trap chosen at the time of casting. The caster can improve the trap in any of the following ways (each one raises the trap's CR by +1).  • Increase DC of the Perception check required to locate the trap by +5.  • Increase DC of the Disable Device check required to disarm trap by +5.  • Increase the trap's attack bonus or saving throw by +2.  To cast this on a trap, you must know that the trap exists and its precise location. A trap can only have one improvement from this spell at a time. A second casting changes the improvement on the trap, but does not add another improvement.</t>
  </si>
  <si>
    <t>Trap (3)</t>
  </si>
  <si>
    <t>Blood Blaze</t>
  </si>
  <si>
    <t>alchemist 2, antipaladin 1, cleric/oracle 2, magus 2, sorcerer/wizard 2, witch 2, bloodrager 2, psychic 2</t>
  </si>
  <si>
    <t>The target gains a 5-foot-radius aura that causes the blood of creatures in that area to ignite upon contact with air. Any creature (including the spell's target) within the aura that takes at least 5 points of piercing, slashing, or bleed damage from a single attack automatically creates a spray of burning blood. The spray strikes a creature in a randomly determined square adjacent to the injured creature. The spray deals 1d6 points of fire damage to any creature in that square, and 1 point of splash damage to all creatures within 5 feet of the spray's target, including the target of this spell. A creature can only create one spray of burning blood per round. Creatures that do not have blood (including oozes and most constructs and undead) do not create blood sprays when attacked.</t>
  </si>
  <si>
    <t>Blood Scent</t>
  </si>
  <si>
    <t>alchemist 3, antipaladin 2, cleric/oracle 3, druid 3, inquisitor 3, ranger 2, sorcerer/wizard 3, witch 3, bloodrager 3, psychic 3</t>
  </si>
  <si>
    <t>one creature/2 levels, no two of which can be more than 30 ft. apart</t>
  </si>
  <si>
    <t>You greatly magnify the target's ability to smell the presence of blood. The target is considered to have the scent universal monster ability, but only for purposes of detecting and pinpointing injured creatures (below full hit points). Creatures below half their full hit points or suffering bleed damage are considered strong scents for this ability.  Orcs and any creature under the effects of rage gain a +2 morale bonus on attack and damage rolls against creatures they can smell with this spell, or a +4 morale bonus if the target's blood counts as a strong scent.</t>
  </si>
  <si>
    <t>Enemy's Heart</t>
  </si>
  <si>
    <t>adept 2, antipaladin 2, cleric/oracle 2, witch 2</t>
  </si>
  <si>
    <t>1 full-round action, special see below</t>
  </si>
  <si>
    <t>V, S, M (target creature's heart)</t>
  </si>
  <si>
    <t>concentration/1 minute per HD of the subject; see text</t>
  </si>
  <si>
    <t>You cut out an enemy's heart and consume it, absorbing that enemy's power as your own. As part of casting this spell, you perform a coup de grace with a slashing weapon on a helpless, living adjacent target. If the target dies, you eat its heart to gain the spell's benefits. If the target survives, the spell is not wasted and you can try again as long as you continue concentrating on the spell. When you consume the heart, you gain the benefits of a death knell spell, except you gain 1d8 temporary hit points +1 per Hit Die of the target, and the bonus to Strength is a profane bonus.</t>
  </si>
  <si>
    <t>Cannibalism (2)</t>
  </si>
  <si>
    <t>Sentry Skull</t>
  </si>
  <si>
    <t>antipaladin 1, cleric/oracle 2, sorcerer/wizard 2, witch 2</t>
  </si>
  <si>
    <t>V, S, M (an onyx gem worth at least 10 gp)</t>
  </si>
  <si>
    <t>severed head touched</t>
  </si>
  <si>
    <t>permanent (D); see text</t>
  </si>
  <si>
    <t>You restore the senses to the severed head of a humanoid or monstrous humanoid killed within the past 24 hours, creating a grisly sentinel. The head must be affixed to a pole, spear, tree branch, or other stable object, and the spell ends if the head or its object is moved. The head has darkvision 60 feet and low-light vision, can swivel in place to look in any direction, and has a +5 bonus on Perception checks.  If you are within 30 feet of the head, as a standard action you can shift your senses to it, seeing and hearing from its location and gaining the benefit of its darkvision and low-light vision, and you may use its Perception skill instead of your own. While your senses are in the severed head, your body is blind and deaf until you spend a free action to shift your senses back to your own body.  When you create the head, you can imprint it with a single triggering condition, similar to magic mouth. Once this triggering condition is set, it can never be changed. If you are within 30 feet of the head, you immediately know if it is triggered (if you have multiple active sentry skulls, you also know which one was triggered). This wakens you from normal sleep but does not otherwise disturb your concentration. For example, you could have a sentry skull alert you if any humanoid comes into view, if a particular rival approaches, if your guard animal is killed, and so on, as long as it occurs where the severed head can see it.  This spell does not give the head any ability to speak, think, or take any kind of action other than to turn itself, though it is a suitable target for other spells such as magic mouth.</t>
  </si>
  <si>
    <t>Binding Earth</t>
  </si>
  <si>
    <t>one creature or unattended object (see text)</t>
  </si>
  <si>
    <t>If the target of this spell fails its Fortitude save, areas of earth and stone floor act as a snapping quagmire that pulls the target down and damages it if it attempts to move through such terrain.  If the target is a creature, it treats all areas of earth and stone it moves through as difficult terrain. Furthermore, for each 5 feet a creature moves through such areas, it takes 1d6 points of damage. Creatures with a burrow speed or the earth glide ability are unaffected by binding earth.  If cast on an unattended object resting on an area of stone or earth, the stone or earth warps and wraps around it, pulling it firmly to the ground. A DC 15 Strength check is required to pull the object free from snapping earth or stone.</t>
  </si>
  <si>
    <t>Binding Earth, Mass</t>
  </si>
  <si>
    <t>This spell functions as binding earth, except as noted above.</t>
  </si>
  <si>
    <t>Mighty Fist Of The Earth</t>
  </si>
  <si>
    <t>You create a fist-sized rock that flies toward one enemy. Make an unarmed strike attack roll against the target as if it were in your threatened area. If the attack is successful, the rock deals bludgeoning damage to the target as if you had hit the target with your unarmed strike. If you have a ki pool, as long as you have at least 1 point in your ki pool, the rock counts as a ki strike.  At 4th level, a qinggong monk (Ultimate Magic 51) may select this spell as a ki power costing 1 ki point to activate (if the monk has 0 ki points after activating this ki power, the rock does not count as a ki strike).</t>
  </si>
  <si>
    <t>Add your tier to the rock's attack roll and damage roll. Increase the critical multiplier of the attack by 1 (maximum x4).</t>
  </si>
  <si>
    <t>Raging Rubble</t>
  </si>
  <si>
    <t>bard 3, cleric/oracle 3, druid 3, sorcerer/wizard 3, witch 3, bloodrager 3</t>
  </si>
  <si>
    <t>one swarm of stones</t>
  </si>
  <si>
    <t>You animate an area of rubble, gravel, or other small stones, creating a dangerous, rolling area of debris. The animated rubble has a space of 10 feet and acts like a swarm, damaging (1d6 hit points) and distracting (DC 12) anything within it. As a move action, you can direct the rubble to move up to 10 feet. If the rubble is attacked, treat it as a Medium animated object with the young creature simple template and the swarm subtype.</t>
  </si>
  <si>
    <t>Stone Shield</t>
  </si>
  <si>
    <t>cleric/oracle 1, druid 1, magus 2, sorcerer/wizard 1, summoner/unchained summoner 1</t>
  </si>
  <si>
    <t>stone wall whose area is one 5-ft. square</t>
  </si>
  <si>
    <t>A 1-inch-thick slab of stone springs up from the ground, interposing itself between you and an opponent of your choice. The stone shield provides you with cover from that enemy (Core Rulebook 195) until the beginning of your next turn, granting you a +4 bonus to Armor Class and a +2 bonus on Reflex saving throws. If the opponent's attack misses you by 4 or less, the attack strikes the shield instead. The stone shield has hardness 8 and 15 hit points. If the shield is destroyed, the spell ends and the shield crumbles away into nothingness. Spells and effects that damage an area deal damage to the shield.  You cannot use this spell if you are not adjacent to a large area of earth or stone such as the ground or a wall. At 4th level, a qinggong monk (Ultimate Magic) may select this spell as a ki power costing 1 ki point to activate.</t>
  </si>
  <si>
    <t>Alchemical Tinkering</t>
  </si>
  <si>
    <t>cleric/oracle 2, sorcerer/wizard 1, witch 1</t>
  </si>
  <si>
    <t>firearm or alchemical item touched</t>
  </si>
  <si>
    <t>You transform one alchemical item or firearm into another alchemical item or firearm of the same or lesser cost. Magic items are unaffected by this spell. At the end of the spell's duration, alchemical items used while transformed are destroyed and do not return to a usable state and firearms transformed revert back to their original type.</t>
  </si>
  <si>
    <t>Delay Disease</t>
  </si>
  <si>
    <t>alchemist 2, cleric/oracle 2, druid 2, inquisitor 2, paladin 2, ranger 2, witch 1, mesmerist 2</t>
  </si>
  <si>
    <t>1 day</t>
  </si>
  <si>
    <t>The target becomes temporarily immune to disease. Any disease to which it is exposed during the spell's duration does not affect the target until the spell's duration has expired. If the target is currently infected with a disease, you must make a caster level check against the disease's DC to suspend it for the duration of the spell; otherwise, that disease affects the target normally. Delay disease does not cure any damage a disease may have already done.</t>
  </si>
  <si>
    <t>Sickening Strikes</t>
  </si>
  <si>
    <t>alchemist 2, antipaladin 2, druid 2, magus 3, ranger 4, witch 2</t>
  </si>
  <si>
    <t>You are imbued with disease, and any creature you strike with a melee attack must make a Fortitude save or be sickened for 1 minute. Creatures that are immune to disease are immune to this sickened effect.</t>
  </si>
  <si>
    <t>Absorbing Inhalation</t>
  </si>
  <si>
    <t>alchemist 4, druid 4, sorcerer/wizard 4, bloodrager 4</t>
  </si>
  <si>
    <t>one cloud-like effect, up to one 10-ft. cube/level</t>
  </si>
  <si>
    <t>You grant your lungs inhuman strength and capacity, allowing you to harmlessly and completely inhale one gas, fog, smoke, mist, or similar cloud-like effect. If the targeted cloud is a magical effect, you must succeed at a caster level check (DC 11 + the effect's caster level) to inhale it. Inhaling the cloud removes it from the area, leaving normal air in its place. If the cloud is too large for you to affect with a single casting of this spell, you may instead inhale a portion of the cloud, but you must inhale the portion of the cloud closest to you. This spell has no effect on gaseous creatures. It can only affect an instantaneous-duration cloud (such as a breath weapon) if you ready an action to cast the spell in response.  While inhaled, the cloud does not harm you. You may keep the cloud harmlessly contained within you for up to 1 round per level, but you must hold your breath to do so (even if you do not normally have to breathe). If the cloud has a duration, the time the cloud is contained within you counts toward that duration. As a standard action, you may release the stored cloud as a breath weapon, filling a 60-foot cone (or the cloud's original area, if smaller than a 60-foot cone). Any creature in the breath's area is subject to its normal effects, making saving throws and spell resistance checks as appropriate against the cloud's original DC. The exhaled cloud resumes its duration, if any. Exhaling the stored cloud ends this spell. If you do not exhale the cloud before this spell's duration expires, you suffer the cloud's effects and automatically fail any saving throw to resist it.</t>
  </si>
  <si>
    <t>Cloud Shape</t>
  </si>
  <si>
    <t>druid 4, ranger 4, sorcerer/wizard 4</t>
  </si>
  <si>
    <t>This spell functions like gaseous form, except you assume the shape of a Colossal cloud with a space of 30 feet. You choose the general appearance of the cloud (white, stormy, fluffy, flat, and so on), after which your appearance cannot be changed. Even the closest inspection cannot reveal that the cloud in question is actually a magically concealed creature. To all normal tests you are, in fact, a cloud, although a detect magic spell reveals a moderate transmutation aura on the cloud. Your fly speed in cloud form is 30 feet.</t>
  </si>
  <si>
    <t>Gusting Sphere</t>
  </si>
  <si>
    <t>5-ft.-diameter sphere of air</t>
  </si>
  <si>
    <t>Fortitude negates (object) or Reflex negates; see text</t>
  </si>
  <si>
    <t>A swirling ball of wind rolls in whichever direction you point, hurling those it strikes with great force. The sphere is treated in all ways as an area of severe wind (Core Rulebook 439), applying a -4 penalty on ranged weapon attacks that pass through it. The sphere moves 30 feet per round. As part of this movement, it can ascend or jump up to 30 feet to strike a target. If it enters a space containing a Medium or smaller creature, it stops moving for that round and generates a sharp thrust of wind to bull rush the creature. The sphere's CMB for bull rush combat maneuvers uses your caster level in place of its base attack bonus, with a +2 bonus for its Strength score (14). Whether or not the bull rush is successful, the creature takes 1d6 points of nonlethal bludgeoning damage from the attack. If the bull rush fails, the creature is still subject to the severe winds from the sphere as long as they remain in the same square as it. A gusting sphere rolls over objects or barriers that are less than 4 feet tall.  The sphere moves as long as you actively direct it (a move action for you); otherwise, it merely stays at rest. A gusting sphere immediately dissipates if it exceeds the spell's range.</t>
  </si>
  <si>
    <t>Miasmatic Form</t>
  </si>
  <si>
    <t>air, poison</t>
  </si>
  <si>
    <t>S, M (contact or inhaled poison worth 100 gp)</t>
  </si>
  <si>
    <t>This spell functions like gaseous form, except the target's vaporous body is dangerous to creatures that touch it. A creature can make a Fortitude save (DC 14 + your Intelligence modifier) on its turn to resist the vapors. When you cast this spell, you select one of the following options.  Stinking cloud: The target's body nauseates creatures that fail their saving throws, as stinking cloud (Fortitude negates, see text). This form of the spell does not require a material component.  Poisonous cloud: The target's body is deadly poison, dealing 1d2 points of Constitution damage to creatures that fail their saves (Fortitude halves). This form of the spell requires a material component.</t>
  </si>
  <si>
    <t>Nanite (9)</t>
  </si>
  <si>
    <t>Path Of The Winds</t>
  </si>
  <si>
    <t>100 ft.</t>
  </si>
  <si>
    <t>40-ft.-high downdraft of wind in a 100-foot line</t>
  </si>
  <si>
    <t>concentration + 1 round</t>
  </si>
  <si>
    <t>With a sweeping gesture, you call forth mighty winds to clear a path ahead of you. The winds are the equivalent of a windstorm (Core Rulebook 439). During the first round of the spell, the winds sweep the designated area clear of anything  of Small or smaller size, blowing it outward to the sides of the spell's effect (50% chance of landing on either side). You may move within the effect without penalty, though all other creatures are subject to the wind's effects. On the second and all later rounds of the spell, the edges of the effect are treated as a wind wall. If the effect includes a body of water or other liquid, the winds create a channel up to 40 feet deep into the surface of the liquid. On your turn as a move action, you can move the effect of this spell, either rotating it at one of its ends up to 45 degrees, or moving it up to 50 feet in line with its current orientation (toward you or away from you).</t>
  </si>
  <si>
    <t>Wind Blades</t>
  </si>
  <si>
    <t>druid 5, magus 5, sorcerer/wizard 5, witch 5</t>
  </si>
  <si>
    <t>You harden the air around the target into jagged invisible blades that deal damage based on how fast the target moves. On its turn, the target takes 1d6 points of slashing damage if it moves at least 5 feet, plus 1d6 points of slashing damage for each additional 10 feet of movement. Movement that doesn't pass through air (such as burrowing, swimming, or teleportation) doesn't cause this damage.  In areas of strong wind (Core Rulebook 439), the target takes damage on its turn, even if it doesn't move. The wind deals 1d8 points of slashing damage for strong wind, plus 1d8 for every wind category above strong. This extra damage does not occur from instantaneous wind effects (such as gust of wind), only from wind effects that last at least 1 round.</t>
  </si>
  <si>
    <t>Windy Escape</t>
  </si>
  <si>
    <t>bard 1, druid 1, magus 1, sorcerer/wizard 1, bloodrager 1</t>
  </si>
  <si>
    <t>You respond to an attack by briefly becoming vaporous and insubstantial, allowing the attack to pass harmlessly through you. You gain DR 10/magic against this attack and are immune to any poison, sneak attacks, or critical hit effect from that attack.  You cannot use windy escape against an attack of opportunity you provoked by casting a spell, using a spell-like ability, or using any other magical ability that provokes an attack of opportunity when used.</t>
  </si>
  <si>
    <t>Commune With Birds</t>
  </si>
  <si>
    <t>bard 2, druid 1, ranger 1, sorcerer/wizard 2, witch 2, shaman 2, psychic 2, mesmerist 2</t>
  </si>
  <si>
    <t>You utter a question in the form of a low-pitched bird call that can be heard up to a mile away, and can understand the responses given by birds in the area. Over the next 10 minutes, the birds reply as if you had asked them the question using speak with animals, giving you a general consensus answer to the question based on their knowledge. For example, you could ask if there is drinkable water in the area, the location of predators or other creatures, directions to a mountaintop or other natural feature, and so on, and the local bird communities would answer to the best of their ability.  If there are no birds in range, the spell has no effect and you do not get a response. Any creature using speak with animals (or a similar ability) who hears this bird call can understand your question, though it may not be able to reply in a way you can hear.</t>
  </si>
  <si>
    <t>Theft Ward</t>
  </si>
  <si>
    <t>cleric/oracle 1, inquisitor 1, sorcerer/wizard 1, witch 1, mesmerist 1</t>
  </si>
  <si>
    <t>You ward a single object in your possession against theft. You gain a +10 bonus on Perception checks to notice someone trying to take the object from you.</t>
  </si>
  <si>
    <t>Winter Feathers</t>
  </si>
  <si>
    <t>cleric/oracle 1, druid 1, inquisitor 1, ranger 1, sorcerer/wizard 1, bloodrager 1</t>
  </si>
  <si>
    <t>feathered creature touched</t>
  </si>
  <si>
    <t>The target's feathers thicken and fluff up to ward against winter's chill. The target suffers no harm from being in a cold environment, and can exist comfortably in conditions as low as -50 degrees Fahrenheit without having to make Fortitude saves. The creature's equipment is likewise protected. This spell doesn't provide any protection from cold damage, nor does it protect against other environmental hazards associated with cold weather (such as slipping on ice, blindness from snow, and so on).  When you cast this spell, you may have the target's feathers turn white for the duration, granting it a +4 circumstance bonus on Stealth checks to hide in ice and snow.</t>
  </si>
  <si>
    <t>Damnation Stride</t>
  </si>
  <si>
    <t>sorcerer/wizard 5, summoner/unchained summoner 4, witch 5</t>
  </si>
  <si>
    <t>you (teleportation) and creatures within a 10-foot-radius burst (burst of flame) (see text)</t>
  </si>
  <si>
    <t>Reflex half, see text</t>
  </si>
  <si>
    <t>This spell functions like dimension door, except you leave behind a burst of fire. Choose one corner of your starting square. A 10-foot-radius burst of flame explodes from that corner the moment you leave, dealing 4d6 points of fire damage.</t>
  </si>
  <si>
    <t>Hellmouth Lash</t>
  </si>
  <si>
    <t>acid, electricity, or fire</t>
  </si>
  <si>
    <t>sorcerer/wizard 4, witch 4, bloodrager 4</t>
  </si>
  <si>
    <t>Upon casting this spell, your tongue transforms into an energy whip weapon that can deal acid, electricity, or fire damage. You choose what type of energy damage the spell deals when you cast it. You attack with your tongue as if it were a whip, except you make touch attacks with it and it can harm creatures with armor or natural armor bonuses. You are considered proficient with this weapon. A successful touch attack with the tongue deals 1d8 points of energy damage per two caster levels (maximum of 5d8 points of damage at 10th level).  While the spell is in effect, you cannot speak, cast spells requiring verbal components, or activate items requiring command words.  The spell has the acid, electricity, or fire descriptor, depending on what type of energy damage you chose when you cast it.</t>
  </si>
  <si>
    <t>Marid's Mastery</t>
  </si>
  <si>
    <t>cleric/oracle 1, druid 1, ranger 1, sorcerer/wizard 1, witch 1</t>
  </si>
  <si>
    <t>The target gains a +1 bonus on attack and damage rolls if it and its opponent are touching water. If the opponent or the target is touching the ground, the target takes a -4 penalty on attack and damage rolls.</t>
  </si>
  <si>
    <t>Nereid's Grace</t>
  </si>
  <si>
    <t>druid 1, witch 1</t>
  </si>
  <si>
    <t>You radiate the unearthly grace of a nereid. If you're not wearing armor, you gain a deflection bonus to your AC and CMD equal to your Charisma bonus (maximum +3). The maximum increases by 1 for every 6 levels you possess (maximum +6 at 18th level).</t>
  </si>
  <si>
    <t>Nixie's Lure</t>
  </si>
  <si>
    <t>bard 3, druid 4, sorcerer/wizard 4, summoner/unchained summoner 4, witch 4, psychic 3, mesmerist 3</t>
  </si>
  <si>
    <t>300 ft.</t>
  </si>
  <si>
    <t>all creatures within a 300-ft.-radius burst centered on you</t>
  </si>
  <si>
    <t>This spell creates an unearthly and infectious song that seductively summons all who hear it. Nixie's lure affects a maximum of 24 Hit Dice of creatures. Creatures in the area who fail their saves are lured by the song and move toward you using the most direct means available. If the path leads them into a dangerous area such as through fire or off a cliff, the creatures each receive a second saving throw to end the effect before moving into peril. Creatures lured by the spell's song can take no actions other than to defend themselves. A victim within 5 feet of you simply stands still and for the duration of the spell remains fascinated.</t>
  </si>
  <si>
    <t>Undine's Curse</t>
  </si>
  <si>
    <t>curse, evil</t>
  </si>
  <si>
    <t>sorcerer/wizard 1, witch 1</t>
  </si>
  <si>
    <t>The target loses its body's natural ability to breathe automatically. As long as it remains conscious and is able to take physical actions, it keeps breathing and is able to function normally. If it is ever unconscious (including sleeping) or unable to take physical actions, it stops breathing, must hold its breath, and might begin to suffocate. Creatures that do not have to breathe are immune to this spell.</t>
  </si>
  <si>
    <t>Sow Thought</t>
  </si>
  <si>
    <t>bard 1, sorcerer/wizard 1, witch 1, psychic 1, mesmerist 1</t>
  </si>
  <si>
    <t>You plant an idea, concept, or suspicion in the mind of the subject. The target genuinely believes that the idea is his own, but is not required to act upon it. If the idea is contrary to the target's normal thoughts (such as making a paladin think, "I should murder my friends") the target may suspect mind-altering magic is at play. The idea must be fairly clear, enough so that it can be conveyed in one or two sentences. You do not need to share a common language for the spell to succeed, but without a common language you can only sow the most basic rudimentary ideas.</t>
  </si>
  <si>
    <t>Innuendo (1)</t>
  </si>
  <si>
    <t>Aboleth's Lung</t>
  </si>
  <si>
    <t>cleric/oracle 2, druid 2, sorcerer/wizard 2, witch 2</t>
  </si>
  <si>
    <t>V, S, M/DF (piece of seaweed)</t>
  </si>
  <si>
    <t>The targets are able to breathe water, freely. However, they can no longer breathe air. Divide the duration evenly among all the creatures you touch. This spell has no effect on creatures that can already breathe water.</t>
  </si>
  <si>
    <t>Fins To Feet</t>
  </si>
  <si>
    <t>druid 3, sorcerer/wizard 3, witch 3, shaman 3</t>
  </si>
  <si>
    <t>You transform the target's fins, flippers, or tail into legs and feet, allowing it to walk on land. The target loses its swim speed but gains a base speed appropriate for a humanoid of its size (speed 30 if a Medium or larger creature, speed 20 if Small). If the creature is immersed in water for 1 round, the transformation reverts, allowing it to swim normally. One round after leaving the water, the transformation occurs again, allowing it to walk.  This spell only works on merfolk, tritons, seals, fish, and other creatures whose bodies or limbs are used mainly for swimming and are not suitable for walking. It does not give the target the ability to breathe air.</t>
  </si>
  <si>
    <t>Karmic Blessing</t>
  </si>
  <si>
    <t>cleric/oracle 1, witch 1</t>
  </si>
  <si>
    <t>The target treats one skill of your choice as a class skill.</t>
  </si>
  <si>
    <t>Strong Wings</t>
  </si>
  <si>
    <t>druid 1, ranger 1, sorcerer/wizard 1, witch 1, bloodrager 1</t>
  </si>
  <si>
    <t>The target's wings grow more powerful, causing its fly speed to increase by +10 feet and its maneuverability to improve by one category (to a maximum of good). This increase counts as an enhancement bonus. This spell has no effect on wingless creatures or winged creatures that cannot f ly.</t>
  </si>
  <si>
    <t>Imbue With Elemental Might</t>
  </si>
  <si>
    <t>cleric/oracle 2, magus 2, sorcerer/wizard 2, bloodrager 2, shaman 2</t>
  </si>
  <si>
    <t>24 hours or until discharged (D)</t>
  </si>
  <si>
    <t>This spell functions like imbue with spell ability, except you transfer the use of your elemental assault ability to the target. The target must have an Intelligence score of at least 5 to use the ability. The imbued elemental assault functions exactly like yours, except the ability's duration is based on the target's level or Hit Dice. Once you cast this spell, you cannot use your elemental assault ability until the duration of the spell is over.</t>
  </si>
  <si>
    <t>Earth Glide</t>
  </si>
  <si>
    <t>alchemist 4, druid 4, sorcerer/wizard 4, bloodrager 4, shaman 4</t>
  </si>
  <si>
    <t>The target can pass through stone, dirt, or almost any other sort of earth except metal as easily as a fish swims through water, traveling at a speed of 5 feet. If protected against fire damage, it can move through lava. This movement leaves behind no tunnel or hole, nor does it create any ripple or other sign of its presence. It requires as much concentration as walking, so the subject can attack or cast spells normally, but cannot charge or run. Casting move earth on an area containing the target flings the target back 30 feet, stunning it for 1 round (DC 15 Fortitude negates). This spell does not give the target the ability to breathe underground, so when passing through solid material, the creature must hold its breath.</t>
  </si>
  <si>
    <t>Prehensile Pilfer</t>
  </si>
  <si>
    <t>alchemist 3, bard 3, magus 3, sorcerer/wizard 3</t>
  </si>
  <si>
    <t>The target's tail moves and acts more quickly, almost with a mind of its own. When making a full-attack action, the target may use its tail to make a dirty trick or steal combat maneuver as a swift action. For the purpose of this attack, the target's tail is a natural weapon with a reach of 5 feet. This spell has no effect on creatures lacking a prehensile tail. If the target already has an extra attack from haste or a similar effect, this spell only allows the tail to make dirty trick and steal combat maneuvers, but does not grant an extra attack.</t>
  </si>
  <si>
    <t>Squeeze</t>
  </si>
  <si>
    <t>alchemist 2, sorcerer/wizard 2, witch 2</t>
  </si>
  <si>
    <t>The target becomes flexible regardless of its actual size and mass. It can move through areas at least half its size with no penalty for squeezing. It can move through a space at least one-quarter its width using the penalties for squeezing through a space at least half its width.</t>
  </si>
  <si>
    <t>Shadow Anchor</t>
  </si>
  <si>
    <t>a shadowy shadow tether</t>
  </si>
  <si>
    <t>The target's shadow becomes a flexible tether to its current square. The creature can move up to 5 feet from that square without penalty. Moving farther than 5 feet from the tether point requires the target to make a bull rush combat maneuver check against a CMB of 10 + 1/2 your caster level + your Intelligence modifier (if a witch or wizard) or Charisma modifier (if a bard or sorcerer). The target takes a -1 penalty for every 5 feet of distance between it and its tethered square. Failing this check means the target's move is wasted and it cannot move farther away. If it fails this check by 10 or more, it is pulled 5 feet toward the tether square and is knocked prone. If it beats the check by 10 or more, the spell ends. This spell does not work on creatures that do not cast shadows or reflections. If the target uses a teleportation effect or leaves the current plane, the spell ends.</t>
  </si>
  <si>
    <t>Add your tier to the CMD of the shadow tether. A creature attempting to escape the shadow tether using planar travel or teleportation must succeed at a Will saving throw or be shunted to the Plane of Shadow instead of its intended destination, as if it had cast shadow walk (if the target could not reach the Shadow Plane from its current location using shadow walk, this aspect of the spell has no effect).</t>
  </si>
  <si>
    <t>Blood Money</t>
  </si>
  <si>
    <t>magus 1, sorcerer/wizard 1, witch 1</t>
  </si>
  <si>
    <t>1 material component</t>
  </si>
  <si>
    <t>You cast blood money just before casting another spell. As part of this spell's casting, you must cut one of your hands, releasing a stream of blood that causes you to take 1d6 points of damage. When you cast another spell in that same round, your blood transforms into one material component of your choice required by that second spell. Even valuable components worth more than 1 gp can be created, but creating such material components requires an additional cost of 1 point of Strength damage, plus a further point of damage for every full 500 gp of the component's value (so a component worth 500-999 gp costs a total of 2 points, 1,000-1,500 costs 3, etc.). You cannot create magic items with blood money.  For example, a sorcerer with the spell stoneskin prepared could cast blood money to create the 250 gp worth of diamond dust required by that spell, taking 1d6 points of damage and 1 point of Strength damage in the process.  Material components created by blood money transform back into blood at the end of the round if they have not been used as a material component. Spellcasters who do not have blood cannot cast blood money, and those who are immune to Strength damage (such as undead spellcasters) cannot use blood money to create valuable material components.</t>
  </si>
  <si>
    <t>RotRL-AE-Appendix</t>
  </si>
  <si>
    <t>Covetous Aura</t>
  </si>
  <si>
    <t>bard 5, sorcerer/wizard 5</t>
  </si>
  <si>
    <t>25-ft.-radius emanation centered on you</t>
  </si>
  <si>
    <t>Anytime a harmless (so noted by a spell's saving throw description) spell of 3rd level or lower is cast within a covetous aura's area of effect, you may choose to immediately gain the benefit of that spell as if it had also targeted you. The intended target still gains the effect of the spell. You gain the benefits of this duplicated spell only if the caster is in range of the covetous aura. You are considered the caster of the additional spell effect. If the effect allows for multiple targets other than yourself, you cannot use the stolen spell effect to target other creatures-a covetous aura only aids you. Once you choose to gain the benefit of another spell, the covetous aura immediately ends. Rumors hold that this unusual spell was invented thousands of years ago by Runelord Belimarius, who was constantly jealous of other spellcasters' abilities.</t>
  </si>
  <si>
    <t>The duration of the covetous aura increases to 1 minute perlevel or until discharged. You may gain the benefits of spells of5th level or lower cast within the aura's area of effect. You cangain the effects of two separate spells, after which the mythiccovetous aura ends.</t>
  </si>
  <si>
    <t>Augmented (6th): If you expend two uses of mythicpower, the duration increases to 10 minutes per level or untildischarged. You may gain the benefits of spells of 7th level orlower cast within the aura's area of effect. When you gain thebenefit of a spell, the original spell is immediately targeted witha greater dispel magic spell at your caster level. If the dispelcheck succeeds, the spell ends for any of the original recipientsin the area of your covetous aura.</t>
  </si>
  <si>
    <t>Deathwine</t>
  </si>
  <si>
    <t>alchemist 2, cleric/oracle 2, sorcerer/wizard 3, witch 3</t>
  </si>
  <si>
    <t>1 potion touched/level</t>
  </si>
  <si>
    <t>none (object)</t>
  </si>
  <si>
    <t>no (object)</t>
  </si>
  <si>
    <t>This spell allows you to turn a potion into a temporary pool of necromantic energy. Only a potion created using a conjuration (healing) spell can be affected by this spell. An affected potion turns dark red and reveals a necromantic aura if detect magic is cast on it while it remains under this spell's effects.  When you drink a potion affected by this spell, you do not gain the potion's normal effect. Instead, the first necromancy spell you cast within the next minute is cast at a higher caster level. The bonus to caster level is equal to the spell level of the spell used to create the potion that deathwine affects. For example, a 5th-level wizard who drinks deathwine made from a potion of cure serious wounds would cast his next necromancy spell as an 8th-level caster, as cure serious wounds i s a 3 rd-level spell.  In addition, any undead creature (or other creature healed by negative energy) that drinks a potion affected by deathwine is healed of 1d8 points of damage. Any potion not imbibed before this spell's duration expires is destroyed at the end of the deathwine's duration.</t>
  </si>
  <si>
    <t>Sign Of Wrath</t>
  </si>
  <si>
    <t>V, S, F (a gem worth 1,000 gp inscribed with the Thassilonian symbol of wrath)</t>
  </si>
  <si>
    <t>25-ft.-radius burst centered on you</t>
  </si>
  <si>
    <t>A giant, glowing symbol of wrath appears below you, forcibly repulsing all nearby creatures. All creatures within the area of effect take 1d6 points of force damage per caster level (maximum 15d6) and are subjected to a bull rush that attempts to push them directly away from you. The blast's bull rush effect has a CMB bonus equal to your caster level + your Intelligence, Wisdom, or Charisma modifier (whichever is highest). You are unaffected by both the spell's damage and its bull rush effect, and may select up to one creature per 4 caster levels to also be ignored by the spells effects.</t>
  </si>
  <si>
    <t>Swipe</t>
  </si>
  <si>
    <t>bard 2, sorcerer/wizard 3</t>
  </si>
  <si>
    <t>one held item</t>
  </si>
  <si>
    <t>instant</t>
  </si>
  <si>
    <t>By flicking a finger in the appropriate direction and proclaiming ownership, you attempt to magically wrest an item from the target's grip and summon it to your hand. To claim an object held by an opponent, you must make a CMB check-this check has a bonus equal to your caster level + your Intelligence, Wisdom, or Charisma modifier (whichever is highest). If you fail this check, the target retains the item and the spell fails. If you succeed, the item teleports into one of your free hands or comes to rest at your feet.</t>
  </si>
  <si>
    <t>Unconscious Agenda</t>
  </si>
  <si>
    <t>bard 6, inquisitor 6, sorcerer/wizard 6, witch 6</t>
  </si>
  <si>
    <t>Close (25 ft. + 5 ft./2 levels)</t>
  </si>
  <si>
    <t>One humanoid</t>
  </si>
  <si>
    <t>One week/level or until discharged (D)</t>
  </si>
  <si>
    <t>This spell plants a subconscious directive in the target's mind that forces him to act as you dictate when specific circumstances arise. The target humanoid can be either conscious or unconscious, but must understand your language. Upon casting this spell, you must state a course of action you wish the target to take. This course of action must be described in 20 words or fewer. You must then state the condition under which you wish the target to take this action, also describing it in 20 or fewer words. Actions or conditions more elaborate than 20 words cause the spell to fail. Unconscious agenda cannot compel a target to kill himself, though it can compel him to perform exceedingly dangerous acts, face impossible odds, or undertake almost any other course of activity. You cannot issue new commands to the target after the spell is cast.  If the target fails his save against this spell, he is not compelled to act in any way until the specified trigger circumstances are encountered. He also has no knowledge of the details of the spell affecting him, and has no memory of the last 10 minutes (although he might come to notice the missing time or the presence of the caster). He can function as he wishes until the events you detailed as the condition take place. Upon experiencing the prerequisite condition, the target is forced to perform the course of action you described as per the spell dominate person. (If the compelled action is against the victim's nature, he immediately gains a new saving throw at a +5 bonus against the spell to end its effects.) For the next hour, the target acts as you dictated, doing all he can to fulfill your command. If, at the end of the hour, the target still has not completed your command, the target is released from the enchantment and the spell ends. Once the course of action is completed, the spell ends. The target has full memory of acts performed during this hour.  It's difficult to detect an unconscious agenda before the spell is triggered. Casting detect magic on one affected by it only reveals an aura of enchantment if the caster of detect magic has a higher caster level then the caster of unconscious agenda. Even if the spell is detected, it can only be removed by break enchantment, limited wish, remove curse, miracle, or wish. Dispel magic does not affect unconscious agenda.</t>
  </si>
  <si>
    <t>Ironbloom Sprouts</t>
  </si>
  <si>
    <t>V, S, DF, M (1 gp worth of powdered iron)</t>
  </si>
  <si>
    <t>2d4 fresh mushrooms touched</t>
  </si>
  <si>
    <t>This spell functions like goodberry, except as noted above and that it transforms 2d4 mushrooms into magical ironbloom mushrooms rather than transforming common berries into magical berries. Alternatively, you may create twice as many mushrooms, but each only has the nourishment ability of a goodberry and not the healing properties.</t>
  </si>
  <si>
    <t>AP 62</t>
  </si>
  <si>
    <t>Torag</t>
  </si>
  <si>
    <t>Bed Of Iron</t>
  </si>
  <si>
    <t>inquisitor 1, magus 1, paladin 1, sorcerer/wizard 1</t>
  </si>
  <si>
    <t>V, S, M (a feather or swatch of soft fabric)</t>
  </si>
  <si>
    <t>This spell makes even the clunkiest armor feel soft as silk to the wearer. The subjects of this spell are able to sleep comfortably in medium or heavy armor without suffering from fatigue the following day.</t>
  </si>
  <si>
    <t>Knights Of The Inner Sea</t>
  </si>
  <si>
    <t>Carry Companion</t>
  </si>
  <si>
    <t>druid 2, paladin 2, ranger 2, sorcerer/wizard 2, witch 2</t>
  </si>
  <si>
    <t>V, S, M (a pinch of sand or limestone dust)</t>
  </si>
  <si>
    <t>one willing creature touched</t>
  </si>
  <si>
    <t>You touch an animal or magical beast that has a helpful attitude toward you, instantly transforming the creature into a miniature figurine of stone, small enough to fit into the palm of your hand. Creatures with an attitude of less than helpful will not tolerate this spell, and it automatically fails to work on them. An intelligent animal or magical beast must be a willing subject in order for this spell to take effect. Any items that the creature wears (such as a harness or saddle) or carries (such as those stowed in saddlebags) are transformed along with the creature.  While miniaturized, the creature is under an effect similar to that of a flesh to stone spell: It is mindless and inert, and does not seem alive when viewed with spells like deathwatch. However, you may return the creature to its normal form at any time simply by placing the figurine on the ground, touching it, and uttering a word of command. Otherwise, the creature remains in miniature form unless the spell is broken, such as by dispel magic or stronger magic. Unlike a flesh to stone spell, a creature affected by carry companion is unaffected by stone to flesh. If the miniature figurine is broken or damaged, the creature (if returned to its original state) has similar damage or deformities.</t>
  </si>
  <si>
    <t>Clarion Call</t>
  </si>
  <si>
    <t>bard 1, cleric/oracle 1, magus 1, sorcerer/wizard 1</t>
  </si>
  <si>
    <t>V, S, M (a piece of brass)</t>
  </si>
  <si>
    <t>The subject of this spell gains two benefits. First, the affected creature gains the ability to create a sound like the blast of a mighty horn or trumpet simply by miming the action of sounding one. Second, the subject can speak in a booming voice that carries easily over great distances, lowering the DC of any check to hear what is said by -15. This spell is particularly prized by battlefield commanders and champions who wish to make themselves clearly heard or gain the attention of their allies or foes.</t>
  </si>
  <si>
    <t>Emblazon Crest</t>
  </si>
  <si>
    <t>magus 1, paladin 1, sorcerer/wizard 1</t>
  </si>
  <si>
    <t>S, F (an example of the crest or coat of arms)</t>
  </si>
  <si>
    <t>This spell ensures the subject touched is always able to display her proper crest and coat of arms. Any tabard or tunic worn and any shield carried by the subject while this spell is active can be made to display a coat of arms when the spell is cast. For example, even if the subject picks up a different shield, it still displays the subject's crest, regardless of the shield's normal appearance.</t>
  </si>
  <si>
    <t>Keep Watch</t>
  </si>
  <si>
    <t>inquisitor 1, magus 1, paladin 1, ranger 1, sorcerer/wizard 1</t>
  </si>
  <si>
    <t>one creature touched/2 levels</t>
  </si>
  <si>
    <t>8 hours or less; see text</t>
  </si>
  <si>
    <t>This spell enables the subjects to stand watch or keep vigil throughout the night without any ill effects. The subjects suffer no fatigue and gain all the usual benefits of a full night's rest. The subjects gain hit points as though from resting, wizards may prepare their spells as though they had slept for 8 hours, and so on. Effects that rely on actual sleep or dreaming are ineffective, though the subjects are still susceptible to effects that would put them to sleep, such as sleep or deep slumber. Any vigorous activity, including fighting, immediately ends the effect, and the affected creatures must either have the spell cast on them again or sleep for the remaining hours to avoid fatigue and gain the benefits of a full night's rest.</t>
  </si>
  <si>
    <t>Serren's Armor Lock</t>
  </si>
  <si>
    <t>magus 2, sorcerer/wizard 3, witch 3</t>
  </si>
  <si>
    <t>V, S, M (a pinch of rust)</t>
  </si>
  <si>
    <t>one armored creature</t>
  </si>
  <si>
    <t>Upon pointing at an armored foe, you cause all of the joints of the target's armor to stiffen as otherworldly chains wrap around the target. On a failed Reflex save, a target in heavy metal armor becomes staggered. A target in light or medium metal armor instead becomes entangled. Targets wearing no armor or nonmetallic armor are unaffected. If the target is wearing heavy metal armor and succeeds at its Reflex save, it becomes entangled instead of staggered; a target in light or medium metal armor that succeeds at its saving throw is unaffected by the spell.</t>
  </si>
  <si>
    <t>Serren's Swift Girding</t>
  </si>
  <si>
    <t>V, S, M (the armor to be worn)</t>
  </si>
  <si>
    <t>close (25 feet + 5 feet/level)</t>
  </si>
  <si>
    <t>one willing creature/level</t>
  </si>
  <si>
    <t>With a sweep of your hand, you select a number of targets and the same number of suits of armor. The targets of this spell are immediately clad in the armor that you choose. The subjects of the spell must be capable of wearing the chosen armor, cannot be wearing other armor, and must be able to properly fit into the chosen armor. The chosen armor must be empty and cannot be currently worn by another creature (thus you cannot move armor from one wearer to another with this spell). Creatures armored with this spell are considered to have donned the armor properly.</t>
  </si>
  <si>
    <t>Ward Shield</t>
  </si>
  <si>
    <t>cleric/oracle 4, inquisitor 4, magus 4, sorcerer/wizard 4</t>
  </si>
  <si>
    <t>shield touched</t>
  </si>
  <si>
    <t>With a touch, you enchant a shield and enable it to protect its wielder from hostile spells. The shield grants spell resistance 10 + your caster level against spells so long as the shield can be interposed between the wielder and the spell effect. A spell shield does not provide spell resistance against area effect spells such as fireball, but does provide a +5 bonus on Reflex saving throws against such spells.</t>
  </si>
  <si>
    <t>Curse Item</t>
  </si>
  <si>
    <t>The object becomes flawed and prone to failure. The effects of this spell depend on the nature of the object.  Magic Item: The item functions intermittently, gaining either an unreliable curse or a random dependent curse (Pathfinder RPG Core Rulebook 536).  Nonmagical Armor or Shield: The item gains the fragile armor quality (Pathfinder RPG Ultimate Equipment 8).  Nonmagical Weapon: The item gains the fragile weapon quality (Ultimate Equipment 22).  Tool: The item gains the broken condition if a creature rolls a natural 1 while making a skill check with the tool.  Other Item: Each day it is used, the item has a 5% chance of gaining the broken condition.  This spell does not affect artifacts. The item can be sold or discarded as normal (the bearer is not compelled to keep it). If a cleric of Groetus is using an item that is affected by this spell, he or she may make a DC 20 Will saving throw to override the item's curse for 1 day (using it as if the item were not cursed).</t>
  </si>
  <si>
    <t>AP 64</t>
  </si>
  <si>
    <t>Groetus</t>
  </si>
  <si>
    <t>Lissalan Snake Sigil</t>
  </si>
  <si>
    <t>cleric/oracle 3, sorcerer/wizard 3</t>
  </si>
  <si>
    <t>permanent until discharged; 1 day/level; see text</t>
  </si>
  <si>
    <t>There are seven variants of this spell, one for each of the Thassilonian schools of magic. Each functions like sepia snake sigil (and counts as that spell for the purpose of combining other spells that hide or garble text), except instead of trapping the subject, the triggered sigil's effect depends on this spell's school. This effect lasts for 1 day/level. This is a curse effect that can be removed via remove curse.  Abjuration: All beneficial magical effects on the target last half as long as normal.  Conjuration: The target is nauseated. This is a poison effect.  Enchantment: The target takes a 1d6 penalty to Intelligence, Wisdom, and Charisma. This is a compulsion effect.  Evocation: The target gains vulnerability to an energy type, chosen randomly from the following: acid, cold, electricity, or fire. This is an acid, cold, electricity, or fire effect.  Illusion: The target's vision is blurred, giving it a -4 penalty on Perception checks relating to vision, and the target treats all other creatures as having displacement. This is a glamer effect.  Necromancy: The target is exhausted. This condition cannot be removed with rest.  Transmutation: Target is affected by slow.</t>
  </si>
  <si>
    <t>AP 65</t>
  </si>
  <si>
    <t>Lissala</t>
  </si>
  <si>
    <t>Display Aversion</t>
  </si>
  <si>
    <t>bard 2, cleric/oracle 2, inquisitor 2, sorcerer/wizard 3, witch 2</t>
  </si>
  <si>
    <t>V, S, M (a drop of holy water)</t>
  </si>
  <si>
    <t>concentration + 1d4 rounds</t>
  </si>
  <si>
    <t>This spell functions like minor image, except it always creates an animated illusion of you presenting to a vampire a material, object, or sound that it is averse to, such as garlic, a holy symbol, or bells ringing. You specify what aversion the illusion depicts when you cast the spell. The vampire reacts to the illusion as if it were real; it can overcome the effect by succeeding at a disbelief save or a normal Will save against the illusion's DC (instead of the normal DC 25 to overcome its revulsion). The illusion is only quasi-real and cannot otherwise affect creatures.</t>
  </si>
  <si>
    <t>Blood Of The Night</t>
  </si>
  <si>
    <t>Domination Link</t>
  </si>
  <si>
    <t>bard 3, inquisitor 3, sorcerer/wizard 3, witch 3</t>
  </si>
  <si>
    <t>concentration, up to 1 min./level (D)</t>
  </si>
  <si>
    <t>This spell functions like detect thoughts, with the additional ability to find echoes of the thoughts of a creature mentally controlling the target. For example, if the target has been dominated by a vampire, you can use evidence left in the target's mind to learn about that vampire. Each minute you concentrate on the spell, you can learn your choice of one of the following pieces of information.  Direction: The controller's general direction and distance.  Emotion: The controller's emotional state (gloating, sated, frightened, angry, and so on).  Image: A powerful iconic image relevant to the controller or its connection to the target, such as a symbol on a door or a name on a gravestone.  Location: The controller's general location, such as "in a large city" or "on a ship."  Name: The name by which the target knows its controller (if any).  All of this information is based on the last time the influencing creature linked itself to the target, either to issue a command or to receive sensory input from the target. For example, if at nightfall a vampire commanded a dominated victim to walk to a cemetery, this spell can reveal the vampire's general location at that time, though it may have moved since then.</t>
  </si>
  <si>
    <t>Project Weakness</t>
  </si>
  <si>
    <t>cleric/oracle 3, sorcerer/wizard 4, witch 3</t>
  </si>
  <si>
    <t>You curse the target with the weaknesses of your kind of vampirism. The creature reacts to garlic, mirrors, ringing bells, sunlight, and so on as if it were a vampire of the same type as you. This cannot kill the target; anything that would kill it (such as a lengthy exposure to sunlight if you are a moroi vampire) renders it helpless until the curse or the harmful effect is removed. The target gains none of the benefits of being a vampire (such as fast healing or requiring special ways to be permanently killed), only the penalties.</t>
  </si>
  <si>
    <t>Steal Years</t>
  </si>
  <si>
    <t>cleric/oracle 3, druid 3, sorcerer/wizard 3, witch 3</t>
  </si>
  <si>
    <t>V, S, M (a handful of ash)</t>
  </si>
  <si>
    <t>You temporarily drain youth and vitality from the target and channel it into yourself. If the target fails its Fortitude save, it physically ages 1d4 years per two caster levels (maximum 5d4), and you decrease your age by the same number of years. If this changes the age category of you or the target, only adjust physical ability scores. This effect cannot bring your age to lower than the minimum age of adulthood for your race (see page 169 of the Core Rulebook). This stolen youth does not actually change your age or prolong your life; you will still die at your allotted time, no matter how youthful you appear. Likewise, the spell does not add to the target's true age, and cannot make the target die of old age.  When the spell ends, the sudden weight of aging makes you fatigued for 1d4 hours.</t>
  </si>
  <si>
    <t>Steal Years, Greater</t>
  </si>
  <si>
    <t>cleric/oracle 5, druid 5, sorcerer/wizard 5, witch 5</t>
  </si>
  <si>
    <t>This spell functions like steal years, except you drain 1d6 years per two caster levels (maximum 10d6).</t>
  </si>
  <si>
    <t>Transmute Wine To Blood</t>
  </si>
  <si>
    <t>V, S, M (drop of animal blood)</t>
  </si>
  <si>
    <t>bottle of wine worth at least 10 gp</t>
  </si>
  <si>
    <t>You transform one bottle of fine wine into 1 pint of animal blood, sufficient for a creature with the blood drain ability to feed upon as if it came from a Medium animal with 1 Hit Die. If you are using the optional hunger rules (see page 22), this blood satiates an undead creature's hunger, negating any withdrawal effects, but does not grant the creature a feeding bonus. The blood coagulates and spoils at the normal rate.</t>
  </si>
  <si>
    <t>Winter's Grasp</t>
  </si>
  <si>
    <t>V, S, M/DF (ground glass)</t>
  </si>
  <si>
    <t>Ice encrusts the ground, radiating supernatural cold and making it difficult for creatures to maintain their balance. This icy ground is treated as normal ice, forcing creatures to spend 2 squares of movement to enter an icy square and increasing the DC of Acrobatics checks attempted in the area by 5. A creature that begins its turn in the affected area takes 1d6 points of cold damage, and takes a -2 penalty on saving throws against all spells with the cold descriptor for 1 round.</t>
  </si>
  <si>
    <t>People Of The North</t>
  </si>
  <si>
    <t>Irriseni Mirror Sight</t>
  </si>
  <si>
    <t>V, S, F (a mirror)</t>
  </si>
  <si>
    <t>This spell lets you look into a mirror near you and see an image that is reflected in another specific mirror (chosen by you) or an individual reflected in any other mirror. This works like a scrying spell, except you can only view creatures on the same plane as you. Each time you cast the spell, you can choose to see one of three types of reflections in your mirror.  Known Mirror: The current reflection in another mirror with which you are familiar.  Known Person: The current reflection of a person you know well, assuming that person is near a mirror.  Known Place: The current reflection of a place you know well, assuming the location is being reflected in a mirror.  You receive only visual information through this ability. You can choose to transmit information both ways so that a person reflected in the remote mirror can view whatever appears in the mirror you are using.  For example, Urion Petresky knows that Queen Elvanna keeps a mirror in a hall near her throne room. He can look through his own handheld mirror and see into this hall, even if the queen is not there. Alternatively, he can attempt to find the queen (wherever she is) by looking into his mirror; if, at that moment, the queen is near any mirror at all, he can see her. He may instead cast the spell and try to see into her throne room, hoping that someone has brought a mirror there. If any of these conditions fails, Urion sees nothing but his own reflection.  This spell works with intentionally fabricated mirrors only; it is not effective with other reflective surfaces, such as still pools or polished metal shields. Effects that block scrying block this spell.</t>
  </si>
  <si>
    <t>AP 67</t>
  </si>
  <si>
    <t>Die For Your Master</t>
  </si>
  <si>
    <t>antipaladin 4, druid 5, sorcerer/wizard 5, witch 5</t>
  </si>
  <si>
    <t>your animal companion, familiar, or fiendish servant</t>
  </si>
  <si>
    <t>This spell functions as bleed for your master, but it allows your companion or familiar to intercept any attack that targets you, including those that do not require attack rolls (e.g., chain lightning, hold monster, and magic missile). Your companion or familiar cannot intercept effects that do not affect creatures of its type (e.g., dominate person).</t>
  </si>
  <si>
    <t>Animal Archive</t>
  </si>
  <si>
    <t>Familiar Figment</t>
  </si>
  <si>
    <t>You create an illusory duplicate of your familiar that moves erratically around your familiar's space, frequently moving through the familiar's body with a blurring effect that makes it indistinguishable from the real creature. Attacks against the familiar have a 50% miss chance; attacks that miss instead target the familiar figment, which reacts as if damaged as appropriate to the attack but unlike a mirror image is not destroyed when struck. This spell does not grant your familiar concealment or prevent it from being targeted by spell effects that do not require an attack roll.  In addition, as a swift action, your familiar can direct the familiar figment to attempt a melee touch attack, using your base attack bonus and the familiar's Dexterity modifier. If this attack hits, your familiar (but not other creatures) treats that target as flanked until the end of its turn.</t>
  </si>
  <si>
    <t>Hunter's Friend</t>
  </si>
  <si>
    <t>Your animal companion works in perfect harmony with your mastery of nature. You share one of the following class abilities with your companion for every 4 caster levels you possess: camouflage, favored enemy, favored terrain, hide in plain sight, resist nature's lure, swift tracker, trackless step, venom immunity, and woodland stride. You must have the ability in question to share it with your companion, and it functions for your companion just as it functions for you, save that each favored enemy or favored terrain you share counts as a separate class ability for the purpose of this spell.  At the GM's discretion, you may instead share an ability granted by an archetype that substitutes for one of the above abilities, such as the arctic endurance, arctic native, icewalking, and snowcaster abilities of an arctic druidAPG.</t>
  </si>
  <si>
    <t>Share Shape</t>
  </si>
  <si>
    <t>ranger 3, sorcerer/wizard 4, witch 4</t>
  </si>
  <si>
    <t>This spell functions as beast shape II, but you may only assume the form of an animal of a type identical to your animal companion or familiar. If your familiar or companion is not an animal, this spell has no effect.</t>
  </si>
  <si>
    <t>Flurry Of Snowballs</t>
  </si>
  <si>
    <t>cold, water</t>
  </si>
  <si>
    <t>druid 2, magus 2, sorcerer/wizard 2, witch 2</t>
  </si>
  <si>
    <t>You send a flurry of snowballs hurtling at your foes. Any creature in the area takes 4d6 points of cold damage from being pelted with the icy spheres.</t>
  </si>
  <si>
    <t>Ice Spears</t>
  </si>
  <si>
    <t>V, S, M (a small stalagmite-shaped crystal)</t>
  </si>
  <si>
    <t>1 ice spear/4 levels</t>
  </si>
  <si>
    <t>Reflex half and see below</t>
  </si>
  <si>
    <t>Favored by the spellcasters of Irrisen, this potent spell can disrupt spellcasters, topple enemies, and break even seemingly unstoppable charges.  One or more giant spears of ice lance up out of the ground. Each stalagmite-like icicle affects a 5-foot square and tapers to a height of 10 feet. You may cause a number of ice spears equal to one spear for every 4 caster levels you possess to burst from the ground. A creature that occupies a square from which a spear extends (or that is within 10 feet of the ground below) takes 2d6 points of piercing damage and 2d6 points of cold damage per square-creatures that take up more than 1 square can be hit by multiple spears if your caster level is high enough. The explosive growth can also trip foes. When the spears erupt from the ground, they attempt a combat maneuver check to trip any targets that take damage from the spears, with a total bonus equal to your caster level plus your Intelligence, Wisdom, or Charisma modifier, whichever is highest. Each additional ice spear beyond the first that strikes a single foe grants a +10 bonus on this combat maneuver check. If the check is successful, the ice spears knock the foe prone. A successful Reflex save halves the damage and prevents the trip attempt.  If you cast this spell upon an area covered with ice or snow, such as a glacier, frozen lake, or snow-covered field, the spears strike with additional force. Saves against the effect take a -2 penalty, and the spell effect gains a +4 bonus on the combat maneuver check to trip foes.  Ice spears created by this spell remain after they do their damage. They melt as normal depending on the surrounding environment. They no longer damage foes in their square, but can provide cover. An ice spear has hardness 5 and 30 hit points.</t>
  </si>
  <si>
    <t>Martyr's Last Blessing</t>
  </si>
  <si>
    <t>cleric/oracle 3, ranger 3</t>
  </si>
  <si>
    <t>personal (see text)</t>
  </si>
  <si>
    <t>you and one ally/level, no two of which can be more than 30 ft. apart (see text)</t>
  </si>
  <si>
    <t>1 hour/level or instantaneous (see text)</t>
  </si>
  <si>
    <t>Will half (harmless, see text)</t>
  </si>
  <si>
    <t>You charge your body with healing energy, which erupts from you if you are dying or are killed before 1 hour per level has passed. If you're brought below 0 hit points or killed (including by effects that kill without dealing damage, such as phantasmal killer and power word kill), the eruption of healing energy acts as mass cure light wounds on allies (other than you). Allies with the fewest Hit Dice are affected first. Among allies with equal HD, those closest to you are affected first. If the duration ends, the stored healing energy dissipates with no effect.</t>
  </si>
  <si>
    <t>AP 68</t>
  </si>
  <si>
    <t>Milani</t>
  </si>
  <si>
    <t>Peasant Armaments</t>
  </si>
  <si>
    <t>cleric/oracle 1, inquisitor 1, ranger 1, sorcerer/wizard 1</t>
  </si>
  <si>
    <t>1 improvised weapon/level</t>
  </si>
  <si>
    <t>You transform one or more improvised weapons into equivalent simple or martial weapons. The bearer of such a weapon can wield it with proficiency (no penalty for using an improvised weapon or not having the required proficiency). This does not alter the weapon's shape or appearance in any way. For example, if cast on a chair leg, butter knife, and pitchfork, the weapons function as a club, dagger, and trident, respectively, and anyone who wields them does so without a nonproficiency penalty, but the weapons look no different than they were before the spell.  The spell has no effect on items that are not improvised weapons. For example, if cast on a short sword, it does not grant proficiency to anyone wielding it.</t>
  </si>
  <si>
    <t>Conjure Deadfall</t>
  </si>
  <si>
    <t>magus 5, sorcerer/wizard 4</t>
  </si>
  <si>
    <t>V, S, M (fistful of mithral tacks)</t>
  </si>
  <si>
    <t>one spiked, falling block</t>
  </si>
  <si>
    <t>Reflex negates (see text)</t>
  </si>
  <si>
    <t>You conjure a large metal cube covered in sharp spikes. If you conjure the block so that it appears in midair, it immediately plummets downward onto all creatures below it. When you cast this spell, you select the size of the square area you wish it to affect. If you choose to create a deadfall over a single 5-foot square, the block deals 1d6 points of bludgeoning damage per caster level (maximum 15d6) to each creature in the area. A deadfall over a 10-foot square deals 1d6 points of bludgeoning damage per 2 caster levels (maximum 7d6), a deadfall over a 15- foot square deals 1d6 points of bludgeoning damage per 3 caster levels (maximum 5d6), and so on, to a maximum size of a 25- foot square. Only creatures that are on the outer edge of the area affected by a conjure deadfall spell can attempt Reflex saves to avoid the effect; creatures whose space does not touch the edge of the deadfall do not receive a save.  In order to deal damage, the conjured deadfall must start at least 10 feet above the tallest creature in the area to be affected. A conjured deadfall is as tall as it is wide, and the spell fails if you attempt to conjure a deadfall in an area already occupied by a creature or object (including the ceiling). Regardless, a deadfall conjured by this spell disappears as soon as it deals damage or strikes the ground.</t>
  </si>
  <si>
    <t>Dungeoneers Handbook</t>
  </si>
  <si>
    <t>Create Holds</t>
  </si>
  <si>
    <t>druid 4, ranger 3, sorcerer/wizard 4</t>
  </si>
  <si>
    <t>V, S, M (handful of pebbles)</t>
  </si>
  <si>
    <t>path of handholds</t>
  </si>
  <si>
    <t>You create a path of handholds on earthen, plaster, stone, or wooden walls (not on walls made of metal or other, harder materials). The handholds are created in pairs and are approximately 3 feet apart, located in a specific path indicated by your gestures while casting the spell. The handholds' path can span up to 30 feet out from you plus an additional 10 feet per 3 caster levels (maximum 90 feet at 18th level). The handholds protrude approximately 6 inches from the wall, measure 10 inches lengthwise, and are perfectly suited for gripping with fingers or claws. At the end of the spell's duration, any creature being supported by the handholds immediately begins to fall.</t>
  </si>
  <si>
    <t>Determine Depth</t>
  </si>
  <si>
    <t>bard 2, druid 2, sorcerer/wizard 2</t>
  </si>
  <si>
    <t>solid surface touched</t>
  </si>
  <si>
    <t>concentration, up to 1 round/level (D)</t>
  </si>
  <si>
    <t>With a touch, you can determine the exact thickness of a wall, ceiling, or other solid barrier, measuring from the point you are touching to the direct opposite side of the barrier in a straight line. You can only detect depths or widths of up to 10 feet per caster level (maximum 200 feet at 20th level); amounts in excess of this limit are detected as being the maximum you are able to detect. So, for example, a 5th-level wizard using this spell on a 60-foot-thick wall would detect that the wall is 50 feet thick.  Determine depth can be used on earthen, plaster, stone, or wooden surfaces, but not on walls made of metal or other, harder materials. This spell is useful to casters who want to get an idea of their surroundings, and as a preliminary measure to casting spells such as passwall or dimension door.</t>
  </si>
  <si>
    <t>Discern Value</t>
  </si>
  <si>
    <t>V, S, F (platinum monocle worth 100 gp)</t>
  </si>
  <si>
    <t>concentration, up to 1 minute/level (D)</t>
  </si>
  <si>
    <t>You can quickly analyze the monetary value of objects and identify which are most valuable to an average trader. You must specify a minimum value to detect when you cast this spell (such as 1 gp, 100 gp, or 1,000 gp). The amount of information revealed depends on how long you study a particular area or subject.  1st Round: Presence or absence of objects worth at least the specified amount.  2nd Round: The most valuable object in range glows brighter than all of the others. If an aura is outside your line of sight, then you discern its direction but not its exact location.  3rd Round: Objects whose values are within 10% of the most valuable item in range glow slightly.  The spell's effect does not indicate whether an item has magical properties and does not detect artifacts or items that are priceless.</t>
  </si>
  <si>
    <t>Nature's Ravages</t>
  </si>
  <si>
    <t>cleric/oracle 4, witch 3</t>
  </si>
  <si>
    <t>1 minute/HD of target</t>
  </si>
  <si>
    <t>V, S, M/DF (dried maggots)</t>
  </si>
  <si>
    <t>corpse of creature whose total number of HD does not exceed your caster level</t>
  </si>
  <si>
    <t>You greatly speed up the decomposition process of a nearby corpse and warp the fibers of time that permeate it, aging the corpse an additional amount of time equal to up to 1 day per 2 caster levels (maximum 10 days at 20th level). This spell prompts all the natural effects of the intended decomposition period, including crumbled clothing, rotted or liquefied flesh, maggot infestations, and the infiltration of any surrounding vegetation.  In addition to hindering mundane autopsies and investigations, this spell may effectively prohibit the use of raise dead on the target, though more powerful magic such as resurrection or true resurrection may still work.</t>
  </si>
  <si>
    <t>Nature's Ravages, Greater</t>
  </si>
  <si>
    <t>cleric/oracle 8, witch 7</t>
  </si>
  <si>
    <t>10 minute/HD of target</t>
  </si>
  <si>
    <t>This spell functions like nature's ravages, except the target corpse ages a number of years equal to up to 1 year per caster level (maximum 20 years at 20th level).</t>
  </si>
  <si>
    <t>Corpse Hammer</t>
  </si>
  <si>
    <t>When you cast this spell, you draw the remains of nearby destroyed undead together and fuse them into a mass of flesh and bone you can then hurl at any foes within range.   Three corpses within range of the spell are required for the spell to function. The hammer can be directed to attack one foe within range per round as a move action. It uses your caster level as its base attack bonus, modified by your Intelligence, Wisdom, or Charisma modifier (whichever one is highest). On a hit, the corpse hammer deals 1d6 points of damage per three caster levels (to a maximum of 6d6 points of damage).   Corpse hammer also has secondary effects based on the nature of the three bodies you use to create it. If the majority used to create it (at least two) were skeletal, the jagged bits of bone cause the hammer to deal slashing damage and increase its critical threat range to 19-20. On the other hand, if the majority were fleshy (at least two), the increased mass causes the spell to deal bludgeoning damage and increase its critical hit damage to x3.   Undead that have been destroyed by positive energy or a similar effect that does not leave a corpse, like a disintegrate spell, cannot be used to form a corpse hammer.</t>
  </si>
  <si>
    <t>Oath Of Justice</t>
  </si>
  <si>
    <t>cleric/oracle 3, paladin 2</t>
  </si>
  <si>
    <t>two creatures touched</t>
  </si>
  <si>
    <t>permanent (see text)</t>
  </si>
  <si>
    <t>This spell seals a solemn vow between two creatures. When this spell is cast, the targets must clasp hands and swear their oath in Kols's name. The spell functions like mark of justice, except as noted above and rather than being cursed, the oath-breaker gains a mark on the face indicating to all dwarves who see it that the target has broken a sacred oath, which gives the oath-breaker a -4 penalty to influence dwarves. The mark can be removed as described in the mark of justicespell, or the other target can forgive the oath- breaker, which causes the mark to vanish.</t>
  </si>
  <si>
    <t>Kols</t>
  </si>
  <si>
    <t>Tactical Formation</t>
  </si>
  <si>
    <t>cleric/oracle 3, paladin 3, ranger 4</t>
  </si>
  <si>
    <t>up to one creature/level, no two of which may be more than 30 ft. apart</t>
  </si>
  <si>
    <t>This spell increases the effectiveness of a group's formation in battle. When cast, all creatures under the effect of the spell must be adjacent to one another, forming an unbroken chain of squares (which may include creatures sharing the same square). This chain does not need to be a straight line. Each target in the chain receives a +2 defection bonus to AC as long as the targets stay adjacent to at least one other creature affected by the spell; moving more than 5 feet from another target ends the spell with respect to that creature only. For example, a cleric could cast it on himself and four dwarves blocking a 20-foot-wide corridor; the cleric can move freely from the left side of the formation to the right side (whether in front of or behind the other targets) and not break the spell as long as he stays within 5 feet of at least one of them.</t>
  </si>
  <si>
    <t>Soothing Word</t>
  </si>
  <si>
    <t>cleric/oracle 2, druid 2, inquisitor 2, paladin 2, ranger 3, witch 2</t>
  </si>
  <si>
    <t>The target of this spell causes several conditions that he suffers from to be lessened in severity one step. If he is nauseated, he is instead sickened. If he is stunned, he is instead dazed. If he is exhausted, he is fatigued. If he is frightened, he is shaken. If he is paralyzed, he is staggered. The duration of the effect is unchanged; the effect is simply reduced to the lesser version. This spell has no effect on conditions not listed above.</t>
  </si>
  <si>
    <t>Condition Cards</t>
  </si>
  <si>
    <t>Frosthammer</t>
  </si>
  <si>
    <t>antipaladin 3, cleric 3, inquisitor 3, ranger 3</t>
  </si>
  <si>
    <t>Medium (100 ft. + 10 ft./level)</t>
  </si>
  <si>
    <t>You create a warhammer of magically hardened ice and send it hurling toward the target. You must succeed at a ranged touch attack to strike the target. If hit, the target takes 1d8 points of damage per 2 caster levels you possess (maximum 5d8); half this damage is bludgeoning damage, half is cold damage. The frosthammer counts as having a +1 enhancement bonus for the purpose of bypassing DR. If the target takes any bludgeoning damage from the hammer, you may attempt a trip combat maneuver check against that target, except you may use your caster level instead of your BAB and your spellcasting ability modifier (Wisdom for clerics, and so on) instead of your Strength modifier.</t>
  </si>
  <si>
    <t>AP 69</t>
  </si>
  <si>
    <t>Kostchtchie</t>
  </si>
  <si>
    <t>Accept Affliction</t>
  </si>
  <si>
    <t>bard 3, cleric/oracle 3, druid 3, paladin 3, witch 3</t>
  </si>
  <si>
    <t>V, S, M/DF (dove's heart)</t>
  </si>
  <si>
    <t>The caster can transfer the effects of afflictions such as curses, diseases, and poisons from the target creature to himself. This spell can also transfer the blinded, deafened, fatigued, nauseated, shaken, and sickened conditions. All aspects of the transferred afflictions (save DCs, remaining duration, removal conditions, and so on) remain the same, but affect the caster instead of the original target. After transferring the affliction or condition, the caster is free to cure it in any way he can.</t>
  </si>
  <si>
    <t>Champions Of Purity</t>
  </si>
  <si>
    <t>Angelic Aspect, Lesser</t>
  </si>
  <si>
    <t>cleric/oracle 2, paladin 2, sorcerer/wizard 2</t>
  </si>
  <si>
    <t>You take on an aspect of an angelic being, including some of its physical characteristics. You gain low-light vision, resistance to acid 5, resistance to cold 5, and the benefits of protection from evil.</t>
  </si>
  <si>
    <t>Angelic Aspect, Greater</t>
  </si>
  <si>
    <t>cleric/oracle 8, paladin 4, sorcerer/wizard 8</t>
  </si>
  <si>
    <t>This spell functions like lesser angelic aspect, except you gain low-light vision; darkvision 60 feet; DR 10/evil; immunity to acid, cold, and petrification; resistance to electricity 10 and fire 10; a +4 racial bonus on saves against poison; and protective aura and truespeech as supernatural abilities for the duration of the spell. Also, your wings give you a fly speed of 60 feet with good maneuverability.  Protective aura provides a +4 deflection bonus to AC and a +4 resistance bonus on saving throws against attacks made or effects created by evil creatures to anyone within 20 feet. Otherwise, it functions as a magic circle against evil and a lesser globe of invulnerability, both with a radius of 20 feet.  Truespeech allows you to speak with any creature that has a language, as though using the tongues spell.</t>
  </si>
  <si>
    <t>Angelic Aspect</t>
  </si>
  <si>
    <t>cleric/oracle 5, paladin 3, sorcerer/wizard 5</t>
  </si>
  <si>
    <t>This spell functions like lesser angelic aspect, except you gain low-light vision, darkvision 60, resistance to acid 10, resistance to cold 10, and DR 5/evil, and you sprout white feathered wings allowing you to fly at a speed of 30 feet with average maneuverability. In addition, your natural weapons and any weapons you wield are considered good-aligned for the purpose of overcoming damage reduction.</t>
  </si>
  <si>
    <t>Archon's Trumpet</t>
  </si>
  <si>
    <t>bard 5, cleric/oracle 7, paladin 4, sorcerer/wizard 7</t>
  </si>
  <si>
    <t>Upon hearing a booming report, as if from a trumpet archon's mighty horn, all creatures in the area of the burst are paralyzed for 1d4 rounds.</t>
  </si>
  <si>
    <t>Burst Of Radiance</t>
  </si>
  <si>
    <t>V, S, M/DF (a piece of flint and a pinch of silver dust)</t>
  </si>
  <si>
    <t>This spell fills the area with a brilliant flash of shimmering light. Creatures in the area are blinded for 1d4 rounds, or dazzled for 1d4 rounds if they succeed at a Reflex save. Evil creatures in the area of the burst take 1d4 points of damage per caster level (max 5d4), whether they succeed at the Reflex save or not.</t>
  </si>
  <si>
    <t>Chains Of Light</t>
  </si>
  <si>
    <t>cleric/oracle 6, inquisitor 5, paladin 4, sorcerer/wizard 6</t>
  </si>
  <si>
    <t>V, S, F (a length of fine golden chain)</t>
  </si>
  <si>
    <t>short (25 ft. + 5 ft./level)</t>
  </si>
  <si>
    <t>A creature targeted by this spell is held immobile by glowing golden chains composed of pure light. The creature is paralyzed and held in place, but may attempt a new saving throw each round to end the effect. While held by the golden chains, a creature cannot use any sort of extradimensional travel, such as astral projection, blink, dimension door, ethereal jaunt, etherealness, gate, maze, plane shift, shadow walk, teleport, and similar spells and spell-like abilities. The spell does not affect creatures that are already in ethereal or astral form when the spell is cast.</t>
  </si>
  <si>
    <t>Touch Of Mercy</t>
  </si>
  <si>
    <t>The target creature deals only nonlethal damage with all of its weapon attacks. Damage taken by creatures or objects that are not subject to nonlethal damage is not converted to nonlethal and remains lethal damage. The weapon retains all of its other normal properties.</t>
  </si>
  <si>
    <t>Hymn Of Mercy</t>
  </si>
  <si>
    <t>bard 5, cleric/oracle 5</t>
  </si>
  <si>
    <t>This spell functions like touch of mercy, except as noted above.</t>
  </si>
  <si>
    <t>Hymn Of Peace</t>
  </si>
  <si>
    <t>bard 6, cleric/oracle 7</t>
  </si>
  <si>
    <t>40-ft.-radius burst centered on you</t>
  </si>
  <si>
    <t>Each time a subject of this spell attempts to attack another creature or object, or otherwise perform an aggressive or damaging action toward a creature or object, it must attempt a Will save. If the save succeeds, the subject can attack normally. If the save fails, the subject cannot follow through with the attack and loses that part of its action. Creatures not taking violent actions are unaffected by this spell.</t>
  </si>
  <si>
    <t>Blood Of The Martyr</t>
  </si>
  <si>
    <t>cleric/oracle 2, inquisitor 3</t>
  </si>
  <si>
    <t>You cause the target to bleed from every orifice, and her organs and blood become suffused with positive energy. If the subject fails her Fortitude save, she takes 1d6 points of bleed damage per 4 caster levels (to a maximum of 4d6 at 16th level) when you cast this spell. Any creature that takes a full-round action to sup the blood of the bleeding subject heals a number of hit points equal to twice as many as the subject lost that round due to the bleed effect. The subject must be willing or helpless to sup her blood, which provokes attacks of opportunity. Only one creature can be healed in this way per round. The subject can lick her own wounds in this way to regain half as many hit points as she lost that round. If the bleeding effect is stopped or the spell's duration ends, the subject's blood no longer heals those who drink it, though in the latter case the subject continues to bleed until the bleeding is stopped via magical healing or a successful DC 15 Heal check.</t>
  </si>
  <si>
    <t>Chronicle Of The Righteous</t>
  </si>
  <si>
    <t>Charitable Impulse</t>
  </si>
  <si>
    <t>bard 2, cleric/oracle 3, sorcerer/wizard 3, witch 3</t>
  </si>
  <si>
    <t>V, S, F/DF (a miniature collection plate)</t>
  </si>
  <si>
    <t>This spell makes a creature more charitable, compelling it to aid others rather than use violence. An affected creature practices nonviolent combat behaviors according to the following list of priorities, beginning with the first priority. The subject continues to perform a priority until he can no longer fulfill its demands (at which point he moves to the next priority) or until the spell ends, whichever comes first.  1st Priority: Heal injured creatures within 30 feet, beginning with the closest creatures and using whatever methods the subject has at hand (including potions, spells, and so on).  2nd Priority: The subject gives his weapon away to the nearest creature within 30 feet who will accept it. If no creature accepts the weapon, the subject drops the weapon on the ground.  3rd Priority: Cast beneficial spells and/or use beneficial magic items (including potions, wands, and so on) on creatures within 30 feet, starting with the closest creatures.  4th Priority: The subject gives away his non-worn possessions-the contents of a backpack or similar item count as one item each, as does the container itself-to creatures within 30 feet. If no creature accepts the items, the subject drops the items on the ground.  5th Priority: The subject gives away his remaining possessions (including his armor, boots, cloak, and so on) to creatures within 30 feet. If no creature accepts the items, the subject drops them on the ground.  If the subject fulfills all five priorities, the spell effect ends. The subject cannot attack or take attacks of opportunity, but can defend himself as normal. If the subject is attacked, the spell's effect immediately ends.</t>
  </si>
  <si>
    <t>Elemental Assessor</t>
  </si>
  <si>
    <t>acid, cold, electricity, fire</t>
  </si>
  <si>
    <t>V, S, M/DF (four needles)</t>
  </si>
  <si>
    <t>one elemental ray</t>
  </si>
  <si>
    <t>1d4+1 rounds (see text)</t>
  </si>
  <si>
    <t>Azata champions developed this spell to deal with fiends with unknown resistances. A ray of spiraling colors springs from your hand and streaks to its target. You must make a successful ranged touch attack to hit your target with the ray, which deals 2d6 points of acid damage, 2d6 points of cold damage, 2d6 points of electricity damage, and 2d6 points of fire damage. The type of energy that does the most points of damage to the target then persists, dealing another 4d6 points of that type of damage per round for 1d4 rounds.</t>
  </si>
  <si>
    <t>Sanctify Weapons</t>
  </si>
  <si>
    <t>cleric/oracle 5, paladin 3</t>
  </si>
  <si>
    <t>This spell originated among the armies of Heaven. Choose a specific subtype of evil outsider when you cast this spell, such as daemon, demon, devil, or div. All manufactured weapons in the area of effect bypass the DR of that type of outsider. The weapons do not become aligned or change composition.</t>
  </si>
  <si>
    <t>Summon Stampede</t>
  </si>
  <si>
    <t>cleric/oracle 6, druid 6, summoner/unchained summoner 4</t>
  </si>
  <si>
    <t>V, S, M (piece of fur from a herd animal)</t>
  </si>
  <si>
    <t>20-ft.-radius herd of animals</t>
  </si>
  <si>
    <t>Reflex halves (see text)</t>
  </si>
  <si>
    <t>You conjure a herd of aurochs or similar herd animal that immediately stampedes in the direction you indicate. The herd takes up a 20-foot-radius space and moves at a rate of 120 feet per round in a straight line. Any creatures caught in the herd's path take 4d6+9 points of damage that round as they are trampled beneath dozens of animals' hooves. A successful Reflex save halves this damage.  If the stampede's path would put it in an obviously dangerous area (such as over a cliff or through a fire) or force it to move through a solid barrier, the herd stops at the obstacle and moves in a new randomly determined direction until it reaches another obstacle or the spell's duration ends.</t>
  </si>
  <si>
    <t>Vinetrap</t>
  </si>
  <si>
    <t>cleric/oracle 8, druid 8</t>
  </si>
  <si>
    <t>radius spread of up to 10 ft./level, 90 ft. high</t>
  </si>
  <si>
    <t>Vines choked with thorns, blossoms, leaflets, and other floral debris burst to life on and around the subject of this spell, winding around limbs and armor and making it progressively more difficult for the subject to maneuver. When this spell is cast, the subject may attempt a Reflex save. Success indicates that the vines fail to take root and the spell has no effect. On a failed save, the subject's base speed is immediately reduced by 5 feet. Each round thereafter, the subject must make another successful Reflex save or his speed is reduced by another 5 feet. This occurs each round until he is reduced to a speed equal to half of what it was before the spell was cast.  As a full-round action, the subject or an adjacent creature can tear the vines off the subject's body, resetting the speed penalty to just 5 feet, though the vines continue to grow each round thereafter for the spell's duration, requiring additional checks, unless it is actually dispelled. The spell's effects can also be prematurely ended by dealing at least 20 points of fire damage to the subject. When the spell's duration ends or the effect is terminated, the vines immediately wilt and the subject's speed returns to normal. Regardless of the subject's base speed, the vines cannot reduce a creature's speed below 5 feet.  This spell has additional effects depending on which version you cast, chosen when you cast the spell.  Blessed Thorns: The vines sprout vicious thorns made of celestial steel. Each round at the beginning of your turn, the subject takes 2d4 points of damage, plus 1 point of damage for each round since the creature last took a full-round action to tear the vines off. When you cast this version of the spell, you can also choose to make the thorns either cold iron or silver for the purposes of overcoming damage reduction.  Noxious Vines: The vines emit noxious fumes that act as a lung and eye irritant. The subject and any creatures adjacent to the subject must attempt a DC 15 Fortitude check each round at the beginning of their turn. On a failed save, the creatures becomes blinded for that round and can't cast spells with verbal components.  Swift Vines: The vines act twice as quickly as normal, and slow the creature by 10 feet per round instead of 5 feet (though they still can't decrease the creature's speed to less than half). In addition, once the creature is slowed to half-speed, it becomes staggered until the vines are torn off or the spell ends.</t>
  </si>
  <si>
    <t>Black Sword Of War</t>
  </si>
  <si>
    <t>antipaladin 3, cleric/oracle 3, ranger 3, sorcerer/wizard 3</t>
  </si>
  <si>
    <t>V, S, F</t>
  </si>
  <si>
    <t>piercing or slashing manufactured weapon touched</t>
  </si>
  <si>
    <t>The target weapon turns a glossy black color and deals bleed damage if it deals hit point damage to a creature. The amount of bleed damage is equal to 1/2 your caster level (maximum bleed 5).</t>
  </si>
  <si>
    <t>AP 71</t>
  </si>
  <si>
    <t>Szuriel</t>
  </si>
  <si>
    <t>Bloody Tears And Jagged Smile</t>
  </si>
  <si>
    <t>cleric/oracle 2, sorcerer/wizard 2</t>
  </si>
  <si>
    <t>personal and see text</t>
  </si>
  <si>
    <t>you and see text</t>
  </si>
  <si>
    <t>Your eyes turn black and weep blood, and your teeth become jagged fangs. You gain a bite attack (1d3 points of damage if you are Small, 1d4 points of damage if you are Medium). You gain a +4 profane bonus on Intimidate checks and on your spell DCs for spells with the fear descriptor. You perceive creatures as if using deathwatch.</t>
  </si>
  <si>
    <t>Blightburn Weapon</t>
  </si>
  <si>
    <t>alchemist 4, inquisitor 4, magus 4, sorcerer/wizard 5, witch 5</t>
  </si>
  <si>
    <t>You transform the target weapon into pure blightburn. The weapon functions as normal, but any creature that touches it, or that it strikes, takes 2d6 points of fire damage each round it remains in contact. In addition, the weapon emanates an aura of radiation that causes blightburn sickness. This is as the disease (see page 29), but with a 10-foot radius and a save DC equal to this spell's save DC.</t>
  </si>
  <si>
    <t>Kobolds Of Golarion</t>
  </si>
  <si>
    <t>Chameleon Scales</t>
  </si>
  <si>
    <t>alchemist 1, druid 0, ranger 1, sorcerer/wizard 0</t>
  </si>
  <si>
    <t>You temporarily alter the color of your skin, hide, or scales to another option legal for your race. You take no penalty for using Disguise to appear as a member of a different race as long as that race has the same type and color of skin, hide, or scales as you.</t>
  </si>
  <si>
    <t>Dark-Light</t>
  </si>
  <si>
    <t>cleric/oracle 3, druid 3, sorcerer/wizard 3</t>
  </si>
  <si>
    <t>V, S, M/DF (a pinch of Darklands earth)</t>
  </si>
  <si>
    <t>living creatures without light sensitivity</t>
  </si>
  <si>
    <t>You evoke a powerful light that affects all sighted creatures that do not posses light sensitivity. Those that succeed on their saves are dazzled for 1 round per level; those who fail are blinded for the same duration.</t>
  </si>
  <si>
    <t>Enlarge Tail</t>
  </si>
  <si>
    <t>alchemist 1, antipaladin 1, druid 1, magus 1, sorcerer/wizard 1, summoner/unchained summoner 1, witch 1</t>
  </si>
  <si>
    <t>your tail</t>
  </si>
  <si>
    <t>When attacking with your tail or tail weapons, you gain 5 feet of reach, a +1 bonus on attack rolls, and a +2 bonus on damage rolls.</t>
  </si>
  <si>
    <t>Lead Plating</t>
  </si>
  <si>
    <t>alchemist 3, cleric/oracle 2, druid 2, ranger 2, sorcerer/wizard 2, witch 2</t>
  </si>
  <si>
    <t>V, S, F (an ounce of lead)</t>
  </si>
  <si>
    <t>a creature or object weighing up to 100 lbs./level</t>
  </si>
  <si>
    <t>You enclose the target in a thin sheath of lead. This doesn't restrict the target's movement or functionality, but protects it from the effects of radiation and prevents the penetration of many divination spells. The lead doesn't coat the target's equipment.</t>
  </si>
  <si>
    <t>Shadow Dragon Aspect</t>
  </si>
  <si>
    <t>bard 4, sorcerer/wizard 4</t>
  </si>
  <si>
    <t>Will disbelief (if interacted with), see text</t>
  </si>
  <si>
    <t>yes, see text;</t>
  </si>
  <si>
    <t>You wreathe yourself in the quasi-real form of a dragon. You gain two claw attacks (1d6 plus caster level slashing damage) and a bite attack (1d8 plus caster level piercing damage). These are primary attacks. In addition, you gain shadowy wings, granting you a fly speed equal to your base speed (good maneuverability).  Your shadowy natural weapons are only half as strong as the real things, though creatures that believe them to be real are affected at full strength. A creature is permitted one Will save the first time you strike it. If it succeeds, the creature takes half damage from such attacks for the duration of the spell. If you overcome a creature's spell resistance on your first attack, that creature remains vulnerable for the spell's duration; otherwise, it's immune.</t>
  </si>
  <si>
    <t>Strip Scales</t>
  </si>
  <si>
    <t>druid 4, sorcerer/wizard 5, witch 5</t>
  </si>
  <si>
    <t>V, S, M/DF (a single reptile scale)</t>
  </si>
  <si>
    <t>Fortitude</t>
  </si>
  <si>
    <t>You reduce the target's racial natural armor bonus by 1 point per 3 caster levels.</t>
  </si>
  <si>
    <t>Unseen Engineers</t>
  </si>
  <si>
    <t>sorcerer/wizard 3, summoner/unchained summoner 2, witch 3</t>
  </si>
  <si>
    <t>V, S, M (materials required to construct the trap)</t>
  </si>
  <si>
    <t>long (400 ft. + 40 ft. level)</t>
  </si>
  <si>
    <t>a team of tiny, invisible engineers</t>
  </si>
  <si>
    <t>You conjure an invisible team of tiny engineers to construct a trap at alarming speed. Originating at your location, the team must remain within range of you or the spell ends. The engineers construct a mechanical trap of your choice. Construction takes a number of rounds equal to the trap's challenge rating. The engineers must have the materials available. At the end of the construction time, use your Craft (traps) skill with a +5 bonus to determine the success of their work. If the engineers succeed, the trap is complete and the spell ends. If they fail, the materials are deposited at that location and the spell ends. If the spell's duration ends before the trap is complete, the engineers automatically fail.  The engineers move at your base speed and can carry only materials required in the construction of the desired trap. They can't attack in any way or be killed, and dissipate if they take 12 points of damage from area attacks (they get no saves against attacks).</t>
  </si>
  <si>
    <t>Detect Relations</t>
  </si>
  <si>
    <t>bard 2, cleric/oracle 2, inquisitor 2, witch 2</t>
  </si>
  <si>
    <t>V, S, F/DF (a seed)</t>
  </si>
  <si>
    <t>one creature per level, no two of which can be more than 30 ft. apart</t>
  </si>
  <si>
    <t>You can determine whether or not two or more creatures are related by blood. The amount of information gleaned depends on how long you study a particular area or set of subjects.  1st round: Whether or not the subjects are related by blood.  2nd round: Number of related subjects and their general relation to one another (for example, this would reveal that one subject is a descendant of the other, but it would not specify "mother" or "grandmother").  3rd round: Precise relationship between subjects in the area. A target's Will save prevents you from determining its exact relationship with another creature, and only one subject needs to succeed at this save to prevent you from determining its relationship with another creature. (So, for instance, if two brothers are in the area and one succeeds at his Will save, you could tell that they are siblings, but could not distinguish whether they are full- or half-siblings.)  Each round, you can turn to detect relations in a new area. The spell can penetrate barriers, but 6 inches of stone, 1 inch of common metal, a thin sheet of lead, or 1 foot of wood or dirt will block it.  This spell functions by analyzing the blood and minds of creatures in the area, collectively examining these traits and comparing them to those of others in the area while looking for patterns. Thus, adoptive siblings and parents cannot be detected with this spell, since they share no blood.</t>
  </si>
  <si>
    <t>Quests and Campaigns</t>
  </si>
  <si>
    <t>Business Booms</t>
  </si>
  <si>
    <t>V, S, M (promotional materials such as flyers and posters worth 10 gp)</t>
  </si>
  <si>
    <t>one building</t>
  </si>
  <si>
    <t>see text (D)</t>
  </si>
  <si>
    <t>You may cast this spell immediately prior to spending 1 day of downtime to promote a business (see page 85 of Ultimate Campaign). The spell is cast on a building you wish to promote, which is magically bestowed with magical decorations and other improvements that make it generally more appealing, and it is treated as seeing increased activity for the spell's duration. If the spell is cast on a building that you do not promote immediately thereafter, the spell is expended with no effect.  After the initial day of downtime spent promoting your building, the spell maintains the influx of activity for a number of days equal to half your caster level (maximum 5 days). During this time, you needn't spend additional downtime to promote the building, but you must spend capital as normal to promote the building. The capital the affected building generates for you is unaffected by the spell. If you spend 1 day promoting a different building than the target of this spell while this spell remains active, the spell immediately ends.</t>
  </si>
  <si>
    <t>Prosperous Room</t>
  </si>
  <si>
    <t>room you own; see text</t>
  </si>
  <si>
    <t>The targeted room is enchanted to have magical appeal for customers, an increase in the workflow of its employees, or the generation of additional materials to work with. While this spell is in effect, the targeted room produces 1 more Goods, Labor, Influence, or Magic than it already does. If the room produces multiple types of capital, it produces an additional capital of each type. If the room generates gp, it generates 25% more. Only the capital that the room normally generates increases- rooms that do not already generate Magic, for instance, do not generate Magic because of this spell.  While this spell is in effect, neither you nor your allies can further interact with the affected room or the spell's effects immediately end. You cannot spend downtime actions to run a business with a room that is affected by this spell, though any employees or workers that operate within the room may continue to do so normally.</t>
  </si>
  <si>
    <t>Renovation</t>
  </si>
  <si>
    <t>bard 5, sorcerer/wizard 4</t>
  </si>
  <si>
    <t>V, S, M (silver dust worth 1,000 gp)</t>
  </si>
  <si>
    <t>one unoccupied structure</t>
  </si>
  <si>
    <t>none (object; see text)</t>
  </si>
  <si>
    <t>Upon casting this spell, you permanently rearrange and resize the rooms in a building you constructed as a downtime activity (see page 84 of Ultimate Campaign). You may reorganize and remap the building however you please, as if each room had just been constructed and is being positioned for the first time. You cannot make any changes to a building that changes how much a room would cost to create or that alters the benefits a room provides. The structure also must remain in the same general position within the district. If you don't wholly own the structure, all of the structure's owners must consent to the changes being made before the spell is cast; otherwise, it fails immediately.</t>
  </si>
  <si>
    <t>Teleport Structure</t>
  </si>
  <si>
    <t>sorcerer/wizard 6</t>
  </si>
  <si>
    <t>V, M (gold dust worth 50 gp)</t>
  </si>
  <si>
    <t>You instantly teleport a building in a settlement you control to another lot or series of lots in the same settlement district. The building to be teleported must be unoccupied, and the area to which you wish to move the building must be cleared and unoccupied during the casting of this spell. A building cannot be teleported to an area it would not normally be able to occupy, such as an area adjacent to a prohibited building type. If you don't wholly own the structure, all of the structure's owners must consent to the structure's teleportation before the spell is cast; otherwise, it fails immediately.  This spell only functions on buildings that occupy a number of lots equal to one-fourth your caster level (so, for instance, a 16th-level caster could use this spell on a building that occupies up to 4 lots).</t>
  </si>
  <si>
    <t>Bless Army</t>
  </si>
  <si>
    <t>1 hex</t>
  </si>
  <si>
    <t>one army</t>
  </si>
  <si>
    <t>1 battle</t>
  </si>
  <si>
    <t>Bless army fills an army with courage. The army gains a +1 bonus on OM and Morale checks.</t>
  </si>
  <si>
    <t>Imbue Army Special Ability</t>
  </si>
  <si>
    <t>V, S, F (a silver mirror worth 100 gp)</t>
  </si>
  <si>
    <t>You imbue the target with an army special ability (see page 242 of Ultimate Campaign) possessed by the army's commander. The army is treated as if it consists of units who all possess the chosen special ability. This special ability is in addition to any special abilities the army inherently possessed prior to the casting of the spell.</t>
  </si>
  <si>
    <t>Tactical Insight</t>
  </si>
  <si>
    <t>bard 6, inquisitor 6</t>
  </si>
  <si>
    <t>Choose a single army tactic. You grant mastery of this tactic to the target army for the spell's duration. This tactic may bring an army's total known tactics to a number greater than normally allowed.</t>
  </si>
  <si>
    <t>Ceremony</t>
  </si>
  <si>
    <t>cleric/oracle 1</t>
  </si>
  <si>
    <t>touch or medium (100 ft. + 10 ft./level) (see text)</t>
  </si>
  <si>
    <t>willing, living creature or creatures touched or one creature/level (see text)</t>
  </si>
  <si>
    <t>1 hour/level or 1 day/level (see text)</t>
  </si>
  <si>
    <t>You harness divine power to create one of four different ceremonies-a funeral, holiday fete, marriage, or naming-and can also create two domain-based ceremonies. Each ceremony provides a boon to two living, touched subjects for 1 hour per caster level, representing the divine gifts granted by your deity as well as the normal morale-boosting benefits of participating in an officiated ceremony. Bonuses granted by these boons are sacred bonuses if you channel positive energy or profane bonuses if you channel negative energy. (Bonuses in this section are referred to simply as sacred bonuses for ease of reading.) Only subjects whose alignments are within one step of your deity can be affected by this spell.  If you are using the downtime system from Pathfinder RPG Ultimate Campaign, you may use additional resources to augment the effect of a particular ceremony. You may spend 10 Goods, Labor, or Influence or 2 Magic to create a larger ceremony and grant an additional boon that lasts for 1 day per caster level (up to a maximum of 5 days). The type of capital spent should reflect the preparation required for the specific ceremony. Augmented boons affect the creatures touched as well as a number of intelligent, properly aligned creatures within medium range equal to your caster level (up to a maximum of 10 creatures), granting all subjects the benefits of the original boon as well as the benefits of an augmented boon, representing the divine gifts granted to these witnesses by your god.  Unless otherwise stated, use-activated abilities are supernatural abilities and abilities that emulate the effects of a spell are spell-like abilities; in either case, abilities granted by a boon are generally usable only once or until the duration of the spell ends, whichever comes first. Spell-like abilities are cast at a creature's highest caster level gained, or, if the creature has no caster level, CL 1st. Constant or passive effects and bonuses granted by this spell can be dispelled as normal, using your caster level to do so.  Funeral: A funeral service must involve a corpse and at least one willing companion or next of kin. The subject gains a +2 sacred bonus against death effects.  Holiday Fete: A holiday fete may involve up to two willing creatures. The subject gains a +1 sacred bonus on Fortitude saves.  Marriage: A marriage must involve two willing creatures. The subject gains a +1 sacred bonus on saves against fear and emotion effects.  Naming: A naming must involve a willing parent or parents and a newborn (who is touched but unaffected). The subject can use sanctuary once.  The augmented versions of these four ceremonies are identical, granting the subject a +2 sacred bonus on all saving throws.  In addition to these four ceremonies, each cleric gains two more ceremonies according to her domain. The names of domain ceremonies and their relevant boons are listed below. Unless otherwise noted, each of the following ceremonies requires at least two willing subjects.  Air: Celebration of Storms. The subject can use feather fall once. Augmented: The subject gains a +4 sacred bonus on saves against effects with the air descriptor.  Animal: Ritual of Beasts. The subject can use speak with animals once (this effect lasts 3 rounds). Augmented: The subject can use charm animal once.  Artifice: Apparatus's Observance. The subject can heal a construct creature with a touch, healing 1d3 points of damage. Augmented: The subject can heal a construct creature 1d6 points of damage.  Chaos: Anarchic Revelry. The subject can force a lawful-aligned foe within 30 feet to roll an attack roll twice and take the less favorable result. This ability must be announced before the first attack roll is made. Augmented: The first time the subject deals damage to a foe with a melee attack, the attack is treated as chaotic for the purpose of overcoming DR.  Charm: Jubilee of Delight. The subject gains a +2 sacred bonus on his next Bluff, Diplomacy, or Intimidate check. Augmented: The subject gains a +2 sacred bonus on saving throws against charm and compulsion effects.  Community: Celebration of Bonding. As a standard action, the subject can heal a touched creature 1d6 points of nonlethal damage. Augmented: The subject is cured of the fatigued, shaken, and sickened conditions.  Darkness: Glorify Shadows. The subject gains darkvision to a range of 30 feet (or increases current range of darkvision by 10 feet). Augmented: The subject increases range of darkvision by 30 feet.  Death: Dance of the Dead. The subject can use bleed up to three times. Augmented: The subject can use cause fear once.  Destruction: Day of Dismantling. The subject gains a +1 sacred bonus on attacks and damage rolls against inanimate objects. Augmented: The bonus becomes +2.  Earth: Festival of Soil. The subject can cast plant growth (enrichment) once. Augmented: The subject gains a +4 sacred bonus on saves against effects with the earth descriptor.  Evil: Unholy Gala. The subject can cause a good-aligned foe to become sickened for 1 round as a melee touch attack. Augmented: This boon can be used three times.  Fire: Fire Calling. Nonmagical fires the subject makes cannot be extinguished by nonmagical means, though spells and other magical effects function as normal. Augmented: The subject gains a +4 sacred bonus on saves against effects with the fire descriptor.  Glory: Resplendent Feast. The subject receives a +2 bonus on a single Charisma-based skill check. Augmented: This boon can be used three times.  Good: Festival of Benevolence. The subject gains a +1 sacred bonus on melee attacks and melee damage rolls against evil-aligned foes. Augmented: The bonus becomes +2.  Healing: Touch of Assuagement. The subject can heal a dying creature 1d4 hit points as a standard action. Augmented: This boon can be used three times.  Knowledge: Liturgy of Learning. The subject can attempt any Knowledge skill check untrained. Augmented: This boon can be used three times.  Law: Observance of Order. The subject gains a +5 sacred bonus on the next combat maneuver check she makes against a chaotic-aligned foe. Augmented: The subject gains a +2 sacred bonus to CMD against chaotic-aligned foes.  Liberation: Freedom Festival. The subject can use remove fear once. Augmented: The subject gains a +2 sacred bonus to CMD.  Luck: Fete of Fortune. The next time the subject rolls a d20, he may roll twice and take the more favorable result. Augmented: The subject may use this ability on any single d20 roll, not just the next one.  Madness: Rite of Insanity. The subject can, as a melee touch attack, cause a foe to become confused for 1d4 rounds (DC 13 Will negates). Augmented: This boon can be used twice.  Magic: Arcane Obeisance. The subject gains a +2 sacred bonus on Spellcraft checks made while researching a spell or crafting a magic item. Augmented: The subject gains a +2 sacred bonus on Knowledge (arcana) or (religion) checks made while researching a spell.  Nobility: Knighting Ceremony. The subject receives a +1 sacred bonus on attack and damage rolls with one weapon of her choice. Augmented: The bonus becomes +2.  Plant: Harvest Festival. The subject can use speak with plants once, but the duration is 1 minute. Augmented: This boon can be used three times.  Protection: Ceremony of Sanctuary. The subject can use sanctuary once. Augmented: The subject gains a +2 sacred bonus to AC.  Repose: Spirit Ward. The subject can attempt a melee touch attack against a flat-footed foe to put him to sleep for 1d4 rounds. Augmented: This boon can be used three times.  Rune: Ancestral Observance. The subject gains a +2 sacred bonus on saves against language-dependent effects. Augmented: The subject gains a +2 sacred bonus on Linguistics checks.  Scalykind: Song of Serpents. The subject gains a +2 sacred bonus on saves against gaze attacks. Augmented: The subject gains a +4 sacred bonus to AC against the distraction attack of swarms.  Strength: Ritual of Might. The subject gains a +1 sacred bonus on Strength-based skill checks and Strength checks. Augmented: The bonus becomes +2.  Sun: Solstice Celebration. The illumination radius of any torch or other mundane light source held by the subject increases by 10 feet. Augmented: The subject gains a +4 sacred bonus against effects with the light descriptor.  Travel: Festival of Journeys. The subject can choose to ignore the effects of difficult terrain for 1 round. Augmented: This boon may be used three times.  Trickery: Communion of Liars. The subject gains a +2 sacred bonus to AC the first time he is attacked while flanked. Augmented: This boon functions the first three times the subject is attacked while flanked.  Void: Celestial Observance. The subject knows the direction of north from her current position for the duration of this spell. Augmented: The subject is immune to confusion effects.  War: Call to Battle. The subject gains a +1 sacred bonus on attack rolls. Augmented: The subject gains a +1 sacred bonus on damage rolls.  Water: Water Blessing. The subject can use water breathing. Augmented: The subject gains a +4 sacred bonus on saves against effects with the water descriptor.  Weather: Song of the Tempest. The subject can call one 10-foot-by-10-foot rain cloud in an area within 30 feet, requiring creatures in the affected area attempting to cast spells to first succeed at DC 13 concentration checks for 1 round. Augmented: The DC is 15 for 3 rounds.</t>
  </si>
  <si>
    <t>Dragon Turtle Shell</t>
  </si>
  <si>
    <t>alchemist 3, cleric/oracle 3, druid 2, sorcerer/wizard 3</t>
  </si>
  <si>
    <t>V, S, M (a piece of turtle shell)</t>
  </si>
  <si>
    <t>When you are struck by an opponent's natural attacks, the damage is resolved as if the attack came from a creature one size smaller per 5 caster levels (maximum of four size categories smaller at CL 20th). Refer to Table 3-1 in the Pathfinder RPG Bestiary to determine an attack's altered base damage. If the creature's natural attack deals nonstandard damage, refer instead to the Improved Natural Attack feat on page 315 of the Bestiary. It is not possible to reduce the base damage of a creature's natural attack below 1d2 with this spell.</t>
  </si>
  <si>
    <t>Dragonslayer's Handbook</t>
  </si>
  <si>
    <t>Draconic Suppression</t>
  </si>
  <si>
    <t>one dragon</t>
  </si>
  <si>
    <t>A dragon that fails its saving throw cannot use its breath weapon for the duration of the spell and is treated as one age category younger for determining which special abilities it can use. For example, an ancient green dragon would revert to the special abilities of a very old dragon and lose access to its miasma ability and its dominate person spell-like ability. This spell has no effect on a dragon's armor class, feats, frightful presence, hit points, physical attacks, saving throws, senses, size, skills, spellcasting, or statistics.</t>
  </si>
  <si>
    <t>Dragonvoice</t>
  </si>
  <si>
    <t>By magically altering the way your vocal cords create sounds, you can emulate the vocal inflections of dragons. This grants a +6 circumstance bonus on Charisma checks and Charisma-related skill checks when dealing with dragons.  In addition, your voice is much louder than normal, halving the penalties to others' Perception checks to hear you due to distance, intervening doors, and so on.</t>
  </si>
  <si>
    <t>Dungeonsight</t>
  </si>
  <si>
    <t>bard 4, cleric/oracle 5, inquisitor 4, sorcerer/wizard 5</t>
  </si>
  <si>
    <t>V, S, F (a small glass orb worth 150 gp)</t>
  </si>
  <si>
    <t>60-ft.-radius emanation</t>
  </si>
  <si>
    <t>You receive a clear and memorable view of the layout of chambers, barriers, and connecting passages within the area of effect. This spell does not reveal the contents or inhabitants of any of these locations, only the basic architecture of the space. For example, a staircase leading up to a pair of doors would be apparent, but the iron golems guarding the doors would not. This spell does identify the locations of secret doors and hidden passages but gives no clue as to the means of opening or accessing them.</t>
  </si>
  <si>
    <t>Erode Defenses</t>
  </si>
  <si>
    <t>Fortitude negates (see below)</t>
  </si>
  <si>
    <t>Your spell slowly begins to eat away at the defenses of your target. If the target fails its saving throw, it loses 1 point from any damage reduction and natural armor bonus it may have. If the initial save was not successful, the target may attempt a new saving throw each round for the duration of the spell or continue to suffer cumulative losses. If the first save fails but a subsequent save succeeds, the eroding effects stop at that point, though any of the penalties already accrued remain until the spell expires. At the end of the spell's duration, the target's damage reduction and natural armor bonus immediately return to normal.  Only one erode defenses spell can affect a particular target at any one time.</t>
  </si>
  <si>
    <t>Gravity Well</t>
  </si>
  <si>
    <t>druid 6, sorcerer/wizard 5</t>
  </si>
  <si>
    <t>V, S, M (a small lead weight)</t>
  </si>
  <si>
    <t>You bring into being a localized region of increased gravity that crushes a creature to the ground. Affected targets weigh twice as much as normal, can move only at half speed, jump only half as far as normal, and can lift and carry only half as much as normal. Any flying target has its maneuverability worsened by two steps (from good to poor, for example; minimum clumsy) and plummets to the ground unless it succeeds at a DC 25 Fly check to remain in the air.  Freedom of movement negates the effects of this spell. A creature targeted by gravity well behaves normally in the area of a reverse gravity spell.</t>
  </si>
  <si>
    <t>Heart Of The Mammoth</t>
  </si>
  <si>
    <t>cleric/oracle 8, druid 8, sorcerer/wizard 8, witch 8</t>
  </si>
  <si>
    <t>V, S, F (a fetish of mammoth hair soaked in dragon's blood)</t>
  </si>
  <si>
    <t>The target creature becomes stronger, hardier, and imbued with the courage of the greatest megafauna of the tundra. The spell grants a +8 enhancement bonus to Strength and Constitution, immunity to fear, a +4 morale bonus to Will saves, and doubles the critical threat range of all its attacks against creatures of the dragon type (this does not stack with Improved Critical, keen edge, or similar effects).</t>
  </si>
  <si>
    <t>Illusory Hoard</t>
  </si>
  <si>
    <t>bard 4, sorcerer/wizard 5</t>
  </si>
  <si>
    <t>S, M (an item from the hoard, see below)</t>
  </si>
  <si>
    <t>Will negates (and see below)</t>
  </si>
  <si>
    <t>The spell forces the target to believe that nothing in its hoard is missing or has been disturbed. This spell fools all the senses, convincing the target that its hoard feels and behaves as it should. Only if the target tries to use an item from this illusory hoard for some other purpose does it receive another saving throw to disbelieve the effects of the spell (a wizard trying to use an illusory wand or a dragon trying to unlock a door with an illusory key). For the purposes of this spell, a hoard is any amount of treasure that is too big to be carried by the treasure's owner without magical tools such as bags of holding or portable holes, such as a dragon's hoard, a king's treasury, a merchant's strongbox, or a thief's hidden cache.  The material component is any item worth 10 gp or more taken from the original hoard. This item is consumed by the spell.</t>
  </si>
  <si>
    <t>Kreighton's Perusal</t>
  </si>
  <si>
    <t>book touched</t>
  </si>
  <si>
    <t>You gain a brief but incomplete understanding of one book's contents, equivalent to having skimmed its pages for 1 hour. This insight is not sufficient to translate unknown languages, decipher codes, or memorize text, but it does allow the caster to learn what topics the book discusses- invaluable to a Pathfinder who must make a snap decision when performing research or deciding whether or not to abscond with a volume. In addition, you instantly benefit from any bonuses or effects the book would normally grant to anyone who reads it for 1 hour (such as the bonuses gained from reading volumes of the Pathfinder Chronicles; see pages 26-27).</t>
  </si>
  <si>
    <t>Pathfinder Society Primer</t>
  </si>
  <si>
    <t>Page-Bound Epiphany</t>
  </si>
  <si>
    <t>bard 2, cleric/oracle 2, magus 2, sorcerer/wizard 2</t>
  </si>
  <si>
    <t>V, S, F (a book with blank pages)</t>
  </si>
  <si>
    <t>You magically scour the world's libraries for information that might refresh your memory about a topic. Upon casting this spell, the focus book's pages fill with snippets and selections from countless books. You can spend up to 1 round per caster level (maximum 10) reading these notes. You may cease reading at any time, and when you do you can immediately attempt one Knowledge check with a +1 circumstance bonus for each round you spent studying the book (maximum +10). The writing disappears when the spell ends, and if you fail to succeed at a Knowledge check on the round you stop reading the notes, you don't gain the benefits of this spell.</t>
  </si>
  <si>
    <t>Collaborative Thaumaturgy</t>
  </si>
  <si>
    <t>bard 3, cleric/oracle 3, druid 3, magus 3, summoner/unchained summoner 3, sorcerer/wizard 3, witch 3</t>
  </si>
  <si>
    <t>V, S, F (a bronze tuning fork)</t>
  </si>
  <si>
    <t>You tap into the magical resonance between you and your allies to enhance one another's magic. Cast this spell when an ally casts a spell at least 1 level lower than the highest-level spell she can cast.  The ally casts her spell as if one of the following metamagic feats were applied to it without increasing the spell level or casting time: Enlarge Spell, Extend Spell, Silent Spell, or Still Spell. If the ally is the target of two collaborative thaumaturgy spells when casting a spell, the ally can instead apply the Empower Spell metamagic feat to a spell at least 2 levels lower than the highest-level spell she can cast. Finally, if the ally is the target of three collaborative thaumaturgy spells when casting a spell, she can instead apply the Maximize Spell or Widen Spell metamagic feat to a spell at least 3 levels lower than the highest-level spell she can cast. You can't target yourself with collaborative thaumaturgy.</t>
  </si>
  <si>
    <t>Sure Casting</t>
  </si>
  <si>
    <t>bard 1, cleric/oracle 1, inquisitor 1, sorcerer/wizard 1, witch 1</t>
  </si>
  <si>
    <t>V, F (a square of cloth and a needle)</t>
  </si>
  <si>
    <t>You gain temporary insight into your enemies' magical defenses.  When you next cast a spell before the end of the next round, treat your caster level as 5 higher than normal for the purpose of overcoming spell resistance. This bonus doesn't increase any other effects that depend on caster level, such as the spell's damage or range, and affects only the first spell cast after sure casting.</t>
  </si>
  <si>
    <t>Cauterizing Weapon</t>
  </si>
  <si>
    <t>bard 2, magus 2, ranger 2, sorcerer/wizard 3</t>
  </si>
  <si>
    <t>V, S, M (a gobbet of melted wax)</t>
  </si>
  <si>
    <t>You infuse a weapon with faint but pernicious energy that stymies accelerated healing. Damage dealt by the weapon or ammunition is treated as acid, cold, electricity, and fire, but only for the purpose of negating a creature's regeneration. The weapon is also treated as silver and cold iron at 8th level and is treated as chaotic, evil, good, and lawful at 11th level for the purpose of negating regeneration.</t>
  </si>
  <si>
    <t>Tactical Miscalculation</t>
  </si>
  <si>
    <t>bard 2, inquisitor 2, ranger 2</t>
  </si>
  <si>
    <t>The target becomes fixated on avoiding damage and fails to spot even the most opportune moments to attack. Whenever a creature the target threatens would provoke an attack of opportunity from the target, the target must succeed at a Will save or be unable to make the attack of opportunity against that creature.</t>
  </si>
  <si>
    <t>Wall Of Light</t>
  </si>
  <si>
    <t>druid 5, sorcerer/wizard 5</t>
  </si>
  <si>
    <t>10-ft.-high vertical sheet of light up to 5 ft. long/level</t>
  </si>
  <si>
    <t>An immobile, blinding curtain of white light that blocks line of sight springs into existence. The wall sheds bright light to a range of 60 feet in all directions. A creature adjacent to the wall is blinded as long as it remains adjacent plus an additional 1d4 rounds thereafter-closing its eyes or succeeding at a Fortitude save negates the effect for 1 round. A creature that passes through the wall is automatically blinded, even if its eyes are closed. A creature from the Plane of Shadow gains 1d4 negative levels each round it spends within 5 feet of the wall (Fortitude negates). Passing through the wall imposes a -4 penalty on the save for that round. Twenty-four hours after gaining these negative levels, the subject must attempt a new Fortitude saving throw for each negative level. If a save succeeds, 1 negative level is removed. If it fails, the negative level becomes permanent. Wall of light can be made permanent with permanency (with a minimum caster level of 13th and cost of 11,000 gp).</t>
  </si>
  <si>
    <t>The Dragon's Demand</t>
  </si>
  <si>
    <t>Blood Song</t>
  </si>
  <si>
    <t>2 minutes</t>
  </si>
  <si>
    <t>V, S, M (the caster's blood)</t>
  </si>
  <si>
    <t>1 day or until discharged (D)</t>
  </si>
  <si>
    <t>This spell functions as imbue with spell ability, with the following exceptions: only bard spells of the conjuration (healing), enchantment, and transmutation schools can be transferred; the imbued spells last for 1 day; and the subject isn't beholden to any principles regarding the imbued spells' use.  As part of the casting, the caster must shed some of his blood (or an equivalent humor). If the caster isn't susceptible to bleed damage, regardless of the reason, he can't cast blood song. For each spell that is imbued using blood song, the caster loses 5 hit points, which can't be regained by any means until the spell ends or is discharged.</t>
  </si>
  <si>
    <t>Faiths &amp; Philosophies</t>
  </si>
  <si>
    <t>Hallucinogenic Smoke</t>
  </si>
  <si>
    <t>cleric/oracle 4, witch 4</t>
  </si>
  <si>
    <t>S, M (tobacco leaves, ingested)</t>
  </si>
  <si>
    <t>3 rounds/level or until discharged; see text</t>
  </si>
  <si>
    <t>Dark gray smoke seeps from your eyes, ears, and mouth for the spell's duration, though the smoke doesn't significantly hamper your vision. Upon casting the spell, you may immediately exhale the smoke in a 30-foot cone or do so in a later round as a standard action, ending the spell. Each living creature caught within the cone must succeed at a Fortitude save or be nauseated for 1 round per caster level as it is wracked with waves of nausea and disorienting visions. If it succeeds at its Fortitude save, the creature is instead sickened for 1d4 rounds.  If you don't expel the smoke by the end of the spell's duration, you suffer the spell's effects instead.  If you cast augury during the duration of hallucinogenic smoke, treat your caster level as 5 higher when determining the chance for a meaningful reply. Additionally, you know whether a result of "nothing" resulted from a failed or successful augury.</t>
  </si>
  <si>
    <t>Jungle Mind</t>
  </si>
  <si>
    <t>druid 5, oracle 5, ranger 4</t>
  </si>
  <si>
    <t>You merge your mind into the jungle's social hierarchy, mystically establishing yourself as a master of wild beasts and an apex predator. You attain knowledge about the general animal population in a radius of 1 mile as commune with nature, and you then select one type of animal (such as birds, cats, snakes, or fish). For the duration of the spell, you can sense the location, movement, and size of creatures of this type in the area, though you can't discern species or individual identity. In addition, you improve the starting attitude of animals of the chosen type by one step for the duration of the spell.  As a full-round action, you may focus on a single animal that you can sense with this spell to establish a mental link. You can read the animal's surface thoughts as detect thoughts, and can see, hear, and smell what the animal is experiencing using your own Perception skill. If you target another creature's animal companion, the spell ends if the animal succeeds at a Will save. Using this ability reduces the spell's remaining duration to 1 round/level, and the selected animal is treated as the scrying sensor.  Despite the name, jungle mind functions within any terrain.</t>
  </si>
  <si>
    <t>Lay Of The Land</t>
  </si>
  <si>
    <t>cleric/oracle 2, bard 2, druid 2, ranger 2, witch 2</t>
  </si>
  <si>
    <t>V, S, M (a piece of soil from the land to be memorized)</t>
  </si>
  <si>
    <t>In a flash of recognition, you learn about the geography of your surroundings within a radius of 1 mile per 2 caster levels (minimum 1 mile). This instant familiarity grants you an insight bonus equal to your caster level (maximum +5) on Knowledge (geography) checks and Survival checks to avoid getting lost so long as you remain in the affected area.  Additionally, for the duration of the spell you can make Knowledge (geography) checks regarding the affected area as though you were trained in that skill.</t>
  </si>
  <si>
    <t>Source Severance</t>
  </si>
  <si>
    <t>cleric/oracle 6, druid 6, witch 6</t>
  </si>
  <si>
    <t>V, S, M (an unworked lodestone)</t>
  </si>
  <si>
    <t>5-ft.-radius emanation, centered on you</t>
  </si>
  <si>
    <t>You create an invisible barrier that surrounds you and moves with you, inhibiting one category of magic. When you cast this spell, choose either arcane or divine magic. This spell functions like antimagic field, but it suppresses only spells of the chosen type and supernatural and spell-like class abilities from classes that grant spellcasting of the selected type. Magic items, other spell-like abilities, and other supernatural abilities are unaffected.  While this spell is in effect, you must succeed at a concentration check (DC 20 + twice the spell level) to cast any spell, whether arcane or divine. If you fail at the check, you lose the spell as if you had cast it to no effect.</t>
  </si>
  <si>
    <t>Tectonic Communion</t>
  </si>
  <si>
    <t>Tectonic communion functions as commune with nature with an even greater range. In outdoor or natural underground settings, the spell operates on a radius of 100 miles per caster level, extending even underground without penalty.  For every 2 caster levels above 13th, you may glean an additional fact from the list presented in commune with nature. Communities, dungeons, and signs of civilization (such as roads, farms or other constructions and settlements) exist as dark and unknowable blots in your perception of the spell's area; you're aware of their location and existence, but can't discern any information regarding them.</t>
  </si>
  <si>
    <t>Anti-Summoning Shield</t>
  </si>
  <si>
    <t>bard 2, inquisitor 3, sorcerer/wizard 2, summoner/unchained summoner 2</t>
  </si>
  <si>
    <t>50-ft.-radius</t>
  </si>
  <si>
    <t>Within the area of effect, this spell impedes the use of spells of the summoning subschool and other effects that summon creatures. Any such spells, spell-like abilities, or similar summoning effects used within the area have a percent chance of failure equals 5% x your caster level, to a maximum 75% chance of failure. If the summoning effect already has a percent chance of failure (as is often the case with the summon spell-like ability of outsiders), these percentages stack. This spell does not affect summoners attempting to summon their eidolon, but it does affect summoners casting other summoning spells.</t>
  </si>
  <si>
    <t>Demon Hunter's Handbook</t>
  </si>
  <si>
    <t>Burst With Light</t>
  </si>
  <si>
    <t>cleric/oracle 4, paladin 4</t>
  </si>
  <si>
    <t>1 round/4 levels</t>
  </si>
  <si>
    <t>The target becomes filled with intense magical light, taking 2d6 points of damage as the light bursts from its wounds and orifices (if the target is an undead creature, it instead takes 2d8 points of damage). In addition, the creature radiates bright light in a 30-foot radius and increases the light level by one step for an additional 30 feet beyond that area-darkness becomes dim light, dim light becomes normal light, and normal light becomes bright light. Creatures that take penalties in bright light take them while within the 30-foot radius of this magical light. A successful Will save halves the damage and negates the light effect.  For every 4 character levels you possess, the light continues to fill the creature for another round (to a maximum of 5 rounds at 20th level), though the target may make a Will save each round to halve the damage and end the effect. Any creature adjacent to the target that fails its save and takes damage takes half as much damage and is blinded for 1 round. A successful Reflex save halves this damage (to a total of one-quarter the damage taken by the target) and negates the blindness effect.</t>
  </si>
  <si>
    <t>Detect Demon</t>
  </si>
  <si>
    <t>cleric/oracle 1, inquisitor 1, paladin 1</t>
  </si>
  <si>
    <t>You sense the presence of a specific kind of evil-that of demons, their servants, and the Abyss. The amount of information revealed depends on how long you study a particular area or subject.  1st Round: Presence or absence of creatures with the demon subtype, creatures possessed by demons, creatures under the effects of spells or spell-like abilities cast by demons, or creatures otherwise tainted by demons. Creatures tainted by demons include tieflings with demonic heritages, sorcerers with abyssal bloodlines, creatures affected by a succubus's profane gift, creatures with demonic implants (see page 44 of Pathfinder Campaign Setting: Lords of Chaos, Book of the Damned, Vol. 2), or creatures who have the Demonic Obedience feat (Lords of Chaos 8), and those under significant demonic influence as determined by the GM. This spell does not detect creatures of chaotic evil alignment who are not demons or significantly influenced by demons.  Additionally, this spell detects whether or not a portal or similar magical passage leads to the Abyss.  2nd Round: Number of evil auras shed by creatures with the demon subtype in the area, as well as the power of the most potent evil aura present. If you are of good alignment, and the strongest evil aura's strength is overwhelming; if the creature has HD equal to at least twice your character level, you are stunned for 1 round and the spell ends.  3rd Round: The power and location of each aura, and what demon lord, if any, a demon is most closely affiliated with. If an aura is outside your line of sight, you discern the direction but not its exact location. Affiliation to a demon lord is only revealed when the creature detected is a demon (not merely a creature tainted by a demon). Demons receive a Will saving throw to resist revealing what demon lord they are affiliated with. If the demon succeeds at this saving throw or is not forsworn to a demon lord, you know only that this aspect of the spell returned no information.  Aside from what is detailed above, this spell otherwise functions similarly to detect evil in terms of aura power, lingering auras, overwhelming auras, and so forth.</t>
  </si>
  <si>
    <t>Protection From Outsiders</t>
  </si>
  <si>
    <t>This spell wards a creature from attacks by outsiders with a specific racial subtype, from mental control exerted by creatures of the chosen subtype, and from summoned creatures of that subtype. Only the subtypes of specific outsider races-angel, azata, demon, oni, psychopomp, protean, and so on-can be chosen as the subtype this spell protects against. Alignment subtypes or other general subtypes (like elemental, extraplanar, or native) cannot be selected. Outsiders without an outsider racial subtype (like genies, night hags, yeth hounds, or xills) are not affected by this spell.  This spell creates a magical barrier around the subject at a distance of 1 foot. The barrier moves with the subject and has three major effects.  First, the subject gains a +4 deflection bonus to AC and a +4 resistance bonus on saves when targeted by creatures of the chosen subtype.  Second, the subject immediately receives another saving throw (if one was allowed to begin with) against any spells or effects that possess or exercise mental control over the target creature. This functions in the same fashion as protection from evil, but only when the effect stems from outsiders of the chosen subtype, and the target's saving throw is made with a +4 morale bonus (using the same DC as the original effect).  Third, the spell prevents bodily contact by summoned creatures of the chosen subtype in the same manner as detailed in protection from evil.  This spell's descriptor varies depending on the outsider race selected, gaining the alignment descriptors opposite to the alignment of the outsider race-for example, lawful and good if the race is chaotic and evil, chaotic if the selected race is lawful, or none if the selected race is neutral.</t>
  </si>
  <si>
    <t>Righteous Blood</t>
  </si>
  <si>
    <t>inquisitor 2, paladin 2</t>
  </si>
  <si>
    <t>one creature of good alignment</t>
  </si>
  <si>
    <t>The target creature's innate goodness infuses its body with holy energy. While this energy does not directly empower the target, it can harm embodiments of evil. Any creature that damages the target with a slashing or piercing melee weapon is sprayed by the target's holy blood. If the attacker is a creature with the evil subtype, it takes 1d6 points of damage from divine power each time it successfully hits the target. If the target has the good subtype or an ability that grants it an aura of good (like paladins or some clerics), its blood instead deals 2d6 points of damage. Creatures that don't have the evil subtype or that are using reach weapons are not subject to this damage.</t>
  </si>
  <si>
    <t>Telepathic Censure</t>
  </si>
  <si>
    <t>one creature (see text)</t>
  </si>
  <si>
    <t>This spell creates an invisible psychic interference that inhibits telepathic communication. When cast upon a creature that can communicate via telepathy, this spell prevents that ability's use- either to receive or project thoughts. When cast upon a creature without telepathy, the spell merely prevents the target from receiving telepathic communication. Those affected by this spell or that attempt to telepathically communicate with creatures under its effects are not innately aware that their communication is being inhibited. This spell temporarily disrupts spells and effects like telepathic bond or telepathic messages sent by a helm of telepathy, but not attacks and effects unrelated to communication like detect thoughts or a neothelid's psychic crush.</t>
  </si>
  <si>
    <t>Contact Nalfeshnee</t>
  </si>
  <si>
    <t>cleric/oracle 6, sorcerer/wizard 6, witch 6</t>
  </si>
  <si>
    <t>V, S, M (powdered sapphire worth 250 gp), F (bejeweled cold iron mirror worth at least 2,000 gp)</t>
  </si>
  <si>
    <t>When you cast this spell, you fall into a trance and become helpless as long as you continue concentrating. Choose any one Knowledge skill other than arcana or planes. Your mind is placed in telepathic contact with a nalfeshnee demon skilled at that particular Knowledge skill, in addition to arcana and planes. Each round that you continue to concentrate, you may ask the nalfeshnee one question and it will answer as best it can. If you ask a question about arcana or planes, the nalfeshnee has a +23 bonus to the skill check. If you ask about the Knowledge skill you selected, the nalfeshnee has a +20 bonus. It cannot answer questions pertaining to other Knowledge skills-to do so, you must cast the spell again.  Contact with Abyssal minds is dangerous, and each time the nalfeshnee answers a question, you suffer 1d4 points of ability drain to Intelligence, Wisdom, or Charisma (determined randomly) unless you make a DC 22 Will save. Each additional question you ask with this spell over the course of a single 24-hour period imparts a cumulative -1 penalty on this saving throw. Chaotic evil spellcasters always gain a +4 bonus on this saving throw.</t>
  </si>
  <si>
    <t>Demons Revisited</t>
  </si>
  <si>
    <t>Ascension</t>
  </si>
  <si>
    <t>cleric/oracle 9, druid 9, sorcerer/wizard 9, witch 9, psychic 9</t>
  </si>
  <si>
    <t>V, S, F (minor artifact), M (10,000 gp in rare herbs, gems, and other exotic materials)</t>
  </si>
  <si>
    <t>one non-mythic creature/3 levels</t>
  </si>
  <si>
    <t>You imbue a number of creatures with mythic power, granting each of them 1st tier in a mythic path of its choice. The creatures immediately gain the benefits of their chosen paths. Divide the duration evenly among all targets.  The targets retain their mythic tier only while they're within 100 feet of the spell's focus component. A target that goes outside this range loses its mythic tier, but instantly regains it if it moves into range again. If the focus component is destroyed while the spell is in effect, the spell immediately ends and all targets gain 1d4 permanent negative levels.</t>
  </si>
  <si>
    <t>Mythic Adventures</t>
  </si>
  <si>
    <t>If you expend one use of mythic power when casting this spell, the duration increases to 1 day per level, and you can use yourself as the focus for this spell instead of a lesser artifact. If you're the focus, the targets retain their mythic tier only while they're within 100 feet of you, and if you die, the spell immediately ends and all targets gain 1d4 permanent negative levels.</t>
  </si>
  <si>
    <t>Bleed Glory</t>
  </si>
  <si>
    <t>cleric/oracle 3, sorcerer/wizard 3, witch 3, psychic 3, mesmerist 3, medium 1</t>
  </si>
  <si>
    <t>one mythic creature</t>
  </si>
  <si>
    <t>The mythic power cost for all path abilities, feats, spells, and other effects used by the target increases by 1.</t>
  </si>
  <si>
    <t>Deathless</t>
  </si>
  <si>
    <t>alchemist 4, cleric/oracle 4, inquisitor 4, sorcerer/wizard 4, witch 4, psychic 4, medium 4</t>
  </si>
  <si>
    <t>The target's soul is strongly anchored to its body, preventing death from hit point damage. No matter how low the target's hit points get, it remains alive (though not necessarily conscious).  This spell doesn't prevent death from sources other than hit point damage-such as Constitution damage or drain, death effects, or energy drain. Spells that cure hit points affect the creature normally.</t>
  </si>
  <si>
    <t>If you expend one use of mythic power when you cast the spell, you become an anchor for the souls of you and your cohorts. The range increases to 30 feet, and instead of affecting one creature, it affects all allies within a 30-foot-radius emanation centered on you.</t>
  </si>
  <si>
    <t>Augmented (8th): If you expend three uses of mythic power, the range increases to 1 mile, and the area to a 1-mile-radius emanation centered on you.</t>
  </si>
  <si>
    <t>Lend Path</t>
  </si>
  <si>
    <t>bard 4, cleric/oracle 5, druid 5, magus 4, sorcerer/wizard 5, summoner/unchained summoner 4, witch 5, psychic 5, medium 2</t>
  </si>
  <si>
    <t>You temporarily transfer one of your mythic path abilities to another creature, which can use it as if it were part of the creature's own path. If the target is unable to expend mythic power, it can't activate any part of the ability that requires expending uses of mythic power, but the ability otherwise functions as if the creature were 1st tier.  While your path ability is transferred in this way, you can't use it yourself (even if it's an automatic ability or one that doesn't require expending uses of mythic power).</t>
  </si>
  <si>
    <t>Mythic Severance</t>
  </si>
  <si>
    <t>cleric/oracle 4, inquisitor 3, sorcerer/wizard 4, witch 4, psychic 4, mesmerist 3, medium 2</t>
  </si>
  <si>
    <t>You restrict the target's access to its mythic power. Each time the target attempts to cast a mythic spell, expend mythic power to activate a path ability, or use any other effect that requires expending uses of mythic power, it must attempt a Will saving throw against the DC of this spell. If it fails this saving throw, the creature loses its action and the ability it was attempting to use has no effect.  This spell has no effect on mythic abilities that don't require the target to expend mythic power.</t>
  </si>
  <si>
    <t>Restore Mythic Power</t>
  </si>
  <si>
    <t>bard 3, cleric/oracle 3, sorcerer/wizard 3, witch 3, psychic 3, medium 2</t>
  </si>
  <si>
    <t>you and one mythic creature</t>
  </si>
  <si>
    <t>By laying your hands on the target, you're able to transfer some of your mythic essence to the target. You expend three uses of your mythic power to restore one use of the target's mythic power.</t>
  </si>
  <si>
    <t>Share Glory</t>
  </si>
  <si>
    <t>bard 2, cleric/oracle 3, druid 3, sorcerer/wizard 3, summoner/unchained summoner 2, witch 3, psychic 3, medium 1</t>
  </si>
  <si>
    <t>You imbue the targets with a fraction of your mythic nature. They count as mythic creatures for the purpose of path abilities, spells, and other effects that function differently for mythic creatures. This doesn't grant the targets mythic tiers or any uses of mythic power; it merely gives them a greater advantage when others use abilities that work differently for mythic creatures. You must be at least a 1st-tier mythic character to cast this spell.</t>
  </si>
  <si>
    <t>Steal Power</t>
  </si>
  <si>
    <t>cleric/oracle 5, sorcerer/wizard 5, witch 5, psychic 5, mesmerist 4</t>
  </si>
  <si>
    <t>You sap the power from a mythic creature, using it to restore your own. The target loses 1d4 uses of mythic power. If you have the ability to expend mythic power, you regain one use for each use the target loses.</t>
  </si>
  <si>
    <t>Terraform</t>
  </si>
  <si>
    <t>cleric/oracle 7, druid 6, sorcerer/wizard 7, witch 7, psychic 7</t>
  </si>
  <si>
    <t>V, S, M (10,000 gp worth of precious minerals, see text)</t>
  </si>
  <si>
    <t>100 feet</t>
  </si>
  <si>
    <t>100-foot-radius emanation, centered on you</t>
  </si>
  <si>
    <t>1 day/level (see text)</t>
  </si>
  <si>
    <t>You alter the area's terrain and climate to a new terrain and climate type appropriate to the planet or plane. For example, you might transform a desert to plains. To cast this spell, you must expend 10 uses of mythic power along with the material cost. This magically alters the area's climate and normal plants to those appropriate to the new terrain, but doesn't affect creatures or the configuration of the earth. Transforming rocky hills into forested areas converts grasses into shrubs and small trees, but doesn't flatten the hills or change the animals to suit the new environment.  You can alter the climate by one step (warm, temperate, or cold). The maximum extent of the terrain change is up to the GM, but in general is to a similar terrain type or one step within that terrain type (such as from a typical forest to a forest with massive trees or light undergrowth, from a shallow bog to a deep bog, and so on). You might be able to shift the land to a similar terrain type, such as turning a sparse forest into a relatively dry swamp. Local creatures adversely affected by these alterations either flee the area or quickly die, depending on their mobility and awareness of the change.  Multiple castings of the spell in the same area can create an area with radically different terrain and climate than the surrounding land. The GM can decide that certain terrain shifts are unsustainable and shorten the duration, or that some are suitable for the area and extend the duration.  This spell could have many secondary effects based on the nature of the change, the type of bordering terrain, and so on; these should be determined by the GM on a case-by-case basis. For example, transforming a desert requires drawing water up from underground to sustain the plants, which could deplete the water table in nearby areas. Creating a warm desert in the middle of a snowy tundra will create a bordering area of mud and frequent storms from the clash of hot and cold air fronts.  If you're at least 8th tier, you can expend 20 uses of mythic power instead of 10 to increase the range to 1 mile, the area to a 1-mile-radius emanation centered on you, and the duration to 1 month per caster level.</t>
  </si>
  <si>
    <t>Apparent Treachery</t>
  </si>
  <si>
    <t>bard 3, inquisitor 3, sorcerer/wizard 4</t>
  </si>
  <si>
    <t>You shroud a number of creatures in an aura of suspicion and fill them with extreme paranoia regarding their allies. Affected targets believe their companions are behaving erratically, nervously, and seemingly with an eye towards betrayal.  Creatures under the effect of apparent treachery do not have allies and are not considered to be an ally to any other creature, including other creatures affected by this spell. They cannot move freely through their allies' spaces, flank creatures with them, cooperate with them using teamwork feats, or give or receive benefits from the aid another action or any spells or effect that affects only allies. If creatures affected by this spell are able to take attacks of opportunity, they always do so against provoking opponents, including those who were their allies before being affected by this spell.  A creature not under the effects of the spell who is trying to cast a spell against an affected target must succeed at an attack roll to touch the target, even if the spell is harmless, though the affected creature is not forced to attempt saving throws against harmless effects.</t>
  </si>
  <si>
    <t>AP 74</t>
  </si>
  <si>
    <t>Film Of Filth</t>
  </si>
  <si>
    <t>cleric/oracle 4, druid 4, ranger 3, sorcerer/wizard 4</t>
  </si>
  <si>
    <t>You cause the target's flesh to exude a layer of putrescent slime so foul that the target is sickened (Fortitude negates) for the duration of the spell and for 1d4 rounds thereafter. All creatures within 20 feet also become sickened (Fortitude negates), and remain sickened for as long as they remain within 20 feet of the target and for 1d4 rounds thereafter. A creature that strikes the target with a bite attack must succeed at an additional save or become nauseated for 1d4 rounds. Creatures immune to poison are unaffected.</t>
  </si>
  <si>
    <t>Lightning Lash</t>
  </si>
  <si>
    <t>cleric/oracle 3, inquisitor 3, ranger 2, witch 3</t>
  </si>
  <si>
    <t>20-foot-radius spread</t>
  </si>
  <si>
    <t>You create a crackling lash of unholy lightning that flickers and flashes in your hand like a whip, shifting color in response to your mood and will. Once per round, you can make a melee touch attack with the lightning lash against a target within 15 feet. If the attack is successful, it deals 1d6 points of electricity damage and 1d6 points of damage from divine power (similar to flame strike), and allows you to attempt a trip combat maneuver check as a free action against your target (using your caster level as your CMB).</t>
  </si>
  <si>
    <t>Maw Of Chaos</t>
  </si>
  <si>
    <t>V, S, F/DF (a gold-plated, cold iron ring that was forged in the Abyss)</t>
  </si>
  <si>
    <t>5-foot-radius spread</t>
  </si>
  <si>
    <t>concentration (maximum 1 round/level)</t>
  </si>
  <si>
    <t>This spell creates a rip in reality that plunges into the interspatial vortices that constantly churn with the raw destructive chaos of the Abyss. Each round at the beginning of your turn, the maw of chaos attempts a drag combat maneuver check against every creature within 40 feet, using your caster level plus your primary spellcasting ability modifier in place of a CMB. If a creature is dragged into a maw of chaos, the area erupts in a surge of chaotic energy and the creature takes 1d6 points of damage per caster level. Only one such eruption can occur per round.  Creatures dragged adjacent to the maw of chaos become entangled by the frayed strands of reality being torn apart at the rim of the maw of chaos. Escape requires a successful Escape Artist check or grapple check against a DC equal to 10 plus the spell's save DC. Every creature without the chaotic subtype that ends its turn adjacent to a maw of chaos takes 2 points of damage to each ability score. Creatures with the lawful subtype take double this amount of damage; creatures with the chaotic subtype take no damage.  Calling, summoning, and teleportation effects used within 30 feet of the maw of chaos or that cause a creature to appear within 30 feet of a maw of chaos are redirected, causing the creature to arrive adjacent to the maw of chaos rather than at its intended destination. Unattended objects (including dead bodies) adjacent to the maw of chaos are drawn into it and affected as by disintegrate at the beginning of the caster's next turn.</t>
  </si>
  <si>
    <t>Summon Greater Demon</t>
  </si>
  <si>
    <t>chaotic, evil</t>
  </si>
  <si>
    <t>This spell functions like summon monster, except it allows you to summon a single coloxus (Pathfinder RPG Bestiary 3 72), an omox demon (Pathfinder RPG Bestiary 2 79), or 1d3 kalavakus demons (Bestiary 2 78).</t>
  </si>
  <si>
    <t>Summon Lesser Demon</t>
  </si>
  <si>
    <t>This spell functions like summon monster, except it allows you to summon a single brimorak (Lords of Chaos 56), one incubus (Bestiary 3 73), one thoxel demon (see page 86), 1d3 schir demons (Bestiary 3 74), or 1d4+1 vermlek demons (Lords of Chaos 54).</t>
  </si>
  <si>
    <t>Unleash Pandemonium</t>
  </si>
  <si>
    <t>cleric/oracle 5, summoner/unchained summoner 5, witch 5</t>
  </si>
  <si>
    <t>30-foot-radius spread</t>
  </si>
  <si>
    <t>concentration (maximum 1 round/level) +1 round (D)</t>
  </si>
  <si>
    <t>You call upon the wild winds of the Abyssal atmosphere, howling with the screams of damned and demented souls in torment. The area is filled with winds of windstorm strength (Core Rulebook 439), blowing in a random direction each round. Creatures within the area of effect are deafened as long as they remain within the area and for 1d4 rounds thereafter; however, they continue to hear the sounds of screams in their minds with painful intensity, causing them to become shaken for as long as they remain deafened. A successful Will save negates the shaken condition but not the deafness.</t>
  </si>
  <si>
    <t>Vermicious Assumption</t>
  </si>
  <si>
    <t>cleric/oracle 6, summoner/unchained summoner 6</t>
  </si>
  <si>
    <t>V, S, M (a handful of worms)</t>
  </si>
  <si>
    <t>one Medium humanoid corpse</t>
  </si>
  <si>
    <t>You call a single vermlek demon (Lords of Chaos 54) to invade and inhabit the body of the target corpse, taking on its likeness. The vermlek can remain on the Material Plane indefinitely as long as it has a body to inhabit; however, if it remains outside of a host for more than 1 minute, it's banished back to the Abyss. The vermlek's initial attitude towards you is friendly, but you must succeed at an opposed Charisma check to convince it to obey your commands, similar to a charmed creature. You gain a +2 circumstance bonus on this Charisma check if you offer it a fresh humanoid corpse to inhabit.</t>
  </si>
  <si>
    <t>Borrowed Time</t>
  </si>
  <si>
    <t>alchemist 6, bard 6, magus 6, sorcerer/wizard 6</t>
  </si>
  <si>
    <t>A creation of the archmage Nex, this spell allows you to reach ahead in time and draw alacrity from the future at the expense of your own health. For the duration of this spell, you gain an extra swift action you can use only during your turn. You can't use this swift action to take a second immediate action between turns, but you can use it to take a swift action the turn after you've taken an immediate action. Each time you take an extra swift action in this fashion you take 1 point of Constitution damage. If you're immune to ability damage, you take 5 points of hit point damage instead.  When the spell ends, you are staggered for 1d4+1 rounds from the temporal backlash.</t>
  </si>
  <si>
    <t>Mythic Origins</t>
  </si>
  <si>
    <t>If you expend one use of mythic power, instead oftaking an extra swift action, you can take either an extra move oran extra swift action each round. You can use this extra swift actionto take two immediate actions between your turns; this consumesyour extra swift action in your next round. Each extra action youtake still deals damage to you as described above.</t>
  </si>
  <si>
    <t>Elemental Bombardment</t>
  </si>
  <si>
    <t>long (400 ft. + 100 ft./level)</t>
  </si>
  <si>
    <t>one or more summoned elementals</t>
  </si>
  <si>
    <t>1 round/2 levels (D)</t>
  </si>
  <si>
    <t>You summon elementals from their elemental planes and hurl them onto your enemies with great force. You must have line of effect to a point at least 60 feet above your intended targets and within the spell's range. You can summon one greater elemental, two Huge elementals, four Large elementals, or eight Medium elementals. You aim the elementals at targets within 60 feet of each other, no more than one elemental per target. Each elemental can strike only a single target, regardless of its size. When an elemental strikes a target, it makes a single slam attack at its full attack bonus with a +4 circumstance bonus. The elemental deals damage according to the table below. The type and amount of damage dealt varies by the size and type of elemental (see the table). Some elementals inflict an additional special ability upon successfully hitting a target; these additional special abilities are detailed in the elemental's full stat block and are denoted with an asterisk (*). Whether or not it hits, the elemental takes bludgeoning damage according to its size. A summoned elemental acts on the same turn that it lands, starting prone in the nearest available space adjacent to its target. You must select one type of elemental to summon when casting this spell (see the table). When you use a summoning spell to summon a creature with an elemental subtype, it is a spell of that type. Elemental Size D amage Medium 6d6 Large 8d6 Huge or larger 12d6 Elemental Type D amage Type Air Half slashing, half electricity Earth Bludgeoning and earth mastery* Fire Fire and burn* IceB2 Half bludgeoning, half cold Lightning B2 Electricity and metal mastery* Magma B2 Half bludgeoning, half fire Mud B2 Bludgeoning and entrap* Water Bludgeoning and drench*</t>
  </si>
  <si>
    <t>If you expend one use of mythic power, you cansummon a combination of differently sized elementals of upto two different types, as long as their total number does notexceed the original limit. For example, you could summon oneHuge air elemental and two Large fire elementals, or one Largewater elemental and six Medium earth elementals.</t>
  </si>
  <si>
    <t>Augmented (9th): If you expend three uses of mythic power,you summon twice as many elementals as normal, each withthe advanced simple template.</t>
  </si>
  <si>
    <t>Imbue With Flight</t>
  </si>
  <si>
    <t>V, M (handful of down)</t>
  </si>
  <si>
    <t>You grant a touched Large or smaller object the ability to fly at a speed of 40 feet with average maneuverability. It can ascend at half speed and descend at double speed. The targeted object flies as you direct it, using your Fly skill for any difficult maneuvers. You must be within close range (25 ft. + 5 ft./2 levels) of the object to direct it, and moving it requires a move action. If not directed, the object hovers in place (no Fly check required). The maximum weight of the object and anything carried by it is 500 pounds per caster level (maximum 10,000 pounds).</t>
  </si>
  <si>
    <t>If you expend one use of mythic power, you double themaximum weight of the object you can imbue with flight. You canexpend additional uses of mythic power to increase the maximumsize of the object you can imbue with flight. Imbuing a Huge objectrequires two uses of mythic power, imbuing a Gargantuan objectrequires four uses, and imbuing a Colossal object requires eightuses. These costs include the expenditure to cast a mythic spell,and count toward doubling the weight limit of the spell.Two or more casters can cast this spell in concert to share themythic power cost. Each caster must expend an additional use ofmythic power to cooperate; this does not count toward the other costsor effects of the spell. The group chooses which caster has controlof the flight. As a full-round action, the controlling caster can cedecontrol to another caster involved in the original casting of the spell.</t>
  </si>
  <si>
    <t>Soulreaver</t>
  </si>
  <si>
    <t>cleric/oracle 8, sorcerer/wizard 8, witch 8</t>
  </si>
  <si>
    <t>living creatures in a 20-ft.-radius spread</t>
  </si>
  <si>
    <t>Favored by the necromancer Geb as a tool to turn his enemies' armies against themselves, this potent death spell deals 1d6 points of damage per caster level (maximum 20d6) to living creatures in the area of effect.</t>
  </si>
  <si>
    <t>You can expend one use of mythic power to raisecreatures killed by this effect as undead thralls. You can animatea number of Hit Dice worth of undead up to double your tier as ifyou had animated them with animate dead. The undead createdby this spell count toward the total number of Hit Dice worth ofundead you can control.</t>
  </si>
  <si>
    <t>Augmented (8th): If you expend two uses of mythic power,you can raise slain foes as undead creatures chosen from thelist of undead for create undead. By expending three uses ofmythic power, you can select from the list for create greaterundead. The total number of Hit Dice worth of undead createdin this way can't exceed double your tier. Created undead arenot automatically under your control. If you are capable ofcommanding undead, you may attempt to command the undeadcreatures as they form.</t>
  </si>
  <si>
    <t>Sustaining Legend</t>
  </si>
  <si>
    <t>The rulers of Azlant are thought to have used this spell to amplify the mythic power of themselves and their most gifted lieutenants. You amplify the mythic power of the target creatures, bolstering them with healing energy each time they draw upon their mythic abilities. When a creature affected by this spell expends uses of mythic power for any ability, it immediately heals 2d8 points of damage + 1 point per caster level (maximum +25). In addition, the creature benefits from one of the following additional effects. • Remove any one of the following conditions: dazzled, fatigued, shaken, sickened, or staggered. • Reduce the dazed or stunned condition to staggered. • Reduce the exhausted condition to fatigued. • Reduce the frightened condition to shaken, or the panicked condition to frightened. • Reduce the nauseated condition to sickened. A target can benefit from the effects of sustaining legend only once per round, even if the target expends multiple uses of mythic power during that time.</t>
  </si>
  <si>
    <t>Accursed Glare</t>
  </si>
  <si>
    <t>antipaladin 3, sorcerer/wizard 3, witch 3</t>
  </si>
  <si>
    <t>You channel a fell curse through your glare. If the target fails its saving throw, it begins to obsessively second-guess its actions and attract bad luck. Whenever the target attempts an attack roll or saving throw while the curse lasts, it must roll twice and take the lower result. While you cast this spell, an ally within range of the subject can attempt an Intimidate check as a move action (DC = save DC of this spell); on a success, the ally adds its own glare to yours, granting you a +2 bonus on your caster level check to overcome spell resistance (if any). Multiple allies can attempt Intimidate checks; this bonus stacks.</t>
  </si>
  <si>
    <t>Blood Of The Moon</t>
  </si>
  <si>
    <t>Share Skin</t>
  </si>
  <si>
    <t>one animal touched</t>
  </si>
  <si>
    <t>Duration 1 minute/level or until you return to your body You can possess an animal's body in a manner that functions like magic jar, except as noted here. Your body vanishes while the effect lasts and you don't require a receptacle.</t>
  </si>
  <si>
    <t>Share Skin, Greater</t>
  </si>
  <si>
    <t>witch 8</t>
  </si>
  <si>
    <t>This spell functions like share skin, except as noted here.</t>
  </si>
  <si>
    <t>Heavy Water</t>
  </si>
  <si>
    <t>cleric/oracle 4, druid 4, ranger 4</t>
  </si>
  <si>
    <t>cylinder of water (5-ft. radius/level, 30 ft. deep)</t>
  </si>
  <si>
    <t>You cause a volume of water to become heavier than normal.  Swimming in or through such water requires a Swim check with a DC equal to the saving throw DC of this spell; even creatures with a swim speed must attempt this check. Success allows a creature to swim at up to half its speed as a full-round action; a creature cannot swim as a move action while in an area of heavy water. If a creature fails its Swim check by 4 or less, it makes no progress.  If it fails by 5 or more, it goes underwater.  All Perception checks to see through the affected water take a -10 penalty. All ships sailing through an area of heavy water move at half speed.</t>
  </si>
  <si>
    <t>Magical Marketplace</t>
  </si>
  <si>
    <t>Hydrophobia</t>
  </si>
  <si>
    <t>bard 2, cleric/oracle 3, druid 3, sorcerer/wizard 3, witch 3</t>
  </si>
  <si>
    <t>Targets in the area must succeed at a Will save or become deathly afraid of drowning. If the target is swimming or otherwise submerged in water, it must spend all of its efforts attempting to escape from the water. As long as an affected target remains in water, it takes 1d6 points of nonlethal damage each round as it thrashes about and swallows water. Even out of water, targets cannot imbibe potions or willingly interact with any fluids for the duration of this spell.</t>
  </si>
  <si>
    <t>Blood Boil</t>
  </si>
  <si>
    <t>magus 5, sorcerer/wizard 5, witch 5</t>
  </si>
  <si>
    <t>The temperature of the target creature's blood (or other similar body fluid) begins to rise over the next 3 rounds during the caster's turn. Each round starting with the first, the target creature attempts a new saving throw at the start of the caster's turn to resist that round's effect. A successful save does not end the spell effect, but does prevent that round's effect. On the round that this spell is cast, the target becomes fatigued. On the next round, as the blood temperature begins to rise, the target's capillaries burst, dealing 1d6 points of Constitution damage to the target. On the third and final round, the target's blood begins to boil; the spell deals 1d6 points of damage per caster level (to a maximum of 15d6), and-if the target is still alive-the target becomes exhausted rather than fatigued.</t>
  </si>
  <si>
    <t>Rune Of Jandelay</t>
  </si>
  <si>
    <t>sorcerer/wizard 9, witch 9</t>
  </si>
  <si>
    <t>V, S, M (cold iron, powdered diamond, and ground adamantine worth a total of 5,000 gp)</t>
  </si>
  <si>
    <t>one rune</t>
  </si>
  <si>
    <t>You scribe a potent rune of power upon a surface, similar to the way in which a symbol spell is cast. When inscribed, the rune of Jandelay manifests as a shape that evokes the face of a monstrous elephantine creature-the legendary Oliphant of Jandelay itself. The rune is 5 feet across when created, and the surface on which it is to be inscribed must be large enough to bear it.  The rune of Jandelay is a potent ward against the primal chaos of the Great Beyond. While it is primarily intended to combat the forces of the Maelstrom, it is equally useful against forces from the other chaotic Outer Planes. When cast, the rune stabilizes and reinforces an area in a 120-foot-radius sphere centered on it. Earthquake, transmute rock to mud, stone shape, spike stones, and other spell effects that magically damage or manipulate terrain or structures deal no damage and do not alter anything in the area. Damaging spells that specifically target these structures or regions do not deal damage, but area-affecting spells may damage creatures in the area as normal. Strong chaos planar alignment is reduced to mild alignment, and mild chaos planar alignment is negated entirely in this area.  Creatures with the chaotic subtype in the area of a rune of Jandelay must save against the spell or gain 2 negative levels for as long as they remain in the area. A creature that saves and leaves the area must save again upon reentering the area. These negative levels can never result in permanent level loss but cannot be restored by restoration or similar magic.</t>
  </si>
  <si>
    <t>AP 77</t>
  </si>
  <si>
    <t>Bleeding Strike</t>
  </si>
  <si>
    <t>antipaladin 1, cleric/oracle 1, ranger 1, witch 1</t>
  </si>
  <si>
    <t>You imbue a slashing melee weapon with the ability to create a bleeding wound. As a free action when the weapon hits a living creature, the wielder can discharge this spell to add 1 point of bleed damage to the weapon's base damage. This bleeding is difficult to stop; add your spellcasting ability modifier (Wisdom for clerics, and so on) to the DC to stop the bleeding.</t>
  </si>
  <si>
    <t>Baphomet</t>
  </si>
  <si>
    <t>Reveal Mirage</t>
  </si>
  <si>
    <t>cleric/oracle 3, druid 2, ranger 1, sorcerer/wizard 3, witch 3</t>
  </si>
  <si>
    <t>V, S, F (a small prism)</t>
  </si>
  <si>
    <t>You can focus upon a single point within line of sight and discern if the terrain or geographic features of that point are illusory. This ability allows you a Will save to disbelieve a terrain-affecting illusion (glamer) effect from range as though you had interacted with it. In addition to affecting such spells as hallucinatory terrain and mirage arcana, this spell also allows you to disbelieve naturally occurring mirages.</t>
  </si>
  <si>
    <t>Osirion, Legacy Of Pharaohs</t>
  </si>
  <si>
    <t>Storm Of Blades</t>
  </si>
  <si>
    <t>cleric/oracle 3, magusUM 2, sorcerer/wizard 2</t>
  </si>
  <si>
    <t>V, S, M (a sword)</t>
  </si>
  <si>
    <t>You create floating swords of the type used as the material component for this spell (such as a rapier or scimitar) and magically propel them at your target. You can create one sword for every 2 caster levels that you possess, up to a maximum of five swords at 10th level. You must have line of effect between you and the target, and the target must be within the spell's range. You make a ranged attack roll for each sword (with no penalties for range increments or using melee weapons as ranged weapons); each attack has the same threat range and critical modifier and deals the same damage as a standard sword of the type expended. Swords created by this spell disappear after striking (or missing) their targets.</t>
  </si>
  <si>
    <t>People Of The Sands</t>
  </si>
  <si>
    <t>Summon Genie, Lesser</t>
  </si>
  <si>
    <t>V, S, F/DF (an oil lamp worth at least 50 gp)</t>
  </si>
  <si>
    <t>one summoned genie</t>
  </si>
  <si>
    <t>This spell functions like summon monster I, except you can summon one janni.</t>
  </si>
  <si>
    <t>Summon Genie</t>
  </si>
  <si>
    <t>This spell functions like lesser summon genie, except you can summon one djinni or 1d3 jann.</t>
  </si>
  <si>
    <t>Summon Genie, Greater</t>
  </si>
  <si>
    <t>cleric/oracle 6, sorcerer/wizard 6, summoner/unchained summoner 5, witch 6</t>
  </si>
  <si>
    <t>This spell functions like lesser summon genie, except you can summon one shaitan, 1d3 djinn, or 1d4+1 jann.</t>
  </si>
  <si>
    <t>Inner Focus</t>
  </si>
  <si>
    <t>adept 2, antipaladin 1, cleric/oracle 2, druid 2, inquisitor 2, paladin 1, ranger 1</t>
  </si>
  <si>
    <t>For the duration of this spell, you may ignore any divine focus components of your spells, allowing you to cast such spells without holding or revealing your holy or unholy symbol.</t>
  </si>
  <si>
    <t>Abyssal Vermin</t>
  </si>
  <si>
    <t>antipaladin 2, cleric/oracle 4, sorcerer/wizard 4, witch 4</t>
  </si>
  <si>
    <t>one vermin or vermin swarm</t>
  </si>
  <si>
    <t>You infuse the target with power from the Abyss, granting it the fiendish creature simple template. The swarm gains DR 5/ good if it has at least 5 Hit Dice, or DR 10/good it if has at least 11 HD. It gains cold resistance 5 and fire resistance 5 if it has at least 5 HD, or cold resistance 10 and fire resistance 10 if it has at least 11 HD. It gains spell resistance equal to its CR + 6. Once per day, it can smite good (as a swift action against a good opponent, the vermin adds its Charisma bonus to its attack rolls and its HD to its damage rolls until the opponent is dead). If the targeted vermin is under your command, it automatically fails its saving throw against this spell. This spell has no effect on vermin that already have the fiendish creature simple template.</t>
  </si>
  <si>
    <t>AP 78</t>
  </si>
  <si>
    <t>Deskari</t>
  </si>
  <si>
    <t>Antithetical Constraint</t>
  </si>
  <si>
    <t>You constrain the target such that the target automatically misses with all attacks made against creatures that are not of the opposite alignment of it. For example, a lawful evil target would automatically fail at all attacks except those made against chaotic good creatures, and a neutral good target would automatically fail at all attacks except those made against neutral evil creatures. For the purposes of antithetical constraint, creatures that are chaotic evil, chaotic good, lawful evil, or lawful good are all considered to have the opposite alignment of a target whose alignment is neutral with no other alignment components. This restriction doesn't apply to effects that do not require attack rolls, such as magic missile.</t>
  </si>
  <si>
    <t>Champions Of Balance</t>
  </si>
  <si>
    <t>Recentering Drone</t>
  </si>
  <si>
    <t>cleric/oracle 2, druid 2</t>
  </si>
  <si>
    <t>one creature/2 levels (no two of which may be more than 30 ft. apart)</t>
  </si>
  <si>
    <t>You emit a calming subsonic drone that allows the targets to temporarily refocus and restore their balance when they're suffering from debilitating conditions. A target with the dazzled, fatigued, shaken, or sickened condition ignores the penalties of those conditions for the duration of this spell. A target with one of the following conditions is treated as having the associated lesser condition for the duration of the spell, as shown by the following table. Condition Lesser Condition Blinded Dazzled Exhausted Fatigued Frightened Shaken Nauseated Sickened At the end of the spell's duration, the targets are again subject to the appropriate penalties if the original conditions affecting the target are still in effect.</t>
  </si>
  <si>
    <t>Steal Book</t>
  </si>
  <si>
    <t>one book touched</t>
  </si>
  <si>
    <t>Often used by bards, spies, and arcane scholars to steal important texts without alerting their owners, steal book allows you to copy the contents of one book, folio, scroll, or other text to a blank one of sufficient size. In doing so, the original pages are wiped blank, though any covers or binding remain unchanged. Differences in size between the original and the blank folio don't matter, though the blank folio that the information is being transferred to must have an equal or greater amount of space (in number of pages or inches of scroll), or else any text that overflows the document is lost forever.  This spell cannot transfer magical writing (such as a wizard's spellbook or a magical scroll). At GM's discretion, the spell can restore lost information, such as a page obscured by spill wine, text erased by magic or mundane means, or even pages lost to fire or another type of damage.  When steal book is cast from a scroll, the beginning of the stolen text appears on the steal book scroll until you select a target book for the text to appear in. The stolen text glitters and sparkles while it remains on the scroll.</t>
  </si>
  <si>
    <t>PFS S3-09</t>
  </si>
  <si>
    <t>Summon Lesser Psychopomp</t>
  </si>
  <si>
    <t>V, S, F/DF (a crocodile skull funerary mask)</t>
  </si>
  <si>
    <t>one or more summoned psychopomps (see text)</t>
  </si>
  <si>
    <t>This spell functions like summon monster, except that it summons 1d3 esobok psychopomps or 1d4+1 nosoi psychopomps. Esobok psychopomps are detailed on page 84. Nosoi psychopomps are detailed on page 220 of Pathfinder RPG Bestiary 4.</t>
  </si>
  <si>
    <t>AP 80</t>
  </si>
  <si>
    <t>Summon Vanth</t>
  </si>
  <si>
    <t>V, S, F/DF (a vulture skull funerary mask)</t>
  </si>
  <si>
    <t>one summoned vanth psychopomp</t>
  </si>
  <si>
    <t>This spell functions like summon monster, except that it summons a single vanth psychopomp. Vanth psychopomps are detailed on page 221 of Pathfinder RPG Bestiary 4.</t>
  </si>
  <si>
    <t>Possession Trap</t>
  </si>
  <si>
    <t>V, S, F (a gem or crystal worth at least 500 gp)</t>
  </si>
  <si>
    <t>24 hours or until activated (see text); 1 round/level</t>
  </si>
  <si>
    <t>You place a protective ward over your spirit that ensnares creatures attempting to possess you. Should a creature attempt to possess you (such as via magic jar or a similar effect) while you are under the effects of possession trap, that creature must first succeed at a Will save or its possession attempt is ruined and its spirit is shunted into this spell's focus gem. The trapped creature is contained within the focus gem for 1 round per caster level, acting as though it were trapped in a magic jar for the duration of this effect. This effect fails if you are not carrying the focus gem during the time of the possession attempt.  If the possessor's Will save is successful, you are affected by its possession attempt as normal, and may attempt a saving throw against this possession attempt if one is normally allowed. Regardless of whether the possessor fails or succeeds at its save against possession trap, you immediately become aware of the possession attempt and whether or not a creature is trapped in the focus gem. If the focus gem is destroyed while it contains a creature, the creature is immediately released.  Once this spell is triggered, it offers no further protection, and a trapped creature can attempt to possess you again once it's free of the focus gem.</t>
  </si>
  <si>
    <t>Undead Slayer's Handbook</t>
  </si>
  <si>
    <t>Sphere Of Warding</t>
  </si>
  <si>
    <t>cleric/oracle 5, inquisitor 4, witch 5</t>
  </si>
  <si>
    <t>10-ft.-radius sphere emanating from point touched</t>
  </si>
  <si>
    <t>You create a luminescent sphere of orbiting energy that harms incorporeal creatures and dispossesses them of any stolen bodies. An incorporeal creature must succeed at a Will save to enter a space overlapping with the sphere; failure means the creature cannot pass through the sphere, as though it were a wall of force. If the incorporeal creature succeeds, it may pass through the sphere at will, though if it ends its turn within the sphere, it takes a number of points of force damage equal to 1d6 + 1 per caster level (maximum +10).  If a creature possessing another creature's body (via either magic jar or a similar effect) enters a sphere of warding, that creature is immediately ejected from its host body, the host's spirit returns to its body if it's able, and the possession immediately ends. When ejected, the body enters the sphere, while the possessing creature takes the appropriate amount of force damage (no save) and is shunted to the exterior of the sphere.</t>
  </si>
  <si>
    <t>Carrion Compass</t>
  </si>
  <si>
    <t>cleric/oracle 1, ranger 1, sorcerer/wizard 2, witch 1</t>
  </si>
  <si>
    <t>You animate one of the target's fetid organs so that it leads you to the undead creature's most recent controller or the cause of the creature's undeath.  The organ (typically the heart, the brain, or an eyeball) floats in front of you at chest level and slowly leads you to the undead creature's most recent controller at a rate of 30 feet per round, always staying within your range of vision. If the creature from which the organ originated had no controller, but rather was created deliberately by another creature, the organ instead leads you to that creator.  If the undead was animated by an effect or event at a particular location, the organ leads you to that location.  If the creature was animated by none of the methods above, if it was self-created, or if the creature's most recent controller no longer exists, the spell fails. Once the organ is within 10 feet of its intended destination, the spell ends, and the organ falls to the ground.  The organ cannot engage in combat or execute any other task aside from leading you to its intended target. It may pass through small slits and crevices, though it will not leave your range of vision. The organ cannot travel more than 5 miles from the spot where you cast the spell. If the undead creature to which the organ belonged is destroyed, the spell ends and the organ falls to the ground.</t>
  </si>
  <si>
    <t>Empower Holy Water</t>
  </si>
  <si>
    <t>alchemist 2, bard 2, paladin 1</t>
  </si>
  <si>
    <t>one or more vials of holy water</t>
  </si>
  <si>
    <t>You empower a vial of holy water to deal additional damage to undead creatures. You can empower one vial of holy water at 4th level, two at 8th level, and three at 12th level.  When thrown at an undead creature, the affected vial of holy water deals an amount of bonus damage equal to your caster level (maximum +10) on a direct hit, and half that amount of bonus damage (maximum +5) to creatures caught in the splash area. This additional damage is positive energy damage, and has no effect on living creatures.</t>
  </si>
  <si>
    <t>Force Anchor</t>
  </si>
  <si>
    <t>inquisitor 2, magus 2, sorcerer/wizard 3, summoner/unchained summoner 2</t>
  </si>
  <si>
    <t>V, S, M (a twisted nail)</t>
  </si>
  <si>
    <t>one anchor of force</t>
  </si>
  <si>
    <t>You conjure an anchor of pure force that immediately skewers your target on a successful ranged touch attack. If it hits, the attack deals the target 1d4 points of force damage per 2 caster levels (max 5d4) and the anchor becomes firmly lodged in the target's torso.  The anchor has no weight, but its wide flukes prevent the target from moving through any space smaller than the creature's size. The anchor also prevents incorporeal targets from moving through solid objects. Whenever the target moves through a square occupied by another creature, the square counts as 2 squares for the purpose of calculating movement, even if the square's occupant is the target's ally.</t>
  </si>
  <si>
    <t>Life Shield</t>
  </si>
  <si>
    <t>cleric/oracle 3, druid 3, paladin 2</t>
  </si>
  <si>
    <t>You surround yourself with a positive energy field that damages undead opponents. Each time an undead creature damages you with a melee attack, that creature takes an amount of positive energy damage equal to half the damage it dealt to you. This damage is calculated after applying your damage reduction, resistances, and other defenses. Once this spell has dealt 5 points of damage per caster level (maximum 50), it is discharged.</t>
  </si>
  <si>
    <t>Necromantic Burden</t>
  </si>
  <si>
    <t>cleric/oracle 2, sorcerer/wizard 3, witch 3</t>
  </si>
  <si>
    <t>V, S, M/DF (a handful of knucklebones)</t>
  </si>
  <si>
    <t>You make an undead creature more difficult for necromancers and clerics to control via effects such as Command Undead or control undead. If the target fails its Will save, the target's effective number of Hit Dice is doubled for the purposes of determining whether it remains under the control of another creature.  Regardless of the target's actual Hit Dice, its effective HD cannot exceed twice your caster level. (For example, a 12th-level cleric could cast this spell to cause an undead creature with 15 HD to instead effectively have 24 HD for the purpose of controlling it.) If the targeted undead is under the control of another creature and this spell causes the target's effective Hit Dice to exceed the controller's maximum capability, the target creature is immediately freed from control. Any creature capable of controlling undead may attempt to control the target, provided the target's effective HD won't cause the would-be controller to exceed its HD limit. The target's former controller can attempt to regain control over the target by relinquishing command over other creatures until its HD limit is no longer exceeded (or the former controller can wait until the spell's duration expires to attempt this at the target's normal HD).</t>
  </si>
  <si>
    <t>Undeath Inversion</t>
  </si>
  <si>
    <t>cleric/oracle 4, sorcerer/wizard 4, witch 4</t>
  </si>
  <si>
    <t>V, S, F/DF (a gold piece with one scratched face)</t>
  </si>
  <si>
    <t>You alter an undead creature's energy affinity so that it takes damage from negative energy and gains healing from positive energy, as if it were a living creature. If the target was able to channel negative energy or produce negative energy effects (such as inflict spells), these abilities produce positive energy instead, healing living targets and harming the undead. The target cannot impose negative levels on other creatures for the duration of the spell. The target's creature type does not change, and it is still considered an undead creature. Each round on its turn, the subject may attempt a new saving throw to end the effect. This is a fullround action that does not provoke attacks of opportunity.</t>
  </si>
  <si>
    <t>Abadar's Truthtelling</t>
  </si>
  <si>
    <t>This spell functions identically to the spell zone of truth, except as noted above. The target momentarily takes on the semblance of a being of perfect order, like an archon or inevitable, so that all who can see the target know it is affected by the spell. This divine guise flickers over the target for only an instant and does not allow it to pass as a member of a different race.</t>
  </si>
  <si>
    <t>Inner Sea Gods</t>
  </si>
  <si>
    <t>Abadar</t>
  </si>
  <si>
    <t>Abstemiousness</t>
  </si>
  <si>
    <t>bard 1, cleric/oracle 1, druid 1, witch 1</t>
  </si>
  <si>
    <t>a handful of berries, grains, nuts, or rice</t>
  </si>
  <si>
    <t>Sometimes Irori smiles on his worshipers, granting them a reprieve from physical hunger. This spell magically enhances a handful of simple food, imbuing it with enough nutrition to satisfy a Medium or smaller creature for a full day. The spell does not create food, and thus will not alone prevent someone from starving, but it can extend even limited reserves for lengthy periods.</t>
  </si>
  <si>
    <t>Irori</t>
  </si>
  <si>
    <t>Baphomet's Blessing</t>
  </si>
  <si>
    <t>cleric/oracle 4, druid 4, sorcerer/wizard 4, summoner/unchained summoner 4, witch 4</t>
  </si>
  <si>
    <t>V, M/DF (powdered bull's horn)</t>
  </si>
  <si>
    <t>You change the target's head into that of a bull. The creature's Intelligence becomes 2, and it gains a gore melee attack that it can use as a primary or secondary attack. The gore attack uses the creature's base attack bonus, and the creature gains a +2 bonus on attack and damage rolls with the gore attack.  The gore attack deals a number of points of damage equal to 1d6 + Strength modifier if the target is Small, 1d8 + Strength modifier if the target is Medium, and 2d6 + Strength modifier if the target is Large or larger.  The affected creature still retains its type, class, levels, and Hit Dice. The creature's base attack bonus, base save bonuses, and hit points remain unmodified. It retains all of its class features and may still cast spells, though it must do so using its newly modified Intelligence score. Any items equipped in the creature's head slot meld into its body. Affected items that grant passive bonuses continue to do so, though items that require activation become nonfunctional for the duration of the spell.  If the target fails to resist Baphomet's blessing, it also becomes immune to polymorph spells (except for this one) for the duration of the spell's effect. Undead, incorporeal, or gaseous creatures are immune to Baphomet's blessing.</t>
  </si>
  <si>
    <t>Beacon Of Luck</t>
  </si>
  <si>
    <t>bard 3, cleric/oracle 3, inquisitor 4, paladin 4</t>
  </si>
  <si>
    <t>V, S, M/DF (a tuft of rabbit fur)</t>
  </si>
  <si>
    <t>personal; see text</t>
  </si>
  <si>
    <t>You send out a burst of luck with a 30-foot radius centered around you. While the beacon of luck  is in effect, you gain a +2 sacred bonus on all saving throws. As an immediate action before a saving throw is made, allies within the area can choose to benefit from this luck, rolling twice for a saving throw and taking the better result. Once a creature benefits from the beacon of luck in this way, it cannot gain the benefit of this spell for 24 hours.</t>
  </si>
  <si>
    <t>Desna</t>
  </si>
  <si>
    <t>Blade Snare</t>
  </si>
  <si>
    <t>druid 3, magus 3, ranger 3, sorcerer/wizard 3</t>
  </si>
  <si>
    <t>This spell creates an invisible magic field that does not stop weapons (whether manufactured or natural) from moving toward you, but impedes their motion when they are retracted.  When you are hit with a melee attack, attempt a caster level check against your opponent's CMD. If your check succeeds, your opponent's attacking weapon or body part becomes caught in the field, as if magically affixed to your body. If your check fails, your opponent may retract its weapon.  If your opponent's melee weapon becomes trapped in the field, the opponent may release the weapon and move away from you. If your opponent attacked with a part of its body (such as a fist, a horn, a tail, etc.) or it attacked with a weapon but refuses to release it, your opponent gains the grappled condition. Because you are not using any part of your body to maintain control over your opponent, you do not gain the grappled condition.  Once an opponent's weapon is snared, you may attempt a new caster level check against that opponent's CMD on each of your subsequent turns to maintain the grapple. This is a standard action, during which you may make any of the usual grappling actions, but if you choose to pin the opponent, you gain the grappled condition as well. On your opponent's turn, it may try to retract its weapon or limb by attempting a combat maneuver check or Escape Artist check, the DC of which is equal to the spell's saving throw.  While blade snare is active, you may make melee attacks and cast spells as normal, though you may not make ranged weapon attacks; the magic field thwarts such attacks. You may not snare more than one limb or weapon in the field at a time.  If you already have an opponent's weapon or limb stuck in the field and you are hit by a second melee attack, you must choose which weapon or limb to snare. The other limb or weapon is unaffected by the spell.</t>
  </si>
  <si>
    <t>Blessing Of The Watch</t>
  </si>
  <si>
    <t>This spell functions like bless, except as noted. It works only in the caster's home city, and in areas under the jurisdiction of the city watch. For example, if the watch patrols a shantytown outside the city walls but not the ruined subterranean tunnels that lie beneath the city, the spell works in the former area but not the latter.</t>
  </si>
  <si>
    <t>Brittle Portal</t>
  </si>
  <si>
    <t>antipaladin 2, cleric/oracle 2, druid 2, inquisitor 2, sorcerer/wizard 2, witch 2</t>
  </si>
  <si>
    <t>5-ft.-radius spread</t>
  </si>
  <si>
    <t>This spell weakens the bonds of existence, and reduces the hardness of any nonmagical surface within its area of effect by 2 per caster level. The spell is centered on a flat surface chosen by the caster, and the hardness reduction effect persists for the duration of the spell.</t>
  </si>
  <si>
    <t>Rovagug</t>
  </si>
  <si>
    <t>Burst Of Glory</t>
  </si>
  <si>
    <t>cleric/oracle 5, inquisitor 4, paladin 4</t>
  </si>
  <si>
    <t>10-ft.-radius burst, centered on you</t>
  </si>
  <si>
    <t>1 round/level (D; see text)</t>
  </si>
  <si>
    <t>Allies in the area of this spell at the time of casting gain a +1 sacred bonus on attack rolls and saves against fear effects, plus 1 temporary hit point per caster level (maximum 20). You shine with a white or golden radiance equal to a torch for the spell's duration, though you can dismiss the glow effect as a free action.</t>
  </si>
  <si>
    <t>Iomedae</t>
  </si>
  <si>
    <t>Caustic Blood</t>
  </si>
  <si>
    <t>alchemist 4, cleric/oracle 5, druid 4, magus 4, sorcerer/wizard 5, summoner/unchained summoner 4</t>
  </si>
  <si>
    <t>V, S, M (vial of black adder venom)</t>
  </si>
  <si>
    <t>Reflex half or negates; see text</t>
  </si>
  <si>
    <t>You imbue your blood with corrosive acid. Any time you take piercing or slashing damage, a spray of acidic blood spurts from your body in the direction of the opponent who inflicted the wound, dealing 1d6 points of acid damage per caster level (maximum 15d6, Reflex half). This spurt travels in a 10-foot line, damaging the first creature or object it touches, with no splash damage. After it contacts a creature or object, your acidic blood continues to burn that creature for 1 round, dealing 1d6 points of acid damage per 2 caster levels (maximum 7d6). A second successful Reflex save negates this additional damage.</t>
  </si>
  <si>
    <t>Channel The Gift</t>
  </si>
  <si>
    <t>bard 3, cleric/oracle 3, druid 3, ranger 3, sorcerer/wizard 3, witch 3</t>
  </si>
  <si>
    <t>ally spellcaster touched</t>
  </si>
  <si>
    <t>1 round or see text</t>
  </si>
  <si>
    <t>Will negates (harmless) or none</t>
  </si>
  <si>
    <t>yes (harmless) or no</t>
  </si>
  <si>
    <t>You channel your magical power to fuel the target's spellcasting.  The next spell the target casts of 3rd level or lower does not expend a spell slot; in effect, you are using your spell slot to power the target's spell. The target must start casting this spell before your next turn, and the spell cannot have a casting time longer than 1 full round. Your alignment, prohibited wizard school, and other restrictions on your own spellcasting do not affect the target, nor do you suffer any backlash from the target's choice of spell.  If you target yourself with this spell, you may spontaneously cast any prepared spell of 3rd level or lower without expending its spell slot on your next turn (this aspect of the spell has no effect if you are a spontaneous caster). The spell that's cast after channel the gift cannot have a casting time longer than 1 full round.</t>
  </si>
  <si>
    <t>Nethys</t>
  </si>
  <si>
    <t>Channel Vigor</t>
  </si>
  <si>
    <t>alchemist 3, cleric/oracle 3, inquisitor 3, magus 3</t>
  </si>
  <si>
    <t>You focus the energy of your mind, body, and spirit into a specific part of your being, granting yourself an exceptional ability to perform certain tasks. When you cast the spell, choose one of the following portions of your self as your focus target. Thereafter, you may change the focus target as a move action. You can gain the benefit of only one channel vigor spell at a time.  Limbs: You gain the benefits of a haste spell.  Mind: You gain a +4 competence bonus on Knowledge and Perception skill checks and on ranged attack rolls.  Spirit: You gain a +6 competence bonus on Will saving throws and Bluff and Intimidate checks.  Torso: You gain a +6 competence bonus on Fortitude saving throws and concentration checks.</t>
  </si>
  <si>
    <t>Dead Eye's Arrow</t>
  </si>
  <si>
    <t>cleric/oracle 2, inquisitor 1, druid 1, magus 1, paladin 1, ranger 1</t>
  </si>
  <si>
    <t>V, S, M (one arrow)</t>
  </si>
  <si>
    <t>Medium (100 ft. + 10 ft./level) or see text</t>
  </si>
  <si>
    <t>arrow of electricity</t>
  </si>
  <si>
    <t>instantaneous or 1 round (see text)</t>
  </si>
  <si>
    <t>You create an arrow made of crackling electricity, which you may use for one of two effects.  Attack: You may throw the arrow up to Medium range or fire it from a bow up to the bow's maximum range. Either use is a ranged touch attack. The arrow deals 1d6 points of electricity damage + 1 point per level (maximum +5).  Beacon: You throw or fire the arrow straight up. When it reaches maximum range or a solid surface (such as the roof of a cave) it explodes in a peal of thunder and forms a forked bolt of electricity resembling Erastil's holy symbol, which lingers for 1 round. The thunder and lightning are as loud and bright as natural thunder and lightning, but they do not harm any nearby creatures.</t>
  </si>
  <si>
    <t>Erastil</t>
  </si>
  <si>
    <t>Defending Bone</t>
  </si>
  <si>
    <t>cleric/oracle 2, inquisitor 2, magus 2, sorcerer/wizard 2, witch 2</t>
  </si>
  <si>
    <t>V, S, F (a Medium creature's skull or femur), DF</t>
  </si>
  <si>
    <t>You animate a bone with necromantic energy, giving it the power to float near your body and interpose itself against physical attacks. This gives you damage reduction 5/bludgeoning.  Once the bone has prevented a total of 5 points of damage per caster level (maximum 50 points), it is destroyed and the spell is discharged. This spell has no effect if you have damage reduction from another source.</t>
  </si>
  <si>
    <t>Pharasma</t>
  </si>
  <si>
    <t>Dream Feast</t>
  </si>
  <si>
    <t>cleric/oracle 1, druid 1, ranger 1</t>
  </si>
  <si>
    <t>The next time the target sleeps (within the next 8 hours), she dreams of a rich feast with her favorite foods and drinks. When she awakens, she is sated as if she had eaten a nutritious meal, regardless of what she dreamed she ate. The target must sleep for at least 1 hour to gain the benefits of this spell. Being awakened during this period interrupts the spell and cancels its effects.  If you sleep with this spell prepared, you may automatically expend it while you sleep to gain the spell's benefit. This expenditure does not count as spellcasting for the purpose of determining available spell slots (you could go to sleep at midnight, expend this spell during an 8-hour period of sleep, and still prepare your full allotment of spells in the morning).</t>
  </si>
  <si>
    <t>Early Judgment</t>
  </si>
  <si>
    <t>cleric/oracle 2, inquisitor 2, witch 1</t>
  </si>
  <si>
    <t>You show one creature the effect of its life so far and what it might expect when it passes under Pharasma's impartial gaze at the end of its life. Depending on the creature's alignment and its adherence to its ethos, you can provide it a brief glimpse of the reward or punishment that waits for it when it dies by showing it a mental image of its destined plane in the Great Beyond. If the target is good-aligned, it is fascinated for 1d4 rounds on a failed save. If the target is neutral-aligned, it is confused for 1d4 rounds on a failed save. If the target is evil-aligned, it is shaken for 1d4 rounds on a failed save.</t>
  </si>
  <si>
    <t>Enhance Water</t>
  </si>
  <si>
    <t>bard 1, cleric/oracle 1, paladin 1</t>
  </si>
  <si>
    <t>1 pint of water/level</t>
  </si>
  <si>
    <t>This spell transforms water into an alcoholic beverage, typically ale, beer, mead, or wine. The alcohol is of middling quality but perfectly drinkable. The spell also serves to remove poisons, diseases, minerals, and other toxins from the water as it transforms. The more contaminants that exist in the water, the darker the ale or the more full-bodied the wine becomes. The beverage's alcohol content is not affected by the presence or absence of contaminants.  This spell does not work on unholy water, potions, or other liquids with magical power.</t>
  </si>
  <si>
    <t>Cayden Cailean</t>
  </si>
  <si>
    <t>Face Of The Devourer</t>
  </si>
  <si>
    <t>adept 1, antipaladin 1, cleric/oracle 1, druid 1, sorcerer/wizard 1</t>
  </si>
  <si>
    <t>You transform the target's face into a hideous shape, such as a half-melted visage with insect legs instead of teeth, seeping pits instead of eyes, and suckered tongues dangling from its misshapen mouth. You do not choose what shape the target's face takes, and the shape is different every time you cast the spell. This transformation does not interfere with the target's senses or its ability to breathe, though it might prevent it from speaking. The target gains a +4 circumstance bonus on Intimidate checks.  If the target does not normally have a bite attack, it gains a bite attack as a natural weapon for the duration of the spell. This bite attack deals 1d6 points of damage if the target is Medium, 1d4 points of damage if the target is Small, or 1d8 points of damage if the creature is Large. The target may use this bite as a primary attack or a secondary attack.</t>
  </si>
  <si>
    <t>Fairness</t>
  </si>
  <si>
    <t>cleric/oracle 1, inquisitor 2, paladin 2</t>
  </si>
  <si>
    <t>one humanoid creature per level</t>
  </si>
  <si>
    <t>Humanoid creatures affected by this spell must trade fairly with others to the best of their knowledge. If they know the fair value (or even an estimated fair value) of a good or service, they cannot participate in a trade if it would benefit one side unfairly, and must attempt to stop such trades from occurring, preventing them from cheating another while under the influence of this spell. The symbol of Abadar appears above the heads of those affected by this spell, making those affected and unaffected by the spell immediately apparent.</t>
  </si>
  <si>
    <t>Fallback Strategy</t>
  </si>
  <si>
    <t>cleric/oracle 1, inquisitor 1, paladin 1, magus 1</t>
  </si>
  <si>
    <t>1 minute/level or until discharged; see text</t>
  </si>
  <si>
    <t>While this spell is active, you may reroll one attack roll, combat maneuver check, or skill check before the result of the roll or check is known. You must take the result of the reroll, even if it's worse than the original roll. Once the reroll is used, the spell ends.  You can have no more than one fallback strategy active on you at the same time.</t>
  </si>
  <si>
    <t>False Alibi</t>
  </si>
  <si>
    <t>bard 3, cleric/oracle 3, inquisitor 3</t>
  </si>
  <si>
    <t>V, S, M (emerald dust worth 100 gp)</t>
  </si>
  <si>
    <t>This spell functions similarly to modify memory, except you can modify the target's memory only in a specific way. In response to a triggering condition you determine, up to the last 5 minutes of the target's memory are eliminated and replaced with a memory of your choosing (or no memory at all). For example, you could cast this on an assassin, set it to trigger when he completes his kill, and replace his memory of the murder with the memory of him discovering the body and picking up the murder weapon. You can cast this spell multiple times on the same target, even with the same trigger, affecting different memories. A single casting of false alibi affects a creature only until the specified condition has been triggered; once a condition has been triggered and the target's memory altered, that condition no longer triggers this spell unless the victim is subject to another casting of false alibi that specifies the same trigger.</t>
  </si>
  <si>
    <t>Norgorber</t>
  </si>
  <si>
    <t>Firebelly</t>
  </si>
  <si>
    <t>alchemist 1, cleric/oracle 1, druid 1, paladin 1</t>
  </si>
  <si>
    <t>A magical fire warms your belly, granting fire resistance 5 and making your gut hot to the touch (but not enough to damage you or anything else). As a standard action, you can breathe a 15-foot cone of flame that deals 1d4 points of fire damage (Reflex half, SR applies). Each time you use this breath weapon, reduce the remaining duration of the spell by 1 minute.</t>
  </si>
  <si>
    <t>Fractions Of Heal And Harm</t>
  </si>
  <si>
    <t>This spell channels a portion of the next spell you cast into magic that heals you. The next instantaneous area damage spell of 3rd level or lower that you cast deals only 75% of its damage, but heals you of a number of hit points equal to the remaining 25% of the spell's damage. For example, if you cast this spell and followed it with a fireball that would normally deal 40 hit points of damage, the fireball instead deals 30 hit points of damage and heals you of 10 hit points of damage. The spell affected by this spell must be cast before the end of your next turn. This spell has no effect on spells that do not deal damage or spells higher than 3rd level. This healing is treated as if you had been affected by a cure or inflict spell (whichever would heal you), and is treated as the same spell level as the area-affecting spell for the purpose of effects that relate to the spell level of cure or inflict spells.</t>
  </si>
  <si>
    <t>Freedom's Toast</t>
  </si>
  <si>
    <t>bard 5, cleric/oracle 5, inquisitor 5, sorcerer/wizard 4</t>
  </si>
  <si>
    <t>V, S, M/DF (a small amount of ale in a flagon)</t>
  </si>
  <si>
    <t>When the caster hoists a flagon and delivers a toast to freedom, the target is transported up to 15 feet from its position to a space of your choice, though that space must be within your line of sight. If the target was prone at the time of casting, you can choose for the target to be standing upon reaching the destination. Furthermore, if the target was bound with nonmagical ropes, manacles, or other restraints, those restraints are not transported with the target, effectively freeing the target from those restraints. If the target is bound by magical restraints, you can bar those restraints from being transported with the target with a successful caster level check against a DC based on the restraints' caster level (DC = 11 + the restraining magic item's or spell's caster level).</t>
  </si>
  <si>
    <t>Ghoul Hunger</t>
  </si>
  <si>
    <t>evil, mind-affecting</t>
  </si>
  <si>
    <t>antipaladin 2, cleric/oracle 2, sorcerer/wizard 2, witch 2</t>
  </si>
  <si>
    <t>You awaken an unnatural hunger in the target, compelling it to fall upon a nearby helpless or dead humanoid creature and begin eating its flesh. The target defends itself normally but takes no other actions while eating. The target does not take extraordinary risks to satisfy this urge (it wouldn't jump over a pit or swim through lava to reach a suitable victim). If the target can't fulfill this urge on its next turn, the spell fails. Each round on its turn, the target can attempt a new saving throw to end the effect.</t>
  </si>
  <si>
    <t>Gozreh's Trident</t>
  </si>
  <si>
    <t>cleric/oracle 2, druid 2, witch 2</t>
  </si>
  <si>
    <t>trident-like bolt of electricity</t>
  </si>
  <si>
    <t>A 4-foot-long, blazing, forked bolt of electricity springs forth from your hand. You wield this spear-like bolt as if it were a trident (you are considered proficient with the bolt). Attacks with Gozreh's trident are melee touch attacks. The bolt deals 1d8 points of electricity damage + 1 point per 2 caster levels (maximum +10). Since the bolt is immaterial, your Strength modifier does not apply to the damage. The bolt can ignite combustible materials such as parchment, straw, dry sticks, and cloth.</t>
  </si>
  <si>
    <t>Gozreh</t>
  </si>
  <si>
    <t>Hairline Fractures</t>
  </si>
  <si>
    <t>cleric/oracle 1, druid 1, witch 1</t>
  </si>
  <si>
    <t>V, S, M (a broken twig)</t>
  </si>
  <si>
    <t>5-foot-square section of stone or a creature with the  earth subtype</t>
  </si>
  <si>
    <t>With a single touch, you create temporary hairline fractures in a piece of stone or a creature with the earth subtype. If you cast this spell on a section of stone, you reduce its hardness to 5 and its hit points to 10/inch of thickness. If you cast this spell on a creature with the earth subtype, that creature takes a -2 penalty to AC for the spell's duration. Make whole reverses this spell's effect.</t>
  </si>
  <si>
    <t>Hammer Of Mending</t>
  </si>
  <si>
    <t>cleric/oracle 6, sorcerer/wizard 5, summoner/unchained summoner 5</t>
  </si>
  <si>
    <t>V, S, F (a small mithral hammer worth 300 gp), DF</t>
  </si>
  <si>
    <t>Upon striking a piece of solid ground with the spell's focus or a holy symbol, you let out a wave of energy that repairs items within its burst. All objects or constructs within the burst are repaired of 1d6 points of damage per level. When this spell affects constructs, the spell bypasses any immunity to magic as if the spell did not allow spell resistance.  Hammer of mending can fix destroyed magic items (items with 0 hit points or fewer), and restores the magic properties of the item if your caster level is at least twice that of the item.  Items with charges (such as wands) and single-use items (such as potions and scrolls) cannot be repaired in this way.</t>
  </si>
  <si>
    <t>Haze Of Dreams</t>
  </si>
  <si>
    <t>bard 1, cleric/oracle 1, inquisitor 1, paladin 1, witch 1</t>
  </si>
  <si>
    <t>V, M (pinch of sand)</t>
  </si>
  <si>
    <t>You fill an enemy's head with waking dreams, a reminder of the pleasures, delights, and terrors to be found in the dream world. While in this strange dream state, the target moves at half its normal speed (round down to the next 5-foot increment), which affects the creature's jumping distance as normal for decreased speed.  Multiple haze of dreams effects do not stack, nor does this spell's effect stack with slow.</t>
  </si>
  <si>
    <t>Hunter's Blessing</t>
  </si>
  <si>
    <t>When casting this spell, you designate a type or type and subtype of creature (using the ranger's favored enemy categories; Pathfinder RPG Core Rulebook 6 4) and a type of terrain (using the list of ranger's favored terrain categories, Core Rulebook 65). Targets of the spell gain a +2 sacred bonus on Bluff, Perception, Sense Motive, and Survival checks attempted against creatures of the selected type, and a +2 sacred bonus on attack rolls and damage rolls made against creatures of that type. Furthermore, they gain a +2 sacred bonus on initiative checks, Perception, Stealth, and Survival checks while they are in the type of terrain you designate. Lastly, when tracking the designated creature type in the chosen terrain, the targets can follow the tracks of such creatures untrained, even if the DC for the task is 11 or higher.</t>
  </si>
  <si>
    <t>Ice Armor</t>
  </si>
  <si>
    <t>V, S, F (5 gallons of water)</t>
  </si>
  <si>
    <t>a suit of armor made of ice</t>
  </si>
  <si>
    <t>1 hour/level or until destroyed</t>
  </si>
  <si>
    <t>You create a suit of armor made of ice. While cold to the touch, it does not harm the wearer, especially if worn over normal clothing (though it can hasten the effects of exposure in cold environments). It offers the same protection as a breastplate, except it has hardness 0 and 30 hit points. If the intended wearer is immersed in water when you cast this spell, you may form the armor around the wearer (who may be you); otherwise the wearer must don the armor normally. Attacks against the wearer that create heat or fire degrade the armor, reducing its armor bonus by 1 for every 5 points of fire damage the wearer takes; when the armor's bonus to AC reaches 0, the armor is destroyed and the spell ends. Because the ice is slightly buoyant, the wearer gains a +2 circumstance bonus on Swim checks, except when swimming downward. Druids can wear ice armor without penalty.</t>
  </si>
  <si>
    <t>Inheritor's Smite</t>
  </si>
  <si>
    <t>You channel the power of righteousness into your weapon arm, allowing you to strike with great force. Your next melee attack (if made before the end of your next turn) gains a +5 sacred bonus on the attack roll. If the attack hits, you may immediately attempt a bull rush combat maneuver (with a +5 sacred bonus on your combat maneuver check) against the target without provoking an attack of opportunity; if your combat maneuver check exceeds the defender's CMD by more than 5, you do not need to move with the target to push it back more than 5 feet.</t>
  </si>
  <si>
    <t>Light Prison</t>
  </si>
  <si>
    <t>bard 2, cleric/oracle 2, inquisitor 2, magus 2, sorcerer/wizard 2</t>
  </si>
  <si>
    <t>one creature/2 levels</t>
  </si>
  <si>
    <t>Rays of light burst forth from your outstretched hand, encircling each target's space with a cage of light. If a target fails its Reflex save, it becomes enclosed in the light prison. A creature enclosed in a light prison can attack, cast spells, and otherwise act normally as long as it stays within the light prison. However, if a creature passes through the walls of a light prison enclosing it, it takes 1d6 points of damage and is blinded for 1 round.  Creatures do not receive saves to negate these effects. Once a creature passes through the walls of a light prison surrounding it, the effect ends for that creature.</t>
  </si>
  <si>
    <t>Lighten Object</t>
  </si>
  <si>
    <t>bard 1, cleric/oracle 1, magus 1, sorcerer/wizard 1, summoner/unchained summoner 1</t>
  </si>
  <si>
    <t>V, M (goose down)</t>
  </si>
  <si>
    <t>1 object of up to 1 cubic ft./level</t>
  </si>
  <si>
    <t>The target's weight decreases by half. If this spell is cast on armor, the armor's armor check penalty decreases by 1, though its categorization as light, medium, or heavy does not change.</t>
  </si>
  <si>
    <t>Gorum</t>
  </si>
  <si>
    <t>Lighten Object, Mass</t>
  </si>
  <si>
    <t>cleric/oracle 5, magus 5, sorcerer/wizard 5, summoner/unchained summoner 5</t>
  </si>
  <si>
    <t>multiple objects totaling up to 1 cubic ft./level, no two of which can be more than 30 ft. apart</t>
  </si>
  <si>
    <t>This spell functions like lighten object, except that it affects a number of objects equal to half your caster level.</t>
  </si>
  <si>
    <t>Lose The Trail</t>
  </si>
  <si>
    <t>antipaladin 2, ranger 1, sorcerer/wizard 1</t>
  </si>
  <si>
    <t>The target or targets of this spell can obscure their tracks when fleeing from a pursuer. This increases the DC of any Survival checks made to track the spell's targets by 2 per level of the caster.</t>
  </si>
  <si>
    <t>Maddening Oubliette</t>
  </si>
  <si>
    <t>cleric/oracle 7, sorcerer/wizard 7, witch 7</t>
  </si>
  <si>
    <t>V, S, M (the powdered bones of a creature that died in prison)</t>
  </si>
  <si>
    <t>The target is transported to a dark and dank prison in some unspecified horrific demiplane, where tentacles writhe around, clawed fingers grab at the creature (though they deal no damage), and harsh, whispering voices speak blasphemies and maddening secrets. At the end of each round within this terrifying oubliette, the target can attempt a Will saving throw in order to escape the prison. The saving throw has a penalty equal to the number of rounds the target has spent in the oubliette (minimum -1 and maximum -5). If the target succeeds at its saving throw, it returns to its former space. If that space is occupied or otherwise unavailable, the target is shunted to the nearest available space. When the target returns from the oubliette, it is confused for a number of rounds equal to the number of rounds of imprisonment (minimum 1), unless it was confined in the oubliette for 10 or more rounds, in which case the target is affected as if it were subject to an insanity spell instead.</t>
  </si>
  <si>
    <t>Zon-Kuthon</t>
  </si>
  <si>
    <t>Monstrous Extremities</t>
  </si>
  <si>
    <t>cleric/oracle 3, sorcerer/wizard 3, witch 4</t>
  </si>
  <si>
    <t>You change one of the extremities of the creature touched-arms or legs only-into another shape of approximately the same size and mass. You can choose a tentacle, a hoof, or a wing.  The subject must take approximately 10 minutes to familiarize itself with the function and movement of the new extremity to use it properly. These new forms do not allow the subject to fly, run faster, or swim better; however, they do act as natural weapons of the appropriate type, and the subject can use them to make secondary attacks while making attacks with weapons as a full-attack action. The secondary attacks are made using the creature's base attack bonus -5 and adding only 1/2 the creature's Strength bonus on damage rolls. The subject cannot hold a weapon or use any item that would ordinarily fit into the slot of the changed extremity. The subject can receive the benefits of this spell multiple times.</t>
  </si>
  <si>
    <t>Lamashtu</t>
  </si>
  <si>
    <t>Night Of Blades</t>
  </si>
  <si>
    <t>antipaladin 4, inquisitor 3, ranger 4, sorcerer/wizard 3, summoner/unchained summoner 3</t>
  </si>
  <si>
    <t>wall of blades up to 10 ft. long/level and 10 ft. tall</t>
  </si>
  <si>
    <t>Useful primarily to those who skulk in the darkness, this spell is a temporary trap for the unwary. You create an immobile wall of tiny black blades that whirl and tear into creatures like a cyclone.  Anyone who enters this space takes 1d4 points of damage per caster level (maximum 10d4), though a successful Reflex save halves the damage. The spell cannot be cast so that it appears in a space already occupied by Small or larger creatures.</t>
  </si>
  <si>
    <t>Pick Your Poison</t>
  </si>
  <si>
    <t>bard 1, cleric/oracle 1, inquisitor 1, witch 1</t>
  </si>
  <si>
    <t>This spell temporarily converts even the deadliest poison affecting a creature into an intoxicating alcohol. If the subject is affected by a poison effect while under the effects of this spell, instead of the poison's normal effect, she feels intoxicated as if she'd just had a very strong drink and takes a -2 penalty on attacks, saves, and checks for the duration of the spell.  When the spell's duration expires, the penalty ends and the poison's normal effects apply. Pick your poison does not affect any poison effects that occurred before the spell was cast.</t>
  </si>
  <si>
    <t>Plague Bearer</t>
  </si>
  <si>
    <t>alchemist 6, antipaladin 6, cleric/oracle 6, druid 6, inquisitor 6, sorcerer/wizard 7, witch 6</t>
  </si>
  <si>
    <t>You make the target an asymptomatic carrier for a host of virulent diseases. Creatures that end their turn adjacent to the target must succeed at a Fortitude save or be affected as if by the spell contagion. The target itself does not become diseased, and suffers no ill effects from this spell. Once plague bearer ends, the target is no longer contagious, though any creature it infected remains diseased.</t>
  </si>
  <si>
    <t>Poisoned Egg</t>
  </si>
  <si>
    <t>bard 1, cleric/oracle 1, inquisitor 1, magus 1, sorcerer/wizard 1, witch 1</t>
  </si>
  <si>
    <t>one egg</t>
  </si>
  <si>
    <t>You transform the contents of a normal egg into a single dose of small centipede poison (injury; save DC 11; frequency 1/round for 4 rounds; effect 1 Dex; cure 1 save). The poison reverts to a normal egg at the end of the spell's duration (the reverted egg substance is harmless unless the poisoned creature is vulnerable to eggs). The egg may be raw or cooked but must be whole and not empty when you cast the spell. When applying the poisoned egg's contents to a weapon, the wielder has no chance of poisoning herself, as though she had the poison use class feature.</t>
  </si>
  <si>
    <t>Read Weather</t>
  </si>
  <si>
    <t>bard 1, cleric/oracle 1, druid 1, ranger 1, witch 1</t>
  </si>
  <si>
    <t>V, S, F (a set of marked sticks or bones worth at least 25 gp)</t>
  </si>
  <si>
    <t>This spell allows you to forecast the weather at your location for the next 48 hours, providing you with advance warning of storms, tornadoes, and so on. This forecast reveals only the weather that would arise naturally, and does not take into account any magical occurrences that might change the weather.</t>
  </si>
  <si>
    <t>Replenish Ki</t>
  </si>
  <si>
    <t>You attune the target's internal store of supernatural energy to the cosmos, replenishing its ki pool. If you are the target, you regain 2 ki points. If another creature is the target, it regains 1 ki point. This does not allow the target to exceed its ki pool's maximum. This spell has no effect if the target does not have a ki pool.</t>
  </si>
  <si>
    <t>Rovagug's Fury</t>
  </si>
  <si>
    <t>adept 2, cleric/oracle 2, inquisitor 2, sorcerer/wizard 2, witch 2</t>
  </si>
  <si>
    <t>You create a minor earthquake that can trip creatures. Attempt a single combat maneuver check and apply the result against the CMD of every creature in the area. If your roll equals or exceeds a creature's CMD, that creature is knocked prone. This trip attack does not provoke an attack of opportunity (though you do provoke one for casting the spell), nor are you knocked prone if you fail the check by 10 or more. Unlike with a regular trip attack, you can trip any creature touching the ground, regardless of size. Improved Trip does not affect this spell in any way. Though the earthquake is small and focused on the ground, if the area is particularly unstable, the spell might cause items to topple, stones to shake loose from the walls or ceiling, and so on at the GM's discretion.</t>
  </si>
  <si>
    <t>Secret Speech</t>
  </si>
  <si>
    <t>bard 1, cleric/oracle 2, inquisitor 1, sorcerer/wizard 2</t>
  </si>
  <si>
    <t>no (harmless)</t>
  </si>
  <si>
    <t>This spell grants the target the ability to send secret messages embedded within normal speech. This is similar to the secret messages ability of the Bluff skill, but no check is needed; the speaker's intended recipient always understands the hidden message perfectly, but other listeners cannot perceive the message at all. The target can send only one message at a time, though it can send that message to multiple listeners.  The secret message is considered to be in the same language the target is speaking, and intended recipients hear and understand both the actual speech and the secret message. The target can make itself understood as far as its voice carries.  For example, at a fancy noble's wedding, a jealous former suitor casts this spell on himself before making a speech.  Everyone hears his glowing words of praise, but only his allies hear his secret message instructing them to attack the groom.</t>
  </si>
  <si>
    <t>Calistria</t>
  </si>
  <si>
    <t>Seducer's Eyes</t>
  </si>
  <si>
    <t>You gain a bonus on Charisma-based skill checks equal to 1 + 1 for every 4 caster levels you possess (to a maximum of +5), but only when interacting with those who might conceivably find you sexually attractive. You do not gain this bonus against those you or your allies are attacking or threatening.</t>
  </si>
  <si>
    <t>Shared Sacrifice</t>
  </si>
  <si>
    <t>antipaladin 3, cleric/oracle 2, summoner/unchained summoner 3, witch 2</t>
  </si>
  <si>
    <t>You create a link to a target and can direct pain and damage through this link. You take only half damage from effects and attacks that deal hit point damage.  The target of this spell takes the remainder of the damage.  Forms of harm that do not involve hit points, such as charm effects, temporary ability damage, level drain, and death effects cannot be shared through this link. If you suffer a reduction in hit points because of a lowered Constitution score, the reduction is not split with the target of this spell because it is not hit point damage. When the spell ends, subsequent damage is no longer divided between the subject and you, but damage already split is not reassigned back to you.  If you and the target of the spell move out of range of each other, the spell immediately ends.</t>
  </si>
  <si>
    <t>Shield Of The Dawnflower, Greater</t>
  </si>
  <si>
    <t>bard 6, cleric/oracle 6, magus 6</t>
  </si>
  <si>
    <t>You create a disk of sunlight on one arm. Any creature that strikes you with a melee attack deals normal damage, but also takes 1d6 points of damage + 1 point per caster level. Half of this damage is fire damage and half is holy damage (as the spell flame strike). An undead creature or a creature particularly vulnerable to light that hits you instead takes 2d6 points of damage +1 point per caster level. Creatures with reach weapons are not subject to this damage if they attack you. The shield provides illumination equivalent to a daylight spell. You can have only one instance of this spell in effect at a time. It does not stack with similar damaging aura spells such as fire shield or shield of the Dawnflower (The Inner Sea World Guide 296).</t>
  </si>
  <si>
    <t>Sarenrae</t>
  </si>
  <si>
    <t>Sky Swim</t>
  </si>
  <si>
    <t>cleric/oracle 3, druid 3, witch 3</t>
  </si>
  <si>
    <t>Large or smaller creature touched</t>
  </si>
  <si>
    <t>This spell grants the target the ability to swim through the air.  If the target has a swim speed, it can move through the air at that speed. Otherwise, it must succeed at Swim checks to move as normal. Still air is treated as calm water, light or moderate wind is treated as rough water, strong or severe wind is treated as stormy water, and the target cannot swim through stronger winds (Core Rulebook 439). This spell does not grant the ability to breathe air to creatures that normally can't.</t>
  </si>
  <si>
    <t>Smite Abomination</t>
  </si>
  <si>
    <t>cleric/oracle 5, inquisitor 4</t>
  </si>
  <si>
    <t>Drawing upon positive energy, you emulate some of a paladin's power to smite undead. Choose one undead creature as your target.  Your melee attacks against that target gain a bonus equal to your Charisma or Wisdom modifier, whichever is higher, on your attack rolls, and a bonus equal to your caster level on damage rolls. Your melee attacks also bypass the target's damage reduction. These bonuses do not stack with the bonuses from a paladin's smite.</t>
  </si>
  <si>
    <t>Spawn Calling</t>
  </si>
  <si>
    <t>1 week</t>
  </si>
  <si>
    <t>V, S, M/DF (bull's blood, tallow, one or more humanoid victims totaling at least 15 Hit Dice)</t>
  </si>
  <si>
    <t>Having attained the highest and most profane form of magical achievement in the Great Destroyer's service, you are able to call forth his most dreaded creations: the Spawn of Rovagug.  Casting this spell requires a week-long ritual involving the sacrifice of one or more sentient humanoid creatures that between them possess a total of at least 15 Hit Dice. You may not eat, sleep, or cast any other spells for the duration of this ritual. After the third day of the ritual, you must succeed at a Constitution check on each remaining day of the ritual (DC 10 + 1 for each previous check) or take 1d6 points of nonlethal damage from hunger. At the end of the ritual, you gain the exhausted condition from lack of sleep.  Upon completion of the ritual, the ground rumbles in a 100- foot radius centered on you. This effect lasts for 1 round. Any creature on the ground in this area that attempts to cast a spell during this round must succeed at a concentration check (DC 20 + spell level) or lose the spell. Any creature on the ground in the area that attempts to attack or move during this round must succeed at a DC 15 Reflex save at the beginning of its turn or fall prone.  At the beginning of your next turn, a massive fissure full of dark fire and shrieking cries appears at a point you designate within the spell's range, and a Spawn of Rovagug emerges.  This creature takes the form of a thunder behemoth (Pathfinder RPG Bestiary 3 39) with the advanced and entropic simple templates. Unlike with summon monster or similar spells, the caster has no control whatsoever over the called creature. The spawn immediately heads in a random direction or toward an obvious target such as a population center, destroying anything in its path, yourself and your allies included.  Any creature may attempt to control the called Spawn of Rovagug via spells like dominate monster or binding.  However, if such an attempt fails, it draws the spawn's attention, and the monster immediately tries to destroy the creature that attempted to control it.  Because the Spawn of Rovagug are all magical beasts native to the Material Plane, spells such as banishment or dismissal have no effect on the called spawn.</t>
  </si>
  <si>
    <t>When casting this spell, you canspecify a particular Spawn of Rovagug-including the Tarrasque, the ArmageddonEngine (Pathfinder RPG Bestiary 262);Chemnosit, the Monarch Worm(Pathfinder Campaign Setting: Inner SeaBestiary 47); or Volnagur, the End-Singer(Inner Sea Bestiary 48)-to call in placeof the nameless behemoth spawned bythe non-mythic version of this spell. Inorder to do so, you must expend one use ofmythic power plus three additional uses ofmythic power per point of Challenge Rating thespecified spawn represents above CR 20. Thesemust be expended on the final day of the week-longritual to cast the spell.</t>
  </si>
  <si>
    <t>Spell Gauge</t>
  </si>
  <si>
    <t>bard 2, cleric/oracle 2, inquisitor 2, sorcerer/wizard 2, witch 2</t>
  </si>
  <si>
    <t>V, S, F (a silver piece)</t>
  </si>
  <si>
    <t>You immediately discover some of the spells that the target knows or has prepared. The number of spells revealed to you is equal to your caster level. The target's lowest-level spells are revealed first-ignoring 0-level spells-in a random order. Once all of the target's 1st-level spells are revealed, the spell begins revealing 2nd-level spells, then 3rd-level spells. This spell does not reveal spells of 4th level or higher, nor does it reveal spelllike abilities or other special abilities. If cast on a creature that is not a spellcaster, that has only 0-level spells or spells of 4th level or higher prepared, that has expended all of its spells, or that has not prepared any spells that day, the spell has no effect.</t>
  </si>
  <si>
    <t>Spell Scourge</t>
  </si>
  <si>
    <t>instantaneous or 1d4 rounds; see text</t>
  </si>
  <si>
    <t>A whip of cracking magical might appears in your hand, allowing you lash spells from the mind of enemy spellcasters. With a lash of bluish-purple energy, you strip many protective spells and effects from a single creature. If the target of this spell is currently under the effects of any harmless spells or effects, it must succeed at a Will save or all of those spells and effects end, stripping the target of the benefit of those spells. If the target is not currently under the effect of least one harmless spell, the target is instead confused for 1d4 rounds.</t>
  </si>
  <si>
    <t>Symbol Of Debauchery</t>
  </si>
  <si>
    <t>bard 6, cleric/oracle 8, sorcerer/wizard 8, witch 8</t>
  </si>
  <si>
    <t>V, S, M (a set of bull genitals and powdered ruby worth 5,000 gp)</t>
  </si>
  <si>
    <t>You conjure a sizable symbol into being, a rune suggestive of bloated bodies, flung food, and flowing wine. This spell functions as symbol of death, except that all creatures within 60 feet of the symbol of debauchery are instead filled with lust for the nearest conscious creature. This effect lasts for 1 round per caster level, even after creatures leave the symbol's area of effect. Affected creatures are compelled to rush to the nearest creature in order to caress and kiss it, and may take no other actions. Each creature receives a single Will save when the symbol of debauchery is triggered to negate the effect. If no other creatures are visible, an affected creature may act normally.</t>
  </si>
  <si>
    <t>Symbol Of Dispelling</t>
  </si>
  <si>
    <t>V, S, M (pure grain alcohol and powdered diamond worth 5,000 gp)</t>
  </si>
  <si>
    <t>This spell functions as symbol of death, except that all creatures within 40 feet of the symbol of dispelling are instead affected as if by the area dispel function of greater dispel magic.  Attempt a dispel check when casting symbol of dispelling.  Once the symbol is triggered, apply the result of that check to each creature in the area, as well as each object that is the target of one or more spells. Unlike symbol of death, symbol of dispelling grants no saving throws, and it is not subject to spell resistance.</t>
  </si>
  <si>
    <t>Tap Inner Beauty</t>
  </si>
  <si>
    <t>bard 1, cleric/oracle 1, witch 1</t>
  </si>
  <si>
    <t>V, M (a tiny mirror)</t>
  </si>
  <si>
    <t>This spell allows you to tap into the natural beauty of your soul and let it shine from your eyes and your speech. While the spell is active, you gain a +2 insight bonus on all Charisma ability checks and Charisma-based skill checks.</t>
  </si>
  <si>
    <t>Touch Of Bloodletting</t>
  </si>
  <si>
    <t>antipaladin 2, cleric/oracle 1, druid 1, sorcerer/wizard 2, witch 2</t>
  </si>
  <si>
    <t>This spell causes any existing wounds that the target possesses to bleed profusely. If the creature's current total hit points are less than its maximum, this spell causes the creature to take 1 point of bleed damage each round and become exhausted for the duration of the spell. A successful DC 15 Heal check or any spell that cures hit point damage negates the effects of this spell.</t>
  </si>
  <si>
    <t>Tracking Mark</t>
  </si>
  <si>
    <t>druid 1, cleric/oracle 1, paladin 1, ranger 1</t>
  </si>
  <si>
    <t>You gain a supernatural ability to detect tracks and other clues left behind by the target. You treat the DCs of all Survival checks made to track the target as if they were 5 lower than normal, and you gain a +5 bonus on Perception checks made to notice the target if it is using Stealth or recognize it if it is using Disguise.</t>
  </si>
  <si>
    <t>Transplant Visage</t>
  </si>
  <si>
    <t>alchemist 5, antipaladin 4, cleric/oracle 4, inquisitor 4, magus 5, sorcerer/wizard 5, witch 5</t>
  </si>
  <si>
    <t>V, S, M (one corpse)</t>
  </si>
  <si>
    <t>This spell allows you to add a creature's stolen face to or remove such a face that you've already applied from your own. Before casting this spell, you must remove the face and eyes of a creature that has been dead no longer than 1 minute per caster level and place it over your own. Once you cast transplant visage, the creature's stolen skin magically melds with your own, making the expressions and eye color on your new face seem perfectly natural. Your new appearance grants you a +10 bonus on Disguise checks. Because the alteration made by transplant visage is permanent, there is no residual magical aura, and your new appearance is not recognized by detect spells. Transplant visage may be cast innumerable times, allowing a single caster to wear layers upon layers of stolen faces. However, only the topmost face is visible at any one time.  Transplant visage may also be used to remove a previously stolen face. This is the only way to remove a face short of using greater polymorph, miracle, or wish. When used in this way, transplant visage c auses t he t opmost f ace t o fl ake o ff a nd crumble into dust. A face so removed may not be reused. If the caster is wearing several stolen faces when the topmost face is removed, the next face down is revealed, and may be used as normal.</t>
  </si>
  <si>
    <t>Unwelcome Halo</t>
  </si>
  <si>
    <t>cleric/oracle 1, paladin 1, sorcerer/wizard 1</t>
  </si>
  <si>
    <t>one nongood creature</t>
  </si>
  <si>
    <t>This spell causes the target to glow as if surrounded by a halo of light. This halo sheds normal light in a 20-foot radius from the creature, and increases the light level by one step for an additional 20 feet. This halo makes it impossible for the creature to gain concealment in nonmagical darkness, and in dim or darker conditions, the creature's glow can be seen even if it is not within direct line of sight.  If unwelcome halo is brought into an area of magical darkness (or vice versa), the effects of both spells are temporarily negated, so that the otherwise prevailing light conditions exist within the overlapping fields of effect.</t>
  </si>
  <si>
    <t>Vengeful Stinger</t>
  </si>
  <si>
    <t>cleric/oracle 6, sorcerer/wizard 5, summoner/unchained summoner 5, witch 5</t>
  </si>
  <si>
    <t>V, S, M (a living wasp), DF</t>
  </si>
  <si>
    <t>You grow a long, wasp-like tail complete with stinger that can strike those who dare attack you. While you are under the effects of this spell, when a creature adjacent to you hits you with a melee attack, you can make an attack of opportunity with your stinging tail, even if your opponent's attack would not otherwise provoke an attack of opportunity. You must otherwise be eligible to make an attack of opportunity to use this ability. The attack is made with your full attack bonus, and with a +2 sacred bonus on the attack roll. The stinging tail is considered a light weapon with a critical range of 19-20/x2.  On a successful hit, the target takes 1d8 points of damage plus an amount of damage equal your Strength modifier and must succeed at a Fortitude save or it takes 1d4 points of Dexterity damage. This poison damage is also modified on a confirmed critical hit.</t>
  </si>
  <si>
    <t>Vexing Miscalculation</t>
  </si>
  <si>
    <t>cleric/oracle 2, inquisitor 2, witch 2</t>
  </si>
  <si>
    <t>You frustrate an opponent with ill fortune that leads even its most accurate attacks astray. The target is unable to score critical threats for the duration of this spell, even if the result of its roll would normally be a critical threat. If the creature rolls a natural 20, the attack still hits regardless of its opponent's AC, but the hit is not eligible for a critical confirmation roll. Once a critical threat has been foiled by vexing miscalculation, the spell is discharged.</t>
  </si>
  <si>
    <t>Weapons Against Evil</t>
  </si>
  <si>
    <t>one weapon/level, no two of which can be more than 20 ft. apart</t>
  </si>
  <si>
    <t>Each weapon this spell affects each shines with pale light that dimly illuminates a 5-foot square. These weapons also ignore the DR of evil creatures that have DR 5 or lower, as long as the damage reduction is not DR/epic.</t>
  </si>
  <si>
    <t>Create Variant Mummy</t>
  </si>
  <si>
    <t>V, S, M (onyx gems worth 50 gp per HD of the undead to be created)</t>
  </si>
  <si>
    <t>1 corpse steeped in a peat bog for at least 24 hours</t>
  </si>
  <si>
    <t>This spell functions as create undead (Pathfinder RPG Core Rulebook 262), except it creates one of the following variant mummies: bog mummy, ice mummy, or Osirian tomb guardian.</t>
  </si>
  <si>
    <t>AP 81</t>
  </si>
  <si>
    <t>Virulence</t>
  </si>
  <si>
    <t>all living creatures within a 40-ft.-radius burst centered on you</t>
  </si>
  <si>
    <t>All living creatures within the area of effect, including yourself, must immediately attempt a saving throw with a -2 penalty against any and all diseases they have contracted, even if the onset time has not yet elapsed. On a failed saving throw, the affliction has its usual effect. A successful save does not count toward curing the affliction.</t>
  </si>
  <si>
    <t>Calculated Luck</t>
  </si>
  <si>
    <t>cleric/oracle 3, witch 4</t>
  </si>
  <si>
    <t>You are able to use the Path of Numbers to substantially boost your combat preparedness, but your foresight comes at a price.  Roll 3d8 and refer to the Eight Basic Energies table on page 51.  After rolling ,assign each die to one of the following.  • Energy Type: You gain vulnerability to the energy type that matches the die's result for the duration of the spell. You take half again as much damage (+50%) from that energy type, regardless of whether you successfully saved against the damaging spell or effect.  • Magic School: For the spell's duration, you cast all spells from the school that matches the die's result at +1 caster level.  • d20 Roll Type: You receive a +2 luck bonus on the d20 roll that matches the die's result for the duration of the spell.</t>
  </si>
  <si>
    <t>Occult Mysteries</t>
  </si>
  <si>
    <t>Cleromancy</t>
  </si>
  <si>
    <t>cleric/oracle 2, druid 3, inquisitor 3, sorcerer/wizard 3</t>
  </si>
  <si>
    <t>full-round action</t>
  </si>
  <si>
    <t>V, S, F/DF (a set of 64 chicken bones)</t>
  </si>
  <si>
    <t>1 round/caster level</t>
  </si>
  <si>
    <t>Cleromancy involves casting bones and interpreting the results. Those able to arrive at the proper interpretation are granted knowledge of coming events. Roll 1d4 per caster level. Group the dice by like results, and choose one of the groups. For the duration of cleromancy, you can apply a luck bonus equal to the result of the selected dice to any d20 roll.  You can apply this bonus to a number of rolls equal to the number of dice in the group. If cleromancy expires before you are able to allocate the total number of allotted bonuses, the remaining bonuses are lost.</t>
  </si>
  <si>
    <t>Lucky Number</t>
  </si>
  <si>
    <t>bard 1, cleric/oracle 1, druid 1, inquisitor 1, paladin 1, sorcerer/wizard 1, summoner/unchained summoner 1, witch 1</t>
  </si>
  <si>
    <t>24 hours or until discharged</t>
  </si>
  <si>
    <t>You are able to tweak tiny variables affecting a creature's immediate future in order to grant the target a bit of luck at the right time. Roll a d20; once during the duration of lucky number, when the target creature rolls that result (regardless of what type of dice the target rolls), the creature has the option to either reroll the result or add a +2 luck bonus to the result. The creature must decide to use this ability before the success or failure of the original roll is known. A creature can have only one lucky number at a time. If lucky number is cast on a creature already affected by that spell, the new number replaces the previous one.</t>
  </si>
  <si>
    <t>Mathematical Curse</t>
  </si>
  <si>
    <t>antipaladin 2, bard 2, cleric/oracle 3, sorcerer/wizard 2, witch 2</t>
  </si>
  <si>
    <t>V, S, M/DF (a full set of 10 fingernails)</t>
  </si>
  <si>
    <t>Using the Path of Numbers, you are able to influence the seemingly random elements in the environment around a creature, reducing that creature's efficacy. Roll 3d8 and choose one of the dice-this die's result is the penalty mathematical curse imparts. Next, choose either of the two remaining dice; the d20 roll corresponding to that result on the Eight Basic Energies table is the roll the spell's penalty applies to. The result of the final die represents the number of rounds that mathematical curse lasts. A creature can be under the influence of only one mathematical curse at a time. If mathematical curse is cast on a creature already affected by that spell, the new curse replaces the previous one.</t>
  </si>
  <si>
    <t>Numerological Evocation</t>
  </si>
  <si>
    <t>magus 3, sorcerer/wizard 3, witch 4</t>
  </si>
  <si>
    <t>You can use the Path of Numbers to calculate the latent magical energies all around you and fire customized rays of elemental energy that damage nearby targets. Roll 1d6 per 2 caster levels you possess. This is your dice pool. You will use each die in the pool exactly once to customize numerological evocation. Choose a number of dice in the pool, and match their results to the values in the first column of the Eight Basic Energies table to determine the types of energy damage the spell deals. You can allocate any number of dice in this manner, provided you still have enough dice remaining for the subsequent steps.  Next, allocate one of the dice to represent the total number of target creatures you can affect, including the initial target. No matter how many creatures you are eligible to affect, no two affected creatures can be more than 15 feet apart. Next, allocate any number of the dice to represent the range of numerological resistance. The range of the spell is 10 x the sum of the allocated dice. Finally, add up the results of the dice remaining in the pool. This is the amount of damage that numerological evocation deals to the first creature hit. A successful Reflex save halves this damage. Secondary targets take 50% of the damage dealt to the first creature hit (rounded up), and successful Reflex saves negate this damage.</t>
  </si>
  <si>
    <t>Numerological Resistance</t>
  </si>
  <si>
    <t>Numerological resistance allows numerologists to use the Path of Numbers to grant their allies resilience in the face of elemental dangers. Roll 5d8; this is your dice pool. You will use each die in the pool exactly once to customize numerological resistance.  Choose one of the dice, and match its result to the appropriate value in the first column of the Eight Basic Energies table to determine the type of energy to which numerological resistance grants resistance. Next, allocate one of the dice to represent the number of creatures you can affect with numerological resistance (including yourself). All of these creatures must be within the spell's range. Then allocate one of the dice to represent the number of rounds numerological resistance lasts. Finally, sum the remaining two dice. This is the number of points of resistance that numerological resistance grants.</t>
  </si>
  <si>
    <t>Spectral Saluqi</t>
  </si>
  <si>
    <t>V, S, F (a precious metal canine statue worth 100 gp)</t>
  </si>
  <si>
    <t>one spectral dog</t>
  </si>
  <si>
    <t>This spell creates a spectral saluqi, an undead canine resembling an oversized hound with black fur, a gray ruff and tail, and milky gray eyes. The hound shares your alignment and can converse with you telepathically. It can see and attack ethereal creatures, and otherwise has the same statistics as a yeth hound (Pathfinder RPG Bestiary 286). It usually leaves no tracks because it prefers to fly an inch above the ground. You are immune to the hound's bay ability. The hound's bite is considered aligned to any single alignment you possess for the purposes of overcoming damage reduction.</t>
  </si>
  <si>
    <t>Harrowing, Greater</t>
  </si>
  <si>
    <t>bard 5, sorcerer/wizard 6, witch 6</t>
  </si>
  <si>
    <t>V, S, F (a harrow deck)</t>
  </si>
  <si>
    <t>one creature, plus one additional creature for every 3  caster levels</t>
  </si>
  <si>
    <t>This spell functions as harrowing, except it can affect an entire group of creatures and allows its subjects some measure of control over their destiny. Subjects of a greater harrowing spell record and spend their accumulated bonuses and penalties individually, according to their own alignment.  Each participant in a greater harrowing can gain a special ability to seize control of fate if a card that matches that participant's alignment is drawn. Like the bonuses and penalties granted by the spell, the special ability can be used once before the end of the spell's duration. The exact ability gained depends on the card's suit; if multiple cards that match a participant's alignment are drawn, the participant can select one suit of her choice during the spell's casting.  Hammers: As a standard action, you can grant yourself a +4 enhancement bonus to Strength for 1 minute. While this bonus persists, you can reroll any bull rush, grapple, or sunder combat maneuver checks. You must use the result of this second roll, even if it is worse.  Keys: As a standard action, you can grant yourself a +4 enhancement bonus to Dexterity for 1 minute. While this bonus persists, you gain evasion, as the rogue class feature. If you already possess evasion, you instead gain improved evasion, as the advanced rogue talent.  Shields: As a standard action, you can grant yourself a +4 enhancement bonus to Constitution for 1 minute. While this bonus persists, you gain fast healing 1 and don't die until you reach a number of negative hit points equal to double your Constitution.  Books: As a standard action, you can grant yourself a +4 enhancement bonus to Intelligence for 1 minute. While this bonus persists, you gain a +3 enhancement bonus on checks with all skills you have no ranks in, and you can use those skills even if they can't normally be used untrained.  Stars: As a standard action, you can grant yourself a +4 enhancement bonus to Wisdom for 1 minute. While this bonus persists, you gain immunity to one of the following (your choice): charm and compulsion effects, curse effects, or fear effects.  Crowns: As a standard action, you can grant yourself a +4 enhancement bonus to Charisma for 1 minute. While this bonus persists, whenever you succeed at a Diplomacy or Intimidate check to improve a nonhostile creature's attitude toward you, that creature's attitude toward you becomes helpful for the remaining duration of the Charisma bonus, regardless of the number of steps by which you would normally improve its attitude. The creature reverts to its original attitude after the duration expires.  A single creature can be under the effects of only one harrowing or greater harrowing at a time. If the subject is targeted with a second harrowing or greater harrowing spell while a previous harrowing or greater harrowing is s till a ffecting him, the new spell automatically fails for that subject.</t>
  </si>
  <si>
    <t>The HarrowHandbook</t>
  </si>
  <si>
    <t>Harrow (15)</t>
  </si>
  <si>
    <t>Abeyance</t>
  </si>
  <si>
    <t>V, S, M (a flask of holy water worth 25 gp), DF</t>
  </si>
  <si>
    <t>Abeyance suppresses the effects of a single  curse on a creature. It does not restore any damage or drain that might have been caused by the curse. Abeyance cannot suppress curses that cannot be removed by remove curse, but it can suppress curses such as lycanthropy that require remove curse along with additional measures. An individual curse can be suppressed only once by abeyance, even if cast by a different caster.  Abeyance does not allow a creature to divest itself of cursed objects, though it can suppress a curse contracted from an object.</t>
  </si>
  <si>
    <t>AP 82</t>
  </si>
  <si>
    <t>Aggravate Affliction</t>
  </si>
  <si>
    <t>cleric/oracle 3, druid 3, sorcerer/wizard 4, witch 3</t>
  </si>
  <si>
    <t>All recurring afflictions (those with a frequency,including curses, diseases, and poison) possessed by the targeted creature immediately trigger, requiring an immediate saving throw (as described in the affliction) to avoid suffering their effects. A successful saving throw does not count toward ending the affliction, and this extra save does not change the timing of the next save against the affliction. Afflictions without a frequency are unaffected by this spell.</t>
  </si>
  <si>
    <t>Bestow Curse, Greater</t>
  </si>
  <si>
    <t>cleric/oracle 7, sorcerer/wizard 8, witch 7</t>
  </si>
  <si>
    <t>You place a curse on the subject. Choose one of the following.  • -12 penalty to an ability score, or -6 penalty to two ability scores (to a minimum ability score of 1).  • -8 penalty on attack rolls, saves, ability checks, and skill checks.  • Each turn, the target has a 25% chance to act normally; otherwise, it takes no actions.  • Bestow one of the curses or variants in this article.  • Bestow curse of the ages or unluck (Core Rulebook 557).  If a specific affliction is bestowed, the save DC of the spell replaces the usual save DC of the affliction. You can also invent your own curse, but it should be no more powerful than those described above.  The curse bestowed by this spell cannot be dispelled, but it can be removed with a break enchantment, limited wish, miracle, or wish spell. It cannot be removed with remove curse or suppressed with abeyance. The DC to remove the curse with break enchantment increases by 5.</t>
  </si>
  <si>
    <t>Corruption (6)</t>
  </si>
  <si>
    <t>Storm Step</t>
  </si>
  <si>
    <t>magus 3, sorcerer/wizard 3, witch 3</t>
  </si>
  <si>
    <t>Reflex halves</t>
  </si>
  <si>
    <t>You are able to harness the power of the storm to transport yourself a short distance, by taking the form of a furious, sizzling bolt of elemental electricity. You must either have line of sight to your destination or you must specify a direction and distance within range. Creatures and objects in the path of your passage take 1d8 points of electricity damage per 2 caster levels (maximum 5d8). A successful Reflex save halves the damage.  If your path intersects with a solid object, you damage the barrier accordingly. If the damage is enough to break through the barrier, you continue beyond the barrier as long as the spell's range permits; otherwise, your movement stops in the square adjacent to the barrier and the effect ends.</t>
  </si>
  <si>
    <t>Blood Of The Elements</t>
  </si>
  <si>
    <t>Boneshatter</t>
  </si>
  <si>
    <t>cleric/oracle 5, sorcerer/wizard 4</t>
  </si>
  <si>
    <t>V, S, M (a broken bone)</t>
  </si>
  <si>
    <t>close 25 ft. + 5 ft./2 levels)</t>
  </si>
  <si>
    <t>one corporeal creature or object</t>
  </si>
  <si>
    <t>instantaneous and 1 minute/level (see text)</t>
  </si>
  <si>
    <t>The target's bones (or exoskeleton) splinter, dealing 1d6 points of damage per caster level (maximum 15d6) to the target, which is also exhausted for 1 minute per caster level from the pain and exertion of the transformation.  If the target succeeds at its save, it takes half damage and is fatigued rather than exhausted. Objects made of bone, chitin, or similar material take half again as much damage (+50%) from this spell. This spell has no effect on a creature that has neither a skeleton nor a hard carapace.</t>
  </si>
  <si>
    <t>AP 84</t>
  </si>
  <si>
    <t>Alter River</t>
  </si>
  <si>
    <t>cleric/oracle 4, druid 4, sorcerer/wizard 5</t>
  </si>
  <si>
    <t>S, V, M (silt from a dry riverbed)</t>
  </si>
  <si>
    <t>area of river up to 5 ft. wide/2 levels and 10 ft. long/level</t>
  </si>
  <si>
    <t>You alter the flow of water in a natural freshwater channel such as a river, stream, or waterfall. The first version of this spell alters the speed of a river's flow. The second diverts the course of the targeted river.  Alter Current: The river's current increases or decreases in speed by up to 1 mile per hour per 2 caster levels you possess. A typical placid river travels at a rate of up to 2 mph (no effect on local movement); a swift river travels 2-4 mph, moving creatures and objects 10 to 40 feet downstream per round; and an area of river rapids travels 7-10 mph, moving creatures and objects 60 to 90 feet downstream per round. Altering the speed of the current alters the difficulty of swimming in the water accordingly.  Divert River: The river diverts its course in a direction of your choosing. The river flows in the general direction indicated, but otherwise conforms to the shape of the local terrain. This spell cannot cause a river to flow uphill, though the river surges over its natural banks and inundates terrain lower than its average depth. Creatures in the path of the redirected river are in danger of being swept away; if directed properly, this spell causes a flood. See Aquatic Terrain on page 432 of the Core Rulebook for more details.  Alter river can be made permanent with a permanency spell.  Clever application of spells such as move earth can be combined with this spell to likewise make the river's new course permanent.</t>
  </si>
  <si>
    <t>People Of The River</t>
  </si>
  <si>
    <t>Detect Metal</t>
  </si>
  <si>
    <t>alchemist 1, bard 1, sorcerer/wizard 1, summoner/unchained summoner 1</t>
  </si>
  <si>
    <t>V, S, F (a magnetized nail or nugget of ore)</t>
  </si>
  <si>
    <t>You detect any metal objects or creatures within a 60-foot cone.  You can specify all metal objects or one or more specific types of metal (such as silver, cold iron, or a type of skymetal) when you cast this spell; in the case of the latter, you detect only objects or creatures made of the specified metal.</t>
  </si>
  <si>
    <t>Hanspur's Flotsam Vessel</t>
  </si>
  <si>
    <t>cleric/oracle 2, druid 2, ranger 1, summoner/unchained summoner 1</t>
  </si>
  <si>
    <t>V, S, M (driftwood branch or river rat's tail)</t>
  </si>
  <si>
    <t>raft large enough for caster and one passenger/2 levels</t>
  </si>
  <si>
    <t>This spell assembles a sturdy raft and oars from driftwood, reeds, and other river detritus. The smallest raft created by the spell is roughly 5 feet square, increasing by an additional 5 feet square for every 2 caster levels you possess. Each 5-foot section of the raft can carry two Medium passengers or 300 pounds of cargo. The vessel functions as a normal raft, except it is not slowed or damaged by nonmagical river hazards such as rapids or shallows, and it is always considered to be traveling downstream for the purpose of calculating travel speed, regardless of its actual direction.</t>
  </si>
  <si>
    <t>Magnetic Field</t>
  </si>
  <si>
    <t>alchemist 6, cleric/oracle 7, magus 6, sorcerer/wizard 7, summoner/unchained summoner 6, witch 7</t>
  </si>
  <si>
    <t>Reflex negates (object; see text)</t>
  </si>
  <si>
    <t>You create a spherical magnetic field that surrounds you to a range of 30 feet and follows you for the duration of the spell.  Unattended metal objects in range-including weapons, armor, and anything made primarily out of metal-are pulled violently toward you, stopping just short of your space and falling harmlessly to the ground. Objects secured to a nonmetallic fixture remain where they are unless a forceful tug would be enough to detach them. Loose objects weighing more than 500 pounds are not affected. If the magnetic field would cause a dangerous metal object such as a sword or anvil to intersect a square occupied by a creature, that creature must succeed at a Reflex save or take damage as if from an improvised weapon of the object's size (or smaller or larger, at the GM's discretion).  A creature in the area wearing metal armor, wielding a metal weapon, or holding a metal object must succeed at a Reflex save or be dragged 5 feet closer to you in a straight line, as if affected by the pull universal monster rule (Bestiary 303). A creature can drop a metal object it's holding as a free action to avoid the effect if it's not wearing metal armor; a creature being dragged by its shield can loosen it as a move action and drop it as a free action. Creatures made entirely or mostly of metal take a -2 penalty on their Reflex saves. Creatures that fail their saves by 5 or more are pulled an additional 5 feet closer for every increment of 5 by which they failed their saves.</t>
  </si>
  <si>
    <t>Nanite (15)</t>
  </si>
  <si>
    <t>Resounding Clang</t>
  </si>
  <si>
    <t>S, F (bell, chimes, gong, or cymbals)</t>
  </si>
  <si>
    <t>30-ft.-radius burst, centered on you</t>
  </si>
  <si>
    <t>You create a loud, resonating clangor that causes metallic objects to vibrate wildly. Affected creatures wielding metal weapons take a -1 penalty on attack rolls, while creatures using metallic tools take a -1 penalty on associated skill checks.  Creatures wearing metal armor increase the armor check penalty of their armor by 1. These penalties increase by 1 at 8th caster level and every 4 caster levels thereafter (to a maximum of -4 at 16th level).  To be affected by the spell, an item must be composed primarily of metal. Nonmetallic objects with metal components (such as studded leather armor or padded armor with armor spikes) are not affected. Creatures made of metal take the penalties described above on attack rolls, damage rolls, skill checks, and Reflex saves.</t>
  </si>
  <si>
    <t>Riversight</t>
  </si>
  <si>
    <t>cleric/oracle 3, druid 2, inquisitor 3, ranger 2, witch 3</t>
  </si>
  <si>
    <t>V, S, F/DF (a smooth river stone)</t>
  </si>
  <si>
    <t>nonmagical freshwater waterway</t>
  </si>
  <si>
    <t>You can view events transpiring along a natural watercourse you touch. You can see anything on or within the river as if you were present at that location, or you can observe anything happening within 15 feet of the river's banks as if peering from the water's surface. Moving your point of view to a different location along the river is a standard action, though your perception can follow something moving along the river as a free action.  The range of this spell is affected by whether you are attempting to gaze up or downriver-if viewing a location downriver, you can view any spot within 2 miles per caster level; if viewing upriver, you can view any spot within 1/2 mile per caster level. The magical sensor created by this spell can travel only as far along the river as your range and the river permits; obstructions such as dams and reservoirs halt the sensor, as does an estuary flowing into the sea or other body of saltwater.</t>
  </si>
  <si>
    <t>Sabotage Construct</t>
  </si>
  <si>
    <t>bard 5, inquisitor 5, sorcerer/wizard 6, witch 6</t>
  </si>
  <si>
    <t>This spell functions as confusion, except that it affects only constructs. When you are rolling for a confused construct's behavior, a result of 26-50 indicates the construct twitches spasmodically. On a successful Will save, the construct is confused for only 1 round.</t>
  </si>
  <si>
    <t>Antitech Field</t>
  </si>
  <si>
    <t>druid 6, sorcerer/wizard 7</t>
  </si>
  <si>
    <t>V, S, M/DF (pinch of rust)</t>
  </si>
  <si>
    <t>You bring into being a mobile, hemispherical energy field that prevents technological objects, signals, and creatures from entering. An antitech field suppresses any technological effect used within, brought into, or deployed into the area, but does not negate it. Time spent within an antitech field counts against the suppressed effect's duration. Robots and other technological constructs that come in contact with an antitech field must attempt a Fortitude saving throw each round they remain in the field. Failure indicates a creature can take no actions that round and is considered to be helpless. Success indicates a creature can take either one move action or one standard action that round. Partially technological creatures like androids or cyborgs are merely staggered if they fail this saving throw. Note that cybernetic equipment does not function in an antitech field, and all benefits granted by such gear are suppressed. Non-technological creatures can enter the area, as can low-tech missiles like sling stones and arrows. High-tech missiles such as bullets and missiles immediately halt upon contacting the field, and either drop to the ground harmlessly or detonate. An antitech field doesn't stop rays created by magical sources, but does stop rays fired from beam weapons such as lasers. The antitech field does not offer any protection against explosions caused by technological explosives detonating against it-thus, creatures within the field could still take damage from a rocket that explodes against it. If a creature is larger than the area enclosed by the barrier, any part of the creature that lies outside the barrier is unaffected by the field. This spell can be used only defensively, not aggressively. Forcing an abjuration barrier against creatures that the spell keeps at bay collapses the barrier.</t>
  </si>
  <si>
    <t>Technology Guide</t>
  </si>
  <si>
    <t>Destroy Robot</t>
  </si>
  <si>
    <t>druid 5, sorcerer/wizard 6</t>
  </si>
  <si>
    <t>V, S, F/DF</t>
  </si>
  <si>
    <t>one robot (see below)</t>
  </si>
  <si>
    <t>You attempt to destroy any one robot in range. When you cast this spell, your hand crackles with electricity. You must succeed at a ranged touch attack to affect the target.  The target takes 12d6 points of damage + 1 point per caster level, or 3d6 points of damage + 1 point per caster level on a successful saving throw. A cyborg or android can be damaged by this spell, but takes half damage and gains a +4 bonus on the saving throw to resist the spell's effects.</t>
  </si>
  <si>
    <t>Detect Radiation</t>
  </si>
  <si>
    <t>bard 1, cleric/oracle 1, druid 1, ranger 1, sorcerer/wizard 1</t>
  </si>
  <si>
    <t>spherical emanation, centered on you</t>
  </si>
  <si>
    <t>You detect radiation in the surrounding area. You see radioactive auras as a glowing green shimmer in the air that emanates from radioactive objects; the brighter and more intense the green, the more powerful the radioactivity. This glow does not provide illumination or allow you to see in darkness, apart from being able to see the glow itself. The spell can penetrate barriers, but 3 feet of dirt or wood, 1 foot of stone, 1 inch of common metal, or a thin sheet of lead blocks it-although radiation can seep into such barriers, causing them to become radioactive (and thus visible to the spell) in time.</t>
  </si>
  <si>
    <t>Discharge</t>
  </si>
  <si>
    <t>bard 3, cleric/oracle 3, magus 3, sorcerer/wizard 3, witch 3</t>
  </si>
  <si>
    <t>one creature or technological object</t>
  </si>
  <si>
    <t>Discharge dissipates the charges from one technical object, temporarily depowers one electrically powered technological object that does not use charges, or severely hinders a creature with the robot subtype. If the spell targets an object with charges, the object loses all of its remaining charges. If the object is powered by electrical means other than charges, its functions are suppressed for 1d4 rounds. If the spell targets a creature not of the robot subtype, it affects a random charged or electrically powered item in that creature's possession. If the target is a robot, the robot is staggered and cannot use any energy-based attacks for 1d4 rounds. A robot that's affected by this spell receives a new saving throw at the end of each round to shrug off the effect.</t>
  </si>
  <si>
    <t>Discharge, Greater</t>
  </si>
  <si>
    <t>bard 6, cleric/oracle 6, magus 6, sorcerer/wizard 6, witch 6</t>
  </si>
  <si>
    <t>one creature or technological object, or a 20-ft.-radius burst</t>
  </si>
  <si>
    <t>This spell functions as discharge, except it can discharge multiple technological objects and can be used to target an area. You choose to use greater discharge in one of two ways: an area discharge or a targeted discharge. Area Discharge: When greater discharge is used in this way, the spell affects everything within a 20-foot-radius burst. Each creature in the area is affected as though by discharge (affecting only one object in the creature's possession), and each unattended object is similarly affected. Targeted Discharge: This spell functions as discharge, but if the target is a creature, it can discharge one randomly determined object from the target's charged or electrically powered possessions for every 4 caster levels you possess.</t>
  </si>
  <si>
    <t>Infuse Robot</t>
  </si>
  <si>
    <t>cleric/oracle 7, druid 7, sorcerer/wizard 7, witch 7</t>
  </si>
  <si>
    <t>one robot</t>
  </si>
  <si>
    <t>If the targeted robot fails its Will saving throw, it transforms into a magical construct made of wood, stone, flesh, or bone. The robot's statistics and abilities do not change, although it is now a magical construct rather than a technological one. It loses the robot subtype, but does not lose its Intelligence score (if any). You can issue mental commands to the infused robot as long as it stays within range of the spell; issuing commands in this manner is a free action for you. When the spell's duration runs out, the robot transforms back to normal but is staggered for 1d4 rounds.</t>
  </si>
  <si>
    <t>Irradiate</t>
  </si>
  <si>
    <t>cleric/oracle 3, druid 4, magus 3, sorcerer/wizard 3, summoner/unchained summoner 3, witch 3</t>
  </si>
  <si>
    <t>The spell's area of effect floods with dangerous radiation. The strength of the radiation you create depends on your caster level, as detailed below. The central irradiated area is always a 10-foot-radius spread that expands normally per the rules for radiation areas of effect (see page 55). Creatures within the area are exposed to the radiation only once; the radiation does not linger in the area. The save to resist the radiation effects is set by the spell, not the standard save DC for radiation. Caster Level Radiation Level 6th or lower Low 7th-9th Medium 10th-16th High 17th or higher Severe</t>
  </si>
  <si>
    <t>Magic Circle Against Technology</t>
  </si>
  <si>
    <t>V, S, M/DF (a 3-ft.-diameter circle of powdered copper)</t>
  </si>
  <si>
    <t>Will negates (harmless), see text</t>
  </si>
  <si>
    <t>All creatures within the area gain the effects of a protection from technology spell. Creatures in the area, or that later enter the area, receive only one attempt to suppress technological effects that are controlling them. If a creature succeed at this save, such effects are suppressed as long as the creature remains in the area. Creatures that leave the area and then return are not protected. Robots receive a saving throw and spell resistance to avoid being kept at bay, but the deflection and resistance bonuses and the protection from mental control apply to non-technological creatures in the area even if a robot succeeds at its saving throw and is thus able to enter the area.  This spell is not cumulative with protection from technology and vice versa.</t>
  </si>
  <si>
    <t>Make Whole, Greater</t>
  </si>
  <si>
    <t>one object of up to 5 lb./level</t>
  </si>
  <si>
    <t>This spell repairs 1d6 points of damage plus 1 point per level when cast on a construct creature (maximum 10d6+10).  Greater make whole can fix destroyed magic items or technological items (items at 0 hit points or fewer), and restores the magic properties of the item if your caster level at least equal to that of the item. This spell otherwise functions as make whole.</t>
  </si>
  <si>
    <t>Memory Of Function</t>
  </si>
  <si>
    <t>V, S, powdered skymetal worth 10,000 gp</t>
  </si>
  <si>
    <t>object or construct touched</t>
  </si>
  <si>
    <t>Even a broken object remembers what it means to be a functioning whole. You restore a broken object or damaged construct to a functional state, as if it were new and intact.  Any pieces missing from the object or construct remain missing. Significant missing pieces may prevent proper functioning. If the object uses charges, the object becomes fully charged. A timeworn object becomes fully charged, but doesn't lose the timeworn condition (this spell is one of the few ways a timeworn item can be recharged). For 1 hour after this spell is cast on a timeworn object, that object does not suffer any chance of glitching. Other consumables such as ammunition are not restored.  When this spell is cast upon a damaged construct, all hit point damage dealt to that construct is healed. When this spell is cast upon a destroyed construct, it is restored to full functionality and full hit points, provided no significant portion of the destroyed construct (such as an entire limb) is missing. Constructs brought back in this fashion regain their memories up to the moment of their destruction and have no particular inclination to serve the caster.  If you attempt to cast this spell on an object or a construct that has been destroyed for more than 10 years per caster level you possess, the spell fails.</t>
  </si>
  <si>
    <t>Protection From Technology</t>
  </si>
  <si>
    <t>V, S, M/DF (a pinch of powdered copper)</t>
  </si>
  <si>
    <t>no, see text</t>
  </si>
  <si>
    <t>This spell wards a creature from attacks by technological objects and creatures of the robot subtype, and protects against mental control from technological sources. It creates a magical barrier around the subject at a distance of 1 foot. The barrier moves with the subject and has two major effects.  First, the target gains a +2 deflection bonus to AC and a +2 resistance bonus on saving throws. Both of these bonuses apply against attacks made or effects caused by technological objects and creatures with the robot subtype.  Second, the target immediately receives another saving throw (if one was allowed to begin with) against any technological effects that exercise mental control over the creature, including the effects of pharmaceuticals such as torpinal. The target gains a +2 morale bonus on this saving throw, using the same DC as the original effect. If the target succeeds at this save, such effects are suppressed for the duration of this spell. The effects resume when the duration of this spell expires. While under the effects of this spell, the target is immune to any new attempts to exercise mental control over her using technological means.</t>
  </si>
  <si>
    <t>Rebuke Technology</t>
  </si>
  <si>
    <t>druid 4, sorcerer/wizard 4</t>
  </si>
  <si>
    <t>V, S, F/DF (powdered fragments of technology)</t>
  </si>
  <si>
    <t>one technological object or creature</t>
  </si>
  <si>
    <t>You shroud the targeted technological object or creature (such as a robot or a nanotech swarm) with magical energy.  If the targeted creature fails to resist the spell, it is rendered inert and unusable (or unconscious in the case of creatures) for the spell's duration. A creature can attempt a new Fortitude saving throw to end the effect early at the end of its turn after the first full round it is affected by this spell.</t>
  </si>
  <si>
    <t>Recharge</t>
  </si>
  <si>
    <t>bard 2, cleric/oracle 3, magus 3, sorcerer/wizard 3</t>
  </si>
  <si>
    <t>V, S, M (500 gp of diamond dust)</t>
  </si>
  <si>
    <t>You restore up to 1 charge per level to a battery or half that number of charges to a technological item capable of being charged by a battery. If you recharge a battery, there is a 20% chance that the battery is destroyed by the attempt. If you restore more charges than the item can hold, the item must succeed at a Fortitude saving throw or take 1d6 points of electricity damage for each excess charge. This spell provides no knowledge of how many charges an item can safely hold, but you can choose to bestow fewer charges than the maximum allowed to reduce the risk; you must declare how many charges you are restoring before casting this spell.</t>
  </si>
  <si>
    <t>Remove Radioactivity</t>
  </si>
  <si>
    <t>bard 4, cleric/oracle 4, druid 4, inquisitor 4, paladin 4, ranger 4, witch 4</t>
  </si>
  <si>
    <t>You remove all ongoing radiation effects, both primary and secondary, on a single target if you succeed at a caster level check (DC = the Fortitude DC associated with the radiation effect). In addition, you immediately restore 1d4 points of Constitution drain and 1d4 points of Strength drain caused by radiation-this spell cannot restore ability damage or drain caused by other sources. When cast on an area, a single casting of remove radioactivity removes radiation from a 20-foot-radius area around the point you touch. This spell has no power to negate naturally radioactive materials, and as long as such materials remain in an area, the radiation that was removed may return.</t>
  </si>
  <si>
    <t>Remove Radioactivity, Greater</t>
  </si>
  <si>
    <t>cleric/oracle 8, druid 8, witch 8</t>
  </si>
  <si>
    <t>This spell functions like remove radioactivity, save that it cures all ability damage and drain due to radioactivity that the target has taken. In addition, you can deplete a radioactive object as well, although because you must touch the object to affect it, you expose yourself to at least 1 round of contact with the object's radiation. You must succeed at a caster level check (DC = 5 + the Fortitude DC associated with the radiation effect) in order to deplete the object. If you are successful, the object no longer emits radiation. In the case of a nuclear reactor or atomic warhead, this permanently renders the reactor or warhead inert and harmless.</t>
  </si>
  <si>
    <t>Technomancy</t>
  </si>
  <si>
    <t>V, S, M (oil stirred with a coil of wires)</t>
  </si>
  <si>
    <t>This spell functions as detect magic, except it detects the presence of technological objects instead of magical objects. The spell grants you the Technologist feat for the purposes of attempting Knowledge (engineering) checks to identify the properties of technological items in your possession. If you already possess this feat, you gain a +10 bonus on Knowledge (engineering) checks to identify item properties.</t>
  </si>
  <si>
    <t>Cosmic Ray</t>
  </si>
  <si>
    <t>magus 5, sorcerer/wizard 6</t>
  </si>
  <si>
    <t>V, S, M (a piece of meteorite)</t>
  </si>
  <si>
    <t>instantaneous and 1 round/level (see text)</t>
  </si>
  <si>
    <t>You fling a ray of deadly cosmic energy at the target creature. If you succeed at a ranged touch attack with the ray, the target takes 1d6 points of damage per caster level (maximum 20d6) and must make a Fortitude save. On a failed save, the target becomes sickened for 1 round per caster level and emits toxic cosmic energy for as long as it is sickened; any creature that comes within 5 feet of the affected target must succeed at a Fortitude save (DC = spell's DC) or become sickened for 1 round per 2 caster levels.</t>
  </si>
  <si>
    <t>People Of The Stars</t>
  </si>
  <si>
    <t>Gravity Sphere</t>
  </si>
  <si>
    <t>V, S, M (a marble)</t>
  </si>
  <si>
    <t>30-ft.-radius sphere of altered gravity</t>
  </si>
  <si>
    <t>You affect the local gravity field in a 30-foot-radius sphere around the spell's designated point of origin. Creatures in the affected area can be weighed down by high gravity, lightened by low gravity, or left to float in an area with no gravity, depending on the effect you choose for your gravity sphere. See page 18 for rules on the effects of high, low, and no gravity.  Creatures that fall within the area of a gravity sphere spell take more damage from the fall if the gravity within is higher and less damage if the gravity within is lower. However, if the creature falls through a gravity sphere and continues to fall in a non-affected area, the rest of the fall damage is calculated normally. For instance, if a creature falls through 20 feet of a lowgravity sphere and an additional 30 feet outside the sphere, it would take 1d6 points of damage for the 20 feet of low gravity plus 3d6 points of damage as normal for the 30 feet outside the sphere (for a total of 4d6 points of damage).  This spell doesn't counteract or negate the effects of other spells that affect gravity; both effects occur simultaneously. For instance, a no-gravity gravity sphere spell cast within the area of a reverse gravity spell would simply mean that creatures float about until the gravity sphere's duration expires or they exit the gravity sphere, at which point they return to the top of the reverse gravity effect's area. If both gravity-altering magical effects could not feasibly take place simultaneously (at the GM's discretion), the gravity sphere spell supersedes the previous effect (if it's higherlevel than the previous effect) or simply fails (if it's lower-level).</t>
  </si>
  <si>
    <t>Planetarium</t>
  </si>
  <si>
    <t>bard 2, cleric/oracle 2, druid 2, sorcerer/wizard 2, summoner 2, witch 2</t>
  </si>
  <si>
    <t>15-ft.-radius spherical projection of night sky</t>
  </si>
  <si>
    <t>concentration + 3 rounds</t>
  </si>
  <si>
    <t>Will disbelief (harmless)</t>
  </si>
  <si>
    <t>You project an image of the night sky based on your current location and the local time, allowing you to observe the heavens and all of its celestial bodies and features even during the daytime, indoors, or underground. Anyone within the planetarium's sphere can see the projection, though outside of the sphere the image becomes grainy and indistinct.</t>
  </si>
  <si>
    <t>Planetary Adaptation</t>
  </si>
  <si>
    <t>alchemist 5, cleric/oracle 4, sorcerer/wizard 5, summoner/unchained summoner 5</t>
  </si>
  <si>
    <t>This spell functions as planar adaptation (Pathfinder RPG Advanced Player's Guide 236), except that it works only on worlds of the Material Plane. The cold void of space is considered a single world for the purpose of this spell, allowing you to survive in vacuum.</t>
  </si>
  <si>
    <t>Planetary Adaptation, Mass</t>
  </si>
  <si>
    <t>cleric/oracle 6, sorcerer/wizard 7, summoner/unchained summoner 6</t>
  </si>
  <si>
    <t>This spell functions as planetary adaptation, except as noted above.</t>
  </si>
  <si>
    <t>Reboot</t>
  </si>
  <si>
    <t>V, S, F (a ruby worth at least 25 gp per HD of the target construct)</t>
  </si>
  <si>
    <t>one destroyed construct of up to 2 HD/level</t>
  </si>
  <si>
    <t>Whispering in the dense, information-rich machine language of the First Ones, you bring a destroyed construct back to operational status for a short time, restoring it to 1 hit point. The construct can be further healed with spells like make whole, but it returns to its destroyed state as soon as this spell's duration expires or it is brought to 0 hit points, whichever comes first. As long as the construct is active, it obeys your commands to the best of its ability, fighting on your behalf and carrying out tasks that it is capable of performing.  Constructs with more than twice as many Hit Dice as your caster level cannot be targeted by this spell.</t>
  </si>
  <si>
    <t>Starsight</t>
  </si>
  <si>
    <t>alchemist 1, bard 1, cleric/oracle 1, druid 1, ranger 1, sorcerer/wizard 1, witch 1</t>
  </si>
  <si>
    <t>You can observe the night sky and all of its celestial bodies as if it were a clear night, regardless of weather conditions that would otherwise block your view. Your vision penetrates any light pollution from nonmagical sources, though this spell doesn't function in daylight, indoors, or underground. You see through forest canopies and similar natural obstructions, but only for the purpose of stargazing. For the spell's duration, you gain a +2 insight bonus on Knowledge (geography) checks relating to the stars and planets and Survival checks to avoid getting lost.</t>
  </si>
  <si>
    <t>Adhesive Blood</t>
  </si>
  <si>
    <t>alchemist 2, bloodrager 2, sorcerer/wizard 2, witch 2, psychic 2</t>
  </si>
  <si>
    <t>Your blood thickens to becomes a glue-like substance upon contact with air. A piercing or slashing weapon that deals hit point damage to you is stuck fast unless the wielder succeeds at a Reflex save. A creature can pry off a stuck weapon on its turn as a standard action with a successful Strength check against the spell's DC. Strong alcohol or universal solvent dissolves the adhesive. The glue breaks down 5 rounds after you die, or when the duration ends. This glue has no while underwater or in environments that lack air.</t>
  </si>
  <si>
    <t>Advanced Class Guide</t>
  </si>
  <si>
    <t>Attackers’ weapons stick to your gluey blood.</t>
  </si>
  <si>
    <t>Adhesive Spittle</t>
  </si>
  <si>
    <t>alchemist 1, sorcerer/wizard 1, witch 1, psychic 1</t>
  </si>
  <si>
    <t>1 round/level or until discharged (see text)</t>
  </si>
  <si>
    <t>Once during this spell's duration, you can spit a viscous liquid as a standard action. This liquid functions as a tanglefoot bag, except you do not have to make a successful attack roll to hit your target. The DCs to counteract this adhesive (to avoid being stuck to the floor, to fly, to break the adhesive, or to cast a spell) use the spell's DC rather than a tanglefoot bag's normal DCs. The adhesive persists for 2d4 rounds after you spit it.</t>
  </si>
  <si>
    <t>Spit a tanglefoot bag at a creature.</t>
  </si>
  <si>
    <t>Adjustable Disguise</t>
  </si>
  <si>
    <t>alchemist 3, antipaladin 3, bard 3, inquisitor 3, sorcerer/wizard 3, witch 3, occultist 3, psychic 3, mesmerist 3, medium 3</t>
  </si>
  <si>
    <t>This spell functions as disguise self, except as a swift action you can alter the disguise (within the limitations of disguise self). For example, you could make yourself look like a young human city guard, then an old elven wizard of the opposite gender, then a halfling thief, and so on. You can change the disguise a number of times equal to your caster level.</t>
  </si>
  <si>
    <t>As disguise self, but you can change the disguise as a swift action.</t>
  </si>
  <si>
    <t>Adjustable Polymorph</t>
  </si>
  <si>
    <t>alchemist 4, bard 4, magus 4, shaman 4, sorcerer/wizard 4, summoner/unchained summoner 4, witch 4, psychic 4, medium 4</t>
  </si>
  <si>
    <t>V, S, M (a small piece of doppelganger flesh)</t>
  </si>
  <si>
    <t>This spell functions as alter self, except you can as a swift action alter the disguise (within the limitations of alter self).  For example, you could transform yourself into a halfling, then a lizardfolk, then an elf, and so on. You can change your form a number of times equal to your caster level.</t>
  </si>
  <si>
    <t>As alter self, but you can change the shape as a swift action.</t>
  </si>
  <si>
    <t>Aggressive Thundercloud</t>
  </si>
  <si>
    <t>V, S, M/DF (a piece of a tree struck by lightning)</t>
  </si>
  <si>
    <t>A crackling, spherical storm cloud flies in whichever direction you point and deals electricity damage to those it strikes. It has a fly speed of 20 feet with perfect maneuverability. If it enters a space that contains a creature, the storm stops moving for the round and deals 3d6 points of electricity damage to that creature, though a successful Reflex save negates that damage. It provides concealment (20% miss chance) to anything within it, and its flickering light illuminates the same area a candle would.  The sphere moves as long as you actively direct it (as a move action for you); otherwise, it stays at rest and crackles with lightning. It can be moved by wind effects and counts as a Small creature for the purpose of determining how winds affect it. The sphere has no physical substance and cannot exert any force on corporeal creatures or objects. It disperses if it exceeds the spell's range.</t>
  </si>
  <si>
    <t>Flying storm cloud deals 3d6 electricity damage.</t>
  </si>
  <si>
    <t>Aggressive Thundercloud, Greater</t>
  </si>
  <si>
    <t>electricity, sonic</t>
  </si>
  <si>
    <t>druid 4, magus 4, sorcerer/wizard 4, witch 4</t>
  </si>
  <si>
    <t>Reflex negates and Fortitude negates (see text)</t>
  </si>
  <si>
    <t>This spell functions as aggressive thundercloud, except it deals 6d6 points of electricity damage to any creature it strikes. The first creature damaged by the cloud is also stunned for 1 round (Fortitude negates); this is a sonic effect.</t>
  </si>
  <si>
    <t>Flying storm cloud deals 6d6 electricity damage.</t>
  </si>
  <si>
    <t>Air Geyser</t>
  </si>
  <si>
    <t>bloodrager 3, druid 3, magus 3, shaman 4, sorcerer/wizard 3, witch 3</t>
  </si>
  <si>
    <t>one creature or object up to Large size</t>
  </si>
  <si>
    <t>You create a powerful blast of air capable of flinging an opponent upward. If the target fails its Reflex save, the force of the air deals 2d6 points of bludgeoning damage and hurls the target upward a number of feet equal to 5 x your caster level. If a solid object (such as a ceiling) is encountered, the target strikes the object in the same manner as it would during a normal fall. After this blast of air ceases, the target falls down (unless it was flying), taking falling damage as normal. A successful save means the target takes half damage from the air blast but is not moved by it.</t>
  </si>
  <si>
    <t>Blast of air deals 2d6 bludgeoning damage and knocks opponent upward.</t>
  </si>
  <si>
    <t>Air Step</t>
  </si>
  <si>
    <t>alchemist 2, bard 2, cleric/oracle 2, druid 2, ranger 2, sorcerer/wizard 2, witch 2, occultist 2</t>
  </si>
  <si>
    <t>V, S, M (a goose feather)</t>
  </si>
  <si>
    <t>This spell functions as air walk, except you can rise no higher than 1 foot off the ground, you cannot pass over liquid, and the air you walk on is less stable than solid ground. When walking on air, you ignore difficult terrain that is less than 1 foot high, you do not trigger effects based on weight (such as a pressure plate), and any creature trying to track you through areas you crossed with this spell takes a -10 penalty on its Perception or Survival check to do so. However, because of the instability of the air you walk on, your speed is reduced by 10 feet (to a minimum of 5 feet) and you take a -4 penalty on Acrobatics, Climb, and Ride checks.  If you have 1 rank in Fly, your speed is not reduced when using this spell, and you can cross over liquid at half speed.  If you have 5 ranks in Fly, you can cross liquid at full speed and do not take the penalties to your skill checks.</t>
  </si>
  <si>
    <t>Tread unsteadily on air, with limitations.</t>
  </si>
  <si>
    <t>Align Weapon, Communal</t>
  </si>
  <si>
    <t>weapons or projectiles touched</t>
  </si>
  <si>
    <t>This spell functions as align weapon, except you divide the duration in 1-minute increments between any number of touched weapons. Every group of up to 50 projectiles (which must be together at the time of casting) counts as one weapon for the purpose of dividing the spell's duration.</t>
  </si>
  <si>
    <t>As align weapon, but you can divide the duration among weapons touched.</t>
  </si>
  <si>
    <t>Alter Musical Instrument</t>
  </si>
  <si>
    <t>bard 1, sorcerer/wizard 1, witch 1, occultist 1</t>
  </si>
  <si>
    <t>V, S, F (an instrument)</t>
  </si>
  <si>
    <t>one musical instrument</t>
  </si>
  <si>
    <t>You alter an instrument so it sounds like a different kind of instrument you are familiar with. The change could be minor (such as making a lute sound like a guitar) or major (making a keyboard sound like drums). All other aspects of the instrument-such as volume, pitch, and how it is played- are unchanged. For example, a piccolo made to sound like an organ is no louder than a normal piccolo, can produce only high notes in the piccolo range, and is a wind instrument.</t>
  </si>
  <si>
    <t>Make one instrument sound like a different kind of instrument.</t>
  </si>
  <si>
    <t>Anchored Step</t>
  </si>
  <si>
    <t>alchemist 3, druid 3, shaman 3, sorcerer/wizard 3, witch 3, psychic 3</t>
  </si>
  <si>
    <t>V, S, M (a bit of oak root)</t>
  </si>
  <si>
    <t>Powerful tendrils grow out of the bottom of your feet or footwear, partially anchoring you to the ground and making it more difficult for others to move you against your will.  These tendrils dig into any surface, but leave no trace of your passing. You gain a +10 bonus to your CMD against bull rush, overrun, pull, push, reposition, and trip combat maneuvers, as well as any other effect that would move you from your current position (such as being swallowed whole) or knock you prone. The tendrils slow your movement, however; your speed is reduced by 10 feet (to a minimum of 5 feet). This spell has no effect if you are moving without touching the ground (climbing, flying, swimming, and so on).</t>
  </si>
  <si>
    <t>Vines beneath your feet stabilize you but slow you down.</t>
  </si>
  <si>
    <t>Animal Purpose Training</t>
  </si>
  <si>
    <t>antipaladin 1, bard 2, druid 2, inquisitor 1, paladin 1, ranger 1, shaman 2, witch 1, psychic 1</t>
  </si>
  <si>
    <t>You instill the target animal with a general purpose (see the Handle Animal skill), which can be any purpose except combat training-fighting, guarding, heavy labor, hunting, performance, or riding. This purpose supersedes the animal's previous trained purpose and any tricks it knows.  When the spell ends, the animal reverts to its previous trained purpose and known tricks.</t>
  </si>
  <si>
    <t>Animal gains a new general purpose.</t>
  </si>
  <si>
    <t>Anonymous Interaction</t>
  </si>
  <si>
    <t>bard 2, witch 2, psychic 2, mesmerist 2</t>
  </si>
  <si>
    <t>one creature/level, no two of which can be more  than 30 ft. apart</t>
  </si>
  <si>
    <t>You cause the targets to forget all but the most general information about you. If they saw you or interacted with you, they still remember your presence and your general shape (such as humanoid), as well as the gist of your interactions with them (such as "She was asking about the queen"), but they don't remember specifically what you said, details of your appearance, or any identifying information about you. This spell targets any memories of you in the minute preceding its casting, but is otherwise permanent.</t>
  </si>
  <si>
    <t>Espionage (2)</t>
  </si>
  <si>
    <t>Creatures forget details about you and conversations with you.</t>
  </si>
  <si>
    <t>Anti-Incorporeal Shell</t>
  </si>
  <si>
    <t>cleric/oracle 4, shaman 4, witch 4, psychic 4, spiritualist 4</t>
  </si>
  <si>
    <t>You bring into being a mobile, hemispherical energy field that incorporeal creatures cannot enter.  This spell can be used only defensively, not aggressively.  Forcing an abjuration barrier against creatures that the spell keeps at bay collapses the barrier.</t>
  </si>
  <si>
    <t>Incorporeal creatures stay 10 ft. away from you.</t>
  </si>
  <si>
    <t>Aura Sight</t>
  </si>
  <si>
    <t>alchemist 3, cleric/oracle 3, inquisitor 4, shaman 3, sorcerer/wizard 3, witch 3, psychic 3, mesmerist 3, spiritualist 3</t>
  </si>
  <si>
    <t>This spell makes your eyes glow and allows you to see alignment auras within 120 feet of you. The effect is similar to that of a detect chaos/evil/good/law spell, but aura sight does not require concentration, and it discerns an aura's location and power more quickly.  You know the location and power of all chaotic, evil, good, and lawful auras within your sight. An aura's power depends on a creature's Hit Dice or an item's caster level, as noted in the description of the detect evil spell. If an item or a creature bearing an aura is in line of sight, you can attempt a Knowledge (religion) check to determine the aura's strength (one check per aura; DC 15 + spell level, or 15 + 1/2 caster level for a non-spell effect).  Aura sight can be made permanent with a permanency spell by a caster of 11th level or higher at a cost of 7,500 gp.</t>
  </si>
  <si>
    <t>Alignment auras become visible to you.</t>
  </si>
  <si>
    <t>Banshee Blast</t>
  </si>
  <si>
    <t>death, fear, mind-affecting, sonic</t>
  </si>
  <si>
    <t>sorcerer/wizard 6, witch 6, spiritualist 6</t>
  </si>
  <si>
    <t>Reflex half and Will negates (see text)</t>
  </si>
  <si>
    <t>You create a cone of spectral energy resembling screaming elven ghosts that deals 1d4 points of damage per caster level (maximum 15d4); a successful Reflex save halves this damage. Any creature that fails its Reflex save must succeed at a Will save or become panicked for 1 round/level.</t>
  </si>
  <si>
    <t>Cone deals 1d4 per level and panics creatures.</t>
  </si>
  <si>
    <t>Barrow Haze</t>
  </si>
  <si>
    <t>Barrow haze creates a bank of fog similar to that created by fog cloud, except that the vapors are black and they have a necromantic link to you. The vapors do not interfere with your vision. Because of your link to the haze, if any part of it is within 30 feet of you, any creatures within the haze count as in range for the purpose of using any of your hexes that have a maximum range of 30 feet.  For example, suppose you have the slumber hex, you are 25 feet from one edge of the haze, and an opponent is 40 feet farther away at the other extreme of the cloud. You can use your slumber hex on that opponent even though it is actually 65 feet away from you.</t>
  </si>
  <si>
    <t>Fog obscures the vision of others and extends the range of your hexes.</t>
  </si>
  <si>
    <t>Beastspeak</t>
  </si>
  <si>
    <t>druid 2, shaman 2, witch 2</t>
  </si>
  <si>
    <t>When you're in the form of an animal (such as when you are using wild shape or are affected by a polymorph effect), you can speak normally, including when you cast spells with verbal components, and you sound like your normal self when you speak. You can cast this spell while in animal form, using animal-appropriate somatic components.</t>
  </si>
  <si>
    <t>Speak normally while in animal form.</t>
  </si>
  <si>
    <t>Bestow Auras</t>
  </si>
  <si>
    <t>antipaladin 3, paladin 3</t>
  </si>
  <si>
    <t>You transfer one or more of your paladin or antipaladin auras (such as aura of courage and aura of resolve) to another creature. You retain the personal effect of that aura, but the target becomes the center of the aura effect instead of you.  For example, if you transfer your aura of courage, you remain immune to fear, but the target becomes the center of the aura that grants a +4 morale bonus on saves against fear effects. If an aura functions only when you are conscious, the transferred aura functions only when the target is conscious.  If an aura functions only when you expend uses of another ability (such as with aura of justice or aura of vengeance), the transferred aura functions only if the target has that other ability and expends uses of it to activate the aura.  You cannot transfer an aura that affects only you (such as aura of good).</t>
  </si>
  <si>
    <t>Transfer your paladin or antipaladin auras to another creature.</t>
  </si>
  <si>
    <t>Blade Lash</t>
  </si>
  <si>
    <t>bloodrager 1, magus 1</t>
  </si>
  <si>
    <t>your melee weapon</t>
  </si>
  <si>
    <t>Your weapon elongates and becomes whiplike. As part of casting this spell, you can use this weapon to attempt a trip combat maneuver against one creature within 20 feet, and you gain a +10 bonus on your roll, after which the weapon returns to its previous form.</t>
  </si>
  <si>
    <t>Use your weapon like a whip to trip an opponent.</t>
  </si>
  <si>
    <t>Blazing Rainbow</t>
  </si>
  <si>
    <t>V, S, M (a drop of rainwater)</t>
  </si>
  <si>
    <t>0 ft. or 10 ft./level</t>
  </si>
  <si>
    <t>bow or bridge of light</t>
  </si>
  <si>
    <t>You create a spectrum of multicolored solid light that can be used for one of two effects.  Bow: The spell creates a longbow or shortbow appropriate for your size, and you are proficient in the use of this weapon. When drawn, the bow automatically creates a +1 seeking brilliant energy arrow; it cannot fire any other arrows. A creature struck by one of these arrows is surrounded by faerie fire and dazzled for 1 minute. This version of the spell ends when you have fired a number of arrows equal to your caster level.  Bridge: The light forms a bridge or ramp 5 feet wide and up to 10 feet long per caster level. Creatures on the bridge are dazzled. Allies gain a bonus equal to your Wisdom modifier (minimum 1) on checks, saves, and to their CMD to resist being moved from the bridge against their will.  Enemies take a penalty equal to your Wisdom modifier (minimum 1) checks, saves, and to their CMD to resist being moved from the bridge against their will.</t>
  </si>
  <si>
    <t>Create bow with brilliant energy arrows or a bridge that helps allies and hinders opponents.</t>
  </si>
  <si>
    <t>Blessed Fist</t>
  </si>
  <si>
    <t>cleric/oracle 1, paladin 1</t>
  </si>
  <si>
    <t>The target is considered to be armed even when unarmed, so it doesn't provoke attacks of opportunity when it attacks foes with unarmed strikes. Its unarmed strikes can deal lethal or nonlethal damage (target's choice). If the target already has this ability (such as from the monk unarmed strike ability or the Improved Unarmed Strike feat), its unarmed strikes gain a +1 enhancement bonus on attack rolls and damage rolls, and they count as good-aligned weapons for the purposes of overcoming damage reduction.</t>
  </si>
  <si>
    <t>Target doesn’t provoke attacks of opportunity with unarmed strikes.</t>
  </si>
  <si>
    <t>Bloatbomb</t>
  </si>
  <si>
    <t>acid, death</t>
  </si>
  <si>
    <t>antipaladin 4, cleric/oracle 4, sorcerer/wizard 4</t>
  </si>
  <si>
    <t>Fortitude negates or Reflex half (see text)</t>
  </si>
  <si>
    <t>The target creature dies if it fails a Fortitude saving throw and its Hit Dice are no more than half your caster level.  If it dies, its corpse rapidly putrefies. The next creature to touch the corpse within 1 minute per level of the target's death causes the corpse to explode in a 10-foot-radius burst, dealing 3d6 points of acid damage (Reflex half).</t>
  </si>
  <si>
    <t>Kill a weak creature and turn its corpse into an explosive trap.</t>
  </si>
  <si>
    <t>Blood Armor</t>
  </si>
  <si>
    <t>alchemist 2, bloodrager 2, sorcerer/wizard 2, summoner/unchained summoner 2, witch 2, psychic 2</t>
  </si>
  <si>
    <t>Your blood becomes as hard as iron upon contact with air.  Each time you take at least 5 points of piercing or slashing damage, your armor gains a +1 enhancement bonus to your AC. An outfit of regular clothing counts as armor that grants no AC bonus for the purpose of this spell. This enhancement bonus stacks with itself to a maximum enhancement bonus of +5. This spell has no effect while underwater or in environments that lack air.</t>
  </si>
  <si>
    <t>Your blood hardens when you are wounded, increasing your AC.</t>
  </si>
  <si>
    <t>Blood Sentinel</t>
  </si>
  <si>
    <t>alchemist 3, sorcerer/wizard 3</t>
  </si>
  <si>
    <t>V, S, M (a life-sized animal sculpture of a familiar made of clay, cloth, stone, or wood, plus mandrake root worth 25 gp)</t>
  </si>
  <si>
    <t>one animal sculpture</t>
  </si>
  <si>
    <t>After casting this spell, you pour a few drops of your blood and saliva into the mouth of the animal sculpture material component, temporarily giving it life. The animal is bonded to you as if it were a familiar, and it has the abilities of a familiar (use your caster level as your effective wizard level to determine its abilities), but it does not grant you the Alertness feat or the special ability of its animal type. If your blood sentinel is slain, you take 2 points of Intelligence drain and the blood sentinel's body becomes a destroyed statue. This spell has no effect if you already have a familiar or another blood sentinel.</t>
  </si>
  <si>
    <t>Animate an animal sculpture to be your temporary familiar.</t>
  </si>
  <si>
    <t>Blurred Movement</t>
  </si>
  <si>
    <t>alchemist 1, bard 1, bloodrager 1, magus 1, sorcerer/wizard 1, summoner/unchained summoner 1, occultist 1, psychic 1, mesmerist 1</t>
  </si>
  <si>
    <t>This spell functions as blur, except that the blurring occurs only when you move at least 10 feet on your turn and ceases at the end of your movement. It is therefore mainly used to thwart attacks on your turn, such as attacks of opportunity. If you move at least twice your speed on your turn, the blurring lasts until the start of your next turn.</t>
  </si>
  <si>
    <t>As blur, but only while you are moving.</t>
  </si>
  <si>
    <t>Body Capacitance</t>
  </si>
  <si>
    <t>alchemist 1, sorcerer/wizard 1</t>
  </si>
  <si>
    <t>V, S, M (an iron coil)</t>
  </si>
  <si>
    <t>If you take electricity damage while this spell is active, some of the energy is stored on your skin, as with holding the charge on a touch spell. You can release this stored electricity by making a melee touch attack. You gain a +3 bonus on the attack roll if your opponent is wearing metal armor, is carrying a metal weapon, or is made of metal. The target of your touch attack is dealt electricity damage equal to half the amount of electricity damage you took after you cast this spell (for example, if you saved for half damage against a lightning bolt and took only 15 points of electricity damage, your next touch attack deals 7 points of electricity damage). This spell is discharged once you hit with a melee touch attack to deliver its damage. If you take electricity damage multiple times while this spell is active, use the largest amount of electricity damage you took to determine your touch attack damage.</t>
  </si>
  <si>
    <t>Store electricity attacks used against you and release the energy as a touch attack.</t>
  </si>
  <si>
    <t>Bullet Ward</t>
  </si>
  <si>
    <t>antipaladin 2, bard 2, inquisitor 2, paladin 2, ranger 2, sorcerer/wizard 2, witch 2, psychic 2</t>
  </si>
  <si>
    <t>V, S, F (one to four adamantine bullets, each worth 61 gp)</t>
  </si>
  <si>
    <t>You toss several adamantine bullets into the air, which then hover protectively nearby and intercept firearm attacks targeting you. The number of bullets protecting you is equal to half your caster level (maximum 4). When an opponent takes a shot at you with a firearm, as an immediate action you can designate a hovering bullet to attempt to block the attack, increasing your AC against that attack by 10. Doing this destroys the adamantine bullet whether or not the attack hits. The spell is discharged when all affected adamantine bullets are destroyed or taken from you. Each adamantine bullet has AC 24, 20 hit points, and hardness 20.</t>
  </si>
  <si>
    <t>Adamantine bullets intercept firearm attacks.</t>
  </si>
  <si>
    <t>Buoyancy</t>
  </si>
  <si>
    <t>bard 2, shaman 2, sorcerer/wizard 2, witch 2, psychic 2</t>
  </si>
  <si>
    <t>one Medium or smaller object or creature/level, no two of which can be more than 20 ft. apart</t>
  </si>
  <si>
    <t>up to 1 round/level (see text)</t>
  </si>
  <si>
    <t>The affected targets become incredibly buoyant, floating naturally on any water at least 1 foot deep.  An affected creature that deliberately tries to submerge must succeed at a DC 20 Swim check every round to stay underwater. If a target spends at least 1 round on dry land, the spell ends for that creature only.</t>
  </si>
  <si>
    <t>Targets easily float on water.</t>
  </si>
  <si>
    <t>Chameleon Stride, Greater</t>
  </si>
  <si>
    <t>allies in a 10-ft.-radius emanation centered on you</t>
  </si>
  <si>
    <t>1 minute/level (see text)</t>
  </si>
  <si>
    <t>This spell functions as chameleon stride (Pathfinder RPG Advanced Player's Guide 210), except it confers its bonuses upon all allies within 10 feet of you at the time the spell is cast. Those affected by this spell are able to see each other and themselves as if they were unaffected by the spell. If an affected creature moves out of the area, it loses the benefit of the spell. Creatures that move into the area after the spell is cast do not gain its benefit.</t>
  </si>
  <si>
    <t>As chameleon strideAPG, but affecting all nearby creatures.</t>
  </si>
  <si>
    <t>Climbing Beanstalk</t>
  </si>
  <si>
    <t>5-ft. square of climbable beanstalks</t>
  </si>
  <si>
    <t>You cause a thick, sturdy beanstalk to sprout from the ground and grow upward to a height of 10 feet + 5 feet per 2 caster levels. The growing stalk anchors itself to sturdy objects such as walls or ceilings, and grows around objects that do not fully obstruct its square (such as tree branches), but is stopped by solid obstacles. The beanstalk provides numerous hand- and footholds; its climb DC 5. The beanstalk can support up to 200 pounds plus 50 pounds per caster level, or double that amount if anchored on its upper end. If it anchors itself to a sturdy mobile object (such as a ship or a siege engine), breaking the object free requires a DC 23 Strength check or cutting through the beanstalk (hardness 2, 40 hp).  If the ground is capable of supporting plant life, the beanstalk continues to live as a normal plant, and it produces nutritious (if unappetizing) beans. Otherwise, the plant dies after 1d6 hours; its husk remains as durable as a small tree.</t>
  </si>
  <si>
    <t>Create a beanstalk that is easy to climb.</t>
  </si>
  <si>
    <t>Companion Life Link</t>
  </si>
  <si>
    <t>druid 2, ranger 2, sorcerer/wizard 2, witch 2</t>
  </si>
  <si>
    <t>V, S, M/DF (a drop of eidolon ichor)</t>
  </si>
  <si>
    <t>one of your animal companions or your familiar</t>
  </si>
  <si>
    <t>You create a life link between yourself and the target.  You sense whenever the target is wounded and are made immediately aware if the target is slain. If you are wounded or slain, the target is made aware. As a free action, you can call out to the target, causing it to return to you (if able and willing); this ends the spell.</t>
  </si>
  <si>
    <t>Sense whenever your companion is wounded and call out to it in a time of need.</t>
  </si>
  <si>
    <t>Contingent Action</t>
  </si>
  <si>
    <t>bard 3, sorcerer/wizard 3, psychic 3</t>
  </si>
  <si>
    <t>1 minute/level (D) or until discharged</t>
  </si>
  <si>
    <t>The target gains an extra action that becomes available when a condition that you dictate is met. At the time of casting, you dictate the condition, and the target specifies a readied action that occurs when triggered by this condition.  The condition needed to trigger the readied action must be clear, although it can be general. If a complicated or convoluted condition is prescribed, the whole combination might fail when triggered. For example, suppose the trigger and the action are stated as "If the target is attacked while he is not holding a weapon, he draws a weapon." If the target has no weapon to draw when the trigger occurs, the action fails. If the trigger and the action are "If an ally within 20 feet falls unconscious, the target moves to a space adjacent to that ally" but the target is chained to a wall when the trigger occurs and can't reach the unconscious ally, the action fails.  The readied action must be a standard, a move, or a swift action, and it cannot be used to cast a spell or use a supernatural ability. This action counts as a readied action and doesn't count toward the number of actions the creature can take in a round. When the condition occurs, the target can decide not to use the readied action. Once the condition is triggered, the spell is discharged-whether or not the target uses the readied action or the action is successful.  This spell counts as a contingency spell for the purpose of having multiple contingent effects on a creature at the same time.</t>
  </si>
  <si>
    <t>Set the condition for triggering a target’s readied standard, move, or swift action.</t>
  </si>
  <si>
    <t>Contingent Scroll</t>
  </si>
  <si>
    <t>bard 4, sorcerer/wizard 4, occultist 4, psychic 4</t>
  </si>
  <si>
    <t>V, S, M (the scroll to be triggered; see text), F (a platinum quill worth 100 gp)</t>
  </si>
  <si>
    <t>10 minutes/level (D) or until discharged</t>
  </si>
  <si>
    <t>You transfer the power of a scroll to the target so that it comes into effect under some condition you dictate. Casting this spell destroys the scroll, but allows the spell in it to be triggered in a manner similar to the contingency spell. The spell on the scroll must be a spell on your spell list, it must affect the target of this spell (the target of this spell is considered the caster of the scroll), and its level must be no higher than one-fourth your caster level (maximum 5th level).  The writing on the scroll appears on the target's skin in any location you desire; this writing does not harm or interfere with the target in any way, and doesn't need to be on exposed skin to function. For example, you could make the writing appear under a target's clothing. The writing on the target's skin can be deciphered and identified as if it were the scroll it was copied from. Damaging the target has no effect on the stored spell, but effects such as erase that target magical writing can affect it.  The condition needed to bring the spell into effect must be clear, although it can be general. In all cases, this spell immediately brings into effect the scroll's spell, the latter being effectively cast instantaneously when the trigger occurs. If a complicated or convoluted condition is prescribed, the whole spell combination (the contingent scroll and the scroll's spell) might fail when triggered. The scroll's spell occurs based solely on the stated conditions, regardless of whether you want it occur to at that moment.  This spell counts as a contingency spell for the purpose of having multiple contingent effects on a creature at the same time.</t>
  </si>
  <si>
    <t>Transfer a scroll’s power to the target; the scroll is then triggered as contingency.</t>
  </si>
  <si>
    <t>Creeping Ice</t>
  </si>
  <si>
    <t>anchored plane of ice, up to one 10-ft. square/level</t>
  </si>
  <si>
    <t>This spell covers the floor, the ground, or some other calm horizontal surface (such as a placid lake or a gentle river) with a sheet of slowly growing ice. The initial sheet of ice cannot form in an area occupied by physical objects or creatures. Its surface must be smooth and unbroken when created. The ice is hard, strong, and opaque, and is 1 inch thick per caster level. The ice is strong enough to support the weight of a typical horse, making it possible for creatures to cross a body of water.  Each 10-foot square of ice has 3 hit points per inch of thickness. Creatures can hit the ice automatically. A section of ice whose hit points drop to 0 is destroyed, leaving an area of ice chunks, slush, and snow that counts as difficult terrain. If a creature tries to break through the ice with a single attack, the DC for the Strength check is 15 + your caster level.  Each round on your turn, the sheet of ice grows 1 foot in all directions except toward you. This growth is slow enough that any creature in the area has time to move out of the way or step onto the ice. If the growing ice completely covers a creature's square, the creature must choose whether it moves onto the sheet of ice, is knocked prone on the sheet of ice, or is bull rushed into an adjacent square.</t>
  </si>
  <si>
    <t>Sheet of ice slowly spreads outward on a horizontal surface.</t>
  </si>
  <si>
    <t>Crimson Confession</t>
  </si>
  <si>
    <t>sorcerer/wizard 2, witch 2, occultist 2, psychic 2</t>
  </si>
  <si>
    <t>object touched or up to 1 sq. ft.</t>
  </si>
  <si>
    <t>permanent and 1 hour/level (see text)</t>
  </si>
  <si>
    <t>You ward an object or an area with your personal rune or mark. You can choose for the writing to be visible or invisible, and it doesn't harm the material upon which it is placed. A detect magic spell causes an invisible mark to glow and be visible. If any creature other than you touches the warded object or area and fails a Fortitude save, its skin turns bright red for 1 hour per level. This coloring cannot be washed away, but it can be dispelled.  See invisibility, true seeing, a gem of seeing, or a robe of eyes likewise allows the user to see an invisible mark. A read magic spell reveals the words, if any. The ward cannot be dispelled, but it can be removed by the caster or by an erase spell.</t>
  </si>
  <si>
    <t>Touching the marked object or area turns one’s skin red.</t>
  </si>
  <si>
    <t>Curse Of Burning Sleep</t>
  </si>
  <si>
    <t>shaman 4, sorcerer/wizard 4, witch 4, psychic 4</t>
  </si>
  <si>
    <t>V, S, M (a feather and a drop of oil)</t>
  </si>
  <si>
    <t>permanent until triggered (see text)</t>
  </si>
  <si>
    <t>You place a curse upon the target that triggers 1 hour after the next time it falls asleep. When the curse is triggered, the creature bursts into flame, taking 1d6 points of fire damage per 2 caster levels (maximum 8d6). Furthermore, it catches on fire, taking 2d6 points of fire damage per round at the end of its turn each round until the creature dies or is quenched as normal (Core Rulebook 444). If the target is still asleep, the fire damage from this spell wakes it.  Only one of these spells can be in place on a creature at any time. This has no effect on creatures that don't sleep.</t>
  </si>
  <si>
    <t>Creature catches fire the next time it sleeps for an hour.</t>
  </si>
  <si>
    <t>Dimensional Bounce</t>
  </si>
  <si>
    <t>sorcerer/wizard 7, summoner/unchained summoner 6, witch 7, psychic 7</t>
  </si>
  <si>
    <t>You designate two locations within range and create a dimensional link between them; you must have line of effect to both locations when casting this spell. As a swift action, you can teleport from your current location to either of the designated locations as if you had cast dimension door. The spell is discharged once you have used it to teleport a number of times equal to one-fourth your caster level (maximum 5 times).</t>
  </si>
  <si>
    <t>Teleport multiple times between two designated locations.</t>
  </si>
  <si>
    <t>Disable Construct</t>
  </si>
  <si>
    <t>alchemist 3, sorcerer/wizard 3, witch 3</t>
  </si>
  <si>
    <t>You can make a melee touch attack to send a pulse into the target, interfering with the magic that endows it with life. If the construct fails its saving throw, it becomes helpless, but it receives a new save each round at the end of its turn to shake off the effect. If the construct is normally immune to magic, the pulse is less effective and the construct receives a +4 bonus on its saving throw.</t>
  </si>
  <si>
    <t>Touch attack makes a construct helpless for 1 round/level.</t>
  </si>
  <si>
    <t>Discern Next Of Kin</t>
  </si>
  <si>
    <t>bard 1, shaman 1, sorcerer/wizard 1, witch 1, occultist 1, psychic 1, mesmerist 1, spiritualist 1, medium 1</t>
  </si>
  <si>
    <t>V, S, F (a copper piece)</t>
  </si>
  <si>
    <t>You can scan the thoughts of one individual and learn the names and locations of the target's living relatives, as well as the attitude of the target toward those relatives (and vice versa). You learn about one relative per round you concentrate on the target. For example, you might learn that the target's father's name is Jarn, the father lives on a nearby farm, and the target and his father don't get along.  Since this spell reads the target's mind, you can learn only what the target knows or believes.</t>
  </si>
  <si>
    <t>Read the target’s mind to learn about its family.</t>
  </si>
  <si>
    <t>Disguise Weapon</t>
  </si>
  <si>
    <t>bard 1, magus 1, sorcerer/wizard 1, witch 1, psychic 1, mesmerist 1, medium 1</t>
  </si>
  <si>
    <t>manufactured weapon touched</t>
  </si>
  <si>
    <t>You make one manufactured weapon look like a different manufactured weapon of the same size and relative encumbrance (light, one-handed, or two-handed). For example, you could make a Small greatsword look like a Small quarterstaff, a Medium club, or a Large dagger. Even the appearance of an improvised weapon is possible. The extent of the apparent change is up to you. You could add or obscure a minor feature or make the item look like it is composed of different materials (stone, wood, adamantine, and so on). The spell does not provide any of the abilities of the chosen form, nor does it alter the perceived tactile or audible properties of the item or how it is wielded. A creature that interacts with the glamer may attempt a Will save to recognize it as an illusion.</t>
  </si>
  <si>
    <t>Changes one weapon’s appearance.</t>
  </si>
  <si>
    <t>Enchantment Foil</t>
  </si>
  <si>
    <t>alchemist 4, cleric/oracle 4, inquisitor 4, sorcerer/wizard 4, witch 4, occultist 4, psychic 4, mesmerist 3</t>
  </si>
  <si>
    <t>1 hour/level (see text)</t>
  </si>
  <si>
    <t>You gain a +4 bonus on saving throws against enchantment effects. If you succeed at a save against an enchantment effect, you identify the effect as if you had succeeded at a Spellcraft check to do so. Furthermore, you can choose to act as if you had failed your saving throw. If you do so, you gain a +20 bonus on Bluff checks to convince others that you failed your save and are under the enchantment's effects. A creature that attempts to use magic to detect this ruse or to make you speak truthfully about it must succeed at a caster level check (DC 15 + your caster level) to do so.</t>
  </si>
  <si>
    <t>Trick opponents who try to cast enchantments on you.</t>
  </si>
  <si>
    <t>Enemy Insight</t>
  </si>
  <si>
    <t>you plus one willing creature/3 levels, no two of which can be more than 30 ft. apart</t>
  </si>
  <si>
    <t>You forge a mental bond between yourself and the other targets, each of which must have an Intelligence score of 3 or higher. Choose one of your favored enemy types (such as goblinoids or magical beasts). You grant the targets half your favored enemy bonus against that type of creature. If any target moves out of range, the spell ends for it.</t>
  </si>
  <si>
    <t>Grant others a bonus against your favored enemies.</t>
  </si>
  <si>
    <t>Euphoric Cloud</t>
  </si>
  <si>
    <t>druid 2, magus 2, sorcerer/wizard 2, witch 2, psychic 2, mesmerist 2</t>
  </si>
  <si>
    <t>V, S, M (rare mushrooms worth 5 gp)</t>
  </si>
  <si>
    <t>You create a bank of fog similar to that created by fog cloud except its vapors are intoxicating. Living creatures in the cloud become fascinated. This condition lasts as long as a creature is in the cloud and for 1d4+1 rounds after it leaves.  Any creature that succeeds at its save but remains in the cloud must continue to save each round on your turn.</t>
  </si>
  <si>
    <t>Fog obscures vision and fascinates living creatures.</t>
  </si>
  <si>
    <t>Extreme Flexibility</t>
  </si>
  <si>
    <t>alchemist 2, bloodrager 2, magus 2, sorcerer/wizard 2, witch 2, psychic 2, medium 2</t>
  </si>
  <si>
    <t>You gain a +1 dodge bonus to AC, a +4 circumstance bonus on Escape Artist checks and combat maneuver checks to escape a grapple, and a +4 circumstance bonus to your CMD against grapple attempts.</t>
  </si>
  <si>
    <t>Gain a bonus to AC, on Escape Artist checks, and when grappling.</t>
  </si>
  <si>
    <t>Eyes Of The Void</t>
  </si>
  <si>
    <t>alchemist 4, antipaladin 4, sorcerer/wizard 4, psychic 4</t>
  </si>
  <si>
    <t>V, S, M (a pinch of dried carrot or an agate)</t>
  </si>
  <si>
    <t>You gain darkvision, the ability to see 60 feet even in total darkness, including that created by deeper darkness.  Darkvision is black-and-white only, but otherwise like normal sight. While affected, your eyes turn completely black (but appear white to anyone viewing you with darkvision).</t>
  </si>
  <si>
    <t>See 60 ft. in darkness, including magical darkness.</t>
  </si>
  <si>
    <t>Fairy Ring Retreat</t>
  </si>
  <si>
    <t>druid 7, shaman 7, witch 7</t>
  </si>
  <si>
    <t>extradimensional meadow, up to three 10-ft. cubes/level (S)</t>
  </si>
  <si>
    <t>You conjure up an extradimensional meadow that can be accessed from a single entrance on the plane from which the spell was cast. The entry point looks like a circle of toadstools enclosing a 10-foot square. Only those you designate can enter the meadow before you do, and the portal is shut and made invisible behind you when you enter. You can open it again from your own side at will. Once a visitor has passed through the entry point, they find themselves in an idyllic twilight meadow surrounded by an impassable grove of fruit and nut trees. The atmosphere is clean, fresh, and warm.  You can configure the meadow into any shape you desire, to the limit of the spell's effect. The place is comfortable and temperate. The trees can provide enough food to sustain 4 people per caster level for a day. A staff of near-transparent animal or feylike servants (as many as two per caster level) wait upon all who enter. The servants function as unseen servant spells except that they are visible and can go anywhere in the meadow.  Since the place can be entered only through its special portal, outside conditions do not affect the meadow, nor do conditions inside it pass to the plane beyond.</t>
  </si>
  <si>
    <t>Toadstool circle leads to an extradimensional meadow.</t>
  </si>
  <si>
    <t>Familiar Double</t>
  </si>
  <si>
    <t>witch 7</t>
  </si>
  <si>
    <t>This spell functions as project image, except the image appears in your familiar's square and moves when your familiar moves.</t>
  </si>
  <si>
    <t>As project image, but the image follows your familiar.</t>
  </si>
  <si>
    <t>Feast On Fear</t>
  </si>
  <si>
    <t>bard 4, shaman 5, sorcerer/wizard 5, witch 5, psychic 5, mesmerist 4, spiritualist 5</t>
  </si>
  <si>
    <t>one or more living creatures (see text)</t>
  </si>
  <si>
    <t>Each round, as a standard action, you can target a single living creature of up to 9 HD and strike it with terrifying waves of power. If the target fails its saving throw,  it becomes panicked for 1d4 rounds, and you gain 5 temporary hit points (which disappear after 1 hour). After the panic ends, the creature remains shaken for 10 minutes per caster level, and it automatically becomes panicked again if it comes within sight of you during that time.  These temporary hit points stack if they come from different creatures.</t>
  </si>
  <si>
    <t>Targets are panicked, and you gain temporary hit points.</t>
  </si>
  <si>
    <t>Flaming Sphere, Greater</t>
  </si>
  <si>
    <t>bloodrager 4, druid 4, magus 4, sorcerer/wizard 4, occultist 4</t>
  </si>
  <si>
    <t>This spell functions as flaming sphere, except that it deals 6d6 points of fire damage to any creature it strikes.  Any creature that fails its save against the sphere catches on fire (see page 444 of the Core Rulebook). If a creature catches on fire, the DC to extinguish the flames is equal to the DC of this spell.</t>
  </si>
  <si>
    <t>Rolling ball of fire deals 6d6 fire damage and ignites targets.</t>
  </si>
  <si>
    <t>Summer (8)</t>
  </si>
  <si>
    <t>Flexible Fury</t>
  </si>
  <si>
    <t>You swap one of your current rage powers for another rage power you qualify for. If the rage power granted by this spell has a use limitation (such as once per rage or a number of times per day), any uses of that rage power count toward that limit (including for later castings of this spell).  If you swap out a rage power that is required to qualify for another one of your rage powers, you cannot use any rage powers dependent on the one you swapped out until the spell ends. For example, if you have the intimidating glare and terrifying howl rage powers and you swap out intimidating glare for surprise accuracy, you cannot use terrifying howl until the spell ends.</t>
  </si>
  <si>
    <t>Swap one rage power for another.</t>
  </si>
  <si>
    <t>Focused Scrutiny</t>
  </si>
  <si>
    <t>alchemist 2, bard 2, inquisitor 2, shaman 2, psychic 2, mesmerist 2, medium 2</t>
  </si>
  <si>
    <t>You gain heightened sensitivity to the mannerisms, reactions, and body language of one creature you can perceive, allowing you to sense its state of mind and easily influence it. You gain a +10 bonus on Perception, Sense Motive, and Survival checks attempted against the target creature, as well as a +5 bonus on Diplomacy and Intimidate checks attempted against it.</t>
  </si>
  <si>
    <t>Gain skill bonuses when interacting with the target.</t>
  </si>
  <si>
    <t>Font Of Spirit Magic</t>
  </si>
  <si>
    <t>shaman 3</t>
  </si>
  <si>
    <t>V, S, M (gold dust worth 50 gp)</t>
  </si>
  <si>
    <t>You amplify the effect of magic associated with your spirit and your wandering spirit (any spells on the spirit magic spell lists for these spirits). When allies within the area cast these spells, they gain a +2 bonus on caster level checks and  concentration checks, as well as to spell DCs. This bonus is a sacred bonus if you are good-aligned or a profane bonus if you are evil-aligned; if you are neither good nor evil, you can choose what type of bonus the spell grants when you cast it.</t>
  </si>
  <si>
    <t>When allies cast your spirit’s spells, they gain other bonuses.</t>
  </si>
  <si>
    <t>Gentle Breeze</t>
  </si>
  <si>
    <t>druid 1, shaman 1, sorcerer/wizard 1, witch 1</t>
  </si>
  <si>
    <t>You create a light wind that blows only against the target, from a direction of your choice. The breeze grants the target a +2 circumstance bonus on saves against very hot conditions, severe heat, and saves against clouds, vapors, and gases (such as cloudkill, stinking cloud, and inhaled poisons). There must be air present to use this spell.</t>
  </si>
  <si>
    <t>Light wind protects one target from clouds, gases, heat, and vapors.</t>
  </si>
  <si>
    <t>Glue Seal</t>
  </si>
  <si>
    <t>bard 1, magus 1, sorcerer/wizard 1, summoner/unchained summoner 1, psychic 1</t>
  </si>
  <si>
    <t>one object or one 5-ft. square</t>
  </si>
  <si>
    <t>You cover a solid surface with a layer of sticky glue. Anyone in the area when the spell is cast must attempt a Reflex save. Those who fail become entangled, but can break free by succeeding at a combat maneuver check or an Escape Artist check as a standard action against the DC of this spell. The area of the spell is considered difficult terrain. A creature moving through the glue must succeed at a combat maneuver check or an Escape Artist check as part of its move action (DC = the spell's DC). Creatures that fail lose their movement and become entangled in the first square they enter.  The spell can also be used to create a sticky coating on an item. A creature holding a targeted item can attempt a Reflex saving throw against the spell's DC. If the initial saving throw succeeds, the item is unaffected. If it fails, the item is stuck in place. If an affected item is connected to another item (such as a sword in a sheath or a cork in a potion bottle), it cannot be separated from the other item unless the creature succeeds at a combat maneuver check or a Strength check as a move action to free it (DC = the spell's DC). A creature must succeed at saving throw each time it attempts to use the sticky item; otherwise, the item becomes stuck to the creature. Sticky armor or clothing imposes a -10 circumstance penalty on Escape Artist checks and combat maneuver checks to escape a grapple attempted by the wearer, as well as to the wearer's CMD to avoid being grappled.</t>
  </si>
  <si>
    <t>Makes one 5-ft. square or one object sticky.</t>
  </si>
  <si>
    <t>Guardian Of Faith</t>
  </si>
  <si>
    <t>The target gains the benefit of shield of faith and your choice of protection from chaos, evil, good, or law. As a move action, the target can transfer this spell to a touched ally, who becomes the new target of the spell.  The alignment descriptor of this spell matches the alignment descriptor of the protection spell you chose when casting it. For example, granting the target protection from evil gives this spell the good descriptor.</t>
  </si>
  <si>
    <t>Target is protected by shield of faith and a protection spell, and can transfer the effects to another creature.</t>
  </si>
  <si>
    <t>Heart Of The Metal</t>
  </si>
  <si>
    <t>V, S, M (a chunk of adamantine worth 100 gp, or a chunk of cold iron or silver worth 20 gp)</t>
  </si>
  <si>
    <t>one weapon per level</t>
  </si>
  <si>
    <t>You lend the nature of adamantine, cold iron, or silver to the targeted weapons, depending on which component you used, with the following effects.  Adamantine: The weapons overcome DR/adamantine and ignore hardness of less than 20.  Cold Iron: The weapons overcome DR/cold iron.  Silver: The weapons overcome DR/silver.  No other advantages or disadvantages of these metal types apply. For example, a weapon given the nature of adamantine is not automatically masterwork.  This spell can affect nonmetal weapons. If you grant the target weapons the property of cold iron, the spell lasts half as long as normal.</t>
  </si>
  <si>
    <t>Enable weapons to overcome DR like adamantine, cold iron, or silver.</t>
  </si>
  <si>
    <t>Heightened Awareness</t>
  </si>
  <si>
    <t>alchemist 1, bard 1, druid 1, inquisitor 1, ranger 1, shaman 1, sorcerer/wizard 1, occultist 1, psychic 1, mesmerist 1, medium 1</t>
  </si>
  <si>
    <t>V, M/DF (a coffee bean)</t>
  </si>
  <si>
    <t>You enter a heightened state of awareness that allows you to notice more about your surroundings and recall information effortlessly. You gain a +2 competence bonus on Perception checks and on all Knowledge checks that you are trained in.  If this spell is active when you have to make an initiative check, you can instantly dismiss this spell and gain a +4 bonus on that check.</t>
  </si>
  <si>
    <t>Your recall and ability to process information improve.</t>
  </si>
  <si>
    <t>Heightened Reflexes</t>
  </si>
  <si>
    <t>allies within a 30-ft.-radius burst centered on you</t>
  </si>
  <si>
    <t>You grant each of your allies within the area a +10 competence bonus on a single Reflex saving throw. Each ally must decide whether to use the bonus before making the roll to which it applies. When an ally uses the bonus, the spell ends for that individual.</t>
  </si>
  <si>
    <t>Each ally in area gains a +10 bonus on one Reflex save.</t>
  </si>
  <si>
    <t>Hex Glyph</t>
  </si>
  <si>
    <t>shaman 3, witch 3</t>
  </si>
  <si>
    <t>This spell functions like the spell glyph version of glyph of warding, except you can store a hex you know (but not a major hex or a grand hex) instead of a spell. If the hex has a target, it targets the intruder. If the hex has an area or an amorphous effect, the area or effect is centered on the intruder. The triggered hex uses this spell's caster level and DC.  Read magic allows its caster to identify a hex glyph with a successful DC 13 Knowledge (arcana) check. Identifying the glyph does not discharge it and indicates that it stores a hex, but does not indicate the effect of that hex.</t>
  </si>
  <si>
    <t>Inscription casts your hex on those who pass it.</t>
  </si>
  <si>
    <t>Hex Glyph, Greater</t>
  </si>
  <si>
    <t>shaman 5, witch 5</t>
  </si>
  <si>
    <t>V, S, M (powdered diamond worth 400 gp)</t>
  </si>
  <si>
    <t>This spell functions as hex glyph, except you can store a hex or a major hex (but not a grand hex). You trace the glyph with incense, which must first be sprinkled with powdered diamond (as noted in the material line).  Read magic allows its caster to identify a greater hex glyph with a DC 16 Spellcraft check.</t>
  </si>
  <si>
    <t>Inscription casts your hex or major hex on those who pass it.</t>
  </si>
  <si>
    <t>Hex Vulnerability</t>
  </si>
  <si>
    <t>shaman 1, witch 1</t>
  </si>
  <si>
    <t>The targeted creature becomes susceptible to a repeat use of your harmful hexes, even if you could not otherwise target that creature with a particular hex for a certain time period. For example, normally after you target a creature with a charm hex, you cannot target it again for 1 day. But after casting this spell on a creature, you could try the charm hex repeatedly as long as the spell persists. The end of this spell has no effect on any active or ongoing hex on a creature. Fox example, if the creature failed its save against a second use of your charm hex, it remains charmed for the normal duration, even if the spell expires before the hex does.  Each subsequent casting of this spell on a target within a 24-hour period gives the target a +4 bonus on its save against the spell and imposes a -4 penalty on your caster level check to overcome the target's spell resistance with this spell.</t>
  </si>
  <si>
    <t>Reuse a hex on a specific target.</t>
  </si>
  <si>
    <t>Holy Ice Weapon</t>
  </si>
  <si>
    <t>V, S, M (a flask of holy water, or 5 pounds of powdered silver worth 25 gp)</t>
  </si>
  <si>
    <t>one ice weapon</t>
  </si>
  <si>
    <t>You create a masterwork weapon that has the qualities of ice and holy water. This weapon must be a simple weapon or your deity's favored weapon. The weapon deals normal damage for a weapon of that type, plus 1 point of cold damage per caster level (maximum 10). In addition, any creature struck by the weapon is also hit by holy water, dealing 1d4 points of damage if the creature is susceptible to holy water. If the weapon leaves your hands for more than 1 round, it melts and the spell ends.  At caster level 6th, the weapon gains the returning weapon special ability when thrown, melting away after an attack and re-forming in your hand just before your next turn.</t>
  </si>
  <si>
    <t>Create a masterwork weapon made of frozen holy water.</t>
  </si>
  <si>
    <t>Investigative Mind</t>
  </si>
  <si>
    <t>alchemist 2, bard 2, sorcerer/wizard 2, witch 2, occultist 2, psychic 2, mesmerist 2, medium 2</t>
  </si>
  <si>
    <t>Your mind is able to correlate information effectively. When attempting an Appraise, Knowledge, Linguistics, or Spellcraft check, you can roll twice and take the higher result. If you have an ability that allows you to roll twice, you cannot use that ability and this benefit on the same roll.  The spell is discharged once you have used its benefit a number of times equal to your caster level.</t>
  </si>
  <si>
    <t>Roll twice and take the higher roll when using certain mental skills.</t>
  </si>
  <si>
    <t>Invisibility Alarm</t>
  </si>
  <si>
    <t>alchemist 1, bard 1, inquisitor 1, ranger 1, sorcerer/wizard 1, psychic 1</t>
  </si>
  <si>
    <t>This spell functions as alarm, except it is triggered only by invisible creatures entering or leaving the warded area.  The spell has a different mental alarm depending on whether the invisible creature is entering or leaving the area. This spell does not aid you in sensing or pinpointing the location of an invisible creature within the spell's area.  Invisibility alarm can be made permanent with a permanency spell by a caster of 9th level or higher at a cost of 2,500 gp.</t>
  </si>
  <si>
    <t>As alarm, but reacting only to invisible creatures.</t>
  </si>
  <si>
    <t>Life Pact</t>
  </si>
  <si>
    <t>cleric/oracle 2, shaman 2, sorcerer/wizard 2, witch 2, psychic 2, spiritualist 2</t>
  </si>
  <si>
    <t>V, S, DF/M (a drop of blood from each target)</t>
  </si>
  <si>
    <t>one willing living creature/level, no two of which can be more than 30 ft. apart</t>
  </si>
  <si>
    <t>You bind the life forces of the targets into a mystical pact. If any target is reduced to fewer than 0 hit points, that target automatically triggers the power of the pact. The triggering target drains 1 hit point from all other targets that have at least 1 hit point and are within 30 feet of the triggering target; these hit points are applied to the triggering target as magical healing. This healing can prevent the triggering creature from dying, if the attack would cause the target to have a number of negative hit points equal to its Constitution score. This healing cannot raise the triggering creature above 1 hit point; any excess hit points drained from other targets are wasted.  The pact can be triggered once per round. It's not triggered by death effects or effects that do not deal hit point damage.</t>
  </si>
  <si>
    <t>Affected creatures automatically donate hp to stabilize fallen ally.</t>
  </si>
  <si>
    <t>Line In The Sand</t>
  </si>
  <si>
    <t>bloodrager 1, magus 1, sorcerer/wizard 1</t>
  </si>
  <si>
    <t>5-ft. burst centered on you</t>
  </si>
  <si>
    <t>You create a glowing crimson line around the area. Against creatures in the area, you can attempt a number of additional attacks of opportunity per round equal to your spellcasting ability score modifier (Intelligence for magi and wizards, Charisma for bloodragers and sorcerers). The spell does not allow you to make more than one attack against a creature for each action it takes that provokes such attacks.</t>
  </si>
  <si>
    <t>Increase your attacks of opportunity per round.</t>
  </si>
  <si>
    <t>Long Arm</t>
  </si>
  <si>
    <t>alchemist 1, bloodrager 1, magus 1, sorcerer/wizard 1, summoner/unchained summoner 1, witch 1, psychic 1, medium 1</t>
  </si>
  <si>
    <t>Your arms temporarily grow in length, increasing your reach with those limbs by 5 feet.</t>
  </si>
  <si>
    <t>Your arms lengthen, giving you extra reach.</t>
  </si>
  <si>
    <t>Longstrider, Greater</t>
  </si>
  <si>
    <t>This functions as longstrider, except it gives you a +20-foot enhancement bonus to your base speed and a +10-foot enhancement bonus to your other modes of movement (burrow, climb, fly, swim, and so on). It does not affect movement modes you do not actually have-for example, if you do not have a swim speed, this spell does not grant you a swim speed.</t>
  </si>
  <si>
    <t>As longstrider, plus the speeds of other movement modes increase.</t>
  </si>
  <si>
    <t>Magnifying Chime</t>
  </si>
  <si>
    <t>Effect disruptive vibrations   one unattended object or object in your possession</t>
  </si>
  <si>
    <t>You cause the touched object to vibrate and release sonic energy once per round as a loud, dangerous chime. The sound grows in strength as time passes. On your turn in the round after you cast the spell, the chime deals 1d6 points of sonic damage to all creatures and objects within 5 feet of the target. Each round after that, the damage increases by 1d6 and reaches 5 feet farther in all directions. A successful Fortitude save halves the damage for that round only.</t>
  </si>
  <si>
    <t>Touched object deals increasing sonic damage each round.</t>
  </si>
  <si>
    <t>Mantle Of Calm</t>
  </si>
  <si>
    <t>cleric/oracle 3, inquisitor 3, paladin 3, shaman 3, psychic 3, mesmerist 2</t>
  </si>
  <si>
    <t>none and Will negates (see text)</t>
  </si>
  <si>
    <t>no and yes (see text)</t>
  </si>
  <si>
    <t>You surround yourself with a mantle of calm serenity. You take a -2 penalty on attack rolls, and opponents gain a +2 bonus on saving throws against spells you cast. Any creature affected by a rage effect (barbarian's rage,  bloodrager's bloodrage, blood rage monster ability, rage spell, skald's inspired rage raging song, and so on) that strikes you with a melee attack must attempt a Will saving throw, without the rage effect's bonus to Will; failure means the rage effect ends (as if it were dispelled or the creature voluntarily ended it, as appropriate).  If you become affected by a rage effect while this spell is active, this spell immediately ends. If your rage effect comes from a skald's raging song, then it ends only for you, and you cannot regain the effects of the song.</t>
  </si>
  <si>
    <t>Neutralize the rage effects of those who have attacked you.</t>
  </si>
  <si>
    <t>Marching Chant</t>
  </si>
  <si>
    <t>You invigorate your allies, who can hustle (Core Rulebook 170) as long as you continue to sing or chant (which requires your concentration). This movement counts as a walk (not a hustle) for the purpose of accruing nonlethal damage and fatigue. You can concentrate on this spell and hustle at the same time.</t>
  </si>
  <si>
    <t>Allies can hustle without penalty while you sing or chant.</t>
  </si>
  <si>
    <t>Mark Of Obvious Ethics</t>
  </si>
  <si>
    <t>You mark one creature with a glowing sigil. The target's alignment must be opposite yours on at least one alignment axis-if you are neutral with no other alignment components, the target must have an alignment with no neutral component. Any creature that sees the target can attempt a DC 15 Knowledge (religion) check to discern the target's alignment, even if the mark is covered. You are aware of the direction and distance to the target as long as it remains within 100 miles of you and on the same plane.</t>
  </si>
  <si>
    <t>Other creatures can determine the target’s alignment.</t>
  </si>
  <si>
    <t>Memorize Page</t>
  </si>
  <si>
    <t>V, S, F (the page to be memorized)</t>
  </si>
  <si>
    <t>The target gains a perfect memory of the page you used as a focus component. The target can visualize this page as easily as looking at it in person, including minute details visible to close scrutiny by the naked eye. The memory of the page includes text and images, such as a drawing or a map. Someone unfamiliar with the language on the page (or even an illiterate person) could relay what is written simply by copying the shapes of the letters so another person can read them.  The maximum number of pages that a particular target can memorize through repeated castings of this spell is equal to the target's Intelligence modifier (minimum 1); any attempts beyond this limit have no effect, although the target's memory of a page could be erased (using modify memory or a similar effect) to effectively make room for a different one.  A creature that memorizes magical writing (such as a scroll or a page from a spellbook) cannot borrow, duplicate, or retain any of the magic in the writing. However, this would allow a wizard to copy a spell into his spellbook so he could prepare the spell from his book (assuming the spell takes up only one page in a spellbook).</t>
  </si>
  <si>
    <t>Target perfectly memorizes one page of information.</t>
  </si>
  <si>
    <t>Mindlocked Messenger</t>
  </si>
  <si>
    <t>bard 2, shaman 3, sorcerer/wizard 3, witch 3, psychic 3, mesmerist 2, spiritualist 3</t>
  </si>
  <si>
    <t>one willing living creature</t>
  </si>
  <si>
    <t>You speak a short message (up to 10 words per caster level), implanting both it and the identity of the message's intended recipient in the mind of a willing creature. The creature is aware of the message and who the recipient is.  Any attempt to speak, write, or otherwise communicate the message to anyone other than its intended recipient causes the target to forget the message for 1d6 minutes. Attempts to read the target's mind (such as with detect thoughts) or to force the target to reveal the message (such as with torture or magical compulsion) likewise cause temporary amnesia regarding the message.  The target can communicate the message only to someone it believes is the intended recipient, which means that disguises, illusions, and polymorph effects might fool the target into delivering the message. Once the target communicates the message, the message is permanently erased from the target's memory.</t>
  </si>
  <si>
    <t>Target gains a message that can be given only to its intended recipient.</t>
  </si>
  <si>
    <t>Mirror Hideaway</t>
  </si>
  <si>
    <t>V, S, M (a glass or metal marble and a twisted loop of parchment)</t>
  </si>
  <si>
    <t>one mirror</t>
  </si>
  <si>
    <t>You transform a mirror into a portal to an extradimensional space. The space can hold as many as eight Medium creatures. Creatures that enter this space are hidden and beyond the reach of spells (including divinations), unless those spells work across planes. If the mirror is covered (such as by a cloth, or by being placed face down or against a wall), the portal becomes inactive. If the mirror is broken or moved more than 5 feet from where it was when you cast the spell, the spell ends; any creatures within the extradimensional space are expelled from it (see below) and become nauseated for 1d6 rounds.  Spells cannot be cast across the extradimensional interface, nor can area effects cross it. Those in the space can see and hear through it as if looking through an open window the same size as the mirror. Creatures outside the extradimensional space see only what is normally reflected in the mirror. Any creature in the space can make itself visible in the reflection of the mirror for 1 round at a time, however creatures outside the space cannot hear any sounds that originate inside.  Anything inside the extradimensional space is expelled when the spell ends (even if the mirror is covered). Only one creature at a time can enter the mirror, and creatures can enter only if they can fit through an opening the same size as the mirror. For example, a hand mirror isn't big enough for a Small or larger creature to use it as a portal.  Objects can enter the extradimensional space only if brought by a creature able to fully pass through the mirror.</t>
  </si>
  <si>
    <t>As many as eight creatures hide in an extradimensional space.</t>
  </si>
  <si>
    <t>Mirror Polish</t>
  </si>
  <si>
    <t>sorcerer/wizard 1, witch 1, occultist 1</t>
  </si>
  <si>
    <t>V, S, M (a soft cloth)</t>
  </si>
  <si>
    <t>one metal item of up to 1 sq. ft.</t>
  </si>
  <si>
    <t>You polish a metal item until it is reflective enough to be used as a mirror. This does not prevent the item from later damage or corrosion that would ruin the mirrored surface.  The spell can be cast only on a metal item with a fairly smooth and contiguous surface, such as a breastplate, a helm, a shield, or a sword, but not a mace, chainmail, or scale mail.</t>
  </si>
  <si>
    <t>Polish a metal item until it’s usable as a mirror.</t>
  </si>
  <si>
    <t>Mirror Transport</t>
  </si>
  <si>
    <t>sorcerer/wizard 4, witch 4, occultist 4, psychic 4, spiritualist 4</t>
  </si>
  <si>
    <t>This spell functions as mirror hideaway, except any creature that enters the target mirror can spend a swift action to exit through another mirror within 500 feet as if using dimension door; this is a one-way transport. The creature can exit through a mirror only if it could fit through an opening the same size as the mirror. Each transport through the target mirror reduces the spell's duration by 1 hour.</t>
  </si>
  <si>
    <t>Mirror becomes a multiple-use dimension door.</t>
  </si>
  <si>
    <t>Molten Orb</t>
  </si>
  <si>
    <t>bloodrager 2, magus 2, sorcerer/wizard 2, witch 2</t>
  </si>
  <si>
    <t>You create a fist-sized, red-hot ball of molten metal that you immediately hurl as a splash weapon. A direct hit deals 2d6 points of fire damage. Every creature within 5 feet of where the ball hits takes 1d6 points of fire damage from the splash (Reflex half). Each of these creatures takes an additional 1d6 points of fire damage on its turn for the next 1d3 rounds, unless it is cooled off (with water, snow, or any effect that deals 5 or more points of cold damage).</t>
  </si>
  <si>
    <t>Molten metal splash weapon deals 2d6 fire damage plus ongoing damage.</t>
  </si>
  <si>
    <t>Monkey Fish</t>
  </si>
  <si>
    <t>alchemist 1, druid 1, magus 1, shaman 1, sorcerer/wizard 1, psychic 1</t>
  </si>
  <si>
    <t>Your hands and feet alter to make you better at climbing and swimming. You gain a 10 foot climb speed and swim speed. This spell has no effect if you are wearing medium or heavy armor or carrying a medium or heavy load.</t>
  </si>
  <si>
    <t>Gain a climb speed of 10 ft. and a swim speed of 10 ft. for a time.</t>
  </si>
  <si>
    <t>Muffle Sound</t>
  </si>
  <si>
    <t>bard 2, cleric/oracle 2, inquisitor 2, psychic 2, mesmerist 2</t>
  </si>
  <si>
    <t>1 ally/level</t>
  </si>
  <si>
    <t>You suppress sounds made by the targets, granting them a +4 bonus on Stealth checks. The targets have a 20% chance of spell failure when casting spells with verbal components or using abilities that have audible components (such as some bardic performances). This spell does not hamper the targets' ability to hear other sounds and provides no protection against language-dependent or sonic spells and effects.</t>
  </si>
  <si>
    <t>Allies gain a bonus on Stealth checks but risk verbal spell failure.</t>
  </si>
  <si>
    <t>Nauseating Dart</t>
  </si>
  <si>
    <t>one poisonous stinger</t>
  </si>
  <si>
    <t>You spit a poisonous stinger around the size of a quill at a creature within range, as though you had fired a dart from a blowgun. You must succeed at a ranged attack to hit your target. The stinger deals 1d2 points of piercing damage and poisons the target, causing it to become nauseated for 1 round unless it succeeds at a Fortitude save.</t>
  </si>
  <si>
    <t>Poisonous stinger deals 1d2 damage and sickens target.</t>
  </si>
  <si>
    <t>Nauseating Trail</t>
  </si>
  <si>
    <t>alchemist 3, druid 3, magus 3, shaman 3, sorcerer/wizard 3, witch 3</t>
  </si>
  <si>
    <t>none and Fortitude negates (see text)</t>
  </si>
  <si>
    <t>The target exudes stinking vapors that fill its space. The vapors do not obscure sight, but it nauseates creatures as stinking cloud. The target is immune to these vapors. These vapors persist as the creature moves, filling every square it passes through until it has filled a number of squares equal to 4 x your caster level-if you move through more squares than that, squares in excess of that number at not filled with the vapors. Each creature that enters or ends its turn in the area filled with these vapors must succeed at a Fortitude save or become nauseated for as long as it remains in the square and for 1d4+1 rounds after it leaves.</t>
  </si>
  <si>
    <t>Creature leaves a trail of stinking cloud squares.</t>
  </si>
  <si>
    <t>Path Of Glory</t>
  </si>
  <si>
    <t>touch (see text)</t>
  </si>
  <si>
    <t>four 5-ft. squares/level (see text)</t>
  </si>
  <si>
    <t>You cause four 5-foot squares (one of which must be your space) to glow with dim illumination. Starting on your next turn, as a swift action you can extend the glowing area by an additional four 5-foot squares; each new square must be adjacent to a square that was previously glowing. Allies that end their turns on a glowing square (including one who falls unconscious in the square) are healed of 1 point of damage.</t>
  </si>
  <si>
    <t>Create an expanding glow that heals allies within it of 1 hp of damage.</t>
  </si>
  <si>
    <t>Path Of Glory, Greater</t>
  </si>
  <si>
    <t>This spell functions as path of glory, except as noted above, and a square provides 5 points of healing instead of 1.</t>
  </si>
  <si>
    <t>Create an expanding glow that heals allies within it of 5 hp of damage.</t>
  </si>
  <si>
    <t>Persistent Vigor</t>
  </si>
  <si>
    <t>alchemist 4, cleric/oracle 4, inquisitor 4, shaman 4, witch 4, psychic 4</t>
  </si>
  <si>
    <t>V, S, M/DF (ginseng root shavings)</t>
  </si>
  <si>
    <t>You are filled with a persistent vigor. You gain fast healing 2 and are immune to bleed effects as well as the sickened and nauseated conditions. When you succeed at a saving throw against a disease or poison effect, that disease or poison effect ends (as if you had succeeded at enough saving throws to cure that effect).  If you fail a saving throw against a disease or poison effect, you can instantly dismiss this spell to reroll that saving throw with a +4 bonus; you must take the result of this reroll, even if it is lower.</t>
  </si>
  <si>
    <t>Gain fast healing 2, immunity to bleed, and faster recovery from diseases and poisons.</t>
  </si>
  <si>
    <t>Phantom Blood</t>
  </si>
  <si>
    <t>alchemist 1, bloodrager 1, magus 1, sorcerer/wizard 1, spiritualist 1</t>
  </si>
  <si>
    <t>You bolster your life energy. If the loss of hit points at the end of a temporary effect that modifies your Constitution (such as barbarian's rage or bloodrager's bloodrage) would cause you to become unconscious or kill you, you gain temporary hit points equal to your caster level (maximum 10). Each casting of this spell grants you temporary hit points only once.</t>
  </si>
  <si>
    <t>Gain temporary hp if Con loss would knock you out or kill you.</t>
  </si>
  <si>
    <t>Pierce Disguise</t>
  </si>
  <si>
    <t>bard 3, shaman 3, sorcerer/wizard 3, witch 3, occultist 3, psychic 3, medium 3</t>
  </si>
  <si>
    <t>You see through magical disguises (whether illusions or polymorph effects) of the same spell level or lower. This allows you to see the true forms of creatures magically disguised by such methods. The true form appears as a ghostly overlay on the creature's disguised appearance.</t>
  </si>
  <si>
    <t>See through low-level magical disguises.</t>
  </si>
  <si>
    <t>Planeslayer's Call</t>
  </si>
  <si>
    <t>mind-affecting, see text</t>
  </si>
  <si>
    <t>allies within a 20-ft.-radius burst centered on you</t>
  </si>
  <si>
    <t>The magic of your allies in the area becomes more potent against certain outsiders. Choose one alignment subtype (chaotic, evil, good, or lawful). Against outsiders with that alignment component or subtype, your allies in the area gain a +2 bonus on caster level checks to overcome spell resistance, and their spells ignore the first 10 points of energy resistance (but not energy immunity).  This spell gains the alignment descriptor that is opposite the outsider alignment chosen. For example, if you choose for the spell to affect evil outsiders, then this spell has the good descriptor.</t>
  </si>
  <si>
    <t>Allies gain benefits against outsiders of an alignment you choose.</t>
  </si>
  <si>
    <t>Polymorph Familiar</t>
  </si>
  <si>
    <t>shaman 3, sorcerer/wizard 3, witch 3</t>
  </si>
  <si>
    <t>This spell functions as beast shape I, except it grants your familiar the form of any Small animal. Your familiar retains all of its special abilities and continues to grant you the special ability associated with its normal shape (such as a bat familiar's bonus on Fly checks). At caster level 7th, this spell functions as beast shape II. At caster level 9th, it functions as beast shape III. At caster level 11th, it functions as beast shape IV.</t>
  </si>
  <si>
    <t>Give your familiar the shape of another animal.</t>
  </si>
  <si>
    <t>Refine Improvised Weapon</t>
  </si>
  <si>
    <t>cleric/oracle 1, inquisitor 1, ranger 1, sorcerer/wizard 1, occultist 1</t>
  </si>
  <si>
    <t>one improvised weapon</t>
  </si>
  <si>
    <t>You transform an improvised weapon into an equivalent simple or martial weapon of masterwork quality. This does not alter the weapon's shape or appearance in any way. For example, if this spell is cast on a chair leg, a butter knife, or a pitchfork, the items function as a masterwork club, a masterwork dagger, or a masterwork trident, respectively, but the items look no different than they did before the spell was cast.</t>
  </si>
  <si>
    <t>Transform improvised weapon into a masterwork simple or martial weapon.</t>
  </si>
  <si>
    <t>Repair Undead</t>
  </si>
  <si>
    <t>one undead creature touched (see text)</t>
  </si>
  <si>
    <t>When you touch an undead creature, you channel negative energy that heals 1d8 points of damage + 1 point per caster level (maximum +5). This spell has no effect on living creatures, except those that are healed by negative energy are also healed by the spell.</t>
  </si>
  <si>
    <t>Heals one undead of 1d8 hp + 1/level (max +5).</t>
  </si>
  <si>
    <t>Repair Undead, Mass</t>
  </si>
  <si>
    <t>sorcerer/wizard 5, spiritualist 5</t>
  </si>
  <si>
    <t>one undead creature/level, no two of which can be more than 30 ft. apart</t>
  </si>
  <si>
    <t>This spell functions as repair undead, except as noted above, and it cures 1d8 points of damage + 1 point per caster level (maximum +20) on each selected creature.</t>
  </si>
  <si>
    <t>Heals undead of 1d8 hp + 1/level; affects 1 undead/level.</t>
  </si>
  <si>
    <t>River Whip</t>
  </si>
  <si>
    <t>magus 2, sorcerer/wizard 2, witch 2</t>
  </si>
  <si>
    <t>whip of water</t>
  </si>
  <si>
    <t>1 minute/level (D) or until discharged (see text)</t>
  </si>
  <si>
    <t>You create a coil of flowing fresh water, functioning a whip appropriate for your size, except you make a melee touch attack instead of a regular attack. Anything you strike with the whip takes damage and is doused with 1 pint of water.  A creature with the fire subtype takes an additional 1d6 points of damage. If the target is on fire, it gains a +2 bonus on its next saving throw to extinguish the flames.  After you have successfully used the whip to hit a creature a number of times equal to your caster level, the water is expended and the spell is discharged. The water created by this spell is otherwise identical to that produced by create water.</t>
  </si>
  <si>
    <t>Create a whip of water that you wield as a weapon.</t>
  </si>
  <si>
    <t>Sense Spirit Magic</t>
  </si>
  <si>
    <t>shaman 1</t>
  </si>
  <si>
    <t>You gain greater sensitivity to magic associated with your primary spirit and your wandering spirits (any spells on the spirit magic spell lists for these spirits, as well as spell-like abilities that duplicate the effects of those spells). You gain a +10 circumstance bonus on Spellcraft checks to identify these spells if they are cast within the area, and a +2 circumstance bonus on saving throws to resist the effects of such spells. If any of these spells require an attack roll, you are never considered flat-footed against such attacks.</t>
  </si>
  <si>
    <t>Gain bonuses on identifying and resisting spells associated with your spirits.</t>
  </si>
  <si>
    <t>Shield Companion</t>
  </si>
  <si>
    <t>paladin 2, ranger 2, shaman 2, sorcerer/wizard 3, summoner/unchained summoner 3</t>
  </si>
  <si>
    <t>your companion creature</t>
  </si>
  <si>
    <t>This spell creates a special mystical connection between you and your companion creature-animal companion, bonded mount, eidolon, or familiar-which allows you to transfer its wounds to you. The creature gains a +1 deflection bonus to AC and a +1 resistance bonus on saves.  As an immediate action when your companion takes damage, you can take that damage yourself to prevent your companion from being harmed (similar to shield other, except the damage is not split between you and the target). Forms of harm that do not involve the loss of hit points, such as charm effects, temporary ability damage, level drain, and death effects, are not affected. If the creature suffers a reduction of hit points from a lowered Constitution score, you cannot take that damage on behalf of your companion creature because it is not hit point damage. When the spell ends, damage directed to you by the spell is not reassigned to the subject.  If you and your companion move out of range of each other, the spell ends.</t>
  </si>
  <si>
    <t>As shield other, but affecting your companion creature.</t>
  </si>
  <si>
    <t>Shield Of Fortification</t>
  </si>
  <si>
    <t>cleric/oracle 2, inquisitor 1, paladin 1, psychic 2</t>
  </si>
  <si>
    <t>You create a magical barrier that protects a target's vital areas. When the target is struck by a critical hit or a sneak attack, there is a 25% chance that the critical hit or sneak attack is negated and damage is instead rolled normally.  This benefit does not stack with other effects that can turn critical hits or sneak attacks into normal attacks, such as the fortification armor special ability.</t>
  </si>
  <si>
    <t>Target gains a 25% chance to treat critical hits and sneak attacks as normal hits.</t>
  </si>
  <si>
    <t>Shield Of Fortification, Greater</t>
  </si>
  <si>
    <t>cleric/oracle 4, inquisitor 3, paladin 3, psychic 4</t>
  </si>
  <si>
    <t>This spell functions as shield of fortification, except there is a 50% chance that the critical hit or sneak attack is negated and damage is instead be rolled normally, rather than 25%.</t>
  </si>
  <si>
    <t>Target gains a 50% chance to treat critical hits and sneak attacks as normal hits.</t>
  </si>
  <si>
    <t>Sickening Entanglement</t>
  </si>
  <si>
    <t>druid 2, ranger 2, shaman 2</t>
  </si>
  <si>
    <t>Reflex partial and Fortitude negates (see  text)</t>
  </si>
  <si>
    <t>This spell functions as entangle, except the plants are coated with an irritating sap that creates a painful, itching rash on creatures that touch them. Any creature that enters the area or ends its turn there must succeed at a Fortitude save or be sickened as long as it remains in the area and for 1d4 rounds afterward. This is a poison effect.</t>
  </si>
  <si>
    <t>As entangle, but plants have sickening sap.</t>
  </si>
  <si>
    <t>Silent Table</t>
  </si>
  <si>
    <t>bard 2, cleric/oracle 2, sorcerer/wizard 2, witch 2, psychic 2, mesmerist 2</t>
  </si>
  <si>
    <t>5-ft.-diameter emanation centered on an object or a point in space</t>
  </si>
  <si>
    <t>You protect an area against casual eavesdropping. Sounds and sonic effects that originate inside the area are muffled for anyone outside the area; Perception DCs to hear or understand sounds leaving the area increase by 20, and any saving throw DCs of these effects decrease by 2. The spell does not affect sounds that enter the area or the Perception checks of creatures inside it.</t>
  </si>
  <si>
    <t>Give yourself privacy by muffling sound.</t>
  </si>
  <si>
    <t>Silver Darts</t>
  </si>
  <si>
    <t>bloodrager 3, magus 3, sorcerer/wizard 3, witch 3</t>
  </si>
  <si>
    <t>V, S, M (a silver needle)</t>
  </si>
  <si>
    <t>A cone of silver darts springs from your hand. These darts act as a silver weapon that deals 1d6 points of piercing damage per caster level (maximum 10d6). Any creature with an armor bonus greater than +4 or a natural armor bonus greater than +4 takes 50% less damage.</t>
  </si>
  <si>
    <t>Cone of silver darts deals 1d6 piercing damage/level, more against unarmored targets.</t>
  </si>
  <si>
    <t>Slowing Mud</t>
  </si>
  <si>
    <t>V, S, M (earth and water)</t>
  </si>
  <si>
    <t>You coat the targets in thick, sticky mud. The mud acts as a slow spell and also blinds the targets. A creature can use a standard action to remove the mud from its eyes or the eyes of an adjacent creature, ending the blinded condition for that individual. Removing enough mud to end the slow effect is a full-round action. Jumping into a lake or being subject to an effect that creates a lot of water (such as create water or hydraulic pushAPG) removes all the mud in 1 round.  A haste effect cast on a creature slowed by the mud allows it to act normally for the duration of the haste. Slow does not stack with the effects of slowing mud. This spell cannot counter or dispel haste.</t>
  </si>
  <si>
    <t>Targets are covered in mud that blinds them and acts like slow.</t>
  </si>
  <si>
    <t>Sonic Form</t>
  </si>
  <si>
    <t>alchemist 6, bard 6, sorcerer/wizard 6</t>
  </si>
  <si>
    <t>V, S, M (a pinch of dust gathered from a gravestone or a sacred shrine)</t>
  </si>
  <si>
    <t>Upon casting this spell, you keep your relative shape, but you and your equipment are transformed into semisolid sound. While in this sonic form, you take no penalties for squeezing, and you can move through spaces without penalty as if you were a creature three size categories smaller. You can make a melee touch attack once per round that deals 1d6 points of sonic damage + 1 point per caster level. You are considered incorporeal (although you cannot move through solid objects). Any nonmagical attacks you make deal half damage. Magical attacks are unaffected, and you can use your magic items and other equipment as normal.  You cannot enter an area of silence. If you are in the area of a silence spell, you take 1d6 points of sonic damage per caster level of the silence spell in the round it is cast and in each round when you end your turn within the spell's area. You can attempt a Fortitude saving throw each round to take half damage.  If this spell's duration ends when you are in a square that a creature of your size cannot normally occupy, you take 3d6 points of damage and are shunted to the nearest open space that you can normally occupy.</t>
  </si>
  <si>
    <t>Turn yourself into a creature of semisolid sound.</t>
  </si>
  <si>
    <t>Sonic Scream</t>
  </si>
  <si>
    <t>bard 2, bloodrager 2, magus 2, sorcerer/wizard 2, psychic 2</t>
  </si>
  <si>
    <t>Up to three times during this spell's duration, you can emit a cone of powerful sound as a standard action. The first cone deals 4d4 points of sonic damage to every creature in the area. The second deals 2d4 points of sonic damage to every creature in the area. The third deals 1d4 points of sonic damage to every creature in the area. A successful Reflex save against a cone halves that cone's damage. After the third cone of sound, the spell ends. Until you use all three cones, you cannot use your voice for any magic-related purpose (bardic performance, verbal spellcasting, and so on), and cannot speak at any volume lower than a shout.</t>
  </si>
  <si>
    <t>Create a cone of damaging sound at will.</t>
  </si>
  <si>
    <t>Speak With Haunt</t>
  </si>
  <si>
    <t>cleric/oracle 4, shaman 3, witch 4, psychic 4, spiritualist 4, medium 2</t>
  </si>
  <si>
    <t>10 ft. (see text)</t>
  </si>
  <si>
    <t>one haunt</t>
  </si>
  <si>
    <t>You stir a haunt (Pathfinder RPG GameMastery Guide 242) to a limited sense of awareness and consciousness, allowing it to answer questions. The spell's range must reach any square within 10 feet of the haunt's area. You must be aware of the haunt prior to casting the spell, and casting the spell does not trigger the haunt. You can ask one question per 2 caster levels. The haunt's knowledge is limited to what its original creature knew during life, including the languages it spoke. A haunt often remembers the circumstance that led to its existence (though this recollection might be from the original victim's perspective and therefore not objective), what triggers it, and how it can be laid to rest (destroyed). Answers are brief, cryptic, or repetitive, especially if the haunt is angry and vindictive.  If the haunt's alignment is more than one step away from yours, the haunt can attempt a Will save to resist the spell.  A haunt's Will save modifier is equal to 3 + the haunt's CR.  If the save is successful, the haunt can refuse to answer your questions or attempt to deceive you (using Bluff). A haunt's Bluff modifier equals its CR (minimum +0) or might be determined by the GM based upon the original victim.  The haunt can speak only about what it knew in life and the circumstances by which it became a haunt. It cannot answer any questions that pertain to events that occurred after it was created. A neutral or good haunt might cooperate with similarly aligned creatures in order to end its suffering.  If a haunt has been subject to this spell within the past week, a new casting of this spell on it fails. You can cast this on a haunt that has been deceased for any amount of time.  Unlike a corpse affected by speak with dead, a haunt wants to express itself, if only to share its pain or to cause mischief.</t>
  </si>
  <si>
    <t>Haunt answers one question/2 levels.</t>
  </si>
  <si>
    <t>Spellcrash, Lesser</t>
  </si>
  <si>
    <t>cleric/oracle 4, sorcerer/wizard 4, witch 4, psychic 4</t>
  </si>
  <si>
    <t>You create a discordant blast of energy that disrupts the target's available magic each round at the start of its turn.  If the target prepares spells, it must choose one of its prepared 3rd-level spells, which is immediately lost; if the target has no 3rd-level spells prepared, it must lose a 2nd-level spell it has prepared (progressing down to a 1st-level spell if it has no 2nd-level spells prepared).  If the target is a spontaneous spellcaster, it loses one of its available 3rd-level spell slots; if the target has no available 3rd-level spell slots, it must lose a 2nd-level spell slot (progressing down to a 1st-level spell slot if it has no 2nd-level spell slots available).  There is no initial saving throw for this spell, but the target can attempt a Will save each round at the end of its turn.  If the target has more than one spellcasting class, choose one at random to be affected. This spell has no effect on spell-like abilities.  Any spell or spell slot lost because of this spell is treated as if the caster had failed a concentration check while trying to cast it-the spell or the spell slot is wasted and has no effect, but is recovered normally the next time the character prepares spells or regains spell slots.</t>
  </si>
  <si>
    <t>Target loses a 3rd-level prepared spell or spell slot.</t>
  </si>
  <si>
    <t>Spellcrash, Greater</t>
  </si>
  <si>
    <t>This spell functions as lesser spellcrash, except it affects 7th-level or lower prepared spells or spell slots.</t>
  </si>
  <si>
    <t>Target loses a 7th-level prepared spell or spell slot.</t>
  </si>
  <si>
    <t>Spellcrash</t>
  </si>
  <si>
    <t>cleric/oracle 6, sorcerer/wizard 6, witch 6, psychic 6</t>
  </si>
  <si>
    <t>This spell functions as lesser spellcrash, except it affects 5th-level or lower prepared spells or spell slots.</t>
  </si>
  <si>
    <t>Target loses a 5th-level prepared spell or spell slot.</t>
  </si>
  <si>
    <t>Stench Of Prey</t>
  </si>
  <si>
    <t>druid 3, ranger 3, shaman 3</t>
  </si>
  <si>
    <t>The target exudes a strong odor that most predators recognize as the scent of helpless prey. The closest 1d4+1 predatory creatures within 30 feet must succeed at a Will save or start attacking the target (animals with the scent ability are affected if within 60 feet). If the predator is an animal, it can be called away from the target by a handler using the "down" trick (Core Rulebook 97) or any effect that suspends or dispels emotion or rage effects.  This spell has no effect on constructs, undead, or creatures with the unnatural aura ability or effects that repel animals.</t>
  </si>
  <si>
    <t>Predatory animals must successfully save or attack the target.</t>
  </si>
  <si>
    <t>Stone Discus</t>
  </si>
  <si>
    <t>bloodrager 2, druid 2, magus 2, sorcerer/wizard 2, witch 2</t>
  </si>
  <si>
    <t>V, S, M (a pinch of earth or metal)</t>
  </si>
  <si>
    <t>one or more stone discuses</t>
  </si>
  <si>
    <t>You create a stone discus, which flies at an enemy. You can create one discus, plus one additional discus at 7th and 11th caster levels. For each discus you create, you decide whether its edge is blunt (and deals bludgeoning damage) or sharp (and deals slashing damage). Each discus requires a ranged attack to hit and deals 4d6 points of damage. The discuses can be launched at more than one target, but all must be aimed at targets within 30 feet of each other and launched simultaneously.  At caster level 5th, the discuses count as magic and silver.  At caster level 10th, they also count as cold iron. At caster level 15th, they also count as adamantine.</t>
  </si>
  <si>
    <t>Flying discus deals bludgeoning or slashing damage.</t>
  </si>
  <si>
    <t>Stricken Heart</t>
  </si>
  <si>
    <t>inquisitor 2, shaman 3, sorcerer/wizard 2, witch 2, psychic 2, mesmerist 2, spiritualist 2</t>
  </si>
  <si>
    <t>This spell covers your hand with a writhing black aura. As part of casting the spell, you can make a melee touch attack that deals 2d6 points of negative energy damage and causes the target to be staggered for 1 round. If the attack is a critical hit, the target is staggered for 1 minute instead. Creatures immune to precision damage are immune to the staggered effect.</t>
  </si>
  <si>
    <t>Touch attack deals 2d6 damage and staggers target.</t>
  </si>
  <si>
    <t>Stunning Barrier</t>
  </si>
  <si>
    <t>cleric/oracle 1, inquisitor 1, paladin 1, sorcerer/wizard 1, psychic 1</t>
  </si>
  <si>
    <t>You are closely surrounded by a barely visible magical field.  The field provides a +1 deflection bonus to AC and a +1 resistance bonus on saves. Any creature that strikes you with a melee attack is stunned for 1 round (Will negates). Once the field has stunned an opponent, the spell is discharged.</t>
  </si>
  <si>
    <t>Magical field grants a +1 bonus to AC and on saves, and stuns one creature attacking you.</t>
  </si>
  <si>
    <t>Stunning Barrier, Greater</t>
  </si>
  <si>
    <t>cleric/oracle 3, inquisitor 3, paladin 3, sorcerer/wizard 3, psychic 3</t>
  </si>
  <si>
    <t>This spell functions as stunning barrier, except as noted above, and it provides a +2 bonus to AC and on saving throws. It is not discharged until it has stunned a number of creatures equal to your caster level.</t>
  </si>
  <si>
    <t>Magical field grants a +2 bonus to AC and on saves, and stuns multiple creatures attacking you.</t>
  </si>
  <si>
    <t>Sunder Breaker</t>
  </si>
  <si>
    <t>magus 1, sorcerer/wizard 1, psychic 1</t>
  </si>
  <si>
    <t>Will negates (harmless) and see text</t>
  </si>
  <si>
    <t>yes (harmless) and see text</t>
  </si>
  <si>
    <t>You place an invisible ward upon the target. The next time a creature succeeds at a sunder combat maneuver against the target, the attacker's weapon takes 1d6 points of damage per caster level (maximum 10d6). If the attacker used a natural weapon for the sunder, the attacker takes half this damage. Spell resistance applies to this damage. The attacker can attempt a Fortitude save to halve this damage.  The ward on the target counts as a magical trap and can be detected and disabled as such.</t>
  </si>
  <si>
    <t>The next weapon that sunders an item belonging to the target takes damage.</t>
  </si>
  <si>
    <t>Sundering Shards</t>
  </si>
  <si>
    <t>bloodrager 1, magus 1, sorcerer/wizard 1, witch 1, occultist 1, psychic 1</t>
  </si>
  <si>
    <t>You channel power into a melee weapon. If the weapon's wielder destroys an item with a successful sunder combat maneuver, she can release the extra power in the weapon, shattering the sundered item into jagged shards that deal 1d6 points of piercing and slashing damage to the creature that was wearing, carrying, or wielding the now-shattered item. Any creature (other than the wielder of the weapon targeted by this spell) adjacent to that creature must succeed at a Reflex saving throw or take 1d6 points of piercing and slashing damage from flying shards. The shards also count as whatever special materials the sundered item was made of (for example, the shards from a shattered cold iron weapon are cold iron). Once the weapon's extra power is unleashed, the spell is discharged.</t>
  </si>
  <si>
    <t>Sundered item explodes, dealing 1d6 damage to adjacent creatures.</t>
  </si>
  <si>
    <t>Symbol Of Laughter</t>
  </si>
  <si>
    <t>sorcerer/wizard 4, witch 4, occultist 3, mesmerist 3</t>
  </si>
  <si>
    <t>This spell functions as symbol of death, except that all creatures within 60 feet are affected with uncontrollable laughter (as hideous laughter) for 1 round per caster level.  Unlike symbol of death, symbol of laughter has no hit point limit; once it is triggered, a symbol of laughter remains active for 1 minute per caster level.  Symbol of laughter can be made permanent with a permanency spell by a caster of 10th level or higher at a cost of 5,000 gp.</t>
  </si>
  <si>
    <t>Triggered rune makes nearby creatures lose actions for 1 round/level.</t>
  </si>
  <si>
    <t>Thorn Javelin</t>
  </si>
  <si>
    <t>javelin-like thorn</t>
  </si>
  <si>
    <t>A wooden thorn the size of a javelin (appropriate for your size) appears in your open hand. You can wield this thorn as a javelin, and you are proficient in its use. Any creature struck by the javelin must succeed at a Fortitude save or be sickened for 1 round. If you throw the javelin, another one appears in your hand. Any javelin that leaves your grasp disappears at the end of your turn. Each javelin attack you make reduces the spell's remaining duration by 1 minute.  If an attack reduces the remaining duration to 0 minutes or less, the spell ends after that attack resolves.</t>
  </si>
  <si>
    <t>Wield a javelin that sickens opponents when it strikes.</t>
  </si>
  <si>
    <t>Thorns (2)</t>
  </si>
  <si>
    <t>Thorny Entanglement</t>
  </si>
  <si>
    <t>druid 3, ranger 3, shaman 3, witch 3</t>
  </si>
  <si>
    <t>This spell functions as entangle, except the plants also grow thorns and can fling them up to 15 feet. Any creature that moves within 15 feet of the spell's area is attacked once on its turn by the animated plants. The plants use your caster level as their base attack bonus and add your spellability score modifier (Intelligence for witches; Wisdom for druids, rangers, and shamans) to the attack roll. A volley of thorns counts as a thrown weapon and deals 2d6 points of piercing damage on a successful hit. A creature that enters the spell's area or ends its turn there automatically takes 2d6 points of piercing damage.</t>
  </si>
  <si>
    <t>As entangle, plus plants make ranged attacks.</t>
  </si>
  <si>
    <t>Thorns (6)</t>
  </si>
  <si>
    <t>Thunderstomp</t>
  </si>
  <si>
    <t>bloodrager 1, druid 1, magus 1, ranger 1, sorcerer/wizard 1</t>
  </si>
  <si>
    <t>You stomp your foot or strike your weapon against the ground or floor, creating a ripple of power that you can use to trip a creature. Attempt the combat maneuver check to trip the target, but instead of your base attack bonus you can use your caster level, and instead of your Strength modifier you can use your spellcasting ability score modifier (Intelligence for magi and wizards; Wisdom for druids and rangers; Charisma for bloodragers and sorcerers). This trip attempt does not provoke an attack of opportunity. This spell has no effect if you cannot reach the ground or floor, or if your target is not in contact with the ground or floor.</t>
  </si>
  <si>
    <t>Trip one creature within range.</t>
  </si>
  <si>
    <t>Thunderstomp, Greater</t>
  </si>
  <si>
    <t>bloodrager 3, druid 3, magus 3, ranger 3, sorcerer/wizard 3</t>
  </si>
  <si>
    <t>This spell functions as thunderstomp, except as noted. It allows you target multiple creatures with this spell, including creatures more than one size category larger than you. When you attempt the combat maneuver check, apply its result to each creature within the area.</t>
  </si>
  <si>
    <t>Trip multiple creatures within range.</t>
  </si>
  <si>
    <t>Time Shudder</t>
  </si>
  <si>
    <t>V, S, M (a tiny hourglass)</t>
  </si>
  <si>
    <t>You cause a ripple in time that affects all creatures in the area.  At the start of each creature's turn, there is a 50% chance the creature is hasted (as haste); otherwise it is slowed (as slow).</t>
  </si>
  <si>
    <t>Nearby creatures are affected by haste or slow each round.</t>
  </si>
  <si>
    <t>Triggered Suggestion</t>
  </si>
  <si>
    <t>bard 3, sorcerer/wizard 4, witch 4, psychic 4, mesmerist 3</t>
  </si>
  <si>
    <t>1 day/level or until completed</t>
  </si>
  <si>
    <t>This spell functions as suggestion, except you can use it only to specify a condition that triggers a special activity, and the subject does not remember that you made the suggestion.  For example, you could use triggered suggestion on a palace guard to make him attack the king the next time he and the king are alone, and the guard would not remember the suggestion to do so until the trigger occurred.</t>
  </si>
  <si>
    <t>As suggestion, but triggered only and target doesn’t remember the suggestion.</t>
  </si>
  <si>
    <t>Twilight Haze</t>
  </si>
  <si>
    <t>sorcerer/wizard 2, witch 2, psychic 2, mesmerist 2, spiritualist 2</t>
  </si>
  <si>
    <t>You create a gray haze that obscures sight (as fog cloud) and causes the illumination level within it to dim by one step (as per darkness). Since this spell produces an illusion rather than a true physical fog, it is unaffected by wind and can be cast underwater.</t>
  </si>
  <si>
    <t>Illusory fog obscures vision.</t>
  </si>
  <si>
    <t>Unbearable Brightness</t>
  </si>
  <si>
    <t>alchemist 4, sorcerer/wizard 4, witch 4, occultist 4, psychic 4</t>
  </si>
  <si>
    <t>personal and 30 ft. (see text)</t>
  </si>
  <si>
    <t>none and Reflex partial (see text)</t>
  </si>
  <si>
    <t>Your body glows with a terrible light. Creatures within 30 feet of you that can see you are dazzled (no saving throw).  Creatures with light sensitivity must succeed at a Reflex saving throw or be blinded. This light counts as daylight for the purpose of affecting darkness effects (and vice versa).  If the emanation enters an area under the effect of magical darkness (or vice versa), both effects are temporarily negated so that the otherwise prevailing light conditions exist in the overlapping areas of effect. Dazzled and blinded conditions from your light end when the spell ends or when the creature is out of line of sight.</t>
  </si>
  <si>
    <t>Your glowing body dazzles or blinds others.</t>
  </si>
  <si>
    <t>Unholy Ice Weapon</t>
  </si>
  <si>
    <t>This spell functions as holy ice weapon, except the weapon is made of frozen unholy water, and instead deals additional damage to creatures that are susceptible to unholy water.</t>
  </si>
  <si>
    <t>Create a masterwork weapon made of frozen unholy water.</t>
  </si>
  <si>
    <t>Unliving Rage</t>
  </si>
  <si>
    <t>cleric/oracle 2, sorcerer/wizard 3, witch 3, mesmerist 2, spiritualist 3</t>
  </si>
  <si>
    <t>one willing undead creature per 3 levels, no two of which can be more than 30 ft. apart</t>
  </si>
  <si>
    <t>This spell functions as rage, except it affects only undead creatures and bolsters them with necromantic energy rather than emotion. Each affected creature gains a +2 profane bonus to Strength and Charisma, a +1 profane bonus on Will saves, and a -2 penalty to AC. The effect is otherwise identical to a barbarian's rage.</t>
  </si>
  <si>
    <t>As rage, except affecting only undead.</t>
  </si>
  <si>
    <t>Vampiric Shadow Shield</t>
  </si>
  <si>
    <t>magus 5, sorcerer/wizard 5, spiritualist 5</t>
  </si>
  <si>
    <t>This spell wreathes you in shadowy energy and damages those that make melee attacks against you. Any creature that strikes you with its body or a handheld weapon deals normal damage, but at the same time the attacker takes 1d6 points of negative energy damage + 1 point per caster level (maximum +15). If the attacker has spell resistance, it applies to this effect. Creatures wielding melee weapons with reach are not subject to this damage.  When an attacker takes damage from the spell, you heal a number of hit points equal to 25% of the damage the spell dealt.</t>
  </si>
  <si>
    <t>As fire shield, except attackers take negative energy damage and attacks heal you.</t>
  </si>
  <si>
    <t>Wall Of Blindness/Deafness</t>
  </si>
  <si>
    <t>bard 4, cleric/oracle 5, sorcerer/wizard 4, witch 4, psychic 4</t>
  </si>
  <si>
    <t>translucent wall 20 ft. long/level or a translucent ring with a radius of up to 5 ft./two levels; either form 20 ft. high</t>
  </si>
  <si>
    <t>You create a translucent wall of energy, within which can be seen indistinct images of faces with their eyes or ears sewn shut. When you create the wall, decide whether it blinds or deafens. Any creature that passes through the wall must save or become permanently blinded or deafened (as blindness/deafness).  The wall must be vertical and either rectangular or a ring. It need not touch the ground. The wall must be continuous and unbroken when formed. If its surface is broken by any object or creature when it is cast, the spell fails.</t>
  </si>
  <si>
    <t>Translucent wall blinds or deafens creatures that pass through it.</t>
  </si>
  <si>
    <t>Wall Of Nausea</t>
  </si>
  <si>
    <t>transparent wall whose area is up to one 10-ft. square/level</t>
  </si>
  <si>
    <t>You create a transparent, shimmering wall through which creatures and objects appear to be wildly distorted to viewers. Any creature that passes through the wall is immediately assailed by overwhelming vertigo, becoming nauseated for 1 round unless it succeeds at a Fortitude save; if nauseated, the creature must also succeed at a DC 12 Acrobatics check or fall prone. Creatures gain partial concealment (20% miss chance) against creatures on the other side of the wall.  The wall must be vertical and rectangular. It need not touch the ground. The wall must be continuous and unbroken when formed. If its surface is broken by any object or creature when it is cast, the spell fails.</t>
  </si>
  <si>
    <t>Creatures that pass through the wall are nauseated and might fall prone.</t>
  </si>
  <si>
    <t>Wave Shield</t>
  </si>
  <si>
    <t>bloodrager 1, druid 1, magus 1, shaman 1, sorcerer/wizard 1, witch 1</t>
  </si>
  <si>
    <t>1 round or until discharged</t>
  </si>
  <si>
    <t>You create a rushing torrent of water in the rough outline of a shield. The water protects you from one physical or fire attack, granting you DR/- and fire resistance equal to half your caster level (minimum 1) on that attack. Once the spell has reduced the damage of one attack against you, it is discharged.</t>
  </si>
  <si>
    <t>Water blunts one incoming attack or fire effect.</t>
  </si>
  <si>
    <t>Whip Of Spiders</t>
  </si>
  <si>
    <t>bard 2, druid 2, sorcerer/wizard 2, summoner/unchained summoner 2, witch 2</t>
  </si>
  <si>
    <t>whiplike swarm</t>
  </si>
  <si>
    <t>1 round/level (D (see text)</t>
  </si>
  <si>
    <t>You summon hundreds of Diminutive spiders, which cling together in the form of a whip made for a creature of your size. You can wield this object as if it were an actual whip, except you make a melee touch attack with it instead of a regular attack. Any creature you strike with the whip takes swarm damage as if it were attacked by a spider swarm (1d6 points of damage plus poison and distraction, Bestiary 258). The swarm whip is able to damage creatures with armor or natural armor, even if a normal whip could not. It cannot be used to make bull rush, grapple, or trip attacks, and (unlike a swarm) is subject to a miss chance for concealment and cover.  The whip is immune to all weapon damage, is never staggered or reduced to a dying state by damage, and is immune to any spell or effect that targets a specific number of creatures (including single-target spells such as disintegrate). The whip takes half again as much damage from spells or effects that affect an area, but since it is considered part of your gear, it takes damage only if you fail a saving throw on a 1 or if it is specifically targeted by an opponent. The whip does not have a swarm's susceptibility to high winds.  As a standard action, you can transform the whip into a spider swarm (all squares of the swarm must be within 15 feet of you); thereafter it functions as summon swarm. The spider swarm has 3 hit points and persists in that form for 2 rounds or until the end of this spell's duration, whichever comes first.</t>
  </si>
  <si>
    <t>Create a whip made of poisonous spiders.</t>
  </si>
  <si>
    <t>Whip Of Ants</t>
  </si>
  <si>
    <t>bard 6, druid 6, sorcerer/wizard 6, summoner/unchained summoner 6, witch 6</t>
  </si>
  <si>
    <t>This spell functions as whip of spiders, except it summons army ants, and any creature you strike with the whip takes swarm damage as if it were attacked by an army ant swarm (3d6 points of damage plus poison and distraction, Pathfinder RPG Bestiary 16). If you transform the whip into an army ant swarm, it has 16 hit points.</t>
  </si>
  <si>
    <t>Vermin (6)</t>
  </si>
  <si>
    <t>Create a whip made of army ants.</t>
  </si>
  <si>
    <t>Whip Of Centipedes</t>
  </si>
  <si>
    <t>bard 5, druid 5, sorcerer/wizard 5, summoner/unchained summoner 5, witch 5</t>
  </si>
  <si>
    <t>This spell functions as whip of spiders, except it summons centipedes, and any creature you strike with the whip takes swarm damage as if it were attacked by a centipede swarm (2d6 points of damage plus poison and distraction, Bestiary 43). If you transform the whip into a centipede swarm, it has 10 hit points.</t>
  </si>
  <si>
    <t>Create a whip made of poisonous centipedes.</t>
  </si>
  <si>
    <t>Widen Auras</t>
  </si>
  <si>
    <t>The range of your antipaladin or paladin auras doubles. For example, if you're a paladin, your aura of courage affects allies within 20 feet instead of within 10 feet.</t>
  </si>
  <si>
    <t>Increase the range of auras bestowed by your class.</t>
  </si>
  <si>
    <t>Semblance Of Flesh</t>
  </si>
  <si>
    <t>You make the target construct appear to be a living creature of flesh and bone, regardless of its actual materials. You can make it seem 1 foot shorter or taller, and appear thin, fat, or anywhere in between. Its bodily configuration does not change; for example, a centaur-like construct looks like a centaur rather than a human. The extent of the apparent change (such as flesh color, hair color, apparent age, and so on) is up to you.  The spell does not provide the abilities or mannerisms of the chosen form, nor does it alter the perceived tactile or audible properties of the construct. If you use this spell to create a disguise, the construct gains a +10 bonus on the Disguise check. A creature that interacts with the glamer receives a Will save to recognize it as an illusion.</t>
  </si>
  <si>
    <t>AP 86</t>
  </si>
  <si>
    <t>Brigh</t>
  </si>
  <si>
    <t>Shared Suffering</t>
  </si>
  <si>
    <t>antipaladin 2, inquisitor 2, sorcerer/wizard 2, witch 2</t>
  </si>
  <si>
    <t>V, F (a silver dagger inlaid with onyx and jade worth 100 gp)</t>
  </si>
  <si>
    <t>You infuse a dagger with necromantic energy, then plunge the dagger into your own body. You take 1d6 points of negative energy damage plus 1d6 points of damage for every 2 caster levels you possess beyond 1st (to a maximum of 5d6 at 9th level). The target takes an amount of damage equal to the damage you took this way, plus an amount equal to your Intelligence modifier (if you're a witch or wizard), Wisdom modifier (if you're an inquisitor), or Charisma modifier (if you're an antipaladin or sorcerer).  Damage from this spell cannot be divided by effects such as shield other or unwilling shieldAPG; it cuts through such protections completely.</t>
  </si>
  <si>
    <t>Champions Of Corruption</t>
  </si>
  <si>
    <t>Wracking Ray</t>
  </si>
  <si>
    <t>V, M (an old bone, broken in the casting)</t>
  </si>
  <si>
    <t>A ray of sickly greenish-gray negative energy issues forth from the palm of your hand. Make a ranged touch attack against the target. A creature hit by this spell is wracked by painful spasms as its muscles and sinews wither and twist. The subject takes 1d4 points of Dexterity and Strength damage per 3 caster levels you possess (maximum 5d4 each). This spell cannot reduce an ability score below 1. A successful Fortitude save halves the damage.</t>
  </si>
  <si>
    <t>Acid Maw</t>
  </si>
  <si>
    <t>close (25 ft. + 2 ft./level)</t>
  </si>
  <si>
    <t>Your animal companion's bite attack deals an additional 1d4 points of acid damage, and the acid deals another 1d4 points of acid damage to the target on the next round. The acid continues to deal damage for 1 additional round per 4 caster levels (to a maximum of 6 total rounds at caster level 20th). This ongoing acid damage doesn't stack from multiple attacks, but the duration resets if a newer bite would cause the ongoing damage to last longer than the duration remaining from a previous one. The acid does not harm the animal companion.</t>
  </si>
  <si>
    <t>Advanced Class Origins</t>
  </si>
  <si>
    <t>Arcane Disruption</t>
  </si>
  <si>
    <t>curse, mind-affecting</t>
  </si>
  <si>
    <t>bard 2, bloodrager 2, magus 2, sorcerer/wizard 2, witch 2</t>
  </si>
  <si>
    <t>V, S, M (a pinch of pepper)</t>
  </si>
  <si>
    <t>This spell makes it difficult for the subject to cast arcane spells, use spell-like abilities, and use some abilities granted by arcane spellcasting classes. The subject must succeed at a concentration check (DC = 10 + 1/2 its caster level) in order to cast an arcane spell, use any spell-like ability (even those that come from a divine source), use arcane spell completion or spell trigger magic items, or use any of the following class features that come from an arcane spellcasting class: arcane school powers, arcanist exploits, bardic performances, magus arcana, or witch hexes. Spells, spell-like abilities, or class features that take a free, swift, or immediate action aren't affected by this spell, nor are mythic spells or mythic powers.  While under the effect of this spell, if the subject must attempt a concentration check to cast an arcane spell or use an arcane spell-like ability for any reason other than the effect of this spell (such as casting defensively, being injured while casting, and so on), it takes a penalty on that check equal to 1/2 its caster level.</t>
  </si>
  <si>
    <t>Blood Salvation</t>
  </si>
  <si>
    <t>bloodrager 3</t>
  </si>
  <si>
    <t>1 round/level (D; see below)</t>
  </si>
  <si>
    <t>While under the effect of this spell, you're immune to any damaging area spells you cast. You can dismiss this spell as an immediate action when you are caught within the area of someone else's damaging area spell; if you do, you're immune to that particular casting of that spell as well. If you have the blood casting class feature, you can cast this spell as a swift action instead of a standard action while you're in a bloodrage.</t>
  </si>
  <si>
    <t>Energy Hack</t>
  </si>
  <si>
    <t>acid, cold, electricity, or fire; see below</t>
  </si>
  <si>
    <t>You can cast this spell only when you take 10 or more points of acid, cold, electricity, or fire damage from a spell or spell-like ability-this spell has the same energy descriptors as the damaging effect. When you use a spell or spell-like ability with the acid, cold, electricity, or fire descriptor or use an arcanist exploit, arcane school power, bloodline power, magus arcana, or hex that deals acid, cold, electricity, or fire damage, you can choose to change the energy type and descriptor to match one of the descriptors of energy hack. Any other effect of that spell or power remains the same.  If you have the arcane reservoir class feature, if you take another 10 points of acid, cold, electricity, or fire damage while under the effect of energy hack, as a free action you can expend 1 point from your arcane reservoir to reset the duration of energy hack to 1 round per level and add the new type of damage you took to the list of energy types you can choose to substitute. You can expend points in this way multiple times as long as you do so before the duration expires.</t>
  </si>
  <si>
    <t>Imbue Hex</t>
  </si>
  <si>
    <t>V, S, DF or M (a hag's whisker)</t>
  </si>
  <si>
    <t>permanent or until discharged</t>
  </si>
  <si>
    <t>You transfer a single hex you know to the target, and give that target the ability to use the hex. The transferred hex's variable characteristics function according to your level, not the level of the recipient. Only a creature with Intelligence and Wisdom scores of at least 9 can receive this effect. To use this hex, the target must be able to speak and move freely. Once it uses the hex, the spell ends (though any effects of the hex still last for  the full duration). You can transfer only a hex-not a major or grand hex-with this ability.  Once you cast imbue hex, you cannot use the transferred hex until the spell is discharged, dispelled, or dismissed.</t>
  </si>
  <si>
    <t>Phantom Hunt</t>
  </si>
  <si>
    <t>you and one animal companion within 30 ft.</t>
  </si>
  <si>
    <t>You affect yourself and a single animal companion within 30 feet of you. Both you and the animal companion gain darkvision to 100 feet, tremorsense to 20 feet, and a 40-foot enhancement bonus to movement. Furthermore, you can track while moving at full speed without taking any penalty. If you already have the ability to track at full speed, you gain a +4 bonus on Survival checks while tracking instead.  The duration of this spell immediately ends if you or the animal companion attack another creature or are attacked by another creature.</t>
  </si>
  <si>
    <t>Spirit Call</t>
  </si>
  <si>
    <t>100-ft.-radius spread centered on you</t>
  </si>
  <si>
    <t>You call out to nature spirits associated with your spirit (not your wandering spirit) if you are a shaman, or your domain if you are a druid, beckoning them forth to pay attention to your current location. For the duration of the spell, all spells from your spirit magic list or domain list that are cast within the affected area have their caster level increased by 1, and all spellcasters casting such spells receive a +4 insight bonus on their concentration checks for those spells only.</t>
  </si>
  <si>
    <t>Wrathful Weapon</t>
  </si>
  <si>
    <t>melee weapon touched (see text)</t>
  </si>
  <si>
    <t>Will (harmless, object)</t>
  </si>
  <si>
    <t>You grant the targeted weapon one of the following weapon special abilities: anarchic, axiomatic, holy, or unholy. If anarchic, this spell has the chaos descriptor; if axiomatic, the law descriptor; if holy, the good descriptor; and if unholy, the evil descriptor. If the caster attempts to place a special ability on a weapon that already has that special ability, the spell fails.  If a warpriest casts this spell on his sacred weapon, the duration doubles. Warpriests with unarmed strike as a sacred weapon can cast this spell on their unarmed strike.</t>
  </si>
  <si>
    <t>Aura Of Cannibalism</t>
  </si>
  <si>
    <t>V, S, M (a piece of flesh from another creature of your species)</t>
  </si>
  <si>
    <t>You emanate an aura that saps the strength of others of your kind and channels their energy into you. Each round that a creature starts its turn in the spell's area and shares both your creature type and at least one subtype you possess (if any), that creature must succeed at a Fortitude save or take 1d4 points of damage. You gain a number of temporary hit points equal to the amount of damage you deal with this spell (maximum 10 + your caster level). These temporary hit points go away when the spell ends.  As long as you have at least 5 temporary hit points while this spell is in effect, you gain a +1 competence bonus on attack rolls, saving throws, and skill checks. If you have 15 or more temporary hit points, this competence bonus increases to +2.</t>
  </si>
  <si>
    <t>Monster Codex</t>
  </si>
  <si>
    <t>Isolate</t>
  </si>
  <si>
    <t>antipaladin 3, bard 3, inquisitor 3, sorcerer/wizard 3, witch 3, psychic 3, mesmerist 3</t>
  </si>
  <si>
    <t>You cause the target to become invisible and silent, but only to his allies. Any creature with an attitude of indifferent or worse toward the target, and any creature that wishes the target harm, can see the target normally. The target can see and hear himself, can cast spells with verbal components, and can use command words normally, but any effect that requires allies to see or hear the target does not function. An ally that can see invisible creatures can both see and hear the target of isolate.  If the target succeeds at its save, the duration of the spell is reduced to 1 round.</t>
  </si>
  <si>
    <t>Control Vermin</t>
  </si>
  <si>
    <t>cleric/oracle 3, druid 2, ranger 4, sorcerer/wizard 3, witch 2</t>
  </si>
  <si>
    <t>V, S, DF/M (a beetle)</t>
  </si>
  <si>
    <t>up to 1 HD/level of vermin, no two of which can be more than 30 ft. apart</t>
  </si>
  <si>
    <t>You and a number of allies less than or equal to your caster level designated upon casting can use Handle Animal and Ride checks to influence or control the targeted vermin as if they were animals and had animal-level intelligence.</t>
  </si>
  <si>
    <t>Dust Ward</t>
  </si>
  <si>
    <t>V, S, M (a pinch of pumice)</t>
  </si>
  <si>
    <t>one magic item</t>
  </si>
  <si>
    <t>You ward a magic item against other creatures who try to learn to use or copy it. When you cast the spell, you designate one creature type, subtype, or a specific individual. If the item is worn or carried for 1 continuous hour or more by a creature that doesn't match the designation, the dust ward disintegrates the item into worthless gray dust. This destruction also occurs if the creature attempts to study the item in order to learn its properties  or how to magically craft it (a miracle or wish spell used on the gray dust can still reveal this information). The destruction of the item doesn't harm the creature wearing or carrying the item (although the item's destruction may put the creature in harm's way, such as if a magical rope were being used to cross a chasm at the time). If the offending creature wears or carries the item for less than 1 hour and passes it to a different creature, the countdown to the item's destruction starts over.  The spell cannot affect a magic item with a caster level greater than half your caster level.</t>
  </si>
  <si>
    <t>Ironskin</t>
  </si>
  <si>
    <t>alchemist 2, antipaladin 2, bloodrager 2, cleric/oracle 2, druid 2, paladin 2, ranger 2, witch 2, psychic 2</t>
  </si>
  <si>
    <t>V, S, DF/M (a pinch of forge soot)</t>
  </si>
  <si>
    <t>1 minute/level (D; see text)</t>
  </si>
  <si>
    <t>Your skin hardens and takes on the color and texture of rough iron. You gain a +4 enhancement bonus to your existing natural armor bonus (if you do not have a natural armor bonus, you are considered to have an effective natural armor bonus of +0). This enhancement bonus increases by 1 for every 4 caster levels above 4th, to a maximum of +7 at 15th level.  While you're under the effects of this spell, if an opponent confirms a critical hit or sneak attack against you with a physical weapon (not a spell or magical effect), you can dismiss this spell to negate the critical hit or sneak attack and treat it is as a normal hit. Dismissing the spell in this way is not an action, but you must be conscious and aware of the attack to do so.</t>
  </si>
  <si>
    <t>Ice Slick</t>
  </si>
  <si>
    <t>druid 2, magus 2, ranger 2, sorcerer/wizard 2, witch 2</t>
  </si>
  <si>
    <t>5-ft.-radius burst</t>
  </si>
  <si>
    <t>You create a blast of intense cold, coating all solid surfaces in the area with a thin coating of ice. Any creature in the area when the spell is cast takes 1d6 points of cold damage + 1 point per caster level (maximum +10) and falls prone; creatures that succeed at a Reflex save take half damage and don't fall prone. Spell resistance applies to this initial effect.  A creature can walk within or through the area of ice at half its normal speed with a successful DC 10 Acrobatics check. Failure by 4 or less means the creature can't move that round (and must succeed at a Reflex save or fall); failure by 5 or more means it falls (see the Acrobatics skill on page 87 of the Pathfinder RPG Core Rulebook for details). Creatures that do not move on their turn do not need to attempt this check.  A 5-foot square of ice has hardness 0 and 3 hit points. The ice is an instantaneous effect, but persists as nonmagical ice. Under temperate conditions, the ice lasts 1 minute per level. In tropical environments, it might last only half as long. In cold environments where ice and snow persist without melting, it could last indefinitely.</t>
  </si>
  <si>
    <t>Magic Boulder</t>
  </si>
  <si>
    <t>up to three boulders touched</t>
  </si>
  <si>
    <t>This spell works like magic stone, except you transmute as many as three boulders (rocks up to two size categories smaller than yourself) to use with the rock throwing ability or as siege engine ammunition. The boulder's damage increases by one step, and the boulder gains a +1 enhancement bonus on attack and damage rolls.</t>
  </si>
  <si>
    <t>Fleshy Facade</t>
  </si>
  <si>
    <t>alchemist 2, bard 2, inquisitor 2, sorcerer/wizard 2, witch 2, psychic 2</t>
  </si>
  <si>
    <t>corporeal undead creature touched</t>
  </si>
  <si>
    <t>The target's flesh fills out and gains a healthy, natural color. This gives the target the appearance of a living creature of the type it was when it was still alive (if applicable). Creatures casting spells such as detect undead must succeed at a saving throw (with a DC equal to the spell's save DC) to detect the target's presence, and if the target is intelligent, it gains a +10 bonus on Disguise checks to appear alive or recently deceased. If the undead has any features different from those of the type of living creature it most resembles (such as a ghoul's elongated teeth and claws), those features shrink and become less prominent, and the subject deals damage as though it were one size smaller. This spell has no effect on creatures that are skeletal or otherwise lack flesh.</t>
  </si>
  <si>
    <t>Hungry Earth</t>
  </si>
  <si>
    <t>druid 5, sorcerer/wizard 5, witch 5</t>
  </si>
  <si>
    <t>The ground attempts to pull creatures beneath its surface as if hungry for the flesh of mortals.  Immediately, and at the beginning of each of your turns, every creature touching the ground within the area of the spell is the target of a grapple combat maneuver. Creatures that enter the area of effect are also automatically attacked. The ground does not provoke attacks of opportunity. The earth's CMB is equal to 5 + your caster level for the purpose of this combat maneuver check. Attempt the combat maneuver check only once each round and apply the result to all creatures in the area of effect.  Each time the ground succeeds at a combat maneuver check to grapple a foe, it drags the creature farther down, eventually forcing the creature below its surface. With the first successful check, the target gains the grappled condition. Grappled opponents can't move without first breaking the grapple (doing so requires a successful DC 20 combat maneuver or Escape Artist check). The ground receives a +5 bonus on combat maneuver checks to grapple opponents it is already grappling. After the second successful grapple combat maneuver check, the grappled creature is pulled to the ground and becomes prone. On the third successful grapple combat maneuver check, the creature is fully buried and must hold its breath or begin suffocating.  A buried creature can't attempt to escape unless the effect ends or it breaks the grapple. The DC to escape the grapple increases to 25 for a creature that has been pulled beneath the earth.</t>
  </si>
  <si>
    <t>Ghoul (11)</t>
  </si>
  <si>
    <t>Augmenting Wall</t>
  </si>
  <si>
    <t>20-ft.-high wall of energy whose area is up to one 10-ft. square/level</t>
  </si>
  <si>
    <t>1 round/2 levels (see text)</t>
  </si>
  <si>
    <t>You create a wall of faintly shimmering elemental energy. Upon casting the spell, choose either acid, cold, electricity, or fire. The spell gains the chosen descriptor, and any thrown weapons or ammunition that pass through the augmenting wall as part of a ranged attack deal 1d6 points of energy damage of the specified type in addition to their normal damage. The wall has no effect on melee weapons or items not thrown as part of an attack.  As you cast the spell, you can limit the wall so that it only affects ranged weapons passing through it in the direction of your choice. Doing so halves the spell's duration.</t>
  </si>
  <si>
    <t>Ranged Tactics Toolbox</t>
  </si>
  <si>
    <t>Bloody Arrows</t>
  </si>
  <si>
    <t>antipaladin 3, inquisitor 3, magus 3, ranger 3, shaman 4, sorcerer/wizard 4, witch 4</t>
  </si>
  <si>
    <t>Whenever this spell's target hits a creature with a ranged weapon that successfully deals piercing or slashing damage, the struck creature takes 1 point of bleed damage. Unlike most bleed damage, the bleed damage dealt by the subject of this spell is cumulative up to an amount equal to 1/2 your caster level (to a maximum of 5 points of bleed damage at 10th level).</t>
  </si>
  <si>
    <t>Calm Air</t>
  </si>
  <si>
    <t>druid 4, sorcerer/wizard 5, summoner/unchained summoner 4</t>
  </si>
  <si>
    <t>cylinder (5-ft./level radius, 40 ft. high)</t>
  </si>
  <si>
    <t>This spell calms the air and disperses fog, dust, and other particles. The wind force in the area is reduced in strength by one step per 4 caster levels (to a minimum wind force of light) and clouds are dispersed, although parts of nonmagical clouds that extend beyond the area are not affected. If a magical cloud or wind's point of origin is inside the area of a calm air spell, the whole effect is suppressed; otherwise, only the part inside the area is suppressed. Suppression still counts against the duration of a wind or cloud effect. Magical wind and cloud effects are suppressed only if you succeed at a caster level check (DC 11 + effect's caster level). You can move the calm air effect by concentrating as a standard action.</t>
  </si>
  <si>
    <t>Conversing Wind</t>
  </si>
  <si>
    <t>This spell functions as whispering wind, except it can carry responses and doesn't end after delivering its first message. After the wind completes its initial message, it waits for 1 round, then copies what it hear, and returns at the same speed and by the same route. It delivers what it heard to the location where the spell was originally cast. The wind continues back and forth in this way until the duration ends or the spell is dismissed.</t>
  </si>
  <si>
    <t>Rain Of Arrows</t>
  </si>
  <si>
    <t>V, S, M (a quiver full of 20 arrows worth 1 gp)</t>
  </si>
  <si>
    <t>15-ft.-radius cloud of arrows</t>
  </si>
  <si>
    <t>You point your finger and conjure a cloud of magical arrows that rain down on any creatures and objects in the indicated area. You must have line of sight to the intended area. The arrows deal 1d6 points of piercing damage per caster level (maximum 20d6) to each creature and object in a 15-foot radius centered on the targeted square or intersection.  If the arrows used as a material component are all made of the same material (such as cold iron), the arrows created by the spell are also made of that material.</t>
  </si>
  <si>
    <t>Telekinetic Volley</t>
  </si>
  <si>
    <t>magus 2, sorcerer/wizard 2</t>
  </si>
  <si>
    <t>up to one touched object per level weighing up to 5 lbs. each</t>
  </si>
  <si>
    <t>The touched items levitate in your space. When you cast the spell and once per round thereafter, you can launch one item at a target of your choice as a standard action. The ranged attack is made as if you had thrown the item unless it's ammunition for a weapon, in which case the attack is made as if fired from a heavy crossbow (if a bolt), a halfling sling staff (if a sling bullet), a blowgun (if a blowgun dart), a composite longbow with a +2 Strength rating (if an arrow), an atlatlUE (if an atlatl dart), or a pistolUE (if a firearm bulletUE). A firearm pelletUE launched by the spell functions as a shuriken.  When you launch ammunition with this spell, you don't take a penalty on your attack rolls for lacking proficiency with the ammunition's weapon; you do, however, take the usual -4 penalty for throwing an improvised weapon if you launch an item not intended to be used as a weapon. The attack roll uses your caster level in place of your base attack bonus and your Intelligence or Charisma modifier (whichever is higher) in place of your Dexterity modifier. Range increment and proficiency penalties apply as normal. The attack has an effective Strength bonus, if applicable, equal to the higher of your Intelligence and Charisma modifiers. The spell is discharged when all touched items have been launched.</t>
  </si>
  <si>
    <t>Bouncy Body</t>
  </si>
  <si>
    <t>alchemist 1, bloodrager 1, sorcerer/wizard 1, witch 1</t>
  </si>
  <si>
    <t>The target's flesh becomes flexible and rubbery. It gains a +2 circumstance bonus on grapple combat maneuver checks and Escape Artist checks, as well as to its CMD against combat maneuver checks to grapple. Anytime the target would take falling damage, it treats falls as 20 feet shorter (minimum 0) for the purpose of determining damage. In addition, if the target falls against a hard surface, it can attempt an Acrobatics check (DC = the distance fallen) to attempt to bounce upward; success means the creature bounces upward half the distance fallen.</t>
  </si>
  <si>
    <t>Mud Buddy</t>
  </si>
  <si>
    <t>druid 2, sorcerer/wizard 2, witch 2</t>
  </si>
  <si>
    <t>V, S, M (1 pint of water)</t>
  </si>
  <si>
    <t>5 cubic feet of earth or mud</t>
  </si>
  <si>
    <t>1 hour/level (D) (see text)</t>
  </si>
  <si>
    <t>You create a Small minion out of mud, and it obeys your commands. The mud buddy has AC 12, 10 hit points, Strength 5, and a speed of 30 feet. It can perform any tasks an unseen servant can, plus any similar tasks its Strength allows (it's able to lift up to 50 pounds), but instead of walking on water, it gains a swim speed of 30 feet.  You can command a mud buddy to move up to 5 feet and trip an opponent (CMB = your caster level + your spellcasting ability score modifier). After the trip attempt is resolved, the spell ends.  When the spell ends, the mud buddy reverts to a patch of wet earth.</t>
  </si>
  <si>
    <t>Endothermic Touch</t>
  </si>
  <si>
    <t>V, S, M/DF (a small bit of snakeskin)</t>
  </si>
  <si>
    <t>one living creature that has the dragon type or the reptilian subtype</t>
  </si>
  <si>
    <t>Fort negates</t>
  </si>
  <si>
    <t>This spell slows the metabolism and other bodily functions of a creature for a short amount of time. The target is staggered and moves at half its normal speed (round down to the next 5-foot increment), but it can hold its breath for twice as long as normal.</t>
  </si>
  <si>
    <t>Scale Spikes</t>
  </si>
  <si>
    <t>alchemist 2, bloodrager 2, druid 2, ranger 2, shaman 2, sorcerer/wizard 2, witch 2</t>
  </si>
  <si>
    <t>V, S, M/DF (a small thorn)</t>
  </si>
  <si>
    <t>one living creature/level that is a reptile, has the dragon type, or has the reptilian subtype, and that also has a natural armor bonus of at least +1</t>
  </si>
  <si>
    <t>Fort negates (harmless)</t>
  </si>
  <si>
    <t>When the target is affected by this spell, its scales grow jagged spikes. These spikes act like +1 armor spikes. The subject is automatically considered proficient with these scale spikes.</t>
  </si>
  <si>
    <t>Scale Spikes, Greater</t>
  </si>
  <si>
    <t>alchemist 4, bloodrager 4, druid 3, ranger 3, shaman 3, sorcerer/wizard 3, witch 3</t>
  </si>
  <si>
    <t>V, S, M/DF (a bit of thistle)</t>
  </si>
  <si>
    <t>one living creature/level that is a reptile, has the dragon type, or has the reptilian subtype, and also has a natural armor bonus of at least +1</t>
  </si>
  <si>
    <t>This spell functions like scale spikes, except that the spikes growing out of the scales have an enhancement bonus on attack and damage rolls equal to +1 for every 4 caster levels (maximum +5). This bonus does not allow the spikes to bypass damage reduction aside from magic.</t>
  </si>
  <si>
    <t>Air Breathing</t>
  </si>
  <si>
    <t>alchemist 3, bloodrager 3, cleric/oracle 3, druid 3, magus 3, shaman 3, sorcerer/wizard 3, summoner/unchained summoner 3, psychic 3</t>
  </si>
  <si>
    <t>V, S, M/DF (flower or piece of grass)</t>
  </si>
  <si>
    <t>living aquatic creatures touched</t>
  </si>
  <si>
    <t>The transmuted creatures can breathe air freely. Divide the duration evenly among all the creatures you touch. The spell doesn't make creatures unable to breathe water.</t>
  </si>
  <si>
    <t>Blood In The Water</t>
  </si>
  <si>
    <t>cleric/oracle 2, sorcerer/wizard 2, psychic 2, mesmerist 2</t>
  </si>
  <si>
    <t>As part of the casting of this spell, you must deal 1 point of piercing or slashing damage to yourself to release your blood. This causes you to take 1 point of bleed damage. While the spell is in effect, all sharks, feeders in the depths, and creatures with the blood frenzy ability in the area gain a +2 bonus to Strength and Constitution and take a -2 penalty to AC. This is treated as blood frenzy for the purposes of other feats and effects, and doesn't stack with the effects of actual blood frenzy. If you cease bleeding, the spell immediately ends.</t>
  </si>
  <si>
    <t>Gift Of The Deep</t>
  </si>
  <si>
    <t>cleric/oracle 4, sorcerer/wizard 5</t>
  </si>
  <si>
    <t>one non-mutated sahuagin/level, no two of which can be more than 30 ft. apart</t>
  </si>
  <si>
    <t>Fortitude negate (harmless)</t>
  </si>
  <si>
    <t>You give the targets the appearance and many of the abilities of sahuagin mutants, with effects as described below. Choose one benefit for all targets of this spell. This spell has no effect on sahuagin that are already mutants or already under the effects of gift of the deep.  Four-Armed: The sahuagin sprouts an extra pair of arms-which can be used to make claw attacks (dealing 1d4 points of damage), or to wield weapons or hold items. It gains the benefits of the Multiattack and Multiweapon Fighting feats.  Malenti: The sahuagin's features shift to resemble those of an aquatic elf. It loses its light blindness as well as its claw and bite attacks. The sahuagin gains a +4 enhancement bonus to Dexterity and Charisma, and a +10 circumstance bonus on Disguise checks to appear to be an aquatic elf.  Prehistoric: The sahuagin grows in size, as enlarge person. It also gains a +2 enhancement bonus to its natural armor.  Shark-Blooded: The sahuagin's tail elongates and melds with its legs. Its mouth enlarges, increasing its bite damage by one size category (to 1d6 for a typical sahuagin). Its swim speed increases by 20 feet, but its land speed is reduced to 5 feet. The sahuagin can't be tripped.  Sightless: The sahuagin is blinded, but gains the benefits of the Blind Fight feat and blindsense with a range of 90 feet.  Spined: Spines grow on the sahuagin's scales. Any creature that successfully grapples with it, is grappled by it, or hits it with an unarmed strike or natural weapon takes 1d4 points of piercing damage. The sahuagin also gains the benefits of the Improved Grapple feat.</t>
  </si>
  <si>
    <t>Spellsteal</t>
  </si>
  <si>
    <t>cleric/oracle 5, sorcerer/wizard 5, witch 5, psychic 5</t>
  </si>
  <si>
    <t>You create a discordant blast of energy that disrupts the target's available magic and transfers knowledge of that magic to you.  If the target prepares spells, it must choose one of its prepared 3rd-level spells, which is immediately lost. If the target has no 3rd-level spells prepared, it loses a 2nd-level spell it has prepared. This progresses down to a 1st-level spell if the target has no 2nd-level spells prepared, and this spell has no effect if the target also has no 1st-level spells prepared. If the spell is on your spell list, you can cast this lost spell (using your caster level) on your next turn.  If the target is a spontaneous spellcaster, it loses one of its available 3rd-level spell slots. If the target has no available 3rd-level spell slots, it must lose a 2nd-level spell slot (progressing as above). Randomly select one of the target's spells known of that spell level; if that spell is on your spell list, you can cast it (using your caster level) on your next turn.  You must provide any focus or material components to cast the stolen spell.  If the target has more than one spellcasting class, choose one at random to be affected. This spell has no effect on spell-like abilities.  Any spell or spell slot lost because of this spell is treated as if the caster had failed a concentration check while trying to cast-the spell or spell slot is wasted and has no effect, but it is recovered normally the next time the character prepares spells or regains spell slots.</t>
  </si>
  <si>
    <t>Sundered Serpent Coil</t>
  </si>
  <si>
    <t>magus 3, sorcerer/wizard 3, summoner/unchained summoner 3, witch 3</t>
  </si>
  <si>
    <t>one 5-foot square</t>
  </si>
  <si>
    <t>This spell functions like black tentacles, except it creates a Large decapitated snake, which erupts from the ground and grapples a creature you specify within its 5-foot reach. As a standard action, you can command the snake to release its grappled target and direct it to attack a different creature.</t>
  </si>
  <si>
    <t>Curse Of Unexpected Death</t>
  </si>
  <si>
    <t>curse, death</t>
  </si>
  <si>
    <t>cleric/oracle 4, shaman 5, witch 5</t>
  </si>
  <si>
    <t>You curse one living creature with a chance of instant and unexpected death. When you cast this spell, your hand seethes with eerie gray fire. You must succeed at a melee touch attack to touch the target, at which time the fire buries itself within the target's body and disappears. On the round you touch the creature and once per minute thereafter, roll 1d100. On a result of 01-05, the spell is triggered and the creature takes 8d6 points of damage + 1 point per caster level; the creature can attempt a saving throw to reduce the damage to 2d6 points of damage + 1 point per caster level. On a result of 06-100, nothing happens.  Once the spell is triggered or if the duration expires before it triggers, the magic ends and no further 1d100 rolls are made. If the target has spell resistance, a caster level check is made when you succeed at the touch attack. A creature can be affected by only one instance of this spell at a time. The untriggered spell can be removed with dispel magic, remove curse, or similar effects.</t>
  </si>
  <si>
    <t>AP 89</t>
  </si>
  <si>
    <t>Burdened Thoughts</t>
  </si>
  <si>
    <t>druid 2, shaman 2, sorcerer/wizard 3, witch 2</t>
  </si>
  <si>
    <t>V, S, M (a lead bearing wrapped in clay)</t>
  </si>
  <si>
    <t>You fill a creature's mind with the realization of its earthly weight and responsibilities. Disheartened and wearied by these thoughts, the creature gains heavy encumbrance and is unable to fly (if already flying, it must land as soon as possible). If the creature is three or more size categories larger than you, it's also staggered.</t>
  </si>
  <si>
    <t>Giant Hunters Handbook</t>
  </si>
  <si>
    <t>Hollow Blades</t>
  </si>
  <si>
    <t>magus 2, ranger 1, shaman 3, sorcerer/wizard 3, witch 3</t>
  </si>
  <si>
    <t>All melee and natural attacks from the target deal damage as if the target were one size category smaller than it actually is. While the target is under the effects of this spell, weapons dropped by the target function normally for other creatures, while any melee weapons picked up by the target deal damage as if one size smaller. Ranged attacks and weapons are unaffected by this spell.</t>
  </si>
  <si>
    <t>Runic Overload</t>
  </si>
  <si>
    <t>bloodrager 3, magus 4, sorcerer/wizard 5, witch 6</t>
  </si>
  <si>
    <t>V, S, M (a small rune carved from stone)</t>
  </si>
  <si>
    <t>This spell charges magical runes to an explosive degree. If cast on a creature with magical runes on its body, such as a rune giant or a runescarred creature (Pathfinder Campaign Setting: Lost Cities of Golarion 60), it deals 1d6 points of sonic damage per caster level (maximum 20d6) to the target and stuns the target for 1 round. When the spell is cast in this way, it must overcome the target's spell resistance. A successful Will save halves the damage and negates the stun effect.  The spell can also be cast on other magical runes, such as those from arcane mark or explosive runes. In this case, the resulting explosion deals 1d8 points of sonic damage per  2 caster levels (maximum 10d8) to all creatures within a 5-foot radius. Creatures in the area that succeed at a Reflex save take half damage. This spell doesn't destroy runes; targeted runes continue to function normally. Mundane runes, such as ones in writing or runic tattoos, cannot be affected by this spell.</t>
  </si>
  <si>
    <t>Siphon Might</t>
  </si>
  <si>
    <t>druid 3, magus 3, sorcerer/wizard 3, summoner/unchained summoner 3, witch 3</t>
  </si>
  <si>
    <t>You drain the might of the target and transfer that power to another creature. The subject takes a penalty to Strength equal to 1d6 + 1 per 2 caster levels (maximum 1d6 + 5). This effect can't cause the subject's Strength score to drop below 1. A successful Fortitude save halves this penalty. This penalty doesn't stack with itself or the penalty applied from ray of enfeeblement.  You can grant any one creature adjacent to you (including yourself) an enhancement bonus to Strength equal to the Strength penalty imposed by this spell.</t>
  </si>
  <si>
    <t>Stone Throwing</t>
  </si>
  <si>
    <t>bloodrager 1, cleric/oracle 2, druid 2, magus 2, ranger 1, sorcerer/wizard 2</t>
  </si>
  <si>
    <t>V, S, M (powdered stone)</t>
  </si>
  <si>
    <t>The subject gains the rock throwing and rock catching abilities (Pathfinder RPG Bestiary 303). It can use these abilities with any solid, mostly inflexible object with a hardness of at least 5.  The subject can hurl rocks up to two categories smaller than its own size. The range increment for this attack is 20 feet, and rocks can be hurled a maximum of 5 range increments. Damage is based on the size of the subject-1d8 points of damage for a Large creature, 1d6 for a Medium creature, or 1d4 for a Small creature-plus 1-1/2 times the thrower's Strength bonus.  For every size category smaller than Large the subject is, it receives a cumulative -5 penalty on Reflex saves to catch rocks (or similar projectiles) thrown at it.</t>
  </si>
  <si>
    <t>Steal Size</t>
  </si>
  <si>
    <t>bloodrager 2, druid 3, magus 3, sorcerer/wizard 2, witch 2</t>
  </si>
  <si>
    <t>V, S, M (a piece of iron shaped like a scale tray)</t>
  </si>
  <si>
    <t>one humanoid creature larger than you</t>
  </si>
  <si>
    <t>This spell reduces the target's size by one size category, as if it were affected by reduce person. You grow in size by one category, as if affected by enlarge person ( if y ou c an b e targeted by that spell). If the spell is dispelled or otherwise ends for either you or the target, both you and the target return to your normal sizes.</t>
  </si>
  <si>
    <t>Twisted Futures</t>
  </si>
  <si>
    <t>bard 1, cleric/oracle 2, druid 1, shaman 1, sorcerer/wizard 2, witch 1</t>
  </si>
  <si>
    <t>V, S, M (a small die with the faces scratched off)</t>
  </si>
  <si>
    <t>By rearranging the threads of fate, you disrupt fortunate outcomes for other creatures. A creature affected by this spell is unable to benefit from effects that grant the ability to roll multiple times and take the higher result (like the swashbuckler's charmed life ability) or to choose the die result in lieu of rolling (like the wizard's prescience school power or the cyclops's flash of insight ability). This doesn't affect abilities that force a creature to take the lower of two rolls, such as ill omen or a pugwampi's unluck aura (Pathfinder RPG Bestiary 2 144). A cyclops can't use its flash of insight ability to save against this spell.</t>
  </si>
  <si>
    <t>Amplify Stench</t>
  </si>
  <si>
    <t>cleric/oracle 2, druid 2, shaman 2, sorcerer/wizard 2, psychic 2</t>
  </si>
  <si>
    <t>You amplify your natural stench special ability-its save DC increases by 2, and creatures that fail their saving throws against your stench become nauseated rather than sickened. If your stench ability normally causes a creature to become nauseated (such as with the foul stench ability), the radius of your stench doubles instead. This spell has no effect if you don't possess the stench special ability.</t>
  </si>
  <si>
    <t>Mark Of The Reptile God</t>
  </si>
  <si>
    <t>antipaladin 4, cleric/oracle 4, inquisitor 4</t>
  </si>
  <si>
    <t>If you succeed at a ranged touch attack, you burn your handprint onto the flesh of a creature, dealing 1d6 points of acid damage. The mark can be placed on any exposed portion of the creature, typically the head or forearm. The flesh around the handprint becomes rough and scaly, like the hide of a lizard. It also glows with a green radiance (shedding light as a torch) when brought within 60 feet of you. While the handprint glows, the target takes a -2 penalty to AC against your attacks and on saving throws to resist any spell you cast or spell-like ability you use.  Additionally, each day the target remains cursed, more and more of its flesh becomes covered in reptilian scales. The target must succeed at a Fortitude save each day or take 1d4 points of Charisma damage, 1 point of which is Charisma drain instead. A creature reduced to 0 Charisma by this effect is immediately transformed into a small, harmless cave lizard, as the baleful polymorph spell.  As with the effects of bestow curse, the curse inflicted by this spell cannot be dispelled, but it can be removed with a break enchantment, limited wish, miracle, remove curse, or wish spell.</t>
  </si>
  <si>
    <t>Swarm Of Fangs</t>
  </si>
  <si>
    <t>druid 3, sorcerer/wizard 3, summoner/unchained summoner 3, witch 3, psychic 3</t>
  </si>
  <si>
    <t>V, S, M (a lizard's tooth)</t>
  </si>
  <si>
    <t>one swarm of animate teeth</t>
  </si>
  <si>
    <t>You summon a swarm consisting of thousands of animate, flying teeth in a 10-foot-by-10-foot cube. These fangs attack all creatures within the swarm's area. You can summon the swarm so that it shares an area with other creatures, and you can move the swarm up to 40 feet each round as a move action. If you choose not to move the swarm, it automatically moves up to 40 feet to envelop the nearest creature (including you) if it has not already done so.  Creatures caught inside the swarm's area of effect take 2d6 points of damage. The fangs deal damage to all creatures sharing their area when they first appear, and at the end of their movement each round.</t>
  </si>
  <si>
    <t>Transfer Regeneration</t>
  </si>
  <si>
    <t>cleric/oracle 3, druid 3, shaman 3, witch 3, psychic 3</t>
  </si>
  <si>
    <t>1 willing living creature</t>
  </si>
  <si>
    <t>You bestow your regenerative abilities on the target. Your regeneration stops functioning for the duration of the spell, and the target gains your regeneration. For example, if you have regeneration 5 (acid or fire), your target gains regeneration 5 (acid or fire). This regeneration overlaps (does not stack) with any regeneration the creature already has, including other castings of this spell. This spell has no effect if you don't have the regeneration ability or your regeneration isn't functioning when you cast the spell.</t>
  </si>
  <si>
    <t>Trial Of Fire And Acid</t>
  </si>
  <si>
    <t>acid, fire</t>
  </si>
  <si>
    <t>bloodrager 3, cleric/oracle 3, magus 3, shaman 3, sorcerer/wizard 3, witch 3</t>
  </si>
  <si>
    <t>The target creature is covered in burning acid that deals 1d6 points of acid damage and 1d6 points of fire damage each round. The subject can attempt a Fortitude saving throw each round to reduce the damage by half. Dousing the target in water ends the effect (both the acid and the fire), but rolling on the ground does not extinguish the fire or affect the acid.</t>
  </si>
  <si>
    <t>Disrupt Link</t>
  </si>
  <si>
    <t>antipaladin 2, bard 3, inquisitor 3, sorcerer/wizard 2, witch 2</t>
  </si>
  <si>
    <t>one creature and her animal companion, familiar, or other bonded creature (which may be no more than 30 ft. apart)</t>
  </si>
  <si>
    <t>The target has her link with her bonded creature temporarily severed. If the subject has a familiar, she loses the benefits of the alertness, deliver touch spells, empathic link, scry on familiar, share spells, and speak with master abilities. If the target has an animal companion, she loses the benefits of the link, share spells, and devotion abilities. The target and her familiar or animal companion also lose any other abilities (such as those from archetypes or feats) that rely on the two having a connection.</t>
  </si>
  <si>
    <t>Familiar Folio</t>
  </si>
  <si>
    <t>Duplicate Familiar</t>
  </si>
  <si>
    <t>alchemist 4, sorcerer/wizard 5, witch 5</t>
  </si>
  <si>
    <t>V, S, M (alchemically preserved mockingfey feathers), F (familiar)</t>
  </si>
  <si>
    <t>temporary duplicate of familiar touched</t>
  </si>
  <si>
    <t>You create a duplicate of a familiar. The familiar's master can use the duplicate as if it were his familiar in all respects, though he doesn't gain the bonus special ability from more  than one familiar at a time. When the spell's duration expires, the familiar duplicate shrivels into nothing, even if petrified or otherwise transformed.</t>
  </si>
  <si>
    <t>Empathy Conduit</t>
  </si>
  <si>
    <t>shaman 5, sorcerer/wizard 5, witch 5</t>
  </si>
  <si>
    <t>V, S, F (a glass rod)</t>
  </si>
  <si>
    <t>an animal companion, familiar, or other bonded creature and its master (which may be no more than 30 ft. apart)</t>
  </si>
  <si>
    <t>You make a conduit between the targeted master and her familiar, allowing you to target the master or the familiar with your spells in order to affect the other. If the master succeeds at its save to resist this spell but the familiar fails, you can choose to have your spells that target the master affect the familiar instead. If the familiar resists but the master doesn't, your spells that target the familiar can affect the master instead. If both the familiar and the master fail to resist this spell, you can affect either the familiar or the master when you target either with a spell. When you target the master to affect her familiar or vice versa, the target attempts a save (if one is allowed) with its own saving throw bonus, but the other creature is affected by the spell.  Only spells that target one or more creatures can be cast through empathy conduit. The creature to be affected must still be a valid target of the spell being cast; for example, you can't affect a familiar with charm person through an empathy conduit. Spells with a duration other than instantaneous that are cast through an empathy conduit last either their normal duration or until the empathy conduit expires, whichever comes first. Whenever the master or its familiar is targeted with a spell intended to affect the other creature, the targeted creature can attempt an additional save against the empathy conduit.</t>
  </si>
  <si>
    <t>Soulswitch</t>
  </si>
  <si>
    <t>bard 5, cleric/oracle 5, druid 5, inquisitor 5, magus 5, shaman 5, sorcerer/wizard 5, witch 5</t>
  </si>
  <si>
    <t>V, S, F (two brass collars worth 50 gp each)</t>
  </si>
  <si>
    <t>you and your familiar</t>
  </si>
  <si>
    <t>You may only cast this spell if you currently have a familiar. You place your soul into the body of your familiar, and your familiar's soul is placed in your body. This functions as if you possessed your familiar using magic jar; your familiar simultaneously possesses your body in the same manner. You can't freely transfer your soul between your body and your familiar's-if you choose to return to your body as a standard action, the spell ends. If either body is killed, both spirits return to their original bodies, the spell ends, and the original owner of the slain body dies.</t>
  </si>
  <si>
    <t>Transfer Familiar</t>
  </si>
  <si>
    <t>your familiar and one willing creature</t>
  </si>
  <si>
    <t>You temporarily grant control of your familiar to another willing creature. You, your familiar, and the target creature must all be touching each other when you cast this spell. The target gains all the benefits and abilities normally associated with having a familiar, including the ability to share spells, speak with the familiar, and so on. You lose all of these benefits for the duration of the spell. If the target already has a familiar, the spell fails.</t>
  </si>
  <si>
    <t>Beanstalk</t>
  </si>
  <si>
    <t>sorcerer/wizard 4, summoner/unchained summoner 4, witch 4</t>
  </si>
  <si>
    <t>V, S, M (a small handful of beans)</t>
  </si>
  <si>
    <t>0 ft. (see text)</t>
  </si>
  <si>
    <t>a 5-foot-radius beanstalk that grows to a height of 50 ft./caster level</t>
  </si>
  <si>
    <t>When casting this spell, you must plant the material components in soil. When you do, at the end of casting, a large beanstalk rises up from the ground. It's strong enough to support Huge or smaller creatures weighing no more than 2,000 pounds total, and has enough handholds and footholds that it can be climbed as if it were knotted rope (Climb DC 5). At the end of the spell's duration, the beanstalk withers and dies at an accelerated rate, leaving nothing more than a pile of compost.</t>
  </si>
  <si>
    <t>AP 91</t>
  </si>
  <si>
    <t>Flaming Aura</t>
  </si>
  <si>
    <t>bloodrager 4, cleric/oracle 4, magus 4, shaman 4, sorcerer/wizard 4, summoner/unchained summoner 4, witch 4</t>
  </si>
  <si>
    <t>V, S, M/DF (a small piece of charcoal)</t>
  </si>
  <si>
    <t>you (see text)</t>
  </si>
  <si>
    <t>none (harmless, see text)</t>
  </si>
  <si>
    <t>no (harmless, see text)</t>
  </si>
  <si>
    <t>The spell allows you channel fire into your very being. If you don't already have the fire subtype, this spell grants you the fire subtype. If you already have the fire subtype, you instead channel the flames from your being outward, creating a 10-foot-radius aura of fire centered on you. Creatures who enter or end their turns in the aura must succeed at a Fortitude saving throw or take 1d8 points of fire damage.  Multiple castings of this spell stack; you can cast it once on yourself to gain the fire subtype, then again to manifest the aura of flames around you.</t>
  </si>
  <si>
    <t>Frosty Aura</t>
  </si>
  <si>
    <t>V, S, M/DF (a chunk of ice or a few drops of water melted from glacier ice)</t>
  </si>
  <si>
    <t>The spell allows you to channel cold into your very being. If you don't already have the cold subtype, this spell grants you the cold subtype. If you already have the cold subtype, you instead channel the frost from your being outward, creating a 10-foot-radius aura of cold centered on you. Creatures who enter or end their turns in the aura must succeed at a Fortitude saving throw or take 1d8 points of cold damage.  Multiple castings of this spell stack; you can cast it once on yourself to gain the cold subtype, then again to manifest the aura of frost around you.</t>
  </si>
  <si>
    <t>Quick Throwing</t>
  </si>
  <si>
    <t>antipaladin 2, bloodrager 2, magus 2, paladin 2, ranger 2</t>
  </si>
  <si>
    <t>Those under the effects of this spell become faster in the use of thrown weapons. They can draw thrown weapons (including rocks if they have the rock throwing ability) on their bodies or within their space without the need for the Quick Draw feat, allowing them to make their full normal rate of attacks with such weapons. This has no effects on other forms of ranged weapon ammunition.</t>
  </si>
  <si>
    <t>Thunderous Footfalls</t>
  </si>
  <si>
    <t>one Large or larger creature</t>
  </si>
  <si>
    <t>This spell makes the target creature's footfalls shake the ground violently as he trundles, which may knock down smaller creatures as he passes by, though it also makes the target slower on land. The target's land speed is reduced by half (round down to the nearest 5-foot increment), but each time he moves overland adjacent to a creature that is at least one size category smaller than he is, that creature must succeed at a Fortitude saving throw or be knocked prone.</t>
  </si>
  <si>
    <t>Thanatotic Fury</t>
  </si>
  <si>
    <t>V, S, M (shavings from a holy symbol)</t>
  </si>
  <si>
    <t>You may cast this spell only if you have the giant subtype. When casting this spell, you channel the fury and the abilities of thanatotic titans, gaining some of their abilities for a short period of time. When you hit a creature capable of casting divine spells, that creature must succeed at a Will saving throw or be unable to cast divine spells for 1d4 rounds and be shaken for the same duration. If the save is successful, the target is instead shaken for only 1 round.  Additionally, your attacks are treated as epic and evil for the purposes of overcoming damage reduction.</t>
  </si>
  <si>
    <t>Titanic Anchoring</t>
  </si>
  <si>
    <t>antipaladin 3, bloodrager 3, cleric/oracle 3, magus 3, paladin 3, ranger 3</t>
  </si>
  <si>
    <t>V, S, M (a shaving of oak root)</t>
  </si>
  <si>
    <t>You become grounded and nearly immovable. You are immune to the pull and push special abilities, and all bull rush, grapple, overrun, reposition, and trip combat maneuvers made by creatures your size or smaller always fail. You gain a +10 bonus to your CMD against those combat maneuver checks made by creatures larger than you.</t>
  </si>
  <si>
    <t>Aura Of Inviolate Ownership</t>
  </si>
  <si>
    <t>cleric/oracle 3, inquisitor 3, paladin 3</t>
  </si>
  <si>
    <t>This spell wards the attended items of all creatures it targets (items held, securely fastened to their person, or in containers on their person), enhancing each creature's grip and protecting items from loss or theft. The DC of Sleight of Hand checks to remove items warded by the spell is increased by 20, and affected creatures gain a +20 bonus to their CMDs against disarm and steal combat maneuvers.</t>
  </si>
  <si>
    <t>Melee Tactics Toolbox</t>
  </si>
  <si>
    <t>Blade Tutor's Spirit</t>
  </si>
  <si>
    <t>antipaladin 2, magus 1, paladin 2, sorcerer/wizard 2, summoner/unchained summoner 2</t>
  </si>
  <si>
    <t>You summon an insubstantial spirit of force that resembles a cloudy vapor hovering around your fists or any melee weapons you wield. The spirit compensates for your defensive or reckless melee attacks, nudging your weapons in the proper direction. When you voluntarily use one or more actions or feats that apply penalties to attack rolls with your melee weapons (such as a charge, fighting defensively, or using the Power Attack feat), the spirit reduces the total penalty on affected attacks by 1 (to a minimum penalty of 0). The penalty is reduced by an additional 1 for every 5 caster levels you possess (to a minimum penalty of 0). Only penalties incurred by voluntary use of feats or maneuvers are reduced by this spell.  The spirit can't be attacked or harmed by physical attacks, but disintegrate, dispel magic, a rod of cancellation, or a sphere of annihilation can affect it. A protective spirit's AC against touch attacks is equal to 10 + your Dexterity modifier.</t>
  </si>
  <si>
    <t>Darting Duplicate</t>
  </si>
  <si>
    <t>antipaladin 1, bard 1, magus 1, shaman 1, sorcerer/wizard 1, witch 1</t>
  </si>
  <si>
    <t>visual figment of the caster</t>
  </si>
  <si>
    <t>An illusory duplicate of you steps clumsily into an adjacent square, presenting a tempting target before winking out of existence. Any creature that threatens that square must succeed at a Will save or make an attack of opportunity against the image. The image's AC is equal to 10 + 1/2 your caster level, but as a figment, the image is unaffected by any attack.</t>
  </si>
  <si>
    <t>Dimensional Blade</t>
  </si>
  <si>
    <t>antipaladin 4, bloodrager 4, cleric/oracle 6, inquisitor 5, magus 5, paladin 4, sorcerer/wizard 6</t>
  </si>
  <si>
    <t>This spell gives you the power to turn one melee weapon in your hand into a two-dimensional object with length and height but no width. A sword becomes a flat image of a sword, a mace is reduced to a flat outline, and so on. The magic of the spell allows the weapon to be wielded by you normally, creating just enough depth to grasp it.  Attacks made with the weapon are melee touch attacks that ignore all armor. Force effects, such as mage armor and shield, still apply their AC against attacks made with a dimensional blade. Bludgeoning weapons used to make attacks with this spell deal half damage and are treated as slashing weapons. If the weapon leaves your hand before the end of the spell, the effect ends.</t>
  </si>
  <si>
    <t>Fiery Runes</t>
  </si>
  <si>
    <t>alchemist 2, bloodrager 2, druid 2, magus 2, sorcerer/wizard 2</t>
  </si>
  <si>
    <t>You charge a weapon with a magic rune of fire. When the wielder of the weapon successfully strikes a foe in melee with the weapon, the wielder can discharge the rune as a swift action to deal 1d4+1 points of fire damage to the target. This damage isn't multiplied on a critical hit. If the target has spell resistance, you attempt a caster level check (1d20 + caster level) against that spell resistance when the rune is discharged. If the rune is successfully resisted, the spell is dispelled; otherwise, the rune deals damage normally.  For every 2 caster levels beyond 3rd the caster possesses, the rune deals an additional 1d4+1 points of fire damage (2d4+2 at caster level 5th, 3d4+3 at 7th, and so on) to a maximum of 5d4+5 points of fire damage at caster level 11th.</t>
  </si>
  <si>
    <t>Instant Weapon</t>
  </si>
  <si>
    <t>bard 2, bloodrager 2, cleric/oracle 2, inquisitor 2, magus 2, sorcerer/wizard 2</t>
  </si>
  <si>
    <t>melee weapon of opaque force</t>
  </si>
  <si>
    <t>You create a melee weapon sized appropriately for you from opaque force. You are considered proficient with this weapon, which acts in all ways as a masterwork weapon typical of its type. The instant weapon has hardness 20 and the same number of hit points as a typical weapon of its type. As a force effect, it can strike and damage incorporeal creatures. If the instant weapon leaves your hand at any time, the spell ends at the beginning of your next turn.</t>
  </si>
  <si>
    <t>Reaper's Coterie</t>
  </si>
  <si>
    <t>antipaladin 2, bloodrager 2, cleric/oracle 3, inquisitor 3, witch 3</t>
  </si>
  <si>
    <t>The target weapon becomes a reservoir of spiritual energy, fueling its destructive power by drawing in a tiny fragment of the essence of each creature it is used to defeat. When the targeted weapon is used to reduce a living creature to 0 or fewer hit points, it gains a +1 profane bonus on damage rolls. This bonus increases by 1 for each creature reduced to 0 hit points or fewer with that weapon, up to a maximum bonus equal to 1/2 your caster level.</t>
  </si>
  <si>
    <t>Rubberskin</t>
  </si>
  <si>
    <t>alchemist 4, magus 4, sorcerer/wizard 5, witch 5</t>
  </si>
  <si>
    <t>V, S, M (a piece of rubber or drop of tar)</t>
  </si>
  <si>
    <t>Your skin becomes more elastic, distributing crushing damage efficiently. For the duration of the spell, all bludgeoning and falling damage you take is converted into nonlethal damage. This spell has no effect if you're immune to nonlethal damage.</t>
  </si>
  <si>
    <t>Umbral Weapon</t>
  </si>
  <si>
    <t>cold, shadow</t>
  </si>
  <si>
    <t>antipaladin 2, bard 2, magus 2, sorcerer/wizard 2, witch 2</t>
  </si>
  <si>
    <t>V, S, M (a pair of miniature swords)</t>
  </si>
  <si>
    <t>A shadowy afterimage trails behind the targeted weapon, potentially damaging foes even when the weapon misses. Once per round, when the weapon's wielder misses a creature with the target weapon, the wielder can reroll the attack. If the reroll hits, the spell hits the targeted creature and deals 1d8 points of cold damage, plus 1 additional point per 2 caster levels (maximum +10). If an attacked creature has spell resistance, you must attempt a caster level check (1d20 + caster level) against that spell resistance the first time the spell damages the target. If the creature successfully resists umbral weapon, the spell is dispelled. If not, the creature takes damage as normal.</t>
  </si>
  <si>
    <t>Cheetah's Sprint</t>
  </si>
  <si>
    <t>bloodrager 1, druid 1, ranger 1, shaman 1, witch 1</t>
  </si>
  <si>
    <t>A wild surge of energy courses through your body and propels you into a sprint. If you take a charge or run action before the end of your turn, you can move a total distance of up to 10 times your base land speed. This adjustment is an enhancement bonus. There is no effect on other modes of movement, such as burrow, climb, fly, or swim. As with other effects that increase your speed, this spell affects your jumping distance.</t>
  </si>
  <si>
    <t>Heroes Of The Wild</t>
  </si>
  <si>
    <t>Clear Grove</t>
  </si>
  <si>
    <t>druid 3, ranger 2, shaman 3, witch 3</t>
  </si>
  <si>
    <t>V, S, M/DF (a miniature hoe)</t>
  </si>
  <si>
    <t>20-ft.-radius clearing</t>
  </si>
  <si>
    <t>Trees, shrubs, and other thick vegetation move out of the spell's area. The affected area is cleared of all vegetation thick enough to provide cover or concealment. This also creates a hole in any tree canopy, allowing sunlight to pass through. Affected trees and undergrowth form a 5-foot-wide ring along the edge of the clearing, which may provide cover or concealment based on the thickness of the vegetation (at the GM's discretion).  This spell doesn't affect creatures of the plant type. The spell can affect vegetation altered with spells of equal or lower level (such as entangle or spike growth). When the spell ends, the trees and undergrowth move back to their original places unless they're destroyed or somehow restrained (the amount of time this takes is subject to the GM's discretion).</t>
  </si>
  <si>
    <t>Globe Of Tranquil Water</t>
  </si>
  <si>
    <t>cleric/oracle 4, druid 4, shaman 4, sorcerer/wizard 5, witch 4</t>
  </si>
  <si>
    <t>V, S, M/DF (a glass globe)</t>
  </si>
  <si>
    <t>Upon casting this spell, a rippling bubble of calm water extends outward from you to a radius of 20 feet and remains centered on you when you move. The bubble blocks all natural and magical precipitation such as rain, snow, and hail (including spells such as ice storm). This bubble also pushes out any fog or mist within the area, though it does not affect temperature and can't block natural or magical lightning.  All water in this radius counts as calm water for the purposes of Swim checks, and the bubble prevents sprays and blasts of mundane and magic water from striking with enough force to deal damage, move creatures or halt their movement, or perform any action that requires an attack roll or combat maneuver check.  Water elementals are affected by a globe of tranquil water the same way creatures of the plant type are affected by an antiplant shell.</t>
  </si>
  <si>
    <t>Oasis</t>
  </si>
  <si>
    <t>cleric/oracle 6, druid 5, sorcerer/wizard 6</t>
  </si>
  <si>
    <t>V, S, M/DF (1 gallon of water)</t>
  </si>
  <si>
    <t>close (25 ft. + 5 f t./2 levels)</t>
  </si>
  <si>
    <t>water source similar to a natural spring</t>
  </si>
  <si>
    <t>This spell functions in any natural terrain on the Material Plane. It redirects the flow of water in the ground toward the surface at the designated point, creating a permanent water source similar to a natural spring. The spring discharges 5 gallons of pure drinking water per caster level each hour. If the shape of the terrain is suitable, a pond forms around the spring. If there is already a natural spring within 1 mile, its water output is reduced by an amount equal to the water produced by this spell's spring. A spring that has its water output reduced to 0 gallons per hour dries up and ceases to be a spring.  This spell functions differently depending on the terrain in which it's cast. In a desert, you must succeed at a DC 25 caster level check to actually create the spring, and its output is 1 gallon of drinking water per caster level each day. Furthermore, in dry areas, erosion may cause the flow of water to be blocked if the affected area is left untended before a sufficient amount of vegetation has grown around it to keep the soil in place. In an arctic environment, low temperatures may cause the water to freeze. In a tropical environment, parasites may contaminate the water if the spring is created in a place where the water stands in a stagnant pool.</t>
  </si>
  <si>
    <t>Planar Refuge</t>
  </si>
  <si>
    <t>cleric/oracle 7, druid 7, sorcerer/wizard 7, shaman 7, summoner/unchained summoner 6, witch 7</t>
  </si>
  <si>
    <t>V, S, M (precious stones worth 500 gp)</t>
  </si>
  <si>
    <t>50-ft.-radius area of safe environment</t>
  </si>
  <si>
    <t>This spell enforces the rules of the Material Plane on other planes of existence. Upon casting this spell on another plane, a spherical pocket of wilderness terrain forms around the designated point. The affected area defies the local climate and planar traits, suppressing any harmful environmental effects such as toxicity, extreme temperatures, or lack of air (though this spell doesn't affect gravity). The area also becomes lush with edible plants whose appearance, taste, and smell bear characteristics distinct to the environment. On a negative-dominant planeGMG, for example, the plants grow ghastly white leaves and taste bitter. Though planar refuge can be cast on any plane of existence other than the Material Plane, it requires a body of solid matter at least as large as its area to function.  Planar refuge can be made permanent with a permanency spell cast by a caster of 11th level or higher at a cost of 7,500 gp.</t>
  </si>
  <si>
    <t>Raven's Flight</t>
  </si>
  <si>
    <t>bard 3, druid 3, inquisitor 3, magus 2, ranger 2, shaman 2, sorcerer/wizard 2, witch 2</t>
  </si>
  <si>
    <t>You can cast this spell only if it is the first action you take on your turn. In a burst of shadowy feathers, you turn into a Tiny blurred shape reminiscent of a black raven until the beginning of your next turn. You gain a fly speed of 50 feet with good maneuverability, and apply appropriate size modifiers (though your ability scores don't change). Until the beginning of your next turn, you can take only the 5-foot step, move, run, or withdraw actions. If the spell is dispelled while you are still aloft, the power of flight dissipates slowly; you float downward 60 feet on your next turn, then fall any remaining distance.</t>
  </si>
  <si>
    <t>Wild Instinct</t>
  </si>
  <si>
    <t>bloodrager 2, druid 2, ranger 2, shaman 2</t>
  </si>
  <si>
    <t>standard action</t>
  </si>
  <si>
    <t>This spell sharpens your senses, allowing you to perceive threats you would otherwise miss. You become aware of sounds and smells you would normally overlook, and even retain the ability to detect threats when soundly asleep. For the duration of the spell, you gain a +5 bonus on Perception checks to act in a surprise round. Additionally, you don't take a penalty on Perception checks while sleeping, and can choose to wake if you notice a threat while asleep.</t>
  </si>
  <si>
    <t>Gravel Vortex</t>
  </si>
  <si>
    <t>You create a hail of tiny pieces of rock and dust that batter and scrape against all things in the area, dealing 5d6 points of bludgeoning damage. This damage is dealt only once, on the round the spell is cast. For the remaining duration of the spell, fine dust rains down in the area. Creatures other than stone giants inside this area take a -4 penalty on Perception skill checks, and the entire area is treated as difficult terrain. At the end of the spell's duration, the gravel and dust disappear, leaving no trace of their presence.</t>
  </si>
  <si>
    <t>AP 93</t>
  </si>
  <si>
    <t>Daywalker</t>
  </si>
  <si>
    <t>antipaladin 4, cleric/oracle 5, sorcerer/wizard 5, witch 5</t>
  </si>
  <si>
    <t>V, S, M (a black glass vial containing unholy water)</t>
  </si>
  <si>
    <t>undead creature touched</t>
  </si>
  <si>
    <t>You reshape the substance of a willing undead creature to resemble a living, breathing creature of the same size. This is a physical change to the undead creature's bone, flesh, or incorporeal ectoplasm, adding new flesh or bone and even hair, teeth, and blood, all of which demonstrate false signs of life that mimic a living creature's breathing and other physiological processes. An incorporeal undead creature using daywalker ceases to be incorporeal for the duration of the spell, gaining a physical corpse body. Creatures interacting with the undead can attempt a Perception check (DC = 30 or DC = 21 + the undead's Disguise modifier, whichever is higher) to realize that the signs of life are false, and a close examination with a Heal check always reveals the truth of the dead flesh.  If the undead has the frightful presence, incorporeal, light blindness, light sensitivity, stench, sunlight powerlessness, or unnatural aura abilities, the spell suppresses them. An undead creature whose touch normally deals damage, ability drain, or energy drain doesn't do so while under the spell's effects. The target of this spell may end its duration at any time as a standard action.</t>
  </si>
  <si>
    <t>Cohorts &amp; Companions</t>
  </si>
  <si>
    <t>Plant Voice</t>
  </si>
  <si>
    <t>cleric/oracle 3, druid 2, shaman 2, witch 3</t>
  </si>
  <si>
    <t>V, S, M (a small root cutting)</t>
  </si>
  <si>
    <t>one plant creature</t>
  </si>
  <si>
    <t>You grant one plant creature the ability to speak, hear, and understand any of the languages you know. If you know more than one language, you may grant the plant creature up to one language per 2 caster levels and you decide which languages to grant when the spell is cast. This spell does not cause the plant creature to be predisposed toward you in any way, but allows you to interact with them with Charisma-based skills normally. Plant creatures with an Intelligence score of 2 or lower can communicate and understand only the simplest of concepts, such as "friend," "food," and "danger." This spell has no effect on ordinary plants and fungus.</t>
  </si>
  <si>
    <t>Spore Burst</t>
  </si>
  <si>
    <t>poisonUM</t>
  </si>
  <si>
    <t>druid 2, ranger 3, shaman 2, witch 2</t>
  </si>
  <si>
    <t>V, S, M (a tiny puffball mushroom)</t>
  </si>
  <si>
    <t>one plant creature; see text</t>
  </si>
  <si>
    <t>You cause a willing plant creature's body to sprout small, puffy mushrooms that remain for 1 round per caster level or until the creature uses them. As a standard action, the target can cause these mushrooms to burst open, releasing a cloud of toxic spores that affect all creatures in a 20-foot-radius spread. Those in the area must succeed at Fortitude saves or be sickened for 1d6 rounds as they are overcome by sneezing and coughing. The caster is immune to this poison effect, as are all creatures of the plant type.</t>
  </si>
  <si>
    <t>Alter Summoned Monster</t>
  </si>
  <si>
    <t>antipaladin 2, bard 2, cleric/oracle 2, druid 2, ranger 2, sorcerer/wizard 2, summoner/unchained summoner 2, witch 2</t>
  </si>
  <si>
    <t>close (25 ft. + 5 ft./ 2 levels)</t>
  </si>
  <si>
    <t>You swap a creature summoned by a conjuration (summoning) spell for a creature you could summon with a summon monster or summon nature's ally spell. The new creature must be an option from a spell of the same level or lower as the spell that summoned the target. The new creature cannot be summoned into an environment that cannot support it. The target can attempt a Will saving throw to negate this effect, but if the target is under your control, it receives no saving throw. Alter summoned monster does not alter the duration of the spell that summoned the target, nor does it affect any additional creatures summoned by the same spell as the target. The new creature has the same conditions and amount of damage as the target creature, and remains affected by all curses, diseases, poisons, and penalties that affected the target, but no other spells or effects carry over. Alter summoned monster is a spell of the same alignment type or types as the creature for which you exchange the target. An eidolon can't be targeted by this spell.</t>
  </si>
  <si>
    <t>Monster Summoner's Handbook</t>
  </si>
  <si>
    <t>Final Sacrifice</t>
  </si>
  <si>
    <t>antipaladin 3, bloodrager 2, cleric/oracle 3, shaman 3, sorcerer/wizard 3, summoner/unchained summoner 2, witch 4</t>
  </si>
  <si>
    <t>Fortitude negates, then Reflex half (see text)</t>
  </si>
  <si>
    <t>You disrupt the conjuring energies within a summoned creature, causing it to violently explode. If the target fails its Fortitude save, it is immediately slain and all creatures within 20 feet of the target take 1d4 points of damage per spell level of the  summoning spell that conjured the target. This damage is fire damage unless the target creature has the cold or water subtype, in which case it's cold damage. Creatures caught in this explosion take half damage if they succeed at their Reflex saves against this spell's DC. Final sacrifice can detonate a summoner's eidolon, though an eidolon receives a +4 bonus on its Fortitude save unless the spell is cast by the eidolon's own summoner. If this spell targets an eidolon, creatures within 20 feet of the eidolon take an amount of damage equal to 1d4 + 1/2 the caster level of the summoner who controlled the eidolon.</t>
  </si>
  <si>
    <t>Gird Ally</t>
  </si>
  <si>
    <t>cleric/oracle 2, druid 2, sorcerer/wizard 2, summoner/unchained summoner 2, witch 2</t>
  </si>
  <si>
    <t>one summoned creature you control/level, no two of which can be more than 30 ft. apart</t>
  </si>
  <si>
    <t>You create a magical field around summoned creatures you control that deflects attacks made against them. The targets gain a deflection bonus to their AC equal to 1 + 1 for every 6 caster levels you possess (maximum +4 deflection bonus at 18th level). A summoner can target his eidolon with this spell.</t>
  </si>
  <si>
    <t>Instant Restoration</t>
  </si>
  <si>
    <t>cleric/oracle 4, druid 4, shaman 4, summoner/unchained summoner 4, witch 4</t>
  </si>
  <si>
    <t>V, S, F/DF (a thimble of water and a seed)</t>
  </si>
  <si>
    <t>one summoned creature you control</t>
  </si>
  <si>
    <t>Instant restoration channels planar energy into a summoned creature. This spell can be cast as an immediate action when a summoned creature you control drops to 0 or fewer hit points. Rather than immediately disappear, the creature is healed for 4d8 hp + 1 hit point per caster level (maximum 4d8+10 hit points). If this healing brings your summoned creature's hit point total to 1 or more hit points, it remains as if its hit points had never dropped to 0 or fewer. Creatures slain by death effects cannot be saved by instant restoration. A summoner can target his eidolon with this spell.</t>
  </si>
  <si>
    <t>Master's Escape</t>
  </si>
  <si>
    <t>cleric/oracle 4, druid 4, sorcerer/wizard 4, summoner/unchained summoner 3, witch 4</t>
  </si>
  <si>
    <t>you and one summoned creature you control</t>
  </si>
  <si>
    <t>You create an extradimensional link between yourself and one summoned creature you control that allows you to switch places. After casting master's escape, you can teleport to your summoned creature's space as a swift action, causing your summoned creature to teleport to your former space. If your summoned creature is reduced to 0 or fewer hit points before you can use this spell's effect, you can teleport to a space that you can see within 30 feet as an immediate action. After using either of these effects, the spell ends. A summoner can target his eidolon with this spell.</t>
  </si>
  <si>
    <t>Master's Mutation</t>
  </si>
  <si>
    <t>druid 5, sorcerer/wizard 5, summoner/unchained summoner 5, witch 5</t>
  </si>
  <si>
    <t>You can mold the ephemeral substance of the Outer Planes, mutating one summoned creature that you control to better suit your needs. Select up to two of the following abilities and grant them to the target for the spell's duration: burrow 30 feet, climb 40 feet, constrict, darkvision 90 feet, ferocity, fly 60 feet (average maneuverability), grab, jet, low-light vision, poison, rake, scent, swim 60 feet, trample, trip, or water breathing. Additionally, instead of selecting an ability, you can replace one of the target's primary natural attacks with another natural attack that deals the same amount of damage, such as replacing a Medium target's bite attack (1d6) with a gore attack (1d6). If you choose to alter a creature's natural attacks, all attacks of the chosen type are altered. A summoner can target his eidolon with this spell.</t>
  </si>
  <si>
    <t>Summon Laborers</t>
  </si>
  <si>
    <t>cleric/oracle 6, shaman 6, summoner/unchained summoner 6, witch 6</t>
  </si>
  <si>
    <t>V, S, F/DF (a strip of rune-inscribed parchment)</t>
  </si>
  <si>
    <t>one summoned petitioner/caster level</t>
  </si>
  <si>
    <t>8 hours (D)</t>
  </si>
  <si>
    <t>Summon laborers summons one humanoid petitioner per caster level. These petitioners hail from one plane of your choice and perform tasks at your direction. The petitioners cannot fight or travel to dangerous lands, but do assist your downtime activities (Pathfinder RPG Ultimate Campaign 8 4) w ithin a s ettlement, increasing the effect of Influence or Labor you spend by 50%, to  a maximum of 1 additional point of Influence or Labor for every 2 caster levels you possess. This stacks with any increase to the effect of Influence or Labor that you receive from your followers within the settlement where the downtime activity takes place (if any). Summon laborers is a spell of the same alignment type as the plane from which the summoned petitioners hail (chaotic and evil for the Abyss, lawful and good for Heaven, and so on). Effects that increase the number of creatures summoned by a spell (such as Superior SummoningUM) do not affect summon laborers.</t>
  </si>
  <si>
    <t>Illusory Maze</t>
  </si>
  <si>
    <t>This spell creates the illusion of a translucent, ever-changing maze of glass in the target area. Creatures in the area who believe the maze to be real cannot move more than 5 feet continuously in any one direction and can't move diagonally, forcing them to take a circuitous route to their destination.</t>
  </si>
  <si>
    <t>Inner Sea Monster Codex</t>
  </si>
  <si>
    <t>Make Lost</t>
  </si>
  <si>
    <t>bard 2, druid 2, ranger 1</t>
  </si>
  <si>
    <t>You strip the targets of their senses of direction and recent memories of travel. They immediately forget the route they  took in the last hour (but not details of encounters along the way) and become lost (Pathfinder RPG Core Rulebook 424).</t>
  </si>
  <si>
    <t>Mind Maze</t>
  </si>
  <si>
    <t>bard 3, cleric/oracle 3, shaman 3, witch 3</t>
  </si>
  <si>
    <t>V, S, M/DF (a chicken skull)</t>
  </si>
  <si>
    <t>This spell causes the target to act as though it's wandering through a maze. While under the effects of the spell, the target can't make attacks or cast spells and must take at least one move action each round to walk in a random direction determined using the guidelines for missed splash weapons (Core Rulebook 202). The target must move at its maximum speed during this required movement, though additional move actions after the first can cover shorter distances. If this movement takes the target into a dangerous area, such as through a threatened square or off a ledge, the target receives a second saving throw to end the effect before moving into peril. Walking into a harmless obstacle, such as a wall, ends the target's movement.</t>
  </si>
  <si>
    <t>Puzzle Box</t>
  </si>
  <si>
    <t>curseUM, mind-affecting</t>
  </si>
  <si>
    <t>close (25 ft. + 5 ft./2 levels) or touch; see text</t>
  </si>
  <si>
    <t>one creature or one object up to 5 lbs./level</t>
  </si>
  <si>
    <t>1 round/level or permanent; see text</t>
  </si>
  <si>
    <t>Will negates or none</t>
  </si>
  <si>
    <t>This spell causes even commonly used objects to become conundrums. When cast on a creature, the target loses all weapon and shield proficiencies. The target also forgets how to use all spell-completion, spell-trigger, and use-activated magic items, as well as any mundane items used as part of a skill check, imposing a -5 penalty on all ability and skill checks attempted with such items. These effects last for 1 round per level. As a move action, the target can attempt a skill check to negate the effects of this spell for one object. Weapons, shields, and mundane objects require a successful Craft skill check of the type required to craft the item in question, with a DC equal to the spell's save DC. Magic items require a successful Spellcraft or Use Magic Device skill check against the spell's save DC.  Alternatively, this spell can be cast on a single touched object that weighs up to 5 pounds per the caster's level. Use of this object becomes a puzzle even to those previously familiar with it. Any creature attempting to use an item affected in this way is treated as though the creature was the target of puzzle box for that item only. When cast on an object, the duration of this spell is permanent.</t>
  </si>
  <si>
    <t>Stoke The Inner Fire</t>
  </si>
  <si>
    <t>You increase the natural heat within your body, transferring it to your weapons and armor. As a swift action, you may grant one of your natural or manufactured weapons the flaming special ability for 1 round. If you have the fire subtype, your weapon instead gains the flaming burst special ability. If the weapon leaves your hand for any reason, it loses the flaming (or flaming burst) special ability until you spend a swift action to activate it again. You can only have stoke the inner fire active on one weapon at a time, and spending a swift action to imbue a second weapon with the spell's power immediately ends its effect on the first weapon.  The spell also builds a wall of searing heat between your armor and your flesh. Anyone striking you with a natural weapon or unarmed strike takes 1 point of fire damage. A creature that grapples you or is grappled by you takes 1 point of fire damage each round the grapple persists. If you have the fire subtype, these damage values increase to 1d6 points of fire damage each. Removing your armor causes this wall of heat to dissipate and ends these effects.</t>
  </si>
  <si>
    <t>AP 95</t>
  </si>
  <si>
    <t>Zursvaater</t>
  </si>
  <si>
    <t>Akashic Form</t>
  </si>
  <si>
    <t>psychic 9</t>
  </si>
  <si>
    <t>You create a perfect record of your physical body in the Akashic Record (see page 244) at the time the spell is cast. This record includes your current hit point total, physical ability scores (Strength, Dexterity, and Constitution), and any conditional modifiers or conditions such as ability damage to physical ability scores, disease, negative levels, and poison. If at any point within the duration of the spell you are reduced to fewer than 0 hit points or are slain by a death effect that is not mind-affecting, you can immediately let your current physical body die and assume the record of your physical body on your next turn. When this happens, your corpse disappears, and you can either resume the place of your dead body (already wearing any clothing still attached to the corpse) or appear in any place you've been within 500 feet of where your corpse lies (but without any of your gear).  You still retain your original mind, and therefore don't regain any spells. You are still under any mental influences and energy drain effects you were under when you recalled the record of your physical body, but don't retain any physical effects such as bleed damage or poison (unless you suffered from these conditions at the time the spell was cast). Spells affecting you when you store a record of yourself abide by their normal durations. For example, if you were affected by cat's grace when you created the record and you restore your body 1 hour later, you won't be under that effect anymore since its duration has already expired. This spell doesn't allow you to avoid dying  of old age. Casting this spell again replaces any previous version you cast; you can't store more than one copy of yourself in the Akashic Record.</t>
  </si>
  <si>
    <t>Occult Adventures</t>
  </si>
  <si>
    <t>Store a copy of your body in the Akashic Record, and restore yourself to that form upon your death.</t>
  </si>
  <si>
    <t>Analyze Aura</t>
  </si>
  <si>
    <t>medium 2, mesmerist 3, occultist 2, psychic 3, spiritualist 3</t>
  </si>
  <si>
    <t>You peer into the aura of one target creature or object, gaining valuable information about its condition and nature. Each round, choose one of the target's four auras. This spell functions similarly to the read aura occult skill unlock (see page 197), but doesn't require checks and returns results on all the target's auras in an instant.  Alignment Aura: You study the target's spiritual nature to determine its alignment. You also learn the type and power of its alignment aura, as detect evil.  Emotion Aura: The colors playing within the target's aura reveal its emotional state, granting valuable insight into its psyche. You learn a general summary of the target's current disposition, as well as its attitude toward any other creatures within 30 feet of it. For the duration of the spell and for 1 hour afterward, you gain a +2 circumstance bonus on Bluff, Diplomacy, Intimidate, and Sense Motive checks you attempt against the target. Objects do not have emotion auras, except intelligent weapons and similar sentient oddities.  Health Aura: The flow of vital force animating the target becomes plainly visible, giving you insight into its physical condition. You know whether the target is unharmed or wounded, whether it is poisoned or diseased, and whether it is under any of the following conditions: confused, disabled, dying, nauseated, panicked, staggered, stunned, or unconscious. Further, your insight into the overall strength of the target's vital force reveals the total number of points available in its ki pool, grit pool, or similar resource. Objects and most undead creatures don't have health auras.  Magic Aura: You determine the number and power of all magical auras on the target (as detect magic to determine a magic aura's power), as well as the school of each aura. You can attempt Knowledge (arcana) or Spellcraft skill checks to determine the school or identify properties of a magic item, as normal. If cast on an item, analyze aura cuts through the obfuscation of the magic aura spell.</t>
  </si>
  <si>
    <t>Read a creature’s or an object’s alignment, emotion, health, and magic auras.</t>
  </si>
  <si>
    <t>Anticipate Thoughts</t>
  </si>
  <si>
    <t>bard 2, inquisitor 2, magus 2, mesmerist 2, psychic 2, sorcerer/wizard 2, witch 2</t>
  </si>
  <si>
    <t>This spell taps into the target's mind so you get an impression of the actions it will take. You gain a +2 insight bonus to AC against the target's attacks. If the target fails its Will save, you also see how the target will react to your attacks, and the bonus applies on your attack rolls and damage rolls against the target. These bonuses apply only while the target is within range of the spell, though if it goes out of range, the bonuses return once it's back in range. Whenever the target misses you with an attack, the spell's bonuses increase by 1 until the spell ends (to a maximum of +5).</t>
  </si>
  <si>
    <t>Gain increasing bonuses to AC and on attack rolls and damage rolls against one creature</t>
  </si>
  <si>
    <t>Apport Object</t>
  </si>
  <si>
    <t>bard 2, medium 2, mesmerist 2, occultist 2, psychic 2, sorcerer/wizard 2, witch 2</t>
  </si>
  <si>
    <t>one touched object of up to 1 lb. and 1 cu. ft.</t>
  </si>
  <si>
    <t>instantaneous or 1 hour/level</t>
  </si>
  <si>
    <t>This spell allows you to instantaneously transport a small nonliving object from one location to another. There are two ways to use the spell: sending allows you to immediately send an object held in your hands to a nearby location, while receiving permits you to cast the spell ahead of time on an object and summon it to your location at a later time.  Sending: If you choose to send the object elsewhere, the spell functions like teleport object, except the size of the object is limited and the distance it can travel is equal to only 25 feet + 5 feet per 2 levels. You can't transport an object to the Ethereal Plane. You can send the held object to any square within range, and you don't need line of sight to the target location. You can place the object in the open or inside a container, a pocket, or even someone's hand. If there isn't room in the space you select (either because the space chosen is too small or because there is already something else there), or if the person doesn't want or isn't expecting the object in his hands, it appears on the ground within the target's square instead. You can transport the object to an elevation above the floor as long as the destination is within the spell's total distance limit.  Receiving: You can prepare an object ahead of time to apport it to yourself by casting the spell upon it and assigning a mental trigger to complete the spell. You don't need line of sight to the object to apport it to you, but the object must be within a distance equal to 25 feet + 5 feet per 2 levels. Completing the spell is a swift action that has the same restrictions as a thought spell component. You can apport an object in this way even if someone holding the object is unwilling to let you take it. Once you apport the object, the spell ends.  You can't send or receive an object into a space that is protected by an antimagic field, globe of invulnerability, or similar effect that keeps magical effects out; if you attempt to do so, the spell is lost.</t>
  </si>
  <si>
    <t>Send or receive a small object via teleportation.</t>
  </si>
  <si>
    <t>Apport Animal</t>
  </si>
  <si>
    <t>druid 3, medium 3, mesmerist 3, psychic 3, ranger 3, sorcerer/wizard 3, summoner/unchained summoner 3, witch 3</t>
  </si>
  <si>
    <t>one touched animal of Tiny or smaller size</t>
  </si>
  <si>
    <t>This spell functions like apport object except the target is an animal. Only normal, nonmagical creatures of the animal type can be teleported.</t>
  </si>
  <si>
    <t>Send or receive a Tiny or smaller animal via teleportation.</t>
  </si>
  <si>
    <t>Aura Alteration</t>
  </si>
  <si>
    <t>medium 3, mesmerist 3, occultist 3, psychic 4, spiritualist 4</t>
  </si>
  <si>
    <t>one object or willing creature</t>
  </si>
  <si>
    <t>You mask and manipulate the target creature's or object's aura, confounding those who would attempt to discern helpful information from it using the read aura occult skill unlock (see page 197) or the analyze aura spell. You can change each of the following four auras with one casting of aura alteration.  Alignment Aura: You can change the target's apparent alignment to thwart spells that detect alignment, such as detect evil. You can alter the alignment by up to one step on each alignment axis, but can't make the creature appear to have a diametrically opposed alignment. For instance, you couldn't make a lawful evil character appear to be chaotic or good. You can also adjust the power of the alignment aura up or down in level by a number of steps equal to 1/2 your level or fewer.  Emotion Aura: Your manipulations mask the true emotions  of the target, instead depicting any combination of colors on the emotional spectrum that you wish. Creatures attempting Bluff, Diplomacy, Intimidate, or Sense Motive checks against the target receive no bonuses on their checks based on information gleaned from the target's aura.  Health Aura: You adulterate the target's aura to mask the condition of its physical body, revealing instead a wounded status, poison or disease status, and conditions of your choice. You likewise mask the target's available ki points or similar resources, manipulating its aura to suggest any number within the range normally available to the target.  Magic Aura: You alter a creature or item's magic aura so that it registers to detect magic (and spells with similar capabilities, like analyze aura) as though it were nonmagical, a magic item of a kind you specify, or the subject of a spell you specify. A single casting of aura alteration is sufficient to mask all of the magic auras on the target. If an object bearing aura alteration has identify cast on it or is similarly examined, the examiner recognizes the aura is false and detects the object's actual qualities if he succeeds at a Will save. If a targeted item's own aura is overwhelming, aura alteration can't alter it.</t>
  </si>
  <si>
    <t>Masks a creature’s or an object’s alignment, emotion, health, and magic auras.</t>
  </si>
  <si>
    <t>Drain Poison</t>
  </si>
  <si>
    <t>alchemist 3, antipaladin 3, cleric/oracle 3, druid 3, ranger 3, witch 3</t>
  </si>
  <si>
    <t>V, S, M/DF (the fang of a poisonous creature)</t>
  </si>
  <si>
    <t>one weapon or a single piece of ammunition</t>
  </si>
  <si>
    <t>By touching a weapon against the fang of a poisonous creature and casting this spell, you drain 1 dose of the creature's poison, which is magically applied to your weapon without risk of poisoning yourself. The poison remains on the weapon until either it strikes a creature, you touch the weapon, or you wipe off the poison. It otherwise functions exactly like a dose of a manufactured poison applied to a weapon. You can use this spell with natural as well as manufactured weapons. This spell does not prevent you from exposing yourself to the poison if you roll a natural 1 on an attack roll while the poison is applied to your weapon.  The spell has no effect if the creature whose fang is touched is a summoned creature, if it has been dead for more than 1 minute, or if its poison has already been extracted from it.</t>
  </si>
  <si>
    <t>Dirty Tactics Toolbox</t>
  </si>
  <si>
    <t>Garden Of Peril</t>
  </si>
  <si>
    <t>druid 2, ranger 2, sorcerer/wizard 2, summoner/unchained summoner 2, witch 2</t>
  </si>
  <si>
    <t>V, S, M/DF (a pinch of spores)</t>
  </si>
  <si>
    <t>one poisonous mushroom/level, no two of which can be more than 30 ft. apart</t>
  </si>
  <si>
    <t>Vividly colored poisonous mushrooms instantly spring into existence in squares you select. The mushrooms can appear on any solid surface, even growing horizontally from walls or upside down from the ceiling.  Once per round as a move action, starting the round after you cast this spell, you can command the mushrooms to release poisonous spores. Each creature adjacent to a mushroom or in a mushroom's square must then succeed at a Fortitude save or become sickened for 1d4 rounds. The condition of creatures that fail multiple saving throws does not worsen, but each additional failed saving throw adds 1d4 rounds to the duration the creature is sickened.  The mushrooms are Tiny and cannot provide cover, but they are fairly sturdy (AC 7, hp 30, break DC 20). Creatures can  move through squares containing mushrooms as normal. When destroyed, a mushroom evaporates and releases one last cloud of spores.</t>
  </si>
  <si>
    <t>Invigorating Poison</t>
  </si>
  <si>
    <t>alchemist 2, cleric/oracle 2, druid 2, shaman 2</t>
  </si>
  <si>
    <t>V, S, M/DF (an apple seed)</t>
  </si>
  <si>
    <t>The body of the target creature gains a metabolic response that allows it to benefit from normally deadly toxins. When a poison would cause ability damage to the target creature, the target instead gains a +4 alchemical bonus to that ability score. The spell then immediately ends, but the bonus lasts for a number of minutes equal to the amount of ability damage the poison would have caused. If the poison would deal more than one type of ability damage, each bonus has a separate duration. If the poison has effects other than ability damage (such as unconsciousness or ability drain), these effects apply normally. This spell affects only a single poison; if multiple poisons affect the target simultaneously, this spell prevents only ability damage and grants the appropriate bonuses for the poison that would cause the most damage.</t>
  </si>
  <si>
    <t>Neutralize Poison, Greater</t>
  </si>
  <si>
    <t>alchemist 6, bard 6, cleric/oracle 6, druid 5, inquisitor 6, witch 6</t>
  </si>
  <si>
    <t>V, S, M/DF (a lump of charcoal)</t>
  </si>
  <si>
    <t>instantaneous or 1 hour/level (D)</t>
  </si>
  <si>
    <t>This spell functions as neutralize poison, except as noted here. You automatically succeed at all caster level checks to neutralize any poisons affecting the target creature. The spell also reverses all instantaneous or permanent effects caused by poisons, such as temporary ability damage or permanent ability drain (it does not heal ability drain caused by anything other than poison, however). If you use the spell to neutralize the poison in a poisonous creature or object, the duration is 1 hour per level rather than 10 minutes per level. If the spell is cast on a creature, the creature can negate the effect by succeeding at a Will saving throw.</t>
  </si>
  <si>
    <t>Poison Breath</t>
  </si>
  <si>
    <t>cleric/oracle 7, druid 6, witch 7</t>
  </si>
  <si>
    <t>V, S, M/DF (a spider's mandible)</t>
  </si>
  <si>
    <t>You expel a cone-shaped burst of toxic mist from your mouth, subjecting everyone caught in the area to a deadly poison, as per the poison spell.</t>
  </si>
  <si>
    <t>Sword To Snake</t>
  </si>
  <si>
    <t>cleric/oracle 4, druid 4, shaman 4, sorcerer/wizard 4, summoner/unchained summoner 4</t>
  </si>
  <si>
    <t>V, S, M/DF (a hair from a spider)</t>
  </si>
  <si>
    <t>one Medium or smaller item</t>
  </si>
  <si>
    <t>When you make an undulating gesture using your hand, the target item changes slightly in shape and appearance to resemble a cross between its original form and that of a venomous animal. For example, a staff might change to resemble a snake, a shield might change to resemble an enormous venomous beetle, or the hilt of a sword might change to resemble a scorpion's tail.  If this spell is cast on a held item, the wielder adds his Will save bonus to the saving throw. You must be able to see the item to cast this spell on it.  The item retains all its properties, but whenever a creature picks up, attacks with, activates, or otherwise manipulates the item (with the exception of dropping the item) after this spell is cast, it animates and bites the creature. The attack is resolved before the action that triggered it. This spell otherwise does not affect the creature's ability to use the item.  If the item is a nonmagical weapon, it has an attack bonus equal to your caster level plus your spellcasting ability score modifier, and its attack deals 1d4 points of piercing damage. If the target item is a magic weapon, it retains any magical qualities, and its enhancement bonus is still added to both the attack roll and the damage roll.  A creature that takes damage from the bite is affected as if by a venomous snake's poison (frequency 1/round for 6 rounds; effect 1d2 Con; cure 1 save). The poison's save DC is equal to this spell's DC.</t>
  </si>
  <si>
    <t>Toxic Rupture</t>
  </si>
  <si>
    <t>druid 3, shaman 3, sorcerer/wizard 3, witch 3</t>
  </si>
  <si>
    <t>V, S, M/DF (a viper's fang)</t>
  </si>
  <si>
    <t>one poisonous creature</t>
  </si>
  <si>
    <t>With a squeezing hand gesture, you cause internal bleeding in the target creature's venom glands or similar organs. The target must attempt a saving throw against its own poison using the DC for this spell. If it fails, the creature is poisoned and suffers the full effect of its poison. Any subsequent saving throws that the target must attempt against the poison use the normal DC for the poison rather than this spell's DC.</t>
  </si>
  <si>
    <t>Venomous Bite</t>
  </si>
  <si>
    <t>alchemist 2, druid 2, ranger 2, shaman 2, summoner/unchained summoner 2, witch 2</t>
  </si>
  <si>
    <t>V, S, M (a vial of injury poison worth at least 75 gp), DF</t>
  </si>
  <si>
    <t>When you touch the poison vial against the target creature and cast this spell, the vial drains and the target's teeth become envenomed with the same poison. The creature gains the use of 1 dose of the poison for every 5 caster levels you possess (maximum 4 doses). The creature gains immunity to that poison while this spell is in effect. The poison retains its normal properties, and this spell does not alter the DC to resist or cure the poison.  Each successful bite attack counts as an expended dose. When all the poison is used, the spell ends. If the target creature doesn't have a bite attack, or if the target's bite attack is already poisonous, the spell has no effect. If the target has multiple heads, the spell affects only one bite attack.  When this spell ends, any unused poison is harmlessly expelled from the target's mouth and cannot be used again.</t>
  </si>
  <si>
    <t>Blend With Surroundings</t>
  </si>
  <si>
    <t>bard 1, cleric/oracle 1, druid 1, shaman 1, sorcerer/wizard 1, summoner/unchained summoner 1, witch 1</t>
  </si>
  <si>
    <t>V, S, M/DF (a chess piece)</t>
  </si>
  <si>
    <t>Fortitude negates (harmless) or Will disbelieves (if interacted with)</t>
  </si>
  <si>
    <t>This spell changes the appearance of the affected creature so that it better blends in with its surroundings. As chosen by you, the affected creature takes on the appearance of a statue, furniture, a tree, a bush, a rock, or another object of similar size. As long as the target stays still, it gains a +20 bonus on Stealth checks, and it can use Stealth even if it is being observed. The target's armor blends in perfectly with the illusory shape, and the target's armor check penalty on Stealth checks is negated for the duration of the spell. If the target moves at all while this spell is in effect, the spell ends.</t>
  </si>
  <si>
    <t>Body Double</t>
  </si>
  <si>
    <t>bard 2, bloodrager 2, magus 2, sorcerer/wizard 2</t>
  </si>
  <si>
    <t>V, S, M (two glass beads)</t>
  </si>
  <si>
    <t>two creatures; see text</t>
  </si>
  <si>
    <t>Upon casting this spell, choose a primary target and a secondary target, both of which must be within range. If the primary target fails or forfeits its saving throw, its appearance, scent, sounds, and mannerisms change to match those of the secondary target.  As long as the two targets are of the same size category, they are indistinguishable. As a consequence, if the targets are adjacent and a creature takes an action that would affect one of the targets (such as an attack, a targeted spell, or an area effect), that action has a 50% chance of affecting the other target instead.  Any action that would affect both of the creatures affects them both normally.  This spell does not deceive creatures that have true seeing. Likewise, a creature that can't perceive one of the targets is not fooled by this spell (even if the spell fooled that creature earlier), and its attacks, targeted spells, and other actions affect targets as normal.</t>
  </si>
  <si>
    <t>Grasping Tentacles</t>
  </si>
  <si>
    <t>bloodrager 3, magus 3, sorcerer/wizard 3, summoner/unchained summoner 3, witch 3</t>
  </si>
  <si>
    <t>This spell functions as black tentacles, except the tentacles blindly grasp at the targets' eyes and ears, and tug at their hair, clothes, and equipment. Instead of grapple attempts, the tentacles attempt dirty trick combat maneuver checks (CMB = your caster level + 4 [the tentacles' Strength bonus] + 1 [the tentacles' size bonus]). Roll on the following table to determine the effect of a successful dirty trick combat maneuver check.  d% Effect  1-20 Blinded. The tentacles suction over the victim's eyes.  21-40 Deafened. The tentacles clap themselves around the victim's ears.  41-60 Entangled. The tentacles weave around the victim's limbs.  61-80 Shaken. The tentacles menace the victim from all sides. This is a fear effect.  81-100 Sickened. The tentacles give off sickening vapors. This is a poisonUM effect.</t>
  </si>
  <si>
    <t>Grease, Greater</t>
  </si>
  <si>
    <t>bard 5, magus 5, sorcerer/wizard 5, summoner/unchained summoner 5</t>
  </si>
  <si>
    <t>one object/2 levels or 1 10-ft. square/2 levels; see text</t>
  </si>
  <si>
    <t>This spell functions like grease, except as noted here. When you use this spell to cover a solid surface with slippery grease, the 10-foot squares must form a continuous area, each part of which must be within the spell's range. When you use this spell to create a greasy coating on items, no two of the targeted items can be more than 30 feet apart. You cannot target both items and surfaces with a single casting of this spell.</t>
  </si>
  <si>
    <t>Hide Weapon</t>
  </si>
  <si>
    <t>antipaladin 1, bloodrager 1, inquisitor 1, magus 1, ranger 1, sorcerer/wizard 1</t>
  </si>
  <si>
    <t>Upon casting this spell, a light or one-handed melee weapon in your hand melds with your flesh, accompanied by a disgusting sucking sound. The weapon disappears completely inside your arm, and thereafter for the duration of the spell, you can extend and retract the weapon as a move action.  While extended, the weapon remains partially melded with your hand and arm, providing a +5 bonus to your CMD against disarm combat maneuvers. While the weapon is retracted, its shape adjusts to fit inside your arm, and you retain the use of your hand. Spotting the weapon on casual inspection is impossible, but anyone frisking you can attempt a DC 25 Perception check  to notice a light weapon or a DC 20 Perception check to notice a one-handed weapon hidden inside your arm. If the weapon grants a bonus on Sleight of Hand checks to hide it (as does a dagger), the bonus is added to the DC to find the item. Anyone who sees you casting this spell doesn't need to succeed at a Perception check to know you have the hidden weapon.  If you cast this spell a second time, you can hide another weapon inside your other arm. You can extend and retract both weapons as part of the same action.</t>
  </si>
  <si>
    <t>Selective Invisibility</t>
  </si>
  <si>
    <t>alchemist 3, antipaladin 3, bard 3, inquisitor 3, magus 3, sorcerer/wizard 3, summoner/unchained summoner 3</t>
  </si>
  <si>
    <t>V, S, M/DF (three translucent pebbles)</t>
  </si>
  <si>
    <t>you and one other creature</t>
  </si>
  <si>
    <t>Upon casting this spell, you turn invisible, as per the invisibility spell, and you choose a second target. That creature can still see you as though you were not invisible, and you can attack that creature without ending the invisibility effect on you. However, if you attack any other creature, this spell ends. If you cast this spell multiple times, you can attack any of the affected creatures without ending the spell.</t>
  </si>
  <si>
    <t>Sense Vitals</t>
  </si>
  <si>
    <t>antipaladin 2, bard 2, ranger 2, sorcerer/wizard 2</t>
  </si>
  <si>
    <t>This spell makes your eyes shine blood red and allows you to see the vital areas and weak points of creatures within 30 feet of you as a warm glow. This allows you to use any manufactured weapon to make sneak attacks, as the rogue ability of the same name, dealing an additional 1d6 points of damage; this additional damage increases by 1d6 for every 3 caster levels you possess beyond 3rd, to a maximum of +5d6 at 15th level. This additional damage stacks with other sources of precision damage.</t>
  </si>
  <si>
    <t>Shifting Shadows</t>
  </si>
  <si>
    <t>V, S, M (a drop of ink)</t>
  </si>
  <si>
    <t>Waves of shifting shadows obscure the appearance of all creatures caught within the emanation, making it harder to tell friends from foes.  This spell does not cause affected creatures to risk accidentally attacking their allies, but it does require them to concentrate harder to keep track of their allies and foes. While this spell is in effect, every creature in the area can treat any other creature in the area as an allied threatening creature for the purpose of flanking. Further, whenever a creature in the area would provoke an attack of opportunity from an enemy, that creatures' allies in the area must succeed at a Reflex save or lose one attack of opportunity for that round as they suppress the instinct to attack a vulnerable target that might be an ally. The shadows do not hinder precision-based attacks or create areas of dim light.  Creatures under the effect of true seeing are not affected by this spell. Creatures with scent or keen scent, creatures that are blind, and creatures that operate effectively without vision (such as creatures with blindsight or blindsense) are also not affected by this spell.</t>
  </si>
  <si>
    <t>Beloved Of The Forge</t>
  </si>
  <si>
    <t>alchemist 2, bard 2, cleric/oracle 2, shaman 2</t>
  </si>
  <si>
    <t>You gain an innate sense of the direction to your home or to the place where you last attempted a Craft check, whichever you choose when you cast the spell. You gain a +10 insight bonus on Survival checks made to find your way back to the chosen place. While under the effects of this spell, items in your possession gain a +2 luck bonus on saving throws against spells and effects, and you gain a +5 luck bonus on Craft checks to create or repair objects with Craft skills in which you are trained.</t>
  </si>
  <si>
    <t>Heroes Of The Streets</t>
  </si>
  <si>
    <t>Blessing Of Liberty</t>
  </si>
  <si>
    <t>bard 2, shaman 2</t>
  </si>
  <si>
    <t>V, S, M (a feather or small object that symbolizes good fortune)</t>
  </si>
  <si>
    <t>You imbue yourself with the blessings of liberty. You gain a +1 luck bonus per 6 caster levels (minimum +1, maximum +3) to  your CMD and on saving throws against spells and traps that would move you or impede your movement. You can end the spell's effects as a swift action to gain a +20 foot enhancement bonus to your base speed for 1 round per whole minute of duration remaining.</t>
  </si>
  <si>
    <t>Harmless Form</t>
  </si>
  <si>
    <t>druid 2, ranger 2, shaman 2, sorcerer/wizard 2, witch 2</t>
  </si>
  <si>
    <t>one willing animal companion, familiar, or spirit animal</t>
  </si>
  <si>
    <t>You transform the target into a harmless animal of the same approximate body type. The form assumed must be one considered unobtrusive by local communities, such as a cat, a dog, a hunting hawk, a horse, or a rat. This transformation can reduce the target by up to two size categories, but cannot make an animal smaller than Tiny. It cannot increase the size of the target or give it new natural attacks or new forms of movement. The spell otherwise functions as beast shape II.</t>
  </si>
  <si>
    <t>Harvest Season</t>
  </si>
  <si>
    <t>one plant</t>
  </si>
  <si>
    <t>You cause an explosive burst of growth in a single plant, causing it to grow through a cycle of flower, fruit, or grain production as appropriate. If the plant is not one that normally produces food fit for humanoid consumption, it produces edible flowers under the effect of this spell. The plant produces enough food to nourish one Medium creature per caster level. Food harvested through this spell rots if not eaten within 24 hours. This spell nourishes, fertilizes, and pollinates the plant, and doesn't harm the plant in any way. This spell has no effect on plant creatures.</t>
  </si>
  <si>
    <t>Wall Of Clockwork</t>
  </si>
  <si>
    <t>wall of bronze clockworks whose area is up to one 5-ft.-square/level (S)</t>
  </si>
  <si>
    <t>An immobile, vertical wall of spinning cogs and gears springs into existence. Any creature passing through the wall takes 1d6 points of piercing  and slashing damage per 2 caster levels (maximum 10d6); a successful Reflex save halves the damage.  The wall cannot be conjured so that it occupies the same space as a creature or another object. It must always be a flat plane, though you can shape its edges to fit the available space.  A wall of clockwork provides cover (+4 bonus to AC, +2 bonus on Reflex saves) against attacks made through it.  A wall of clockwork is 1 inch thick per 4 caster levels. You can double the wall's area by halving its thickness. Each 5-foot square of the wall has 30 hit points per inch of thickness and hardness 9. A section of wall whose hit points drop to 0 is breached. If a creature tries to break through the wall with a single attack, the DC for the Strength check is 25 + 2 per inch of thickness. If an attacker an attack roll of a natural 20 (and only a natural 20, regardless of the weapon's threat range) and confirms the critical hit (even though the wall is otherwise immune to critical hits), that section of wall gains the broken condition. If already broken, that section of wall is destroyed instead.  Bronze created by this spell is not suitable for use in the creation of other objects (even for the limited duration of the spell) and cannot be sold.</t>
  </si>
  <si>
    <t>Cloak Of Secrets</t>
  </si>
  <si>
    <t>antipaladin 1, bard 1, cleric/oracle 1, inquisitor 1, sorcerer/wizard 1, witch 1</t>
  </si>
  <si>
    <t>5-ft.-radius emanation centered on a point in space</t>
  </si>
  <si>
    <t>This spell forms an invisible bubble that filters all speech coming from inside the affected area so that creatures outside hear a completely different version of the conversation. The bubble also disguises lip movements to match the false conversation. Any creature listening to the conversation for at least 1 round can attempt a DC 15 Sense Motive check to realize that the apparent conversation doesn't actually make any sense. The bubble also obscures the verbal components of spells cast within the area so it's impossible to identify spells by their verbal components alone, and anyone outside the bubble attempting a Spellcraft check to identify a spell cast within the bubble takes a -5 penalty on the check. Furthermore, the bubble renders any language-dependent spells and effects used within the bubble ineffective against creatures outside the area.</t>
  </si>
  <si>
    <t>Coin Shot</t>
  </si>
  <si>
    <t>alchemist 1, antipaladin 1, bard 1, bloodrager 1, magus 1, sorcerer/wizard 1</t>
  </si>
  <si>
    <t>up to three coins touched</t>
  </si>
  <si>
    <t>10 minutes or until discharged</t>
  </si>
  <si>
    <t>You turn up to three coins into deadly projectiles that gain the velocity of a bullet when thrown. The coins retain their normal appearance but can be used as simple thrown weapons with a range increment of 20 feet and a critical multiplier of x2. The transmuted coins are treated as ammunition for the purposes of drawing them. Like firearm bullets, the coins deal bludgeoning and piercing damage, and attacks with them are resolved as touch attacks within the first range increment. Regardless of whether a transmuted coin hits or misses the target, it is  destroyed after the attack. Only you can make attacks with the coins, though other creatures can safely handle them without discharging the spell.  You can make a single ranged attack with a coin as part of casting this spell. Different types of coins create different bullet effects. Copper coins deal 1d4 points of damage. Silver coins deal 1d6 points of damage and count as silver for the purpose of overcoming damage reduction. Gold coins deal 1d8 points of damage and count as masterwork weapons. Platinum coins deal 1d10 points of damage, count as masterwork weapons, and are treated as adamantine weapons for the purposes of overcoming damage reduction and bypassing hardness. All coin bullets deal an additional 1 point of damage per 2 caster levels (to a maximum of an extra 10 points of damage at 20th level).</t>
  </si>
  <si>
    <t>Ears Of The City</t>
  </si>
  <si>
    <t>bard 1, cleric/oracle 1, inquisitor 1, shaman 1, sorcerer/wizard 1, witch 1</t>
  </si>
  <si>
    <t>V, S, M/DF (a small piece of a brick)</t>
  </si>
  <si>
    <t>The target of this spell sees and hears a stream of past scenes and pieces of conversations related to local people and events. The flashes are so brief that it is impossible to identify individual people or places, but when the target concentrates on a particular topic or individual, she can piece together a coherent narrative told in a multitude of changing voices in her mind.  Each round for the duration of the spell, the target can attempt a Diplomacy check to gather information as though she had spent 1d4 hours talking to local people. Since the information gathering doesn't involve actual interaction with people, only observation, the target can use her Perception skill instead of her Diplomacy skill. While thus concentrating, the target is effectively blind and deaf.</t>
  </si>
  <si>
    <t>Illusory Crowd</t>
  </si>
  <si>
    <t>bard 1, shaman 1, witch 1</t>
  </si>
  <si>
    <t>V, S, M (a shirt button)</t>
  </si>
  <si>
    <t>one 10-ft. cube of illusory people</t>
  </si>
  <si>
    <t>This spell creates an illusion of a stationary group of people milling about. They can be of any humanoid race or ethnicity you are familiar with, and they speak a language of your choice that you know. To anyone not paying close attention, their  conversations sound perfectly normal but are in fact repetitive and essentially meaningless. The crowd appears to be a group of typical citizens, and cannot duplicate any specific group, guild, or military squad.  The crowd affects movement and provides cover like a real crowd (Pathfinder RPG Core Rulebook 436), b ut a nyone who disbelieves the illusion can move and attack through the crowd without impediment. Each round a creature enters or makes an attack through a crowd-filled square, it can attempt a save to disbelieve the illusion. Similarly, any creature that spends a round listening to or talking to the crowd can attempt a save to disbelieve the illusion. If the group is placed in any terrain other than urban, each creature attempting a save to disbelieve the spell gains a +5 bonus on the save.</t>
  </si>
  <si>
    <t>Locksight</t>
  </si>
  <si>
    <t>alchemist 1, antipaladin 1, bard 1, inquisitor 1, sorcerer/wizard 1</t>
  </si>
  <si>
    <t>V, S, M/DF (a small key)</t>
  </si>
  <si>
    <t>The target can observe for 1 full round a lock that he is aware of (or object that includes a lock, such as a chest or door) that is within 60 feet to automatically determine whether it is open, closed, or jammed. If the target creature is trained in Disable Device, by concentrating on a lock for 3 rounds, he can also determine the quality of the lock (simple, average, good, or superior). This spell does not enable the target to see hidden locks, such as those on secret doors.</t>
  </si>
  <si>
    <t>Peace Bond</t>
  </si>
  <si>
    <t>bard 1, cleric/oracle 1, druid 1, inquisitor 1, paladin 1, shaman 1, sorcerer/wizard 1, witch 1</t>
  </si>
  <si>
    <t>V, S, M/DF (a glass cube)</t>
  </si>
  <si>
    <t>one or more 5-ft. cubes, no two of which can be more than 30 ft. apart</t>
  </si>
  <si>
    <t>This spell creates one glowing rune of peace, plus one per 2 caster levels above 1st (to a maximum of five runes at 9th level). An identical symbol appears on your forehead  for the duration of the spell and cannot be disguised (though it is visible only if you are visible). Each rune illuminates a 5-foot cube, preventing any spell you cast of up to 3rd level and that has a defined area (as opposed to targets or an effect) from entering or affecting the 5-foot cube. For example, creatures and items within any square affected by peace bond take no damage from a fireball you cast. However, if you cast stinking cloud, the noxious vapors are an effect and enter such cubes normally. This spell does not break line of effect within any other spells you cast; it simply negates all effects of your 1st-, 2nd- and 3rd-level area spells within the peace bond's area. Peace bond offers no protection against your spell-like abilities or supernatural area effects.</t>
  </si>
  <si>
    <t>Speak Local Language</t>
  </si>
  <si>
    <t>bard 1, cleric/oracle 1, inquisitor 1, ranger 1, sorcerer/wizard 1, witch 1</t>
  </si>
  <si>
    <t>V, M/DF (a worn-out coin)</t>
  </si>
  <si>
    <t>This spell functions as tongues, except the creature touched gains only the ability to speak and understand a regional human language, such as Varisian or Common (Taldane in the Inner Sea region or Tien in Tian Xia), and the language granted must be one you know. You must select the language at the time of casting. The language can't be a dead language, such as Ancient Osiriani or Jistka. The target speaks the language with a native accent, but the spell doesn't impart knowledge about any culture associated with the language, nor does it change the target's appearance.</t>
  </si>
  <si>
    <t>Aversion</t>
  </si>
  <si>
    <t>bard 2, druid 3, mesmerist 2, occultist 2, psychic 2, sorcerer/wizard 3, witch 3</t>
  </si>
  <si>
    <t>You plant a revulsion in the mind of the subject, causing her to avoid an object or location. You must choose a specific object or place. A location chosen in this way can be no larger than a cube measuring 50 feet on a side. The aversion is entirely in the target's mind, so the chosen object or location itself isn't subject to any magical effect. If the target fails her saving throw, she can't come within 60 feet of the chosen object or place. She makes every reasonable effort to avoid the object of the aversion, but will not put herself in danger in order to maintain the aversion. For example, if the object of the aversion is a bridge but a forest fire is closing in and will likely kill the target, she ignores the aversion and crosses the bridge to save herself. If the target must ignore the conditions of the aversion, she is nauseated until she is no longer violating the aversion.  If the target succeeds at her saving throw, she is instead sickened while within 60 feet of the object or place, but isn't compelled to stay away from it.</t>
  </si>
  <si>
    <t>Cause the target to avoid an object or location.</t>
  </si>
  <si>
    <t>Awaken Construct</t>
  </si>
  <si>
    <t>cleric/oracle 7, occultist 5, psychic 6, shaman 6, sorcerer/wizard 7</t>
  </si>
  <si>
    <t>V, S, M (herbs and oils worth 2,000 gp per HD of target), DF</t>
  </si>
  <si>
    <t>mindless construct touched</t>
  </si>
  <si>
    <t>You amplify the animating force of a construct to more closely resemble a true soul, granting the construct humanlike sentience. To do so, you must succeed at a Spellcraft check (DC = 15 + the construct's current Hit Dice). If the construct's master (if any) is present, this is an opposed Spellcraft check. You have no special empathy or connection with a creature you awaken-it is a free-willed creature. Golems previously under another creature's control, either as shield guardians or a golem crafter's creations, break all connections with that creature.  Roll 3d6 to determine the Intelligence score of the awakened construct, and increase its Charisma score by 2d6. It gains feats and skill points according to its new Intelligence score, and the skill points are assigned appropriately for its function, as determined by the GM.  An awakened construct speaks one language that its creator spoke, plus one additional language that its creator knew per point of the construct's Intelligence bonus (if any). Its alignment is determined by the GM, but is usually within one step of its creator's alignment. This spell doesn't function on a construct with an Intelligence score.</t>
  </si>
  <si>
    <t>Grant a construct humanlike sentience.</t>
  </si>
  <si>
    <t>Babble</t>
  </si>
  <si>
    <t>bard 2, mesmerist 2, psychic 3, sorcerer/wizard 3, witch 3</t>
  </si>
  <si>
    <t>This spell causes the target to break into a fit of bizarre, uncontrollable babbling. The target also becomes nauseated. If the target succeeds at its save, the effects end. If not, the creature continues babbling and is nauseated for the entire duration.  Creatures within 30 feet of the subject that can hear the target's babbling must succeed at a Will save or become fascinated for as long as the babbling persists. Once a creature's fascination ends, it can't become fascinated by the same instance of babble again.  Creatures with an Intelligence score of 2 or lower aren't affected by this spell.</t>
  </si>
  <si>
    <t>Target becomes nauseated and causes nearby creatures to become fascinated.</t>
  </si>
  <si>
    <t>Bilocation</t>
  </si>
  <si>
    <t>psychic 8, sorcerer/wizard 9</t>
  </si>
  <si>
    <t>one duplicate</t>
  </si>
  <si>
    <t>The spell creates an identical copy of you, along with everything you wear and carry, anywhere you choose within range; you exist in two places at once until the spell ends. You and the duplicate use the same statistics and share the same resources. If the duplicate takes damage, for example, you deduct the damage from your hit point total. Similarly, if your duplicate expends a charge or daily use from a magic item you both wield, the charge or daily use is expended from the item you carry. If you or the duplicate drops or gives away something you're carrying, the item disappears from the other body as well. This spell doesn't duplicate artifacts; any you possess remain on you.  You perceive sensory information from your body and that of your duplicate simultaneously. The spell enables you to process the sensations so you don't find them disorienting.  When you take any action, you choose which of your bodies performs the action, but both bodies share the same pool of actions. For instance, if you take a standard action to cast a spell,  you can use either body as the point of origin, but the other body can't also take a standard action that round. Likewise, if your duplicate takes a full-round action, you couldn't take a standard or move action. Both bodies can take any number of free actions as usual; for example, both bodies could say different things or each drop a different item. If either body doesn't move during the round, that body can either take a 5-foot step or move your speed once as a free action.  The two bodies are affected by attacks, spells, and effects as though they were one person, taking the worse effect when applicable (for example, if the bodies would be subject to differing effects due to being at different ranges). If both bodies are in the area of the same fireball, you would attempt the saving throw only once and take the damage only once. If one body is targeted by hold person, both would become paralyzed on a failed save. Both bodies count as a single creature for effects that target a specific number of creatures, and they can't be chosen more than once for such effects. You do count your other body as another creature for most combat effects, such as flanking or determining cover. However, you don't count as two unique creatures for the purposes of teamwork feats or effects you use that can target only creatures other than yourself.  Any magical effect with a duration affecting you has its duration halved while you're bilocating. For example, the hold person spell mentioned above would lose 2 rounds' worth of duration per round until your duplicate disappeared. If you were under an eagle's splendor e ffect t hat h ad 1 minute remaining when you cast bilocation, the effect would end after 5 rounds instead of 10. An effect shortened in this way lasts a minimum of 1 round total, and if an effect that lasts an odd number of rounds has 1 round remaining, it has its full effect on both of your bodies for that round.  When the spell ends, you decide whether you or your duplicate disappears. If you disappear, you become your duplicate. If you are carrying artifacts when you do this, they transfer with your consciousness.</t>
  </si>
  <si>
    <t>Exist in two places at once.</t>
  </si>
  <si>
    <t>Psychic (17)</t>
  </si>
  <si>
    <t>Burst Of Adrenaline</t>
  </si>
  <si>
    <t>mesmerist 1, psychic 1, spiritualist 1</t>
  </si>
  <si>
    <t>You draw upon your body's inner reserves of strength, leaving you winded. When you are about to make a d20 roll based on Strength, Dexterity, or Constitution, you can cast this spell to gain a +8 enhancement bonus to Strength, Dexterity, or Constitution for that roll, but you are fatigued for 1 round afterward.</t>
  </si>
  <si>
    <t>Gain a +8 bonus to Str, Dex, or Con for one roll, then be fatigued for 1 round.</t>
  </si>
  <si>
    <t>Burst Of Insight</t>
  </si>
  <si>
    <t>medium 1, mesmerist 1, psychic 1, spiritualist 1</t>
  </si>
  <si>
    <t>You plumb the depths of your mind for insight, leaving you momentarily frazzled. When you are about to make a d20 roll based on Intelligence, Wisdom, or Charisma, you can cast this spell to gain a +8 enhancement bonus to Intelligence, Wisdom, or Charisma for that roll, but you are dazed for 1 round afterward.</t>
  </si>
  <si>
    <t>Gain a +8 bonus to Int, Wis, or Cha for one roll, then be dazed for 1 round.</t>
  </si>
  <si>
    <t>Call Spirit</t>
  </si>
  <si>
    <t>cleric/oracle 5, medium 3, shaman 5, spiritualist 5</t>
  </si>
  <si>
    <t>call the spirit of a single deceased humanoid creature</t>
  </si>
  <si>
    <t>You attempt to cause the spirit of a specific individual to manifest from its final resting place. You must request the spirit's presence by speaking its name.  Unwilling spirits can resist the summons by succeeding at a Will save. If the chosen spirit resists your call, another spirit with malevolent intent almost always takes its place, intent on deceiving you. The difficulty of the save depends on how well you know the subject and what sort of physical connection (if any) you have to the creature whose spirit you wish to call.  Knowledge Will Save Modifier  Name only&amp;#8224; +15  Secondhand (you have heard of the subject) +10  Firsthand (you met the subject in life) +5  Familiar (you knew the subject well) +0  &amp;#8224; You must have at least a name the creature was called in life.  Connection Will Save Modifier  Likeness or picture -2  Possession or garment -4  Body part, lock of hair, nail clipping, etc. -10  Different alignment +4  A successfully called spirit manifests as a wispy, vaporous form that vaguely resembles the form the deceased creature had in life. The spirit has the physical attributes of an unseen servant and is capable of minor physical manipulations, with the ability to speak in quiet, ghostly whispers in whatever languages the creature knew while it was alive. The spirit isn't an undead creature, and isn't beholden to its caller. Whether you summoned the chosen spirit or a deceitful replacement, the spirit can refuse to answer your questions or attempt to deceive you using Bluff, though in either case these spirits can speak about only what they knew in life and have no knowledge of events that occurred after their deaths. Malevolent spirits might take advantage of their limited physical abilities to cause terrifying spectacles designed to scare the caster.  You must concentrate on maintaining the spell (as a standard action) in order to ask questions at the rate of one per round. You can ask a total of one question per caster level; the spirit answers each during the same round. When the spell ends, the spirit's ectoplasmic form fades and the soul returns to its rest. This spell can't call the spirits of creatures that are currently undead.</t>
  </si>
  <si>
    <t>Make the spirit of one creature manifest.</t>
  </si>
  <si>
    <t>Calm Spirit</t>
  </si>
  <si>
    <t>cleric/oracle 2, medium 1, shaman 2, spiritualist 2</t>
  </si>
  <si>
    <t>one incorporeal undead creature or haunt</t>
  </si>
  <si>
    <t>1 minute or 1 round/level; see text</t>
  </si>
  <si>
    <t>Will negates or none; see text</t>
  </si>
  <si>
    <t>This spell temporarily calms agitated haunts and incorporeal undead such as ghosts. You have no control over the affected creatures, but calm spirit postpones hostile action by the affected spirits for the duration of the spell. Entities so affected cannot take violent actions or do anything destructive, including triggering persistent haunt abilities, though they can defend themselves. Any aggressive action against or damage dealt to a calmed spirit or haunt immediately ends the effect.  Haunts do not receive a saving throw against the spell, but the caster must succeed at a caster level check whose difficulty is equal to at least 10 + the haunt's CR in order to temporarily calm the angry entity. The spell's duration changes to concentration (up to 1 round/level) when affecting a haunt.</t>
  </si>
  <si>
    <t>Postpone hostile action by a haunt or incorporeal undead.</t>
  </si>
  <si>
    <t>Catatonia</t>
  </si>
  <si>
    <t>alchemist 2, bard 2, cleric/oracle 3, medium 2, mesmerist 2, psychic 3, sorcerer/wizard 3, spiritualist 2, witch 3</t>
  </si>
  <si>
    <t>You touch the target and place it into a deathlike state that persists for the duration. The target appears to be dead, and any creature that interacts with the target must succeed at a DC 20 Heal check to recognize it is actually alive.  Until the spell ends, the target counts as if it were dead for the purpose of resolving any effects that target or affect only living creatures, but it doesn't count as undead. The subject is helpless, and can still be killed normally.  Any effect that would bring the creature back to life or animate it as an undead fails, but ends the catatonia. The target can be affected by spells that affect only objects, including animate objects (if the creature is Small) and teleport object. However, anything that would cause the body to change form (such as shrink item) fails and ends the catatonia. This doesn't prevent the effects of spells that simply deal damage or otherwise destroy objects.</t>
  </si>
  <si>
    <t>Make a willing target appear to be dead.</t>
  </si>
  <si>
    <t>Charge Object</t>
  </si>
  <si>
    <t>medium 1, mesmerist 1, occultist 1, psychic 1, spiritualist 1</t>
  </si>
  <si>
    <t>You charge an item with minor psychic energy. The item can be detected by the detect psychic significance spell. If you wish, you can imprint the item with your ownership history. Spells such as object reading a nd u ses o f t he p sychometry o ccult skill unlock (see page 196) can reveal any information about yourself you impart into the object, including your name, alignment, profession, and a summary of your experiences with the item. You can't impart false information into the object, but you can omit any details you'd prefer not to divulge. If the target object is already psychically charged, you can add more information to it, but you can't use charge object t o e rase existing psychic information.</t>
  </si>
  <si>
    <t>Infuse psychic energy and ownership history into an item.</t>
  </si>
  <si>
    <t>Cognitive Block</t>
  </si>
  <si>
    <t>medium 2, mesmerist 2, psychic 3</t>
  </si>
  <si>
    <t>You create a mental block in the target's mind, impeding the flow of his mental spellcasting process and forcing him to incorporate a thought component into any spell or spell-like ability he uses. This is in addition to any other components the spell already requires, and doesn't replace the verbal component. Spell-like abilities require this thought component, even though they normally don't need spell components.  As usual with thought components, this addition increases the DC of any concentration checks the target attempts by 10 unless the target takes a move action to center his mind and satisfy the spell's thought component.</t>
  </si>
  <si>
    <t>Add a thought component to all of the target’s spells.</t>
  </si>
  <si>
    <t>Condensed Ether</t>
  </si>
  <si>
    <t>psychic 4, sorcerer/wizard 5, spiritualist 3</t>
  </si>
  <si>
    <t>V, S, M (crushed amber)</t>
  </si>
  <si>
    <t>You condense the substance of the Ethereal Plane as it interpenetrates the Material Plane. This thickened planar conjunction slows movement through the area to a crawl. Creatures moving through condensed ether (even incorporeal creatures), move at only half their normal speed and can't take 5-foot steps. This slowing of movement doesn't stack with solid fog or similar effects. Creatures within condensed ether take a -2 penalty to Armor Class and on Reflex saves, and condensed ether prevents effective ranged weapon attacks. Even magic rays and similar ranged attacks suffer a 20% miss chance on attacks into or passing through condensed ether. This miss chance is not based on concealment, and Blind-Fight, true seeing, and similar effects do not reduce it.</t>
  </si>
  <si>
    <t>Creates a planar conjunction that slows movement, penalizes AC and Reflex saves, and imposes a miss chance on ranged attacks.</t>
  </si>
  <si>
    <t>Ethereal (8)</t>
  </si>
  <si>
    <t>Contagious Zeal</t>
  </si>
  <si>
    <t>bard 2, cleric/oracle 3, inquisitor 3, psychic 3, sorcerer/wizard 3, spiritualist 3</t>
  </si>
  <si>
    <t>The target gains a +2 morale bonus on attack rolls and weapon damage rolls, 1d6 temporary hit points, and a +4 morale bonus on saving throws against fear effects and to the DC of  Intimidate checks attempted against her. Once per round, the target can select one other creature to gain this bonus as well. The chosen creature can be no farther from the target than 25 feet + 5 feet for every 2 caster levels you possess, and a creature can't be selected more than once in this way. Such allies gain only the bonuses and temporary hit points; they don't continue to spread it to other creatures. The additional creatures' bonuses and temporary hit points share the original spell's duration, so when that duration ends, all affected creatures lose their bonuses and any remaining temporary hit points from this spell.</t>
  </si>
  <si>
    <t>Grant bonuses and temporary hit points that spread from creature to creature.</t>
  </si>
  <si>
    <t>Create Mindscape</t>
  </si>
  <si>
    <t>medium 4, mesmerist 4, psychic 4, sorcerer/wizard 5</t>
  </si>
  <si>
    <t>Will disbelief; see text</t>
  </si>
  <si>
    <t>You create an immersive mindscape (see page 235) that the minds of both you and another creature enter together. You choose whether the mindscape is overt or veiled, and whether it's harmless or harmful. You can choose any shape and size trait, as well as any gravity trait (though you can't make it so the gravity is so strong it harms creatures within). The mindscape has normal time, no alignment traits, and normal magic.  You designate where both you and your subject appear. You don't need line of sight to draw the subject creature into the mindscape, but you must be aware of its presence within range. If you target an area with more than one sentient creature and you have never seen any of the creatures before (for example, if you know a group of soldiers is inside a barracks but you can't see them through the door), the subject of this spell is selected at random. If you have seen firsthand the creature you wish to target (continuing the example, if you spied the sergeant entering the room moments before), you can select it unerringly from among all the creatures. You must appear somewhere in your mindscape, though it's relatively easy to shield yourself from the view of any other creatures inside if they don't realize they're in a mindscape. You must also create a method of exit from the mindscape when you cast this spell, and that method must be possible to achieve based on the traits of the mindscape, even if it is obscure or difficult. The GM decides whether a method of escape is reasonable. Anything that would be a reasonable method of waking from a dream during deep sleep could allow one to leave a mindscape.  More creatures than the initial two can enter an existing mindscape, typically through the use of the mindscape door spell. You can create illusory creatures within the mindscape  but you're able to direct or concentrate on only one at a time. Only this creature is believable; any others largely remain silent or speak generic, repetitive phrases.  As is normal with mindscapes, you and any other creatures within the mindscape are unable to take actions within the real world, and your bodies lose their Dexterity bonuses to AC.  If you choose to create a veiled mindscape, the first time another creature interacts with the environment, it can attempt a Will save to disbelieve the effect. Disbelieving a mindscape reveals to that creature that it's within a mindscape and gives it the knowledge needed to leave the mindscape, but doesn't free it from the mindscape. For example, if you create a mindscape that takes the form of a parlor inside a stately mansion, and your target creature succeeds at its Will save, it gains the understanding that walking out the front door of the mansion allows it to return to its physical body, but it must actually move through the mental landscape of the mansion to reach the front door and exit in order to flee the mindscape. If the mindscape is overt, the creature automatically knows how to exit if it so chooses.  This spell ends at any time that you choose to depart the mindscape, freeing the target as well. Any creature that drops below 0 hit points while inside the mindscape returns to its body. If this happens to you, the spell also ends, freeing anyone still inside.  Create mindscape can be made permanent with a permanency spell by a caster of 12th level or higher at a cost of 10,000 gp. You and other creatures aware of a permanent mindscape can come and go using the mindscape door spell.</t>
  </si>
  <si>
    <t>Form an immersive mindscape.</t>
  </si>
  <si>
    <t>Mind (8)</t>
  </si>
  <si>
    <t>Create Mindscape, Greater</t>
  </si>
  <si>
    <t>mesmerist 6, psychic 6, sorcerer/wizard 7</t>
  </si>
  <si>
    <t>This spell functions like create mindscape, except it can affect more creatures, the mindscape lasts longer, and you can choose the mindscape's magic trait. You can also direct a number of believable creatures at a time equal to your caster level.  Greater create mindscape can be made permanent with a permanency spell by a caster of 15th level or higher at a cost of 17,500 gp. You and other creatures aware of a permanent mindscape can come and go using the mindscape door spell.</t>
  </si>
  <si>
    <t>As create mindscape, but affecting more creatures, having a longer duration, and allowing magic alteration.</t>
  </si>
  <si>
    <t>Mind (12)</t>
  </si>
  <si>
    <t>Decrepit Disguise</t>
  </si>
  <si>
    <t>bard 1, medium 1, mesmerist 1, occultist 1, psychic 1, sorcerer/wizard 1</t>
  </si>
  <si>
    <t>one object of no more than 10 cu. ft./level</t>
  </si>
  <si>
    <t>none (object) or Will disbelief (if interacted with)</t>
  </si>
  <si>
    <t>You make an object seem like a worthless version of itself. A masterwork or magic sword could seem to be a useless, rusting, discarded blade, and a luxurious throne could appear to be a decrepit wooden chair. If used against an attended object, the wielder can immediately attempt a Will save to disbelieve the effect. Decrepit disguise counters and dispels quintessence.  Decrepit disguise can be made permanent with a permanency spell by a caster of 9th level or higher for the cost of 500 gp.</t>
  </si>
  <si>
    <t>Make an object seem worthless.</t>
  </si>
  <si>
    <t>Deja Vu</t>
  </si>
  <si>
    <t>bard 1, mesmerist 1, psychic 1, sorcerer/wizard 1</t>
  </si>
  <si>
    <t>You reach into the target's mind and put its thought processes into a temporary loop. Whatever full-round, standard, or move actions the creature takes on its first turn after you cast this spell, it must repeat on the turn after that. The creature must take the same type of actions in the same order (for example, making a full attack, casting a specific spell, withdrawing, attempting a bull rush combat maneuver, or activating a magic item) and must act against the same target or targets, but doesn't have to make exactly the same choices (such as using Power Attack when attacking, moving exactly 15 feet, or choosing "drop" for the command spell). If the circumstances would prevent the target from repeating an action, such as if the target of its attack is dead or the target cannot cast the same spell again, the target instead becomes confused until the spell ends. A creature currently affected by deja vu can't be targeted with another deja vu spell. A creature affected by deja vu can't delay, and if it readies an action on its first turn, it must ready the same action on its second turn.</t>
  </si>
  <si>
    <t>Make a creature repeat its actions.</t>
  </si>
  <si>
    <t>Demand Offering</t>
  </si>
  <si>
    <t>antipaladin 1, bard 2, inquisitor 2, mesmerist 1, occultist 2, psychic 2, sorcerer/wizard 2, witch 2</t>
  </si>
  <si>
    <t>instantaneous or 1 round</t>
  </si>
  <si>
    <t>A creature that fails its save uses an immediate action to hand you whatever object it's currently wielding or holding. If the target doesn't have an immediate action available, it uses a move action at the beginning of its next turn to hand you the object. If it's currently holding or wielding more than one item, determine randomly which item it gives you. If you're no longer adjacent to the creature when it has to give you the item, the spell ends with no effect. A creature that isn't holding an item when you cast this spell is unaffected.</t>
  </si>
  <si>
    <t>Make a creature give you an object it’s holding.</t>
  </si>
  <si>
    <t>Detect Mindscape</t>
  </si>
  <si>
    <t>medium 2, mesmerist 2, psychic 2, sorcerer/wizard 3</t>
  </si>
  <si>
    <t>This spell functions similarly to detect thoughts, allowing you to sense when one or more creatures' consciousnesses are  inside a mindscape (see page 234). The amount of information revealed depends on how long you study a particular subject.  First Round: You sense the presence or absence of a mindscape. At least one of the creatures inside the mindscape must be within the cone-shaped area for you to detect the mindscape.  Second Round: You sense the number of consciousnesses inside the mindscape. Not all of the creatures within the mindscape must be standing inside the cone-shaped area of the spell for you to count them; only one is required to get this reading. However, you can't determine the location of the creatures if you can't see the creatures themselves. You sense their presence only in an abstract way.  Third Round: You sense an image of what's taking place inside the mindscape. The creature controlling the mindscape can sense your efforts, and if it does not wish you to view the mindscape, it can prevent this viewing with a successful Will save. Otherwise, you perceive the visuals remotely, as if watching through a window. If a creature has disguised itself, you see only the creature's mental mask (not its true form).  Each round, you can turn to detect mindscapes in a new area. The spell can penetrate many barriers, but 1 foot of stone, 1 inch of common metal, a thin sheet of lead, or 3 feet of wood or dirt blocks it.  If you are within a mindscape when you cast this spell, you become aware you're in a mindscape. On the second round, you can still detect how many consciousnesses are inside, but you don't get the image of the mindscape in the third round.</t>
  </si>
  <si>
    <t>Sense the presence and attributes of mindscapes.</t>
  </si>
  <si>
    <t>Detect Psychic Significance</t>
  </si>
  <si>
    <t>medium 0, mesmerist 0, occultist 0, psychic 0, spiritualist 0</t>
  </si>
  <si>
    <t>40-ft.-radius burst, centered on you</t>
  </si>
  <si>
    <t>You detect the presence of psychically significant items in your vicinity. Such items are those that might have significant psychic imprints or histories that can be read by the psychometry occult skill unlock (see page 196), or items under the effects of the charge object or implant false reading spells. Items within range that contain significant psychic energy spark a recognition in your mind's eye, but no other information is imparted. This spell doesn't automatically detect magic items or strongly aligned items, though such items often have storied histories and might have had previous owners who possessed psychic abilities.</t>
  </si>
  <si>
    <t>Find psychically charged items.</t>
  </si>
  <si>
    <t>Divide Mind</t>
  </si>
  <si>
    <t>You partition your mind to maximize your mental power. Until the spell ends, you roll twice and use the higher result for all Will saves, Intelligence checks, and Intelligence-based skill checks. In addition, as a swift action you can have your second mind perform any purely mental action that normally requires a standard action or a move action. This includes casting psychic spells, using spell-like abilities, and concentrating on spells. Spells and spell-like abilities cast or used by your secondary mind this way can't exceed 5th level.</t>
  </si>
  <si>
    <t>Partition your mind, allowing you to roll twice on Will saves and Int checks, and to take extra mental actions.</t>
  </si>
  <si>
    <t>Dream Council</t>
  </si>
  <si>
    <t>bard 6, medium 4, mesmerist 5, psychic 6, sorcerer/wizard 7</t>
  </si>
  <si>
    <t>one or more living creatures</t>
  </si>
  <si>
    <t>This spell functions as dream, but you and the target of your dream can converse in a limited fashion as long as the recipient is also asleep. You can send or receive a number of dream messages equal to your caster level. Each message can be up to 25 words long or a single vague image that can't convey fine details such as words. You can send and receive these dream messages with a single target or multiple targets, but each message you send or receive counts against the total number of messages allowed. Sending a message takes 1 round. The spell ends and you wake up when you run out of messages.  If you use dream council to send a message to a sleeping creature that has dream or dream council prepared (or is able to cast it spontaneously or as a spell-like ability), the recipient can expend one of your allotted messages to cast that spell while remaining asleep. This uses up that creature's prepared spell, spell per day, or spell-like ability use as normal. Instead of replying to your message, that character is able to enter your dreamscape. If the sleeping recipient has the Lucid Dreamer feat, it can enter your dreamscape without casting either of those spells. While in the original caster's dreamscape, those involved in the council can interact with one another and that dreamscape for 10 minutes for each message remaining. When that time elapses, the spell ends.</t>
  </si>
  <si>
    <t>Communicate with multiple sleeping creatures.</t>
  </si>
  <si>
    <t>Dream Scan</t>
  </si>
  <si>
    <t>bard 6, medium 4, mesmerist 5, psychic 5, sorcerer/wizard 6</t>
  </si>
  <si>
    <t>This spell functions as dream, but rather than sending a message to a sleeping target, you can instead read the target's thoughts. The target must be asleep for you to perform a dream scan, though if the target isn't asleep, you can wait in a trance until your target falls asleep. Once the target is asleep, you can concentrate in order to read its surface thoughts as if using detect thoughts. You can continue concentrating for up to 1 minute per caster level.  Instead of reading surface thoughts, you can choose to scan the target's dreams and subconscious mind for the answers to questions. For every minute you spend concentrating, you can obtain the answer to one question,  though the answers might be brief, cryptic, or repetitive. The target is entitled to a new Will save to end the dream scan each time you ask it a question. Otherwise, the creature can attempt a Bluff check with a DC equal to 11 + your Sense Motive modifier. If it fails its Bluff check, you gain the information you desire. If it succeeds at its check, you gain no information. If it succeeds at its check by 5 or more, you misinterpret the target's dreams- you draw a false conclusion of the target's choice and believe that wrong answer to be true.  Unlike with dream, you can't cast this spell on another creature to have it serve as your messenger.</t>
  </si>
  <si>
    <t>Read a dreaming creature’s thoughts.</t>
  </si>
  <si>
    <t>Dream Travel</t>
  </si>
  <si>
    <t>mesmerist 6, psychic 6</t>
  </si>
  <si>
    <t>you and one creature/level</t>
  </si>
  <si>
    <t>You and the other targets of the spell are physically drawn from the Material Plane into the Dimension of Dreams on a voyage into the dreams of a creature you designate. In the Dimension of Dreams, you move through a swirling sea of thoughts, desires, and emotions created by the minds of dreamers everywhere to reach your destination dreamscape. Reaching the destination dreamscape takes 1 hour. At any point before the spell's duration ends, you can dismiss the spell to return to where you started on the Material Plane. The connection between dreams and reality is inherently tenuous, and your ability to arrive precisely where you mean to is dependent on your familiarity with the dreamer you're trying to find. To determine how accurate your arrival is at the end of your dream travel, roll d% on the following table.  On Off Dreamscape Familiarity Target Target Other Mishap  Very familiar 1-97 98-99 100 -  Somewhat familiar 1-94 95-97 98-99 100  Known creature 1-88 89-94 95-98 99-100  Not well known 1-76 77-88 89-96 97-100  False identity - - 81-92 93-100  Familiarity: "Very familiar" means that you have had contact using dream, dream council, dream scan, or a similar spell within the past 24 hours with the creature whose dreamscape you are trying to locate. "Somewhat familiar" means that you have had contact with the dreaming character using one of those spells at least once in the past. "Known creature" means that while you know the creature whose dreamscape you're trying to locate, you have not connected to its dreams with those spells. "Not well known" is a creature you have heard of, know by name and true identity, but have never met.  "False identity" means that whether or not you have met the creature, you know it only through a false identity. When trying to locate the dreamscape of a creature known to you through a false identity, roll 1d20 + 80 on the table to obtain your results (instead of rolling d%), since there is no way for you to pinpoint the correct dreamscape.  On Target: You travel to the correct creature's current dreamscape.  Off Target: You travel to an area near the target dreamscape on the Ethereal Plane.  Other Dreamscape: You travel to a similar creature's dreamscape on the Dimension of Dreams.  Mishap: You and anyone else traveling with you experience a mishap during travel; each character takes 1d10 points of damage and must reroll on the table to see where it ends up. For these rerolls, roll 1d20 + 80. Each time "Mishap" comes up, the travelers take more damage and must reroll to see where they end up.  Regardless of the accuracy of your dream travel, you and your companions all arrive at the same location (except in the case of a mishap). Mindless creatures can't use dream travel, nor can creatures that can't dream.  You might be able to exit the dream near the creature on its home plane. If you and the other creatures are still in a dream when the dreamer wakes up, the dreamer can decide to bring you out onto its plane within 1d10 miles of itself. If it chooses not to, you and the other travelers are pushed into another dreamscape or onto the Ethereal Plane. The spell ends when the creature wakes up, so you no longer have the option to dismiss the spell and return home. However, you do get enough warning that a spell is about to end that you can dismiss it before the dreamer awakens and decides whether to allow you to arrive at its location.  You can use dream travel to travel to the dream of a creature on another plane, but this requires trekking through the dreams of outsiders. It takes 1d4+1 hours of uninterrupted travel to reach the destination dream, and each traveler must succeed at a Will save each hour spent traveling in this fashion. The DC of this save is 10 for the first hour, and increases by 5 for each hour thereafter. If a creature fails this saving throw, it becomes shaken for the remainder of the dream travel and for a number of hours thereafter equal to the amount of time spent using dream travel to reach the destination plane. After the first time a creature fails the saving throw, one of the following effects occurs (determined randomly by the GM). These effects are considered emotion effects, in addition to any other descriptors that apply.  d6 Result  1 Creature contracts cackle fever or mindfire (equal chance of either; see page 557 of the Pathfinder RPG Core Rulebook).  2 Creature is cursed, as bestow curse; if the creature is a spellcaster, it instead acquires a random minor spellblight (Pathfinder RPG Ultimate Magic 94).  3 Creature is attacked by a phantasmal killer, and is treated  as having failed the initial saving throw to disbelieve it. The Fortitude save DC is equal to the Will save DC that the creature failed.  4 Creature is possessed as possession (see page 181) by an outsider (50% chance to be a creature from the destination plane; otherwise, it is a random hostile outsider).  5 Creature is affected as feeblemind.  6 Creature is affected as insanity.  Traveling to a different planar destination decreases the accuracy of your dream transit. If you exit a creature's dream onto a plane different from the plane you started on, you end up in a random location on the destination plane.  If the target of your dream travel isn't dreaming, you and the other travelers can wait on the Dimension of Dreams until that creature begins sleeping. For each hour that passes during this wait, each dream traveler must attempt a Will save as if it were traveling to reach another plane.</t>
  </si>
  <si>
    <t>Venture into the Dimension of Dreams to enter the dreams of a designated creature, then exit near that creature’s body on the plane where it lies sleeping.</t>
  </si>
  <si>
    <t>Dream Voyage</t>
  </si>
  <si>
    <t>This spell functions as dream travel, but you and your companions travel through the Dimension of Dreams in a fantastical vehicle of your own devising that halves the travel time. Only you can pilot the vessel, and you can do so even if you aren't inside it. Your psychic vehicle buffers minds from the intense emotional tides of the Dimension of Dreams, rendering everyone inside immune to harmful emotion and fear effects. Unlike with dream travel, there is no chance the vessel arrives off target. In addition, you need not have met the target creature, but in that case you must have at least a reliable description of it. However, if you attempt to travel there with insufficient or incorrect information, you do need to roll, using the false identity entry from dream travel.  Creatures that disembark from your vehicle can either enter the dreamscape or exit to the plane where the dreamer's body lies, arriving within 1 mile of the dreamer's body. All creatures that disembark from the vehicle onto a plane at the same time arrive in the same place. The dreamer can't prevent the dream voyagers from entering its dream, but can attempt a Will save to prevent a group of creatures from exiting to the plane where its body resides.  The psychic vehicle remains in the dream for the remainder of the spell's duration, even if it's unoccupied. A creature adjacent to the dreamer can reenter the dream vessel as a full-round action through an illusory portal only subjects of the spell can see. You can return the vessel to the point where you cast dream voyage to allow any number of passengers to return to that plane, and can return it to the dream again. Either of these trips takes the same amount of time as the initial travel, and can be done any number of times within the spell's duration. If the vessel moves out of a dreamscape, companions left behind can't return to the vessel by being near the dreamer. If a companion is killed, its body doesn't return to the dream voyage unless you carry it with you, just like any other object.  If the dreamer awakens while the dream vessel is still in its dream, it can allow the dream travelers to exit or not (as with dream travel). The dream vessel remains intact in the Dimension of Dreams for the spell's duration even if it's untethered from a  dream. It drifts through dreams when this happens, and you can't pilot it to another dream (even a dream of the initial dreamer if that creature begins dreaming again). If you dismiss the spell at any time, you and all subjects within the dream vessel return to where you started on the Material Plane.  You can increase the number of companions you can bring on a dream voyage to 10 creatures per caster level, though to do so you must increase the casting time, maintaining your concentration and touching up to 6 creatures per round as a full-round action. If your concentration is disrupted before you touch all of the targets, the spell is wasted and has no effect. Once you have touched all of your companions, the dream voyage begins; however, its duration is reduced to 1 hour.</t>
  </si>
  <si>
    <t>As dream travel, but with more flexibility and able to affect more creatures.</t>
  </si>
  <si>
    <t>Ectoplasmic Eruption</t>
  </si>
  <si>
    <t>psychic 7, spiritualist 6</t>
  </si>
  <si>
    <t>Reflex half and Will partial; see text</t>
  </si>
  <si>
    <t>A cascading avalanche of pale, swirling ectoplasmic matter erupts from a point you select. All creatures in the area when the spell is cast take 6d6 points of bludgeoning damage and are entangled for a number of rounds equal to your caster level. This spell passes between planes, so it affects ethereal and incorporeal creatures normally.  In addition, each ethereal or incorporeal creature in the area must succeed at a Will save or be pushed partially onto the Material Plane for a number of rounds equal to your caster level. It must attempt this Will save regardless of whether it succeeded at the Reflex save. An incorporeal creature pushed partially onto the Material Plane can't enter or pass through solid objects, takes half damage from nonmagical attack forms, and takes full damage from magic weapons, spells, spell-like effects, and supernatural effects. Corporeal spells and effects that don't cause damage affect the creature normally instead of having a 50% chance of affecting it. The creature still gains the other benefits of being incorporeal, and retains its attack bonuses and Armor Class.</t>
  </si>
  <si>
    <t>Deal 6d6 points of damage and entangle creatures in a 30-ft. radius, and push ethereal and incorporeal creatures onto the Material Plane.</t>
  </si>
  <si>
    <t>Ectoplasm (15)</t>
  </si>
  <si>
    <t>Ethereal (14)</t>
  </si>
  <si>
    <t>Ectoplasmic Snare</t>
  </si>
  <si>
    <t>magus 3, psychic 3, shaman 3, sorcerer/wizard 3, spiritualist 3</t>
  </si>
  <si>
    <t>entangling web of ectoplasm</t>
  </si>
  <si>
    <t>You unleash a writhing tendril of ectoplasm to grapple  or entangle a target creature. You must make a ranged touch attack to strike a target. If you hit, the target can attempt a Reflex save. On a successful save, the target is entangled for the duration of the spell and suffers no other effects. If the target fails this saving throw, the tendril is more restrictive, making the target grappled and dealing it 1d6+4 points of bludgeoning damage. Each round when you concentrate to maintain the spell, the snare attempts a grapple combat maneuver check to maintain the grapple. As normal when grappling, the snare gains a +5 bonus on grapple combat maneuver checks against opponents it is already grappling. The snare's CMB is equal to 6 + your caster level, and its CMD is equal to 16 + your caster level. Since the ectoplasm passes between planes, this spell affects incorporeal and ethereal creatures normally.  You remain tethered to the target for the duration of the spell. You can shrink or extend the snare, but if the distance between you and the target exceeds the spell's range, the snare disappears. The ectoplasmic tether has hardness 10 and a number of hit points equal to 10 + your caster level + your Constitution modifier, and the tether can be damaged or sundered anywhere along its length. You are not considered to have the grappled condition while tethered to the target. You can perform the move or damage action on a successfully grappled target, moving it up to half your speed or dealing an additional 1d6+4 points of bludgeoning damage to it on a successful grapple combat maneuver check. You can't pin your target.</t>
  </si>
  <si>
    <t>Tendril of ectoplasm grapples a creature and tethers you to it.</t>
  </si>
  <si>
    <t>Ectoplasm (7)</t>
  </si>
  <si>
    <t>Ethereal (6)</t>
  </si>
  <si>
    <t>Ego Whip I</t>
  </si>
  <si>
    <t>psychic 3</t>
  </si>
  <si>
    <t>You can use your psychic power to overwhelm the target's ego, leaving the target feeling hopeless and unsure of itself. Choose Intelligence, Wisdom, or Charisma. The target takes a -2 penalty to that ability score, and is also staggered for the first round it's affected. A successful Will save negates the staggered effect and reduces the duration of the penalty to 1 round.</t>
  </si>
  <si>
    <t>Cause a creature to take a –2 penalty to Int, Wis, or Cha and be staggered for 1 round.</t>
  </si>
  <si>
    <t>Psychic (7)</t>
  </si>
  <si>
    <t>Ego Whip II</t>
  </si>
  <si>
    <t>psychic 4</t>
  </si>
  <si>
    <t>This functions as ego whip I, but the target takes a -4 penalty to the chosen ability score and is staggered for 1d4 rounds on a failed Will save. This spell can be undercast.</t>
  </si>
  <si>
    <t>As ego whip I, but a –4 penalty and staggered for 1d4 rounds.</t>
  </si>
  <si>
    <t>Ego Whip III</t>
  </si>
  <si>
    <t>psychic 5</t>
  </si>
  <si>
    <t>This functions as ego whip I, but the target takes a -6 penalty to the chosen ability score and is staggered for 1d6 rounds on a failed Will save. This spell can be undercast.</t>
  </si>
  <si>
    <t>As ego whip I, but a –6 penalty and staggered for 1d6 rounds.</t>
  </si>
  <si>
    <t>Ego Whip IV</t>
  </si>
  <si>
    <t>psychic 6</t>
  </si>
  <si>
    <t>This functions as ego whip I, but the target takes -8 penalty to the chosen ability score and is staggered for 1d8 rounds on a failed Will save. This spell can be undercast.</t>
  </si>
  <si>
    <t>As ego whip I, but a –8 penalty and staggered for 1d8 rounds.</t>
  </si>
  <si>
    <t>Ego Whip V</t>
  </si>
  <si>
    <t>psychic 7</t>
  </si>
  <si>
    <t>This functions as ego whip I, but the target takes -10 penalty to the chosen ability score and is staggered for 1d10 rounds on a failed Will save. This spell can be undercast.</t>
  </si>
  <si>
    <t>As ego whip I, but a –10 penalty and staggered for 1d10 rounds.</t>
  </si>
  <si>
    <t>Emotive Block</t>
  </si>
  <si>
    <t>mesmerist 2, psychic 3, spiritualist 2</t>
  </si>
  <si>
    <t>You create an emotional block in the target's mind, adding an emotion component to each spell or spell-like ability he uses. This is in addition to any other components the spell already requires, and doesn't replace the somatic component. The target's spell-like abilities require this emotion component, even though they normally don't need spell components.  As usual with emotion components, the target can't cast spells (or use spell-like abilities, in this case) while affected by a non-harmless emotion or fear effect.</t>
  </si>
  <si>
    <t>Add an emotion component to all of the target’s spells.</t>
  </si>
  <si>
    <t>Enshroud Thoughts</t>
  </si>
  <si>
    <t>alchemist 2, bard 2, inquisitor 2, medium 2, mesmerist 2, psychic 2, ranger 3, shaman 2, witch 2</t>
  </si>
  <si>
    <t>You become warded against the mental prying of others, including the effects of divination spells such as detect thoughts and seek thoughtsAPG, as well as enchantment spells such as modify memory and memory lapseAPG. If another creature attempts to target you with a mind-affecting spell that  detects or alters your thoughts or memories, the caster must succeed at a caster level check against a DC equal to 11 + your caster level or the spell fails. Only spells that detect or alter your thoughts or memories are blocked by this spell; effects such as clairaudience/clairvoyance, d etect e vil, and locate creature continue to affect you as normal.</t>
  </si>
  <si>
    <t>Ward yourself against thought detection and memory alteration.</t>
  </si>
  <si>
    <t>Entrap Spirit</t>
  </si>
  <si>
    <t>medium 4, occultist 5, psychic 5, spiritualist 4</t>
  </si>
  <si>
    <t>V, S, F (a small silver mirror)</t>
  </si>
  <si>
    <t>incorporeal creature or haunt</t>
  </si>
  <si>
    <t>You trap the target in the mirror used as the spell's focus. The target cannot be affected by any means while inside the mirror. If the mirror is destroyed, any incorporeal creature within is immediately freed and any haunt within returns to its original location. Creatures that assumed incorporeal form through a spell or other means remain incorporeal while trapped, even if the duration of the effect that rendered them incorporeal expires. If your focus mirror belonged to the target, the target takes a -2 penalty on its saving throw.</t>
  </si>
  <si>
    <t>Trap an incorporeal creature or a haunt in a mirror.</t>
  </si>
  <si>
    <t>Erase Impressions</t>
  </si>
  <si>
    <t>medium 3, mesmerist 4, occultist 3, psychic 5, spiritualist 4</t>
  </si>
  <si>
    <t>You banish psychic impressions from the object touched, rendering it devoid of recent history. You choose how much time to erase, up to a maximum of 1 day per caster level. You must erase impressions from the present time back; you cannot choose to leave recent events untouched. Impressions erased in this manner cannot be recovered via object reading, legend lore, or similar measures.  Casting erase impressions o n a corpse r emoves recent psychic impressions from when the creature was alive as well, making those memories unavailable to speak with dead. For example, a 5th-level caster casting the spell on a 2-day-old corpse could erase the past 2 days of psychic impressions from the corpse and 3 additional days of information from just before the creature died.</t>
  </si>
  <si>
    <t>Erase psychic impressions from an object.</t>
  </si>
  <si>
    <t>Ethereal Envelope</t>
  </si>
  <si>
    <t>psychic 5, spiritualist 4</t>
  </si>
  <si>
    <t>S, M (empty crystal box)</t>
  </si>
  <si>
    <t>You place yourself into a cataleptic meditative state and shunt yourself to the Ethereal Plane, where your body is cocooned within a folded ripple of misty space, with total cover from creatures on the Ethereal Plane. While inside your ethereal envelope, you are treated as being asleep for most purposes. You can choose an amount of time within the duration when casting this spell, and you automatically dismiss the spell when that time elapses. Your ethereal envelope counts as an object of your size with AC 10, hardness 5, and hit points equal to twice your level, and it is immune to bludgeoning damage. An attacker must be on the Ethereal Plane or have a way to see ethereal objects in order to detect your ethereal envelope. The envelope can also be broken open with a successful Strength check with a DC equal to 15 + your caster level (to a maximum DC of 30). If the ethereal envelope is destroyed, the spell ends immediately.  When the spell ends, you remain asleep without the protection of the envelope for 1 round. At the end of that round, you are shunted back to the Material Plane at the location where you cast the spell, and you are staggered for 1 round as you reorient yourself to the Material Plane. You can't use this spell to travel from your location on the Ethereal Plane. If the space you formerly occupied is now occupied by another creature or object, you are shunted to the nearest open space and take 1d10 points of damage.</t>
  </si>
  <si>
    <t>Shroud your unconscious self in a cocoon on the Ethereal Plane.</t>
  </si>
  <si>
    <t>Ethereal (10)</t>
  </si>
  <si>
    <t>Ethereal Envelopment</t>
  </si>
  <si>
    <t>psychic 7, spiritualist 5</t>
  </si>
  <si>
    <t>This spell is similar to ethereal envelope, but it allows you to shunt an unwilling creature to the Ethereal Plane and seal it there within a cocoon of misty ethereal fibers. If the target fails its save, it's forced into a cataleptic meditative state as if unconscious. However, each round at the end of its turn, it can attempt a Will save to awaken itself from this meditation. Once the target awakens, it is considered pinned, treating your caster level as your CMB and your CMD as 10 + your caster level + your ability modifier for your primary spellcasting ability score. A successful grapple combat maneuver check or Escape Artist check leaves the creature grappled rather than pinned but doesn't allow it to escape. However, a trapped creature can attack the cocoon as described in the ethereal envelope spell description.  If the creature breaks free of the ethereal envelopment or  you dismiss the spell, the target is returned to its prior location on the Material Plane, as described for ethereal envelope, but if the target is conscious at the time, it doesn't spend a round asleep or staggered.</t>
  </si>
  <si>
    <t>As ethereal envelope, but able to affect an unwilling creature.</t>
  </si>
  <si>
    <t>Ethereal (16)</t>
  </si>
  <si>
    <t>Ethereal Fists</t>
  </si>
  <si>
    <t>magus 4, spiritualist 3</t>
  </si>
  <si>
    <t>Your hands reach simultaneously into the Ethereal and Material planes, allowing you to deal normal damage with claws, unarmed strikes, and touch spells or effects to ethereal creatures. Miss chance due to etherealness (such as from the blink spell) doesn't apply, though miss chance based on concealment does.</t>
  </si>
  <si>
    <t>Your claws, unarmed strikes, and touch spells affect ethereal creatures.</t>
  </si>
  <si>
    <t>Etheric Shards</t>
  </si>
  <si>
    <t>occultist 4, psychic 5, spiritualist 4</t>
  </si>
  <si>
    <t>S, M (broken glass)</t>
  </si>
  <si>
    <t>one 10-ft. cube/level</t>
  </si>
  <si>
    <t>Reflex partial or Reflex negates (see text)</t>
  </si>
  <si>
    <t>You harden interpenetrated ethereal substance into deadly transdimensional razors that are invisible to normal sight. Movement through an area of etheric shards is halved, even for incorporeal creatures, and creatures entering a 5-foot cube filled with etheric shards take 1d8 points of piercing and slashing damage and must succeed at a Reflex save or take 1 point of bleed damage. This bleed damage stacks with itself and other sources of bleed damage. A creature standing within an area of etheric shards takes no damage as long as it remains completely motionless, but even the minor movements involved in attacking or defending in combat force a stationary creature to attempt a Reflex save. If a stationary creature succeeds at this save, it avoids damage completely for that round, but if it fails, it takes hit point damage and bleed damage as though it had moved through the square.  A creature forcibly moved through an area of etheric shards, such as by a bull rush or drag combat maneuver, takes a -4 penalty on its saving throw, but a creature able to see invisible or ethereal objects gains a +4 bonus, and damage to it is completely negated on a successful Reflex save.  Etheric shards are considered a magical trap, and a creature with trapfinding can use Perception to find them. The DC of this check is equal to 25 + the spell's level. Etheric shards can't be disabled with the Disable Device skill.</t>
  </si>
  <si>
    <t>Fill an area with invisible shards that slow movement and damage creatures.</t>
  </si>
  <si>
    <t>Explode Head</t>
  </si>
  <si>
    <t>magus 6, psychic 5, sorcerer/wizard 6</t>
  </si>
  <si>
    <t>one living corporeal creature</t>
  </si>
  <si>
    <t>You cause incredible pressure to build in the target's head; this spell works only on a creature that has a head and would die from the loss of a head. The spell kills any such target that has 20 hit points or fewer, exploding its head and spreading debris in a 10-foot radius. Each creature in the area must succeed at a Reflex saving throw or take 2d6 points of slashing damage from the flying debris.</t>
  </si>
  <si>
    <t>Explode the head of a creature with 20 hp or fewer and deal damage in a 10-ft. radius around it.</t>
  </si>
  <si>
    <t>Foster Hatred</t>
  </si>
  <si>
    <t>antipaladin 4, inquisitor 5, mesmerist 5, psychic 6, spiritualist 5</t>
  </si>
  <si>
    <t>any number of living creatures, no two of which can be more than 30 ft. apart</t>
  </si>
  <si>
    <t>You build upon your targets' innate prejudice, stoking it from a simmer to the full flame of hatred. Choose a creature type (if you choose humanoid or outsider, you must also choose a subtype). Targets who hold no ill will toward and have a completely positive opinion of the chosen creatures automatically succeed at their saving throws, while targets with a particular hatred toward the chosen creature (such as the dwarf's hatred racial ability) take a -4 penalty on their saving throws. Targets that fail their saving throws become hostile toward all creatures of the chosen type and never treat them as allies for the spell's duration. Affected creatures take everything creatures of the chosen type do in the worst possible light.  Since most creatures don't hold ill-will toward their own race, you can use foster hatred toward a smaller subset of creatures of your chosen type, such as worshipers of Shelyn, in order to focus the hatred onto your chosen targets.</t>
  </si>
  <si>
    <t>Cause creatures to hate one type of creature.</t>
  </si>
  <si>
    <t>Ghost Whip</t>
  </si>
  <si>
    <t>cleric/oracle 2, inquisitor 2, magus 2, occultist 2, psychic 2, sorcerer/wizard 2, spiritualist 2, witch 2</t>
  </si>
  <si>
    <t>whip of flexible ectoplasm</t>
  </si>
  <si>
    <t>A white, 15-foot-long lash of ghostly evanescence appears from your hand. This weapon is treated as a ghost touch whip with no enhancement bonus. You can wield it as a whip as if you were proficient. Attacks with a ghost whip are resolved as incorporeal touch attacks. The whip affects only creatures you attack with it, passing through objects and other creatures in its path and thereby allowing you to ignore cover between you and your target. When a ghost whip attack passes through total cover, the target is treated as having total concealment (50% miss chance). Against incorporeal and undead creatures,  a ghost whip deals lethal damage and can be used to perform drag or reposition combat maneuvers (in addition to a whip's normal disarm and trip maneuvers). A ghost whip cannot be disarmed or sundered.</t>
  </si>
  <si>
    <t>Create a ghost touch whip that passes through objects.</t>
  </si>
  <si>
    <t>Ectoplasm (5)</t>
  </si>
  <si>
    <t>Grave Words</t>
  </si>
  <si>
    <t>medium 0, occultist 0, psychic 0, spiritualist 0</t>
  </si>
  <si>
    <t>With this spell and a touch, you can force a corpse talk to you, but you can't ask it specific questions or communicate with it at all. The corpse will start babbling for 1 round, spitting out random sentences. There is a 10% chance this information is of some use to the caster, but it is difficult to distinguish whether the information is useful (the GM makes the percentile roll in secret).  Useful information may include warnings about dangers deeper in a dungeon, the command word to a magic item, or even vague and spectral warnings of your or your companions' future. The GM decides what information, useful or not, the corpse spews out in its babbling.  Once a corpse has been subject to grave words b y a ny caster, any new attempt to cast grave words on that corpse fails. You can cast this spell on a corpse that has been deceased for any amount of time, but the head of the corpse must have a mouth in order to speak at all. This spell doesn't affect a corpse that has been turned into an undead creature.</t>
  </si>
  <si>
    <t>Force a corpse to babble.</t>
  </si>
  <si>
    <t>Hypercognition</t>
  </si>
  <si>
    <t>alchemist 3, bard 3, medium 2, psychic 2, sorcerer/wizard 4</t>
  </si>
  <si>
    <t>You rapidly catalog and collate all available data on a person, place, thing, or event, calling to mind scraps of memory and assembling clues in a logical and systematic order. Immediately after casting the spell, you can begin spending the necessary time to perform an Intelligence check, a Linguistics check to detect a forgery or decipher a hidden message, or a Knowledge check. If the check requires at least 3 rounds, you can perform it five times as quickly (minimum 1 round). If the check required fewer than 3 rounds, you can perform it instantly. Either way, you gain an insight bonus on the check equal to your caster level (maximum bonus +10), but this bonus can't raise your result above what you could have achieved on a natural 20.</t>
  </si>
  <si>
    <t>Rapidly recall everything you know about a subject.</t>
  </si>
  <si>
    <t>Id Insinuation I</t>
  </si>
  <si>
    <t>psychic 2</t>
  </si>
  <si>
    <t>By invading the mind of a creature with your psychic presence, you can isolate parts of its mind, preventing the target from functioning in a coherent manner. The target is confused as long as you concentrate on it plus 1 additional round. A successful Will save negates this effect.</t>
  </si>
  <si>
    <t>Confuse one creature for the duration of your concentration + 1 round.</t>
  </si>
  <si>
    <t>Psychic (5)</t>
  </si>
  <si>
    <t>Id Insinuation II</t>
  </si>
  <si>
    <t>two creatures</t>
  </si>
  <si>
    <t>This functions as id insinuation I, except as noted above. In addition, on the first round of the effect, the targets of this spell must roll twice to determine the result of their confused condition. You select which roll is used. This spell can be undercast.</t>
  </si>
  <si>
    <t>As id insinuation I, but affects two creatures and has a stronger confusion effect.</t>
  </si>
  <si>
    <t>Id Insinuation III</t>
  </si>
  <si>
    <t>three creatures</t>
  </si>
  <si>
    <t>This functions as id insinuation I, except as noted above. In addition, on the first 2 rounds of the effect, the targets of this spell must roll twice to determine the result of their confused conditions. You select which roll is used. This spell can be undercast.</t>
  </si>
  <si>
    <t>As id insinuation I, but affects three creatures and has a stronger confusion effect.</t>
  </si>
  <si>
    <t>Id Insinuation IV</t>
  </si>
  <si>
    <t>four creatures</t>
  </si>
  <si>
    <t>This functions as id insinuation I, except as noted above. In addition, on the first round of the effect, you can select the result of each creature's confused condition without having to roll, but this doesn't allow you to make any decisions about how that result is applied. On the following rounds of the effect, the targets of this spell must roll twice to determine their confused effect. You select which roll is used. This spell can be undercast.</t>
  </si>
  <si>
    <t>As id insinuation I, but affects four creatures and you select the confusion effect.</t>
  </si>
  <si>
    <t>Implant False Reading</t>
  </si>
  <si>
    <t>mesmerist 2, occultist 2, psychic 2</t>
  </si>
  <si>
    <t>You implant a false psychometric reading into an object, imbuing the item with misleading information that might be learned from the object reading spell or through the psychometry occult skill unlock (see page 196). This information might fool enemies, create a false history, or pass on secret messages through objects to psychically attuned allies. You can implant any information you wish that could be implanted by the charge object spell, as well as up to one piece of information per 3 levels that could be attained using psychometry or the object reading spell. You can detail this information in any way you see fit, either making up a previous owner and circumstances involving the object  from whole cloth, or attempting to emulate the biographical information and fictional accounts of a specific individual's experience with the object.  During the spell's duration, creatures reading the object through the object reading spell or the psychometry occult skill unlock receive this false information in place of an item's true history if they fail a Will saving throw. Creatures that succeed at their saves still detect and receive the false information, but recognize it for what is and are able to discern the fictitious information from the item's true history without difficulty.  This spell masks its own magical aura, causing the target to not register as magical to detect spells and similar effects. This masking doesn't conceal any other magical auras on the object, and can be overcome in the same ways as magic aura.</t>
  </si>
  <si>
    <t>Instill false psychic impressions into an object.</t>
  </si>
  <si>
    <t>Incorporeal Chains</t>
  </si>
  <si>
    <t>psychic 6, spiritualist 5</t>
  </si>
  <si>
    <t>You summon ghostly chains to bind incorporeal creatures. The chains' CMB is equal to your caster level + your Intelligence modifier. Roll only once for the entire spell effect and apply the result to all targeted incorporeal creatures.  If the chains succeed in grappling an incorporeal creature, the creature takes an amount of damage equal to 1d8 + your key spellcasting ability score modifier and gains the grappled condition. Grappled opponents can't move without first breaking the grapple. The spell prohibits all other movement unless the creature breaks the grapple first (although dimensional magic and the like still work as normal). Each round you concentrate, the chains continue grappling their current targets (though they don't seek out targets they aren't currently grappling). The incorporeal chains receive a +5 bonus on grapple combat maneuver checks against opponents the chains are already grappling, but can't move foes or pin foes. Each round the incorporeal chains succeed at a grapple combat maneuver check, they deal an additional amount of damage equal to 1d8 + your key spellcasting ability score modifier. The CMD of incorporeal chains, for the purposes of escaping the grapple, is equal to 10 + its CMB. If you move out of range of any of the grappled creatures, the chains cease grappling those creatures.</t>
  </si>
  <si>
    <t>Grapple incorporeal creatures and deal damage equal to 1d8 + Int.</t>
  </si>
  <si>
    <t>Inflict Pain</t>
  </si>
  <si>
    <t>mind-affecting, painUM</t>
  </si>
  <si>
    <t>antipaladin 2, inquisitor 2, medium 2, mesmerist 2, occultist 2, psychic 2, sorcerer/wizard 3, spiritualist 2, witch 3</t>
  </si>
  <si>
    <t>You telepathically wrack the target's mind and body with agonizing pain that imposes a -4 penalty on attack rolls, skill checks, and ability checks. A successful Will save reduces the duration to 1 round.</t>
  </si>
  <si>
    <t>Target takes a –4 penalty on attack rolls, skill checks, and ability checks.</t>
  </si>
  <si>
    <t>Inflict Pain, Mass</t>
  </si>
  <si>
    <t>antipaladin 4, inquisitor 5, medium 4, mesmerist 5, occultist 5, psychic 6, sorcerer/wizard 7, spiritualist 5, witch 7</t>
  </si>
  <si>
    <t>This spell functions like inflict pain except as noted above.</t>
  </si>
  <si>
    <t>As inflict pain, but affecting one creature per level.</t>
  </si>
  <si>
    <t>Instigate Psychic Duel</t>
  </si>
  <si>
    <t>medium 2, mesmerist 2, occultist 2, psychic 2, spiritualist 2</t>
  </si>
  <si>
    <t>You begin a psychic duel (see page 202) with a creature. This psychic duel takes place on a binary mindscape (see page 235) that includes only two minds: yours and the target's. This spell ends and both minds return to their respective bodies if one of you drops below 0 hit points or if both of you agree to end the psychic duel (a free action that you can perform even if it isn't your turn).  Even if you cast the spell, you must succeed at a Will save to escape your own psychic duel if your opponent doesn't want to allow you to leave. Spells like mindscape door can also free you from the mindscape (and mindscape door is one of the few spells you can cast in a binary mindscape). A binary mindscape is clearly illusory, and disbelieving the illusion doesn't alter how the mindscape works.</t>
  </si>
  <si>
    <t>Start a psychic duel between yourself and another creature</t>
  </si>
  <si>
    <t>Intellect Fortress I</t>
  </si>
  <si>
    <t>Using the power of pure logic, you disrupt mental attacks. Intellect fortress I suppresses all effects with the emotion and fear descriptors for its duration.</t>
  </si>
  <si>
    <t>Suppress emotion and fear effects in a 20-ft. radius as an immediate action.</t>
  </si>
  <si>
    <t>Psychic (9)</t>
  </si>
  <si>
    <t>Intellect Fortress II</t>
  </si>
  <si>
    <t>This spell functions as intellect fortress I, but in addition, any mind-affecting effects that deal damage have their damage reduced by half (before any reduction due to a successful save or other effect). This applies to both hit point damage and ability score damage. This spell can be undercast.</t>
  </si>
  <si>
    <t>As intellect fortress I, plus reduce the damage of mind-affecting effects.</t>
  </si>
  <si>
    <t>Intellect Fortress III</t>
  </si>
  <si>
    <t>This spell functions as intellect fortress II, but creatures within the area who succeed at a saving throw against a fear or emotion effect suffer no effects, even if there is usually a partial effect on a successful saving throw. This spell can be undercast.</t>
  </si>
  <si>
    <t>As intellect fortress II, plus remove partial effects of fear and emotion effects.</t>
  </si>
  <si>
    <t>Mental Barrier I</t>
  </si>
  <si>
    <t>You put a barrier of mental energy that protects you from harm. This barrier grants you a +4 shield bonus to AC. In addition, you take half damage from mind thrust I and II (reduced to one-quarter on a successful Will save).</t>
  </si>
  <si>
    <t>Gain a +4 shield bonus to AC and resist mind thrust for 1 round as an immediate action.</t>
  </si>
  <si>
    <t>Mental Barrier II</t>
  </si>
  <si>
    <t>This spell functions as mental barrier I, but the shield bonus to AC increases to +6. In addition, you take half damage from mind thrust I, II, and III (reduced to one-quarter on a successful Will save). This spell can be undercast.</t>
  </si>
  <si>
    <t>As mental barrier I, but +6 to AC.</t>
  </si>
  <si>
    <t>Mental Barrier III</t>
  </si>
  <si>
    <t>This spell functions as mental barrier I, but the shield bonus to AC increases to +8. In addition, you are immune to mine thrust I, and you take half damage from mind thrust II, III, and IV (reduced to one-quarter on a successful Will save). This spell can be undercast.</t>
  </si>
  <si>
    <t>As mental barrier I, but +8 to AC.</t>
  </si>
  <si>
    <t>Mental Barrier IV</t>
  </si>
  <si>
    <t>This spell functions as mental barrier III, but if you are struck by a critical hit or sneak attack, there is a 25% chance that the additional damage is negated (as light fortification). This does not stack with similar effects that negate the additional damage from a critical hit or sneak attack. In addition, you are immune to mind thrust I and II, and you take half damage from mind thrust III, IV, and V (reduced to one-quarter on a successful Will save). This spell can be undercast.</t>
  </si>
  <si>
    <t>As mental barrier III, plus 25% chance to prevent critical hits and sneak attacks.</t>
  </si>
  <si>
    <t>Mental Barrier V</t>
  </si>
  <si>
    <t>This functions as mental barrier III, but if you are struck by a critical hit or sneak attack, there is a 50% chance that the additional damage is negated (as moderate fortification). This does not stack with similar effects that negate the additional damage from a critical hit or sneak attack. In addition, you are immune to mind thrust I, II, and III, and you take half damage from mind thrust IV, V, and VI (reduced to one-quarter on a successful Will save). This spell can be undercast.</t>
  </si>
  <si>
    <t>As mental barrier III, plus 50% chance to prevent critical hits and sneak attacks.</t>
  </si>
  <si>
    <t>Psychic (13)</t>
  </si>
  <si>
    <t>Mental Block</t>
  </si>
  <si>
    <t>bard 2, mesmerist 1, psychic 2</t>
  </si>
  <si>
    <t>You lock access to the target's procedural memories, preventing it from drawing upon its experience and expertise. The target loses all skill ranks, spells known, spells prepared, and activated feats, as well as its extraordinary, supernatural, and spell-like abilities. Each round at the end of the target's turn, the target can attempt another Will save to end this effect.</t>
  </si>
  <si>
    <t>Prevent the target from using its skill ranks, spells, feats, and abilities.</t>
  </si>
  <si>
    <t>Mind (4)</t>
  </si>
  <si>
    <t>Microcosm</t>
  </si>
  <si>
    <t>one or more creatures</t>
  </si>
  <si>
    <t>You plunge the targets' minds into a veiled immersive mindscape (see page 235) of your own design. You can affect any number of creatures whose combined total Hit Dice do not exceed 30. A creature of 10 HD or fewer gets no saving throw, one of 11-15 HD escapes after 10 minutes per level you possess on a successful save, and a creature of 16 HD or more negates the effect on a successful save. Given time, the bodies of creatures  whose minds are trapped in a microcosm can die of starvation and thirst without care. Creatures can neither escape from nor enter a microcosm, even via a mindscape door. Microcosm can be ended only by miracle or wish.  Creatures inside a microcosm can be affected by mind-affecting effects targeted against their real bodies. However, they perceive them as natural events within their inner mindscape. Multiple creatures affected by the same microcosm can interact with one another within the mindscape.</t>
  </si>
  <si>
    <t>Trap creatures in a veiled mindscape permanently, causing their bodies to waste away in the real world.</t>
  </si>
  <si>
    <t>Psychic (19)</t>
  </si>
  <si>
    <t>Mind (18)</t>
  </si>
  <si>
    <t>Mind Probe</t>
  </si>
  <si>
    <t>medium 3, mesmerist 4, occultist 4, psychic 4, sorcerer/wizard 5</t>
  </si>
  <si>
    <t>You gain access to the subject's memories and knowledge. You can attempt to learn the answer to one question per round. A successful Will save ends the spell. Otherwise, the creature can attempt a Bluff check with a DC equal to 11 + your Sense Motive modifier. If it fails its Bluff check, you gain the answer you desire. If it succeeds at its check, you gain no information. If it succeeds by 5 or more, it answers whatever it chooses, and you believe that wrong answer to be true. Your questions are purely telepathic inquiries, and the answers to those questions are imparted directly to your mind. You and the target don't need to speak the same language, though less intelligent creatures may yield up only appropriate sensory images in answer to your questions.</t>
  </si>
  <si>
    <t>Learn answers from a subject’s memories.</t>
  </si>
  <si>
    <t>Mind Swap</t>
  </si>
  <si>
    <t>medium 3, mesmerist 5, occultist 4, psychic 5, sorcerer/wizard 6, spiritualist 4, summoner/unchained summoner 5, witch 6</t>
  </si>
  <si>
    <t>This spell is similar to possession, except you switch minds with the target, so instead of the target's soul sharing its body with yours and being unable to act, the target's mind moves to your body and can control it as if you each had cast possession on the other.</t>
  </si>
  <si>
    <t>Switch minds with another creature for 1 hour per level.</t>
  </si>
  <si>
    <t>Mind Swap, Major</t>
  </si>
  <si>
    <t>V, S, M (diamonds worth 10,000 gp)</t>
  </si>
  <si>
    <t>one creature of your same race</t>
  </si>
  <si>
    <t>The spell functions as mind swap, except as noted above. In addition, after 24 hours, instead of using each other's hit points, you each revert to your original hit points, modified by your new Constitution modifiers. This spell can be reversed only with miracle, wish, or another major mind swap.</t>
  </si>
  <si>
    <t>Swap minds with another creature forever.</t>
  </si>
  <si>
    <t>Mind Thrust I</t>
  </si>
  <si>
    <t>psychic 1</t>
  </si>
  <si>
    <t>You divine the most vulnerable portions of your opponent's mind and overload it with a glut of psychic information. This attack deals 1d6 points of damage per caster level (maximum 5d6). The target receives a Will save for half damage. This attack has no effect on creatures without an Intelligence score.</t>
  </si>
  <si>
    <t>Mentally deal 1d6 points of damage per level.</t>
  </si>
  <si>
    <t>Psychic (3)</t>
  </si>
  <si>
    <t>Mind Thrust II</t>
  </si>
  <si>
    <t>This functions as mind thrust I, but the target takes 1d8 points of damage per caster level (maximum 5d8). This spell can be undercast.</t>
  </si>
  <si>
    <t>As mind thrust I, but deal 1d8 points of damage per level (maximum 5d8).</t>
  </si>
  <si>
    <t>Mind Thrust III</t>
  </si>
  <si>
    <t>This functions as mind thrust I, but the target takes 1d8 points of damage per caster level (maximum 10d8). This spell can be undercast.</t>
  </si>
  <si>
    <t>As mind thrust II, but deal a maximum of 10d8 points of damage.</t>
  </si>
  <si>
    <t>Mind Thrust IV</t>
  </si>
  <si>
    <t>This functions as mind thrust I, but the target takes 1d8 points of damage per caster level (maximum 15d8) and is fatigued for 1 round if it fails its save. This spell can be undercast.</t>
  </si>
  <si>
    <t>As mind thrust II, but a maximum of 15d8 points of damage and target is fatigued for 1 round.</t>
  </si>
  <si>
    <t>Mind Thrust V</t>
  </si>
  <si>
    <t>This functions as mind thrust IV, but the target is also exhausted for 1 round if it fails its save and fatigued for 1 round if it succeeds at its save. This spell can be undercast.</t>
  </si>
  <si>
    <t>As mind thrust IV, but target is exhausted or fatigued for 1 round.</t>
  </si>
  <si>
    <t>Mind Thrust VI</t>
  </si>
  <si>
    <t>This functions as mind thrust IV, but the target takes 1d8 points of damage per caster level (maximum 20d8) and is exhausted and stunned for 1 round if it fails its save. This spell can be undercast.</t>
  </si>
  <si>
    <t>As mind thrust IV, but maximum 20d8 points of damage and target is exhausted and stunned for 1 round.</t>
  </si>
  <si>
    <t>Mindlink</t>
  </si>
  <si>
    <t>medium 1, mesmerist 1, occultist 1, psychic 1, shaman 1, sorcerer/wizard 1, spiritualist 1</t>
  </si>
  <si>
    <t>You link your mind to that of a touched creature to swiftly communicate a large amount of complex information in an instant. You decide what the target learns, limited to any amount of information that otherwise could be communicated in 10 minutes. This information comes in a series of visual images and emotional sensations, and isn't language-dependent.</t>
  </si>
  <si>
    <t>Communicate a great deal of information in an instant.</t>
  </si>
  <si>
    <t>Mind (2)</t>
  </si>
  <si>
    <t>Mindscape Door</t>
  </si>
  <si>
    <t>medium 3, mesmerist 3, psychic 3, sorcerer/wizard 4</t>
  </si>
  <si>
    <t>one illusory portal</t>
  </si>
  <si>
    <t>You or other creatures enter into or escape from a mindscape (see page 234) through an imaginary doorway. This doorway takes on any form of your choosing, but can be no larger than a 5-foot cube. This spell has different effects depending on whether you are inside a mindscape when you cast it.  When you cast this spell outside a mindscape, the doorway connects to one mindscape inhabited by a creature of your choice within close range (25 feet + 5 feet per 2 levels) of the door. That creature becomes the door's conduit, but can attempt a Will save to deny access to the mindscape. You must be aware of the mindscape to connect a mindscape door to it. If you connect to the mindscape, you designate any number of creatures to be able to see and pass through the door as though it were a normal doorway. You can name specific creatures or categories of creatures, or allow all creatures access. Creatures other than those you designate can't perceive or use the door, nor can mindless creatures or those immune to mind-affecting effects. Once anyone enters the mindscape through the door, a duplicate of the door appears inside the mindscape next to the creature you used as a conduit. Anyone inside a mindscape is able to perceive and use a mindscape door within that mindscape. Anyone who enters is subject to all rules of the mindscape, but is aware she is in a mindscape if you informed her where the portal leads.  When you cast this spell inside a mindscape, a duplicate of the door appears next to your body in the real world. The creator of the mindscape can attempt a Will saving throw to prevent you  from creating the door if she is within the mindscape. The two doors operate as if you'd cast the spell outside a mindscape. You still designate who can use the door from the real world to get into the mindscape, but you can't prevent creatures within the mindscape from exiting to the real world.  Typically, a mindscape door operates in both directions, but you can create it as a one-way door if you so choose. Unlike with other spells, you can cast this spell as a full-round action while engaged in a psychic duel. This spell can be used to exit a binary mindscape, but not to enter one. If you successfully cast mindscape door within a veiled mindscape, you learn that you are in a mindscape, but other creatures observing the door don't automatically realize they are.</t>
  </si>
  <si>
    <t>Create a portal allowing entry to and exit from a mindscape.</t>
  </si>
  <si>
    <t>Mind (6)</t>
  </si>
  <si>
    <t>Mindwipe</t>
  </si>
  <si>
    <t>medium 4, mesmerist 4, occultist 4, psychic 4, sorcerer/wizard 4, spiritualist 4</t>
  </si>
  <si>
    <t>You erase a portion of the target's mind and experiences, inflicting 2 temporary negative levels on the target for 1 day per caster level. If the target is a spellcaster who must choose and prepare spells in advance, each negative level imposed by mindwipe also causes the target to lose one prepared spell from her highest level of spells known for each of her spellcasting classes for which she must prepare spells. These lost spells are no longer considered known by the target until the corresponding negative levels are removed.  If the target is a spontaneous spellcaster, each negative level inflicted by mindwipe causes her to lose one spell slot of her highest level of spells for each spontaneous spellcasting class in which she has levels and to lose knowledge of one random spell known of that level (or the next lowest level if she has already lost knowledge of all spells known of that level, and so on). The target cannot use the lost spell slots and spells known as long as the corresponding negative levels last. When the target loses a spell known, the spell remains on her class list but she cannot prepare or cast the spell.  If the negative levels from mindwipe cause the target's total number of negative levels to equal or exceed her character level, instead of dying, she enters a catatonic state as long as the negative levels from mindwipe continue to cause her total number of negative levels to equal or exceed her character level.</t>
  </si>
  <si>
    <t>Erase a portion of the target’s mind and experiences, inflicting negative levels.</t>
  </si>
  <si>
    <t>Node Of Blasting</t>
  </si>
  <si>
    <t>medium 3, mesmerist 3, occultist 2, psychic 3</t>
  </si>
  <si>
    <t>You imbue an object with psychic energy. The node of blasting unleashes a mental blast when a creature with a mind touches the object, dealing 6d6 points of damage to the creature touching the object and causing the creature to be staggered for 1 minute. A successful saving throw halves the damage and negates the staggered condition.  Magic traps such as node of blasting are hard to detect and disable. A character with the trapfinding class feature can use Disable Device to thwart node of blasting. The DCs to find a node of blasting using Perception and to disable it using Disable  Device are both equal to 25 + the spell's level. Additionally, a creature with the read aura occult skill unlock (see page 197) can attempt the same Perception check to notice a node of blasting.</t>
  </si>
  <si>
    <t>Place a trap on an object to mentally damage a creature that touches it.</t>
  </si>
  <si>
    <t>Object Possession</t>
  </si>
  <si>
    <t>medium 4, mesmerist 5, occultist 4, psychic 5, sorcerer/wizard 5, spiritualist 5, witch 5</t>
  </si>
  <si>
    <t>unattended Large or smaller object (minimum Tiny)</t>
  </si>
  <si>
    <t>This spell functions as lesser object possession, except as noted above. The possessed animated object has a number of Construction Points appropriate for its size (up to 3 CP for Large objects).  You can return your consciousness to your body as a standard action. On your next turn, you can attempt to possess a different object as a standard action instead of ending the spell.</t>
  </si>
  <si>
    <t>As lesser object possession, but with a larger object.</t>
  </si>
  <si>
    <t>Object Possession, Greater</t>
  </si>
  <si>
    <t>occultist 5, psychic 6, sorcerer/wizard 7, spiritualist 6, witch 7</t>
  </si>
  <si>
    <t>unattended Gargantuan or smaller object (minimum Tiny) or construct</t>
  </si>
  <si>
    <t>This spell functions as object possession, except as noted above. The possessed animated object has a number of Construction Points appropriate for its size (up to 5 CP for Gargantuan objects). Your silver cord extends to medium range (100 ft. + 10 ft./level).  You can attempt to possess a construct instead of an unattended object as your first possession with this spell. If you do, this spell acts as control constructUM, except as noted above.</t>
  </si>
  <si>
    <t>As possess object, but the object is more powerful and you can possess a construct.</t>
  </si>
  <si>
    <t>Object Possession, Lesser</t>
  </si>
  <si>
    <t>medium 2, mesmerist 3, occultist 2, psychic 3, sorcerer/wizard 4, spiritualist 3, witch 4</t>
  </si>
  <si>
    <t>unattended Tiny or Small object</t>
  </si>
  <si>
    <t>This spell functions as possession, except you possess an object instead of a creature.  A possessed object becomes capable of animation, gaining the statistics of an animated object of its size (including 1 CP worth of abilities; Pathfinder RPG Bestiary 14). You can't use any spells or other abilities while possessing an object.  A spiritual tether connects your body to the possessed object, in a manner similar to a silver cord (see page 244). If the possessed object and your body are ever farther than close range (25 ft. + 5 ft./2 levels) from one another, this tether breaks, returning your consciousness to your body.</t>
  </si>
  <si>
    <t>Project your soul into an object, animating it.</t>
  </si>
  <si>
    <t>Object Reading</t>
  </si>
  <si>
    <t>medium 1, mesmerist 2, occultist 1, psychic 2, spiritualist 2</t>
  </si>
  <si>
    <t>one touched object</t>
  </si>
  <si>
    <t>concentration, up to 1 round per level (D)</t>
  </si>
  <si>
    <t>You read the psychic impressions left upon an object by emotionally or psychically charged events in the item's history, or the information imprinted by the charge object or implant false reading spells. T his spell returns the s ame i nformation a s the psychometry occult skill unlock (see page 196), but gives 1 piece of information when cast and requires 1 round of concentration per additional piece of information instead of 1 minute. You must still attempt an Appraise check to see how much information you gain. You gain a +10 competence bonus on the check.</t>
  </si>
  <si>
    <t>Read psychic impressions left on an object.</t>
  </si>
  <si>
    <t>Oneiric Horror</t>
  </si>
  <si>
    <t>bard 2, medium 1, mesmerist 2, psychic 2, sorcerer/wizard 3</t>
  </si>
  <si>
    <t>You cause the subject to believe it is being attacked by a creature out of its nightmares. Each round, the subject makes a full-attack action against the creature. A flying creature can still attempt a Fly check to hover. Each round on its turn after making a full attack against the imaginary creature, the subject can attempt a new saving throw to end the effect. The subject is fatigued for 1 minute after the spell ends.</t>
  </si>
  <si>
    <t>Distract and fatigue the target with a creature from its nightmares.</t>
  </si>
  <si>
    <t>Oneiric Horror, Greater</t>
  </si>
  <si>
    <t>bard 4, medium 2, mesmerist 3, psychic 4, sorcerer/wizard 5</t>
  </si>
  <si>
    <t>Will negates, Fortitude negates, see text</t>
  </si>
  <si>
    <t>This spell functions as oneiric horror except each round the subject fails its Will save, it takes 1 point of Strength damage, and after the spell ends, the subject must succeed at a Fortitude save or be fatigued for a number of minutes equal to the number of rounds spent under the spell's effect.</t>
  </si>
  <si>
    <t>As oneiric horror, plus Str damage.</t>
  </si>
  <si>
    <t>Paranoia</t>
  </si>
  <si>
    <t>bard 2, medium 1, mesmerist 1, psychic 2, sorcerer/wizard 2, witch 2</t>
  </si>
  <si>
    <t>The target believes everyone it sees is an enemy. The target becomes hostile to all creatures, treating all creatures as enemies and only itself as an ally. The target must attempt attacks of opportunity whenever any creature provokes them. Finally, whenever the target is adjacent to two or more creatures, its paranoia overwhelms it, and it takes a -2 penalty on attack rolls, weapon damage rolls, ability checks, skill checks, and saving throws.</t>
  </si>
  <si>
    <t>Target becomes hostile to all creatures.</t>
  </si>
  <si>
    <t>Parchment Swarm</t>
  </si>
  <si>
    <t>magus 5, occultist 4, sorcerer/wizard 5</t>
  </si>
  <si>
    <t>S, M (blank parchment or magic scroll; see text)</t>
  </si>
  <si>
    <t>When you cast this spell, you quickly tear a parchment into shreds, releasing the flying fragments to swarm around a target creature and deliver thousands of tiny paper cuts. Using normal parchment, the spell deals 1d6 points of magical slashing damage per caster level (maximum 15d6).  If you use a magic scroll as the material component, choose one of the spells stored in the scroll. If the spell is 1st level, you can choose to apply the effect of that spell to the parchment swarm's target on a failed Reflex save (if the spell on the scroll has its own saving throw, the target then attempts that save as normal). If the spell on the scroll is at least 2nd level, you can choose to instead change parchment swarm to affect a 20-foot-radius spread instead of a single target.</t>
  </si>
  <si>
    <t>Shredded parchment deals 1d6 points of damage per level, and has a spell effect if you shred a scroll.</t>
  </si>
  <si>
    <t>Placebo Effect</t>
  </si>
  <si>
    <t>medium 2, mesmerist 2, psychic 2</t>
  </si>
  <si>
    <t>V, M (a sugar cube)</t>
  </si>
  <si>
    <t>The subject temporarily ceases to feel the ill effects of a single ongoing affliction or condition from the following list: blinded, cursed, dazed, deafened, diseased, fatigued, frightened, nauseated, panicked, paralyzed, poisoned, shaken, sickened, staggered, or stunned. If that affliction or condition has a duration, it is suspended until this spell expires. If the subject has multiple instances of the same type of affliction (such as multiple diseases), a single casting of this spell can suspend only one of them. Placebo effect doesn't remove or temporarily negate any damage that the affliction may have already caused, nor does it provide protection against receiving such conditions again.</t>
  </si>
  <si>
    <t>Temporarily suppress an affliction or condition.</t>
  </si>
  <si>
    <t>Possession</t>
  </si>
  <si>
    <t>medium 3, mesmerist 5, occultist 4, psychic 5, sorcerer/wizard 5, spiritualist 4, summoner/unchained summoner 5, witch 5</t>
  </si>
  <si>
    <t>You attempt to possess a creature by projecting your soul into its  body. The target creature must be within spell range and you must know where it is, though you do not need line of sight or line of effect to it. When you transfer your soul upon casting, your body appears to be dead. Failure to take over a host ends the spell.  If you are successful, your life force occupies the host body. The host's soul is imprisoned with you, but can still use its own senses (though it can't assert any influence or use even purely mental abilities). You can communicate telepathically with the host as if you shared a common language, but only with your consent. You keep your Intelligence, Wisdom, Charisma, level, class, base attack bonus, base save bonuses, alignment, and mental abilities. The body retains its Strength, Dexterity, Constitution, hit points, natural abilities, and automatic abilities. A body with extra limbs doesn't allow you to make more attacks (or more advantageous two-weapon attacks) than normal. You can't activate the body's extraordinary or supernatural abilities, nor can you cast any of its spells or spell-like abilities.  As a standard action, you can shift freely back to your own body regardless of range, so long as it remains on the same plane. If the host's body is killed, you return to your own body and the life force of the host departs (it is dead). If your body is slain, when the spell expires or the host's body is killed, you are slain. It is possible to cast this spell on a new target from within another creature's body; this resets the duration. You still return to your original body (not any intermediate body) when you take a standard action to do so or the spell's duration expires. Returning to your body ends the spell. Creatures whose souls are their bodies, such as incorporeal undead and non-native outsiders, use the effects of greater possession instead.</t>
  </si>
  <si>
    <t>Project your soul into a creature’s body.</t>
  </si>
  <si>
    <t>Possession, Greater</t>
  </si>
  <si>
    <t>occultist 6, psychic 8, sorcerer/wizard 8, spiritualist 6, witch 8</t>
  </si>
  <si>
    <t>This spell functions as possession, but when you possess a host, you enter the host's body and your physical body vanishes. You are ejected to the closest empty square upon expiration of the spell or upon the host's death.</t>
  </si>
  <si>
    <t>As possession, but your body vanishes.</t>
  </si>
  <si>
    <t>Primal Regression</t>
  </si>
  <si>
    <t>druid 6, mesmerist 5, psychic 6, shaman 6, witch 7</t>
  </si>
  <si>
    <t>one creature/2 levels, no two of which can be more than 30 feet apart</t>
  </si>
  <si>
    <t>This spell sequesters the targets' ability for higher reasoning, allowing their darker impulses to come to the fore. An affected target becomes a ravening monster-savage, bloodthirsty, and brutish. Until the spell ends, the targets have all of the following benefits and drawbacks.  • Targets' Intelligence and Charisma scores drop to 3 (if the scores were higher), and they are unable to use Intelligence-or Charisma-based skills, cast spells, understand language, or communicate coherently.  • Targets take a -4 penalty on Will saves.  • Targets gain a +6 enhancement bonus to Strength, a +2 natural armor bonus to AC, and 2d8 temporary hit points. These temporary hit points disappear at the end of the spell's duration.  When the spell ends, each affected creature must succeed at a Will saving throw or take 1d4 points of Intelligence drain and 1d4 points of Charisma damage.</t>
  </si>
  <si>
    <t>Make a creature become bestial and unintelligent.</t>
  </si>
  <si>
    <t>Psychic Asylum</t>
  </si>
  <si>
    <t>mesmerist 5, psychic 5, sorcerer/wizard 6</t>
  </si>
  <si>
    <t>You retreat into a mindscape (see page 234) of your own making that allows you to perform a lengthy mental task in an instant. You create a mental landscape that provides succor and calm for you, such as a library, sitting room, garden, or childhood tree house. You can spend up to 15 minutes in your psychic asylum. While you are within, no time passes for your body, and when you emerge you can continue with your turn. The mindscape is overt, finite, and has a rapid passage of time.  While within the mindscape, you can consult any text, recall any conversation, or remember any image that you have been exposed to with perfect clarity and recollection, as if you had an eidetic memory. You must have seen or heard the material within a time frame of 1 week per level. For example, you might wish to reexamine a passage of text from an ancient manuscript you rapidly scanned in a library 2 weeks prior. While in the psychic asylum, you can perfectly recall the precise layout of the text  within the ancient manuscript and read it word for word. Once you emerge from the psychic asylum, you can recall the details of what you had just studied as clearly as if you had just looked at it, but you no longer have total recall of the material.  If you're able to prepare spells, you can use the time to prepare a single spell. For example, if you were poisoned, you could use your swift action to cast psychic asylum, pray and meditate for the full 15 minutes to gain neutralize poison, then emerge from the mindscape and immediately cast the spell upon yourself as your standard action.  Any mind-affecting spell that was affecting you before you cast the spell continues to expend its duration on you while you are within the psychic asylum, so you can use this spell to wait out the effects of such a condition. Effects that are currently affecting your body do not expend additional duration while you are in the psychic asylum, but you also don't experience their effects during the time spent there.</t>
  </si>
  <si>
    <t>Perform a lengthy mental task in a private mindscape.</t>
  </si>
  <si>
    <t>Mind (10)</t>
  </si>
  <si>
    <t>Psychic Crush I</t>
  </si>
  <si>
    <t>Will partial and Fortitude partial; see text</t>
  </si>
  <si>
    <t>Using your psychic power, you invade the mind of the target and tear it asunder, causing massive internal damage to both its mind and body. If the target succeeds at the initial Will save, it is sickened for 1 round. If the target fails its Will save, it must attempt a Fortitude save (with a +4 circumstance bonus on this save if it has more than half its total hit points remaining). If it also fails the Fortitude save, the target is reduced to -1 hit points and is dying. If the target succeeds at its Fortitude save, it instead takes 3d6 points of damage + 1 point of damage per caster level, which cannot reduce the target below -1 hit point, and the target is sickened for 1 round. This attack has no effect on creatures without an Intelligence score.</t>
  </si>
  <si>
    <t>Sicken a target and cause it to start dying, or deal 3d6 + 1 points of damage per level on a save.</t>
  </si>
  <si>
    <t>Psychic (11)</t>
  </si>
  <si>
    <t>Psychic Crush II</t>
  </si>
  <si>
    <t>This functions as psychic crush I, but on a successful Fortitude save, the target takes 5d6 points of damage + 1 point of  damage per caster level. In addition, the target receives a +4 circumstance bonus on the Fortitude save only if it is at full hit points; otherwise, it gains a +2 bonus if it has more than half its total hit points remaining. This spell can be undercast.</t>
  </si>
  <si>
    <t>As psychic crush I, but deal 5d6 + 1 points of damage per level on a save and harder to resist.</t>
  </si>
  <si>
    <t>Psychic Crush III</t>
  </si>
  <si>
    <t>This functions as psychic crush I, but the target takes 7d6 points of damage + 1 point of damage per caster level on a successful Fortitude save and 1 point of damage per caster level on a successful Will save. The target receives a +2 circumstance bonus on the Fortitude save if it is at full hit points, and no bonus if it has taken any damage. This spell can be undercast.</t>
  </si>
  <si>
    <t>As psychic crush I, but deal 7d6 + 1 points of damage per level on a save and harder to resist.</t>
  </si>
  <si>
    <t>Psychic Crush IV</t>
  </si>
  <si>
    <t>psychic 8</t>
  </si>
  <si>
    <t>This functions as psychic crush I, but the target takes 9d6 points of damage + 1 point of damage per caster level on a successful Fortitude or Will save. The target does not receive any saving throw bonus because of its hit points. If it is at fewer than half its total hit points, it doesn't gain a Fortitude save to resist this spell but instead proceeds as if it had automatically failed its Fortitude save. This spell can be undercast.</t>
  </si>
  <si>
    <t>As psychic crush I, but deal 9d6 + 1 points of damage per level on a save and no Fort save at 1/2 hp or fewer.</t>
  </si>
  <si>
    <t>Psychic Crush V</t>
  </si>
  <si>
    <t>This functions as psychic crush IV, but on a successful Fortitude or Will save, the target takes 11d6 points of damage + 1 point of damage per caster level. If it is at fewer than half its total hit points, the target takes a -2 penalty on the Will save to resist this spell. This spell can be undercast.</t>
  </si>
  <si>
    <t>As psychic crush IV, but deal 11d6 + 1 points of damage per level on a save.</t>
  </si>
  <si>
    <t>Psychic Image</t>
  </si>
  <si>
    <t>You envelop your consciousness in a quasi-real image of yourself. Your psychic image looks, sounds, and smells like you, but is intangible. While your mind occupies the image, you control it as though it were your own body, but you cannot directly affect physical objects. Your image moves with a fly speed of 60 feet and perfect maneuverability. Your senses perceive only what the image can see and hear while occupying it, and your own body is considered blind, deaf, and helpless. You can switch between the image and your body as a swift action. While your mind is in your body, the image is similarly helpless.  Your image can pass through solid objects as though you are incorporeal. It cannot go farther into a solid object than  your space (5 feet for a Small or Medium creature). It can't be damaged by most attacks or effects, whether or not they affect incorporeal creatures. However, mind-affecting effects targeted against or affecting your psychic image have their full effect on you whenever your mind occupies it.  If you desire, you can cast any psychic spell or spell-like ability with a range of touch or greater while your mind occupies your image. You can't cast non-psychic spells through the image, even if you possess them. The psychic image can cast only psychic illusion spells on itself. The spells affect other targets normally, despite originating from the psychic image.  Objects are affected by the psychic image as if they had succeeded at their Will saves. You need not maintain line of effect to your psychic image, but if you cross into another plane even for an instant, such as via blink, dimension door, or similar spells, the spell ends.</t>
  </si>
  <si>
    <t>Create a perfect illusion of yourself that is incorporeal and capable of casting psychic spells, and switch between it and your body at will.</t>
  </si>
  <si>
    <t>Psychic Reading</t>
  </si>
  <si>
    <t>bard 2, inquisitor 2, medium 1, mesmerist 1, occultist 1, psychic 1, sorcerer/wizard 2, spiritualist 1</t>
  </si>
  <si>
    <t>You are able to read a person's surface thoughts and take cues from the person's appearance, body language, and manner of speech to infer a great deal of information about the person, even if that person is in disguise (including polymorph effects). When casting the spell, attempt a DC 20 Sense Motive check with a bonus equal to your caster level. A successful skill check reveals to you one of the following pieces of information of your choice, plus one additional piece of information for every 5 points by which your check result exceeds 20: age, alignment, class&amp;#8224;, feats&amp;#8224;, gender, native language, place of origin, race or ethnicity, racial traits&amp;#8224;, religion, sexual orientation, or training in a Craft, Perform, or Profession skill. For items marked with a cross (&amp;#8224;), if the target has more than one of these features, each one you discover counts as a piece of information.  There's a 70% chance that all information you receive is correct. This roll is made secretly. Otherwise, on a roll of 71-80, you receive one false piece of information, on a roll of 81-90 you receive two, and on a roll of 91-100 you receive three. You can't get more false information than the total number of pieces of information you discover.</t>
  </si>
  <si>
    <t>Read surface thoughts to learn information about a subject.</t>
  </si>
  <si>
    <t>Psychic Surgery</t>
  </si>
  <si>
    <t>mesmerist 5, psychic 6</t>
  </si>
  <si>
    <t>V, M (diamond dust worth 250 gp)</t>
  </si>
  <si>
    <t>one willing and living creature</t>
  </si>
  <si>
    <t>Psychic surgery cures the target of all Intelligence, Wisdom, and Charisma damage and restores all points permanently drained from the target's Intelligence, Wisdom, and Charisma scores. It also eliminates all ongoing insanity, confusion, and fear effects. Psychic surgery can also remove other mental afflictions, including enchantment spells and abilities, and even instantaneous effects, but in this case, if dispel magic couldn't remove the effect, psychic surgery works only if the spell level or equivalent spell level of the effect was 6th level or lower. Psychic surgery removes all effects magically altering the target's memory, even instantaneous effects, and it can restore a memory to perfect clarity like the second use of modify memory.</t>
  </si>
  <si>
    <t>Cure all Int, Wis, and Cha damage and drain, plus remove other mental afflictions and conditions.</t>
  </si>
  <si>
    <t>Purge Spirit</t>
  </si>
  <si>
    <t>medium 2, occultist 2, psychic 3, sorcerer/wizard 4, spiritualist 2, witch 4</t>
  </si>
  <si>
    <t>one creature or haunt</t>
  </si>
  <si>
    <t>Purge spirit rips away at the target's spiritual substance, scattering it over a wide area and hampering the target's ability to reform. The target takes 1d6 points of damage per caster level (maximum 10d6) and is staggered for 1 round. On a successful saving throw, the target takes half damage and is not staggered. This spell affects astrally projected creatures, ethereal creatures, haunts, incorporeal creatures, mediums channeling a spirit, and phantoms, and at the GM's discretion can affect other spirits or creatures made of ectoplasm. Incorporeal creatures take full damage from purge spirit.</t>
  </si>
  <si>
    <t>Deal 1d6 points of damage per level to one haunt or spirit creature and stagger it.</t>
  </si>
  <si>
    <t>Quintessence</t>
  </si>
  <si>
    <t>Will negates (harmless) and Will disbelief; see text</t>
  </si>
  <si>
    <t>You draw forth the idealized image of the target creature or object, masking any flaws or damage. An injured or ill creature appears healthy, and a damaged object or one with the broken condition appears intact. However, a corpse  masked by quintessence remains obviously dead, and a completely destroyed object can't be made to seem whole. This illusion has visual and tactile components. Careful examination of or handling the target grants a saving throw to disbelieve, but casual observation does not. Using a broken object for its intended purpose automatically reveals the deception. Appraise checks to assess the value of an object affected by quintessence estimate the value as an item of its type in perfect condition, unless the appraiser disbelieves the illusion.  Unwilling targets can negate the spell's effect on them with successful Will saves or with spell resistance. Those who interact with the target can attempt Will saves to see through the glamer, but spell resistance doesn't apply. Quintessence counters and dispels decrepit disguise.</t>
  </si>
  <si>
    <t>Mask any flaws of or damage to a creature or object.</t>
  </si>
  <si>
    <t>Remote Viewing</t>
  </si>
  <si>
    <t>medium 4, occultist 5, psychic 5, spiritualist 5</t>
  </si>
  <si>
    <t>V, S, M (incense)</t>
  </si>
  <si>
    <t>Your body enters a trance as you send your psychic senses to a distant location and gain psychic impressions of that location. You must specify the distance and direction to the location you desire to view remotely. This spell doesn't allow you to see the visual appearance of the location's surface, so it isn't useful for casting spells like teleport, but it grants you a psychic impression of the location, which could give you deeper information. For example, a forest that is home to a tight-knit community of fey might appear as a city in the trees, or a beautiful palace ruled by an evil king and warded by forbiddance might appear as a dark fortress encased in insubstantial chains.  During the 1 hour casting time of remote viewing, your real body is unconscious and helpless, and you are unaware of its surroundings.</t>
  </si>
  <si>
    <t>Gain psychic impressions from a distant location.</t>
  </si>
  <si>
    <t>Repress Memory</t>
  </si>
  <si>
    <t>bard 5, mesmerist 5, psychic 6</t>
  </si>
  <si>
    <t>This spell allows you to safeguard important knowledge, even from yourself. When casting this spell, you recount one piece of knowledge you possess (up to a maximum of 50 words). This knowledge disappears utterly from your mind, and you might not realize you forgot something. The magic of the spell patches omissions in your memory with indistinct haze  Repress memory protects against detect thoughts, discern lies, zone of truth, and similar spells, though careful questioning may reveal the gaps in your memory, or that your memory has been affected by the spell.  A repressed memory can be restored only by break enchantment, psychic surgery, limited wish, miracle, or wish. If you use this spell to negate the memory of a magical compulsion, it doesn't remove the compulsion, nor does it remove procedural memories that might affect your skills or class abilities.  At the GM's discretion, multiple castings of this spell might erase memories of a lengthier event or all memory of a place or individual from your memory.</t>
  </si>
  <si>
    <t>Remove a piece of knowledge from your mind.</t>
  </si>
  <si>
    <t>Retrocognition</t>
  </si>
  <si>
    <t>medium 3, occultist 3, psychic 5, sorcerer/wizard 7</t>
  </si>
  <si>
    <t>This spell allows you to gain psychic impressions from past events that occurred in your current location. Retrocognition reveals psychic impressions from events that occurred over the course of the last hour throughout the first minute of the duration, followed by impressions from the next hour back the next minute you concentrate, and so on. If a psychically traumatic or turbulent event happened during that time period, you must succeed at a concentration check (DC = 20, 30, or 40, depending on the severity of the psychic disturbance) or lose concentration on the spell.  At caster level 13th and higher, you can choose to collect impressions from over the course of a longer interval of time than an hour, beginning at 1 week per minute of concentration (as listed on the table below). The amount of detail you receive diminishes, so this eventually makes it harder to distinguish impressions left by anything but the most major events.  Caster Level Time Period  13th-15th 1 week per minute  16th-18th 1 year per minute  19th+ 1 century per minute</t>
  </si>
  <si>
    <t>Gain psychic impressions from past events in a location.</t>
  </si>
  <si>
    <t>Riding Possession</t>
  </si>
  <si>
    <t>medium 2, mesmerist 4, occultist 3, psychic 4, sorcerer/wizard 4, spiritualist 3, summoner/unchained summoner 4, witch 4</t>
  </si>
  <si>
    <t>1 hour/level (D); see text</t>
  </si>
  <si>
    <t>You stealthily project your soul into the host's body as an observer, with limited ability to influence the target. This functions as possession, except the host is still in full control of its body and is unaware you are possessing it. You can't communicate with the host directly, but you can cast mind-affecting spells or riding possession on the host as long as you can cast these spells as purely mental actions. Even if the spell you cast would normally affect more than one target or an area, it can affect only the host. If the host succeeds at a saving throw against a spell that you cast in this way, it immediately becomes aware that it is possessed, and if it was already aware, it receives another saving throw against riding possession. Protection from evil and similar effects don't expel you from the host, but they do prevent you from casting further spells from within your host until their durations expire.</t>
  </si>
  <si>
    <t>As possession, but you observe instead of control the subject.</t>
  </si>
  <si>
    <t>Sealed Life</t>
  </si>
  <si>
    <t>medium 2, spiritualist 3</t>
  </si>
  <si>
    <t>You seal the life force within the target, preventing it from sharing its vitality with others. Affected creatures can't transfer damage to or from another, such as through shield other, a spiritualist's life bond, or a summoner's life link. Effects such as vampiric touch that steal vitality from others deal damage normally, but provide no benefits.</t>
  </si>
  <si>
    <t>Prevent a creature from transferring life force to or from others.</t>
  </si>
  <si>
    <t>Sealed Life, Greater</t>
  </si>
  <si>
    <t>spiritualist 6</t>
  </si>
  <si>
    <t>This spell functions as sealed life, except it additionally provides the benefits of death ward and renders its targets immune to effects that extract or transfer its soul, such as possession and trap the soul. This spell prevents a soul from returning to its body if it has already departed, until the spell's duration expires.</t>
  </si>
  <si>
    <t>As sealed life, plus death ward and immunity to soul transference.</t>
  </si>
  <si>
    <t>Sessile Spirit</t>
  </si>
  <si>
    <t>cleric/oracle 5, inquisitor 4, medium 2, occultist 3, shaman 4, spiritualist 3, witch 5</t>
  </si>
  <si>
    <t>one creature or object (see text)</t>
  </si>
  <si>
    <t>You reach into the target creature and cause that spirits within to become dormant and inactive. If the target is a medium with a spirit inhabiting its body or a spiritualist with a phantom inhabiting its consciousness (or a member of another class using the spirit or phantom class features), a failed save renders that spirit or phantom powerless, suppressing any benefits the spirit or phantom normally provides to its host, including bonus feats and spells known.  If a spirit within the target is a creature using a possession effect, including possess object, possession, or a ghost's malevolence, the spell targets the possessing creature rather than the creature it inhabits. On a failed save, the possessing spirit isn't exorcised from the target but is dazed for the duration of the spell.</t>
  </si>
  <si>
    <t>Cause a spirit inhabiting a creature or an object to go dormant.</t>
  </si>
  <si>
    <t>Shadow Body</t>
  </si>
  <si>
    <t>sorcerer/wizard 7, spiritualist 5, witch 7</t>
  </si>
  <si>
    <t>You exchange the crude matter of your material body with the insubstantial essence of the Plane of Shadow, becoming a living shadow yourself. You are visible as an unattached shadow in bright light or normal light, but you gain total concealment in dim light or darkness. Against creatures with darkvision, you gain concealment rather than total concealment. Your shadow body is incorporeal for most purposes, though you can't fly or pass through solid objects or creatures. However, you can move at your normal speed along any surface, including horizontal and vertical surfaces and liquids, and you are never slowed by difficult terrain. Your size doesn't change.  You can speak and cast spells and perform mental actions, but you have no physical substance and cannot manipulate objects or attack physically. You can deliver touch spells and effects as if making an incorporeal touch attack. Your equipment merges with your shadow body, so you can't cast spells with a material component unless those spells are prepared with Eschew Materials.</t>
  </si>
  <si>
    <t>Turn your body into a living shadow.</t>
  </si>
  <si>
    <t>Spirit-Bound Blade</t>
  </si>
  <si>
    <t>medium 4, occultist 4, shaman 4, spiritualist 3</t>
  </si>
  <si>
    <t>You focus emotional energy and weave it into a shroud of hardened ectoplasm around the weapon you touch, infusing it with a ghostly glow and great power. The weapon becomes a ghost touch weapon, and gains one of the following additional benefits, depending on the type of emotion you  infuse into the weapon. If a special ability wouldn't apply to the chosen weapon (such as vicious on a ranged weapon), the weapon doesn't gain that benefit.  Anger: The weapon also gains the vicious special ability.  Dedication: The weapon also gains the returning special ability.  Despair: The weapon also gains the cruelUE special ability.  Fear: The weapon also gains the menacingUE special ability.  Hatred: The weapon also gains the cunningUE special ability.  Jealousy: The weapon also gains the mimeticUE special ability.  Zeal: The weapon also gains the keen special ability.  If you are a spiritualist and the type of emotional energy you choose matches the emotional focus of your phantom, the weapon grants its wielder a +2 bonus on skill checks with both skills you gain Skill Focus in from your phantom's emotional focus.</t>
  </si>
  <si>
    <t>Give a weapon ghost touch and another ability tied to an emotion.</t>
  </si>
  <si>
    <t>Ectoplasm (9)</t>
  </si>
  <si>
    <t>Synapse Overload</t>
  </si>
  <si>
    <t>mesmerist 4, psychic 5</t>
  </si>
  <si>
    <t>You cause the target's mind to unleash a vast overflowing torrent of information throughout the target's body, causing the target's synapses to violently trigger. The target takes 1d6 points of electrical damage per caster level (maximum 15d6) and is staggered for 1 minute. A successful Fortitude saving throw doesn't reduce the damage, but it negates the staggered effect.</t>
  </si>
  <si>
    <t>Deal 1d6 points of damage per level and stagger target for 1 minute.</t>
  </si>
  <si>
    <t>Synaptic Pulse</t>
  </si>
  <si>
    <t>mesmerist 3, psychic 3</t>
  </si>
  <si>
    <t>You emit a pulsating mental blast that stuns all creatures in range of your psychic shriek for 1 round.</t>
  </si>
  <si>
    <t>Stun creatures in a 30-ft. radius.</t>
  </si>
  <si>
    <t>Synaptic Pulse, Greater</t>
  </si>
  <si>
    <t>1d4 rounds; see text</t>
  </si>
  <si>
    <t>You emit a pulsating mental blast that stuns all creatures in range of your psychic shriek for 1d4 rounds. On a successful save, a creature is instead sickened for 1 round.</t>
  </si>
  <si>
    <t>As synaptic pulse, but for 1d4 rounds.</t>
  </si>
  <si>
    <t>Synaptic Scramble</t>
  </si>
  <si>
    <t>mesmerist 3, psychic 4</t>
  </si>
  <si>
    <t>You scramble the synaptic connections of your target, causing it to lose the ability to coherently communicate and to take unintended actions when it meant to perform others. The target cannot effectively communicate while under the spell's influence, and thus cannot engage in acts like speaking, attempting Bluff checks to pass secret messages, writing, or using telepathy, although the spell doesn't prevent verbalizations made for purposes other than communication, such as command words or the verbal component of spellcasting.  The target's mind is too scrambled to take full-round actions or longer actions, as the target's attention inevitably wanders before the action completes. Whenever the target attempts to take a move action or a standard action, roll on the following table instead. If the result on the table is an action that the target cannot take, the target takes no action instead.  d% Action  1-20 Move action (must use move action to move)  21-40 Other move action (perform a move action other than moving)  41-60 Attack action (spend a standard action on the attack action, attacking once with a weapon)  61-80 Other standard action (perform a standard action that isn't the attack action)  81-100 Desired action (perform whatever standard or move action the creature desires to perform)</t>
  </si>
  <si>
    <t>Prevent the target from communicating and cause it to act randomly.</t>
  </si>
  <si>
    <t>Synesthesia</t>
  </si>
  <si>
    <t>You overstimulate the senses of the affected creature, causing its senses to interfere with another. While a creature is under the effects of this spell, sensory input is processed by the wrong  senses, such that noise triggers bursts of colors, smells create sounds, and so on. The affected creature moves at half speed, has a 20% miss chance on attacks, and takes a -4 penalty to AC and on skill checks and Reflex saves. Successful spellcasting while affected requires a concentration check with a DC equal to this spell's save DC plus the level of spell being cast.  In addition, the affected creature is considered distracted for the purpose of attempting Perception checks. Effects that negate or reduce concealment do not affect the miss chance from synesthesia.</t>
  </si>
  <si>
    <t>Target moves at half speed, takes penalties, and has trouble casting spells.</t>
  </si>
  <si>
    <t>Synesthesia, Mass</t>
  </si>
  <si>
    <t>mesmerist 5, psychic 7</t>
  </si>
  <si>
    <t>one or more living creatures, no two of which can be more than 30 ft. apart</t>
  </si>
  <si>
    <t>This spell functions like synesthesia, except as noted above.</t>
  </si>
  <si>
    <t>As synesthesia, but affecting multiple creatures.</t>
  </si>
  <si>
    <t>Talismanic Implement</t>
  </si>
  <si>
    <t>occultist 3</t>
  </si>
  <si>
    <t>This spell functions as contingency, but you invest a spell whose level doesn't exceed one-quarter of your level (rounded down, maximum spell level 3rd) into one of your implements that holds 2 or more points of mental focus. The spell's school must match that of the implement, and the spell must be one that affects only your person. Casting talismanic implement reduces the selected implement's mental focus by 2, including for the purposes of determining the effects of resonant powers. When you refresh your mental focus, talismanic implement ends automatically, even if the duration hasn't elapsed. Unlike contingency, you may have multiple talismanic implements simultaneously, though a single implement can hold only one talismanic implement spell, and if you have any talismanic implements, you can't have any other kind of contingency in effect.</t>
  </si>
  <si>
    <t>As contingency, but invests a spell into one of your implements.</t>
  </si>
  <si>
    <t>Telekinetic Maneuver</t>
  </si>
  <si>
    <t>magus 4, psychic 3, sorcerer/wizard 4, spiritualist 4</t>
  </si>
  <si>
    <t>concentration (up to 1 round/level)</t>
  </si>
  <si>
    <t>This spell functions as telekinesis, but it can be used only to perform a bull rush, disarm, drag, grapple (including pin), reposition, steal, or trip combat maneuver.</t>
  </si>
  <si>
    <t>Perform a telekinetic combat maneuver.</t>
  </si>
  <si>
    <t>Telekinetic Projectile</t>
  </si>
  <si>
    <t>occultist 0, psychic 0, spiritualist 0</t>
  </si>
  <si>
    <t>You fling an object weighing up to 5 pounds at the target. You must succeed at a ranged attack (not a ranged touch attack) to hit your target; if you hit, you deal 1d6 points of bludgeoning damage to both the target and the object. The type of object thrown doesn't change the damage type or any other properties of the attack, even if you throw a weapon or magic item in this way.</t>
  </si>
  <si>
    <t>Telekinetically hurl an object, dealing 1d6 points of damage to the target and object.</t>
  </si>
  <si>
    <t>Telekinetic Storm</t>
  </si>
  <si>
    <t>You generate a storm of telekinetic energy that emanates from you, ripping through the spell's area of effect with devastating force. Any creature caught in the spell's radius takes 1d6 points of damage per caster level (maximum 20d6) and is dazed and stunned for 1 round. A successful Fortitude save reduces the damage by half and negates the dazed and stunned effects.  The telekinetic storm damages objects in the area. If the damage caused to an interposing barrier shatters or breaks through it, the telekinetic storm continues beyond the barrier if the spell's area permits; otherwise, it stops at the barrier just as any other spell effect does.  You can designate any number of creatures to be immune to the spell's effect, though you must be capable of targeting those creatures.</t>
  </si>
  <si>
    <t>Deal 1d6 points of damage per level plus daze and stun in a 40-ft. radius.</t>
  </si>
  <si>
    <t>Telempathic Projection</t>
  </si>
  <si>
    <t>You alter the target's mood, adjusting its attitude toward you or another creature you designate by one step either positively or negatively (see the Diplomacy skill on page 94 of the Pathfinder RPG Core Rulebook). You can instead use this spell to assist your own or an ally's Bluff, Diplomacy, Intimidate, Perform, or Sense Motive check, granting that check a +5 insight bonus against the target of your telempathic projection with no save. In this case, the spell's duration expires immediately when the skill check is complete.</t>
  </si>
  <si>
    <t>Alter the target’s attitude or give bonuses to those interacting with the target.</t>
  </si>
  <si>
    <t>Telepathy</t>
  </si>
  <si>
    <t>medium 4, mesmerist 4, psychic 5, sorcerer/wizard 6, spiritualist 6</t>
  </si>
  <si>
    <t>You can mentally communicate with any other creature within 100 feet that has a language. It is possible to address multiple creatures at once telepathically, although maintaining a telepathic conversation with more than one creature at a time is just as difficult as speaking and listening to multiple people simultaneously.</t>
  </si>
  <si>
    <t>Communicate mentally with creatures within 100 ft.</t>
  </si>
  <si>
    <t>Thaumaturgic Circle</t>
  </si>
  <si>
    <t>cleric/oracle 4, inquisitor 4, medium 3, occultist 3, sorcerer/wizard 4, summoner/unchained summoner 4</t>
  </si>
  <si>
    <t>V, S, M (a 3-ft.-diameter circle of powdered silver), DF</t>
  </si>
  <si>
    <t>This spell functions as magic circle against chaos, evil, good, or law, but rather than stipulating an alignment descriptor, you can designate any one non-alignment subtype of outsider, including air, earth, fire, and water, as well as outsider races such as angels and devils.</t>
  </si>
  <si>
    <t>As magic circle, but affecting a non-alignment subtype or outsider race.</t>
  </si>
  <si>
    <t>Thought Echo</t>
  </si>
  <si>
    <t>mesmerist 1, psychic 1</t>
  </si>
  <si>
    <t>When you cast this spell, you establish a mental echo of up to 25 words. Any attempt to read the surface thoughts of the target creature reads only this mental echo unless the caster succeeds at a caster level check (DC = 11 + your caster level). If you cast thought echo on yourself, the DC is instead equal to 15 + your caster level. In addition, when casting this spell upon yourself, you can change the echoed thoughts by taking a standard action and concentrating.  Each time you change the words echoed by the spell in this way, you reduce the spell's remaining duration by 1 minute. Thought echo d oes n ot i nterfere w ith t elepathy o r m ind reading effects that are capable of reaching thoughts deeper than surface thoughts.</t>
  </si>
  <si>
    <t>Replace surface thoughts with a mental echo.</t>
  </si>
  <si>
    <t>Thought Shield I</t>
  </si>
  <si>
    <t>Sensing an intrusion, you throw up a defense to protect your mind from attack or analysis. This grants you a +4 circumstance bonus on Will saving throws against mind-affecting effects. As long as this spell lasts, spells and effects that allow a creature to read your thoughts receive no information from you.</t>
  </si>
  <si>
    <t>As an immediate action, gain a +4 bonus on Will saves against mind-affecting effects.</t>
  </si>
  <si>
    <t>Thought Shield II</t>
  </si>
  <si>
    <t>This functions as thought shield I, but the circumstance bonus on Will saves to resist mind-affecting effects increases to +6. This spell can be undercast.</t>
  </si>
  <si>
    <t>As thought shield I, but +6 on Will saves.</t>
  </si>
  <si>
    <t>Thought Shield III</t>
  </si>
  <si>
    <t>This functions as thought shield I, but the circumstance bonus on Will saves to resist mind-affecting effects increases to +8. In addition, any creature that tries to read your thoughts while this spell lasts must succeed at a Will save or be stunned for 1 round. This spell can be undercast.</t>
  </si>
  <si>
    <t>As thought shield I, but +8 on Will saves and stun creatures that read your thoughts for 1 round.</t>
  </si>
  <si>
    <t>Thought Shield IV</t>
  </si>
  <si>
    <t>This functions as thought shield III, but any creature that tries to read your thoughts while this spell lasts must succeed at a Will save or be stunned for 1d4 rounds. Additionally, if you succeed at your save against a psychic crush spell, you take no damage. This spell can be undercast.</t>
  </si>
  <si>
    <t>As thought shield III, but stun for 1d4 rounds and resist psychic crush spells.</t>
  </si>
  <si>
    <t>Thought Shield V</t>
  </si>
  <si>
    <t>This functions as thought shield IV, except as noted above. This spell immediately ends if you fail a Will saving throw against a mind-affecting effect. This spell can be undercast.</t>
  </si>
  <si>
    <t>As thought shield IV, but lasts 1 round per level.</t>
  </si>
  <si>
    <t>Thoughtsense</t>
  </si>
  <si>
    <t>medium 4, mesmerist 4, psychic 4, sorcerer/wizard 5, spiritualist 4</t>
  </si>
  <si>
    <t>V, M (a bit of dried brain tissue)</t>
  </si>
  <si>
    <t>You automatically detect and locate conscious creatures within 60 feet, as if you possessed the blindsight ability. Nondetection, mind blank, and similar effects can block this effect. Thoughtsense can distinguish between sentient (Intelligence 3 or greater) and non-sentient (Intelligence 1-2) creatures, but otherwise provides no information about the creatures it detects.</t>
  </si>
  <si>
    <t>Automatically detect nearby conscious creatures.</t>
  </si>
  <si>
    <t>Tower Of Iron Will I</t>
  </si>
  <si>
    <t>You project a fortress of mental power that blocks out the psychic energy of others, granting mental strength and resiliency to all inside the area. All creatures inside the area gain spell resistance equal to 10 + double this spell's level against psychic magic and any mind-affecting effects. Creatures inside the area don't receive this protection against your spells or special abilities.</t>
  </si>
  <si>
    <t>As an immediate action, gives creatures in a 10-ft. radius spell resistance against psychic magic and mind-affecting effects.</t>
  </si>
  <si>
    <t>Tower Of Iron Will II</t>
  </si>
  <si>
    <t>This functions as tower of iron will I, except as noted above. This spell can be undercast.</t>
  </si>
  <si>
    <t>As tower of iron will I, but lasts 2 rounds.</t>
  </si>
  <si>
    <t>Tower Of Iron Will III</t>
  </si>
  <si>
    <t>As tower of iron will I, but lasts 3 rounds.</t>
  </si>
  <si>
    <t>Psychic (15)</t>
  </si>
  <si>
    <t>Tower Of Iron Will IV</t>
  </si>
  <si>
    <t>4 rounds</t>
  </si>
  <si>
    <t>As tower of iron will I, but lasts 4 rounds.</t>
  </si>
  <si>
    <t>Tower Of Iron Will V</t>
  </si>
  <si>
    <t>As tower of iron will I, but lasts 5 rounds.</t>
  </si>
  <si>
    <t>Unshakable Zeal</t>
  </si>
  <si>
    <t>bard 5, inquisitor 6, psychic 7, spiritualist 6</t>
  </si>
  <si>
    <t>S, F (a silver circlet)</t>
  </si>
  <si>
    <t>You fill the target with boundless enthusiasm and faith in its ultimate triumph. Whenever the target fails an attack roll, a save, a skill check, a concentration check, or an ability check, the target receives a +4 morale bonus on its next attempt at the failed check within 1 round (this includes attack rolls against the same foe, saving throws against the same ability from the same foe, and so on). In addition, when the target would be affected by a fear or emotion effect, it can instead dismiss unshakable zeal without spending an action to negate the effect on itself.</t>
  </si>
  <si>
    <t>Grant benefits on future attempts after failed checks, and protect against fear and emotion effects.</t>
  </si>
  <si>
    <t>Wall Of Ectoplasm</t>
  </si>
  <si>
    <t>cleric/oracle 5, psychic 5, sorcerer/wizard 5, spiritualist 5</t>
  </si>
  <si>
    <t>V, S, M (small bit of gauze)</t>
  </si>
  <si>
    <t>opaque sheet of ectoplasm up to 10 ft. square/level or a sphere or hemisphere with a radius of up to 1 ft./level</t>
  </si>
  <si>
    <t>none, and Will negates; see text</t>
  </si>
  <si>
    <t>You draw forth a massive veil of ectoplasm that roils with restless spirits. Immovable once formed, the wall of ectoplasm is 1 inch thick per caster level and covers up to a 10-foot-square area per caster level (so a 10th-level wizard can create a wall of ectoplasm 100 feet long and 10 feet h igh, a wall 25 feet long and 40 feet high, or any other combination of length and height that does not exceed 1,000 square feet). The plane can be oriented in any fashion and need not be anchored, but must be created continuous and unbroken. The wall can't include squares that have creatures within them, even if the creatures are on the Ethereal Plane. The wall exists on both the Material Plane and Ethereal Plane, and blocks ethereal and incorporeal creatures from passing through it.  One side of the wall, selected by you, radiates a deeply foreboding and menacing aura from the writhing spirits within. The range of this mind-affecting fear effect is 10 feet from the wall's surface, and creatures that are in range when the wall is created or that later approach to within 10 feet must succeed at a Will save or become shaken (or panicked if they have 4 Hit Dice or fewer) for 1 round per your caster level.  Each 10-foot square of the wall has 2 hit points per inch of thickness. A section of the wall whose hit points drop to 0 is breached, but if a section is destroyed, the remaining ectoplasm in the wall immediately fills in any such hole created, reducing the wall's overall size by one 10-foot square but remaining a contiguous barrier. The wall can also take the form of a sphere or hemisphere whose maximum radius is 1 foot per caster level, and that is as hard to break through as the ectoplasmic plane form.</t>
  </si>
  <si>
    <t>Wall of spirits blocks movement on Material Plane and Ethereal Plane and causes fear.</t>
  </si>
  <si>
    <t>Ectoplasm (11)</t>
  </si>
  <si>
    <t>Withdraw Affliction</t>
  </si>
  <si>
    <t>psychic 6, shaman 6, spiritualist 5, witch 7</t>
  </si>
  <si>
    <t>one afflicted creature</t>
  </si>
  <si>
    <t>You push your hand into the subject, then withdraw an affliction from the body of the sufferer as a tangible object. This extraction appears as a slimy mass of flesh. The target creature is cured as if affected by remove disease, remove curse, or neutralize poison.  In addition, this slimy mass allows you to deliver the affliction to another as a touch attack, as if holding the charge for a touch spell. It has the same effect as the original affliction, with the same saving throw and DC.</t>
  </si>
  <si>
    <t>Remove an affliction and inflict it on another creature.</t>
  </si>
  <si>
    <t>Air Of Authority</t>
  </si>
  <si>
    <t>bard 3, medium 3, mesmerist 3, psychic 5</t>
  </si>
  <si>
    <t>You gain an unmistakable air of authority, which clouds creatures' minds and causes them to believe that you are their direct superior. Each creature with whom you attempt to leverage your newfound authority receives a Will save to disbelieve the illusion. Otherwise, it treats you as it would its direct superior. Creatures with different direct superiors see you in different ways, which can potentially lead to conflicts that allow additional saving throws (for instance, if a cook sees you as the head chef, he might be quite perplexed to see the vizier treating you as if you were the king).</t>
  </si>
  <si>
    <t>Inner Sea Races</t>
  </si>
  <si>
    <t>Bleaching Resistance</t>
  </si>
  <si>
    <t>alchemist 4, druid 6, sorcerer/wizard 6, spiritualist 4, witch 6</t>
  </si>
  <si>
    <t>Ability score drain from the Bleaching doesn't affect your ability score modifiers while you're affected by this spell. This spell does not remove the Bleaching's effect on your appearance, nor does it prevent you from suffering further ability penalties, dying, or becoming a bleachling as a result of the Bleaching.</t>
  </si>
  <si>
    <t>Burn Corruption</t>
  </si>
  <si>
    <t>fire, good</t>
  </si>
  <si>
    <t>bloodrager 4, magus 5, sorcerer/wizard 5</t>
  </si>
  <si>
    <t>10-ft. cube/level (S)</t>
  </si>
  <si>
    <t>This spell fills the area with violet flames that scour an area clean of life-especially of the corrupted life of the Abyss.  Creatures (and foliage) in the area take 1d8 points of fire damage per 2 caster levels you possess (maximum 7d8) unless they are outsiders with the chaotic and evil subtypes or are otherwise tainted by demons, in which case they instead take 1d6 points of fire damage per caster level (maximum 15d6). This fire damage ignores the fire resistance granted by the demon subtype, but it does not penetrate any other form of fire resistance or immunity.</t>
  </si>
  <si>
    <t>Champion's Bout</t>
  </si>
  <si>
    <t>bard 3, cleric/oracle 3, mesmerist 3</t>
  </si>
  <si>
    <t>You allow two chosen champions to fight without interference. The two creatures must be willing in order for the spell to work. After you cast this spell, any creature attempting to aid or hinder either of the two targets in any way must succeed at a Will save or lose its action instead (spell resistance applies). A creature that fails its Will save against champion's bout cannot attempt to interfere again. If a creature successfully interferes with the bout, the spell ends immediately.</t>
  </si>
  <si>
    <t>Damnation Of Memory</t>
  </si>
  <si>
    <t>bard 6, mesmerist 6, psychic 9</t>
  </si>
  <si>
    <t>V, S, F (a massive, flawless gemstone worth 5,000 gp)</t>
  </si>
  <si>
    <t>all living creatures within range</t>
  </si>
  <si>
    <t>You name one creature and excise all memory of that creature's involvement in events the targets remember. The targets either forget who exactly performed the named creature's deeds or assume some other individual performed them. Alternatively, you can name either one event lasting no more than 10 minutes per caster level or a single topic (defined at the GM's discretion) such as a shameful secret of the king that was recently revealed or a small revolt that was quelled messily, and erase all recollection of that subject from the minds of all creatures within the area. Memory of facts and topics that are common knowledge (information with a Knowledge check DC of 10 or less) cannot be stolen via this spell.  The lost memories are stored in the focus gem (which grows dull inside and cannot be used as a focus or material component for any other spell, including another casting of this spell). The targets emanate no magic and the spell cannot be dispelled from them; only the focus retains a magic aura, and only by targeting the gem can the spell be dispelled, disjoined, or suppressed with antimagic. If the gem is destroyed or the spell is dispelled (which destroys the gem), all stolen memories return to the affected creatures.</t>
  </si>
  <si>
    <t>Elemental Mastery</t>
  </si>
  <si>
    <t>bloodrager 4, druid 4, magus 4, ranger 4, sorcerer/wizard 4</t>
  </si>
  <si>
    <t>You gain mastery over the element matching the elemental essence in your blood (fire for ifrits, earth for oreads, air for sylphs, and water for undines). If you are a suli, you can choose any one of the four options as you cast this spell, but the duration is reduced to 1 round per level. Your mastery gives you an insight bonus to your speed or a new movement mode, depending on the element you master, and grants one additional benefit. This spell's descriptor matches the chosen element.  Element (Race) Movement Benefit  Air Fly 30 ft. +1 circumstance bonus (suli, sylph) (average) on attack rolls when both you and your foe are airborne.  Earth Burrow 15 ft. +1 circumstance bonus (oread, suli) on attack rolls when both you and your foe are touching the ground.  Fire +20 ft. +1 circumstance bonus (ifrit, suli) all speeds on attack rolls when your foe is on fire.  Water +30 ft. +1 circumstance bonus (suli, undine) swim on attack rolls when both you and your foe are touching water.</t>
  </si>
  <si>
    <t>Fable Tapestry</t>
  </si>
  <si>
    <t>bard 5, medium 4</t>
  </si>
  <si>
    <t>V, S, F (your kapenia)</t>
  </si>
  <si>
    <t>1 legendary character/4 caster levels</t>
  </si>
  <si>
    <t>The spell weaves shadows and colors from your kapenia into the shape of legendary characters from Varisian folktales.  This spell functions as shadow conjuration emulating summon monster I, except as noted here. You can summon only one copy of the same character at the same time, even with multiple castings of this spell. The shadow creatures are 40% real and are drawn from the list below.  Character Source  Anelda the beautiful (freelance thief) NPC Codex 147  Old Mother Toad (fey giant toad) Bestiary 3 116  Sonnorae the storyteller (con artist) NPC Codex 29  Vyushbaro the savior (carousing champion) NPC Codex 47  Winter's Son (evasive slip) NPC Codex 65  Zykomso the slaver (bearded devil) Bestiary 73</t>
  </si>
  <si>
    <t>Fire's Friend</t>
  </si>
  <si>
    <t>alchemist 2, bloodrager 2, magus 2</t>
  </si>
  <si>
    <t>V, S, M (a flame of any size)</t>
  </si>
  <si>
    <t>You cloak yourself in flames that do not harm you or your carried equipment but damage other creatures and objects. The flames cast light as a torch. Any creature that attacks you with a non-reach melee weapon or that begins its turn engaged in a grapple with you takes 1d6 points of fire damage and must succeed at a Reflex save or catch fire. The creature can negate the damage (and avoid catching fire) with spell resistance. Any time you end your movement in the same square as a flammable object or creature, that creature or object must succeed at a Reflex save or catch fire.</t>
  </si>
  <si>
    <t>Fleshwarping Swarm</t>
  </si>
  <si>
    <t>sorcerer/wizard 3, summoner/unchained summoner 3, witch 3</t>
  </si>
  <si>
    <t>concentration + 2 rounds and 1 hour/level (see text)</t>
  </si>
  <si>
    <t>This spell functions as summon swarm, except that living and undead creatures that fail their saving throw against the swarm's distraction find that their limbs twist and spasm, as their bodies become susceptible to transmutations. Such creatures take a -4 penalty to Dexterity and on saving throws against transmutation effects for 1 hour per caster level.</t>
  </si>
  <si>
    <t>Lament Of Summer's Last Breath</t>
  </si>
  <si>
    <t>bard 2, ranger 2</t>
  </si>
  <si>
    <t>30-ft. radius spread centered on a creature, object, or point in space</t>
  </si>
  <si>
    <t>You wrap the target in a mantle of summery air, within which the ambient temperature never falls below 70 degrees Fahrenheit. Creatures with the cold subtype that start their turns in the area take an amount of fire damage equal to 1d4 points + 1 point per 2 caster levels (maximum 1d4+5) with no saving throw. Each time an evil dragon, fey, or giant takes damage from the spell, it must succeed at a Will saving throw or become shaken for 1 round. Creatures attempting to cast a cold spell in the area must succeed at a Will save or the spell fails. Succeeding at one such save to cast a spell allows a creature to continue casting cold spells in the area for the spell's remainder.</t>
  </si>
  <si>
    <t>Lost Passage</t>
  </si>
  <si>
    <t>bard 4, mesmerist 3, psychic 4, sorcerer/wizard 4</t>
  </si>
  <si>
    <t>one 30-ft. cube/level (S)</t>
  </si>
  <si>
    <t>Creatures in the area of this spell are subject to a subtle enchantment that confounds their senses of direction, interferes with recognizing landmarks, and causes them to misjudge distances and angles. Creatures that enter the area must succeed at a new Survival check to avoid becoming lost immediately, whether or not they succeed at their saving throws. Those that fail the save take a penalty on such Survival checks equal to double your caster level, treat all squares they enter as difficult terrain for as long as they are in the area and for 1 hour per caster level thereafter, lose the benefit of all effects that allow them to ignore difficult terrain, and take a -4 penalty to Dexterity.  Lost passage can be made permanent with permanency at a cost of 10,000 gp.</t>
  </si>
  <si>
    <t>Lost Locale</t>
  </si>
  <si>
    <t>psychic 9, sorcerer/wizard 9</t>
  </si>
  <si>
    <t>one 1-mile cube/level</t>
  </si>
  <si>
    <t>This spell functions as lost passage (see below), except that it affects a larger area. Lost locale can be made permanent with permanency at a cost of 90,000 gp.</t>
  </si>
  <si>
    <t>Mantle Of The Magic Warriors</t>
  </si>
  <si>
    <t>druid 5, shaman 5, sorcerer/wizard 5</t>
  </si>
  <si>
    <t>one good-aligned creature/3 levels</t>
  </si>
  <si>
    <t>You weave golden masks shaped like animals around the targets' faces, imbuing each target with an animal spirit that matches her strength of character. Each target gains one animal special ability of your choice granted by beast shape I. You can choose a different special ability for each target.</t>
  </si>
  <si>
    <t>Martial Telekinesis</t>
  </si>
  <si>
    <t>magus 4, occultist 4, psychic 3, sorcerer/wizard 4, spiritualist 4</t>
  </si>
  <si>
    <t>Will none; see text</t>
  </si>
  <si>
    <t>You mingle the power of your mind and body to exert force beyond your reach. This spell functions as the combat maneuver version of telekinesis, except as noted above. Alternatively, you can inflict a telekinetic unarmed strike with this spell, using your own unarmed strike damage and applying your primary spellcasting ability score modifier to the damage in place of your Strength modifier.</t>
  </si>
  <si>
    <t>Miasmal Dread</t>
  </si>
  <si>
    <t>antipaladin 2, bard 2, bloodrager 2, inquisitor 3, mesmerist 3</t>
  </si>
  <si>
    <t>A cloud of sickly green mist pours from your mouth and coalesces around creatures in the cone. Attempt a single Intimidate check to demoralize as part of casting the spell, comparing the result against the DC to Intimidate each foe within the area. You demoralize all foes whose DC you meet or exceed.</t>
  </si>
  <si>
    <t>Murderous Crow</t>
  </si>
  <si>
    <t>antipaladin 1, cleric/oracle 1, paladin 1, sorcerer/wizard 1, summoner/unchained summoner 1, witch 1</t>
  </si>
  <si>
    <t>V, S, F (a crow's feather)</t>
  </si>
  <si>
    <t>one crow</t>
  </si>
  <si>
    <t>You conjure a supernaturally vicious and clever crow to watch over you on the battlefield. Choose one of the following templates; the crow has that template and this spell gains the descriptor listed in parentheses: celestial (good), entropicB2 (chaotic), fiendish (evil), or resoluteB2 (lawful). In addition to its normal abilities, the crow gains the Improved StealAPG feat  as a bonus feat and gains an eye rake attack. If both of its claw attacks hit the same living foe in a single round, that foe must succeed at a DC 13 Reflex save or be blinded as the bird scratches and tears at the foe's eyes. The blindness lasts for 1d4 days or until healed with remove blindness.  If the focus leaves your possession, the crow vanishes and the spell ends.</t>
  </si>
  <si>
    <t>Overlook</t>
  </si>
  <si>
    <t>bard 3, mesmerist 3, psychic 4</t>
  </si>
  <si>
    <t>You enhance your natural ability to seem small and unimportant, causing those around you to overlook you. You gain a +20 bonus on Stealth checks, which doesn't stack with  bonuses from effects that actually make you sneakier, such as invisibility or respectful quiet (see below); you do not need cover or concealment to hide; and you can hide while you are being observed. If a creature fails to notice you because of this spell, that creature can still remember seeing a halfling pass by, but attach no importance to the memory. You do not gain these benefits against creatures that are immune to compulsions or mind-affecting effects, and spell resistance applies. If you take an actively aggressive or extremely conspicuous action, creatures automatically notice you, and you gain no further benefits against those creatures for the remainder of the spell's duration.</t>
  </si>
  <si>
    <t>Probe History</t>
  </si>
  <si>
    <t>bard 3, cleric/oracle 4, inquisitor 4, medium 2, mesmerist 3, occultist 3, sorcerer/wizard 4</t>
  </si>
  <si>
    <t>You gain a glimpse of a potential reality similar to this one but that never was. If the target fails her Will save, you can ask about one topic and attempt the appropriate Knowledge check with a +5 competence bonus; track Knowledge checks attempted with this spell separately for the purpose of disallowing retries on Knowledge checks. You learn information on that topic from a reality in which you were an acquaintance of the target, although the differences in that reality might cause the answer to be subtly different than in your own. Once you have probed a target's history, successfully or not, you cannot target the same creature's history or search for the same information in another creature's history.</t>
  </si>
  <si>
    <t>Respectful Quiet</t>
  </si>
  <si>
    <t>bard 3, cleric/oracle 5, inquisitor 3</t>
  </si>
  <si>
    <t>any number of creatures in a 30-ft.-radius burst</t>
  </si>
  <si>
    <t>All targets are rendered silent, as per silence. The silence affects the entirety of each creature but does not extend beyond. However, the silence is one-way-sounds from outside the creatures' spaces can still enter. Quieted creatures gain a +10 circumstance bonus on Stealth checks.</t>
  </si>
  <si>
    <t>Shadow Of Doubt</t>
  </si>
  <si>
    <t>darkness, emotion, evil, mind-affecting</t>
  </si>
  <si>
    <t>antipaladin 4, bard 4, mesmerist 4, psychic 6, spiritualist 4</t>
  </si>
  <si>
    <t>one creature/3 levels</t>
  </si>
  <si>
    <t>You create a shadowy aura of doubt fueled by a foe's own inner flaws. Targets perceive all illumination as if it were one light level darker, to a minimum light level of darkness (not supernatural darkness), even on a successful saving throw.  Fleeting mental shadows of regrets and anxieties distract the spell's targets; at the start of each of their turns, they must each succeed at a Will save or be staggered for 1 round. A good-aligned target takes a -4 penalty on saving throws against this effect; an evil-aligned target gains a +4 bonus instead.</t>
  </si>
  <si>
    <t>Siege Scatter</t>
  </si>
  <si>
    <t>druid 5, ranger 4, shaman 5</t>
  </si>
  <si>
    <t>50-ft.-radius spread</t>
  </si>
  <si>
    <t>A roiling blast of rough rock and dirt scatters along the ground in the area, dealing 1d6 points of slashing damage per 2 caster levels (maximum 5d6) to all creatures on the ground in the area, even on a successful saving throw. Creatures in the area that fail the Reflex save fall prone and are knocked to the nearest edge of the area, taking 1d6 points of bludgeoning damage for every 10 feet they travel this way. Creatures that did not move during the past round and those with the stability racial trait gain a +4 bonus on the saving throw.</t>
  </si>
  <si>
    <t>Summon Giant Ally I</t>
  </si>
  <si>
    <t>V, S, F/DF (bit of cloth from a giant's bag)</t>
  </si>
  <si>
    <t>one or more giants</t>
  </si>
  <si>
    <t>This spell functions as summon nature's ally VI, except its casting time is shorter and you can summon one cave, hill, marsh, river, slag, stone, or wood giant.</t>
  </si>
  <si>
    <t>Summon Giant Ally II</t>
  </si>
  <si>
    <t>This spell functions as summon giant ally I, except you can summon one desert, fire, frost, or jungle giant or 1d3 cave, hill, marsh, river, slag, stone, or wood giants.</t>
  </si>
  <si>
    <t>Summon Giant Ally III</t>
  </si>
  <si>
    <t>This spell functions as summon giant ally I, except you can summon one ash or cloud giant; 1d3 desert, fire, frost, or jungle giants; or 1d4+1 cave, hill, marsh, river, slag, stone, or wood giants.</t>
  </si>
  <si>
    <t>Summon Kami</t>
  </si>
  <si>
    <t>one or more kami</t>
  </si>
  <si>
    <t>This spell functions as summon nature's ally V, except you can summon one kodama, 1d3 fukujin, or 1d4+1 shikigami.</t>
  </si>
  <si>
    <t>Suppressing Stone</t>
  </si>
  <si>
    <t>occultist 3, sorcerer/wizard 4</t>
  </si>
  <si>
    <t>V, S, F (one ioun stone worth at least 1,000 gp)</t>
  </si>
  <si>
    <t>10 minutes/level or until discharged (D)</t>
  </si>
  <si>
    <t>You infuse arcane power into the focus ioun stone, which must be currently floating around your head. If the ioun stone ever ceases floating around you, the spell ends immediately, and the spell fails if the ioun stone in question is cracked, burned, flawed, or otherwise of lesser value (such as a dull gray ioun stone). While the spell is active, you gain a +1 resistance bonus on saving throws against mind-affecting effects for every 4 caster levels (maximum +5 at caster level 20). Whenever you fail a saving throw against a mind-affecting spell or effect, you can burn out the focus, transforming it irrevocably into a dull gray ioun stone and ending this spell, but suppressing the mind-affecting effect for 1 round per 2,500 gp of value of the focus (minimum 1 round). Rounds during which the effect is suppressed still count against its duration, and the effect can still be dispelled or disrupted during this time.</t>
  </si>
  <si>
    <t>Wall Of Brine</t>
  </si>
  <si>
    <t>druid 4, magus 4, ranger 3, shaman 4, sorcerer/wizard 4</t>
  </si>
  <si>
    <t>V, S, M/DF (a bit of coral)</t>
  </si>
  <si>
    <t>You conjure a 5-foot-thick wall of seawater with a powerful current flowing toward one side of the wall, selected by you; a creature attempting to swim against this current must spend 4 squares of movement to enter a square of the wall. A creature that begins its turn in the wall is ejected in the direction of the current just before it acts. The wall provides cover against attacks from out of the water, as usual for a body of water. The water and the currents deflect physical ranged attacks into or through the wall, unless a weapon used is exceptionally massive (such as a siege engine). A creature submerged in the wall takes the usual penalties for underwater combat. The wall blocks gases and liquids and prevents water from mixing at its edges.</t>
  </si>
  <si>
    <t>Zephyr's Fleetness</t>
  </si>
  <si>
    <t>You can call upon the spirits of the air to grant agility to your allies. Each target gains a +30 foot enhancement bonus to its land speed and fly speed (if any). Each target can also move (and charge) through difficult terrain without penalty.</t>
  </si>
  <si>
    <t>Death Pact</t>
  </si>
  <si>
    <t>bard 5, mesmerist 5, psychic 6, witch 6</t>
  </si>
  <si>
    <t>V, S, M (a contract signed in blood)</t>
  </si>
  <si>
    <t>You take control of a creature's mind and implant deadly subconscious commands. This spell functions as dominate person, allowing you to control your subject and see through her senses, but also implants a powerful burst of psychic energy in the subject's mind. At any point during the spell's duration, you can trigger this burst as an immediate action, dealing 1d8 points of damage per caster level (Fortitude half) to the subject. If this damage is enough to reduce to target to 0 or fewer hit points, the target dies instantly.  Your target can also willingly trigger this psychic burst as an immediate action. You can specify conditions (such as being captured) when she should do so, though such orders are considered dangerous and allow the subject a new Will saving throw with a +2 bonus.</t>
  </si>
  <si>
    <t>Occult Origins</t>
  </si>
  <si>
    <t>Fool's Teleport</t>
  </si>
  <si>
    <t>mesmerist 3, psychic 4, sorcerer/wizard 4</t>
  </si>
  <si>
    <t>you and other touched willing creatures</t>
  </si>
  <si>
    <t>This spell instantly renders you unseen as per invisibility, but creates a visual and auditory display that makes it appear as if you had teleported away. You can affect one additional Medium or smaller creature or its equivalent per 3 caster levels (a Large creature counts as two Medium creatures, a Huge creature counts as four Medium creatures, and so forth). All creatures to be affected must be in contact with one another, and at least one of those creatures must be in contact with you.  If a viewer identifies the spell with a successful Spellcraft check, she can attempt an immediate Will saving throw as if interacting with an illusion. With a successful Will save, the observer can correctly identify fool's teleport for what it is; otherwise, she perceives the spell to be dimension door, teleport, or similar conjuration magic. A successful Will save doesn't negate the invisibility.</t>
  </si>
  <si>
    <t>Implanted Projection</t>
  </si>
  <si>
    <t>emotionUM, mind-affecting</t>
  </si>
  <si>
    <t>This spell functions as telempathic projectionOA, except its mood-altering effects remain dormant in the target's mind. Upon casting this spell, the caster designates a command word or phrase, of which the target retains no memory. The next creature to speak the command word or phrase to the target triggers the implanted telempathic projection, treating the speaker as the original spellcaster.</t>
  </si>
  <si>
    <t>Dream Shield</t>
  </si>
  <si>
    <t>alchemist 2, bard 2, medium 2, mesmerist 2, psychic 3, shaman 2, sorcerer/wizard 4, witch 4</t>
  </si>
  <si>
    <t>V, S, M (hollow glass ball or dreamcatcher)</t>
  </si>
  <si>
    <t>You ward the target's mind against intrusion and influence while she is unconscious. While sleeping, the target is protected against divinations such as nondetection and gains spell resistance equal to 10 + your caster level against mind-affecting effects. In addition, the subject immediately receives another saving throw (if one was allowed to begin with) against any spell or effect  that would possess or exercise direct mental control over her. This functions in all respects like the second property of protection from evil but it applies regardless of the alignment of the creature or object that created the possession or mental influence effect.  If the target is awake, instead of the previous effects, the dream shield provides a +4 bonus on saving throws against sleep effects. The spell's other effects are suppressed while the target is awake. If the target falls asleep or is otherwise rendered unconscious, the other effects of the dream shield resume. Every 10 minutes spent awake consumes 1 hour of the dream shield's duration.</t>
  </si>
  <si>
    <t>Jealous Rage</t>
  </si>
  <si>
    <t>antipaladin 2, bard 2, bloodrager 2, mesmerist 2, psychic 3, shaman 3, spiritualist 2, witch 3</t>
  </si>
  <si>
    <t>You fill the target with a sense of entitled self-importance, making the subject unable to bear the indignity of another creature getting something that it doesn't have. Whenever an ally of the target receives a harmless spell or spell-like ability, beneficial supernatural effect, or assisting action (including the aid another action, first aid using the Heal skill, etc.) that doesn't also include the target, the target is driven into a murderous rage against either the producer of that effect or the nearest creature that benefited from that effect, whichever is closer. The target must attack that creature on its next turn. Any ability that deals lethal damage is considered an attack for this purpose. Once the target deals lethal damage to the object of his jealous rage, the compulsion to attack that creature ends.</t>
  </si>
  <si>
    <t>Mindshock</t>
  </si>
  <si>
    <t>antipaladin 2, bloodrager 2, inquisitor 2, medium 2, occultist 2, psychic 2, shaman 2, spiritualist 2, witch 2</t>
  </si>
  <si>
    <t>You charge yourself with violent psychic energy so attacks you make with weapons, natural weapons, and unarmed strikes cause the target to recall pain suffered in the past. Such attacks deal 1d4 points of nonlethal damage in addition to their normal damage, though creatures immune  to mind-affecting or pain effects ignore this additional damage. In addition, when you confirm a critical hit, the target is confused for 1 round by the pain. Creatures immune to critical hits, mind-affecting, or pain effects ignore the confusion. Even if you confirm multiple critical hits while this spell is in effect, an individual creature can only be confused by a single casting of mindshock once.</t>
  </si>
  <si>
    <t>Psychic Leech</t>
  </si>
  <si>
    <t>bloodrager 3, magus 3, medium 3, mesmerist 2, psychic 2, sorcerer/wizard 3, spiritualist 2, witch 2</t>
  </si>
  <si>
    <t>The target experiences feelings of ennui and lethargy, becoming fatigued for the spell's duration. While the target is fatigued and is within the spell's range, you gain a +2 enhancement bonus to Strength and Dexterity. On a successful save, the target is fatigued for only 1d4 rounds and you receive no bonus. This spell has no effect if it targets a creature that is already fatigued.</t>
  </si>
  <si>
    <t>Quell Energy</t>
  </si>
  <si>
    <t>druid 3, inquisitor 3, occultist 3, psychic 3, shaman 3, sorcerer/wizard 3, witch 3</t>
  </si>
  <si>
    <t>You reduce the target creature's ability to tap into a single energy type (acid, cold, electricity, fire, or sonic) of your choice. This reduces damage of the selected type the creature deals with spells, spell-like abilities, and supernatural abilities by 10 points. Multiple castings of this spell stack. Damage from sources other than the creature, such as objects and magic items, is not reduced. If the damage of one of the creature's effects is negated entirely, any additional effects associated with that damage (such being stunned by sound burst o r set on fi re by a fi re e lemental) a re also negated. At 13th level, you reduce the target's damage by 20 points, and at 19th level, you reduce the target's damage by 30 points.  If the target succeeds on its saving throw, the spell's duration is reduced to 1 round.</t>
  </si>
  <si>
    <t>Retributive Reparations</t>
  </si>
  <si>
    <t>curseUM</t>
  </si>
  <si>
    <t>antipaladin 3, inquisitor 3, occultist 3, spiritualist 3, witch 4</t>
  </si>
  <si>
    <t>1 day/level or until triggered, and permanent; see text</t>
  </si>
  <si>
    <t>Will negates (object) and Will negates; see text</t>
  </si>
  <si>
    <t>If a creature successfully takes the item targeted by this spell while you are holding, wearing, or wielding it, the creature must attempt a Will save. If the creature fails its save, it becomes fatigued, and it must attempt a new saving throw at the end of its turn every round it does not return the item to you. Failing a second saving throw causes the target to become exhausted. As long as the victim of the curse is actively working to return the object, its exhaustion is reduced to fatigue. The fatigue and exhaustion cannot be removed by effects that normally remove them, though immunity to fatigue and exhaustion protect against the conditions as normal.  This curse can be ended with remove curse or by returning the item to you. You can have this spell active on one item at a time.</t>
  </si>
  <si>
    <t>Sensory Amplifier</t>
  </si>
  <si>
    <t>druid 4, medium 2, mesmerist 3, psychic 3, witch 3</t>
  </si>
  <si>
    <t>You open the minds of all creatures near you and enhance their sensory receptors. All living creatures other than you in the area gain a +5 bonus on Perception checks. Sighted creatures gain low-light vision, and creatures with a sense of smell gain scent. In addition, the first time each round that a creature in the area takes damage, it takes an additional 2d6 points of damage of the same type. Despite being within the area, the caster does not take this extra damage.</t>
  </si>
  <si>
    <t>Subjective Reality</t>
  </si>
  <si>
    <t>bard 6, medium 5, mesmerist 5, psychic 6, sorcerer/wizard 7</t>
  </si>
  <si>
    <t>Choose one object, creature, or force you can see within long range (400 ft. + 40 ft./level). You alter your perceptions to become convinced the target is an illusion. For you, the target becomes transparent and does not create sound or smell. Until the spell ends, you can move through the target unimpeded and the target can move through you. The target's nonmagical attacks cannot harm you, and the target's magical attacks deal half damage to you. The target's non-damaging magical abilities have a 50% chance not to affect you, and you are immune to all its sonic, language-dependent, and scent-based attacks. However, your attacks deal no damage to the target, and your magical abilities do not affect the target at all. You or the target can affect each other normally through intermediaries. For instance, while the target would be immune to the direct effects of your earthquake spell, if the spell caused a room's ceiling to collapse, the target would not be immune to the effects of the collapse.</t>
  </si>
  <si>
    <t>Ectoplasmic Hand</t>
  </si>
  <si>
    <t>occultist 5, psychic 5, spiritualist 4</t>
  </si>
  <si>
    <t>one ectoplasmic appendage</t>
  </si>
  <si>
    <t>You draw forth a ghostly, animated hand through the ectoplasmic veil to manipulate objects, attack creatures, and deliver touch spells at a distance. The hand remains tethered to you by tendrils of ectoplasm. The ectoplasmic hand and its tether have hardness 10 and hit points equal to 10 + your caster level. The tether can be damaged or sundered anywhere along its length, ending the spell. The ectoplasmic hand has improved evasion, uses your save bonuses, and has an AC of 24 (+6 natural armor, +8 size). The ectoplasmic hand moves up to 30 feet per round, and on each of your turns you can spend a move action to move it an additional 30 feet. If you spend a swift action, the ectoplasmic hand can make an attack using your base attack bonus, modifying its attack rolls and damage rolls with your spellcasting ability score (the ability score that determines your spell save DCs). It deals 1d6 points of damage with a slam attack, and it can wield any light or one-handed weapon. The ectoplasmic hand threatens and can flank targets.  The ectoplasmic hand can also perform additional functions.  Deliver Touch Spell: The ectoplasmic hand can deliver any spell of 6th level or lower that has a range of touch that you cast. You gain a +2 bonus on your melee touch attack roll when doing so.  Manipulate Object: The ectoplasmic hand can manipulate unattended objects weighing no more than 5 pounds per caster level, moving them up to 20 feet per round in any direction you desire, to the limits of this spell's range. It can pull levers, open unstuck doors, or knock over objects. If the ectoplasmic hand must attempt a Strength check, it uses your spellcasting ability score as its Strength score. Using the ectoplasmic hand in this way requires you to concentrate and spend any actions you would normally need to use to manipulate the object yourself.  Combat Maneuver: You can spend a standard action to command the ectoplasmic hand to perform a bull rush, disarm, dragAPG, stealAPG, or trip combat maneuver against a target creature, using your caster level as its CMB and your spellcasting ability score as its Strength score. The ectoplasmic hand takes no penalties for its size. This action doesn't</t>
  </si>
  <si>
    <t>Mantle Of Doubt</t>
  </si>
  <si>
    <t>emotionUM, fear, mind-affecting</t>
  </si>
  <si>
    <t>mesmerist 6, psychic 8</t>
  </si>
  <si>
    <t>You wrap your mind in phantasms of crippling doubt that assail any who dare harm you. When a creature within the mantle's radius attacks you or attempts to affect you with a harmful effect, it must succeed at a Will save as these spectres of uncertainty force themselves into its mind. Ongoing effects trigger the mantle only if the creature consciously directs them against you. A given creature need only roll a saving throw against your mantle of doubt at most once per round. If the creature's attack or effect against you was a psychic spell or spell-like ability, that creature's save takes a -4 penalty. A creatures that fails its save against your mantle of doubt is affected for 1d4+1 rounds, during which time it is shaken, cannot flank, and no longer threatens creatures within its reach. In addition, it takes a -2 penalty on saves against mind-affecting effects, which stacks with the penalties for being shaken. If your mantle of doubt affects a creature that is already shaken, that creature's fear level doesn't increase. Instead, mounting doubts stagger the creature for 1 round and deal 1d4 points of Wisdom and Charisma damage to it.  Spell resistance applies against assaults from a mantle of doubt, and immunity to fear or mind-affecting effects negates the spell's effects. If you are immune to fear or mind-affecting effects, you can still cast mantle of doubt on yourself.</t>
  </si>
  <si>
    <t>Mind Over Matter</t>
  </si>
  <si>
    <t>mesmerist 2, psychic 2, spiritualist 2</t>
  </si>
  <si>
    <t>You blur the lines between mind and body, reassigning ability damage or drain your target has taken to a corresponding ability score, as per the following table.  Physical Ability Score Mental Ability Score  Strength Intelligence  Dexterity Wisdom  Constitution Charisma  The transfer of damage can go either way-you can convert Intelligence damage to Strength damage and vice versa. You can transfer any number of points of damage or drain in a single casting, though only from one ability score to the corresponding ability score. You cannot transfer enough ability damage or drain to reduce an ability score to 0.</t>
  </si>
  <si>
    <t>Out Of Sight</t>
  </si>
  <si>
    <t>medium 3, mesmerist 3, psychic 4</t>
  </si>
  <si>
    <t>V, S, M (a strip of black cloth)</t>
  </si>
  <si>
    <t>1 minute/level (D); see text</t>
  </si>
  <si>
    <t>The spell inhibits the memories of creatures that perceive you. While creatures can perceive you normally, when a creature stops observing you, it must attempt a Will save (spell resistance applies). If it fails, it loses all memory of its awareness of you and your actions while you were under the effects of this spell. The spell's duration listed above measures how long the out of sight effect lasts on you, but the memory alteration is instantaneous and can be reversed only by magic such as modify memory.  The creature is still aware of any other changes to itself or its environment. For instance, a guard will remember running, and may notice a newly unlocked door, but will not remember that he was chasing after you.</t>
  </si>
  <si>
    <t>Phantom Limb</t>
  </si>
  <si>
    <t>This spell creates a semi-visible psychic manifestation that allows a creature to replace a missing body part or parts. This could be as simple as a missing finger or toe or as complex as one or more limbs or even a set of wings. The creature can use these ghostly appendages exactly as if they were the creature's own limbs, including any natural attacks or other special abilities. This includes any extraordinary abilities granted by the appendages, but not supernatural ones.  If the target does not need a replacement limb (or chooses not to use the spell in this way), it can instead select one of the following options. In this case, the spell lasts only for 10 minutes per level.  Extra Arms: The target grows two phantom arms, granting it two extra natural claw attacks; the target cannot use the phantom arms for any other purpose.  Extra Legs: The target grows two phantom legs and strong hindquarters like those of a horse, granting it a +30-foot enhancement bonus to speed and a +4 bonus to its CMD against overrun and trip combat maneuvers.  Mermaid's Tail: The target grows a phantom tail, granting it a swim speed of 60 feet.  Phantom Wings: The target grows phantom wings, granting it a fly speed of 60 feet (good maneuverability).</t>
  </si>
  <si>
    <t>Psychonaut Manifestation</t>
  </si>
  <si>
    <t>V, S, M (a small piece of psychoactive cactus)</t>
  </si>
  <si>
    <t>?</t>
  </si>
  <si>
    <t>You take a mental journey through the doors of perception to enter an altered state of consciousness. Despite this hallucinatory transmigration being entirely unreal, your mind and body fully react to it. You gain a +4 alchemical bonus to a random ability score, as well as a corresponding -2 penalty. If the bonus applies to Strength, the penalty applies to Intelligence, and vice versa. If the bonus applies to Dexterity, the penalty applies to Wisdom, and vice versa. If the bonus applies to Constitution, the penalty applies to Charisma, and vice versa. Each round as a standard action, you can explore the nooks and crannies of your imagination to further alter your corporal self. If you do so, attempt a Will save against the spell's save DC. If you succeed, randomly select another ability score and change the alchemical bonus and associated penalty accordingly. If you fail, you are dazed for 1 round instead as your mind reels from learning unexpected truths about yourself.</t>
  </si>
  <si>
    <t>Alleviate Addiction</t>
  </si>
  <si>
    <t>alchemist 1, cleric/oracle 1, druid 1, paladin 1, ranger 1, shaman 1, witch 1</t>
  </si>
  <si>
    <t>The subject ignores the effects of addictions. The subject can naturally recover from damage dealt by the drug if she is under the effects of this spell for the entire duration of her rest.</t>
  </si>
  <si>
    <t>Black Markets</t>
  </si>
  <si>
    <t>Contact High</t>
  </si>
  <si>
    <t>alchemist 2, bard 2, cleric/oracle 3, mesmerist 3, shaman 3, skald 3</t>
  </si>
  <si>
    <t>living creatures touched (up to one per level)</t>
  </si>
  <si>
    <t>While under the effects of a drug, you can duplicate those effects in others. You can touch another creature once per round (this requires a melee touch attack if the target is unwilling). When touched, the target begins experiencing the effects of the same drug by which you are currently affected (select one, if you are under the influence of more than one drug). The target doesn't take any ability damage or risk addiction from the drug.  You cannot impart the effects of any potion, poison, elixir, or mutagen currently affecting you.</t>
  </si>
  <si>
    <t>Imbue With Addiction</t>
  </si>
  <si>
    <t>alchemist 2, mesmerist 3, sorcerer/wizard 3, witch 3</t>
  </si>
  <si>
    <t>V, S, M (a dose of an addictive drug or substance)</t>
  </si>
  <si>
    <t>The target immediately becomes addicted to the drug used as the material component during the casting of the spell. If the target was ever addicted to the drug at any point in the past, it takes a -4 penalty on its saving throw.</t>
  </si>
  <si>
    <t>Night Blindness</t>
  </si>
  <si>
    <t>antipaladin 1, bard 1, bloodrager 1, cleric/oracle 2, mesmerist 1, psychic 1, shaman 2, sorcerer/wizard 1, spiritualist 2, witch 1</t>
  </si>
  <si>
    <t>Your target's vision becomes impaired as if the light level were one step lower, treating bright light as normal light, normal light as dim light, and dim light as darkness. In addition, the subject gains no benefit from darkvision, low-light vision, or the see in darkness ability. The subject gains a +4 bonus on saving throws to resist the blind or dazzled condition caused by bright light (such as flare). Remove blindness/deafness dispels night blindness.</t>
  </si>
  <si>
    <t>Pesh Vigor</t>
  </si>
  <si>
    <t>alchemist 1, antipaladin 1, bloodrager 1, cleric/oracle 1, druid 1, magus 1, medium 1, psychic 1, shaman 1, sorcerer/wizard 1, summoner/unchained summoner 1</t>
  </si>
  <si>
    <t>V, S, M (a dose of pesh worth 15 gp)</t>
  </si>
  <si>
    <t>The target gains a +2 enhancement bonus to its Strength. Once per round as a free action, the target can choose to increase the enhancement bonus by 2 for 1 round; if it does so, it takes 1d6 points of nonlethal damage and the spell's duration decreases by 1 additional round. For every 5 caster levels you have, the target can choose to increase the enhancement bonus by an additional 2, taking an additional 1d6 points of nonlethal damage and decreasing the duration by 1 additional round per increase to the Strength bonus, to a maximum enhancement bonus of +10 and 4d6 points of nonlethal damage at caster level 15th. The subject can't spend more rounds than remain in the duration. When the spell ends, the subject becomes fatigued.</t>
  </si>
  <si>
    <t>Compel Tongue</t>
  </si>
  <si>
    <t>bard 1, cleric/oracle 2, druid 2, medium 2, mesmerist 2, sorcerer/wizard 2, witch 2</t>
  </si>
  <si>
    <t>V, S, M (a wooden block carved with a letter)</t>
  </si>
  <si>
    <t>This spell functions as share language (Pathfinder RPG Advanced Player's Guide 243), granting a creature the ability to read, understand, and communicate to the best of its ability in any one language you know. For the spell's entire duration, the target can speak and write only in the language imparted, but its ability to understand other languages is unaffected.</t>
  </si>
  <si>
    <t>Compel Tongue, Mass</t>
  </si>
  <si>
    <t>bard 4, cleric/oracle 5, druid 5, medium 4, mesmerist 4, sorcerer/wizard 5, witch 5</t>
  </si>
  <si>
    <t>This spell functions as compel tongue, except it affects multiple creatures. The same language restriction applies to all creatures, and the same language must be imparted to all creatures affected by the same casting of this spell.</t>
  </si>
  <si>
    <t>Fleeting Memory</t>
  </si>
  <si>
    <t>bard 3, mesmerist 2, occultist 3, psychic 3, sorcerer/wizard 4</t>
  </si>
  <si>
    <t>You create a gap in the target's memory, preventing the target from remembering anything that happens from the moment you cast this spell until the moment its complete duration ends. Fleeting memory doesn't wipe out its target's memories until the end of its duration, so the target can remember the preceding rounds until the spell's duration ends. If the spell ends prematurely, either because you dismiss it or because it is dispelled, it disperses without affecting its target's memory.  Whether or not the target's save is successful, the target forgets that you cast a spell.</t>
  </si>
  <si>
    <t>Fleeting Memory, Mass</t>
  </si>
  <si>
    <t>bard 6, mesmerist 5, occultist 6, psychic 7, sorcerer/wizard 8</t>
  </si>
  <si>
    <t>This spell functions as fleeting memory, except that it affects multiple creatures.</t>
  </si>
  <si>
    <t>Secret Sign</t>
  </si>
  <si>
    <t>bard 1, inquisitor 1, shaman 1, sorcerer/wizard 2, witch 2</t>
  </si>
  <si>
    <t>V, S, M (a lemon peel)</t>
  </si>
  <si>
    <t>You invisibly inscribe a small mark or short message (no more than 25 words) on a creature or object, similar to the way arcane mark works. The sign can be no more than 6 inches across, and if it's a written message, it can be in any language you can read and write at the time of the spell's casting. As you cast the spell, you can define one auditory, olfactory, tangible, or visual criterion-such as all creatures wearing green bands on their left arms or only creatures who smell of lavender or only orcs-that allows designated creatures within 30 feet to see the secret sign.  Disguises and illusions that mimic the set criterion can fool this spell. Normal darkness doesn't conceal a visual trigger, but magical darkness or invisibility does. Auditory criteria (such as a password) and tangible criteria (such as pressing your hand against a specific object or wall) can be performed by anyone who learns of them. A secret sign cannot distinguish alignment, level, Hit Dice, or class except by external garb, but can differentiate apparent races, genders, and garments. See invisibility and invisibility purge reveal the sign, but glitterdust does not.  A caster of at least 10th level can make secret sign permanent on an object with a permanency spell using 5,000 gp of diamond dust as a material component.</t>
  </si>
  <si>
    <t>Venomous Promise</t>
  </si>
  <si>
    <t>language-dependent, poisonUM</t>
  </si>
  <si>
    <t>antipaladin 3, bard 3, mesmerist 3, shaman 3, witch 3</t>
  </si>
  <si>
    <t>S, M (a vial of poison)</t>
  </si>
  <si>
    <t>permanent or until triggered</t>
  </si>
  <si>
    <t>You guard your words and person with poisonous power. You can impart a short amount of information-up to 25 words-as you cast this spell, entwining your words with the poison provided as a material component. If your target reveals the information you impart (verbally, in writing, with gestures, or by having its mind read with spells like detect thoughts), the target is immediately exposed to the poison (and is allowed any saving throw the poison allows).  Your target instinctively knows that revealing this information will endanger it, but doesn't automatically understand why or how. Neutralize poison removes the effect of this spell; the spellcaster must succeed at a caster level check against the spell's save DC rather than the poison's.</t>
  </si>
  <si>
    <t>Arcane Pocket</t>
  </si>
  <si>
    <t>V, F (a pocket and a silver button)</t>
  </si>
  <si>
    <t>extradimensional space up to 1 cu. ft./level</t>
  </si>
  <si>
    <t>With a touch, you conjure an extradimensional space inside a pouch or pocket. The pocket acts as a bag of holding, except it can hold only 10 pounds per caster level. Regardless of what is placed into the pocket, it weighs 3 pounds. Unlike a bag of holding, the pocket created by this ability cannot be overloaded or ruptured-any additional material simply spills out of the top-nor does it have any special interaction with other kinds of extradimensional spaces.  An arcane pocket grants you a +1 bonus on Sleight of Hand checks to conceal its contents. The pocket becomes nonmagical, spilling all of its contents onto the ground unharmed, if it leaves your possession or you create a new arcane pocket.</t>
  </si>
  <si>
    <t>Vacuous Vessel</t>
  </si>
  <si>
    <t>bard 0, sorcerer/wizard 0</t>
  </si>
  <si>
    <t>container touched</t>
  </si>
  <si>
    <t>This spell makes a single bag, chest, sack, or other container look and feel empty. The container must be no larger than 1 cubic foot per caster level or the spell fails. Anyone peering into or reaching into the container must succeed at a Will save or perceive the container as being completely empty. All items within the container when the spell was cast are still present, but they can't be noticed unless removed from the bag-such as by someone who can perceive them, or who upends the container.  Casting vacuous vessel on another container or placing a new item in the existing container immediately dismisses the currently active spell.</t>
  </si>
  <si>
    <t>Adroit Retrieval</t>
  </si>
  <si>
    <t>occultist 3, sorcerer/wizard 3</t>
  </si>
  <si>
    <t>You instill the target with the ability to withdraw small items from her pockets or packs with supernatural swiftness. When the target retrieves an item stored on itself, it can retrieve  the item either as a move action without provoking attacks of opportunity, or as a swift action that provokes attacks of opportunity. This effect functions only when the target attempts to retrieve a stored item that weighs less than 1 pound per caster level (maximum 15 pounds).</t>
  </si>
  <si>
    <t>Authenticating Gaze</t>
  </si>
  <si>
    <t>alchemist 1, cleric/oracle 1, inquisitor 1, occultist 1, sorcerer/wizard 1</t>
  </si>
  <si>
    <t>V, S, DF/M (a miniature magnifying glass or spectacles)</t>
  </si>
  <si>
    <t>Your understanding of the written word becomes analytical and discerning. You gain an insight bonus equal to your caster level (maximum +10) on Appraise checks to determine the value of books and scrolls and on Linguistics checks to detect forgeries, and you can attempt a Linguistics check to detect a forged document at a glance, rather than taking the normal 1 round of examination per page. In addition, you immediately detect whether written works within 30 feet and within your line of sight have a magical aura and the strength of any such auras, as though you had concentrated on each written work for 1 round using detect magic.</t>
  </si>
  <si>
    <t>Curse Of Keeping</t>
  </si>
  <si>
    <t>antipaladin 2, mesmerist 2, shaman 2, witch 2</t>
  </si>
  <si>
    <t>You curse the target with the inability to sell, barter, or give away any item it owns, other than ordinary currency, for as long as the spell remains in effect. The target cannot sell, trade, drop, or give away possessions. The target can purchase items using ordinary currency but can't then sell the purchased items. The target can accept gifts from others but can't offer anything in exchange. A curse of keeping can be ended by break enchantment, limited wish, remove curse, miracle, or wish. Dispel magic does not affect a curse of keeping.</t>
  </si>
  <si>
    <t>Evaluator's Lens</t>
  </si>
  <si>
    <t>inquisitor 2, occultist 3, sorcerer/wizard 3, summoner/unchained summoner 2, witch 3</t>
  </si>
  <si>
    <t>You summon an insubstantial lens of force 4 inches in diameter that hovers in front of your face. When you attempt a saving throw against a spell with the figment or pattern descriptor, you can roll twice and take the higher result. You gain a +10 enhancement bonus on Appraise checks to appraise the worth of an item viewed through the lens, and you never judge an item's value wildly inaccurately. If you successfully identify that the item has magical properties, you can immediately attempt a Spellcraft check to determine the item's properties, as if you had cast detect magic on the item and examined it for 3 rounds. This spell cannot determine the properties of artifacts.  The lens cannot be targeted or harmed by physical attacks, but dispel magic, disintegrate, or a rod of cancellation affects it. The lens's AC against touch attacks is equal to 10 + your Dexterity modifier.</t>
  </si>
  <si>
    <t>Fleeting Defect</t>
  </si>
  <si>
    <t>one solid object that does not have the broken condition, or one construct</t>
  </si>
  <si>
    <t>Fortitude negates (harmless, object); see text</t>
  </si>
  <si>
    <t>You cause a single object to temporarily gain the broken condition. The target must be a single solid object, regardless of its composition, weighing up to 10 pounds per caster level. Attended objects are allowed a Fortitude save. When this spell ends, the object reverts to its original quality. An item destroyed while under the effects of this spell remains destroyed when this spell ends.  This spell can be cast on a single construct to disrupt its animating force. A construct that fails its saving throw takes a -2 circumstance penalty on attack rolls, saving throws, skill checks, and ability checks for the duration of the spell.</t>
  </si>
  <si>
    <t>Incendiary Runes</t>
  </si>
  <si>
    <t>occultist 1, sorcerer/wizard 1</t>
  </si>
  <si>
    <t>This spell functions as explosive runes, except it creates a small surge of flames rather than an explosion of force. The runes automatically deal 1d6 points of fire damage to any creatures and objects in adjacent squares, and those creatures and objects catch fire unless they succeed at Reflex saves.</t>
  </si>
  <si>
    <t>Peerless Integrity</t>
  </si>
  <si>
    <t>antipaladin 2, bard 2, mesmerist 2, psychic 2, sorcerer/wizard 2</t>
  </si>
  <si>
    <t>Peerless integrity conceals the alignment of creatures from divination magic. All creatures within the spell's area, including you, appear to have lawful good auras for the purposes of divination spells and effects that reveal alignments (such as detect law and see alignmentUC), instead of their actual alignments. If the caster of such divination magic succeeds at a Will save, the caster recognizes whether the readings are true or false. Any creature under the effects of this spell gains a +2 circumstance modifier on Bluff and Diplomacy checks.  This spell does not affect other types of divination magic (such as detect thoughts or discern lies) and does not protect against spells or effects that cause harm based on targeted creatures' alignments.</t>
  </si>
  <si>
    <t>Remarkable Legerdemain</t>
  </si>
  <si>
    <t>While this spell is in effect, your body and clothing flutter and distort subtly, allowing you to conceal items with uncanny skill. You treat any object you can hold in one hand as a coin-sized object for the purposes of Sleight of Hand checks to palm the object or make it disappear; however, you can hide only one such item per caster level on your person at one time. This effect does not change the actual sizes of the objects.</t>
  </si>
  <si>
    <t>Secret Coffer</t>
  </si>
  <si>
    <t>one small chest or coffer and up to 1 cu. ft. of goods</t>
  </si>
  <si>
    <t>This spell functions like secret chest, except the coffer is only 1 foot square and can contain only 1 cubic foot of goods, and the container can remain safely hidden on the Ethereal Plane for only 14 days before it risks becoming lost. The spell automatically fails if a living creature enters the coffer. The coffer used as a focus for secret coffer must cost at least 500 gp, and its replica costs 5 gp.</t>
  </si>
  <si>
    <t>Secret Vault</t>
  </si>
  <si>
    <t>one chamber and up to 10 cu. ft. of goods/caster level</t>
  </si>
  <si>
    <t>This spell functions like secret chest, except it affects a small structure, vault, or oversized chest. Living creatures within a secret vault don't cause the spell to fail. While the vault is stored on the Ethereal Plane, living creatures within the vault don't need to eat, drink, or breathe, but they can't leave the vault except via magic such as plane shift. The vault used as a focus for secret vault must cost at least 25,000 gp, and its replica costs 250 gp. A secret vault has only a 1% cumulative chance per day of becoming irretrievably lost after 360 days.</t>
  </si>
  <si>
    <t>Shadow Enchantment</t>
  </si>
  <si>
    <t>shadowUM</t>
  </si>
  <si>
    <t>bard 3, mesmerist 3, psychic 3, sorcerer/wizard 3</t>
  </si>
  <si>
    <t>You use material from the Shadow Plane to cast a quasi-real, illusory version of a psychic, sorcerer, or wizard enchantment spell of 2nd level or lower. Spells that deal damage or have other effects work as normal unless the affected creature succeeds at a Will save. If the disbelieved enchantment spell has a damaging effect, that effect is one-fifth as strong (if applicable) or only 20% likely to occur. If recognized as a shadow enchantment, a damaging spell deals only one-fifth (20%) the normal amount of damage.  If the disbelieved attack has a special effect other than damage, that effect is one-fifth as strong (if applicable) or only 20% likely to occur. Regardless of the result of the save to disbelieve, an affected creature is also allowed any save (or spell resistance) that the spell being simulated allows, but the save DC is set according to shadow enchantment's level (3rd) rather than the spell's normal level. Objects, mindless creatures, and creatures immune to mind-affecting effects automatically succeed at their Will saves against this spell.</t>
  </si>
  <si>
    <t>Occult Realms</t>
  </si>
  <si>
    <t>Shadow Enchantment, Greater</t>
  </si>
  <si>
    <t>bard 6, mesmerist 6, psychic 6, sorcerer/wizard 6</t>
  </si>
  <si>
    <t>This spell functions like shadow enchantment, except that it enables you to create partially real, illusory versions of psychic, sorcerer, or wizard enchantment spells of 5th level or lower. If the spell is recognized as a greater shadow enchantment, it's only three-fifths (60%) as effective.</t>
  </si>
  <si>
    <t>Detect Fiendish Presence</t>
  </si>
  <si>
    <t>bard 0, cleric/oracle 0, magus 0, sorcerer/wizard 0, witch 0</t>
  </si>
  <si>
    <t>This spell functions like detect evil, except that it detects only outsiders with the evil subtype, as well as the lingering effects caused by their gifts, presence, and spells. It can also detect clerics and paladins of fiendish deities, including Asmodeus, archdevils, daemonic harbingers, and demon lords.</t>
  </si>
  <si>
    <t>Agents Of Evil</t>
  </si>
  <si>
    <t>Devil Snare</t>
  </si>
  <si>
    <t>V, S, M (a pouch of silvered powder worth 25 gp)</t>
  </si>
  <si>
    <t>10-ft.-radius circle</t>
  </si>
  <si>
    <t>Your touch creates an invisible circle on a flat surface. Any outsider passing through this circle must succeed at a Will save or be caught within. Once trapped, a creature must succeed at a Will save as a standard action to physically exit the confines of the circle, teleport, or use any form of extradimensional travel (as per dimensional anchor). Contained outsiders can still attack adjacent creatures outside of the circle, or target others with ranged attacks, spells, and spell-like abilities. Despite the spell's name, devil snare captures outsiders of any type, not only devils.  As a standard action, you can dismiss the circle, expelling any outsiders still trapped within to their planes of origin (as per dismissal). An outsider can resist this effect with a successful Will save, enabling it to remain after the spell is dismissed.</t>
  </si>
  <si>
    <t>Punishing Armor</t>
  </si>
  <si>
    <t>alchemist 1, bloodrager 1, magus 1, shaman 1, sorcerer/wizard 1, spiritualist 1, summoner/unchained summoner 1</t>
  </si>
  <si>
    <t>Fortitude negates; see below</t>
  </si>
  <si>
    <t>You coat yourself with a thin layer of shimmering energy. Any creature dealing nonlethal damage to you immediately takes half the amount of nonlethal damage dealt. A successful Fortitude save made by the attacking creature negates this damage.</t>
  </si>
  <si>
    <t>Unholy Ward</t>
  </si>
  <si>
    <t>antipaladin 3, cleric/oracle 4, inquisitor 3, sorcerer/wizard 4</t>
  </si>
  <si>
    <t>This spell grants you resistance to the holy powers of good-aligned deities and their servants. You resist 10 points of damage from holy sources (divine power damage from flame strike, additional damage from smite evil, channeled positive energy, etc.), provided they originate from a good-aligned source or a servant of a good-aligned god. You ignore a maximum of 10 points of damage per caster level, at which point the spell ends.</t>
  </si>
  <si>
    <t>Blood Tentacles</t>
  </si>
  <si>
    <t>antipaladin 4, cleric/oracle 5, shaman 5, sorcerer/wizard 5, summoner/unchained summoner 4, witch 5</t>
  </si>
  <si>
    <t>V, S, M (a fresh handful of the caster's blood)</t>
  </si>
  <si>
    <t>You smear a handful of your own blood across your chest, causing one writhing tentacle per caster level to burst forth. You can direct these tentacles to attack a single creature within 15 feet as a standard action, or one creature per 5 caster levels as a full-round action. Each tentacle has an attack bonus equal to your base attack bonus plus either your Constitution or Charisma bonus (whichever is higher). Each tentacle deals 2d6 points of damage, and a tentacle collapses into dried blood on a successful hit, granting you a number of temporary hit points equal to the damage dealt. You can't gain more temporary hit points than your maximum number of hit points. These temporary hit points disappear after 1 hour.</t>
  </si>
  <si>
    <t>Caustic Safeguard</t>
  </si>
  <si>
    <t>alchemist 3, bloodrager 3, magus 3, sorcerer/wizard 4</t>
  </si>
  <si>
    <t>V, S, M (a thin metal wire and a vial of acid)</t>
  </si>
  <si>
    <t>You imbue a single object with an acidic protective ward. Any creature other than you that touches the object takes 1d6 points of acid damage per 2 caster levels (maximum 10d6; Reflex half). Each time the spell discharges, the number of damage dice it deals is halved (rounded down); when the spell's damage dice reach 0, the spell ends. While casting this spell, you can touch up to one creature per 4 caster levels, which allows them to handle the warded object without triggering this spell.</t>
  </si>
  <si>
    <t>Coward's Cowl</t>
  </si>
  <si>
    <t>alchemist 1, bard 1, cleric/oracle 1, mesmerist 1, psychic 1, shaman 1, sorcerer/wizard 1, witch 1</t>
  </si>
  <si>
    <t>You imbue the target with a compulsion to avoid threats, enhancing its defensive instincts. So long as the affected creature  does not move closer to enemies during its turn, or moves at least 5 feet away from adjacent enemies, it gains a +1 morale bonus to its AC, and a +1 morale bonus on saves and on attack rolls made as readied actions and attacks of opportunity. Alternatively, if the affected creature does not close with its enemies, it can increase the DC of all spells it casts as part of a readied action by 1. If the subject of the spell willingly moves toward a threatening creature, the spell immediately ends.  While affected by coward's cowl, a creature takes a -2 penalty on all saving throws against fear effects.</t>
  </si>
  <si>
    <t>Dream Dalliance</t>
  </si>
  <si>
    <t>Will disbelief, then Will partial (see text)</t>
  </si>
  <si>
    <t>You create a comforting phantasm, which leeches onto the psyche of a nearby target. The creature can attempt a Will saving throw to prevent the phantasm from entering its psyche, but otherwise it takes up permanent residence in the creature's mind. The phantasm fills its target's dreams with happy visions, comforting manifestations of loved ones, and incredible vistas, feeding the target a perfect fantasy life it never wishes to leave. After the target's next night's sleep, the target must succeed at a Will saving throw to wake up; otherwise, it remains asleep for the rest of the day and following night. Each night it must succeed at a new saving throw or remain asleep for days or weeks on end as it slowly starves to death (presuming it normally needs to eat to survive). Loud noises, jostling, and even pain won't rouse the slumbering target. Dealing 1 point of damage per the target's Hit Die awakens the target, but it awakens fatigued and takes a -2 penalty on all saving throws against spells and effects that may put it back to sleep until the phantasm has been banished.  The phantasm remains in its host's mind indefinitely, requiring a new Will saving throw to wake up every time the target rests, until it is removed via break enchantment, greater restoration, or miracle. Alternatively, the phantasm can be confronted in its host's mindscape (Pathfinder RPG Occult Adventures 202), where it manifests as a slothful duplicate of its host with identical abilities, skills, and attributes.</t>
  </si>
  <si>
    <t>Enticing Adulation</t>
  </si>
  <si>
    <t>bard 3, sorcerer/wizard 4, witch 4</t>
  </si>
  <si>
    <t>V, S, M (a lock of your hair)</t>
  </si>
  <si>
    <t>A targeted creature that fails its saving throw is filled with a deep desire to protect and care for you, fawning over your needs and ensuring your comfort. If another creature harms you, the target is immediately overcome with rage and is compelled to attack the aggressor, gaining a +2 morale bonus to Strength and Constitution, a +1 morale bonus on Will saves, and a -2 penalty to its Armor Class. These bonuses last until the instigating creature is defeated or retreats, or the target of the spell is killed or rendered unconscious. If other creatures have harmed you while the target is under this effect, the target continues to rage until all threats against you are defeated or driven off, after which the target creature is fatigued for as many rounds as it raged. Your target continues to fly into defensive rages each time a creature harms you so long as the spell's duration lasts, but cannot rage while fatigued.  If you are reduced below 0 hit points by an attack, the target creature must succeed at a second Will save or be compelled to defend your body, attacking anyone who comes near, for the remainder of the spell's duration. If the creature succeeds at this second save, the spell immediately ends.</t>
  </si>
  <si>
    <t>Furious Fire Barrage</t>
  </si>
  <si>
    <t>bloodrager 4, magus 5, sorcerer/wizard 6</t>
  </si>
  <si>
    <t>V, S, M (two balls of guano)</t>
  </si>
  <si>
    <t>Upon casting this spell, you conjure forth one or two balls of flame, each resting in a free hand. As part of casting this spell or as a standard action, you can throw one flame ball a maximum of 300 feet, dealing 1d6 points of fire damage per caster level you have (maximum 10d6) to all creatures within a 10-foot-radius spread.  So long as the spell's duration lasts, you can channel your anger as a full-round action to create one new ball of flame, which can be thrown as a standard action. You cannot create additional balls of flame while you are under the effects of a calm emotions spell or are otherwise unable to feel anger or outrage.</t>
  </si>
  <si>
    <t>Golden Guise</t>
  </si>
  <si>
    <t>V, S, M (10 gold pieces)</t>
  </si>
  <si>
    <t>one object weighing no more than 5 lbs./level</t>
  </si>
  <si>
    <t>You cause an object to briefly transform into gold. Affected items gain the properties of gold (Pathfinder RPG Ultimate Equipment 53) until the spell expires. Weapons reduce their hardness by half and gain the fragile quality, while piercing and slashing weapons take a -2 penalty on damage rolls (minimum 1 damage). This spell increases the affected item's armor check penalty by 2 and decreases its armor or shield bonus by 2. Gold armor has hardness 5.</t>
  </si>
  <si>
    <t>Shadow Endurance</t>
  </si>
  <si>
    <t>bard 5, mesmerist 5, shaman 5, sorcerer/wizard 6, spiritualist 5</t>
  </si>
  <si>
    <t>V, S, M (a fetchling's tooth)</t>
  </si>
  <si>
    <t>1 hour/level until discharged, then 1 minute/level; see text</t>
  </si>
  <si>
    <t>You conjure protective wisps of darkness made from shadow. If you are reduced below 0 hit points or rendered unconscious, shadow endurance immediately discharges, shunting your injured body into a hidden alcove on the Shadow Plane. You immediately stabilize, but cannot awaken or take any further actions until the second duration expires.  As you vanish, a quasi-real duplicate of you made from shadow substance appears where you fell, as if created by shadow conjuration. The duplicate acts on your initiative and is under your control. Your duplicate is 1/4 as real as you and appears with 25% of your full hit point total, and any creature that fails a Will saving throw believes it to be you. The duplicate has the same equipment-based bonuses as you, but deals only 1/4 of your normal damage against enemies. It can cast any spells you can, drawing on your reserve of magic, but the duplicate's caster level is 1/4 your actual level. Regardless of your alignment, your shadow duplicate is neutral evil, though it will not harm your friends and allies.  When the second duration of the spell expires, your duplicate disappears and your body reappears in the location from which you vanished. If the image is destroyed, the spell immediately expires and your body reappears.</t>
  </si>
  <si>
    <t>Seer's Bane</t>
  </si>
  <si>
    <t>cleric/oracle 6, inquisitor 6, sorcerer/wizard 6</t>
  </si>
  <si>
    <t>This spell functions as nondetection, except that those who cast divination spells targeting the warded creature or item must succeed on a caster level check (DC = 15 + your caster level). If the caster of the divination fails, deadly magical feedback strikes at him, dealing 1d6 points of electricity damage per 2 caster levels you have (maximum 10d6 at 20th level).  Alternatively, if you cast bestow curse, chaos hammer, contagion, holy smite, order's wrath, poison, or unholy blight in the round immediately following seer's bane, you can replace the spell's damaging effect with the effects of that second spell (the divination's caster-and potentially those around him-save as normal for the modifying spell).</t>
  </si>
  <si>
    <t>AP 102</t>
  </si>
  <si>
    <t>Aroden's Magic Army</t>
  </si>
  <si>
    <t>shaman 8, sorcerer/wizard 7</t>
  </si>
  <si>
    <t>weapons carried by allies</t>
  </si>
  <si>
    <t>You imbue all manufactured weapons carried by allies within range with magic, granting each weapon a +1 enhancement bonus on attack rolls and damage rolls per 5 caster levels (maximum +4).</t>
  </si>
  <si>
    <t>Arcane Anthology</t>
  </si>
  <si>
    <t>Aroden's Spellsword</t>
  </si>
  <si>
    <t>bard 4, bloodrager 4, magus 3, occultist 4, sorcerer/wizard 3, witch 4</t>
  </si>
  <si>
    <t>V, S, F (a magic rod or staff)</t>
  </si>
  <si>
    <t>one melee weapon sized appropriately for you</t>
  </si>
  <si>
    <t>When you cast this spell on a weapon, you cause an extradimensional space to open within the weapon. As part of the casting, you can insert a single magic rod or magic staff into the weapon's extradimensional space, after which the space closes. For the spell's duration, a character wielding the transmuted weapon is also considered to be wielding the rod or staff as well. If the rod or staff can be used to make attacks, you can attack normally with the weapon or use the weapon as if it were the merged rod or staff. If the effect created by the rod or staff requires an attack roll to successfully strike a foe, you can make the attack roll as if you were making an attack with the weapon at its highest bonus (including any bonuses the weapon would normally receive) rather than just a normal attack with the rod or staff-doing so does not allow you to add the weapon's damage to the attack, but instead allows you to use your skill with the weapon to boost your chance of hitting with the rod or staff's attack, spell, or effect.  At the end of the spell's duration, the merged rod or staff is ejected from the weapon. If you have a free hand, you can catch the rod or staff as a free action; otherwise, it drops to the ground.  If the merged weapon is broken or destroyed during the duration of Aroden's spellsword, the merged rod or staff is similarly broken or destroyed.</t>
  </si>
  <si>
    <t>Banishing Blade</t>
  </si>
  <si>
    <t>antipaladin 4, bloodrager 4, inquisitor 5, magus 5, medium 4, paladin 4, shaman 5, sorcerer/wizard 5, spiritualist 5, summoner/unchained summoner 5</t>
  </si>
  <si>
    <t>none and Will partial (see text)</t>
  </si>
  <si>
    <t>You imbue a weapon with the power to drive foes back. The first time each round the weapon strikes a creature, the weapon attempts a free bull rush combat maneuver check against that creature. This does not provoke attacks of opportunity. The combat maneuver for the bull rush is equal to 1d20 + your caster level. You do not have to move to push creatures more than 5 feet with this bull rush. If a creature you strike has spell resistance, you must attempt a caster level check to overcome its spell resistance the first time you strike it. If you fail, that creature is immune to the effects of this casting of banishing blade.  The first time each extraplanar creature whose Hit Dice don't exceed your caster level is driven back at least 10 feet by this spell, it must attempt a Will save. If it fails, it is sent back to its home plane. Whether it succeeds or fails, that creature is staggered for 1 round and banishing blade's duration ends.</t>
  </si>
  <si>
    <t>Create Armaments</t>
  </si>
  <si>
    <t>bard 4, medium 4, psychic 4, sorcerer/wizard 4, spiritualist 3, witch 4</t>
  </si>
  <si>
    <t>V, S, M (diamonds worth price of arms to be created)</t>
  </si>
  <si>
    <t>one nonmagical weapon, shield, or set of armor</t>
  </si>
  <si>
    <t>You create one nonmagical weapon, shield, or set of armor. To determine whether the item functions as intended, you must attempt an appropriate Craft check with the DC required to create the item normally. If you fail, the item is created with the broken condition. You can create items made of rare or unusual materials if you include a bit of that material as an additional material component when you cast the spell, but cannot create cold iron items with this spell.</t>
  </si>
  <si>
    <t>Expeditious Construction</t>
  </si>
  <si>
    <t>V, S, M (a handful of earth or stone)</t>
  </si>
  <si>
    <t>a low wall 10 feet long per 3 levels (minimum 10 feet) (S)</t>
  </si>
  <si>
    <t>You create a low wall or other simple structure of packed earth or loose stone measuring 3 feet thick, 3 feet tall, and 10 feet long per 3 caster levels you possess (minimum 10 feet). Each square of the structure can appear only in unoccupied spaces atop earthen or stone surfaces able to support it. The wall grants cover as per a low wall and can be climbed with a successful DC 5 Climb check. Large and larger creatures don't need to attempt a Climb check to climb over it.  At your discretion, you can make the structure half as long but thicker by forming it into a berm consisting of a steep slope on each side. Characters moving uphill (to an adjacent square of higher elevation) must spend 2 squares of movement to enter a square of steep slope. Characters running or charging downhill (moving to an adjacent square  of lower elevation) must attempt a DC 10 Acrobatics check upon entering the first steep slope square. Mounted characters attempt a DC 10 Ride check instead. Characters who fail this check stumble and must end their movement 1d2 x 5 feet later. Characters who fail by 5 or more fall prone in the square where they end their movement. A steep slope increases the DC of Acrobatics checks by 2.</t>
  </si>
  <si>
    <t>Force Sword</t>
  </si>
  <si>
    <t>bloodrager 2, magus 2, occultist 2, psychic 2, sorcerer/wizard 2, spiritualist 2, witch 2</t>
  </si>
  <si>
    <t>one sword-shaped weapon of force</t>
  </si>
  <si>
    <t>You create a +1 longsword of pure force sized appropriately for you that you can wield or give to another creature like any other longsword. At 8th level, the sword functions as a +2 longsword. At 13th level, it functions as a +3 longsword. A force sword cannot be attacked or harmed by physical attacks, but dispel magic, disintegrate, a sphere of annihilation, or a rod of cancellation affects it.  If a creature you attack with the sword has spell resistance, you must attempt a caster level check (1d20 + your caster level) against that spell resistance the first time the force sword strikes it. If you fail the check, the spell is dispelled. If you succeed, the weapon has its normal full effect on that creature for the duration of the spell.</t>
  </si>
  <si>
    <t>Grand Destiny</t>
  </si>
  <si>
    <t>alchemist 5, bard 4, medium 4, mesmerist 5, sorcerer/wizard 5, summoner/unchained summoner 5</t>
  </si>
  <si>
    <t>You inspire the target with the power to seize a grand destiny. The target gains a +4 competence bonus that it can choose to apply before rolling any attack roll, caster level check, saving throw, or skill check. The spell ends once the bonus has been applied to two rolls. At 12th level and 15th level, the bonus can be applied an additional time before the spell is discharged. A subject can be under the effect of only one grand destiny spell at a time.</t>
  </si>
  <si>
    <t>Guardian Monument, Lesser</t>
  </si>
  <si>
    <t>bard 3, inquisitor 3, magus 3, occultist 3, paladin 3, psychic 3, shaman 4, sorcerer/wizard 3, witch 3</t>
  </si>
  <si>
    <t>V, S, F (an unattended, nonmagical object)</t>
  </si>
  <si>
    <t>40-ft. radius from touched object or 60-ft. radius from touched object; see text</t>
  </si>
  <si>
    <t>You touch an unattended, nonmagical object to create a touchstone for humans defending the area. Such human defenders are protected by a shimmering aura as long as they are in the area. The spell grants each subject damage reduction 2/magic. Humans who leave the area and reenter regain the damage reduction. The spell is suppressed if the object is moved from its place, but resumes if the object is put back. Its duration continues to elapse while it is suppressed this way.  Normally, the area of effect is 40 feet from the touched object. If the touched object is a monument to human achievement, the area increases to a 60-foot radius.</t>
  </si>
  <si>
    <t>Guardian Monument, Greater</t>
  </si>
  <si>
    <t>bard 5, inquisitor 5, occultist 5, psychic 5, sorcerer/wizard 5, witch 5</t>
  </si>
  <si>
    <t>This spell functions as lesser guardian monument, except it grants DR 4/magic.</t>
  </si>
  <si>
    <t>Human Potential</t>
  </si>
  <si>
    <t>alchemist 2, bard 2, medium 2, psychic 2, sorcerer/wizard 2</t>
  </si>
  <si>
    <t>V, S, M (a human hair)</t>
  </si>
  <si>
    <t>The target shares in humanity's great potential as encouraged by Aroden. The target chooses one ability score and gains a +2 enhancement bonus to that ability score. The bonus confers the usual benefit to skills and abilities based on the ability enhanced, but does not affect bonus spells or skill ranks.</t>
  </si>
  <si>
    <t>Human Potential, Mass</t>
  </si>
  <si>
    <t>bard 6, psychic 6, sorcerer/wizard 6, summoner/unchained summoner 6</t>
  </si>
  <si>
    <t>This spell functions like human potential, except it affects multiple creatures. Each target can choose a different ability score to be enhanced by this spell.</t>
  </si>
  <si>
    <t>Last Azlanti's Defending Sword</t>
  </si>
  <si>
    <t>magus 6, occultist 6, psychic 7, sorcerer/wizard 6</t>
  </si>
  <si>
    <t>You create a sword of force that functions as mage's sword except as described here. The sword does not receive the additional +3 enhancement bonus a mage's sword receives, and deals 3d6 points of force damage. You cannot command the sword. Until the sword is triggered, it hovers in your space without interfering with  your actions. While hovering in this way, the sword attempts to defend you from incoming attacks, granting you a +4 shield bonus to your AC. The first time a foe within close range damages you or forces you to attempt a saving throw that you fail, the sword is triggered and begins attacking that target as described in mage's sword for the duration of the spell. This ends the shield bonus. You cannot direct the sword to defend against a new target once it has begun to attack. If its target moves beyond the sword's range, the sword returns to you and hovers until the target is again within range. The sword's return does not restore the spell's shield bonus to AC.</t>
  </si>
  <si>
    <t>Last Azlanti's Defending Sword, Mass</t>
  </si>
  <si>
    <t>up to one sword per 3 levels</t>
  </si>
  <si>
    <t>This spell functions as Aroden's defending sword, except you can create one sword per 5 caster levels, each of which must defend a different creature within range.</t>
  </si>
  <si>
    <t>Linked Legacy</t>
  </si>
  <si>
    <t>bard 1, medium 1, mesmerist 1, occultist 1, psychic 1, shaman 1, sorcerer/wizard 1, witch 1</t>
  </si>
  <si>
    <t>two willing creatures plus another creature per 6 levels, no two of which can be more than 30 feet apart</t>
  </si>
  <si>
    <t>This spell helps build community and ensure a shared vision for the future. When any of the affected creatures succeeds at a Knowledge check to answer a question within its field of study or identify a monster and its special powers or vulnerabilities, as a free action the affected creature can share any information gained automatically with all targets of the spell. If any of the targets move out of the spell's range, the spell ceases to function for all of them until they are all within close range of you again.</t>
  </si>
  <si>
    <t>Splinter Spell Resistance</t>
  </si>
  <si>
    <t>bloodrager 2, magus 2, occultist 2, psychic 2, shaman 2, sorcerer/wizard 2, witch 2</t>
  </si>
  <si>
    <t>melee or thrown weapon or up to 50 pieces of ammunition touched</t>
  </si>
  <si>
    <t>You create an aura around the target weapon that weakens a foe's magical defenses. The first time each round the weapon damages a creature with spell resistance, that creature's spell resistance is reduced by 5 for 1 round. This reduction is not cumulative for multiple attacks within the same round, even if the target is struck by different weapons, each affected by a different casting of splinter spell resistance. However, the same creature's spell resistance can be reduced on multiple rounds by subsequent hits.</t>
  </si>
  <si>
    <t>Winged Sword</t>
  </si>
  <si>
    <t>bloodrager 2, inquisitor 3, magus 2, occultist 2, paladin 2, sorcerer/wizard 2</t>
  </si>
  <si>
    <t>The weapon targeted by this spell grows small feathered wings. For the duration of the spell, the weapon acts as if it had the throwing weapon special ability. This spell can be used in place of magic stone as a prerequisite for the throwing weapon special ability.</t>
  </si>
  <si>
    <t>Celestial Healing</t>
  </si>
  <si>
    <t>bloodrager 1, cleric/oracle 1, magus 1, sorcerer/wizard 1, summoner/unchained summoner 1, witch 1</t>
  </si>
  <si>
    <t>V, S, M (1 drop of blood from a good outsider or 1 dose of holy water)</t>
  </si>
  <si>
    <t>You anoint a wounded creature with the blood of an outsider with the good subtype (such as an angel) or holy water, giving it fast healing 1. The target radiates the aura of a good creature for the duration of the spell and can sense the righteousness of the magic, though this has no long-term effect on the target's alignment. If the target has its own evil aura, this is not suppressed by celestial healing, and can also be detected normally.</t>
  </si>
  <si>
    <t>Celestial Healing, Greater</t>
  </si>
  <si>
    <t>bloodrager 4, cleric/oracle 4, magus 4, sorcerer/wizard 4, summoner/unchained summoner 4, witch 4</t>
  </si>
  <si>
    <t>As per celestial healing, except the target gains fast healing 4 and the target radiates the aura of a good cleric.</t>
  </si>
  <si>
    <t>Cyclic Reincarnation</t>
  </si>
  <si>
    <t>V, S, M, DF (oils worth 5,000 gp)</t>
  </si>
  <si>
    <t>This spell allows a dead creature that died no more than 1 year before the casting of the spell to return to life in a body that closely resembles its original body; it functions as reincarnate except as noted. Cyclic reincarnation returns the dead creature to life in a new body of the same race that the target belonged to in life, and the new body appears physically similar to the creature's previous one, to the extent that the creature could be easily mistaken for its own offspring or kin. If the affected creature isn't a humanoid, there is a 75% chance that the creature returns to life as a youth of its race, gaining the young creature simple template instead (or becomes a juvenile, in the case of dragons and other creatures whose power is determined by their age category).  You can use cyclic reincarnation on someone who was killed by a death effect or turned into an undead creature and then destroyed, but nonhumanoids so restored always return to life with the young creature simple template (or as a juvenile, in the case of creatures whose power is determined by their age category).</t>
  </si>
  <si>
    <t>Jatembe's Ire</t>
  </si>
  <si>
    <t>120-ft.-radius spread</t>
  </si>
  <si>
    <t>The scholars of the Magaambya claim that Old-Mage Jatembe developed this spell to help eradicate the lost city of Ird, although such claims have never been confirmed. This spell causes tall grass, weeds, and other plants to swell into Gargantuan vines  and tendrils that erupt from the ground, reaching for any structure or any creature of evil alignment, functioning like black tentacles except as noted. When you are determining the tendrils' CMB, the tendrils use your caster level as their base attack bonus and have a +13 bonus due to their Strength. Any tendril that succeeds in grappling a foe deals 4d6+13 points of damage to the grappled creature. Additionally, the tendrils created by this spell can detect evil auras, as if they had spent 3 rounds observing all creatures and objects within the spell's area using detect evil, and attack and impede the movement of only evil creatures, though they also attack any structures in their area. Each structure suffers a single attack each round; your caster level acts as the base attack bonus for these attacks, and the tendrils deal 4d6+13 points of damage on each successful attack. Creatures that lack evil auras are not attacked or impeded by this spell.</t>
  </si>
  <si>
    <t>Artificer's Curse</t>
  </si>
  <si>
    <t>bard 6, cleric/oracle 7, inquisitor 6, occultist 6, shaman 7, sorcerer/wizard 7, witch 7</t>
  </si>
  <si>
    <t>V, S, M (a blank scroll or page from a spellbook)</t>
  </si>
  <si>
    <t>1 magical item</t>
  </si>
  <si>
    <t>You temporarily suppress the most powerful qualities of a magical item. This item can be any object you suspect bears a magical enchantment, but if the targeted item is not magical, your spell has no effect. The spell reduces the object's caster level by an amount equal to your caster level, to a minimum of 0. If the item grants a competence, deflection, enhancement, insight, luck, morale, natural armor, profane, resistance, or sacred bonus, the bonus is reduced by 1 for every 4 caster levels the item loses. If the item's caster level is reduced to 0, all its magic qualities are suppressed (as if dispelled) for the duration of the spell. This spell has no effect on artifacts.</t>
  </si>
  <si>
    <t>Deft Digits</t>
  </si>
  <si>
    <t>bard 3, medium 3, occultist 3, psychic 3, sorcerer/wizard 3, spiritualist 3, summoner/unchained summoner 3</t>
  </si>
  <si>
    <t>1 unattended gauntlet or glove</t>
  </si>
  <si>
    <t>None (harmless, object)</t>
  </si>
  <si>
    <t>You animate the target of the spell, manipulating the glove with your own hand from a distance. The glove moves as you direct it with a fly speed of 30 feet and average maneuverability. Directing the glove is a standard action, though the glove can move up to its speed and perform a task in the same action. You can attempt Disable Device and Sleight of Hand checks using the glove, though attempting these checks at a distance increases the normal skill check DCs by 5, or by 20 if you do not have line of sight to the object you are manipulating. The glove can also lift or drag objects using your caster level as your Strength score. The glove cannot wield weapons or make attacks effectively while this spell is in effect. If you cast this spell on a magical glove, its innate magic is suppressed for the duration of the spell.</t>
  </si>
  <si>
    <t>Dissolution</t>
  </si>
  <si>
    <t>alchemist 4, sorcerer/wizard 5, spiritualist 6, summoner/unchained summoner 6</t>
  </si>
  <si>
    <t>V, S, M (vial of alchemical reagents worth 50 gp)</t>
  </si>
  <si>
    <t>Tiny or smaller object touched</t>
  </si>
  <si>
    <t>You touch a Tiny or smaller item, causing the item to vanish as if it did not exist at all. The item doesn't take damage or otherwise gain any condition; it simply ceases to be visible to or interact with the world in any way, as if it no longer existed. The oil vanishes with the item and leaves no residue, nor does it affect surfaces that handle or hold the item during its application. No spell or ability short of miracle or wish can locate or affect the item  while it is under the effect of this spell. Though the item seems to not exist while under the effects of this spell, its own reality is consistent (it ages normally, and any ongoing effects upon it continue normally). The target object can be one size larger than Tiny for every 5 caster levels above 5th you possess.  The target item returns to existence when the spell's duration expires. An item returns to existence in exactly the same location and condition it left. If the location no longer has room for the item, the item takes 1d0 points of damage (bypassing hardness) and is teleported to the nearest location that has room for it. If that location is more than 5 feet from the original location, there is a 25% chance the item is instead shifted to a randomly determined alternate plane.</t>
  </si>
  <si>
    <t>Emblem Of Greed</t>
  </si>
  <si>
    <t>cleric/oracle 6, inquisitor 6, magus 6, medium 6, shaman 7, sorcerer/wizard 6</t>
  </si>
  <si>
    <t>V, S, M (a masterwork or magical melee weapon)</t>
  </si>
  <si>
    <t>1 masterwork melee weapon touched</t>
  </si>
  <si>
    <t>You transform one melee weapon into a burning glaive similar to the ones wielded by the runelords of old. The target of your spell must be a masterwork or magical melee weapon appropriate to your size. The weapon becomes a glaive appropriate to your size and has a +1 enhancement bonus and the flaming weapon special ability. When wielding the glaive, you are considered proficient with it and use your caster level as your base attack bonus (which may give you multiple attacks). When you reach caster level 14th, the glaive gains the spell-storing weapon special ability. When you reach caster level 17th, it loses the flaming weapon special ability, and gains the flaming burst weapon special ability. The glaive's enhancement bonus increases to +2 at caster level 15th, and +3 at caster level 19th.  If this spell is cast on a magic weapon, the powers of the spell supersede any that the weapon normally has, rendering the normal enhancement bonus and powers of the weapon inoperative for the duration of the spell. This spell is not cumulative with greater magic weapon or any other spell that might modify the weapon in any way. This spell does not work on artifacts. A masterwork weapon's bonus on attack rolls does not stack with an enhancement bonus to attack.</t>
  </si>
  <si>
    <t>Full Pouch</t>
  </si>
  <si>
    <t>alchemist 2, bard 2, druid 2, inquisitor 3, occultist 3, ranger 3, sorcerer/wizard 2</t>
  </si>
  <si>
    <t>V, S, M (alchemical reagents or herbs worth 1 gp)</t>
  </si>
  <si>
    <t>1 object touched</t>
  </si>
  <si>
    <t>You cast this spell as you draw out a consumable alchemical item to use. The object must be an alchemical item, but not a dose of disease, a poison, a magic potion, or another type of consumable item. The item divides itself into two nearly identical copies and the newly separated one is delivered into your hand. The new item functions as the original in all ways except the copied item suffers a slight reduction in quality. Saves against the new alchemical item's affects use the original item's save DC or the save DC of this spell, whichever is higher.</t>
  </si>
  <si>
    <t>Legendary Proportions</t>
  </si>
  <si>
    <t>alchemist 6, druid 7, shaman 7, sorcerer/wizard 7, witch 7</t>
  </si>
  <si>
    <t>V, S, M (a dinosaur bone and powdered amber worth at least 200 gp)</t>
  </si>
  <si>
    <t>1 creature (see text)</t>
  </si>
  <si>
    <t>You call upon the primordial power of ancient megafauna to boost the size of your target. Because of its connection to living creatures of the distant past, the spell does not function on outsiders, undead, and summoned creatures. Your target grows to legendary proportions, increasing in size by one category. The creature's height doubles and its weight increases by a factor of 8. The target gains a +6 size bonus to its Strength score and a +4 size bonus to its Constitution score. It gains a +6 size bonus to its natural armor, and DR 10/adamantine. Its carrying capacity changes to reflect its new size. The creature's equipment and weapons, if any, also increase in size. Any enlarged item that leaves the creature's possession returns to its original size (though thrown weapons and ammunition deal damage at their enlarged size before returning to their true proportions).  If insufficient room is available to accommodate the creature's growth, it attains the maximum possible size and can attempt a Strength check (using its increased Strength score) to burst any  enclosures in the process. If it fails, it is constrained without harm by the materials enclosing it. The spell cannot crush a creature by enclosing it.</t>
  </si>
  <si>
    <t>Liquefy</t>
  </si>
  <si>
    <t>alchemist 3, bard 3, druid 4, sorcerer/wizard 4</t>
  </si>
  <si>
    <t>V, S, M (a specially prepared glass bottle)</t>
  </si>
  <si>
    <t>1 object weighing up to 1 pound/level</t>
  </si>
  <si>
    <t>The object you target becomes a liquid version of itself and drips or runs like a thin oil until it pools on any flat surface. If the item has magical or alchemical properties, they become inert for the duration of the spell. If you are holding the item when you cast this spell, you can drain it into the bottle used as focus for the spell. Items with hit point damage or the broken condition regain 5 hit points/caster level if drained into a bottle in this way. The duration of temporary effects (such as applied poison or greater magic weapon) passes normally and may expire while the object is in liquid form. The liquid is clearly unsafe to drink, but if, for some reason, a creature does drink the liquid and the spell ends, the creature takes 3d6 points of damage, and brings up the solid version of the item as a standard action in a coughing fit.  Any spell or effect that would disperse or dilute an object affected by liquefy forces the object to attempt a Fortitude save (using the effect's DC, or DC 15 for effects with no saving throws of their own, such as pouring a liquefied object into a stream). A failed save causes the object to gain the broken condition. If the item is already broken, it is instead destroyed on a failed save. Liquefy has no effect on artifacts, constructs, or intelligent magic items.</t>
  </si>
  <si>
    <t>Open Arms</t>
  </si>
  <si>
    <t>V, S, F (a magical or masterwork melee weapon)</t>
  </si>
  <si>
    <t>You cast this spell in response to a specific cavalier's challenge (Pathfinder Roleplaying Game: Advanced Player's Guide 32), inquisitor's judgment (Advanced Player's Guide 38), or smite (such as a paladin's smite evil) declared against you by an enemy creature. It can also be cast if a creature uses a spell that causes you to qualify as the creature's favored enemy when you normally wouldn't, such as instant enemy (Advanced Player's Guide 229).  You imbue your weapon with a powerful ability to ward off attacks made against you by the creature that challenged you. You gain a +5 insight bonus to your AC and CMD against the attacks of the initiating creature as long as you hold the weapon. If you release the weapon for any reason, the spell ends. You can cast this spell only in response to one of the conditions listed  above. The spell fails if you attempt to cast it when you were not subject to a challenge or similar effect since your last turn.</t>
  </si>
  <si>
    <t>Rags To Riches</t>
  </si>
  <si>
    <t>alchemist 3, bard 3, cleric/oracle 4, medium 3, occultist 3, sorcerer/wizard 4, witch 4</t>
  </si>
  <si>
    <t>V, S, M (a bit of burlap wrapped over a copper coin)</t>
  </si>
  <si>
    <t>1 weapon, suit or armor, shield, tool, or skill kit touched/5 levels</t>
  </si>
  <si>
    <t>The target object is enhanced to function as a masterwork item. In addition to any bonuses for the masterwork quality, the object gains other bonuses. Skill kits and other equipment add an additional +1 insight bonus for every 4 caster levels you possess to skill checks made with them that already receive a bonus from the skill kit. Armor and weapons gain temporary hit points equal to your caster level. If the object already has an enhancement bonus, this bonus increases by 1. If the object of the spell has hardness, that hardness increases by 5.</t>
  </si>
  <si>
    <t>Rune Of Ruin</t>
  </si>
  <si>
    <t>alchemist 4, bard 4, inquisitor 4, sorcerer/wizard 5, witch 5</t>
  </si>
  <si>
    <t>V, S, M (a self-portrait on a thin sheet of paper)</t>
  </si>
  <si>
    <t>Medium (100 ft. plus 10 ft./level)</t>
  </si>
  <si>
    <t>1 object</t>
  </si>
  <si>
    <t>You curse a magic item, such as magical clothing, a suit of armor, or a weapon. The object is reduced to 1/4 its normal hit point total, gains the broken condition, and appears damaged and worn. If it grants a numeric bonus, such as a +2 deflection bonus to AC, that bonus is reduced by 1 for every 3 caster levels you possess, to a minimum of +0. Other magical qualities fail to work 50% of the time when called upon, so a resistance bonus on saves or a weapon's flaming special ability could fail each time the item is used.  If the object is an intelligent magical item, its Ego score remains unchanged despite its reduced quality. The weapon has only a 50% chance to successfully use any spells or spell-like abilities it has, and has a 25% chance of forgetting its special purpose (if any). If an intelligent weapon is actively dominating its wielder when it fails its save against rune of ruin, the wielder gains an immediate saving throw with a +4 bonus to regain control. Rune of ruin has no affect on magical artifacts.</t>
  </si>
  <si>
    <t>Tears To Wine</t>
  </si>
  <si>
    <t>alchemist 1, bard 1, cleric/oracle 2, druid 1, medium 1, occultist 1, shaman 1, sorcerer/wizard 2, witch 2</t>
  </si>
  <si>
    <t>V, S, M (a single grape)</t>
  </si>
  <si>
    <t>1 cu. ft./2 levels of liquid (see text)</t>
  </si>
  <si>
    <t>Legend claims runelords used this spell to literally benefit from drinking the tears of their captured foes. This spell turns nonmagic liquids-including spoiled, rotten, diseased, poisonous, or otherwise contaminated drinks, tears, seawater, and similar fluids-into mead or wine of average quality. This spell does not prevent subsequent natural decay or spoilage. Unholy water and similar liquids of significance are spoiled by tears to wine, but the spell has no effect on creatures of any type or on magic potions.  Creatures that drink the mead or wine created by this spell become sharp-witted and clear-minded, gaining a +2 enhancement bonus on all Intelligence- and Wisdom-based skill checks. This increases to a +5 bonus at caster level 9th, and to +10 (the maximum) at caster level 15th.</t>
  </si>
  <si>
    <t>Transmute Golem</t>
  </si>
  <si>
    <t>alchemist 6, sorcerer/wizard 9</t>
  </si>
  <si>
    <t>V, S, M (powdered metals with a variable cost, see text)</t>
  </si>
  <si>
    <t>golem touched</t>
  </si>
  <si>
    <t>You turn one type of golem into another. The golem must be willing-it must be commanded to transform by its master or must be a creature able to make informed decisions that opts to submit to the spell. You must provide various powdered metals with a value equal to 150% of the difference in creation costs between the old and new type of golem, even if the new golem type is cheaper to create. Both types of golems must share the same subtypes, if any. You cannot transmute a golem into a new type of golem with a CR higher than your caster level.  If all of these conditions are satisfied, the old golem completely changes to the new golem type. Its abilities and statistics are identical to one of the new golem type, including its magic immunities and special attacks. The new golem is still affected by any damage or conditions it suffered before the spell was cast.</t>
  </si>
  <si>
    <t>Find Fault</t>
  </si>
  <si>
    <t>bard 3, bloodrager 3, inquisitor 3, magus 3, medium 3, oracle 3, psychic 3, shaman 3, sorcerer/wizard 3, witch 3</t>
  </si>
  <si>
    <t>medium (100 ft. plus 10 ft./level)</t>
  </si>
  <si>
    <t>You instantly learn many of the target's weaknesses, as if you had made an appropriate Knowledge skill check with a result equal to 20 + your caster level. Additionally, your first melee or ranged attack roll against the creature before the end of your next turn gains a +5 insight bonus. If the creature is polymorphed, disguised, or hidden by an illusion and you are not aware of it's true form, this spell fails as if the target has spell resistance you failed to penetrate (the GM may have you attempt a caster level check to conceal the true reason for the spell's failure).</t>
  </si>
  <si>
    <t>Foretell Failure</t>
  </si>
  <si>
    <t>bard 4, occultist 5, oracle 4, psychic 4, sorcerer/wizard 5, witch 4</t>
  </si>
  <si>
    <t>You cast this spell immediately before you would take an action that requires a d20 roll, such as a skill check, attack roll, or ability check. The action must be something you can complete in a single round. The spell magically informs you whether the action will succeed if you roll a 10 or better on the d20 roll involved. If the action would be successful under those circumstances, you must take the action. If the action would not be successful, you can take a different action.</t>
  </si>
  <si>
    <t>Perfect Placement</t>
  </si>
  <si>
    <t>bard 2, bloodrager 2, magus 3, psychic 3, sorcerer/wizard 3, witch 3</t>
  </si>
  <si>
    <t>V, S, M (a chess piece)</t>
  </si>
  <si>
    <t>close (25 ft. plus 5 ft./2 levels)</t>
  </si>
  <si>
    <t>Affected creatures gain tactical knowledge and maximize their efficiency on the field of battle. Each gains a +1 insight bonus to AC and Reflex saves. Against attacks of opportunity, the insight bonus to AC increases to +3.</t>
  </si>
  <si>
    <t>Heckle</t>
  </si>
  <si>
    <t>bard 2, bloodrager 2, magus 3, mesmerist 2, psychic 2, sorcerer/wizard 2</t>
  </si>
  <si>
    <t>V, S, M (a tomato)</t>
  </si>
  <si>
    <t>You badger and nitpick the subject of your spell until its mood sours. The target's attitude shifts one category toward hostile regarding you and everyone within 30 feet of the target at the time the spell is cast. The target also takes a -2 penalty on attack rolls, on saving throws, and on ability and skill checks that rely on Intelligence, Wisdom, or Charisma.</t>
  </si>
  <si>
    <t>Stage Fright</t>
  </si>
  <si>
    <t>antipaladin 3, bard 3, inquisitor 3, mesmerist 3, psychic 3, sorcerer/wizard 3, witch 3</t>
  </si>
  <si>
    <t>1 creature/level, no two of which may be more than 30 ft. apart</t>
  </si>
  <si>
    <t>You fill your targets with the sudden fear of failure. A creature that fails its saving throw takes a -4 penalty on ability checks, skill checks, and any checks that require concentration (such as casting a spell in difficult circumstances or operating a complex device).</t>
  </si>
  <si>
    <t>Tough Crowd</t>
  </si>
  <si>
    <t>bard 4, inquisitor 4, mesmerist 4, psychic 3, sorcerer/wizard 4, witch 3</t>
  </si>
  <si>
    <t>You fortify your allies against attempts to control or mislead them. Each ally in the spell's range gains a +4 insight bonus on the saving throw to resist the next enchantment or illusion spell cast on it. In addition, the DC of any Bluff, Diplomacy, Disguise, or Intimidate check to influence an affected character increases by 4 for the duration of the spell.</t>
  </si>
  <si>
    <t>First World Revisions</t>
  </si>
  <si>
    <t>alchemist 2, antipaladin 3, cleric/oracle 2, medium 2, psychic 2, sorcerer/wizard 3, witch 2</t>
  </si>
  <si>
    <t>willing wayang touched</t>
  </si>
  <si>
    <t>This spell functions as ancestral regressionARG, except as noted above and as follows. The wayang loses her darkvision racial trait and gains the low-light vision racial trait in its place. The alignment and personality of the wayang are not affected by the transformation, but the spell conceals her alignment as per undetectable alignment. Unlike ancestral regression, this spell grants the target a +20 bonus on Disguise checks to pass as a gnome; even though the wayang appears as a gnomish analog of herself, the differences between gnomes and wayangs are great enough that she cannot be mistaken for a gnome by other wayangs who know her.</t>
  </si>
  <si>
    <t>Blood Of Shadows</t>
  </si>
  <si>
    <t>Darkvault</t>
  </si>
  <si>
    <t>alchemist 3, cleric/oracle 5, druid 5, psychic 5, shaman 5, sorcerer/wizard 5, witch 5</t>
  </si>
  <si>
    <t>V, S, M (a stone that has never seen sunlight)</t>
  </si>
  <si>
    <t>You ward an area's shadows such that light cannot penetrate them. The illumination level in the affected area no longer changes when nonmagical light enters it. Any magical effect must succeed at a caster level check (DC = 10 + your caster level) in order to change the light level within the spell's radius. Darkvault has no effect on spells or effects that would make the spell's area darker.  The spell must be cast on an area, such as a cave or room. A spellcaster of 11th level or higher can make darkvault permanent with a permanency spell, at a cost of 7,500 gp.</t>
  </si>
  <si>
    <t>Fear The Sun</t>
  </si>
  <si>
    <t>antipaladin 1, bloodrager 1, cleric/oracle 2, druid 2, inquisitor 2, occultist 2, psychic 2, shaman 2, sorcerer/wizard 2, witch 2</t>
  </si>
  <si>
    <t>V, S, M (a drow eyelash)</t>
  </si>
  <si>
    <t>Each target that fails its saving throw gains light blindness, as per the universal monster rule. When exposed to bright light, affected targets are blinded for 1 full round and are dazzled in successive  rounds. If you cast this spell in the presence of bright light, any target that fails its save is blinded immediately, and dazzled starting at the beginning of its first turn.</t>
  </si>
  <si>
    <t>Ignoble Form</t>
  </si>
  <si>
    <t>alchemist 2, antipaladin 2, bard 2, druid 3, medium 2, ranger 2, sorcerer/wizard 4, witch 4</t>
  </si>
  <si>
    <t>V, S, M (a half-elf ear)</t>
  </si>
  <si>
    <t>one drow</t>
  </si>
  <si>
    <t>The target takes on the form of a half-elf from the surface world. Its skin, hair, and eyes change to match a specific human ethnicity. You can even change the target's facial features or produce light facial hair or stubble. The target loses its darkvision, light blindness, and light sensitivity traits, if it normally has them. The target gains low-light vision; a +3 racial bonus on a single Craft, Knowledge, Perform, or Profession skill of its choice; and both a +4 bonus on Bluff checks and a +10 bonus on Disguise checks to pass itself off as a half-elf.</t>
  </si>
  <si>
    <t>Shadowmind</t>
  </si>
  <si>
    <t>antipaladin 2, cleric/oracle 3, druid 3, inquisitor 2, mesmerist 3, occultist 3, psychic 3, shaman 3, sorcerer/wizard 3, witch 2</t>
  </si>
  <si>
    <t>V, S, M (a small square of black silk)</t>
  </si>
  <si>
    <t>You dim your targets' perceptions of light and shadow, convincing them the space they occupy is dark. Each creature that fails its save perceives the world around it as one light level darker than its true illumination level. The spell does not change the light level outside of the targets' perception, and does not create magical darkness. However, the spell creates an illusion of darkness rather than actual darkness, so low-light and darkvision don't allow a target to see in the conditions created by the spell. Even targets that see normally through magical darkness suffer a loss of vision from this spell.</t>
  </si>
  <si>
    <t>Umbral Strike</t>
  </si>
  <si>
    <t>cleric/oracle 7, druid 7, inquisitor 6, magus 6, occultist 6, psychic 7, shaman 7, sorcerer/wizard 7, spiritualist 6, witch 7</t>
  </si>
  <si>
    <t>V, S, M (a black crossbow bolt)</t>
  </si>
  <si>
    <t>You create a bolt of dark energy and use it to make a ranged touch attack that ignores concealment (but not total concealment).  If you hit, the target takes 1d6 points of damage per caster level (maximum 20d6). Half of this damage is cold damage and half of it is negative energy. The bolt's shadow expands and covers the target, rendering him blind for the duration of the spell. A successful Fortitude save halves the damage and negates the blind condition.</t>
  </si>
  <si>
    <t>Dancing Darkness</t>
  </si>
  <si>
    <t>darkness, shadowUM</t>
  </si>
  <si>
    <t>antipaladin 1, bard 1, magus 1, shaman 1, psychic 1, sorcerer/wizard 1, spiritualist 1, witch 1</t>
  </si>
  <si>
    <t>Up to four spheres, all within a 10-ft.-radius area</t>
  </si>
  <si>
    <t>You create either up to four spheres of darkness that each reduce the illumination level by one step within a 20-foot-radius, or one dimly lit, vaguely humanoid shape. Each sphere of dancing darkness must stay within a 10-foot-radius area of one another but can otherwise move as you desire (no concentration required): forward or back, up or down, straight or turning corners, or the like. The darkness can move up to 100 feet per round. The effect winks out if the distance between you and it exceeds the spell's range.  Dancing shadows can be made permanent with a permanency spell.</t>
  </si>
  <si>
    <t>Motes Of Dusk And Dawn</t>
  </si>
  <si>
    <t>darkness, light</t>
  </si>
  <si>
    <t>bard 3, magus 3, medium 3, mesmerist 3, occultist 3, psychic 3, shaman 3, sorcerer/wizard 3, witch 3</t>
  </si>
  <si>
    <t>Up to four motes, all within a 10-ft.-radius area</t>
  </si>
  <si>
    <t>When you cast this spell, you create up to four motes that shed light or darkness in a 20-foot-radius, increasing or decreasing the illumination level by up to two categories. You decide whether each individual mote sheds light or darkness when the spell is cast.  The motes of dusk and dawn must stay within a 10-foot-radius area of one another but otherwise move as you desire (no concentration required): forward or back, up or down, straight or turning corners, or the like. The motes can move up to 100 feet per round. A mote winks out if the distance between you and it exceeds the spell's range.</t>
  </si>
  <si>
    <t>Mydriatic Spontaneity</t>
  </si>
  <si>
    <t>bard 3, mesmerist 3, psychic 3, sorcerer/wizard 4, witch 4</t>
  </si>
  <si>
    <t>You overstimulate the target with alternating flashes of light and shadow within its eyes, causing its pupils to rapidly dilate and contract. While under the effects of this spell, the target is racked by splitting headaches and unable to see clearly, becoming nauseated for the spell's duration. Each round, the target's pupils randomly become dilated or contracted for 1 round. During any round that its eyes are dilated, the target is blinded if exposed to bright light or dazzled if exposed to normal light. During any round its eyes are contracted, the target is blinded if exposed to darkness  or dazzled if exposed to dim light. In addition, any creature can attempt a Stealth check to avoid detection from the target, even if the creature lacks cover or concealment.</t>
  </si>
  <si>
    <t>Mydriatic Spontaneity, Mass</t>
  </si>
  <si>
    <t>bard 5, mesmerist 5, psychic 6, sorcerer/wizard 7, witch 7</t>
  </si>
  <si>
    <t>This spell functions as mydriatic spontaneity, except it can affect multiple creatures.</t>
  </si>
  <si>
    <t>Penumbral Disguise</t>
  </si>
  <si>
    <t>alchemist 3, bard 3, inquisitor 3, mesmerist 3, occultist 3, sorcerer/wizard 3, witch 3</t>
  </si>
  <si>
    <t>You mask your features with shadowy illumination, gaining a competence bonus equal to your caster level on Disguise checks and Stealth checks attempted while in normal light, dim light, or darkness. In addition, creatures that see you while you are in dim light or darkness are unable to discern any but the most general information about your appearance or actions. For example, they can determine your general shape (such as humanoid), as well as the gist of your actions (such as, "She was trying to break into the store"), but cannot determine your precise actions, your appearance, or any identifying information about you. In bright light, your normal appearance is revealed.</t>
  </si>
  <si>
    <t>Shield Of Darkness</t>
  </si>
  <si>
    <t>antipaladin 3, cleric/oracle 3, inquisitor 3, shaman 3, spiritualist 3</t>
  </si>
  <si>
    <t>You shield yourself with darkness, reducing the illumination level in your space to magical darkness and granting you total concealment. Your opponents are automatically aware of which squares you occupy, preventing you from attempting Stealth checks using this concealment unless every square adjacent to you has an illumination level of darkness or lower. Shield of darkness does not hinder your vision, and creatures that can see in magical darkness ignore this effect.</t>
  </si>
  <si>
    <t>Spotlight</t>
  </si>
  <si>
    <t>bard 3, cleric/oracle 3, druid 3, inquisitor 3, magus 3, occultist 3, paladin 3, shaman 3, sorcerer/wizard 3, witch 3</t>
  </si>
  <si>
    <t>You create a mobile area of bright light centered on one target while simultaneously suppressing other light sources surrounding it. The light level in the target's space increases to bright light, causing the target to take any penalties that it would normally take in bright light. In addition, all mundane light sources (and magic light sources of 3rd spell level or lower) within 20 feet of the target's space are suppressed, shedding no light as long as they remain within this spell's affected area and reverting the area normally affected by those light sources to their unmodified illumination levels.  The effects of spotlight are centered on the target and move as the target does. As a result, the target takes a -20 penalty on all Stealth checks for the spell's duration and cannot benefit from concealment normally provided by darkness, as though illuminated with faerie fire.  If the target succeeds at its Reflex save, the spotlight is created in the target's square but does not move with the target, and it hinders the Stealth checks only of creatures within that square.</t>
  </si>
  <si>
    <t>Touch Of Blindness</t>
  </si>
  <si>
    <t>antipaladin 1, bard 1, cleric/oracle 1, sorcerer/wizard 1, shaman 1, witch 1</t>
  </si>
  <si>
    <t>A touch from your hand, which is engulfed in darkness, disrupts a creature's vision by coating its eyes in supernatural darkness. Each touch causes the target to become blinded for 1 round unless it makes a successful Fortitude saving throw. You can use this melee touch attack up to one time per caster level. Any touch attack not used after 1 round per caster level is lost.</t>
  </si>
  <si>
    <t>Wall Of Split Illumination</t>
  </si>
  <si>
    <t>bard 3, cleric/oracle 3, sorcerer/wizard 3, inquisitor 3, magus 3, occultist 3, shaman 3</t>
  </si>
  <si>
    <t>10-ft.-high vertical sheet of illumination up to 5 ft. long/level</t>
  </si>
  <si>
    <t>An immobile curtain of illumination springs into existence. When created, one side of the wall (designated by you) radiates bright light to a range of 60 feet away from that side while the other side radiates darkness to an equal distance. This effect alters the illumination level by up to two steps toward either bright light (the light side) or darkness (the dark side). The wall also obstructs vision through it, regardless of which side of the wall the viewer is on.</t>
  </si>
  <si>
    <t>Baleful Shadow Transmutation</t>
  </si>
  <si>
    <t>alchemist 6, bard 6, druid 7, medium 6, shaman 6, sorcerer/wizard 6, spiritualist 6, summoner/unchained summoner 6, witch 6</t>
  </si>
  <si>
    <t>Will disbelief, then Fortitude negates</t>
  </si>
  <si>
    <t>You infuse a target's shadow with energies from the Shadow Plane, shaping the shadow into one that appears to belong to a different creature, and tricking the target into believing it actually is that creature. When you cast this spell, choose one Huge or smaller creature of the animal type or one Medium or Small creature of the humanoid type. If the chosen creature is ill suited to the target's current environment, such as an aquatic creature not in water, the subject gains a +4 bonus on all saving throws against baleful shadow transmutation. If the subject fails its Will save, it believes that it is the chosen creature, causing it to lose its extraordinary, supernatural, and spell-like abilities, lose its ability to cast spells (if it had the ability), and gain the alignment, special abilities, and Intelligence, Wisdom, and Charisma scores of its new form in place of its own. It retains any class features (other than spellcasting) that aren't extraordinary, supernatural, or spell-like abilities.  When the subject is first targeted by this spell, and once every 24 hours thereafter, the subject must attempt a Will save in order to disbelieve this effect. If the save succeeds, the spell's effect ends. The first time the subject fails this save, it must also attempt a Fortitude save. If it also fails this Fortitude save, the subject permanently assumes the form of the chosen animal or humanoid, as per polymorph. This is a polymorph effect. Successfully disbelieving the spell returns the subject to its true form. If the subject fails its Fortitude save against the effects of baleful shadow transmutation, any further polymorph effects cast on the target automatically fail.  Incorporeal or gaseous creatures are immune to baleful shadow transmutation, and a creature with the shapechanger subtype can revert to its natural form as a standard action.</t>
  </si>
  <si>
    <t>Masochistic Shadow</t>
  </si>
  <si>
    <t>evil, shadowUM</t>
  </si>
  <si>
    <t>antipaladin 4, bloodrager 4, magus 4, occultist 4, shaman 4, sorcerer/wizard 4, witch 4</t>
  </si>
  <si>
    <t>Will negates, then Reflex partial; see text</t>
  </si>
  <si>
    <t>You animate the target's shadow with semi-living energies drawn from the Shadow Plane, instilling a maddening hunger for its owner's life energy within it. If the target fails its Will save, it takes 1d4 points of Strength damage as a quasi-real shadow manifests in its space and attacks it. This shadow remains attached to the target and moves wherever the target moves.  At the start of each subsequent round, the target must succeed at a Reflex save or take 1d4 additional points of Strength damage; a successful save reduces the Strength damage to 1 point. If its Strength score is reduced to 0 by this spell's effects, the target dies. If the target is in bright light, it gains a +2 bonus on Reflex saves against this spell. If the target is in darkness, it takes a -2 penalty on Reflex saves against this spell.</t>
  </si>
  <si>
    <t>Shadow Transmutation</t>
  </si>
  <si>
    <t>bard 6, medium 6, shaman 6, sorcerer/wizard 6, spiritualist 6, summoner/unchained summoner 6, witch 6</t>
  </si>
  <si>
    <t>You suffuse one subject's body with energy from the Shadow Plane, altering its form to match a creature from the Shadow Plane. Shadow transmutation can mimic any of the following spells: animal growth, anthropomorphic animalUM, enlarge person, fins to feetARG, longarmACG, polymorph, reduce person, and stone fist. If using shadow transmutation as polymorph, the target does not gain any sensory abilities that its new form has (such as low-light vision or darkvision) and the speed of any movement types gained from the spell cannot exceed the target's base speed or natural speed with those movement types (whichever is higher). A creature under the effects of shadow transmutation deals normal damage and has all the normal abilities and weaknesses of whatever form it assumes using the spell.  Any creature that interacts with a target under the effects of the spell (including attacking or being attacked by that creature) can attempt a Will save to recognize the target's true nature. Creatures that succeed at their Will saves to disbelieve  the illusion take one-fifth (20%) of the normal damage from the target's natural attacks or special abilities granted by the target's shadowy form (if any), and the target's special abilities that don't deal damage have only a 20% chance of working against them. Creatures that succeed at their saves see the shadow transmutation as transparent images superimposed over the target.</t>
  </si>
  <si>
    <t>Shadow Transmutation, Greater</t>
  </si>
  <si>
    <t>shaman 9, sorcerer/wizard 9, witch 9</t>
  </si>
  <si>
    <t>This spell functions like shadow transmutation, except it can mimic greater polymorph instead of polymorph. The illusory attacks and special abilities of any shape assumed using greater shadow transmutation deal three-fifths (60%) damage to nonbelievers, and nondamaging effects are 60% likely to work against nonbelievers.</t>
  </si>
  <si>
    <t>Shadow Trap</t>
  </si>
  <si>
    <t>antipaladin 1, bard 1, bloodrager 1, cleric/oracle 1, mesmerist 1, occultist 1, psychic 1, shaman 1, sorcerer/wizard 1, witch 1</t>
  </si>
  <si>
    <t>You pin the target's shadow to its current location, causing the target to become entangled and preventing it from moving farther than 5 feet from its original position, as if its shadow were anchored to the terrain. Each round on its turn, the target can attempt a new saving throw to end the effect as a full-round action. A flying creature can only hover in place or fall while entangled in this manner. This spell automatically fails when cast on a creature that doesn't throw a shadow, and it ends if the creature is entirely in an area with no illumination.</t>
  </si>
  <si>
    <t>Shadowform</t>
  </si>
  <si>
    <t>antipaladin 4, bard 4, mesmerist 4, psychic 4, sorcerer/wizard 4, spiritualist 4, witch 4</t>
  </si>
  <si>
    <t>You replace the target's body with mystic shadow material drawn from the Shadow Plane, rendering the target's physical form only quasi-real. Whenever a foe tries to directly attack the target of the spell (for instance, with a weapon or a targeted spell), that foe must attempt a Will save to disbelieve. If successful, the opponent can attack the target normally and is unaffected by shadowform for 1 round. If the foe fails, the target takes only one-fifth the normal amount of damage from the foe's successful attack or effect, and if the attack has a special effect other than damage, that effect is one-fifth as strong as normal (if applicable) or only 20% as likely to occur. Objects automatically succeed at their Will saves against this spell.</t>
  </si>
  <si>
    <t>Umbral Infusion</t>
  </si>
  <si>
    <t>alchemist 4, antipaladin 4, cleric/oracle 4, occultist 4, psychic 4, shaman 4, sorcerer/wizard 4, witch 4</t>
  </si>
  <si>
    <t>one mindless undead creature</t>
  </si>
  <si>
    <t>You infuse the target mindless undead creature with power drawn from the Shadow Plane, immediately granting it the advanced creature simple template. It gains a +2 bonus on all rolls, including damage rolls, a +2 bonus to special ability DCs, a +4 bonus to AC and CMD, and 2 additional hit points per Hit Die. The undead creature's destructive instincts take hold for the duration of this spell, and any attempts to control or command the undead creature have a 50% chance of failing; if uncontrolled, the undead creature attacks any living creatures it sees. This spell has no effect on undead creatures that already have the advanced creature template.</t>
  </si>
  <si>
    <t>Umbral Infusion, Mass</t>
  </si>
  <si>
    <t>one mindless undead creature/level, no two of which can be more than 30 ft. apart</t>
  </si>
  <si>
    <t>This spell functions as umbral infusion, except it can affect multiple mindless undead creatures.</t>
  </si>
  <si>
    <t>Absolution</t>
  </si>
  <si>
    <t>V, S, M (a vial of holy water), DF</t>
  </si>
  <si>
    <t>You purge impure thoughts from the target's mind and fill him with exultant relief at the forgiveness of his sins. Absolution ends all charm or compulsion effects affecting the target (including harmless compulsions, such as heroism) as per break enchantment. If the target was forced to perform any actions contrary to his alignment, monk vows, paladin oath, or similar code of conduct by that charm or compulsion effect, that action doesn't cause him to lose access to class abilities, including divine spellcasting.  Unlike an atonement spell, absolution can't reverse alignment change or the effects of willing transgressions, induce a creature to change its alignment, or restore class abilities lost because of misdeeds performed in the past. Absolution automatically works if the caster and the target share the same alignment or the same patron deity. If they don't, but their alignments are within one step of each other, absolution has a 5% chance of success per caster level. If neither of these is true, the spell automatically fails.  If using the honor subsystem (Pathfinder RPG Ultimate Campaign 160), casting absolution also eliminates the honor loss for events and actions committed by the target while he was affected by a charm or compulsion effect that the spell ended.</t>
  </si>
  <si>
    <t>Ultimate Intrigue</t>
  </si>
  <si>
    <t>Removes enchantments and forgives actions taken under their effects.</t>
  </si>
  <si>
    <t>Aerial Tracks</t>
  </si>
  <si>
    <t>druid 4, inquisitor 4, ranger 3, shaman 4</t>
  </si>
  <si>
    <t>circle centered on you, with a radius of 100 feet + 10 feet per level</t>
  </si>
  <si>
    <t>You cause the air in the area to ripple where creatures have flown through it up to 1 day ago per caster level. These aerial ripples are tinged by glowing wisps, providing enough illumination to follow the tracks without penalties due to poor lighting. The area moves with you, allowing you to follow the tracks through the air over long distances provided you can fly or follow the route along the ground within range to read the aerial tracks. Other creatures can also follow the trail as long as they move with you. The base DC of Survival checks to track creatures through the air with this spell is the same as tracking creatures across soft ground.</t>
  </si>
  <si>
    <t>Track f lying creatures through the air.</t>
  </si>
  <si>
    <t>Animal Ambassador</t>
  </si>
  <si>
    <t>bard 4, druid 4, ranger 3, shaman 4</t>
  </si>
  <si>
    <t>one Medium or smaller animal</t>
  </si>
  <si>
    <t>1 day/level or until message is delivered</t>
  </si>
  <si>
    <t>You compel a single animal to travel to a spot you designate and deliver a message to a creature you identify. This spell is similar to animal messenger, but can affect larger animals. In addition, the target animal is temporarily awakened to sentience (as the awaken spell) for the duration of this spell, and it can use its increased mental acuity to come up with creative solutions to overcome obstacles to delivering its message. The awakened target animal speaks any one language you know. In addition, you can imbue the animal with up to 5 ranks in any of the following skills: Bluff, Diplomacy, Knowledge (local), Knowledge (nobility), Linguistics, or Sense Motive. It treats any of these skills that are class skills for you as class skills. The number of ranks you imbue in any of these skills can't exceed the target animal's Hit Dice nor the number of ranks you possess in that skill.  The message you send with your animal ambassador can be a verbal message, which the awakened target animal can speak using its own voice or deliver using your voice. It can engage in conversation using its own intellect, knowledge, and linguistic abilities. The animal ambassador is loyal to you, but it is otherwise susceptible to mind-affecting effects like any other creature. You can also send your animal ambassador with an object or container that is within its physical ability to carry, making it deliver the contents to the target of your intended message. If the object it is given to carry is poisonous, trapped, or otherwise inherently dangerous (even if it would normally be dangerous only to the creature receiving it rather than the animal), or if you or your allies attack the target animal, the animal ambassador spell fails and the animal becomes hostile toward you. The animal ambassador intelligently but single-mindedly attempts to deliver the message to its intended target, and you can't task it with other tasks like fighting, scouting, searching for traps, and so on. It leaves on its delivery once it receives its message.  Once the animal ambassador has located its target and delivered its message (and object, if desired), its enhanced mental abilities fade within 2d6 minutes. The spell then ends, even if its duration hasn't elapsed.</t>
  </si>
  <si>
    <t>Grant an animal messenger sentience to deliver your message.</t>
  </si>
  <si>
    <t>Aphasia</t>
  </si>
  <si>
    <t>bard 1, mesmerist 1, psychic 1, sorcerer/wizard 1, witch 1</t>
  </si>
  <si>
    <t>close (25 ft.+ 5 ft./2 levels)</t>
  </si>
  <si>
    <t>You render the target unable to understand any language, including spoken language, written language, sign language, gestures attempting to mimic a crude language, or even truespeech and telepathy. The affected creature is unable to communicate, use command words, cast spells with verbal components, or use any other abilities that requires language.  At the end of each of its turns, the subject can attempt a new saving throw to end the effect.  Tongues counters and dispels aphasia, and a creature with the tongues spell active is immune to aphasia. Oracles with the tongues curse ignore aphasia in combat.</t>
  </si>
  <si>
    <t>Prevent a target from understanding language.</t>
  </si>
  <si>
    <t>Auditory Hallucination</t>
  </si>
  <si>
    <t>bard 1, magus 1, medium 1, mesmerist 1, occultist 1, psychic 1, sorcerer/wizard 1</t>
  </si>
  <si>
    <t>You cause the targets to believe they hear any sound you imagine. The sound can include intelligible speech. Instead of precisely imagining a sound, you can identify a sound the subjects know and they imagine it doing what you describe as you cast the spell. For example, you could cast this spell on orc warriors and have them imagine the sound of their chieftain calling for help, even if you've never heard their chieftain and even if the chieftain speaks in a language you don't understand. All targets hear the same hallucination. You can change the sound as part of concentrating on the spell.</t>
  </si>
  <si>
    <t>Create a phantasm with auditory effects.</t>
  </si>
  <si>
    <t>Audiovisual Hallucination</t>
  </si>
  <si>
    <t>bard 3, magus 3, medium 2, mesmerist 3, occultist 3, psychic 3, sorcerer/wizard 3</t>
  </si>
  <si>
    <t>concentration + 3 rounds (D)</t>
  </si>
  <si>
    <t>This spell functions as auditory hallucination, except that you can include the image of any object, creature, or force you imagine or identify for the targets to imagine. You can move the image while you concentrate. After you cease concentration, you can define simple movements or changes for the phantasm to perform that can be explained in 25 words or fewer.  The image disappears when struck by an opponent unless you cause the illusion to react appropriately or instruct it to do so. Its AC is equal to 10 + the level of this spell.</t>
  </si>
  <si>
    <t>Create a phantasm with auditory and visual effects.</t>
  </si>
  <si>
    <t>Aura Of The Unremarkable</t>
  </si>
  <si>
    <t>bard 3, medium 2, mesmerist 3, psychic 3, sorcerer/wizard 4</t>
  </si>
  <si>
    <t>V, S, M (a white feather)</t>
  </si>
  <si>
    <t>non-allied creatures within a 30-ft. emanation</t>
  </si>
  <si>
    <t>1 minute/level (D) and instantaneous</t>
  </si>
  <si>
    <t>An invisible sphere of magic surrounds you, clouding the minds of creatures in the area so they regard even the strangest actions as innocuous. For example, if you and your allies are beating a member of the city guard for information, creatures within the area don't think this is unusual or cause for alarm; if your ally is aiming a crossbow at the queen from a balcony, the affected creatures accept this as normal and unworthy of concern. Any hostile actions by you or your allies against a creature or its allies break the effect of the spell for that creature. When the spell ends (or when the affected creatures move outside of the range of the emanation), observers see things normally but altered perceptions from the earlier events remain. Each mention of the events as noteworthy (such as being questioned about them by an authority figure) allows the target another Will save to break the effect and remember things normally.</t>
  </si>
  <si>
    <t>Make actions seem mundane to nearby creatures.</t>
  </si>
  <si>
    <t>Bountiful Banquet</t>
  </si>
  <si>
    <t>bard 4, cleric/oracle 4, druid 4, shaman 4</t>
  </si>
  <si>
    <t>V, S, M (a turkey bone)</t>
  </si>
  <si>
    <t>feast for two creatures/level</t>
  </si>
  <si>
    <t>1 hour; see text</t>
  </si>
  <si>
    <t>You conjure a beautiful and delicious feast with hors d'oeuvres, four courses worth of food, and plentiful drink. The food appears on ornate serving trays or in exquisite covered tureens, as appropriate to each type of dish. Place settings and serving utensils also appear-enough for each creature that will participate in the feast-along with elegant tablecloths and table linens. The spell doesn't create furniture, but the feast does adapt to appear on top of existing tables (or similar objects in the environment).  Though the feast and all the finery last only 1 hour, creatures that partake remain nourished and sated for 24 hours. Though you have little control over the fine details of the feast, you can specify what type of dish you want for each course and what sorts of beverages are provided. The feast automatically adjusts depending on the type of spellcaster you are. For instance, a druid casting this spell typically creates a spread of natural berries, whole roasted animals, and sweet (and possibly fermented) nectar for beverages, all on rough-hewn wooden plates with chopsticks instead of silverware and sizable leaves replacing napkins.</t>
  </si>
  <si>
    <t>Create a luxurious feast for two creatures/level.</t>
  </si>
  <si>
    <t>Break, Greater</t>
  </si>
  <si>
    <t>bloodrager 4, occultist 6, psychic 6, sorcerer/wizard 6</t>
  </si>
  <si>
    <t>V, S, M (an unbroken platinum tuning fork worth 100 gp)</t>
  </si>
  <si>
    <t>all Medium or smaller objects in a 30-ft. burst centered on you</t>
  </si>
  <si>
    <t>You release a burst of destructive energy. Each Medium or smaller object in the area gains the broken condition unless it succeeds at a Fortitude saving throw. If a broken object fails this save, it is instead destroyed. Magic items can be broken by this spell, but not destroyed. Objects in your possession are not immune.</t>
  </si>
  <si>
    <t>Break all nearby objects.</t>
  </si>
  <si>
    <t>Build Trust</t>
  </si>
  <si>
    <t>bard 2, cleric/oracle 2, inquisitor 2, mesmerist 2, paladin 1, psychic 2</t>
  </si>
  <si>
    <t>V, S, M (a gold piece)</t>
  </si>
  <si>
    <t>You get a sense of the best way to interact with the target in order to encourage positive regard and fellowship toward you. You gain a +2 circumstance bonus on all Charisma checks and Charisma-based skill checks you attempt when interacting with the target. In addition, whenever you fail a Charisma  check or Charisma-based skill check when interacting with the target, you can reroll the check as an immediate action. Attempting this reroll grants the target a new saving throw to end the spell. The target doesn't become hostile to you when the spell ends, but it does become disillusioned of its new trust in you. Attacking the target or taking an obvious hostile action against it automatically ends the spell.  If you are using the contacts rules (Ultimate Campaign 148), your trust score with the target increases by 1 for the duration of the spell. If you're using the individual influence system (see pages 102-109), if the target fails its initial saving throw you learn one of its influence skills, strengths, or weaknesses as though you had succeeded at a discovery check.</t>
  </si>
  <si>
    <t>Gain various bonuses when interacting with the target.</t>
  </si>
  <si>
    <t>Charm Person, Mass</t>
  </si>
  <si>
    <t>bard 4, mesmerist 4, occultist 4, psychic 5, shaman 5, sorcerer/wizard 5, witch 5</t>
  </si>
  <si>
    <t>This spell functions like charm person, except that mass charm person affects a number of humanoid creatures whose combined Hit Dice don't exceed twice your level. If there are more potential targets than you can affect, you choose them one at a time until you reach the limit of HD you can affect. If you cast mass charm person on only one creature, you ignore the spell's HD limit.</t>
  </si>
  <si>
    <t>As charm person, but affects multiple creatures within 30 ft.</t>
  </si>
  <si>
    <t>Codespeak</t>
  </si>
  <si>
    <t>bard 2, medium 2, mesmerist 2, occultist 2, psychic 2, sorcerer/wizard 2</t>
  </si>
  <si>
    <t>V, S, M (a complex rune inscribed on a slip of paper that is then placed under your tongue)</t>
  </si>
  <si>
    <t>you plus one willing creature per 2 levels, no two of which can be more than 30 ft. apart</t>
  </si>
  <si>
    <t>Upon casting this spell, all recipients gain the ability to speak a new language. This language sounds like random, babbling syllables to anyone not under the influence of the spell, but the targets understand each other perfectly.  Anyone using codespeak can read and write in this new language as well. Once the spell expires, however, any coded writing suddenly appears as gibberish. If the exact same group of individuals become the targets of a codespeak spell again, cast by the same caster, they can once again read any coded writings. A dedicated codebreaker can crack such writing's code, deciphering it one page at a time with a series of DC 30 Linguistics checks.  Comprehend languages doesn't enable a caster to understand the language of another's codespeak spell, but it does reveal that the targets are speaking a magical language. Tongues translates codespeak normally.</t>
  </si>
  <si>
    <t>Speak, read, and write a new code language.</t>
  </si>
  <si>
    <t>Complex Hallucination</t>
  </si>
  <si>
    <t>bard 4, magus 4, medium 3, mesmerist 4, occultist 4, psychic 4, sorcerer/wizard 4, witch 4</t>
  </si>
  <si>
    <t>This spell functions as audiovisual hallucination (see page 204), except that the phantasm you create can also include olfactory, tactile, and thermal effects.</t>
  </si>
  <si>
    <t>Create a phantasm with effects for all senses.</t>
  </si>
  <si>
    <t>Compulsive Liar</t>
  </si>
  <si>
    <t>bard 1, mesmerist 1, psychic 2, sorcerer/wizard 2, witch 2</t>
  </si>
  <si>
    <t>The target becomes unable to speak the truth. Lies the target speaks don't need to be convincing, nor do they even need to be consistent, but they can't be true as far as the target is aware. This extends to non-verbal communication, such as hand signs or written notes. The spell allows talking in metaphors and talking about fictional figures.  The spell doesn't affect the target's ability to say things that are neither true nor false, such as questions, commands, or verbal spell components. If the target of this spell is simultaneously compelled to tell the truth (for instance, by being within a zone of truth), the target is only able to say things that are neither true nor false.</t>
  </si>
  <si>
    <t>Prevent target from speaking the truth.</t>
  </si>
  <si>
    <t>Conditional Curse</t>
  </si>
  <si>
    <t>antipaladin 4, cleric/oracle 4, inquisitor 4, medium 3, mesmerist 3, occultist 4, psychic 5, shaman 4, sorcerer/wizard 5, spiritualist 5, witch 4</t>
  </si>
  <si>
    <t>This spell functions as bestow curse, except that you must state a condition under which the curse is broken, ending its effect. An intelligent target, even one of animal intelligence, innately understands this condition even if it doesn't understand your language. The condition must be possible for the target to bring about within a year and a day without ensuring its own death and stated in 25 or fewer words. The curse is more difficult to remove via magic. The DC to remove conditional curse with break enchantment or remove curse increases by 5.</t>
  </si>
  <si>
    <t>Bestow a curse that is difficult to remove without fulfilling a condition.</t>
  </si>
  <si>
    <t>Conditional Favor</t>
  </si>
  <si>
    <t>antipaladin 1, bard 2, cleric/oracle 2, inquisitor 2, mesmerist 2, occultist 2, paladin 1, witch 2</t>
  </si>
  <si>
    <t>You must cast this spell immediately before casting another spell on the same creature, eliciting a promise or warning against a behavior and binding the target to the paired spell. If you don't cast a paired spell, conditional favor has no effect. The paired spell must be from the abjuration, conjuration (healing), enchantment, or transmutation school or subschool, and must be cast on a willing creature. If the spell's recipient violates the oath or prohibition while conditional favor remains in effect, the paired spell is undone as if never cast. If the spell was a healing spell, the hit point damage or condition you removed returns immediately, even if the subject has enjoyed subsequent rest or healing. Poisons, diseases, curses, restored ability damage, and negative levels removed by the paired spell return as well.  Conditional favor recognizes the spirit of your condition and doesn't trigger a violation due to unintended consequences or circumstances that the subject could not predict with her current knowledge of the situation. For instance, if the prohibition prevented the subject from laying a finger on royalty, touching a disguised prince would not count as a violation if the subject did not recognize the prince, nor would touching a member of royalty while dominated. The subject of the spell intuitively knows beforehand whether an action will cause it to lose the paired spell's benefit.</t>
  </si>
  <si>
    <t>Provide another spell whose effects reverse if the target breaks a restriction.</t>
  </si>
  <si>
    <t>Conjuration Foil</t>
  </si>
  <si>
    <t>bard 4, magus 3, medium 4, occultist 4, psychic 4, sorcerer/wizard 4, spiritualist 4, summoner/unchained summoner 3, witch 4</t>
  </si>
  <si>
    <t>20-foot radius spread</t>
  </si>
  <si>
    <t>All creatures in the area gain a +4 bonus on saving throws against teleportation effects. If any creature would enter or depart the area via a summoning or teleportation effect, that creature takes 1d6 points of damage per spell level of the triggering effect (or half the HD of the originating creature if the effect has no spell level) and arrives in a random similar location within the triggering effect's range, rather than the intended destination. A successful Will save halves the damage and negates the altered destination.</t>
  </si>
  <si>
    <t>Interfere with nearby teleportation effects.</t>
  </si>
  <si>
    <t>Conjure Carriage</t>
  </si>
  <si>
    <t>bard 3, magus 3, sorcerer/wizard 3, summoner/unchained summoner 3, witch 3</t>
  </si>
  <si>
    <t>V, S, M (a gourd)</t>
  </si>
  <si>
    <t>one quasi-real carriage, horses, and driver</t>
  </si>
  <si>
    <t>You create a fine wooden carriage with whatever cosmetic embellishments you desire. It is well constructed, although not exceptionally ostentatious. The carriage can carry up to six Medium or Small passengers. When conjured, the carriage comes with a team of two quasi-real light horses, which are already harnessed to the carriage. At your command, an invisible coachman similar to an unseen servant can assume the role of driver and direct the carriage, although it can't perform any complex or dangerous driving, and fails any checks made to drive the carriage in such conditions. At the end of the spell's duration, the carriage, horses, and coachman disappear into nothingness, depositing everything on or in it on the ground in its space.</t>
  </si>
  <si>
    <t>Create a fine carriage.</t>
  </si>
  <si>
    <t>Contingent Venom</t>
  </si>
  <si>
    <t>shaman 4, sorcerer/wizard 4</t>
  </si>
  <si>
    <t>V, S, M (herbs used in antitoxins worth 100 gp)</t>
  </si>
  <si>
    <t>one dose of poison or one venomous creature</t>
  </si>
  <si>
    <t>This spell functions as languid venom (see page 218), but you can stipulate a specific condition or circumstance that will end the poison's onset time and cause it to take effect. The conditions for triggering the poison can be as general or as detailed as desired, but the triggers must be visual or audible (as per magic mouth) or else based on physical contact with or consumption of a specific object, substance, or creature. This triggering condition can either result in the immediate onset of the poison, or cause the poison to take effect a number of rounds after being triggered no greater than 1 round per caster level. You must make all decisions involving triggering when you cast contingent venom, and you can't change those decisions later.</t>
  </si>
  <si>
    <t>As languid venom, but with a triggering condition.</t>
  </si>
  <si>
    <t>Controlled Fireball</t>
  </si>
  <si>
    <t>fire, ruse</t>
  </si>
  <si>
    <t>bloodrager 4, magus 4, occultist 4, sorcerer/wizard 4</t>
  </si>
  <si>
    <t>This spell functions as fireball except you can cause the bead of fire to originate from anywhere you can see within range. You can choose a number of squares within the area up to your Intelligence bonus (for magi, occultists, or wizards) or Charisma bonus (for bloodragers or sorcerers) to be struck by weaker flames; the controlled fireball deals minimum damage in those squares.  Attempts to identify controlled fireball with a skill check incorrectly identify it as fireball (see the ruse descriptor o n page 192).</t>
  </si>
  <si>
    <t>As fireball, but secretly deals less damage to your allies.</t>
  </si>
  <si>
    <t>Crime Of Opportunity</t>
  </si>
  <si>
    <t>antipaladin 1, mesmerist 1</t>
  </si>
  <si>
    <t>V, S, M (a slit purse)</t>
  </si>
  <si>
    <t>You awaken a sudden criminal impulse in the target, compelling it to commit a criminal act as if affected by the crime wave spell.</t>
  </si>
  <si>
    <t>Compel a target to take a criminal action.</t>
  </si>
  <si>
    <t>Crime Wave</t>
  </si>
  <si>
    <t>antipaladin 4, bard 5, mesmerist 5, psychic 7, sorcerer/wizard 7</t>
  </si>
  <si>
    <t>V, S, M (a tarnished coin)</t>
  </si>
  <si>
    <t>You instill overwhelming avarice in the targets and impel them toward a wild spree of larceny. Creatures affected by a crime wave must roll percentile dice each round to determine what action they take.  d% Behavior  1-25 Act normally, but with suspicion toward others. The target doesn't benefit from or provide benefits with teamwork feats and the aid another action. If a creature attempts to use a harmless spell or effect on the target, there is a 50% chance the target tries to avoid that effect as best as possible (taking an attack of opportunity against a spellcaster, requiring a successful attack roll on a touch spell, or attempting a saving throw).  26-50 Attempt a stealAPG combat maneuver or Sleight of Hand check to steal a random valuable object from the nearest creature (or a nearby unattended object, if obviously of great value), moving adjacent to that creature or object as needed. Once an affected creature has stolen an item, further results of 26-50 cause the affected creature to flee, focusing all of its efforts on escaping with its loot and fighting to prevent the stolen object from being taken.  51-75 Attempt to break, destroy, or deface the nearest unattended manufactured object or structure. If the object or structure is too difficult to damage, the affected creature instead vandalizes or otherwise defaces its appearance.  76-100 Attack the nearest creature (for this purpose, a familiar counts as part of the affected creature's self).  A character affected by a crime wave who is unable to carry out the indicated action moves toward the nearest source of cover or concealment and attempts a Stealth check to hide. Affected creatures with the ability to turn invisible (including through the use of magic items or spells) do so instead of attempting a Stealth check.</t>
  </si>
  <si>
    <t>Compel targets to commit criminal actions.</t>
  </si>
  <si>
    <t>Cultural Adaptation</t>
  </si>
  <si>
    <t>bard 1, cleric/oracle 1, medium 1, occultist 1, psychic 1, sorcerer/wizard 1</t>
  </si>
  <si>
    <t>V, S, M/DF (a document written in the language of the culture to be emulated)</t>
  </si>
  <si>
    <t>When casting this spell, you must concentrate on a culture or subculture to which you wish to adapt. If you speak the native language of the culture in question, then for the duration of this spell, you speak the language with a native accent. The  spell doesn't teach you the language in question, but can be combined with tongues or a similar spell. Your body language and gestures mark you as a native of the culture, and you unconsciously make small decisions that help you blend in. Combined, these grant you a +2 circumstance bonus on Diplomacy checks to influence members of the culture to which you have adapted, which doesn't stack with other circumstance bonuses you might possess by virtue of being a member of the chosen culture. You also gain a +2 circumstance bonus on Disguise checks to pass yourself off as if you were a member of the culture, if you are not.  This doesn't provide benefits when disguising yourself as a specific member of the culture, though it negates any circumstance penalties you might otherwise have taken due to not acting appropriately for that person's culture. Finally, the DCs of enchantment (charm) spells you cast against natives of the culture to which you are attuned increase by 1.</t>
  </si>
  <si>
    <t>Adapt to fit the local culture.</t>
  </si>
  <si>
    <t>Curse Of The Outcast</t>
  </si>
  <si>
    <t>curseUM, emotionUM, mind-affecting</t>
  </si>
  <si>
    <t>bard 4, cleric/oracle 6, inquisitor 4, mesmerist 4, shaman 6, witch 6</t>
  </si>
  <si>
    <t>V, S, M (a handful of earthworms)</t>
  </si>
  <si>
    <t>Everything about the target seems off-putting and grating, and everyone he meets is compelled to see the worst in him.  Whenever the target attempts a Bluff, Diplomacy, Intimidate, or Perform check, he must roll twice and take the lower result. Additionally, each creature he encounters has its initial attitude toward him reduced by one step (helpful becomes friendly, friendly becomes indifferent, and so on).</t>
  </si>
  <si>
    <t>Curse someone to rub people the wrong way.</t>
  </si>
  <si>
    <t>Dark Whispers</t>
  </si>
  <si>
    <t>language-dependent, shadowUM</t>
  </si>
  <si>
    <t>antipaladin 1, bard 2, cleric/oracle 2, sorcerer/wizard 2, summoner/unchained summoner 2, witch 2</t>
  </si>
  <si>
    <t>V, S, F/DF (a scrap of black cloth)</t>
  </si>
  <si>
    <t>long (400 ft. plus 40 ft./level)</t>
  </si>
  <si>
    <t>You communicate through the shadows of one or more targets within range. The shadows have no physical presence and don't move or animate. Instead, your words emerge from the shadow as a clear whisper, absent any accent or other identifying features. The targets can make conversation with the shadow, but must speak aloud to do so. The targets' voices emerge from your own shadow only when they intend to speak to the shadow, but you hear no other sounds from the target's immediate area. Their responses also emerge as clear whispers, absent identifying features, but you can instinctively identify which target is speaking to you through the shadow. Once the spell has been cast, you don't need to have line of effect to the targets or their shadows to communicate back and forth.  The shadow communication is audible, so it can be intercepted by adversaries who succeed at a DC 25 Perception check. The spell can be silenced. You can't cast spells on subjects or otherwise establish line of effect through the shadows, but spells that allow you to speak or understand languages work normally across dark whispers.</t>
  </si>
  <si>
    <t>Whisper through the shadows.</t>
  </si>
  <si>
    <t>Deadman's Contingency</t>
  </si>
  <si>
    <t>bard 4, cleric/oracle 4, psychic 4, sorcerer/wizard 4, witch 4</t>
  </si>
  <si>
    <t>10 minutes or more; see text</t>
  </si>
  <si>
    <t>V, S, M (a scorpion's tail), F (ivory statuette of you worth 1,500 gp)</t>
  </si>
  <si>
    <t>up to 1 hour/level plus 1d6 rounds (D); see text</t>
  </si>
  <si>
    <t>This spell functions as contingency, except as noted above. This spell also only comes into effect after your death and works only with certain spells. The companion spell triggers 1d6 rounds after your death. All decisions made involving the companion spell must be made when deadman's contingency is cast (including messages and recipients for spells like magic mouth or sending). If the spell targets an object or appears in a certain location, it must target or be centered on your corpse.  The following spells can be companion spells for deadman's contingency: animate dead (animating your corpse as an uncontrolled skeleton or zombie), disintegrate, fireball, gentle repose, magic mouth, major image (with a duration of 3 rounds), permanent image, sending, stinking cloud, and teleport object.</t>
  </si>
  <si>
    <t>Set one of a list of contingencies for your demise.</t>
  </si>
  <si>
    <t>Deceitful Veneer</t>
  </si>
  <si>
    <t>antipaladin 3, bard 4, inquisitor 4, medium 3, mesmerist 4, psychic 4, witch 5</t>
  </si>
  <si>
    <t>You subtly alter both the target's aura and subtle cues in its body language, tone of voice, and word choice, which makes everything that the target says seem to be a lie. Every statement that the target makes appears to be a lie under both magical scrutiny (such as discern lies) and mundane scrutiny (such as using the Sense Motive skill). Someone who closely scrutinizes the target can determine when it is actually telling the truth with a successful Sense Motive check (DC = 15 + your caster level).  As long as you are within close range of the target, as a standard action you can suppress or resume the effects of this spell, allowing you to let the target seem to be telling the truth at some times and still seem to be lying at others.</t>
  </si>
  <si>
    <t>Make someone seem like an obvious liar.</t>
  </si>
  <si>
    <t>Deflect Blame</t>
  </si>
  <si>
    <t>bard 2, mesmerist 2, psychic 2, sorcerer/wizard 3</t>
  </si>
  <si>
    <t>You can cast this spell immediately after attacking a creature, causing that creature to believe that a different creature that threatens it was responsible for the attack rather than you. You can instead cast this spell immediately after a failed Bluff, Diplomacy, or Intimidate check, causing the target of that check to believe that a different creature you designate within spell range was responsible for the content of that failed check. Using the spell in these ways doesn't compel the target to undertake a specific action in response to its belief of where the blame lies.</t>
  </si>
  <si>
    <t>Blame someone else for your action.</t>
  </si>
  <si>
    <t>Demanding Message</t>
  </si>
  <si>
    <t>bard 3, medium 3, mesmerist 3, occultist 4, psychic 3, sorcerer/wizard 4, witch 4</t>
  </si>
  <si>
    <t>10 minutes/level, then 1 hour/level or until completed (D); see text</t>
  </si>
  <si>
    <t>This spell initially functions as message (allowing no save or spell resistance). Once during the message effect, you can concentrate as a standard action to issue a suggestion to one target as part of delivering a message. Spell resistance and a Will save apply to the suggestion, and it lasts for 1 hour per level or until completed.</t>
  </si>
  <si>
    <t>Send messages as per message with a suggestion for one creature.</t>
  </si>
  <si>
    <t>Demanding Message, Mass</t>
  </si>
  <si>
    <t>bard 6, mesmerist 6, occultist 6, psychic 6, sorcerer/wizard 7, witch 7</t>
  </si>
  <si>
    <t>This spell functions as demanding message, except that you can issue one suggestion to each of the spell's targets instead of just one. Each time you do so, it takes a standard action. You can issue a different suggestion to each target.</t>
  </si>
  <si>
    <t>Send messages as per message with one suggestion for each creature.</t>
  </si>
  <si>
    <t>Desperate Weapon</t>
  </si>
  <si>
    <t>antipaladin 1, bard 1, bloodrager 1, cleric/oracle 1, inquisitor 1, magus 1, occultist 1, ranger 1, sorcerer/wizard 1</t>
  </si>
  <si>
    <t>one-handed improvised weapon</t>
  </si>
  <si>
    <t>You create a one-handed object that you might expect to see in your current surroundings, which you can then use as an improvised weapon. The spell conjures such an object near your hand such that you can retrieve it as you complete the spell.  No matter what sort of object you picked, it functions as a one-handed improvised weapon appropriate for your size and that deals 1d6 points of damage for a Medium creature (1d4 for Small creatures). The item deals the type of damage you choose (bludgeoning, piercing, or slashing) when casting the spell, though the object you request must conform to the damage type.  The spell ends prematurely if the improvised weapon leaves your grasp. The object has no value and can't be used for other functions other than as an improvised weapon (for instance, this spell doesn't allow you to conjure an expensive spyglass and sell it or use its other abilities, but you could still use it to beat someone over the head). The conjured object can't already be a manufactured weapon, even in a location where you might expect to see manufactured weapons. It can be an object that would normally make for an unusual improvised weapon, like a herring at a fish market, and it still deals its full damage.</t>
  </si>
  <si>
    <t>Create an improvised weapon.</t>
  </si>
  <si>
    <t>Detect Anxieties</t>
  </si>
  <si>
    <t>antipaladin 2, bard 3, cleric/oracle 3, inquisitor 3, medium 2, mesmerist 2, paladin 3, psychic 2, sorcerer/wizard 3, spiritualist 3, witch 3</t>
  </si>
  <si>
    <t>V, S, F/DF (a medallion)</t>
  </si>
  <si>
    <t>This spell functions as detect thoughts except that you sense significant anxieties of creatures with an Intelligence score of 1 or higher, regardless of whether they are conscious or not.  Instead of Intelligence, the second round of concentration reveals each mind's Wisdom score and current degree of fear (shaken, frightened, panicked, cowering, or paralyzed with fear). If the highest Wisdom score is 26 or higher (and at least 10 points higher than your own Wisdom score), you are stunned for 1 round and the spell ends.  Instead of surface thoughts, the third round of concentration reveals the most pressing current anxiety of any mind in the area (Will negates).  Presenting a creature with the threat of its anxiety grants you a +2 bonus (or higher, at the GM's discretion) on checks to Intimidate that creature.</t>
  </si>
  <si>
    <t>Learn what makes creatures anxious.</t>
  </si>
  <si>
    <t>Detect Desires</t>
  </si>
  <si>
    <t>antipaladin 2, bard 2, cleric/oracle 3, inquisitor 3, medium 2, mesmerist 3, paladin 3, psychic 2, sorcerer/wizard 3, spiritualist 3, witch 3</t>
  </si>
  <si>
    <t>This spell functions as per detect thoughts, except you sense significant desires of creatures with an Intelligence score of 1 or higher, regardless of whether they are conscious or not.  Instead of Intelligence, the second round of concentration reveals each mind's Charisma score. If the highest Charisma score is 26 or higher (and at least 10 points higher than your own Charisma score), you are stunned for 1 round and the spell ends.  Instead of surface thoughts, the third round of concentration reveals the most pressing current desire of any mind in the area (Will negates).  Presenting a creature with an opportunity to fulfill a significant desire grants you a +2 circumstance bonus (or higher, at the GM's discretion) on Diplomacy checks to influence it.</t>
  </si>
  <si>
    <t>Learn what creatures desire.</t>
  </si>
  <si>
    <t>Detect Magic, Greater</t>
  </si>
  <si>
    <t>bard 2, cleric/oracle 2, druid 2, inquisitor 2, magus 2, medium 2, mesmerist 2, occultist 2, psychic 2, shaman 2, sorcerer/wizard 2, spiritualist 2, summoner/unchained summoner 2, witch 2</t>
  </si>
  <si>
    <t>This spell functions as detect magic, except that you can glean much more information from the magical auras that you find, and those auras can be found after a much greater length of time. You can detect a lingering aura for up to 1 day per caster level you have, regardless of the aura's original strength.  Additionally, when you use a standard action to concentrate on this spell, you can also study a creature within the spell's area and attempt a Spellcraft check in order to determine the last spell that the creature cast by identifying lingering traces that the spell left in the caster's aura. The DC to identify the spell is equal to 20 + the creature's caster level.  Finally, you are able to locate and analyze the signature flourishes in a magical aura that allow you to match a spell to the person who cast it. In order to find these identifiers in a spell's aura, you must spend 1 round focusing on that spell in particular, and succeed at an opposed Knowledge (arcana) check against the caster (or a Knowledge [arcana] check with a DC equal to 15 + the spell level if the caster wants her work to be identified and emphasizes these unique elements rather than obscuring them). Once you learn a caster's set of identifiers, you can remember them as easily as a face or a voice. You can recognize this signature if you succeed at a Spellcraft check when later identifying a spell to determine whether or not that spell was cast by the same individual. The spell greater magic aura (see page 219) can obfuscate this information, making it seem that someone else cast the spell. Greater detect magic grants a saving throw against magic aura (but not greater magic aura).</t>
  </si>
  <si>
    <t>As detect magic, but learn more information.</t>
  </si>
  <si>
    <t>Detect The Faithful</t>
  </si>
  <si>
    <t>antipaladin 1, cleric/oracle 1, druid 1, inquisitor 1, paladin 1, ranger 1, shaman 1</t>
  </si>
  <si>
    <t>You can detect other worshipers of your deity (mortal worshipers, outsider servants, and so on). The amount of information revealed depends on how long you focus on a particular area or subject.  1st Round: Presence or absence of the faithful.  2nd Round: Number of individual faithful in the area.  3rd Round: The exact location of each worshiper. If a fellow worshiper is outside your line of sight, then you discern his direction but not his exact location.  Each round, you can rotate to detect worshipers in a new area. The spell can penetrate barriers, but a sheet of lead, 1 foot of stone, 1 inch of common metal, or 3 feet of wood or dirt blocks it. A creature's personal interpretation of its beliefs determines whether or not it is of the same faith as you-hence heretics and splinter cultists of your deity still count as worshipers of that deity. Furthermore, since the spell picks up a creature's current beliefs and feelings, a creature actively pretending to be a member of the same faith also appears to the spell to be a member. Thus, the spell is still useful in locating potential hidden members of the same faith among the general populace, but on its own, it doesn't weed out spies.</t>
  </si>
  <si>
    <t>Find others of the same faith.</t>
  </si>
  <si>
    <t>Disrupt Silence</t>
  </si>
  <si>
    <t>bard 2, cleric/oracle 3, inquisitor 3, psychic 3</t>
  </si>
  <si>
    <t>S, M (tiny silver bell, chime, or gong)</t>
  </si>
  <si>
    <t>10-ft.-radius emanation centered on a creature, object, or point in space</t>
  </si>
  <si>
    <t>You suppress magical sound-dampening effects within the area. Disrupt silence temporarily negates magical silence within its area, so that normal sounds can be heard within the overlapping areas of effect. Additionally, disrupt silence can automatically counter or dispel any magical silence effect of equal or lower level cast upon the same target, such as silence. If you cast disrupt silence on the target of a higher-level silence effect, it functions as dispel magic instead of its normal function.</t>
  </si>
  <si>
    <t>Disrupt all silence effects in an area.</t>
  </si>
  <si>
    <t>Dress Corpse</t>
  </si>
  <si>
    <t>V, S, M (a pickled herring)</t>
  </si>
  <si>
    <t>You cause the flesh and bones of a corpse to shift themselves to suit a narrative of your choosing. This spell can hide or create telltale wounds, bruising, and other subtle clues as to the nature of the target's death, and the final hours leading up to it, allowing you to make the corpse appear to have died in just about any way. You could, for example, make stab wounds close up as though they were never there, rearrange bruises on the neck, evaporate traces of poison within the body into nothingness, make burn marks grow to cover the corpse's skin, or shrivel the target's body  as though the creature had starved. This spell can't hide extreme alterations to the body (such as the loss of a limb), nor can it restore flesh to a skeletal corpse or strip a corpse down to skeletal form. It is also unable to change the apparent identity of the corpse.  Anyone who closely examines the corpse can attempt a Perception check (DC = 10 + your caster level) to notice that the corpse's wounds (or lack thereof) don't look natural, but this doesn't allow the observer to determine what the corpse looked like before this spell was cast. Closely examining the corpse with a successful Heal check (DC = 15 + your caster level) not only reveals that the target's apparent wounds are false, but also what the originally obscured wounds were.</t>
  </si>
  <si>
    <t>Doctor the evidence on a corpse.</t>
  </si>
  <si>
    <t>Entice Fey</t>
  </si>
  <si>
    <t>bard 6, druid 7, shaman 7</t>
  </si>
  <si>
    <t>one or two called fey, totaling no more than 12 Hit Dice, which can't appear more than 30 ft. apart</t>
  </si>
  <si>
    <t>This spell functions as lesser entice fey, except that the spell's whimsical calling can produce a single fey of 12 Hit Dice or less, or two fey of the same kind whose Hit Dice total no more than 12.</t>
  </si>
  <si>
    <t>Entice service from a fey of 12 Hit Dice or fewer.</t>
  </si>
  <si>
    <t>Entice Fey, Greater</t>
  </si>
  <si>
    <t>up to three called fey, totaling no more than 18 Hit Dice, no two of which can appear more than 30 ft. apart</t>
  </si>
  <si>
    <t>This spell functions as lesser entice fey, except the spell's whimsical calling can produce a single fey of 18 Hit Dice or less,  or up to three fey of the same kind whose Hit Dice total no more than 18.</t>
  </si>
  <si>
    <t>Entice service from a fey of 18 Hit Dice or fewer.</t>
  </si>
  <si>
    <t>Entice Fey, Lesser</t>
  </si>
  <si>
    <t>bard 4, druid 5, medium 3, ranger 4, shaman 5</t>
  </si>
  <si>
    <t>one called fey with 6 Hit Dice or fewer</t>
  </si>
  <si>
    <t>This spell functions as lesser planar ally, except that you entice a fey of 6 HD or fewer to lend you its aid with an offering of music or something else it finds appealing. Like lesser planar ally, this spell is unpredictable, and the fey who answers the calling is up to the whims of nature and the fey, not your own choice. You must succeed at a Knowledge (nature) check or Perform check (DC = 20 + target's HD) in addition to the spell's material component to entice the fey into appearing, after which you can negotiate for the service and your payment. The maximum HD of fey that you can call with that casting is equal to the result of your check - 20. For example, if your check result is a 24, the maximum HD for the called fey is 4. A high result doesn't allow you to break the HD maximum for the spell, and a result of 20 or less means you can't call a fey at all. If the fey doesn't like the sound of your offer, it can simply choose to refuse, in which case you don't expend any of the material components for the spell, either the offerings or the payment.</t>
  </si>
  <si>
    <t>Entice service from a fey of 6 Hit Dice or fewer.</t>
  </si>
  <si>
    <t>Fabricate Disguise</t>
  </si>
  <si>
    <t>alchemist 1, antipaladin 1, bard 1, inquisitor 1, psychic 1, sorcerer/wizard 1, witch 1</t>
  </si>
  <si>
    <t>You change outfits or create a disguise out of materials you are wearing or carrying (potentially including a disguise kit). The spell can't alter your body or change the structure of objects, but can style wigs, apply makeup or piercings, and otherwise make use of tools to make superficial changes. In an instant, you have a nonmagical disguise or clothing change. Attempt a Disguise check to determine the effectiveness of the disguise.</t>
  </si>
  <si>
    <t>Create a disguise in an instant.</t>
  </si>
  <si>
    <t>False Belief</t>
  </si>
  <si>
    <t>bard 2, mesmerist 2, psychic 2</t>
  </si>
  <si>
    <t>10 minutes, plus length of memory to be altered</t>
  </si>
  <si>
    <t>V, S, M (lemon juice and a scrap of parchment)</t>
  </si>
  <si>
    <t>You temporarily alter the target's memory (similar to modify memory) to eliminate, change, or implant a memory of up to 1 hour in length. When the duration of this expires, the target's real memory returns, and the false memory fades to little more than a vague outline, like a dream. This false memory seems true to the target, so effects that detect lies or force the target to speak the truth (as the subject understands it) don't detect the falsehood.</t>
  </si>
  <si>
    <t>Temporarily plant a false memory.</t>
  </si>
  <si>
    <t>False Future</t>
  </si>
  <si>
    <t>bard 3, cleric/oracle 4, medium 3, mesmerist 3, psychic 4, shaman 4, sorcerer/wizard 5, spiritualist 4, witch 4</t>
  </si>
  <si>
    <t>V, S, M (crushed jade worth 100 gp)</t>
  </si>
  <si>
    <t>Will negates or Will disbelief (see text)</t>
  </si>
  <si>
    <t>You interfere with attempts to predict the target's future by preventing divinations from revealing what the target will do and what will befall the target while under the spell's effects. Instead of the target's true actions or experiences, divinations resolve as if the target will experience some different future you describe as you cast false future. The target creature can attempt a Will save to avoid the initial effect, and creatures using divinations get a Will save to disbelieve the illusion. This spell doesn't prevent divinations cast after the duration's end from determining what the subject actually did during the time you obscured using false future.  False future can't be detected by detect magic or identify, but greater detect magic (see page 212) can detect it.</t>
  </si>
  <si>
    <t>Cause divinations of the future to reveal the result you choose.</t>
  </si>
  <si>
    <t>False Resurrection</t>
  </si>
  <si>
    <t>chaotic, evil, ruse</t>
  </si>
  <si>
    <t>cleric/oracle 7, shaman 8, witch 8</t>
  </si>
  <si>
    <t>This spell functions as resurrection except that instead of recalling the dead soul to life, the spell calls a shadow demon with the advanced simple template (Pathfinder RPG Bestiary 67, 294) to possess the body. If you fail to overcome the subject's spell resistance, the subject's soul can negate the calling and gain the option to return to life (as resurrection) in the restored body. The possession otherwise functions (as possessionOA) except that the subject's soul is not present to resist. When false resurrection ends or the demon is removed from the subject, the demon returns to the Abyss, leaving the body alive but soulless (like that created by clone). If the soul hasn't been returned to life already, it has the option to return in the now-empty body if it still lives (as resurrection). If the body was killed, the demon is sent back to the Abyss but the subject remains dead.  Attempts to identify false resurrection with a skill check incorrectly identify it as resurrection (see the ruse descriptor on page 192). A fooled viewer mistakes false resurrection's aura as the lingering aura of an instantaneous conjuration effect.</t>
  </si>
  <si>
    <t>Appear to resurrect someone but instead allow a shadow demon to possess the corpse.</t>
  </si>
  <si>
    <t>False Resurrection, Greater</t>
  </si>
  <si>
    <t>evil, lawful, ruse</t>
  </si>
  <si>
    <t>V, S, M (diamond worth 25,000 gp), DF</t>
  </si>
  <si>
    <t>This spell functions as false resurrection except that i t calls a belier devil with the young simple template (Pathfinder RPG Bestiary 2 85, 292) to possess the body and all parts of false resurrection that function like resurrection instead function like true resurrection.  Attempts to identify greater false resurrection with a skill check incorrectly identify it as true resurrection (see the ruse descriptor on page 192). A fooled viewer mistakes greater false resurrection's aura as the lingering aura of an instantaneous conjuration effect.</t>
  </si>
  <si>
    <t>Appear to use true resurrection on someone but instead allow a belier devil to possess the corpse.</t>
  </si>
  <si>
    <t>False Vision, Greater</t>
  </si>
  <si>
    <t>bard 6, mesmerist 6, psychic 7, sorcerer/wizard 7</t>
  </si>
  <si>
    <t>V, S, M (a jade sphere worth 500 gp)</t>
  </si>
  <si>
    <t>This functions similarly to false vision, but instead of placing the illusion on a nearby area, you can tie it to a specific individual, and can do so from great distances. The spell can be cast at any distance. The difficulty of the save depends on your knowledge of the subject and what sort of physical connection (if any) you have to that creature. The target gains the same bonuses and penalties on its Will save to resist this spell as the bonuses and penalties that apply to the scrying spell (including a +5 bonus if the target is on another plane).  The illusion created by the spell moves with the target, and is not stationary. The image can affect the way the target is perceived, the way the target's surroundings are perceived, and the way that specific creatures or objects around the target are perceived. For the target, and any other specific creatures or objects you specify, you can cause them to appear as other creatures or objects that you designate, not to appear at all, or to have their appearance unaltered. For the target's surroundings, you can choose to make the target appear to be somewhere else, either a specific location with which you are familiar, or a generic location conjured from your imagination. You can change the way that the spell affects the appearance of any of these things by concentrating on the spell. You can also cause creatures or objects to appear in the illusion that are not really there, or to make a creature or object seem to act in a way other than it is actually acting. In this case, you must concentrate on the spell, or these aspects of the illusion simply remain static. The spell can provide visual, auditory, olfactory, tactile, and thermal sensations as needed.  The illusion applies to only those who observe the target via a divination (scrying) spell, and has no effect on viewers who are there in person.</t>
  </si>
  <si>
    <t>As false vision, but moves with the target.</t>
  </si>
  <si>
    <t>Ghost Brand</t>
  </si>
  <si>
    <t>bard 4, occultist 3, spiritualist 4, witch 4</t>
  </si>
  <si>
    <t>V, S, M (a branding iron and a strip of white silk worth 10 gp)</t>
  </si>
  <si>
    <t>one willing creature and one object touched</t>
  </si>
  <si>
    <t>You alter the fundamental substance of a single object up to 2 cubic feet per level in size and at least one size category smaller than the target creature, causing it to become shadowy and intangible, as though made out of quasi-real shadowstuff. You link the intangible item to the target's flesh by making a brand shaped like the item on the target's skin. The intangible item merges with the target's flesh and is contained within the target's body, moving with the target wherever it goes. The creature can retrieve the item or reabsorb it as a full-round action, and can do so as many times as it wants. When worn or wielded by the target, the item regains its solidity and functions normally, though the target can't drop or remove the item (other than by using the full-round action), nor can it be disarmed or stolen. If the item is destroyed, the spell ends. If the ghost brand spell is dispelled while the object is inside the target's body,  the object bursts out of the target's flesh, dealing 3d6 points of piercing and slashing damage to the target that bypasses DR, as well as 1d6 points of bleed damage.</t>
  </si>
  <si>
    <t>Allow an item to transform into a brand and back.</t>
  </si>
  <si>
    <t>Glimpse Of Truth</t>
  </si>
  <si>
    <t>alchemist 5, cleric/oracle 4, druid 5, inquisitor 4, magus 5, medium 3, occultist 4, psychic 4, shaman 4, sorcerer/wizard 5, spiritualist 5, witch 5</t>
  </si>
  <si>
    <t>V, S, M (a tourmaline costing 50 gp)</t>
  </si>
  <si>
    <t>This spell functions like true seeing, except as noted above.</t>
  </si>
  <si>
    <t>Gain true seeing for 1 round.</t>
  </si>
  <si>
    <t>Handy Grapnel</t>
  </si>
  <si>
    <t>inquisitor 1, ranger 1, sorcerer/wizard 1</t>
  </si>
  <si>
    <t>V, S, M (an arrowhead)</t>
  </si>
  <si>
    <t>one ropelike object, length up to 50 ft. + 5 ft./level</t>
  </si>
  <si>
    <t>You cause the target rope to shrink and reshape itself into an arrow, bolt, or similar piece of ammunition, which you can shoot at any Medium or larger object. With a successful attack roll against an AC equal to 5 plus the hardness of the target object, the handy grapnel strikes and embeds itself in that object with the strength of an iron grappling hook.  As a move action, you can command the rope to extend from the arrow. If you are within a distance equal to the length of the rope and have a hand free, the end of the rope swings directly into your hand. With another move action, you can command the handy grapnel to retract itself up to the grappling hook, pulling up any creature or object supported by the rope at a speed of 50 feet per round.  Once embedded, the rope can be used for climbing or any other purpose a rope could serve, and it can bear up to 200 pounds per level of the caster at a time (maximum 1,000 pounds). If this weight limit is exceeded, the handy grapnel comes loose and any creature or object supported by the rope falls.</t>
  </si>
  <si>
    <t>Transform a ropelike object into a retracting grapple.</t>
  </si>
  <si>
    <t>Hidden Presence</t>
  </si>
  <si>
    <t>bard 2, inquisitor 2, mesmerist 2, psychic 2, sorcerer/wizard 2, witch 2</t>
  </si>
  <si>
    <t>V, S, M (eye drops made with extract of poppy)</t>
  </si>
  <si>
    <t>up to one creature per 3 caster levels</t>
  </si>
  <si>
    <t>You prevent the targets from having conscious awareness of your presence. You make yourself completely undetectable to the subjects by erasing all awareness of your presence from their minds. The targets can't see, hear, smell, feel, or taste you, including with extraordinary or supernatural senses such as blindsense, blindsight, scent, or tremorsense. They can't pinpoint your location by any means, including detect spells.  The targets remain unaware of your actions, provided you don't make any attacks or cause any obvious or directly threatening changes in the targets' environment. If you attack any of the target creatures, the effect ends. If you take an action that creates a sustained and obvious change in the target's environment-for example, attacking a creature other than a target or moving a sizeable or attended object the target can see-the target immediately receives a new saving throw.</t>
  </si>
  <si>
    <t>Prevent creatures from noticing your presence.</t>
  </si>
  <si>
    <t>Hollow Heroism</t>
  </si>
  <si>
    <t>mind-affecting, ruse</t>
  </si>
  <si>
    <t>bard 3, bloodrager 4, inquisitor 4, medium 3, psychic 4, sorcerer/wizard 4, spiritualist 4, summoner/unchained summoner 4, witch 4</t>
  </si>
  <si>
    <t>This spell functions as heroism, except that you can reverse the spell by issuing a special command as a standard action if you are within medium range (100 feet + 10 feet per caster level) of the target. The target loses the bonuses and instead takes a -2 penalty on attack rolls, saving throws, and skill checks until the spell's duration ends (no save).  Attempts to identify hollow heroism with a skill check incorrectly identify it as heroism (see the ruse descriptor on page 192).</t>
  </si>
  <si>
    <t>Provide a heroism effect that you can reverse at any time.</t>
  </si>
  <si>
    <t>Hollow Heroism, Greater</t>
  </si>
  <si>
    <t>bard 6, psychic 7, sorcerer/wizard 7, witch 7</t>
  </si>
  <si>
    <t>This spell functions as greater heroism, except that you can reverse the spell by issuing a special command as a standard action if you are within medium range (100 feet + 10 feet per caster level) of the target. The target loses the bonuses and instead takes a -4 penalty on attack rolls, saving throws, and skill checks until the spell's duration ends (no save), increasing to a -8 penalty against fear effects. Additionally, she takes damage equal to your caster level when you reverse the spell.  Attempts to identify greater hollow heroism with a skill check incorrectly identify it as greater heroism (see the ruse descriptor on page 192).</t>
  </si>
  <si>
    <t>Provide a greater heroism effect that you can reverse at any time.</t>
  </si>
  <si>
    <t>Illusion Of Treachery</t>
  </si>
  <si>
    <t>antipaladin 3, magus 4, mesmerist 3, occultist 4, psychic 4, sorcerer/wizard 4</t>
  </si>
  <si>
    <t>S, F (a tiny marionette)</t>
  </si>
  <si>
    <t>You create an illusion that takes the same space as a foe and mimics its movements perfectly. Whenever you cast a spell or throw a weapon, the illusion ceases mimicking the target's actions just long enough to make it look like the target cast the spell or threw the weapon simultaneously with you, such that witnesses who can see both you and the target can't tell with certainty who truly cast the spell or threw the weapon. Witnesses who can see only the target see it as the only apparent source. The subject of this spell doesn't provoke attacks of opportunity from these illusory actions. Each target of the attack or spell counts as interacting with the illusion and thus receives a save to disbelieve.</t>
  </si>
  <si>
    <t>Make it seem like another is also responsible for your attacks.</t>
  </si>
  <si>
    <t>Illusion Of Treachery, Greater</t>
  </si>
  <si>
    <t>antipaladin 4, magus 6, mesmerist 4, occultist 5, psychic 5, sorcerer/wizard 6</t>
  </si>
  <si>
    <t>you and one creature</t>
  </si>
  <si>
    <t>This spell functions as illusion of treachery except that it also conceals your own actions (as illusion of calmUC) and renders invisible all spell effects and ranged attacks originating from you until they reach the attack's target (this doesn't cause the attack's target to be unable to avoid the attack, as they still see the attack originating from the spell's target).</t>
  </si>
  <si>
    <t>Make it seem like another is responsible for your attacks while concealing your own actions.</t>
  </si>
  <si>
    <t>Insect Spies</t>
  </si>
  <si>
    <t>druid 3, ranger 3, sorcerer/wizard 4, summoner/unchained summoner 3, witch 4</t>
  </si>
  <si>
    <t>V, S, M (a drop of honey)</t>
  </si>
  <si>
    <t>up to one insect spy/4 levels</t>
  </si>
  <si>
    <t>You summon one or more glossy black beetles, which have a measure of intelligence and make for excellent spies. When they are in your presence, the insects obey your mental commands, and you can issue orders to any number of them as a single standard action, provided that you issue the same orders to each one. In order to issue different orders to different insects, you must spend a separate standard action for each set of orders. An insect in physical contact with you can answer simple questions about what it has observed, at a rate of one question per round. It can relate only what it perceived with its senses, and can't repeat speech. It has difficulty making subjective judgments, and questions that demand such reasoning are unlikely to yield a clear answer. For example, an insect is unable to relay someone's emotional state or determine who among several people it saw might be in charge.  Each insects' size is Fine. Each insect has 1 hit point, AC 20 (+2 Dexterity, +8 size), a movement speed of 5 feet, a climb speed of 5 feet, and a fly speed of 20 feet (perfect maneuverability). The insects use your saving throw bonuses, have a total Perception skill bonus equal to 5 + 1/2 your caster level, and can't make attacks. Due to their incredibly small size and magical nature, they can make Stealth checks to avoid being noticed even if they lack a source of cover or concealment, and they have a total Stealth skill bonus equal to 18 + 1/2 your caster level. The insects can even climb onto creatures of Tiny or larger size while using Stealth, possibly riding on those creatures unnoticed. A Tiny creature gains a +16 bonus on Perception checks made to notice one of these insects currently climbing on it. For each size category larger than Tiny the creature being climbed is, this bonus is reduced by 4 (to a minimum of +0 for Huge or larger creatures).  You also maintain a faint mystical connection with these insects, which allows you to sense where they are. As a full-round action, you can concentrate on the spell in order to learn the direction and relative distance of each of the insects.</t>
  </si>
  <si>
    <t>Use magic beetles as spies.</t>
  </si>
  <si>
    <t>Insect Spies, Greater</t>
  </si>
  <si>
    <t>druid 6, sorcerer/wizard 7, summoner/unchained summoner 6, witch 7</t>
  </si>
  <si>
    <t>As insect spies, but you can also borrow the senses of the summoned insects. As a move action, you can choose to receive sensory input from one of the insects, seeing what it sees and hearing what it hears. While doing so, you are treated as being blind and deaf. You can change to another insect, or return to your own senses, with another move action.</t>
  </si>
  <si>
    <t>Use magic beetles as spies and also share their senses.</t>
  </si>
  <si>
    <t>Instant Fake</t>
  </si>
  <si>
    <t>bard 3, inquisitor 3, magus 4, mesmerist 3, occultist 3, ranger 3, sorcerer/wizard 4</t>
  </si>
  <si>
    <t>V, S, M (a piece of costume jewelry)</t>
  </si>
  <si>
    <t>one object weighing no more than 1 lb./level</t>
  </si>
  <si>
    <t>You create an illusory duplicate of the target item. If you hold the charge on this spell, you can deliver it while touching an object you steal with Sleight of Hand or a stealAPG combat maneuver; in this case, the illusion phases into existence exactly as you remove the genuine article, allowing you to instantaneously replace a protected or guarded item with no change in appearance, weight, or other factors.  The illusion appears to be a perfect replica. Actively examining the fake with an Appraise or Perception check grants a creature a Will save, but on a failed saving throw, it concludes that the fake is the genuine article. The illusion isn't a functional item, nor does it have any magical properties of the original. For example, an instant fake of a set of thieves' tools can't be used to pick a lock, a false warhammer can't harm a person or break an object, a suit of unreal chainmail offers no actual protection, and an illusory potion of cure light wounds doesn't heal any hit points when imbibed.</t>
  </si>
  <si>
    <t>Provide a short-term replica of an object.</t>
  </si>
  <si>
    <t>Instant Summons, Greater</t>
  </si>
  <si>
    <t>psychic 8, sorcerer/wizard 8, witch 8</t>
  </si>
  <si>
    <t>V, S, M (sapphires worth 1,000 gp each)</t>
  </si>
  <si>
    <t>up to one object per 3 caster levels, each weighing 10 lbs. or less whose longest dimension is 6 ft. or less</t>
  </si>
  <si>
    <t>This spell functions as instant summons, except that you can target multiple objects. You must use a separate sapphire worth 1,000 gp for each one. For each item you target, you can touch a creature, granting that creature the ability to speak the special word for that item (each item has its own special word) while crushing the matched gem to call the item to hand. Only you or the touched creature can activate the gem or see the arcane mark upon it.</t>
  </si>
  <si>
    <t>As instant summons, but for multiple objects and creatures.</t>
  </si>
  <si>
    <t>Know Peerage</t>
  </si>
  <si>
    <t>bard 1, cleric/oracle 2, inquisitor 2, medium 1, mesmerist 2, occultist 2, paladin 1, psychic 2, sorcerer/wizard 2</t>
  </si>
  <si>
    <t>V, S, M (thread from a tabard or livery)</t>
  </si>
  <si>
    <t>You impart your knowledge of nobility and peerage to the target, allowing her to recognize members of noble households, differentiate one set of heraldry from another, and otherwise identify who's who at a royal gala or other noteworthy social event. The target is able to identify noble individuals, noble family names, and noble crests, signets, heraldry, and other symbols. The target treats her number of ranks in Knowledge (nobility) as though it were equal to your number of ranks in Knowledge (nobility), to a maximum of 5 ranks and a minimum of 0. If the target's number of ranks is greater than yours, she uses her own number of ranks instead. In addition, if the target's new total skill bonus on Knowledge (nobility) checks is at least +0, she automatically succeeds on all Knowledge (nobility) checks with a DC of 10 or lower.</t>
  </si>
  <si>
    <t>Target uses your Knowledge (nobility) ranks.</t>
  </si>
  <si>
    <t>Languid Venom</t>
  </si>
  <si>
    <t>alchemist 2, shaman 2, sorcerer/wizard 2</t>
  </si>
  <si>
    <t>V, S, M (herbs used in antitoxins worth 25 gp)</t>
  </si>
  <si>
    <t>You greatly extend the time it takes for the poison you touch to take effect, giving that poison an onset time up to 1 hour per caster level. (You touch the poison's container, so you don't risk exposing yourself to a contact poison.) The target doesn't attempt a saving throw when initially exposed to the languid venom, but instead saves at the end of the poison's onset time. If the poison is neutralized or otherwise cured prior to the end of its onset time, it is rendered harmless. Failing saves against multiple doses of languid venom have the normal cumulative effect for poisons (Pathfinder RPG Core Rulebook 558).  Languid venom is difficult to detect or identify. Detect poison and similar effects detect languid venom only with a successful caster level check against a DC equal to 11 + your caster level (rolled secretly by the GM). Even if the poison is detected, the DC of Craft (alchemy) or Wisdom checks to identify the poison is increased by 10. If a poison is affected by an additional effect that requires a caster level check to detect the poison or increases the DC to identify it-such as obscure poison (see page 220)-those effects don't stack. Use only the caster level check with the higher DC and increase the DC of the check to identify the poison by the higher of the two.  If cast upon a venomous creature, languid venom delays the onset of that creature's poison when the creature next delivers its natural poison.</t>
  </si>
  <si>
    <t>Delay a poison’s onset and hide its presence.</t>
  </si>
  <si>
    <t>Life Of Crime</t>
  </si>
  <si>
    <t>antipaladin 4, bard 6, mesmerist 6, psychic 8, sorcerer/wizard 8</t>
  </si>
  <si>
    <t>V, S, M (a black mask)</t>
  </si>
  <si>
    <t>You unleash the basest instincts of iniquity in the target and cause them to become his overriding reason for being. The target neither gains nor provides benefit from teamwork feats or the aid another action and can't willingly accept harmless magical effects from others.  The target moves by Stealth whenever possible, and lies and deceives others instinctively to further its personal agenda. In addition, when the target is conscious, it must succeed at a Will save against the spell's save DC each hour (or each round during combat or a similarly stressful situation) or behave as if affected by a crime wave spell for 1 round.  Life of crime is particularly difficult to remove. Only a remove curse with a higher caster level than life of crime's caster level, or a limited wish, wish, or miracle can remove its effects.</t>
  </si>
  <si>
    <t>Permanently turn someone into a crazed criminal.</t>
  </si>
  <si>
    <t>Mage's Decree</t>
  </si>
  <si>
    <t>bard 5, cleric/oracle 6, inquisitor 5, mesmerist 5, psychic 6, sorcerer/wizard 6, summoner/unchained summoner 5, witch 6</t>
  </si>
  <si>
    <t>V, S, F (a brass cone or trumpet)</t>
  </si>
  <si>
    <t>up to 1 mile/level; see text</t>
  </si>
  <si>
    <t>You speak a short message (up to 25 words), and it is immediately transmitted to each target, who hear it as clearly as if you were standing next to them. By default, the spell targets every creature with an Intelligence score of 3 or greater that is within the spell's range, but at your discretion, you can choose to restrict the spell to certain creatures, causing it to either only deliver its message to creatures meeting a certain criteria, or to deliver it to all creatures except those meeting that criteria. The criteria must be something objective and observable. For example, you could cause the mage's decree to reach only creatures of a certain race. You can't choose recipients that rely on unobservable information, such as creatures of a certain alignment or of a particular class.  You can't pick and choose individual creatures to target or exclude. While the spell's range defaults to 1 mile per caster level, you can choose to reduce it to a smaller radius, although the spell's area can't be shaped.  The nature of the spell prevents the message it carries from having any magical power; the message can't be used to transmit spells or abilities that are conveyed via speech. The message is transmitted in your voice in whatever language you use to speak it, and is not automatically translated. Any steps you take to disguise your voice are just as effective for messages delivered via this spell as they are for your normal speech. Mage's decree isn't a language-dependent spell; all targeted creatures receive the message, but might not understand it if they don't understand the language in which you spoke the message.</t>
  </si>
  <si>
    <t>Send a message to creatures within miles.</t>
  </si>
  <si>
    <t>Magic Aura, Greater</t>
  </si>
  <si>
    <t>bard 3, mesmerist 3, occultist 3, psychic 4, sorcerer/wizard 4</t>
  </si>
  <si>
    <t>V, S, F (a woolen handkerchief)</t>
  </si>
  <si>
    <t>one creature, or one object weighing up to 20 lbs./level</t>
  </si>
  <si>
    <t>If cast on an object, this spell functions as magic aura, except that if you have identified the unique spellcasting signatures of a specific individual with greater detect magic (see page 212) or a similar spell, you can make the magic aura appear to have been created by that individual. Alternatively, you can simply obscure all identifiers, making it more difficult to determine who cast the spell. In either case, if the object is the subject of a greater detect magic spell, any Spellcraft check made to identify the unique spellcasting identifiers of the aura automatically produce the  result you chose unless the observer disbelieves the spell with a successful Will save (as with magic aura, however, detect spells don't grant a save to disbelieve).  If cast on a creature, you can make that creature register to detect spells (and spells with similar capabilities) as though it were the subject of any number of spells that you specify, when the spell is cast. Alternatively, you can make the creature register as nonmagical, hiding all spell effects that he is currently affected by from such scrutiny. If you choose to make the creature register as being the subject of one or more spells, you can also alter the unique spellcasting identifiers of those spell auras, in the same fashion as described for objects.  If the target is a creature, you can also alter how the creature registers to arcane sight, making the creature appear to have or not have spellcasting or spell-like abilities, whether those abilities are arcane, divine, or psychic in nature, and the strength of the most powerful spell or spell-like ability they currently have available for use. Similarly, you can alter the way the target appears when viewed with greater detect magic, causing the last spell that he cast to seem to be any spell of your choice.</t>
  </si>
  <si>
    <t>As magic aura, but also affects creatures and allows more options.</t>
  </si>
  <si>
    <t>Majestic Image</t>
  </si>
  <si>
    <t>bard 4, cleric/oracle 4, medium 4, mesmerist 4, occultist 4, sorcerer/wizard 4, spiritualist 4</t>
  </si>
  <si>
    <t>V, S, M (a drop of paint and a ball of clay)</t>
  </si>
  <si>
    <t>200 ft./level</t>
  </si>
  <si>
    <t>transfer consciousness to an object bearing your likeness</t>
  </si>
  <si>
    <t>You cast your consciousness into a single object within range that bears your likeness, as if choosing a specific image with the spell enter imageAPG. In addition to observing your surroundings, speaking, and manipulating the image you inhabit, however, you can converse with nearby creatures and use your normal social skills.  You gain a +5 bonus on Bluff checks to tell lies and Diplomacy checks to make a request. You gain a +2 bonus on Intimidate checks and use the object's size to determine whether you gain a bonus or penalty on Intimidate checks for size.</t>
  </si>
  <si>
    <t>As enter image, but also gain bonuses on social skills while in the image.</t>
  </si>
  <si>
    <t>Matchmaker</t>
  </si>
  <si>
    <t>bard 2, mesmerist 2, sorcerer/wizard 3, witch 3</t>
  </si>
  <si>
    <t>S, M (a rose petal)</t>
  </si>
  <si>
    <t>two living creatures</t>
  </si>
  <si>
    <t>Will partial, see text</t>
  </si>
  <si>
    <t>You entice the target creatures to become romantically interested in one another. Each creature saves and applies spell resistance separately. Both must be affected for the spell to have an effect. If either creatures has a prior unfriendly or hostile attitude toward the other, it receives a +4 bonus on its saving throw.  This spell doesn't override the targets' normal sexual preferences or other limitations. If romantic feelings are incompatible for this reason, the creature instead feels an intimate platonic bond with the other.</t>
  </si>
  <si>
    <t>Cause two creatures to fall in love.</t>
  </si>
  <si>
    <t>Meticulous Match</t>
  </si>
  <si>
    <t>bard 3, inquisitor 3, occultist 3, ranger 3, sorcerer/wizard 4, witch 4</t>
  </si>
  <si>
    <t>two objects touched</t>
  </si>
  <si>
    <t>Fort negates (object)</t>
  </si>
  <si>
    <t>You compare two similar items and know if they are identical to one another or not. The spell can indicate an identical match, a categorical match, or no match. For instance, blood samples are identical if they are from the same creature. They are categorical if they are from the same species. There is no match if they are from different species, or if one sample is merely stage blood.  Alternatively, you can compare dissimilar items and know if they have a potential relationship. For instance, you can compare a creature's tooth against a bite mark and know if that creature could have caused the bite mark.  This spell is not infallible-an identical match can result from comparing items or creatures that are duplicates of one another. For instance, a knife might have an identical match with a stab wound if an identical knife was used to inflict the wound, and twins might have identical blood or tissues.</t>
  </si>
  <si>
    <t>Determine if two things are identical.</t>
  </si>
  <si>
    <t>Obscure Poison</t>
  </si>
  <si>
    <t>alchemist 1, antipaladin 1, bard 1, cleric/oracle 1, druid 1, mesmerist 1, shaman 1, sorcerer/wizard 1, witch 1</t>
  </si>
  <si>
    <t>S, M (herbs used in antitoxins worth 10 gp)</t>
  </si>
  <si>
    <t>one dose of poison or one venomous creature touched</t>
  </si>
  <si>
    <t>You make the touched poison difficult to detect or identify. Detect poison and similar effects detect an obscured poison only with a successful caster level check against a DC equal to 15 + your caster level (rolled secretly by the GM). Even if the poison is detected, the DC of Craft (alchemy) or Wisdom checks to identify the poison is increased by 10.  If cast upon a venomous creature, obscure poison disguises all of the creature's natural poisons in the same way.</t>
  </si>
  <si>
    <t>Make it harder to detect a poison or a venomous creature.</t>
  </si>
  <si>
    <t>Open And Shut</t>
  </si>
  <si>
    <t>bard 1, inquisitor 1, sorcerer/wizard 1, witch 1</t>
  </si>
  <si>
    <t>V, S, F (a doornail, doorknob, or hinge)</t>
  </si>
  <si>
    <t>one door, window, or similar portal no more than 10 feet by 10 feet in area</t>
  </si>
  <si>
    <t>You alter the appearance of a door and disguise whether it is open or closed. You can cause the touched door to appear closed regardless of whether it is open or closed, to appear open regardless of whether it is open or closed, or to appear to open or close. After you cast the spell, you can change between these options as a move action. Creatures using a move action to open or shut the door can attempt a Will save to disbelieve the illusion.  Regardless of how you alter the appearance of the door, creatures that believe the illusion take a -5 penalty on Perception checks regarding the door itself or creatures on the other side of the door.  This spell affects windows, gates, and similar openings in the same way it affects doors.</t>
  </si>
  <si>
    <t>Obfuscate whether a door is open or closed.</t>
  </si>
  <si>
    <t>Open Book</t>
  </si>
  <si>
    <t>antipaladin 2, bard 2, inquisitor 2, mesmerist 2, psychic 2, sorcerer/wizard 3, witch 3</t>
  </si>
  <si>
    <t>V, S, M (a page torn from a book)</t>
  </si>
  <si>
    <t>You lay bare not only the mind of a target, but the target's history as well. The target takes a -2 penalty on saving throws against  divinations, and Diplomacy checks to gather information about the target gain a bonus equal to half your caster level (maximum +10).</t>
  </si>
  <si>
    <t>Make it permanently easier to learn more about a target.</t>
  </si>
  <si>
    <t>Overwhelming Poison</t>
  </si>
  <si>
    <t>antipaladin 4, cleric/oracle 6, druid 6, ranger 4, shaman 6, witch 6</t>
  </si>
  <si>
    <t>V, S, M (an adder's fang)</t>
  </si>
  <si>
    <t>one creature or one dose of poison; see text</t>
  </si>
  <si>
    <t>This spell increases the virulence of the targeted dose of poison, making the poison more difficult to resist. The poison is unaffected by delay poison, and the DC to remove it with neutralize poison is increased by 5. Additionally, the poison uses its own saving throw DC or overwhelming poison's DC, whichever is higher.  If cast on a creature that is currently suffering from exposure to one or more doses of poison, the spell applies to one of the doses of your choice, or a random dose of poison affecting the target if you don't know what poisons are afflicting the target. If cast on a creature that is venomous, this spell affects the first dose of poison that creature delivers before the end of the spell's duration.</t>
  </si>
  <si>
    <t>Make a poison more difficult to resist.</t>
  </si>
  <si>
    <t>Pack Empathy</t>
  </si>
  <si>
    <t>bloodrager 3, druid 3, inquisitor 3, medium 2, ranger 2, sorcerer/wizard 3, spiritualist 3, summoner/unchained summoner 3, witch 3</t>
  </si>
  <si>
    <t>you plus one willing living creature per 3 levels, no two of which can be more than 30 ft. apart</t>
  </si>
  <si>
    <t>You create an instinctual connection between the targets. Each can sense the others' overall emotional states, which allows them to communicate basic emotional concepts (such as alerting each other of danger due to increased stress). Once the spell has been cast on the subjects, the distance between them and the caster doesn't affect the spell as long as they are on the same plane of existence. If a subject leaves the plane, or if it dies, the spell ceases to function for it.</t>
  </si>
  <si>
    <t>Create an empathic bond with allies.</t>
  </si>
  <si>
    <t>Peacebond, Greater</t>
  </si>
  <si>
    <t>inquisitor 4, occultist 4, psychic 5, sorcerer/wizard 5, witch 5</t>
  </si>
  <si>
    <t>up to one weapon/level, no two of which can be more than 30 ft. apart</t>
  </si>
  <si>
    <t>If a target weapon is sheathed or slung as the spell is cast, this functions as peacebondUC, locking the target's weapon in place on its owner's body or within the weapon's sheath or holster. Anyone who then tries to draw the weapon must spend a standard action and succeed at a Strength check to do so, provoking attacks of opportunity whether the attempt succeeds or fails. The DC for Strength checks required by this spell is equal to the spell's save DC.  If a target weapon is not currently sheathed or slung as the spell is cast, the weapon immediately attempts to sheathe itself, and its wielder must succeed at a Strength check to prevent it from doing so. Once sheathed or slung in this way, the weapon is difficult to draw, as previously noted above. Unattended weapons that are not currently sheathed or slung are anchored in place by the spell, and require a successful Strength check to pick up; each attempt requires a standard action. If the wielder doesn't have a sheath or sling available for the weapon, failure on the Strength check causes the weapon to fall to the ground, at which point it requires a Strength check to pick up, as with unattended weapons.</t>
  </si>
  <si>
    <t>As peacebond, but on multiple weapons, even if they aren’t sheathed.</t>
  </si>
  <si>
    <t>Permanent Hallucination</t>
  </si>
  <si>
    <t>psychic 7, sorcerer/wizard 7</t>
  </si>
  <si>
    <t>This spell functions as audiovisual hallucination (see page 204), except that the phantasm you create includes visual, auditory, olfactory, tactile, and thermal components, and the phantasm follows a complex script. The phantasm follows that script without your having to concentrate on it and can react to stimuli the target perceives, as appropriate for the script. Unlike most illusions with a save to disbelieve, if the target disbelieves a permanent hallucination, she can choose to end the effect entirely at any time.</t>
  </si>
  <si>
    <t>As scripted hallucination, but permanent.</t>
  </si>
  <si>
    <t>Phantasmal Affliction</t>
  </si>
  <si>
    <t>mesmerist 2, psychic 3, sorcerer/wizard 3, witch 3</t>
  </si>
  <si>
    <t>V, S, M (a drop of cod liver oil)</t>
  </si>
  <si>
    <t>Will disbelief, then Fortitude or Will negates (see text)</t>
  </si>
  <si>
    <t>You cause the creature to believe she has a debilitating affliction. The target can attempt a Will save to recognize the affliction as unreal. If that save fails, the creature suffers an imaginary affliction of your choice.  Curse: The target believes she has been cursed. She takes a permanent -4 penalty on attack rolls, saves, ability checks, and skill checks for 1 hour per caster level. After her save to disbelieve, the target attempts a second Will save to negate this effect.  Poison: The target believes she has been poisoned. Choose a physical ability score. Each round for 6 rounds, plus 1 round per 5  caster levels, the target takes 1d3 points of damage to the chosen ability score. Each turn, the creature can attempt a Fortitude save to negate the damage and end the ongoing damage.  Wasting: The target believes she has contracted a wasting disease. Each day, the creature takes 1d4 points of Constitution damage and becomes fatigued. A successful Fortitude save prevents this damage. Two consecutive successful saves end the effect.  Since the affliction exists entirely in the creature's mind, phantasmal affliction is not affected by normal cures like neutralize poison or remove disease, or other effects like delay poison or the Heal skill. Ordinary immunities do not apply in this case (though a creature immune to the affliction receives a +4 bonus on the Will save to disbelieve the illusion). Constitution damage from the affliction can't kill the target. Instead, it causes the target to fall unconscious like other forms of ability damage. Phantasmal affliction is a spell effect and can be dispelled normally.  Placebo effectOA counters and dispels phantasmal affliction.</t>
  </si>
  <si>
    <t>Convince a target that it contracted an aff liction.</t>
  </si>
  <si>
    <t>Pocketful Of Vipers</t>
  </si>
  <si>
    <t>druid 3, occultist 3, ranger 3, shaman 3, witch 3</t>
  </si>
  <si>
    <t>V, S, M (a snake scale and fang)</t>
  </si>
  <si>
    <t>You set a magical ward upon the object touched, which must be a container such as a pouch, bag, backpack, or pocket. If any creature opens the container without first speaking a command word, 1d3 summoned venomous snakes (Pathfinder RPG Bestiary 255) appear, slithering out of the container and attacking that creature for 1 round/level before disappearing. They attack other creatures only if they themselves are attacked.</t>
  </si>
  <si>
    <t>Ward a container with summoned vipers.</t>
  </si>
  <si>
    <t>Poisonous Balm</t>
  </si>
  <si>
    <t>poisonUM, ruse</t>
  </si>
  <si>
    <t>cleric/oracle 4, druid 5, occultist 4, shaman 4, witch 5</t>
  </si>
  <si>
    <t>instantaneous, then 1 hour or until triggered plus 6 rounds; see text</t>
  </si>
  <si>
    <t>Will partial (harmless), then Fortitude negates (see text)</t>
  </si>
  <si>
    <t>You mend the target's injuries, curing 3d8 hit points + 1 point per caster level (maximum +15) as cure serious wounds, but leaving its body laced with a subtle toxin that remains inert until you activate it. A target that decides to attempt the Will save and succeeds is healed for half (as cure serious wounds) and negates the toxin. Otherwise, you can activate the toxin by concentrating on the spell as a standard action, at which point the victim takes 1d3 points of Strength damage per round for 6 rounds. Once the poison is active, the target can attempt a Fortitude save each round to negate that round's damage and end the affliction. If you don't trigger the poison for 1 hour, the spell ends and leaves the target unharmed.  Detect poison reveals an inert poisonous balm only if the caster succeeds at a caster level check against a DC equal to 15 + your caster level. Attempts to identify poisonous balm with a skill check incorrectly identify it as cure serious wounds (see the ruse descriptor on page 192). A fooled viewer mistakes poisonous balm's aura as the lingering aura of an instantaneous effect.</t>
  </si>
  <si>
    <t>As cure serious wounds, but leave behind a latent venom.</t>
  </si>
  <si>
    <t>Pox Of Rumors</t>
  </si>
  <si>
    <t>bard 5, cleric/oracle 7, mesmerist 5, psychic 7, sorcerer/wizard 7, spiritualist 5, witch 7</t>
  </si>
  <si>
    <t>V, S, M (a physical connection to the target; see text)</t>
  </si>
  <si>
    <t>Will negates, then Will partial (see text)</t>
  </si>
  <si>
    <t>You curse the target to attract negative assumptions and rumors of a sort you specify when you cast the spell. If the target fails the initial save to negate the curse, every day that it spends in a settlement, it must attempt a Will save. If it fails, it accidentally says or does something that makes others assume the rumor you specified is true in some way that is unflattering or incriminating. If the creature is not aware of the nature of the rumors, it takes a -4 penalty on these secondary saves. After the first failed save, the attitude each resident in the settlement has regarding the target is worsened by one step. For each additional failure, the target becomes the victim of focused harassment. A group of residents taunts or attacks the creature, potentially sending the authorities to investigate if the rumor indicates criminal guilt.  The spell can be cast at any distance. The difficulty of the save depends on your knowledge of the subject and what sort of physical connection you have to that creature. The target gains the same bonuses and penalties on its Will save to resist this spell as the bonuses and penalties that apply to the scrying spell (including a +5 bonus if the target is on another plane), except that you can't cast pox of rumors without at least a possession or garment to use as the material component, and the target takes no penalty when you use a possession or garment and only a -5 penalty when you use a piece of the target's body. Pox of rumors is a curse, and until its duration expires, it can be removed only by remove curse or similar magic.</t>
  </si>
  <si>
    <t>Curse a creature to attract nasty rumors.</t>
  </si>
  <si>
    <t>Prognostication</t>
  </si>
  <si>
    <t>cleric/oracle 6, inquisitor 6, medium 4, psychic 6, shaman 6, spiritualist 6, witch 6</t>
  </si>
  <si>
    <t>V, S, M (rare incense and tonics worth 250 gp)</t>
  </si>
  <si>
    <t>You glimpse the future. Prognostication functions as divination except that the spell can see up to a year and a day into the future. Because of the increased unpredictability of the distant future, prognostication is significantly more cryptic than the already-cryptic divination spell.</t>
  </si>
  <si>
    <t>Gain cryptic information from further in the future than divination.</t>
  </si>
  <si>
    <t>Quieting Weapons</t>
  </si>
  <si>
    <t>bard 4, cleric/oracle 4, inquisitor 4, magus 4, occultist 4, psychic 4, ranger 3, sorcerer/wizard 4, spiritualist 4</t>
  </si>
  <si>
    <t>up to one natural or manufactured weapon per 3 caster levels</t>
  </si>
  <si>
    <t>The target weapons and any ammunition they fire make no sound as part of their normal functions as a weapon. For instance, a firearm's firing would not make an explosive sound, but if you  cast this spell on a creature's bite attack, it would not prevent it from vocalizing from its mouth. The first time a creature is struck by a weapon affected by this spell, it must succeed at a Will save (SR applies to this effect) or it becomes unable to make noise louder than a whisper (Perception DC 10 to hear) whether vocally or by other means for the duration of the effect. Because the creature can still whisper, this doesn't interfere with verbal spell components. Whether it succeeds or fails its saving throw, the creature is immune to further effects from this casting of quieting weapons.</t>
  </si>
  <si>
    <t>Weapons make no sound and quiet their victims.</t>
  </si>
  <si>
    <t>Red Hand Of The Killer</t>
  </si>
  <si>
    <t>bard 4, cleric/oracle 4, inquisitor 4, medium 3, occultist 4, paladin 4, psychic 5, sorcerer/wizard 5, spiritualist 4, witch 5</t>
  </si>
  <si>
    <t>V, S, M (a black candle), F (a corpse slain no more than 1 day ago per caster level)</t>
  </si>
  <si>
    <t>Drawing upon the spiritual link between a corpse and its killer, you reach out across space to brand the killer of the corpse you used as a focus for this spell, creating a physical manifestation of the killer's guilt.  The killer's right hand becomes stained indelibly red, and this stain can't be removed (although it can be hidden by magical or mundane means, such as disguise self or by wearing gloves). If the killer is not humanoid, or doesn't have a right hand for some other reason, the spell instead causes a red stain in the shape of a hand to appear elsewhere on the creature's body (typically on the chest).  This spell affects only the creature that directly killed the targeted corpse. Other individuals that contributed to the target's death are unaffected, and if the victim did not die from violence or died indirectly (for instance, if the creature died from suffocating after someone trapped it in a room filling with water), then the spell has no effect. The killer can attempt a Will save to resist the spell's effects. Distance is not a factor, but the killer must be on the same plane as you at the time you cast the spell, or the spell fails. Once a corpse has acted as the focus for red hand of the killer, it can never act as the focus for another casting of red hand of the killer.</t>
  </si>
  <si>
    <t>Stain the hand of a creature’s killer red.</t>
  </si>
  <si>
    <t>Reincarnate Spy</t>
  </si>
  <si>
    <t>druid 6, shaman 6, witch 7</t>
  </si>
  <si>
    <t>V, S, DF, M (oils worth 2,500 gp and a possession or piece of the body of the creature to resemble)</t>
  </si>
  <si>
    <t>This spell functions as reincarnate except that you can cause the new body to resemble a particular creature, matching its age  category and sex and rerolling any race result that would be the wrong size category. The subject further gains a +5 bonus on Disguise checks to impersonate the chosen creature due to similar features, although it might take a penalty for being the wrong race.  The spell automatically leaves you with a small piece of the creature's new body, typically a lock of hair (useful for scrying and other such spells).</t>
  </si>
  <si>
    <t>As reincarnate, but creating a body similar to that of a chosen creature, and you secretly keep part of the body.</t>
  </si>
  <si>
    <t>Resplendent Mansion</t>
  </si>
  <si>
    <t>V, S, F (a miniature cornerstone carved from precious gemstones worth 500 gp)</t>
  </si>
  <si>
    <t>opulent mansion, up to 300 feet on a side and one story tall/4 levels</t>
  </si>
  <si>
    <t>This spell creates a towering mansion. While casting the spell, you hold an image of the mansion and its desired appearance in your mind. The mansion can contain as many or as few rooms as you desire, and is decorated to match your image. You can imagine a purpose for each room of the mansion, and the proper accouterments appear within. Any furniture or other mundane fixtures function normally for anyone inside the mansion, but cease to exist if taken beyond its walls. No fixture created with this spell can create magical effects, but magical devices brought into the mansion function normally.  A resplendent mansion contains the same types of foodstuffs and servants as a mage's magnificent mansion.  Each of the mansion's exterior doorways and windows are protected by alarm spells. You choose whether each alarm is audible or mental as you cast the spell, and each alarm has a different sound (for an audible alarm) or sensation (for a mental one), allowing you to instantly determine which portal has been used.  The mansion must be created on a plot of land free of other structures. It adapts to the natural terrain, adopting all structural requirements for being built on, for example, a mountainside. The mansion adjusts around small features such as ponds or spires of rock, but can't be created on water or other nonsolid surfaces. If created on snow, sand dunes, or other soft surfaces with a solid surface underneath, the foundation reaches the solid ground. If created on a solid but unstable surface, such as a swamp or an area plagued by tremors, there's a 10% chance each day that the mansion begins to sink or collapse.  The mansion doesn't harm creatures within the area when it appears, and can't be created among a crowd or in a densely populated area. Any creature inadvertently caught inside the mansion when the spell is cast ends up unharmed inside the complete mansion.</t>
  </si>
  <si>
    <t>Conjure an opulent mansion several stories tall.</t>
  </si>
  <si>
    <t>Rumormonger</t>
  </si>
  <si>
    <t>bard 2, inquisitor 2, medium 1, mesmerist 2, psychic 3</t>
  </si>
  <si>
    <t>1 rumor</t>
  </si>
  <si>
    <t>You utter a brief anecdote or bit of news as the verbal component of this spell and track its progress through a social gathering or other crowd. When someone who heard the rumor directly from you and repeated the rumor is within your range, they glow silver to your sight, though this glow doesn't occur if the creature is in disguise (unless it was in the same disguise at the time of casting). You can choose to follow the rumor by selecting any such creature in range, at which point the creatures who heard the rumor from you no longer glow silver, and now the creatures who heard the rumor from your chosen creature glow silver instead. You can follow the rumor's path until you reach a creature that heard the rumor but didn't repeat it (or repeated it incorrectly). The glow identifies only creatures who heard the same information you conveyed. Minor cosmetic changes in the rumor don't interrupt the chain, but when the rumor no longer resembles the information you imparted, the trail stops and the spell ends.  You can instead use this spell to trace a rumor back to its source once you hear it. In this case, you repeat the rumor as you heard it for the spell's verbal component. The person who told you the rumor can attempt a Will save to end the effect. Failure indicates the silver glow leads to the individual that told her. This process continues each time you locate the next individual spreading the same information. Each individual attempts the save until one of them succeeds (in which case the spell ends and you can't attempt to trace this particular rumor again) or you trace the rumor to its original source. As with the other application of the spell, tracing a rumor back fails to cause a creature to glow if it is in disguise, unless it was in the same disguise at the time of speaking the rumor.</t>
  </si>
  <si>
    <t>Follow a rumor to see where it spreads.</t>
  </si>
  <si>
    <t>Scripted Hallucination</t>
  </si>
  <si>
    <t>bard 5, magus 5, medium 4, mesmerist 5, occultist 5, psychic 5, sorcerer/wizard 5</t>
  </si>
  <si>
    <t>This spell functions as audiovisual hallucination (see page 204), except that the phantasm includes visual, auditory, olfactory, tactile, and thermal components, and the phantasm follows a complex script. The phantasm follows that script without y</t>
  </si>
  <si>
    <t>As complex hallucination, but without concentration.</t>
  </si>
  <si>
    <t>Selective Alarm</t>
  </si>
  <si>
    <t>bard 3, inquisitor 3, occultist 3, psychic 3, ranger 2, sorcerer/wizard 3, spiritualist 3, summoner/unchained summoner 3</t>
  </si>
  <si>
    <t>V, S, F/DF (a slender iron rod 1 foot in length)</t>
  </si>
  <si>
    <t>up to 20-ft.-radius emanation centered on a point in space</t>
  </si>
  <si>
    <t>This spell functions as alarm, except that you can tweak the spell to be more discerning in what types of creatures or objects trigger the alarm. Instead of being triggered whenever a creature of Tiny size or larger enters the warded area, you can set whatever triggering conditions you wish, as long as they are based on observable phenomenon. For example, you could cause the selective alarm to trigger when creatures of a certain race (such as orcs, bugbears, or kobolds) enter the area, or whenever a group of four or more creatures enters the area together, or when a metal object is brought into the area. You can't choose triggering conditions that rely on unobservable information, such as having it triggered when creatures of a certain alignment enter the area, nor could you have the alarm be triggered by "something worth more than 5,000 gp" entering the area, or even "a weapon" entering the area, because an item's value and classification as a weapon is subjective, and might vary from one person to the next.</t>
  </si>
  <si>
    <t>As alarm, but only against selected creatures.</t>
  </si>
  <si>
    <t>Shamefully Overdressed</t>
  </si>
  <si>
    <t>bard 2, inquisitor 2, mesmerist 2, psychic 3</t>
  </si>
  <si>
    <t>The target sees its own attire as hopelessly out of fashion, ostentatious, and embarrassing, and is filled with a compulsion  to strip off all clothing. Each round, the target must spend a move action to remove a worn item that can be removed with a move action, dropping the item once it is removed. The target doesn't distinguish between magical and nonmagical items when removing them. Each round it removes an item as determined randomly from the following slots: belt, body, chest, eyes, feet, hands, head, headband, shoulders, or wrists. When determining randomly, don't include any slots if the character has no item of that sort, and don't include items that take more than one move action to remove. Though creatures can't have more than one magic item in any of those slots, they can have multiple mundane items that fit each slot, in which case randomly decide which one they remove. If a target is wearing clothing that doesn't fit in any of those slots, such as breeches or a quiver, add it to the list of possibilities at the GM's discretion.  The target regards the discarded items with revulsion, and if forced to touch such an item (such as with a melee or ranged touch attack using the item as an improvised weapon), the target becomes sickened for 1d3 rounds. Other than the move action to remove items, the character can take whatever actions it chooses.</t>
  </si>
  <si>
    <t>Force target to remove equipment.</t>
  </si>
  <si>
    <t>Shifted Steps</t>
  </si>
  <si>
    <t>alchemist 2, antipaladin 2, bard 2, inquisitor 2, magus 2, medium 2, mesmerist 2, occultist 2, psychic 2, sorcerer/wizard 2, spiritualist 2</t>
  </si>
  <si>
    <t>one creature or object up to 10 feet across</t>
  </si>
  <si>
    <t>Will negates (harmless) and Will disbelief (if interacted with); see text</t>
  </si>
  <si>
    <t>You cause the target to sound as if it is elsewhere within range, including its movements, speech, and all other sounds. As long as you concentrate, you can cause the sound's apparent location to change as you see fit within range from your current location. Once you cease concentrating, the sound moves so that it remains the same relative distance and direction from the target. This spell can fool any sound-based blindsense or blindsight (including echolocation), but it can't fool other forms of detection such as other forms of blindsense or blindsight, lifesense, normal vision, and tremorsense. The target receives a saving throw against the effect if it doesn't wish for you to shift its sound, and any creature that interacts with the illusion receives a Will save to disbelieve the glamer.</t>
  </si>
  <si>
    <t>Make a target sound as if elsewhere.</t>
  </si>
  <si>
    <t>Swallow Poison</t>
  </si>
  <si>
    <t>alchemist 5, druid 5, shaman 5, witch 5</t>
  </si>
  <si>
    <t>A special gland grows on the inside of your throat, which absorbs any poisons that you ingest, and can be used to expel them in a toxic spray. Any time you consume ingested poison during the spell's duration, you can roll a caster level check against the poison's save DC in order to harmlessly absorb the poison, ignoring its effects. The spell can absorb up to 1 dose of poison per 3 caster levels, after which the gland is unable to process any more poison, and any further doses of ingested poison affect you normally.  You store each dose of absorbed poison within the gland, and you can end the spell to spray one dose of absorbed poison out of your mouth as a standard action. This sprays the poison in a 15-foot cone. Each creature in the area must succeed at a Reflex save (at swallow poison's DC) or be exposed to the sprayed poison, which is treated as though it were a contact poison for this purpose. Everything about the poison other than its type, including its frequency, effect, and saving throw DC, are unaffected by this spell. Any other doses of poison you had absorbed instantly become inert when you end the spell. If the spell's duration ends without you spraying a poison, all poisons you had absorbed become inert.</t>
  </si>
  <si>
    <t>Protect yourself from ingested poison, then spit it out in a cone.</t>
  </si>
  <si>
    <t>They Know</t>
  </si>
  <si>
    <t>emotionUM, fear</t>
  </si>
  <si>
    <t>bard 3, inquisitor 3, mesmerist 3, paladin 3, psychic 4, shaman 4, witch 4</t>
  </si>
  <si>
    <t>V, S, F/DF, M (a drop of black ink)</t>
  </si>
  <si>
    <t>one intelligent creature</t>
  </si>
  <si>
    <t>You instill a target with the fear that the nearest other intelligent creature knows her darkest secret. If she is in the midst of another situation as vital as protecting her darkest secret, such as combat, this doesn't cause her to cease participating, but otherwise, she becomes compelled to use her abilities and skills to determine exactly how much the other individual knows. Even if she isn't around other creatures or otherwise avoids confronting her paranoia for a time, the nagging fear causes the target to become shaken for the duration of the spell (though this doesn't stack with other fear effects to make the target frightened or panicked).  The subject's paranoia increases over time, forcing her to take additional steps to protect herself from the other creature. Depending on her personality (or subject to the GM's discretion), she might confess, publicly demand to know what the other creature knows, attack the other creature to silence it, or offer the other creature a bribe.  The spell fails if the target truly feels she has nothing to hide.</t>
  </si>
  <si>
    <t>Convince target that a nearby creature knows her greatest secret.</t>
  </si>
  <si>
    <t>Trace Teleport</t>
  </si>
  <si>
    <t>psychic 4, sorcerer/wizard 5</t>
  </si>
  <si>
    <t>V, S, F (a magnifying lens)</t>
  </si>
  <si>
    <t>40 feet</t>
  </si>
  <si>
    <t>You immediately become aware of any teleportation effects that begin or end within the spell's area. The spell's area radiates from you and moves as you move. You know the exact origin point of any teleportation effect that originates within the spell's area, and the exact end point of any teleportation effect that terminates within the spell's area. Further, you can detect the lingering traces of any teleportation effect that occurred up to 1 hour previously, in the same fashion. You intuitively know, to the nearest minute, when the teleportation effect occurred.  Whenever you detect the origin point or termination point of any teleportation effect with this spell, you can study that origin point or termination point for 1 round. If you do, you can attempt a caster level check (DC = 11 + the teleportation effect's caster level), taking a -5 penalty if the effect occurred more than 1 minute ago. If you succeed, you gain a glimpse of the teleportation effect's termination point (if you detected an origin point) or origin point (if you detected a termination point). This glimpse lasts long enough for you to get a brief look at the area, but not long enough to scrutinize it in detail. It doesn't come with any geographic knowledge of the location, so it is not sufficient for teleport or similar magic. You can't retry the caster level check, even if you cast trace teleport again.</t>
  </si>
  <si>
    <t>Determine where and when teleportation occurred, and glimpse the origin or destination.</t>
  </si>
  <si>
    <t>Trade Items</t>
  </si>
  <si>
    <t>bard 3, mesmerist 3, sorcerer/wizard 4, summoner/unchained summoner 3</t>
  </si>
  <si>
    <t>V, S, F (any held object weighing no more than 5 lbs./level)</t>
  </si>
  <si>
    <t>You cause the target object and the object used as a focus for the spell to immediately swap places. The target object appears in your hand (or falls to the ground in your square if you are unable to hold it). The stronger the connection between the two objects, the more difficult the spell is to resist, as indicated on the table below. The modifiers are cumulative.  Similarity DC  The two objects are the same type of object (such as +1 "keys," "swords," "scrolls")  The two objects are made of the same material +1  The two objects have the same weight +1 (accurate to the nearest ounce)  The two objects are part of the same set or made +2 in the exact same mold  The target object has a higher gp value than the focus item -2  The target object is tied its holder, such as a bonded item -2</t>
  </si>
  <si>
    <t>Swap a focus object with a target object.</t>
  </si>
  <si>
    <t>Treacherous Teleport</t>
  </si>
  <si>
    <t>magus 6, occultist 6, psychic 6, sorcerer/wizard 6, spiritualist 6, summoner/unchained summoner 6, witch 6</t>
  </si>
  <si>
    <t>This spell functions as teleport except that you can opt to intentionally cause any number of the creatures traveling with you to suffer a mishap or arrive in a specific different location you visualize simultaneously with the original destination, or both.  Attempts to identify treacherous teleport with a skill check incorrectly identify it as teleport ( see t he r use d escriptor o n page 192).</t>
  </si>
  <si>
    <t>As teleport, except you choose some creatures to suffer a mishap or go elsewhere.</t>
  </si>
  <si>
    <t>Triggered Hallucination</t>
  </si>
  <si>
    <t>bard 6, magus 6, mesmerist 6, occultist 6, psychic 6, sorcerer/wizard 6</t>
  </si>
  <si>
    <t>V, S, M (jade dust worth 25 gp)</t>
  </si>
  <si>
    <t>permanent until triggered, then 1 minute/level</t>
  </si>
  <si>
    <t>This spell functions as audiovisual hallucination (see page 204), except that this spell's phantasm has no apparent effect until a specific condition occurs. You must overcome the target's spell resistance to plant the triggered hallucination, but the target doesn't attempt a Will save to disbelieve the illusion until the condition occurs (at which point it receives an automatic Will save, as with audiovisual hallucination). The phantasm can include auditory, olfactory, visual, tactile, and thermal elements, including intelligible speech.  You set the triggering condition (such as hearing a certain word or seeing a type of creature) when casting the spell. The event that triggers the illusion can be as general or detailed as desired but must be based on an audible, tactile, olfactory, or visual trigger. The trigger can't be based on any quality not  normally obvious to the senses, such as alignment. Triggered hallucination uses the target's senses to notice triggers.</t>
  </si>
  <si>
    <t>As scripted hallucination, but it only appears when triggered.</t>
  </si>
  <si>
    <t>True Prognostication</t>
  </si>
  <si>
    <t>cleric/oracle 8, psychic 8, shaman 8, witch 8</t>
  </si>
  <si>
    <t>V, S, M (rare incense and tonics worth 1,000 gp)</t>
  </si>
  <si>
    <t>True prognostication functions as divination except that the spell can see up to 100 years into the future. Because of the extreme unpredictability of the far-distant future, true prognostication is incredibly cryptic when used to learn about events on such large a scale.</t>
  </si>
  <si>
    <t>Gain incredibly cryptic information from the distant future.</t>
  </si>
  <si>
    <t>Underbrush Decoy</t>
  </si>
  <si>
    <t>one non-creature plant of size Tiny, Small, or Medium</t>
  </si>
  <si>
    <t>You cause a plant to rustle noisily, distracting nearby creatures. You can attempt a Bluff check to create a distraction to hide, using your caster level + your Wisdom modifier in place of your total Bluff skill bonus and applying the result to all creatures within 30 feet. You count the target as distracted, as do any creatures that knew about your distraction in advance. Creatures might not be distracted if they detect you casting the spell or otherwise anticipate your subterfuge.</t>
  </si>
  <si>
    <t>Create a rustling distraction to hide.</t>
  </si>
  <si>
    <t>Undetectable Trap</t>
  </si>
  <si>
    <t>antipaladin 2, occultist 3, ranger 2</t>
  </si>
  <si>
    <t>V, S, M (a square of black silk worth 50 gp)</t>
  </si>
  <si>
    <t>trap touched</t>
  </si>
  <si>
    <t>You shroud a single trap with a powerful illusion to make it more difficult to locate. Spells like detect magic can't locate any magic aura from either the target trap or from undetectable trap. Furthermore, a character under the effect of the find traps spell doesn't receive an automatic chance to locate the target trap when she comes within 10 feet of it, and the bonus on Perception checks from find traps doesn't apply to attempts to notice the target trap. Add 1/2 your caster level to the DC for any creature without the trapfinding class ability to notice the target trap with Perception checks.  A ranger with the ranger traps class feature (Pathfinder RPG Ultimate Magic 64) can cast this spell on a ranger trap he creates as part of the same action he uses to prepare a ranger trap. This doesn't reduce the spell's casting time if such a ranger casts this spell on an ordinary trap, even one that he created himself using Craft (traps).</t>
  </si>
  <si>
    <t>Make a trap extremely difficult to find.</t>
  </si>
  <si>
    <t>Unerring Tracker</t>
  </si>
  <si>
    <t>alchemist 5, druid 6, occultist 4, ranger 4</t>
  </si>
  <si>
    <t>During this spell's duration, you can touch the sign of a creature's passage that you have identified using the Survival skill to make the other steps in the creature's path perfectly clear to you, no matter how minute. This trail can't be more than 24 hours old. You can follow the trail at any speed, provided you have line of sight to the trail. You can distinguish the trail of the particular creature followed even if it joins and splits with other trails. Once you have selected a trail to follow using this spell, it can't be changed.  The spell is unable to follow teleportation or interplanar travel for any distance. The trail appears to end where the creature teleported (though a successful Spellcraft check allows you to determine the method of teleportation, if a spell was used). Unerring tracker can't track creatures under the effect of a pass without trace spell, as those creatures leave no trail at all, but can track creatures using nondetection (though not mind blank).  This spell can be used to track flying creatures, but the trail must at least begin on a solid surface.  This spell doesn't reveal the creature's current position or any shorter path than the one it followed (for instance, it will not reveal that the creature doubled back upon the trail until you reach the point where the creature turned around.) It doesn't reveal traps or other hazards along the trail.</t>
  </si>
  <si>
    <t>Follow an entire trail unerringly.</t>
  </si>
  <si>
    <t>Urban Step</t>
  </si>
  <si>
    <t>bard 2, magus 3, occultist 3, sorcerer/wizard 3, summoner/unchained summoner 3</t>
  </si>
  <si>
    <t>V, S, M (scrap of cobweb)</t>
  </si>
  <si>
    <t>two doors or other portals in range</t>
  </si>
  <si>
    <t>You set up a magical connection between two doors (or other physical portals, such as windows) that both must be within range, line of sight, and line of effect. During the spell's duration, you can move through one of the two portals. When you do, you teleport to the other portal, emerging in either direction. Both portals must be open and unobstructed when you cast the spell and enter the first portal, and they both must be large enough for you to fit through, otherwise the spell ends and the teleportation fails. You can bring along objects as long as their combined weight doesn't exceed your maximum load. You can't bring other creatures with you, and other creatures that go through the portals don't teleport. Once you step through, the spell ends and you can't take any other actions until your next turn.</t>
  </si>
  <si>
    <t>Step into one doorway and out another.</t>
  </si>
  <si>
    <t>Vicarious View</t>
  </si>
  <si>
    <t>bard 4, medium 3, mesmerist 4, occultist 4, psychic 4, shaman 4, sorcerer/wizard 4, spiritualist 4, witch 4</t>
  </si>
  <si>
    <t>You plant a scrying sensor on a touched creature, object, or point in space, allowing you to see and hear the creature, object, or point and its surroundings (approximately 10 feet in all directions). If the creature or object on moves, the sensor moves with it. Unlike other scrying spells, vicarious view doesn't allow magically or supernaturally enhanced senses to work through it.</t>
  </si>
  <si>
    <t>Plant a scrying sensor that you can use to spy on a creature, object, or location.</t>
  </si>
  <si>
    <t>Voluminous Vocabulary</t>
  </si>
  <si>
    <t>alchemist 3, bard 2, cleric/oracle 3, inquisitor 2, medium 2, mesmerist 2, occultist 2, psychic 3, shaman 4, sorcerer/wizard 3, spiritualist 3, witch 3</t>
  </si>
  <si>
    <t>V, S, M (a quill)</t>
  </si>
  <si>
    <t>You choose any language (except for secret languages, such as Druidic). The target gains the ability to speak, understand, read, and write that language. When you cast this spell, you can attempt a DC 15 Linguistics check. If you succeed, choose an additional language, plus one more language for every 10 by which your check result exceeded the DC.  Written material can be read at the rate of one page (250 words) per minute. As with comprehend languages, this spell doesn't impart insight into material the target read, just the literal meaning, and it doesn't allow the target to read magical writing or decipher codes.  If the target lacks the mental capacity to grasp a language, it still gains enough knowledge to respond to and carry out even extremely complex commands or suggestions coached in the language (whether written or spoken). However, since this spell endows the target merely with a temporarily enhanced vocabulary, the person offering instructions to nonsentient creatures must take care to avoid metaphors or any other ambiguity.</t>
  </si>
  <si>
    <t>Grant ability to speak, read, and write one or more languages for 8 hours.</t>
  </si>
  <si>
    <t>Wizened Appearance</t>
  </si>
  <si>
    <t>alchemist 1, bard 1, medium 1, mesmerist 1, occultist 1, psychic 1, sorcerer/wizard 1, witch 1</t>
  </si>
  <si>
    <t>You polymorph your target to look like an older version of itself. You select how much older (for example, "10 years older" or "as an adult"). You can't otherwise change the target's appearance other than those details directly associated with aging (for example, a target's hair might turn gray or the target might develop liver spots). This spell allows children of creatures that are Medium or smaller when fully grown to grow one size category to the normal, adult size of that type of creature, but otherwise the selected age increase doesn't alter the creature's size. A change in size doesn't alter the target's ability scores. This spell doesn't affect or cause any age-based modifications to ability scores or other age-related effects like dragon age categories or natural metamorphoses.  Wizened appearance and youthful appearanceUM counter and dispel each other.</t>
  </si>
  <si>
    <t>Make a target appear as an older version of itself.</t>
  </si>
  <si>
    <t>Guardian Armor</t>
  </si>
  <si>
    <t>antipaladin 1, bloodrager 1, cleric/oracle 1, inquisitor 1, magus 1, occultist 1, paladin 1, sorcerer/wizard 1</t>
  </si>
  <si>
    <t>V, S, F (armor worn)</t>
  </si>
  <si>
    <t>one willing creature; see below</t>
  </si>
  <si>
    <t>This spell teleports the suit of armor you are wearing off of your body and onto an ally within range; the target must be the same size and general shape as you. This armor appears on the target's body fully formed and properly donned, granting the creature the immediate benefit of its protection. If the target of guardian armor was already wearing armor, the armor wearing it is removed from the target's body and falls undamaged into an adjacent square.</t>
  </si>
  <si>
    <t>Armor Masters Handbook</t>
  </si>
  <si>
    <t>Revenant Armor</t>
  </si>
  <si>
    <t>antipaladin 3, cleric/oracle 4, magus 4, medium 4, occultist 4, paladin 3, shaman 3, sorcerer/wizard 4, spiritualist 3, witch 3</t>
  </si>
  <si>
    <t>V, S, F (one suit of armor)</t>
  </si>
  <si>
    <t>one suit of armor</t>
  </si>
  <si>
    <t>1 day/level or 1 hour/level; see below</t>
  </si>
  <si>
    <t>This spell endows a suit of armor with a singular purpose realized only after its wearer goes unconscious or is killed; whenever the wearer of a suit of armor warded by revenant armor is brought below 0 hit points or otherwise rendered unconscious (but not paralyzed or held) in combat, the armor is immediately brought to life as a Medium animated object. This animated suit of armor still contains the unconscious (or dead) body of its former wearer and moves with a shambling gait at a speed of 20 feet. This animated object has average hit points and, if the armor is made from metal, it has the metal animated object extraordinary ability (plus additional abilities based on the type of metal, as indicated on page 14 of the Pathfinder RPG Bestiary). Once animated, the revenant armor remains standing (and stands if knocked prone, doing so without provoking attacks of opportunity), and prevents the wearer of the armor from being considered helpless. If an ally of the wearer is within range of the armor, she can direct it to move, though it refuses to go anywhere that requires a skill check. If grappled or otherwise restrained, it can attempt to break free with a Strength score equal to your caster level and a CMB equal to 1 + your caster level + the armor's Strength modifier. If the armor's wearer is reduced to dust, made conscious, or removed from the armor, the spell ends.</t>
  </si>
  <si>
    <t>Shield Of Shards</t>
  </si>
  <si>
    <t>bloodrager 1, cleric/oracle 2, inquisitor 2, magus 2, medium 2, paladin 1, shaman 2</t>
  </si>
  <si>
    <t>V, S, F (a shield)</t>
  </si>
  <si>
    <t>one shield you wield</t>
  </si>
  <si>
    <t>This defensive spell must be cast on a shield you are currently wielding, and fractures the shield into two shards, plus one additional shard per 2 caster levels (to a maximum of 12 shards at 20th level). While shield of shards is active, you lose your shield's bonus to AC as its broken pieces orbit you. On your turn, you can direct the shards to attack an adjacent opponent as a move action. The shards' attack bonus is equal to your caster level + the modifier for the ability score that determines your spell save DCs. The shards deal an amount of slashing and piercing damage equal to 1d4 points + 1 point per shard beyond the first, and have a threat range of 19-20. They are considered magic weapons for the purpose of bypassing damage reduction. Additionally, if your shield is made from a special material (such as adamantine), the shards penetrate damage reduction and hardness as if they were weapons made from the same material.  At the end of this spell's duration, the shards reform into their original shield form. You regain its shield bonus to AC, provided you still have a free hand in which to wield it. Otherwise, the shield falls at your feet in your square.</t>
  </si>
  <si>
    <t>Spiritual Squire</t>
  </si>
  <si>
    <t>antipaladin 2, cleric/oracle 2, inquisitor 2, paladin 2, shaman 2, spiritualist 2</t>
  </si>
  <si>
    <t>This spell causes an ally made of pure force to appear in a single 5-foot square within range. The ally takes the form of a servant of your god (if any) or an ancestor. The spiritual squire occupies its space, though you and your allies can move through it, since it is your ally. While the spiritual squire appears to wear armor and carry a weapon, it cannot make attacks and does not threaten any spaces. On your turn, the spiritual squire can do one of the following: retrieve one stowed item from your possessions, carry an object weighing no more than 10 pounds per caster level, hand you an object it is carrying, perform the aid another action on your behalf or for one of your allies, or help one creature of your choice don armor (which then takes half the normal time). When the spiritual squire attempts the aid another action in combat, its attack bonus is equal to your base attack bonus + your Wisdom modifier.  Each round after the first as a swift action, you can order the spiritual squire to move. It has a speed of 30 feet. Being a construct of force, the spiritual squire cannot be harmed by any physical attacks, but disintegrate, dispel magic, a rod of cancellation, or a sphere of annihilation affects it. A spiritual ally's AC against touch attacks is 10.</t>
  </si>
  <si>
    <t>Bone Fists</t>
  </si>
  <si>
    <t>bloodrager 2, cleric/oracle 2, druid 2, psychic 2, shaman 2, sorcerer/wizard 2, witch 2</t>
  </si>
  <si>
    <t>V, S, M (the knucklebone of a dire animal)</t>
  </si>
  <si>
    <t>1 creature/level, no two of which can be more than 30 feet apart</t>
  </si>
  <si>
    <t>The bones of your targets' joints grow thick and sharp, protruding painfully through the skin at the knuckles, elbows, shoulders, spine, and knees. The targets each gain a +1 bonus to natural armor and a +2 bonus on damage rolls with natural weapons, and they are treated as having armor spikes, with which they are proficient.</t>
  </si>
  <si>
    <t>Magic Tactics Toolbox</t>
  </si>
  <si>
    <t>Flash Forward</t>
  </si>
  <si>
    <t>alchemist 4, antipaladin 4, bard 4, bloodrager 4, inquisitor 4, magus 4, medium 4, occultist 4, paladin 4, psychic 5, sorcerer/wizard 5</t>
  </si>
  <si>
    <t>V, S, F (a single gear or bit of clockwork)</t>
  </si>
  <si>
    <t>You cheat the laws of time and enter into combat before reverting back to your original position. As part of the action to cast the spell, you make a charge attack against an enemy. You make this charge attack normally, accounting for terrain,  obstacles, attacks of opportunity, attack rolls, and damage rolls. At the end of your charge action, you instantly teleport back to your original location as a free action. Any damage or conditions dealt by you or to you during this action are real and remain when you return to your original location.</t>
  </si>
  <si>
    <t>Particulate Form</t>
  </si>
  <si>
    <t>cleric/oracle 7, occultist 5, psychic 7, sorcerer/wizard 7, witch 7</t>
  </si>
  <si>
    <t>V, S, M (a pinch of fine sand)</t>
  </si>
  <si>
    <t>The targets' physical forms undergo a bizarre transformation. They look and function normally, but are composed of countless particles that separate and reconnect to remain whole. Each target gains fast healing 1 and is immune to bleed damage, critical hits, sneak attacks, and other forms of precision damage. The value of this fast healing increases by 1 at caster levels 10th, 15th, and 20th. Any target can end the spell effect on itself as a swift action; the target then regains 5d6 hit points and can attempt an additional saving throw against any one disease or poison affecting it (at the original save DC), ending that disease or poison with a successful saving throw.</t>
  </si>
  <si>
    <t>Phasic Challenge</t>
  </si>
  <si>
    <t>cleric/oracle 8, psychic 8, shaman 8, sorcerer/wizard 8, spiritualist 6, witch 7</t>
  </si>
  <si>
    <t>V, S, M (a scrap of a knight's banner)</t>
  </si>
  <si>
    <t>two creatures within 60 feet of one another; see text</t>
  </si>
  <si>
    <t>Will negates (see below)</t>
  </si>
  <si>
    <t>You select one enemy and one willing ally as targets. The enemy gains a new Will saving throw at the beginning of each turn, and on a successful saving throw the spell ends. Both targets remain visible and audible, and can see and hear other creatures, but cannot physically interact with any creature save one another. Spells or weapon attacks from the affected creatures impact only each other, though spells might affect terrain or other factors not related to other creatures. If one of the creatures becomes unconscious or dies, or if the effect is dispelled, the effect ends for both of them.</t>
  </si>
  <si>
    <t>Spellcurse</t>
  </si>
  <si>
    <t>antipaladin 2, cleric/oracle 3, inquisitor 2, occultist 4, psychic 3, shaman 4, witch 3</t>
  </si>
  <si>
    <t>V, S, M (a fragment of a destroyed magical item)</t>
  </si>
  <si>
    <t>You disrupt any spell energy affecting your target, causing that energy to crackle with power and harm the target. The target takes 1d6 points of damage for each spell with a duration of 1 round or greater currently affecting it. The spells themselves are not dispelled or modified.</t>
  </si>
  <si>
    <t>Warp Metal</t>
  </si>
  <si>
    <t>bloodrager 4, cleric/oracle 4, druid 4, medium 4, occultist 4, psychic 4, sorcerer/wizard 4</t>
  </si>
  <si>
    <t>V, S, M (a twisted wire)</t>
  </si>
  <si>
    <t>1 Small wooden object/level, all within a 20-ft. radius; see text</t>
  </si>
  <si>
    <t>You cause metal to bend and warp, permanently destroying its straightness, form, and strength. A warped door springs open (or becomes stuck, requiring a successful Strength check to open, at your option). A vehicle grinds to a halt and ceases to operate. Warped ranged weapons are useless. A warped melee weapon imposes a -4 penalty on attack rolls.  You can warp one Small or smaller object or its equivalent per caster level. A Medium object counts as two Small objects, a Large object as four, a Huge object as eight, a Gargantuan object as 16, and a Colossal object as 32.  Alternatively, you can unwarp metal (effectively warping it back to normal) with this spell. Make whole, on the other hand, does nothing to repair a warped item.  You can combine multiple consecutive castings of warp metal to warp (or unwarp) an object that is too large for you to warp with a single casting. Until the object is completely warped, it suffers no ill effects.</t>
  </si>
  <si>
    <t>Biting Words</t>
  </si>
  <si>
    <t>bard 1, bloodrager 1</t>
  </si>
  <si>
    <t>Your voice becomes suffused with magic so that you can harm your opponents with but a word. As a standard action, you can target one  opponent within 30 feet with a ranged touch attack by speaking to it, dealing an amount of damage equal to 1d6 + your Strength or Charisma modifier, whichever is higher. The damage dealt is bludgeoning, piercing, and slashing damage and can be reduced by damage reduction. Each attack you make reduces the spell's remaining duration by 1 minute. If an attack reduces the remaining duration to 0 minutes or less, the spell ends after the attack resolves.  You can attack with biting words by shouting instead of speaking intelligibly. When doing so, the amount of damage dealt by the attack is reduced to 1d4 + 1/2 your Strength or Charisma modifier (whichever is higher), but the spell doesn't count as having the language-dependent descriptor for that attack.</t>
  </si>
  <si>
    <t>Bouncing Bomb Admixture</t>
  </si>
  <si>
    <t>Upon drinking an extract created with this formula, you make a significant change to your magical reserve that modifies the nature of the next bomb you create and throw during this extract's duration. This effect on your magical reserve has no effect on any discoveries that you use to modify your bombs, but you can only have one admixture effect (a formula with "bomb admixture" in its title) active at a time. If you drink another bomb admixture, the effects of the former bomb admixture end and the new one becomes active.  When you throw your next bomb, choose one target that would normally be hit by the bomb's splash damage. The target is affected as if it suffered a direct hit from the bomb instead.</t>
  </si>
  <si>
    <t>Release The Hounds</t>
  </si>
  <si>
    <t>bard 5, druid 5, shaman 5, sorcerer/wizard 5, summoner/unchained summoner 5, witch 5</t>
  </si>
  <si>
    <t>V, S, M/DF (shards of a canine's fang)</t>
  </si>
  <si>
    <t>one pack of canines</t>
  </si>
  <si>
    <t>This spell summons a pack of canines that respond to the spellcaster's commands and act in perfect unison, causing them to function like a swarm. The pack uses the statistics for a winter wolf (Pathfinder RPG Bestiary 280), except it loses its breath weapon, the cold subtype, and its cold special attack and gains the swarm subtype, a swarm attack that deals 3d6 points of damage, and the distraction special attack (DC 17). Whenever the pack damages an opponent with its swarm attack, it can immediately attempt a trip combat maneuver check against that creature with its trip special attack. The pack does not gain any damage reduction or immunity to damage and can be attacked by effects that target a specific number of creatures, though such attacks deal 1/4 the normal amount of damage (25%) and effects that don't deal hit point damage are only 25% likely to work.</t>
  </si>
  <si>
    <t>Roaming Pit</t>
  </si>
  <si>
    <t>cleric/oracle 6, druid 6, psychic 6, sorcerer/wizard 5, summoner/unchained summoner 5</t>
  </si>
  <si>
    <t>V, S, M (powered diamond dust worth 10 gp)</t>
  </si>
  <si>
    <t>mobile 10-ft.-by-10-ft. hole, 10 ft. deep/2 levels</t>
  </si>
  <si>
    <t>This spell functions as create pitAPG, except the pit is capable of movement. As a move action, you can direct the pit to move up to 20 feet, though it must always remain on a horizontal surface large enough to accommodate its area. If the pit's movement causes it to share a space with a creature on the same horizontal surface, that creature must succeed at a Reflex saving throw or fall into the pit. Any creature that avoids falling into the pit when it reaches its new destination moves to the nearest safe space. Creatures that fall into the pit move with it if it is relocated.</t>
  </si>
  <si>
    <t>Wall Of Bone</t>
  </si>
  <si>
    <t>antipaladin 4, bloodrager 4, cleric/oracle 4, psychic 4, sorcerer/wizard 4, spiritualist 4</t>
  </si>
  <si>
    <t>V, S, M (a polished humanoid femur)</t>
  </si>
  <si>
    <t>solid wall of humanoid bones with an area of up to one 5-ft. square/level</t>
  </si>
  <si>
    <t>This spell creates a vertical wall of skeletal arms that attaches itself to any solid surface. The wall of bone works identically to wall of stone e xcept a s n oted a bove a nd i n t his s pell description. The wall of bone is 1 inch thick per 4 caster levels and composed of up to one 5-foot square per level. The wall created must be vertical, and must rest upon a firm foundation. It cannot be used to bridge a chasm, for instance, or to act as a ramp. Each 5-foot square of the wall has hardness 4 and 7 hit points per inch of thickness. A section of wall whose hit points drops to 0 is breached. If a creature tries to break through the wall with a single attack, the DC of the Strength check is equal to 15 + 2 per inch of thickness.  For each creature adjacent to the wall, the skeletal hands attempt a combat maneuver check to grapple it. The skeletal hands do not provoke attacks of opportunity. They make their attacks at the start of your turn, when the wall is summoned, or when an enemy first moves adjacent to the wall. The skeletal hands' CMB is equal to your caster level, and they can grapple a Huge or smaller creature with no penalty.  If the wall successfully grapples a foe, that foe takes 1d6 points of damage and gains the grappled condition. Grappled opponents cannot move without first breaking the grapple. All other movement is prohibited unless the creature breaks the grapple first. The wall cannot move or pin foes. Each round the wall succeeds at a grapple combat maneuver check, it deals 1d6 additional points of damage. The CMD of the wall, for the purposes of escaping the grapple, is equal to 10 + its CMB.</t>
  </si>
  <si>
    <t>Akashic Communion</t>
  </si>
  <si>
    <t>bard 3, medium 3, mesmerist 4, occultist 3, psychic 3, shaman 3, sorcerer/wizard 4, spiritualist 4, witch 3</t>
  </si>
  <si>
    <t>V, S, M/DF (a square of reflective silver worth 100 gp)</t>
  </si>
  <si>
    <t>You attempt to obtain a glimpse of some specific event from the Akashic Record (Occult Adventures 244), the extraplanar repository of all experiences that have ever occurred. This allows you to attempt one Knowledge skill check of your choice per 3 caster levels you have, each with a +10 insight bonus. You are treated as trained in any Knowledge skills used for these checks, and can use this spell to reroll a Knowledge skill check you have already failed. The GM rolls these Knowledge checks in secret, as the Akashic Record is incredibly remote, and impressions gleaned from the distant repository are sometimes skewed when received. On a natural 1, the resulting answer is wildly inaccurate.  This spell provides experiential guidance based on your ability to understand the flashes of insight gleaned from the Akashic Record, rather than the perfect knowledge available to those who travel to the extraplanar repository of knowledge. If you lag, discuss the answers, or go off to do anything else, the spell ends. Once you have used this spell to gain information on a specific topic or event, you cannot use it for Knowledge checks regarding that topic or event again until you have gained a caster level.</t>
  </si>
  <si>
    <t>Bind Sage</t>
  </si>
  <si>
    <t>occultist 5, psychic 5, shaman 5, sorcerer/wizard 4, summoner/unchained summoner 4, witch 5</t>
  </si>
  <si>
    <t>one caulborn (Pathfinder RPG Bestiary 3 48)</t>
  </si>
  <si>
    <t>This variant of planar binding is specifically used to call one of the most knowledgeable types of outsiders: the immortal and prophetic caulborn (Pathfinder RPG Bestiary 3 48). This spell calls a single caulborn into a specially prepared trap. The caster of this spell can compel a bound caulborn only to provide information (using its Knowledge skills or detect thoughts); attempts to compel the caulborn to fight, guard a location, or perform some other task automatically fail.  This spell otherwise functions as planar binding. The most effective gifts for a caulborn are unique books or intelligent creatures upon whose thoughts the caulborn can feed. The true names of caulborn are nearly impossible to discover, as they are not inherently individualistic, but certain reclusive scholar communities in Kaer Maga may know titles by which specific caulborn can be called.</t>
  </si>
  <si>
    <t>Secluded Grimoire</t>
  </si>
  <si>
    <t>magus 1, sorcerer/wizard 1</t>
  </si>
  <si>
    <t>spellbook touched</t>
  </si>
  <si>
    <t>This spell sends a spellbook into a random but safe location on the Ethereal Plane, where it remains indefinitely. When you cast this spell, the target spellbook dissolves into quickly fading lines of energy and runes that reflect all of the spells stored within. Thereafter, you can retrieve the spellbook by concentrating as a standard action, causing it to reappear in your hands. You cannot cast this spell on another spellbook if you currently have a spellbook in the Ethereal Plane. No other creatures or objects accompany the spellbook you send away, and the duration of any spells currently affecting the spellbook continue normally.</t>
  </si>
  <si>
    <t>Alaznist's Jinx</t>
  </si>
  <si>
    <t>antipaladin 4, bard 4, cleric/oracle 6, inquisitor 5, occultist 5, psychic 6, shaman 5, sorcerer/wizard 6, witch 5</t>
  </si>
  <si>
    <t>You inflict a curse similar to the spell burn spellblight (Pathfinder RPG Ultimate Magic 97) on a creature. Each time a spellcaster who is afflicted with this curse casts a spell or uses a spell-like ability, her skin seems to burn as though she were on fire. With a successful concentration check (DC = 15 + double the spell level of the spell cast or spell-like ability used), the spellcaster can ignore the pain of the effect, but if she fails, she loses the spell or spell slot and is staggered for a round.  Unlike with the spell burn spellblight, the burning sensation is a tangible effect, visible during the act of spellcasting as an incorporeal, violet flame surrounding the caster.</t>
  </si>
  <si>
    <t>Flexile Curse</t>
  </si>
  <si>
    <t>bard 3, cleric/oracle 5, inquisitor 3, psychic 5, sorcerer/wizard 5, witch 3</t>
  </si>
  <si>
    <t>You curse your target with a withering aura that degrades its armor and shield (if any). This reduces the hardness, armor bonus, and enhancement bonus of any armor or shield worn by the target by 1. For every hour the target wears a suit of armor or a shield, the hardness, armor bonus, and enhancement bonus are reduced by an additional 1. If the armor or shield's hardness is reduced to 0, anytime the target of the curse is struck while wearing that item, there is a 20% chance that it gains the broken condition. If the enhancement bonus of magic suit of armor or shield is reduced to 0, the armor or shield loses any other special abilities it had.  If the target removes the suit of armor or shield (even if it's broken or has been drained of all enhancement bonuses), the armor or shield regains its hardness, armor bonus, and enhancement bonus at the rate of 1 per 2 hours. A suit of armor or shield broken by this curse that regains its full hardness ceases to be broken. A magic suit of armor or shield that lost its special abilities regains them when its enhancement bonus is fully restored.</t>
  </si>
  <si>
    <t>Irregular Size</t>
  </si>
  <si>
    <t>antipaladin 3, bloodrager 4, cleric/oracle 3, medium 2, mesmerist 3, occultist 3, shaman 3, sorcerer/wizard 4, spiritualist 4, witch 3</t>
  </si>
  <si>
    <t>You curse a creature so one set of its limbs (typically its arms, legs, or wings) shrivels in size.  Arms: The creature counts as one size category smaller for the purpose of determining the size of weapon it can wield. If the creature is capable of making natural attacks with its arms, the damage dealt by those attacks decreases as though the target were one size category smaller than its actual size.</t>
  </si>
  <si>
    <t>Itching Curse</t>
  </si>
  <si>
    <t>antipaladin 1, bard 1, druid 1, inquisitor 1, occultist 1, shaman 1, sorcerer/wizard 1, witch 1</t>
  </si>
  <si>
    <t>one living creature with 5 HD or fewer</t>
  </si>
  <si>
    <t>You curse the target with a distracting, unbearable itch. Unless the target scratches as a move action, it takes a -1 penalty on attack rolls, saving throws, skill checks, and ability checks.</t>
  </si>
  <si>
    <t>Kalistocrat's Nightmare</t>
  </si>
  <si>
    <t>alchemist 2, bard 2, cleric/oracle 3, inquisitor 2, investigator 2, magus 2, occultist 2, sorcerer/wizard 3, witch 2</t>
  </si>
  <si>
    <t>V, S, M (a copper piece)</t>
  </si>
  <si>
    <t>You temporarily curse a creature so its touch lessens the value of coins it touches. While under the effects of this curse, whenever the target touches a coin of higher value than copper piece, that coin changes into a copper piece. The change takes place over the course of the following minute, allowing the target to interact with multiple coins before the effect of the curse becomes apparent. The affected coins are permanently transmuted from their previous material (typically gold or silver) into copper coins, though remove curse (which can affect up to 50 coins with a single casting) or a similar spell can restore them to their previous material.</t>
  </si>
  <si>
    <t>Lost Legacy</t>
  </si>
  <si>
    <t>bard 6, cleric/oracle 7, inquisitor 6, occultist 6, psychic 7, sorcerer/wizard 7, witch 6</t>
  </si>
  <si>
    <t>V, S, DF/F (a holy symbol of a dead or forgotten deity, or flag of a fallen or forgotten nation)</t>
  </si>
  <si>
    <t>You inflict a powerful curse on a touched creature that causes others to quickly forget positive aspects of their interactions with the target. The target cannot attempt a Diplomacy (or wild empathy or similar ability) check to improve the attitude of other creatures. Any creature that normally has an attitude of friendly or helpful toward the target must succeed at a Will save at the spell's normal saving throw DC each time it interacts with the target, or its attitude becomes indifferent. Once this curse is removed, creatures coming back into contact with the target regain their pleasant memories of it. If their attitudes toward the target have not been reduced from indifferent, their original attitudes are restored.</t>
  </si>
  <si>
    <t>Earsend</t>
  </si>
  <si>
    <t>alchemist 4, sorcerer/wizard 4, witch 4</t>
  </si>
  <si>
    <t>V, S, M (butterfly wing)</t>
  </si>
  <si>
    <t>You cause one of your ears to tear itself free of your body and transform into a fly-like magical creature you control. This functions like skinsendUM, except your ear is a Fine construct with a fly speed equal to your base speed and a bonus on Fly checks equal to half your caster level. Your sense of hearing functions from your animated ear as if it were connected to your head, allowing you to hear as well as you normally could from your animated ear's vantage point.</t>
  </si>
  <si>
    <t>Hidden Blades</t>
  </si>
  <si>
    <t>alchemist 2, antipaladin 2, bard 2, inquisitor 2, magus 2, sorcerer/wizard 2, summoner/unchained summoner 2</t>
  </si>
  <si>
    <t>V, S, M (a shard of glass)</t>
  </si>
  <si>
    <t>weapon or ammunition touched; see text</t>
  </si>
  <si>
    <t>You render a target weapon or up to 50 pieces of ammunition invisible, granting the wielder a +20 bonus on Sleight of Hand checks made to conceal the weapon or ammunition and a +5 circumstance bonus on Bluff checks to feint with the weapon or ammunition.</t>
  </si>
  <si>
    <t>Impenetrable Veil</t>
  </si>
  <si>
    <t>bard 6, mesmerist 6, psychic 9, sorcerer/wizard 9, spiritualist 6, witch 9</t>
  </si>
  <si>
    <t>V, S, M (dust from the Dimension of Dreams worth 1,250 gp)</t>
  </si>
  <si>
    <t>You enchant the target so it is nearly impossible to detect by both magical and mundane means, granting it the following benefits. The target gains a bonus on Stealth checks equal to half  your caster level, and can use Stealth to hide from all creatures attempting to perceive it, even when it lacks concealment or cover. It can attempt a Stealth check to avoid detection from creatures using blindsight, blindsense, or any ability that functions as either (such as lifesense or tremorsense). Furthermore, the target leaves no trail and cannot be tracked unless it chooses to leave a trail. If a creature attempts to discern the target's presence or location using divination magic (including magic items with a divination aura such as a crystal ball), that creature must succeed at a caster level check with a DC equal to the target's Stealth bonus to discern any information about the target, and on a failed check cannot do so for the spell's duration.</t>
  </si>
  <si>
    <t>Innocuous Shape</t>
  </si>
  <si>
    <t>alchemist 4, psychic 4, shaman 4, sorcerer/wizard 4, witch 4</t>
  </si>
  <si>
    <t>V, S, M (a handful of dandelion seeds)</t>
  </si>
  <si>
    <t>This spell transforms a creature into a Medium or smaller animal or humanoid of no more than 1 Hit Die. If you use this spell to cause the target to take on the form of an animal, the spell functions as beast shape II. If the form is that of a humanoid, the spell can function as alter self, youthful appearanceUM, or both, such that you can transform a creature into a generic, youthful humanoid of any type.  Any creature that interacts with the target of this spell must succeed at a Will saving throw (using the DC of the spell) or view the target in the most innocuous possible light. On a failed saving throw, the creature views all of the target's actions as inoffensive and no cause for concern unless the target becomes an obvious threat. The creature can otherwise act normally, and feels no compunction to obey or ignore the target; it simply assumes none of the target's actions are dangerous or malicious unless shown evidence that proves otherwise.</t>
  </si>
  <si>
    <t>Nondetection, Lesser</t>
  </si>
  <si>
    <t>alchemist 2, antipaladin 2, inquisitor 2, ranger 3, sorcerer/wizard 2, summoner/unchained summoner 2</t>
  </si>
  <si>
    <t>This spell functions like nondetection, except it blocks the effects of only divination spells and effects that target an area, rather than you or an object in your possession specifically. For example, lesser nondetection doesn't ward you against a spellcaster who is attempting to scry on you with the scrying spell or find an object in your possession with locate object, but it does protect  you against effects that target an area you happen to be in, such as detect spells or clairaudience/clairvoyance.</t>
  </si>
  <si>
    <t>Phantasmal Reminder</t>
  </si>
  <si>
    <t>antipaladin 3, bard 4, mesmerist 3, psychic 3, shaman 4, sorcerer/wizard 3, witch 3</t>
  </si>
  <si>
    <t>You create a memory loop of a successful attack made against the target, forcing its conscious mind to recall the details of the attack in such excruciating detail that its physical body is racked by the recollection. This spell can affect only a creature that has taken damage since the end of your last turn. The target first can attempt a Will save to recognize the attack as unreal. If it fails that saving throw, the target must succeed at a Fortitude save or take an amount of damage equal to 1d6 x your caster level (maximum 10d6). Because the damage is a quasi-real memory of existing wounds, this damage can't be reduced or prevented (such as by the shield other spell).  If the target of a phantasmal reminder attack succeeds at the Will save to disbelieve the memory loop and either has natural telepathy or is wearing a helm of telepathy, the memory of damage automatically rebounds to affect you. You must immediately attempt a Will save to disbelieve; if you fail, you take half the spell's damage yourself.</t>
  </si>
  <si>
    <t>Symbol Of Distraction</t>
  </si>
  <si>
    <t>bard 6, cleric/oracle 6, mesmerist 6, occultist 4, psychic 6, sorcerer/wizard 6, witch 6</t>
  </si>
  <si>
    <t>0 feet; see text</t>
  </si>
  <si>
    <t>This spell functions like symbol of death, except that all creatures within the radius of a symbol of distraction instead become fascinated by the symbol for 10 minutes per caster level. Unlike symbol of death, symbol of distraction has no hit point limit; once triggered, a symbol of distraction simply remains active for a duration of 10 minutes x your caster level. All fascinated creatures move toward the symbol of distraction, trying to remain within the symbol's area of effect. If the symbol leads affected creatures into a dangerous area, each fascinated creature can attempt an additional Will saving throw, with success indicating it is no longer fascinated. If a creature's view of the symbol is completely blocked, it is immediately freed of the symbol's effect.</t>
  </si>
  <si>
    <t>Touch Of Slumber</t>
  </si>
  <si>
    <t>bard 6, cleric/oracle 5, druid 5, psychic 6, shaman 5, sorcerer/wizard 5, witch 6</t>
  </si>
  <si>
    <t>V, S, M (a bit of seaweed)</t>
  </si>
  <si>
    <t>nonhostile creature touched</t>
  </si>
  <si>
    <t>This spell functions only against a creature with an attitude toward you of indifferent or better, and only if the target is not hostile toward you or your visible allies. A target touched by you (this touch usually requires a successful melee touch attack) must succeed at a Will saving throw or fall asleep for 2d6 hours. While asleep, the creature is helpless. For 1 minute after the creature is affected, any loud noise or rough contact causes it to awaken immediately. Thereafter, slapping or wounding an affected creature awakens it, but normal noise does not. Awakening a creature is a standard action (this is an application of the aid another action).</t>
  </si>
  <si>
    <t>Apathy</t>
  </si>
  <si>
    <t>bard 4, mesmerist 4, psychic 5, sorcerer/wizard 5, witch 5</t>
  </si>
  <si>
    <t>S, V, M (a shiny bead)</t>
  </si>
  <si>
    <t>You cause a creature to temporarily lose interest in a passion or pursuit, taking the heat off your trail to facilitate a getaway, the finalization of a scheme, or the elimination of incriminating evidence. When casting the spell, you designate a subject or activity about which the target becomes indifferent. While under the effects of apathy, the target takes a -5 penalty on all skill checks and ability checks to investigate, pursue, or otherwise advance its goals in relation to the designated subject. In most cases, however, the target does not attempt such checks if they can be avoided, as it simply has no interest in putting effort into the endeavor.  If the chosen activity is something that would be harmful for the target to refrain from doing (such as eating, sleeping, or holding its breath underwater), the target receives a +5 bonus on the saving throw or other check required by its inaction, and receives a new saving throw to negate the effects of this spell with the same +5 bonus immediately after. The bonus on these saving throws and checks increases by 1 for each subsequent check required by the same condition. If you directly interact with the target of this spell (such as engaging it in combat or targeting it with another spell or effect), the spell immediately ends.</t>
  </si>
  <si>
    <t>Inner Sea Intrigue</t>
  </si>
  <si>
    <t>Assumed Likeness</t>
  </si>
  <si>
    <t>bard 1, magus 2, medium 1, mesmerist 1, occultist 2, psychic 2, sorcerer/wizard 2</t>
  </si>
  <si>
    <t>You draw upon the memories of the targets to create a visual disguise for yourself that only they can see. When you cast the spell, you choose an emotion from the table below. Each target perceives you as a creature it feels that way toward. If it doesn't feel that way toward anyone, it instead perceives you as a stranger with features likely to  evoke that emotion (e.g., if you choose respect, a guard who was taught to respect her elders but who currently knows no elders might see you as an elderly version of yourself). Since you don't know how you will appear to each target, you must match your actions and statements to fit with the illusion as best you can. While the spell grants a +10 bonus on Disguise checks like disguise self does, you also take a -5 penalty on Disguise checks until you can get a sense of who the target thinks you are. Each target who fails to disbelieve the phantasm and is fooled by your Disguise check takes a -2 penalty on Sense Motive checks to notice your lies, and each emotion choice grants you an additional benefit against such targets, as listed in the table below.  Emotion Effect  Fear +4 bonus on Intimidate checks  Hate +2 bonus on attack rolls, -2 penalty to AC  Lust +4 bonus on Sleight of Hand checks  Respect +4 bonus on Diplomacy checks  Trust +4 bonus on Bluff checks</t>
  </si>
  <si>
    <t>Calistria's Guardian Wasps</t>
  </si>
  <si>
    <t>druid 3, psychic 3, ranger 3, sorcerer/wizard 3</t>
  </si>
  <si>
    <t>V, S, M (a glob of spiced honey)</t>
  </si>
  <si>
    <t>swarm of wasps that builds a nest; see text</t>
  </si>
  <si>
    <t>You summon a wasp swarm (Pathfinder RPG Bestiary 275) that builds a 10-foot-by-10-foot nest in the place you designate-typically under the eaves of a house, amid the rafters of a tavern, or in another obscured place. The wasp swarm takes the spell's casting time to build its nest; if the  swarm is disrupted in any way (such as by being attacked) before you finish casting this spell, the wasps disappear and the spell fizzles.  Once the wasp swarm has built its nest, this spell also wards the area. As per alarm, when intruders that do not speak the password pass within 20 feet, the swarm is alerted and immediately leaves its nest and attacks the nearest intruder. The swarm pursues that intruder as best it can. Once the swarm attacks an intruder, you have no control over its target or direction of travel. When the spell ends, if the wasps have not left their nest, they and their nest disappear.</t>
  </si>
  <si>
    <t>Commune With Texts</t>
  </si>
  <si>
    <t>bard 5, cleric/oracle 6, inquisitor 6, medium 4, occultist 4, psychic 6, sorcerer/wizard 5, spiritualist 6</t>
  </si>
  <si>
    <t>V, S, M (incense worth 250 gp)</t>
  </si>
  <si>
    <t>a collection of texts</t>
  </si>
  <si>
    <t>You quickly absorb the knowledge in the target, which can be any assortment of books, scrolls, or other texts. During the spell's duration, you can search the texts and immediately find the most relevant information regarding any topic the collection holds, potentially including singling out spellbooks or scrolls containing individual or particular types of spells. You can attempt Knowledge checks related to the collection's topics as if you were trained in those skills, and you know whether the collection contains any information about which you failed a Knowledge check in the past 24 hours. The bonus on Knowledge checks granted by the collection of texts (if any) increases by 2.  Additionally, you always deplete the maximum number of knowledge points from a library whenever you succeed at a Research check (Pathfinder RPG Ultimate Intrigue 148) using the target texts while this spell is in effect, even if completing the Research check takes longer than this spell lasts. Once during the duration of this spell, for a number of minutes equal to your caster level, you can also speak with the texts about anyone who has read or handled them previously, as per stone tell.</t>
  </si>
  <si>
    <t>Daggermark's Exchange</t>
  </si>
  <si>
    <t>alchemist 2, cleric/oracle 3, druid 2, occultist 3, psychic 3, sorcerer/wizard 3</t>
  </si>
  <si>
    <t>V, S, M (a dose of poison)</t>
  </si>
  <si>
    <t>You swallow a dose of poison with no effect and regurgitate a dose of a different poison (your choice) into the old container (or another you have on hand). Attempt a Craft (alchemy) check against the new poison's DC. If you succeed, you create a dose of your chosen poison. If you fail, the poison you regurgitate is inert. If you roll a natural 1, you expose yourself to the original poison (although you remain immune to that poison if you have venom immunity or a similar class feature or ability). The new poison's price must be the same as or less than the original poison's price.</t>
  </si>
  <si>
    <t>Diminished Detection</t>
  </si>
  <si>
    <t>S, V, M (a piece of wool)</t>
  </si>
  <si>
    <t>You can avoid being detected when you are on the edges of some divination spells' ranges. Whenever you would normally be within the area of effect of a detection spell (such as detect magic, detect evil, or detect undead), the area of effect is reduced by half for the purposes of the spell's caster detecting you or your possessions. The caster of the detect spell is unaware of this reduction in her spell's range; she simply does not detect you.</t>
  </si>
  <si>
    <t>Dongun Shaper's Touch</t>
  </si>
  <si>
    <t>alchemist 2, occultist 3, sorcerer/wizard 3</t>
  </si>
  <si>
    <t>You create an alchemical residue on your hands that allows you to reshape any nonmagical, unattended object with  hardness 19 or less as though it were clay. Objects with hardness 9 or less are like soft clay, allowing you to reshape up to 1 cubic foot per round of effort. Objects with hardness 10 or higher are harder to mold, allowing you to reshape up to 1/4 cubic foot per round. The object retains its new shape for 24 hours before returning to its original shape. This spell does not allow you to reshape a portion of a large object, such as a wall; you must be able to reshape the entire target within the spell's duration or the spell fizzles and has no effect.</t>
  </si>
  <si>
    <t>Dream Reality</t>
  </si>
  <si>
    <t>alchemist 5, bard 5, cleric/oracle 6, mesmerist 5, occultist 5, psychic 6, sorcerer/wizard 6</t>
  </si>
  <si>
    <t>You cause the target to perceive the world as if in a dream. When the spell ends, the target forgets all identifying details of events that transpired while the spell lasted. The memories were not taken from it; rather, its mind never recorded the memories as real in the first place. If modify memory is cast upon it before the spell ends, the target remembers these events. A target under the effect of lullaby before this spell is cast applies its penalty to the saving throw against this spell.</t>
  </si>
  <si>
    <t>Implant Urge</t>
  </si>
  <si>
    <t>bard 1, medium 1, mesmerist 1, sorcerer/wizard 1, spiritualist 1, witch 1</t>
  </si>
  <si>
    <t>You make the target unconsciously desire a goal you define when you cast this spell. The DC of any Diplomacy check to ask the target to act in a way that it believes will lead it toward that goal decreases by 5. The target takes a -2 penalty on saving throws against mind-affecting effects that compel it to act in a way that it believes will lead it toward that goal. Spells that reveal the target's goals or thoughts reveal the implanted urge as the target's most important goal and the target does not register as thinking of anything else as long as it is presented with the focus of its urge or a way to move toward its goal. Anyone studying the target's thoughts can notice the implanted nature of this urge with a successful caster level check.</t>
  </si>
  <si>
    <t>Inveigle Monster</t>
  </si>
  <si>
    <t>V, M (a drop of alcohol)</t>
  </si>
  <si>
    <t>This spell functions as inveigle person except as noted above.</t>
  </si>
  <si>
    <t>Inveigle Person</t>
  </si>
  <si>
    <t>You cause the target to become extremely amiable. The target treats all other living creatures as if it were friendly toward them. Any overtly hostile or harmful act toward the target by any living creature ends the spell.  An inveigled creature attempts to fulfill multiple requests in the same manner as it would favors for its true friends. If such requests conflict, it usually chooses the more reasonable option-overriding this preference requires succeeding at an opposed Charisma check, as if under multiple forms of mental control (Pathfinder RPG Core Rulebook 209).</t>
  </si>
  <si>
    <t>Nex's Secret Workshop</t>
  </si>
  <si>
    <t>medium 4, mesmerist 5, occultist 5, psychic 5, sorcerer/wizard 5, spiritualist 5, summoner/unchained summoner 5</t>
  </si>
  <si>
    <t>V, S, M (diamond dust worth 150 gp)</t>
  </si>
  <si>
    <t>any number of creatures or objects in range</t>
  </si>
  <si>
    <t>Designed to protect a large number of items from rivals of the Arclords of Nex, this spell functions as nondetection except as noted above. You can exclude any creatures or objects in the spell's range when casting this spell, if you wish.</t>
  </si>
  <si>
    <t>Oath Of Anonymity</t>
  </si>
  <si>
    <t>bard 0, inquisitor 0, medium 0, paladin 1, sorcerer/wizard 0</t>
  </si>
  <si>
    <t>You swear an oath not to reveal your identity, magically preventing anyone from discovering it so long as you avoid revealing your face or other easily identifiable features. The spell distorts your voice and subtly alters your body language and the appearance of your gear and any animals you use, whether as companions, mounts, or otherwise. This spell does not make you appear to be a different creature type, nor does it change your apparent height or body type.  This spell provides you with a +10 bonus on Disguise checks to conceal your identity, but not on checks to impersonate anyone in particular. This spell distorts the appearance of your voice, gear, and animals in the same way each time, essentially creating an alternate persona that can be recognized by those who have observed it before.</t>
  </si>
  <si>
    <t>Recorporeal Incarnation</t>
  </si>
  <si>
    <t>sorcerer/wizard 7, witch 7</t>
  </si>
  <si>
    <t>V, S, F (a gem worth at least 250 gp)</t>
  </si>
  <si>
    <t>one willing living creature and one humanoid corpse</t>
  </si>
  <si>
    <t>1 week/level</t>
  </si>
  <si>
    <t>Recorporeal incarnation effectively replaces the target living creature's body with that of the target corpse. The target corpse must be fresh-either dead for no more than 24 hours or appropriately preserved by an effect such as gentle repose. While casting the spell, you must remain in contact with the corpse while touching the living target with the focus item. As the spell is cast, the dead body's flesh unravels like ribbons to sheathe the living target, who must be within one size category of the corpse. While the spell is in effect, the focus item must remain within 30 feet of the target living creature.  The living target gains the physical appearance and size of the corpse, and gains its abilities as defined in alter self as well as any immunities, weapon proficiencies, weaknesses, and spell resistance the dead target had while living. The living target gains a +20 circumstance bonus on Disguise checks to impersonate the individual whose corpse is targeted by this spell. The disguise created by recorporeal incarnation lasts for a number of weeks equal to your caster level, or until the focus item is moved more than 30 feet away from the living target. When the effect ends, the living target returns to its normal form, sloughing off the corpse's flesh.  The greatest strength of recorporeal incarnation is the difficulty of detecting it as a disguise. If subjected to detect magic, the living target sheds no magical aura, though the focus item gives off an aura of strong necromantic magic. True seeing does not reveal the living target's true form, since the corpse's flesh magically obscures it. The spell detect undead and similar effects indicate the living target is an undead creature, but the target is not truly undead, and is not affected by any other effects that target undead creatures. Recorporeal incarnation does not disguise the target's alignment.  If the living target of recorporeal incarnation dies while the spell is in effect, the spell continues. Any raise dead or similar spell cast upon that target resurrects that target, not the corpse flesh. Since recorporeal incarnation destroys the majority of the target corpse's physical remains, the target corpse cannot be restored to life except by miracle, resurrection, true resurrection, or wish.  Recorporeal incarnation can be made permanent by a 15th-level caster using permanency with a material component worth 17,500 gp.</t>
  </si>
  <si>
    <t>Rotting Alliance</t>
  </si>
  <si>
    <t>curseUM, diseaseUM</t>
  </si>
  <si>
    <t>cleric/oracle 8, druid 8, inquisitor 6, occultist 6, witch 8</t>
  </si>
  <si>
    <t>one living creature/level, no two of which can be more than 60 feet apart</t>
  </si>
  <si>
    <t>You curse two or more creatures to sicken and waste away while in each others' company. Each target that fails a Fortitude save becomes cursed with a wasting sickness. The disease has no onset period, and those who contracted it must attempt a second Fortitude save immediately. A target that fails this second saving throw takes 1d6 points of Constitution damage and 1d6 points of Charisma damage. Every day thereafter, each target that was within 100 feet of another target during the previous 24 hours takes 1d6 points of Constitution damage and 1d6 points of Charisma damage (reroll to determine the specific amount of damage each day). A successful Fortitude save negates the damage for that day only.  A target cannot be healed of damage from this disease (naturally or by magic) while the target is within 100 feet of another target. If healed of such damage while away from other targets, a target might take damage again the day they reconvene. This disease is a curse, and can never be cured by successful saving throws. The spell can be ended on a single target only with a successful casting of remove curse followed by a successful casting of remove disease while the target is within 100 feet of at least one other target. When the curse remains on only one target, it ends automatically.</t>
  </si>
  <si>
    <t>Sealed Sending</t>
  </si>
  <si>
    <t>one nonmagical parchment with a written message</t>
  </si>
  <si>
    <t>You create a scroll bearing a message in any language you can speak, with a maximum length of 50 words. The scroll magically appears anywhere you have viewed at least once on the same plane of existence you are on now. When the spell ends or when the message has been read completely, the scroll disintegrates, leaving no trace. This spell cannot be detected, traced, or blocked by any spell of a lower level.</t>
  </si>
  <si>
    <t>Searching Shadows</t>
  </si>
  <si>
    <t>shadows in a 10-foot-radius spread</t>
  </si>
  <si>
    <t>Strands of shadow probe an area, searching for a creature or object you specify by shape, size, or texture. Each round, the shadows attempt a Perception check on the squares they touch with a total bonus equal to your caster level + your Charisma or Intelligence modifier, whichever is higher. You can move the shadows up to 30 feet or change the search criteria as part of concentrating on the spell. Whenever the shadows come into contact with a creature with spell resistance, you must attempt a caster level check to overcome its spell resistance. If you fail, the spell ends.  When the shadows locate a desired item or creature, you are aware of its shape and size and can order the shadows to try to seize it. If the shadows are seeking a creature, the area they cover becomes difficult terrain for that creature, and the creature must succeed at a Reflex saving throw or become entangled and unable to move. Changing the criteria of the creature or object sought or moving the shadows away from an entangled target frees it. If the target is an object carried by a creature, the shadows attempt a disarm or stealAPG combat maneuver check as appropriate, using the same modifier as for their Perception check. The shadows can pick up and move unattended, nonmagical objects that weigh up to 5 pounds.</t>
  </si>
  <si>
    <t>Seeds Of Influence</t>
  </si>
  <si>
    <t>bard 3, medium 3, mesmerist 3, psychic 4, sorcerer/wizard 4, witch 4</t>
  </si>
  <si>
    <t>S, M (a rose)</t>
  </si>
  <si>
    <t>You leave a magical trace in the mind of a creature with an attitude of at least indifferent toward you. The target takes a cumulative -2 penalty on its Will save to negate the spell for each step by which its attitude is better than indifferent.  The target takes a -2 penalty on saving throws against divination spells you cast. You can target that creature with mind-affecting spells of a spell level lower than seeds of influence as if those spells were modified by Enlarge Spell (the modified spell doesn't take longer to cast and doesn't use a higher-level spell slot). Whenever the target succeeds at a saving throw against a divination or mind-affecting spell you cast, seeds of influence ends for that target. A creature can  be subject to only one seeds of influence spell at a time; later castings of seeds of influence remove any previous casting.</t>
  </si>
  <si>
    <t>Seeds Of Influence, Greater</t>
  </si>
  <si>
    <t>bard 5, medium 4, mesmerist 5, psychic 7, sorcerer/wizard 7, witch 7</t>
  </si>
  <si>
    <t>This spell functions as seeds of influence, except that if the target is protected by a spell that grants immunity, spell resistance, or a saving throw bonus against a divination or mind-affecting spell you cast on the target, you can attempt caster level checks to dispel each such effect before applying the effects of those protections against the spell. The DC of the caster level check to dispel each effect is equal to 11 + the effect's caster level. Such spells cast on the target while greater seeds of influence is active grant no protection against greater seeds of influence.</t>
  </si>
  <si>
    <t>Seek Shelter</t>
  </si>
  <si>
    <t>bard 4, cleric/oracle 5, inquisitor 4, mesmerist 4, psychic 5, sorcerer/wizard 5, summoner/unchained summoner 4, witch 5</t>
  </si>
  <si>
    <t>all non-hostile creatures with 4 or fewer HD in a 30-ft. spread</t>
  </si>
  <si>
    <t>You send an empathic urge to seek safety both as fast as possible and in an orderly fashion, and to remain in such secure locations for the duration of the spell. Targets with 5 or more Hit Dice are unaffected. When you cast the spell, you can designate a fortified location-either general (such as "indoors") or specific (such as "the local garrison")-for the targets to attempt to reach. If you do not specify a location for the targets to retreat to, they attempt to find safety to the best of their ability. Affected creatures defend themselves normally but attack only if provoked.</t>
  </si>
  <si>
    <t>Substitute Trail</t>
  </si>
  <si>
    <t>1 creature/level; see text</t>
  </si>
  <si>
    <t>This spell can affect any creatures with which you interacted in the last 24 hours. You alter the trails left by the chosen creatures, making it appear that another creature with which you are familiar left the trail instead (you must have met the creature with which you are familiar). If a tracker exceeds the DC of the skill check to follow the trail by an amount equal to  your caster level, the tracker recognizes that the trail has been manipulated by this spell, although it cannot see the trail's true nature unless it uses magical means, such as true seeing.</t>
  </si>
  <si>
    <t>Transfiguring Touch</t>
  </si>
  <si>
    <t>alchemist 5, occultist 6, sorcerer/wizard 6</t>
  </si>
  <si>
    <t>V, S, M (alchemical reagents worth 1 gp or the value of the created material, whichever is more)</t>
  </si>
  <si>
    <t>object touched, up to 1 cubic foot per level</t>
  </si>
  <si>
    <t>You create an alchemical residue on your hands that gradually converts a touched, unattended, nonmagical object into iron, paper, or wood (your choice). The spell converts at most 1 cubic foot of material per caster level you have; if the object is larger than the maximum volume, the transfiguration stops once that amount of matter has been converted. If your caster level is at least 14th, you can opt to create lead. If your caster level is at least 19th, you can opt to create precious metals. If you create a precious metal, you must use an equivalent value of alchemical reagents as a material component (5 sp per pound of copper, 5 gp per pound of silver, 50 gp per pound of gold, 500 gp per pound of platinum).</t>
  </si>
  <si>
    <t>True Skill</t>
  </si>
  <si>
    <t>alchemist 1, bard 1, magus 1, medium 1, psychic 1, sorcerer/wizard 1</t>
  </si>
  <si>
    <t>When faced with an important situation, you grant yourself a magical edge to ensure your success. When casting this spell, select one skill for which you can attempt a skill check. The next time you attempt a skill check using the selected skill (before the spell's duration ends), you gain an insight bonus on the check equal to 1/2 your caster level (minimum 1).</t>
  </si>
  <si>
    <t>Violent Accident</t>
  </si>
  <si>
    <t>cleric/oracle 2, mesmerist 2, occultist 2, witch 2</t>
  </si>
  <si>
    <t>1 day or until discharged</t>
  </si>
  <si>
    <t>You curse the target to suffer a violent accident  within the next 24 hours. You have no control over the form the accident takes or when it strikes. The target can avoid being cursed with spell resistance when you cast the spell, but otherwise receives no saving throw. Regardless of the accident's nature, it is magically empowered to deal an amount of damage equal to 1d8 x your caster level (maximum 5d8 points of damage), and the damage is of a type appropriate to the source of damage (such as fire for an explosion or bludgeoning for a falling object). When the accident occurs, the target can attempt a Reflex saving throw to reduce the damage by half. Although others might be surprised or inconvenienced by the accident, it damages only the target.</t>
  </si>
  <si>
    <t>Wandering Trail</t>
  </si>
  <si>
    <t>up to one creature/level within 180 feet</t>
  </si>
  <si>
    <t>You cause the trail left by the targets within range to automatically reroute, potentially taking any course within the area. Your modification of the trail within the spell's area can result in a trail at least half the original length or up to twice the original length. If the trail continues beyond the spell's range, you must leave it connecting at that point on the edge of the spell's range. If a tracking creature exceeds the DC of the skill check to follow the trail by an amount equal to your caster level, the tracker recognizes that the trail has been manipulated by this spell, although it cannot see the trail's true nature unless it uses magical means, such as true seeing.</t>
  </si>
  <si>
    <t>Heretic's Tongue</t>
  </si>
  <si>
    <t>cleric/oracle 5, inquisitor 5, mesmerist 6</t>
  </si>
  <si>
    <t>You fill your target's mind with blasphemous knowledge. If the target fails its saving throw, it cannot cast spells or use spell-like abilities for the duration of the spell. Divine spellcasters whose power derives from the worship of a single deity (most clerics, paladins, and warpriests) have the potential to suffer worse. When targeting a divine spellcaster, you can designate an alignment. If the named alignment coincides with either the spellcaster's alignment or that of her deity, the divine spellcaster loses access to all supernatural and spell-like class abilities granted by the associated class for the spell's duration-blessings, domain powers, channel energy, smite evil, etc.  Those affected by this spell can end the effect early by choosing to release the blasphemies in a litany of screamed curses and heretical decadences. The creature is effectively paralyzed for half the spell's duration, and each ally within 50 feet must succeed at a Will saving throw (equal to this spell's save DC) or be shaken until the litany ends. If the creature chooses to do this, it cannot end the litany of blasphemies early. A creature that succeeds at its saving throw to avoid being shaken by its ally's blasphemous litany is immune to the litany's effects and need not attempt additional saves on subsequent rounds.</t>
  </si>
  <si>
    <t>AP 107</t>
  </si>
  <si>
    <t>Watchful Animal</t>
  </si>
  <si>
    <t>druid 4, ranger 4, shaman 4, sorcerer/wizard 4, witch 4</t>
  </si>
  <si>
    <t>V, S, M/DF (a desiccated fly)</t>
  </si>
  <si>
    <t>You place a scrying sensor on your animal companion or familiar. This allows the animal companion or familiar to function as if it were an insect summoned by the greater insect spyUI spell. The animal companion or familiar does not change shape, nor does it lose the ability to make its own decisions, but it receives orders and gives answers as per insects summoned by that spell, and you can sense its direction and distance and receive sensory input from it as with that spell.</t>
  </si>
  <si>
    <t>Spymaster's Handbook</t>
  </si>
  <si>
    <t>Trial By Fire</t>
  </si>
  <si>
    <t>You test a creature's purity of convictions by exposing it to a sheet of divine fire. Unless the target's alignment is within one step of your deity's, the spell deals 1d6 points of damage per 2 caster levels (maximum 5d6 points of damage). Half the damage is fire damage, but the other half results directly from divine power and is therefore not subject to being reduced by resistance to fire-based attacks. Additionally, if the target has an element of its alignment that is in direct opposition to your (chaos opposes law and evil opposes good), you can also attempt an Intimidate check to demoralize the target as a free action.</t>
  </si>
  <si>
    <t>Claim Identity</t>
  </si>
  <si>
    <t>alchemist 3, antipaladin 3, bard 3, druid 4, inquisitor 3, shaman 4, sorcerer/wizard 4, witch 3</t>
  </si>
  <si>
    <t>V, S, M (a needle and thread)</t>
  </si>
  <si>
    <t>humanoid creature touched</t>
  </si>
  <si>
    <t>You steal the target's face, transforming yourself into a flawless imitation of it. All of the target's facial features, vocal cues, and identifying physical traits change, transforming it into an unremarkable member of its race and gender. You transform into a perfect likeness of the target's true form, as if affected by alter self, and gain a +10 bonus on Disguise checks to impersonate the original subject of this spell; you take no penalties on this check if the original target is of a different race, age, size, or gender.  Claim identity prevents any other polymorph effects from restoring the target's true face for the spell's duration, though the target can still assume other forms or faces via magic or any natural shapechanging ability.</t>
  </si>
  <si>
    <t>Claim Identity, Greater</t>
  </si>
  <si>
    <t>alchemist 5, antipaladin 4, bard 5, druid 6, inquisitor 5, shaman 6, sorcerer/wizard 6, witch 5</t>
  </si>
  <si>
    <t>V, S, M (a silver needle costing 100 gp)</t>
  </si>
  <si>
    <t>This spell functions as per claim identity, except it transforms its target into  a helpless, inanimate porcelain mask for the spell's duration. The target remains aware of everything it can see or hear while transformed. The target can't speak or move, but can still take purely mental actions (such as casting certain spells) or be targeted by spells that affect its mind.  Any creature donning this mask is transformed into a flawless imitation of the spell's target, as if affected by claim identity, and reverts to its natural form upon removing the mask. Any damage dealt to the mask immediately ends this spell.</t>
  </si>
  <si>
    <t>Egorian Diplomacy</t>
  </si>
  <si>
    <t>bard 1, cleric/oracle 1, inquisitor 1, magus 1, mesmerist 1, psychic 1</t>
  </si>
  <si>
    <t>V, S, M (a bent coin)</t>
  </si>
  <si>
    <t>instant; see text</t>
  </si>
  <si>
    <t>As part of casting this spell, you can attempt a single Intimidate skill check to make a target act friendly toward you. If you succeed, the target assists you normally, but Egorian diplomacy clouds the memory of any threats or pressure you applied. The target remembers assisting you, but can't remember why, and its attitude toward you doesn't worsen as a result of being intimidated.  Whether a creature fails or succeeds at its saving throw, it becomes immune to further castings of Egorian diplomacy for 24 hours.</t>
  </si>
  <si>
    <t>Garrulous Grin</t>
  </si>
  <si>
    <t>antipaladin 2, bard 2, inquisitor 2, mesmerist 2, psychic 2, shaman 2, spiritualist 2, witch 3</t>
  </si>
  <si>
    <t>This Nidalese spell plants a seed of supernatural fear deep in a subject's mind, causing self-doubt, stuttering, and evasiveness. Affected creatures have difficulty meeting anyone's gaze and seem dishonest or guilty. The target takes a -4 penalty on Bluff and Diplomacy checks to  convince another of the truth of her words, and on Diplomacy or Intimidate checks to influence another creature's attitude.</t>
  </si>
  <si>
    <t>Insect Scouts</t>
  </si>
  <si>
    <t>antipaladin 4, bard 4, druid 2, inquisitor 3, psychic 4, ranger 2, shaman 2, sorcerer/wizard 3, summoner/unchained summoner 3, witch 3</t>
  </si>
  <si>
    <t>S, M (a drop of honey)</t>
  </si>
  <si>
    <t>one insect scout/4 levels</t>
  </si>
  <si>
    <t>1d6 hours, plus 1 hour/level; see text</t>
  </si>
  <si>
    <t>A favorite in the creaking courts of Ustalav, insect scouts summons one or more vermin to investigate a single location or building you can see. Your scouts must spend 1d6 hours investigating the target location, but need no oversight. When done, they return unerringly to you with their findings, traveling up to 1 mile per caster level you have to rejoin their master. Each insect's size is Fine. Each insect has 1 hit point, AC 20 (+2 Dexterity, +8 size), a movement speed of 5 feet, a climb speed of 5 feet, and a fly speed of 20 feet (perfect maneuverability). The insects use your saving throw bonuses, have a total Perception skill bonus equal to 5 + 1/2 your caster level, and can't attack. Because of their incredibly small size and magical nature, they can attempt Stealth checks to avoid being noticed even if they lack a source of cover or concealment, and they have a total Stealth skill bonus equal to 18 + 1/2 your caster level.  Each scout that returns passes along memories of specific structural flaws, defenses, and alarms, granting you the ability to reroll one failed skill check per scout, as long as the skill check involves that specific location's layout, such as a Stealth check to sneak in, a Disable Device check to silence an alarm, or a Perception check to notice a trap. If even one scout returns, you also gain a rough understanding of the building's layout (at least, any portions your scouts could access). All insight (and the associated rerolls) fades 1 hour per caster level you have after the scouts return. Your insects remember nothing about creatures, and so provide no information about guardians or any conversations they may overhear.</t>
  </si>
  <si>
    <t>Passing Fancy</t>
  </si>
  <si>
    <t>bard 2, mesmerist 2, psychic 2, sorcerer/wizard 2, witch 2</t>
  </si>
  <si>
    <t>4d4 rounds (D)</t>
  </si>
  <si>
    <t>Taldor's infamous Lion Blades imported this spell from the ninja clans of Minkai, and both groups use it to great effect when maneuvering among the shallow upper classes. When you cast the spell, you dictate one specific topic or recent event and instill a magical obsession with that subject within the target. An affected creature becomes fascinated by the topic, and becomes  completely focused on discussing the event with anyone nearby, possibly wandering off or distracting unaffected creatures. Passing fancy has no effect on a creature with an Intelligence of 2 or less.  Because the target talks and interacts with its usual cadence, onlookers take a -10 penalty on Sense Motive checks to notice that anything is amiss with the target's behavior.</t>
  </si>
  <si>
    <t>Passing Fancy, Mass</t>
  </si>
  <si>
    <t>This spell functions as per passing fancy except as noted above.</t>
  </si>
  <si>
    <t>Scribe's Binding</t>
  </si>
  <si>
    <t>occultist 6, sorcerer/wizard 9, witch 9</t>
  </si>
  <si>
    <t>V, S, F (a book bound in precious metals and treated with rare oils, worth 1,000 gp per HD of the target)</t>
  </si>
  <si>
    <t>Hermea's benevolent Council of Enlightenment uses this spell to humanely preserve their society's greatest minds from the ravages of time, though it has seen far more sinister employment when put to use by other organizations that have since discovered its utility. This spell binds a single creature into a prepared book, sustaining it in suspended animation and filling the book with its experience and knowledge. The tome weighs 10 pounds and has one page for every day of the subject's life. The cover and binding transform to reflect the subject's appearance, interests, and tastes. Every thought and memory-including those the target may have forgotten long ago-are perfectly transcribed within the enchanted pages, penned in excruciating detail in the language that the creature was thinking or speaking in when the event occurred. If a memory includes dialogue in a language the subject didn't understand, that dialogue is reproduced phonetically, and must be translated by a reader who knows that language. Any alterations to a subject's memories-such as by a modify memory spell-appear in a subtly different script; a successful DC 35 Linguistics check is needed to identify this.  Spells that modify or remove text-such as erase or secret page-also affect the target's memory if they persist after its release. Modify memory can be used to repair any changes to its original state, or alter the accounts recorded within the book. A creature imprisoned by scribe's binding automatically fails any saving throws against effects to change or modify its memories.  A target bound by this spell can be freed by only freedom, miracle, or wish. Polymorph any object restores the target's normal form for 24 hours. Scribe's binding makes the imprisoning tome supernaturally durable (hardness 20, 10 hp per HD the imprisoned creature had). Destroying the tome immediately slays the creature imprisoned within.</t>
  </si>
  <si>
    <t>Apsu's Shining Scales</t>
  </si>
  <si>
    <t>draconic, good</t>
  </si>
  <si>
    <t>alchemist 3, bloodrager 3, medium 3, sorcerer/wizard 3</t>
  </si>
  <si>
    <t>You envelop your body with silver radiance that manifests as scales surrounding your body, granting you a +5 armor bonus to your AC and causing your natural attacks and unarmed strikes to bypass damage reduction as if they were good and silver weapons.  Whenever you attack with a breath weapon (including effects that are similar to a dragon's breath weapon, such as an elixir of dragon breath or the dragon's breathAPG spell), you can discharge the Apsu's shining scales spell as a swift action in order to infuse your breath with silver light, causing any evil creature caught within the area of the breath to take a -4 penalty on its Reflex save and to lose the benefits of the evasion ability against that breath weapon attack. Evil creatures with improved evasion are instead treated as if they had only evasion when attempting to save against this breath weapon attack.  Clerics, inquisitors, oracles, paladins, and warpriests who worship Apsu add Apsu's shining scales to their class spell lists as a 3rd-level spell.</t>
  </si>
  <si>
    <t>Legacy Of Dragons</t>
  </si>
  <si>
    <t>Dahak's Release</t>
  </si>
  <si>
    <t>draconic, evil, mind-affecting</t>
  </si>
  <si>
    <t>mesmerist 5, occultist 5, shaman 5, sorcerer/wizard 5, witch 5</t>
  </si>
  <si>
    <t>V, S, M (a dried drop of blood)</t>
  </si>
  <si>
    <t>You unleash all the target's anger and destructive urges, causing it to fly into a violent bloodlust. The target attacks creatures as determined by the following table. If a creature is killed or the target is for some reason unable to effectively attack it, roll on the table again to select a new action for the target.  d% Behavior  1-25 Target attacks the creature nearest to it.  26-75 Target attacks its nearest ally.  76-100 Target always attacks the last creature to attack it.  Beginning on its next turn, the target attacks the subject determined by the chart with a melee weapon, natural weapon, or supernatural ability that deals damage. If necessary, it moves to or charges to the subject in order to make this attack. If it is unable to reach its subject on its next turn, the target uses its turn to get as close as possible to the subject of its bloodlust. The target gains a +2 morale bonus on attack and damage rolls, and cannot use any Charisma-, Dexterity-, or Intelligence-based skills (except Acrobatics, Fly, Intimidate, and Ride) or any abilities that require patience or concentration. This spell is otherwise treated as confusion and rage-any creature immune to confusion or rage is immune to this spell, and any ability or effect that ends confusion or rage (such as calm emotions) can end this spell.  Antipaladins, bloodragers, clerics, and inquisitors who worship Dahak add Dahak's release to their spell lists as a 4th-level spell.</t>
  </si>
  <si>
    <t>Draconic Ally</t>
  </si>
  <si>
    <t>antipaladin 3, bloodrager 3, paladin 3, psychic 3, occultist 3, sorcerer/wizard 3, spiritualist 3, summoner/unchained summoner 3</t>
  </si>
  <si>
    <t>V, S, M (a scale from a dragon and 250 gp)</t>
  </si>
  <si>
    <t>one intelligent draconic servant</t>
  </si>
  <si>
    <t>You create a semi-living intelligent draconic servant that loyally obeys and serves you. Treat this servant as a pseudodragon with all of the abilities granted by one of the following spells: form of the alien dragon I, form of the dragon I, or form of the exotic dragon I. Your draconic ally can use its breath weapon once per day. Once conjured, the creature is not limited to the spell's range, and can go a considerable distance to carry out missions at your command. The draconic ally speaks one language of your choice that you know. You cannot have more than one draconic ally at a time. As long as a previous ally exists, you cannot successfully cast  this spell again. If you have a breath weapon, you can cast this spell as a standard action by expending one use of your breath weapon as a free action when you cast the spell.  Clerics, inquisitors, oracles, and warpriests who worship Apsu or Dahak add draconic ally to their spell lists as a 3rd-level spell.</t>
  </si>
  <si>
    <t>Draconic Malice</t>
  </si>
  <si>
    <t>antipaladin 3, bard 3, bloodrager 3, cleric/oracle 3, inquisitor 3, mesmerist 3, psychic 3, shaman 3, sorcerer/wizard 3, witch 3</t>
  </si>
  <si>
    <t>10-foot aura centered on you</t>
  </si>
  <si>
    <t>You surround yourself with a palpable aura of draconic fear and dread. Living creatures within this aura that are normally immune to fear or mind-affecting abilities lose those immunities against your spells, spell-like abilities, and supernatural abilities that create fear effects, as well as any Intimidate checks you attempt to demoralize foes.  If you have the antipaladin aura of cowardice class feature, this spell instead changes the penalty imposed by aura of cowardice to -6 for its duration.</t>
  </si>
  <si>
    <t>Form Of The Alien Dragon I</t>
  </si>
  <si>
    <t>alchemist 6, magus 6, psychic 7, sorcerer/wizard 6</t>
  </si>
  <si>
    <t>You become a Medium esoteric or outer dragon. Psychics can choose from the esoteric dragon (astral, dream, etheric, nightmare, or occult) forms only. You gain a +4 size bonus to your Strength, a +2 size bonus to your Constitution, a +4 natural armor bonus, a fly speed of 60 feet (poor), darkvision with a range of 60 feet, a breath weapon, and resistance to one form of energy or effect. You also gain one bite attack (1d8), two claw attacks (1d6), and two wing attacks (1d4). Your breath weapon and resistance depend on the type of dragon. You can use the breath weapon only once per casting of this spell. All breath weapons deal 6d8 points of damage unless noted otherwise and allow a Reflex save to halve the normal damage. In addition, some of the dragon types grant additional abilities, as noted below.  Astral Dragon: 30-foot cone of force (damage dice are d4s instead of d8s), psychic resilience (Pathfinder RPG Bestiary 5 297).  Dream Dragon: 30-foot cone of electricity, dream fortress, dreamsight (Bestiary 5 90).  Etheric Dragon: 30-foot line of force (damage dice are d4s instead of d8s), gaseous form (only when taking no actions other than move actions for a round, and only for a maximum of 1 round/caster level for each casting of form of the alien dragon).  Lunar Dragon: 60-foot line of cold, cold resistance 20, burrow 20 feet.  Nightmare Dragon: 30-foot cone of acid, see in darkness, +4 on saves vs. mind-affecting effects.  Occult Dragon: 30-foot cone of cold or fire, +4 resistance bonus on saving throws against evil spells and effects, natural armor bonus to AC increases to +6.  Solar Dragon: 60-foot line of fire, fire resistance 30, vulnerability to cold.  Time Dragon: 30-foot cone of electricity, cold resistance 20, +4 bonus on initiative checks.  Void Dragon: 30-foot cone of cold, cold resistance 20, +4 bonus on saves vs. emotion spells and effects.  Vortex Dragon: 30-foot cone of fire, fire resistance 30, vulnerability to cold.</t>
  </si>
  <si>
    <t>Form Of The Alien Dragon II</t>
  </si>
  <si>
    <t>psychic 8, sorcerer/wizard 7</t>
  </si>
  <si>
    <t>This spell functions as per form of the alien dragon I, except it also allows you to assume the form of a Large esoteric or outer dragon. Psychics can choose from the esoteric dragon (astral, dream, etheric, nightmare, or occult) forms only. You gain the following abilities: a +6 size bonus to your Strength, a +4 size bonus to your Constitution, a +6 natural armor bonus, a fly speed of 90 feet (poor), darkvision with a range of 60 feet, a breath weapon, damage reduction 5/magic, and resistance to one form of energy or effect. You also gain one bite attack (2d6), two claw attacks (1d8), a tail slap attack (1d8), and two wing attacks (1d6). All breath weapons deal 6d8 points of damage unless noted otherwise and allow a Reflex save to halve the normal damage. Line breath weapons increase to 80-foot lines and cones increase to 40-foot cones.</t>
  </si>
  <si>
    <t>Form Of The Alien Dragon III</t>
  </si>
  <si>
    <t>psychic 9, sorcerer/wizard 8</t>
  </si>
  <si>
    <t>This spell functions as per form of the alien dragon II, except it also allows you to take the form of a Huge esoteric or outer dragon. Psychics can choose from the esoteric dragon (astral, dream, etheric, nightmare, or occult) forms only. You gain the following: a +10 size bonus to your Strength, a +8 size bonus to your Constitution, a +8 natural armor bonus, a fly speed of 120 feet (poor), blindsense with a range of 60 feet, darkvision with a range of 120 feet, a breath weapon, damage reduction 10/magic, frightful presence (DC = DC for this spell), and immunity to one form of energy or effect (of the same type form of the alien dragon I grants either a bonus against or resistance to, if any). You also gain one bite attack (2d8), two claw attacks (2d6), two wing attacks (1d8), and one tail slap attack (2d6). You can use the breath weapon as often as you like, but must wait 1d4 rounds between uses. All breath weapons deal 12d8 points of damage unless noted otherwise and allow a Reflex save to halve the normal damage. Line breath weapons increase to 100-foot lines and cones increase to 50-foot cones.</t>
  </si>
  <si>
    <t>Form Of The Exotic Dragon I</t>
  </si>
  <si>
    <t>alchemist 6, druid 7, sorcerer/wizard 6</t>
  </si>
  <si>
    <t>You become a Medium imperial or primal dragon. Druids can choose from the primal dragon (brine, cloud, crystal, magma, or umbral) forms only. You gain a +4 size bonus to your Strength, a +2 size bonus to your Constitution, a +4 natural armor bonus, a fly speed of 60 feet (poor), darkvision with a range of 60 feet, a breath weapon, and either resistance to one form of energy or some other bonus. You also gain one bite attack (1d8), two claw attacks (1d6), and either a gore attack (1d8) if you assume the form of an imperial dragon or two wing attacks (1d4) if you assume the form of a primal dragon. Your breath weapon, resistance, and any other benefits you gain depend on the type of dragon. You can use the breath weapon only once per casting of this spell. All breath weapons deal 6d8 points of damage unless noted otherwise and allow a Reflex save to halve the normal damage. In addition, some of the dragon types grant additional abilities, as noted below.  Brine Dragon: 60-foot line of acid, acid resistance 20, swim 60 feet.  Cloud Dragon: 30-foot cone of electricity, electricity resistance 20, swim 40 feet.  Crystal Dragon: 30-foot cone of sonic (damage dice are d6s instead of d8s), sonic resistance 20, climb 20 feet, burrow 20 feet.  Forest Dragon: 30-foot cone of piercing, burrow 20 feet, climb 30 feet.  Magma Dragon: 30-foot cone of fire, fire resistance 30, vulnerability to cold.  Sea Dragon: 30-foot cone of fire, electricity resistance 20, swim 40 feet.  Sky Dragon: 30-foot cone of electricity, electricity resistance 20, improve fly speed maneuverability to average.  Sovereign Dragon: 30-foot cone of sonic (damage dice are d6s instead of d8s), spell resistance equal to 13 + the spell's level.  Umbral Dragon: 30-foot cone of negative energy (damage dice are d6s instead of d8s; doesn't heal undead creatures), cold resistance 20, +4 on saves vs. death effects.  Underworld Dragon: 30-foot cone of fire, fire resistance 20, vulnerability to cold, burrow 20 feet.</t>
  </si>
  <si>
    <t>Form Of The Exotic Dragon II</t>
  </si>
  <si>
    <t>druid 8, sorcerer/wizard 7</t>
  </si>
  <si>
    <t>This spell functions as per form of the exotic dragon I, except it also allows you to assume the form of a Large imperial or primal dragon. Druids can choose from the primal dragon (brine, cloud, crystal, magma, or umbral) forms only. You gain the following abilities: a +6 size bonus to your Strength, a +4 size bonus to your Constitution, a +6 natural armor bonus, a fly speed of 90 feet (poor), darkvision with a range of 60 feet, a breath weapon, damage reduction 5/magic, and resistance to one form of energy or some other bonus. You gain one bite attack (2d6), two claw attacks (1d8), a tail slap attack (1d8), and either a gore attack (2d6) if you assume the form of an imperial dragon or two wing attacks (1d6) if you assume the form of a primal dragon. All breath weapons deal 8d8 points of damage unless noted and allow a Reflex save to halve the normal damage. Line breath weapons increase to 80-foot lines and cones increase to 40-foot cones.</t>
  </si>
  <si>
    <t>Form Of The Exotic Dragon III</t>
  </si>
  <si>
    <t>druid 9, sorcerer/wizard 8</t>
  </si>
  <si>
    <t>This spell functions as per form of the exotic dragon II except that it also allows you to take the form of a Huge imperial or primal dragon. Druids can choose from the primal dragon (brine, cloud, crystal, magma, or umbral) forms only. You gain the following abilities: a +10 size bonus to your Strength, a +8 size bonus to your Constitution, a +8 natural armor bonus, a fly speed of 120 feet (poor), blindsense with a range of 60 feet, darkvision with a range of 120 feet, a breath weapon, damage reduction 10/ magic, frightful presence (DC = DC for this spell), and immunity to one form of energy (of the same type form of the exotic dragon I grants a resistance to, if any). You gain one bite attack (2d8), two claw attacks (2d6), a one tail slap attack (2d6), and either a gore attack (2d8) if you assume the form of an imperial dragon or two wing attacks (1d8) if you assume the form of a primal dragon. You can use the breath weapon as often as you like, but must wait 1d4 rounds between uses. All breath weapons deal 12d8 points of damage unless noted otherwise and allow a Reflex save to halve the normal damage. Line breath weapons increase to 100-foot lines and cones increase to 50-foot cones.</t>
  </si>
  <si>
    <t>Hermean Potential</t>
  </si>
  <si>
    <t>medium 1, mesmerist 1, psychic 1, witch 1</t>
  </si>
  <si>
    <t>V, S, F (a gold dragon scale)</t>
  </si>
  <si>
    <t>You gift the target with the ability to perfect its actions via mental clarity. On the next attack roll, saving throw, ability check, or skill check the target attempts, it rolls twice and takes the more favorable result. For every 5 caster levels you have, the target can roll twice on an additional attack roll, saving throw, ability check, or skill check (to a maximum of 5 rolls at 20th level).  Hermean potential is countered and dispelled by ill omenAPG, but does not itself counter or dispel ill omen.</t>
  </si>
  <si>
    <t>Scales Of Deflection</t>
  </si>
  <si>
    <t>bloodrager 2, magus 3, occultist 3, paladin 3, psychic 3, sorcerer/wizard 3, spiritualist 3, summoner/unchained summoner 3</t>
  </si>
  <si>
    <t>V, M (a dragon scale)</t>
  </si>
  <si>
    <t>Brilliant draconic iconography matching your draconic heritage (or a kind of dragon whose alignment matches your own) surrounds you. Any touch attack attempted against you resolves against your normal AC. Once such an attack has been resolved, this spell is dismissed at the end of your next turn.</t>
  </si>
  <si>
    <t>Tail Strike</t>
  </si>
  <si>
    <t>alchemist 4, antipaladin 3, bloodrager 3, medium 3, paladin 3, sorcerer/wizard 3</t>
  </si>
  <si>
    <t>You grow a draconic tail (clothing and armor adjust as necessary), or if you already have a tail, it takes on a draconic appearance. If you have a draconic bloodline, the tail matches the appearance of that dragon type; otherwise, it matches the appearance of a dragon type whose alignment matches your own. You gain a tail slam attack that deals 1d6 points of damage (1d4 if Small, 1d8 if Large) + your Strength modifier. If you already have a tail attack, you instead extend the reach of your tail attack by 5 feet. If you have a tail sweep attack, this spell increases its radius by 10 feet.  If used as part of a full-attack action, the tail slam is considered a secondary attack, is made at your full base attack bonus - 5, and adds half your Strength modifier to its damage. You can end this spell before its normal duration by uttering a bestial roar as a swift action. When you do, you can attempt an Intimidate check to demoralize all foes within a 30-foot radius that can hear the roar.  Clerics, inquisitors, oracles, and warpriests who worship dragon deities add tail strike to their class spell lists as a 4th-level spell.</t>
  </si>
  <si>
    <t>Absurdity</t>
  </si>
  <si>
    <t>bard 2, medium 2, mesmerist 2, psychic 2, spiritualist 2</t>
  </si>
  <si>
    <t>Your targets perceive intimidation and threats as laughably absurd. A character attempting to intimidate your targets is instead perceived as having exaggerated facial features or babbling and awkward speech. Effects that impose fear conditions become objects of ridicule, with the targets making fun of the source of the object as it attempts to scare them.  Absurdity protects your targets from gaining lesser fear conditions (spooked, shaken, and scared), granting them immunity to spooked and a 50% chance to negate shaken or scared conditions instead of gaining them from any effect, including uses of the Intimidate skill to demoralize. Any other effect related to a spell or ability that generates fear (such as dying from a phantasmal killer) affects them normally, and effects that ignore immunity to fear also ignore absurdity.  However, target creatures also have serious difficulty noticing potential threats; they take a -10 penalty on Sense Motive checks to avoid surprise or to notice that a creature is actively threatening or malicious and a -2 penalty on initiative checks. The spell doesn't prevent spells or effects that provide early warning or a form of danger sense (like anticipate perilUM or find traps) from alerting the affected character to danger.</t>
  </si>
  <si>
    <t>Horror Adventures</t>
  </si>
  <si>
    <t xml:space="preserve"> Threats seem like a ridiculous farce.</t>
  </si>
  <si>
    <t>Alleviate Corruption</t>
  </si>
  <si>
    <t>cleric/oracle 6, psychic 6, shaman 6, spiritualist 6, witch 6</t>
  </si>
  <si>
    <t>V, S, M (rare herbs, incense, and jewels worth 500 gp/the target's character level or HD)</t>
  </si>
  <si>
    <t>one creature other than yourself</t>
  </si>
  <si>
    <t>You combat the rising corruption (see page 14) in another creature or advance the long-term process of exorcising it entirely. This spell has two purposes, and you choose which application to use at the time of casting.  Combat Corruption: Each time a creature fails a saving throw to prevent its corruption from progressing (as described in that  corruption's Progression section), it advances to the next corruption stage-at stage 3, it loses the battle against its corruption. Using this spell can lower the target's corruption stage by 1. This has no effect if the target isn't at progression stage of 1 or higher.  Remove Corruption: You can remove 1 manifestation level from the target creature, as well as the most recently acquired manifestation and its corresponding gift and stain. Doing this also reduces the power of gifts and stains that vary based upon manifestation level. This application of alleviate corruption doesn't reduce the target's corruption stage. If the target creature loses all manifestation levels, it is cured of the corruption.  Either application of the spell requires a caster level check. The DC is equal to 10 + double the target's manifestation level + 3 times the target's corruption stage (effectively 0, 3, or 6, since stage 3 removes the character from player control).  Tampering with corruptions is dangerous, as their nature is contagious. If you fail this caster level check by 5 or more, you contract the corruption and gain a manifestation (the rules for the useful and vile corruption variants still apply). A roll of natural 1 on the caster level check is an automatic failure. If you already have the same corruption, you must instead attempt an immediate saving throw against it. Casting alleviate corruption on yourself automatically fails, as does casting it on a target who has fully succumbed to a corruption (failed three saving throws against it). A creature can be the beneficiary of this spell only once per week, whether it succeeds or not.</t>
  </si>
  <si>
    <t xml:space="preserve"> Attempt to weaken a corruption’s effect at risk to yourself.</t>
  </si>
  <si>
    <t>Appearance Of Life</t>
  </si>
  <si>
    <t>cleric/oracle 3, medium 2, mesmerist 3, psychic 3, sorcerer/wizard 3, spiritualist 3, witch 3</t>
  </si>
  <si>
    <t>V, S, M (one Tiny or larger living creature)</t>
  </si>
  <si>
    <t>long (400 ft. + 40 ft./caster level)</t>
  </si>
  <si>
    <t>one or more undead creatures</t>
  </si>
  <si>
    <t>Will disbelief or Will negates (see text)</t>
  </si>
  <si>
    <t>The illusion makes undead creatures of Medium size or smaller appear as if they were living humanoid creatures. You can target a number of undead creatures whose total number of Hit Dice is no greater than twice your caster level. When you create the illusion, you choose the races, genders, and attire for the undead creatures. Additionally, the illusion makes the undead creatures' movements appear lifelike (two shuffling zombies could be made to appear as two strolling lovers). The illusion doesn't create smell, sound, texture, or temperature. Undead with Intelligence scores can attempt a saving throw to negate the effect of the spell, but mindless undead do not. Any creatures interacting with the illusion receive a saving throw to disbelieve the illusion.  The illusion interferes with detect undead, requiring the caster to succeed at a caster check (DC = 11 + your caster level) for the spell to determine the creatures are undead.  Appearance of life can be made permanent with a permanency spell by a caster of 12th level or higher for the cost of 10,000 gp.</t>
  </si>
  <si>
    <t xml:space="preserve"> Undead appear to be alive.</t>
  </si>
  <si>
    <t>Assume Appearance</t>
  </si>
  <si>
    <t>alchemist 3, bard 3, medium 3, mesmerist 3, occultist 3, psychic 3, shaman 3, sorcerer/wizard 3, spiritualist 3, summoner/unchained summoner 3, witch 3</t>
  </si>
  <si>
    <t>V, S, F (corpse of the deceased creature whose form you plan to assume)</t>
  </si>
  <si>
    <t>This spell functions similarly to alter self, except for the following differences. You assume the exact form of a deceased Small or Medium creature of the humanoid type. Your voice changes to match that of the form you assume. The creature whose form you assume must be dead and you must have access to its fresh corpse (either dead less than 24 hours, or preserved via gentle repose or similar effect). Any attempt to copy the form of a living creature causes the spell to fail. You do not have access to the assumed form's abilities, memories, mannerisms, or speech patterns. The spell grants a +10 bonus on Disguise checks to appear as the imitated creature.  If the assumed creature is returned to life while this spell is active, assume appearance immediately ends.</t>
  </si>
  <si>
    <t xml:space="preserve"> Use a creature’s corpse to adopt its form.</t>
  </si>
  <si>
    <t>Assume Appearance, Greater</t>
  </si>
  <si>
    <t>alchemist 4, bard 4, medium 4, mesmerist 4, occultist 4, psychic 4, shaman 4, sorcerer/wizard 4, spiritualist 4, summoner/unchained summoner 4, witch 4</t>
  </si>
  <si>
    <t>V, S, F (corpse or likeness of the deceased creature whose form you plan to assume)</t>
  </si>
  <si>
    <t>This spell functions similar to assume appearance, except that you can imitate a creature even if you have only a likeness (such as a sketch or painting) that is fairly accurate. If there is an age difference between the likeness and the actual creature, you take on the appearance of the creature near the end of its life. If you have heard the creature whose form you plan to assume speak aloud, you can also copy its voice as vocal alterationUM (speak with dead can also be used to fulfill this requirement). The spell doesn't grant insight into the dead creature's mannerisms.  Additionally, if a likeness used as a focus for the spell is kept on your person or within 30 feet at all times, the aura of greater assume appearance is redirected to the likeness instead of to you, similar to a reverse application of the misdirection spell.</t>
  </si>
  <si>
    <t xml:space="preserve"> Use a likeness to adopt a dead creature’s form.</t>
  </si>
  <si>
    <t>Ban Corruption</t>
  </si>
  <si>
    <t>cleric/oracle 5, inquisitor 4, medium 3, occultist 4, paladin 4, shaman 5</t>
  </si>
  <si>
    <t>V, S, F (a ceremonial dagger)</t>
  </si>
  <si>
    <t>concentration plus 1 round/level, up to 1 hour/level</t>
  </si>
  <si>
    <t>You strip all creatures within the emanation of any gifts associated with corruptions (see page 14). Abilities associated with corruptions cease to function, as if they were magically dispelled. The corruption stains still fully affect creatures. A creature that enters the emanation and fails its saving throw loses its gifts until the spell's duration ends, even if it leaves the emanation, but a successful saving throw renders a creature immune to the spell, even if it enters and exits the emanation several times.</t>
  </si>
  <si>
    <t xml:space="preserve"> Eliminate the gifts of nearby corrupted creatures.</t>
  </si>
  <si>
    <t>Barbed Chains</t>
  </si>
  <si>
    <t>antipaladin 1, bloodrager 1, cleric/oracle 1, inquisitor 1, occultist 1, shaman 1, summoner/unchained summoner 1</t>
  </si>
  <si>
    <t>V, S, M (a length of chain doused with fresh blood)</t>
  </si>
  <si>
    <t>a chain sharpened at one end</t>
  </si>
  <si>
    <t>You summon a chain from another realm, causing it to burst out from the ground and strike a target within the spell's range. You can have the chain either make a melee attack (dealing 1d6 points of slashing damage) or attempt a trip combat maneuver against the target. The chain uses your base attack bonus plus your key spellcasting ability score modifier as its attack bonus and combat maneuver bonus. On a successful hit or combat maneuver check, the target must attempt a Will save. If it fails its save, the creature is shaken for 1d4 rounds. You summon one additional chain every 3 levels after 1st, for a total of two chains at 4th level, three at 7th level, and a maximum of four at 10th level. Multiple chains can attack the same target but the shaken effect doesn't stack.</t>
  </si>
  <si>
    <t xml:space="preserve"> Hellish chains attack and cause a target to become shaken.</t>
  </si>
  <si>
    <t>Blood Ties</t>
  </si>
  <si>
    <t>antipaladin 4, cleric/oracle 5, druid 5, inquisitor 5, psychic 5, shaman 5, witch 5</t>
  </si>
  <si>
    <t>V, S, F (a small length of crimson string)</t>
  </si>
  <si>
    <t>unlimited (see text)</t>
  </si>
  <si>
    <t>One of the targets of this spell must be a hostage-a bound, pinned, or helpless creature within your reach (though the spell doesn't end if the hostage later moves beyond your reach). The second target must be a member of the first target's family. If neither creature successfully saves against the spell, the second target also takes any damage conferred to the hostage, provided both are still alive, to a maximum of 10 points of damage per caster level per day (damage beyond that necessary to kill the first target does not transfer). This transferred damage is typeless and ignores the second creature's damage reduction and resistances. If either target succeeds at the saving throw, you can never attempt to exploit the connection between these particular two creatures again. The connection between your targets weakens when the two are less familiar with one another. Each target gains a +2 bonus on its save if the two are distant relations or related by marriage. Each target takes a -2 penalty on its save if the two targets are parent and child or siblings.</t>
  </si>
  <si>
    <t xml:space="preserve"> When a target is harmed, so is the target’s relative.</t>
  </si>
  <si>
    <t>Bloodbath</t>
  </si>
  <si>
    <t>antipaladin 1, bloodrager 1, cleric/oracle 2, inquisitor 2, medium 1, psychic 2, sorcerer/wizard 2, spiritualist 2, witch 2</t>
  </si>
  <si>
    <t>up to one living creature/level, no two of which can be more than 30 feet apart</t>
  </si>
  <si>
    <t>You cut yourself with the dagger, dealing yourself 1d6 points of bleed damage. So long as you keep taking this bleed damage, your targets each bleed for 1d6 points of damage at the beginning of their turns. The bleed damage on any target ends if that target receives magical healing, or if your bleed damage ends for any reason. This spell has no effect if you're immune to bleed damage or can otherwise reduce or ignore the bleed damage to yourself.</t>
  </si>
  <si>
    <t xml:space="preserve"> Cause yourself and enemies to bleed.</t>
  </si>
  <si>
    <t>Boneshaker</t>
  </si>
  <si>
    <t>antipaladin 1, cleric/oracle 2, inquisitor 2, sorcerer/wizard 2, spiritualist 2, witch 2</t>
  </si>
  <si>
    <t>V, S, F (human-shaped fetish made of bones)</t>
  </si>
  <si>
    <t>one living creature or undead creature with a skeleton</t>
  </si>
  <si>
    <t>Fortitude partial or negates (see text)</t>
  </si>
  <si>
    <t>By using a bone fetish like a marionette, you take control of a target creature's skeleton. This has a variety of effects depending on whether the target is living or undead.  A living creature has its skeleton rattle within its flesh, causing it grievous harm. The target takes 3d6 points of damage, plus 1d6 additional points of damage per 2 caster levels you have.  In addition, you can move the target 5 feet. This movement doesn't provoke attacks of opportunity. A successful saving throw halves the damage and negates the movement.  An undead creature takes no damage. Instead, you manipulate the undead, forcing it to take an immediate action to either move up to its speed (provoking attacks of opportunity as normal) or make a single attack against a creature of your choice in its reach. Either of these is the most basic version of the action the creature can take (it doesn't activate any special abilities that it could apply to the movement or attack, such as grab). A successful saving throw negates this effect. A mindless undead creature doesn't receive a save against this effect.</t>
  </si>
  <si>
    <t xml:space="preserve"> Momentarily control a living or undead creature’s skeleton.</t>
  </si>
  <si>
    <t>Borrow Corruption</t>
  </si>
  <si>
    <t>antipaladin 2, cleric/oracle 4, druid 4, medium 2, occultist 3, psychic 4, shaman 4, witch 4</t>
  </si>
  <si>
    <t>V, S, M (a dirty scrap of a good priest's raiment)</t>
  </si>
  <si>
    <t>You touch a creature with at least one manifestation from a corruption (see page 14). You temporarily gain any stains and gifts that corruption grants to the creature, and the creature retains them. If the gifts have limited uses, you count as having no uses remaining. You take 1d3 points of Wisdom drain whenever you cast this spell.  If your campaign uses the sanity system (see page 12), your sanity score decreases by 2 (and thus your sanity edge decreases by 1) each time you cast this spell, instead of you taking Wisdom drain. Only greater restoration, miracle, or wish can remove this decrease. A single casting of greater restoration removes one decrease of sanity from casting borrow corruption, while a casting of miracle or wish removes them all.</t>
  </si>
  <si>
    <t xml:space="preserve"> Temporarily gain the effects of a corrupted creature’s manifestations.</t>
  </si>
  <si>
    <t>Charnel House</t>
  </si>
  <si>
    <t>antipaladin 3, cleric/oracle 5, mesmerist 5, psychic 5, sorcerer/wizard 5, witch 5</t>
  </si>
  <si>
    <t>20-ft. cube (S)</t>
  </si>
  <si>
    <t>By sacrificing a living creature, you create the grisly illusion of viscera and gore splattered about the nearby area. When the casting time is complete, the walls drip with blood and the floor is slick with unidentifiable lumps of meat and other signs of a massacre. Anyone entering the area must attempt a Will save or be sickened for 1d6 rounds. This is a mind-affecting effect. If a creature succeeds at its save, it can see the semi-real nature of the illusion.  The room itself is covered in a layer of slippery, semi-real gore. Any creature attempting to walk within or through the area of gore can move at half normal speed with a DC 10 Acrobatics check. Failure means it can't move that round, and failure by 5 or more means it falls prone (see the Acrobatics skill for details). Creatures that don't move on their turns don't need to attempt this check and are not considered flat-footed. A creature that succeeded at its Will save gains a +5 bonus on the Acrobatics check.</t>
  </si>
  <si>
    <t xml:space="preserve"> Create an area of semi-real gore.</t>
  </si>
  <si>
    <t>Compelling Rant</t>
  </si>
  <si>
    <t>bard 5, cleric/oracle 5, inquisitor 5, mesmerist 5, psychic 5, sorcerer/wizard 5</t>
  </si>
  <si>
    <t>V, S, M/DF (a handwritten sheet of notes)</t>
  </si>
  <si>
    <t>You deliver a confusing but fascinating monologue, relaying conspiracies or metaphysical revelations that confound your audience, throughout the spell's casting time and as long as you  concentrate. You take 1d4 points of Wisdom drain when you begin the speech and can't reduce or prevent this damage in any way. Each intelligent creature in the spell's area takes 1d6 points of Wisdom damage as their perceptions of reality realign with yours for the spell's duration. Listeners with at least 5 HD can attempt a Will save to negate the effects. Your targets view you with a friendly attitude and respond to criticism of you with irritation. Bluff, Diplomacy, or Intimidate checks to create doubt about your purpose in those affected by the spell take a -4 penalty. The attitude of your targets regarding any creature that criticizes you or your vision automatically changes one step toward hostile; a Diplomacy check that fails by 5 or more reduces their attitude further. Your targets retain the same alignment and their prior beliefs, in addition to the ones you force on them. You can't force  beliefs on a target if such beliefs would be necessarily against the nature of its alignment and prior beliefs, but targets are otherwise able to hold contradictory beliefs.  If your campaign uses the sanity system (see page 12), your sanity score decreases by 2 (and thus your sanity edge decreases by 1) instead of taking Wisdom drain each time you cast this spell. Only greater restoration, miracle, or wish can remove this decrease. A single casting of greater restoration removes one decrease in sanity from casting compelling rant, while a casting of miracle or wish removes them all. Affected targets take sanity damage equal to half your caster level (maximum 10) instead of Wisdom damage. The targets might actually change alignment and beliefs if their loss of sanity afflicts them with an appropriate madness, in which case those effects last even after the spell's duration has ended.</t>
  </si>
  <si>
    <t xml:space="preserve"> People believe your ridiculous speech as long as you keep talking.</t>
  </si>
  <si>
    <t>Contact Entity I</t>
  </si>
  <si>
    <t>cleric/oracle 2, medium 1, occultist 2, psychic 2, shaman 2, sorcerer/wizard 2, summoner/unchained summoner 2, witch 2</t>
  </si>
  <si>
    <t>100 miles</t>
  </si>
  <si>
    <t>up to 20 entities of 6 HD or fewer; see text</t>
  </si>
  <si>
    <t>You send out a magical message to any eldritch entities of a particular kind within a 100-mile radius, which can be delivered to up to 20 such creatures, starting with the nearest creatures until the limit has been met. This spell can't contact creatures with more than 6 Hit Dice. You can't send a specific message, but this spell (and all similar contact entity spells) can be characterized as an open invitation to make contact and establish communication. If there is an appropriate entity within range, the spell succeeds automatically. You don't know whether the message was received, nor any specific details about what creatures received it or how many. Creatures that receive the message know the location and distance from where the spell was cast. Because this spell doesn't  call or summon the target, the target must have its own way to reach the place where the spell was cast.  How creatures respond to a contact spell is circumstantial and it is possible the creatures will simply ignore the spell. Creatures that come and investigate do so in their own time. They usually arrive cautiously, aware of the potential for ambush. Targets of the spell might inform their organization or community if they have one. There are no restrictions on how the creatures react to being contacted, and they might respond with hostility, parley, entertain an alliance, or subjugate the caster and their related community. Using this spell counts as mentally contacting the creature for the purpose of any of its special abilities (such as the star-spawn's overwhelming mind). For the purpose of spells like scrying, the creature has firsthand knowledge of you and a connection similar to if it possessed a likeness of you.  Each type of creature requires a different material component that must be included when casting the spell, as shown on Table 4-1: Contact Entity on page 112. Some of these components are expensive or might require quests to acquire. Contacting certain types of creatures makes the spell chaotic, evil, or both, as indicated on the table.</t>
  </si>
  <si>
    <t xml:space="preserve"> Ask eldritch entities to find and converse with you.</t>
  </si>
  <si>
    <t>Contact Entity II</t>
  </si>
  <si>
    <t>cleric/oracle 3, medium 2, occultist 3, psychic 3, shaman 3, sorcerer/wizard 3, summoner/unchained summoner 3, witch 3</t>
  </si>
  <si>
    <t>200 miles</t>
  </si>
  <si>
    <t>up to 20 entities of 12 HD or fewer</t>
  </si>
  <si>
    <t>This spell functions like contact entity I, except that you can contact creatures from the contact entity II list, and as noted above.</t>
  </si>
  <si>
    <t xml:space="preserve"> Ask more powerful eldritch entities to find and converse with you.</t>
  </si>
  <si>
    <t>Contact Entity III</t>
  </si>
  <si>
    <t>cleric/oracle 5, medium 3, occultist 4, psychic 5, shaman 5, sorcerer/wizard 5, summoner/unchained summoner 4, witch 5</t>
  </si>
  <si>
    <t>up to 20 entities of 18 HD or fewer</t>
  </si>
  <si>
    <t>This spell functions like contact entity II, except that you can contact creatures from the contact entity III list, and as noted above. Additionally, if a contacted creature has telepathy, it can send a telepathic message to you of up to 10 words.</t>
  </si>
  <si>
    <t xml:space="preserve"> Ask very powerful eldritch entities to find and converse with you, or they may reply telepathically.</t>
  </si>
  <si>
    <t>Contact Entity IV</t>
  </si>
  <si>
    <t>cleric/oracle 7, medium 4, occultist 6, psychic 7, shaman 7, sorcerer/wizard 7, summoner/unchained summoner 6, witch 7</t>
  </si>
  <si>
    <t>500 miles</t>
  </si>
  <si>
    <t>up to 20 entities of 24 HD or fewer</t>
  </si>
  <si>
    <t>This spell functions like contact entity III, except that you can contact creatures from the contact entity IV list, and as noted above.</t>
  </si>
  <si>
    <t xml:space="preserve"> Ask extraordinarily powerful eldritch entities to find and converse with you, or they may reply telepathically.</t>
  </si>
  <si>
    <t>Cruel Jaunt</t>
  </si>
  <si>
    <t>evil, fear, mind-affecting</t>
  </si>
  <si>
    <t>antipaladin 4, cleric/oracle 6, inquisitor 6, magus 6, psychic 6, shaman 6, sorcerer/wizard 6, witch 6</t>
  </si>
  <si>
    <t>V, S, M/DF (a dilated human eyeball)</t>
  </si>
  <si>
    <t>medium (100 feet + 10 ft./level)</t>
  </si>
  <si>
    <t>You gain the ability to detect fear, as per sense fear (see page 127), but you sense creatures within medium range.  Once per round as a standard action, you can teleport to a creature suffering from a fear effect within the spell's range if you are aware of the creature and its rough location. You can carry objects with you so long as you don't transport more than your maximum load. You arrive in a random open space within 20 feet of the creature and immediately begin sensing the location of creatures with a fear condition from your new location.  Once you teleport to a new location with this spell, you can take no additional actions for the round, as if casting dimension door. You can't teleport if there are no creatures suffering from a fear effect in range.</t>
  </si>
  <si>
    <t xml:space="preserve"> Sense creatures suffering from fear, then teleport close to them.</t>
  </si>
  <si>
    <t>Curse Of Fell Seasons</t>
  </si>
  <si>
    <t>curseUM, darkness</t>
  </si>
  <si>
    <t>druid 9, shaman 9, sorcerer/wizard 9, witch 9</t>
  </si>
  <si>
    <t>V, S, F (darkwood carving of a tree worth 15,000 gp)</t>
  </si>
  <si>
    <t>2-mile radius emanating from the touched point</t>
  </si>
  <si>
    <t>By touching the ground, you drastically change the weather in the area, as the unseasonable weather curse (see page 145). The focus merges into the cursed area as part of the spell and can only be retrieved if the curse is lifted.</t>
  </si>
  <si>
    <t xml:space="preserve"> Curse an area’s weather.</t>
  </si>
  <si>
    <t>Curse Of Night</t>
  </si>
  <si>
    <t>V, S, F (jet gemstones worth a total of 10,000 gp)</t>
  </si>
  <si>
    <t>none (see curse text)</t>
  </si>
  <si>
    <t>By touching the ground, you curse an area to remain in bleak darkness, as the endless night curse (see page 143). The focus merges into the cursed area as part of the spell and can only be retrieved if the curse is lifted.</t>
  </si>
  <si>
    <t xml:space="preserve"> Curse an area with eternal night.</t>
  </si>
  <si>
    <t>Curse Terrain, Lesser</t>
  </si>
  <si>
    <t>curseUM, evil</t>
  </si>
  <si>
    <t>cleric/oracle 2, druid 2, shaman 2, sorcerer/wizard 2, witch 2</t>
  </si>
  <si>
    <t>V, S, M (the heart of a creature that dwelled in the area and powdered onyx worth 350 gp)</t>
  </si>
  <si>
    <t>300-ft. radius emanating from the touched point</t>
  </si>
  <si>
    <t>1 day (D)</t>
  </si>
  <si>
    <t>By touching the ground, you curse the land with three unnatural hazards, as the minor perilous demesne curse (see page 145). Though this makes the hazards appear frequently, their manifestations are still unpredictable-you can't control when the hazards begin or end, nor where they appear within the cursed terrain.  Curse terrain spells can be made permanent with a permanency spell. The minimum caster level and gp cost are shown on the table. The spell is still dismissable if made permanent.  Spell Minimum Caster Level GP Cost  Lesser curse terrain 9th 2,500 gp  Curse terrain 11th 7,500 gp  Greater curse terrain 15th 17,500 gp  Supreme curse terrain 19th 27,500 gp</t>
  </si>
  <si>
    <t xml:space="preserve"> Curse an area with three mild hazards.</t>
  </si>
  <si>
    <t>Curse Terrain</t>
  </si>
  <si>
    <t>cleric/oracle 4, druid 4, shaman 4, sorcerer/wizard 4, witch 4</t>
  </si>
  <si>
    <t>V, S, M (the heart of a creature that dwelled in the area and powdered onyx worth 700 gp)</t>
  </si>
  <si>
    <t>By touching the ground, you curse the land with four unnatural hazards. This functions as lesser curse terrain, but with the effects of the major perilous demesne curse (see page 145).</t>
  </si>
  <si>
    <t xml:space="preserve"> Curse an area with four hazards.</t>
  </si>
  <si>
    <t>Curse Terrain, Greater</t>
  </si>
  <si>
    <t>cleric/oracle 6, druid 6, shaman 6, sorcerer/wizard 6, witch 6</t>
  </si>
  <si>
    <t>V, S, M (the heart of a creature that dwelled in the area and powdered onyx worth 1,500 gp)</t>
  </si>
  <si>
    <t>5-mile radius emanating from the touched point</t>
  </si>
  <si>
    <t>By touching the ground, you curse the land with six unnatural hazards. This functions as lesser curse terrain, but with the effects of the greater perilous demesne curse (see page 145).</t>
  </si>
  <si>
    <t xml:space="preserve"> Curse an area with six dangerous hazards.</t>
  </si>
  <si>
    <t>Curse Terrain, Supreme</t>
  </si>
  <si>
    <t>cleric/oracle 8, druid 8, shaman 8, sorcerer/wizard 8, witch 8</t>
  </si>
  <si>
    <t>V, S, M (the heart of a creature that dwelled in the area and powdered onyx worth 4,000 gp)</t>
  </si>
  <si>
    <t>By touching the ground, you curse the land with seven unnatural hazards. This functions as lesser curse terrain, but with the effects of the grand perilous demesne curse (see page 144).</t>
  </si>
  <si>
    <t xml:space="preserve"> Curse an area with seven deadly hazards.</t>
  </si>
  <si>
    <t>Damnation</t>
  </si>
  <si>
    <t>V, S, M/DF (a drop of holy water)</t>
  </si>
  <si>
    <t>You pass judgment on your enemies' intentions and punish them with holy power. Each creature in the spell's area takes 1d8 points of damage per spell level, determined by the most powerful effect with the evil descriptor either affecting that creature or in its spell repertoire. A caster who prepares spells takes this damage based on the highest-level evil spell he prepared that day, even if he already cast that spell. A spontaneous spellcaster takes this damage based on the highest-level evil spell she knows, even if she has no remaining spell slots available to cast that spell. A creature with evil spell-like abilities takes this damage based on the highest-level evil spell-like ability it can use. A creature who doesn't cast spells but is the willing beneficiary of evil spells takes this damage based on the highest-level evil spell currently affecting it, including spells that affect an area such as desecrate. A creature subject  to the harmful effects of an evil spell are unaffected unless it voluntarily accepted the spell's effects.</t>
  </si>
  <si>
    <t xml:space="preserve"> Punish creatures for evil spells they know or that affect them.</t>
  </si>
  <si>
    <t>Death Clutch</t>
  </si>
  <si>
    <t>cleric/oracle 8, druid 9, psychic 8, sorcerer/wizard 8, witch 8</t>
  </si>
  <si>
    <t>Chanting an unholy litany, you reach out with a grasping motion toward your target and cause its heart to leap out of its chest and into your hand. A target with 200 or fewer hit points remaining that fails its saving throw is instantly reduced to a number of negative hit points equal to your caster level or its Constitution score - 1, whichever is less negative. The creature is staggered until the beginning of your next turn, at which point it dies. If the affected creature receives a regenerate spell before the beginning of your next turn, the creature gains the normal benefits of that spell and, thanks to its heart's regeneration, it doesn't immediately die when your next turn begins. If a creature that dies from death clutch is brought back from the dead by a breath of life or raise dead spell, it must also be targeted with regenerate on the following round to restore its missing heart or be unable to return to life.  A target with 201 or more hit points that fails its saving throw manages to keep its heart from leaping out of its chest, but it is still staggered for 1 minute and takes 1d4 points of Constitution drain and 1d4 points of Constitution bleed.  Regardless of its current hit points, if the target succeeds at its Fortitude save, it is still staggered until the beginning of your next turn as it feels its heart wrenching within its chest.</t>
  </si>
  <si>
    <t xml:space="preserve"> Rip out someone’s heart.</t>
  </si>
  <si>
    <t>Decapitate</t>
  </si>
  <si>
    <t>inquisitor 5, magus 6, psychic 6, sorcerer/wizard 6</t>
  </si>
  <si>
    <t>V, S, F (a sliver from a guillotine blade)</t>
  </si>
  <si>
    <t>You can cast this spell only as a response to a confirmed critical hit against the target that would deal slashing damage. If the target fails the saving throw and has a discernible head, the attack deals an extra 4d6 points of damage and the critical multiplier of the critical hit increases by 1. If the critical hit then brings the target to 0 hit points or fewer, the target is instantly decapitated and dies unless it can survive decapitation. Even on a successful saving throw, the critical hit deals an extra 4d6 points of damage.</t>
  </si>
  <si>
    <t xml:space="preserve"> Turn a critical hit into a decapitation.</t>
  </si>
  <si>
    <t>Decollate</t>
  </si>
  <si>
    <t>alchemist 4, antipaladin 4, cleric/oracle 5, psychic 6, sorcerer/wizard 5, spiritualist 4, witch 5</t>
  </si>
  <si>
    <t>V, S, F (a red wax pencil)</t>
  </si>
  <si>
    <t>one willing humanoid or monstrous humanoid creature</t>
  </si>
  <si>
    <t>A thin red line circles the target's neck. The target's head becomes detachable so long as she removes it willingly. While the target's head is detached, she gains DR 2/- and immunity to decapitation effects and other effects that require their target to have a head or a particular facial feature. The target is blind so long as she has no head, but she gains blindsense to a distance of 15 feet. The target hears normally even without its head.  While detached, the target's head appears to be dead. The target can't see through its eyes or hear events around the head. The target's body knows the direction and distance to its head. Without additional protection, the severed head has AC 7, hardness 5, and 10 hit points. Destroying the head while the  spell is in effect kills the target of the spell. If the spell's duration expires normally without the head being reattached, the target dies. If either the target or the head are removed to a different plane, or if the spell is dispelled, the head teleports back to its owner and reattaches without further harm.</t>
  </si>
  <si>
    <t xml:space="preserve"> A target can safely remove its head.</t>
  </si>
  <si>
    <t>Dreadscape</t>
  </si>
  <si>
    <t>bard 3, medium 3, mesmerist 3, psychic 4, sorcerer/wizard 4</t>
  </si>
  <si>
    <t>V, S, M (a pinch of black sand)</t>
  </si>
  <si>
    <t>up to one creature/level, no two of which can be more than 30 feet apart</t>
  </si>
  <si>
    <t>Your targets see their surroundings as a nightmarish reflection of the world around them. Buildings and furnishings take on a dirty, ruined appearance. Even allies appear foreign and hostile, with friendly speech turning into garbled mockery and threats.  Each target gains the scared condition and has a hostile attitude toward any new creature it encounters (though not toward creatures that were already present at the time of the casting). Being hostile doesn't necessarily mean the target will attack, and creatures can attempt Diplomacy checks to gain a target's trust at the normal DC. If a creature becomes frightened or panicked while under the influence of dreadscape, that creature takes 1d6 points of Wisdom damage, though only once per casting of dreadscape.  If your campaign uses the sanity system (see page 12), creatures that become frightened or panicked take 2d6 sanity damage instead of Wisdom damage.</t>
  </si>
  <si>
    <t xml:space="preserve"> Surroundings and unfamiliar creatures seem like something out of a nightmare.</t>
  </si>
  <si>
    <t>Flesh Puppet</t>
  </si>
  <si>
    <t>antipaladin 2, cleric/oracle 3, occultist 3, shaman 3, sorcerer/wizard 4, spiritualist 3, witch 4</t>
  </si>
  <si>
    <t>V, S, M (an onyx worth 25 gp and a silken string)</t>
  </si>
  <si>
    <t>one corpse touched</t>
  </si>
  <si>
    <t>You animate one corpse that has been dead no more than 48 hours. It rises as a zombie (Pathfinder RPG Bestiary 288) that is magically tethered to you and obeys your commands. As noted in animate dead, you can't control more than 4 HD per caster level worth of undead in total, nor can a single casting create more than 2 HD per caster level.  This spell disguises the zombie's appearance and allows you to control it. The zombie's outward appearance, movement, and voice appear the same as if it were still alive. The zombie's normal staggered condition doesn't apply (though it can still be staggered by other means). Successfully detecting the flesh puppet as a zombie without magic requires an opposed Perception check against your Disguise check, and you add your caster level as a bonus on this Disguise check.  An ephemeral string connects you to the zombie. Through this string, you have a mental link to the zombie and can command it as a swift action. The zombie uses its own actions to complete your commands. The zombie can speak up to 25 words in 1 round, but you must mentally impart what you intend it to say as a swift action. It is incapable of articulating speech on its own. The zombie can be ordered to perform very simple tasks it knew in life but can't make attacks, cast spells, or perform complex or difficult tasks requiring constant concentration.  The string connecting you and the zombie is nearly invisible. A DC 30 Perception check is required to detect it. It has hardness 0 and 1 hp. The length of string you can create is 100 feet + 10 feet per caster level you have. The string snaps if you and the zombie move farther apart than this length, though the zombie won't move out of range unless forced to do so or unless you command it to do so. If the string to the zombie is severed, the spell immediately ends. The ephemeral string can pass through  physical barriers, but not barriers of magical force, and it can be damaged as though it were a physical object.  When this spell ends, the zombie immediately reverts back to a normal corpse. The spell ends automatically if you cast flesh puppet or flesh puppet horde on a new corpse.</t>
  </si>
  <si>
    <t xml:space="preserve"> Control a zombie in human guise.</t>
  </si>
  <si>
    <t>Flesh Puppet Horde</t>
  </si>
  <si>
    <t>antipaladin 3, cleric/oracle 4, occultist 4, shaman 4, sorcerer/wizard 5, spiritualist 4, witch 5</t>
  </si>
  <si>
    <t>V, S, M (an onyx worth 50 gp for each zombie and a silken string)</t>
  </si>
  <si>
    <t>This spell functions as flesh puppet, but can animate multiple zombies. As noted in animate dead, you can't control more than 4 HD per caster level worth of undead in total, nor can a single casting create more than 2 HD per caster level. A separate string attaches to each zombie in your horde. Severing a zombie's string reverts that zombie to a corpse, but doesn't end the spell for other zombies. Because commanding a flesh puppet requires a swift action, you can issue commands to only one zombie per round, though zombies you previously commanded continue to follow their orders. Likewise, you can command only one zombie to speak per round.  Unlike with flesh puppet, you can command a zombie to attack. If you do, all your zombies immediately gain the staggered quality and no longer appear to be alive.  This spell ends automatically if you cast flesh puppet or flesh puppet horde on a new corpse.</t>
  </si>
  <si>
    <t xml:space="preserve"> Control multiple zombies in human guise.</t>
  </si>
  <si>
    <t>Flesh Wall</t>
  </si>
  <si>
    <t>cleric/oracle 6, shaman 6, sorcerer/wizard 6, spiritualist 5, summoner/unchained summoner 5, witch 6</t>
  </si>
  <si>
    <t>V, S, M (one corpse for every 5-ft. square of the wall), DF</t>
  </si>
  <si>
    <t>a wall of corpses with an area of up to one 5-ft. square/ level (S)</t>
  </si>
  <si>
    <t>You animate corpses, forming them into a wall of joined flesh and limbs. The wall inserts itself into any surrounding nonliving material if its area is sufficient to do so. The wall can't be created so that it occupies the same space as a creature or another object. The wall must be vertical, but can be shaped as you see fit.  The wall is considered to be undead. It uses your Will saving throw to resist channel energy.  A flesh wall is 2 feet thick. Each 5-foot square of the wall has 12 hit points and DR 5/slashing. A section of wall whose hit points drop to 0 is breached. As a move action, you can cause the fleshwall to constrict, shrinking it by a 5-foot square to fill the hole. Additionally, as a standard action, you can cause a 5-foot square of  the wall to permanently detach, forming a human zombie (Bestiary 288) under your verbal control (this zombie doesn't count against your normal limit of commanded undead). The zombie reverts back into a normal corpse when the spell's effect ends. Each 5-foot square of the wall makes a single slam attack against an adjacent enemy on your turn, as a human zombie. The squares of the wall threaten their adjacent squares and can even provide flanking.  Creatures can force their way slowly through the wall by making a Strength check as a full-round action. The DC to move through the wall is equal to 15 + your caster level. A creature that fails the check is trapped in the wall, takes 3d6 points of crushing damage, and is denied its Dexterity bonus to AC against the wall's slam attack. The creature can make an attempt to escape the wall on its next turn.  You can use zombies already under your control as the material components for a flesh wall. However, they and any other corpses in the wall revert back to inanimate corpses when the spell ends.</t>
  </si>
  <si>
    <t xml:space="preserve"> Create a wall of zombies.</t>
  </si>
  <si>
    <t>Flickering Lights</t>
  </si>
  <si>
    <t>bard 2, cleric/oracle 2, inquisitor 2, magus 2, occultist 2, shaman 2, sorcerer/wizard 2</t>
  </si>
  <si>
    <t>V, S, M (a patch of white cloth and a patch of black cloth)</t>
  </si>
  <si>
    <t>contiguous area consisting of one 10-foot cube/level (S)</t>
  </si>
  <si>
    <t>You cause the illumination in the area to seem to flicker erratically, fluctuating between absolute darkness and blinding brightness. The level of light in the area changes at the start of each creature's turn, as determined by rolling a percentile die and consulting the following table.  d% Illumination level  1-10 Supernatural darkness  11-25 Darkness  26-50 Dim light  51-90 Normal light  91-00 Bright light  Even darkvision can't see through supernatural darkness (as deeper darkness). Bright light affects creatures with light blindness or light sensitivity. For the purpose of superseding its effects with higher-level light or darkness spells, flickering lights counts as a light spell when it increases the ambient light level and a darkness spell when it decreases the ambient light level.</t>
  </si>
  <si>
    <t xml:space="preserve"> Create an area of inconsistent lighting.</t>
  </si>
  <si>
    <t>Grasping Corpse</t>
  </si>
  <si>
    <t>antipaladin 1, cleric/oracle 1, occultist 1, shaman 1, sorcerer/wizard 1, spiritualist 1, witch 1</t>
  </si>
  <si>
    <t>V, S, M (pinch of powdered onyx worth 1 gp)</t>
  </si>
  <si>
    <t>You can cause one nearby corpse to animate for a brief moment. Choose a creature within 30 feet of the corpse (even if the creature is outside the spell's range). The corpse shambles toward the creature and then attempts to trip or grapple it (your choice). The corpse does not provoke attacks of opportunity.  Attempt a special combat maneuver check against the chosen creature. Your CMB for this combat maneuver is equal to your caster level plus your Intelligence, Wisdom, or Charisma modifier, whichever is highest. If you chose to trip the creature, it falls prone if you equal or exceed its CMD. If you chose to grapple, the  creature gains the grappled condition until it breaks free from the corpse. Treat your save DC for a spell of this level as the CMD of the grasping corpse. Alternatively, destroying the corpse with damage ends the grapple. The corpse has 12 hit points and DR 5/slashing.</t>
  </si>
  <si>
    <t xml:space="preserve"> Cause a corpse to grab or trip a foe.</t>
  </si>
  <si>
    <t>Green Caress</t>
  </si>
  <si>
    <t>druid 6, ranger 4, shaman 6, witch 6</t>
  </si>
  <si>
    <t>V, S, M (pinch of moss or a kudzu leaf)</t>
  </si>
  <si>
    <t>7 days (see text)</t>
  </si>
  <si>
    <t>You cause the target to transform into a plant over time. You must succeed at a melee touch attack to infect the target. If the target succeeds at its Fortitude saving throw, it takes 1d4 points of ability damage to each physical ability score (Strength, Dexterity, and Constitution) and the spell ends. If the target fails its saving throw, it takes 1d4 points of ability damage to each physical ability score immediately and continues to take 1d4 points of ability damage to each of its physical ability scores every day, until the spell expires. It can't recover this ability damage as long as the spell lasts, even with magic. While the spell continues, the target takes on physical plant characteristics as appropriate to the environment. It begins to diminish in height and its skin turns plantlike. For example, the target's skin might turn green and its hair is slowly replaced with grass or leaves or the target's skin might become smooth, pale, and flabby as the creature transforms into a large mushroom in an underground environment.  If the damage to any single ability score equals or exceeds that score, the target fully transforms into a normal small tree or shrub. This final transformation is instantaneous, ending green caress. The target remains alive but is considered the same as a regular tree, shrub, or other vegetation. Any ability damage from other sources, like poison or disease, also applies toward transforming the creature. If the target retains at least 1 point in all of its physical ability scores at the end of 7 days, the final transformation doesn't occur and the spell ends. Any changes in appearance gradually reverse themselves as the ability damage heals.  Break enchantment, dispel magic, and remove curse can end the spell before the duration expires, but the spell is contagious. If a caster level check attempt to remove green caress fails by 5 or more, the creature who attempted to remove the effect must attempt a Fortitude saving throw as if it had just been targeted with the spell. If the spell's target attempts to remove the effect from itself and fails, it causes the spell to behave as if affected by plant growth (as described below).  Polymorph any object ends the spell and totally restores the target without any risk to the caster, even after the target has been finally transformed, as do limited wish, miracle, and wish (treat polymorph any object as if it had an instantaneous duration if it is used in this way). If the target is in the area of a plant growth spell as it is cast, it must attempt a Fortitude save at green caress's  DC or immediately take another 1d4 points of ability damage to each physical ability score; this stacks with multiple castings of plant growth. If the target is in the area of diminish plants as it is cast, it ignores the next ability damage from green caress to one of its three physical ability scores (chosen randomly); this doesn't stack with multiple castings of diminish plants.</t>
  </si>
  <si>
    <t xml:space="preserve"> Slowly transform a creature into an inanimate plant.</t>
  </si>
  <si>
    <t>Hedging Weapons</t>
  </si>
  <si>
    <t>antipaladin 1, cleric/oracle 1, inquisitor 1, paladin 1</t>
  </si>
  <si>
    <t>A weapon made from divine force appears and floats near you. This weapon takes the shape of your deity's favored weapon (if you have no deity, the weapon appears as a simple weapon with special significance to you). You gain one additional weapon at 6th level and every 4 caster levels thereafter-two at 6th, three at 10th, four at 14th, and a maximum of five weapons at 18th level. The weapon averts and deflects attacks, granting you a +1 deflection bonus to AC for each weapon summoned (maximum +5 at 18th level). As a standard action, you can grasp a weapon and throw it as a ranged attack at any target you can see within 30 feet of you (even if it's a type of weapon that can't normally be thrown). On a successful hit, the weapon deals 2d6 points of force damage to the target. This force weapon has the same threat range and critical multiplier as a standard weapon of its type, but no other special abilities. Because it deals force damage, DR doesn't apply. Each weapon thrown lowers the total deflection bonus to your AC by 1 as it disappears immediately after the attack action. The spell immediately ends once you throw all the weapons.</t>
  </si>
  <si>
    <t xml:space="preserve"> Floating weapons protect you and make ranged attacks.</t>
  </si>
  <si>
    <t>Holy Javelin</t>
  </si>
  <si>
    <t>javelin of divine energy</t>
  </si>
  <si>
    <t>1 round + 1 round/4 levels</t>
  </si>
  <si>
    <t>You create a shimmering javelin of holy energy to hurl at an enemy as a ranged touched attack. The javelin deals 1d6 points of damage to an evil creature on a successful attack; it dissipates harmlessly against creatures of any other alignment. Each time a creature starts its turn while impaled by the javelin, it takes another 1d6 points of damage. For every 4 caster levels you have, the javelin remains in the creature for an additional round (to a maximum of 5 rounds at 18th level). While the creature remains impaled, it takes a -2 penalty on attack rolls and skill checks. As a move action, the creature (or another adjacent creature)  can attempt to pull the javelin out (causing it to immediately disappear) with a DC 12 Strength check.  The holy javelin glows like a torch, and this light clearly indicates the impaled creature's location, even if it turns invisible. Since this light is not a light effect, just the glow of a conjured javelin, darkness spells always suppress it, even if they are lower level.</t>
  </si>
  <si>
    <t xml:space="preserve"> Deal ongoing damage to evil creatures and apply penalties.</t>
  </si>
  <si>
    <t>Horrific Doubles</t>
  </si>
  <si>
    <t>bard 4, bloodrager 4, medium 3, mesmerist 4, psychic 4, sorcerer/wizard 4</t>
  </si>
  <si>
    <t>You create several illusory doubles of yourself, where you and each image all seem slightly off or wrong in appearance. Treat this spell as mirror image, except as noted.  Each creature that can see the doubles must succeed at a Will save or become shaken for as long as it can see any of the doubles. A successful saving throw negates the shaken condition  and renders the creature immune to the further effects of this spell (beyond the usual effects of mirror image). In addition, the first time a creature that failed its initial saving throw destroys one of the images, it must succeed at a Will save or its perception of the double shifts at the last second. The double takes on the face of the attacker, the face of a loved one, or some other equally disturbing image, causing the attacker to become frightened for 1 round and take 1d3 points of Wisdom damage from the traumatic shock. Both additional effects are mind-affecting fear effects, and spell resistance applies against them.  If your campaign uses the sanity system (see page 12), a creature takes 1d8 points of sanity damage instead of Wisdom damage.</t>
  </si>
  <si>
    <t xml:space="preserve"> Call forth disturbing mirror images.</t>
  </si>
  <si>
    <t>Hunger For Flesh</t>
  </si>
  <si>
    <t>antipaladin 3, cleric/oracle 4, psychic 4, shaman 4, sorcerer/wizard 4, spiritualist 4, witch 4</t>
  </si>
  <si>
    <t>V, S, M/DF (a ghoul fang)</t>
  </si>
  <si>
    <t>one humanoid, magical beast, or monstrous humanoid</t>
  </si>
  <si>
    <t>Your target's belly distends and its front teeth grow longer and sharper. The creature ravenously craves the flesh of its own kind, gaining the staggered condition as hunger pangs rack its altered body. The target gains a bite attack as a primary natural attack that deals damage appropriate for its size (1d6 if Medium, 1d4 if Small). There's a 25% chance on each of the creature's turns that it can't overcome its hunger. If so, it must move directly toward the nearest corporeal creature of its type and subtype (if applicable) and make a bite attack against it. If the target lacks enough actions to attack on that turn, it moves as close to the creature as it can, but on its next turn, if the percentile dice indicate it overcomes its hunger, the target is not forced to pursue or attack further.  On any round after the target deals damage to another creature of its own type and subtype (if applicable) with its bite attack, the target loses the staggered condition. If it doesn't continue dealing bite damage to applicable creatures, the target regains the staggered condition at the beginning of its next turn.</t>
  </si>
  <si>
    <t xml:space="preserve"> Give a creature a bite attack and a hunger for its own kind’s flesh.</t>
  </si>
  <si>
    <t>Hunger For Flesh, Mass</t>
  </si>
  <si>
    <t>cleric/oracle 7, psychic 7, shaman 7, sorcerer/wizard 7, spiritualist 6, witch 7</t>
  </si>
  <si>
    <t>one humanoid, magical beast, or monstrous humanoid/ level, no two of which can be more than 30 feet apart</t>
  </si>
  <si>
    <t>This spell functions like hunger for flesh, except that it affects multiple targets. When forced to feed by the spell, affected creatures attack creatures not affected by this spell if there are any such appropriate creatures nearby, but otherwise they attack other affected creatures.</t>
  </si>
  <si>
    <t xml:space="preserve"> Give creatures bite attacks and a hunger for their own kind’s flesh.</t>
  </si>
  <si>
    <t>Impossible Angles</t>
  </si>
  <si>
    <t>medium 3, mesmerist 4, occultist 4, psychic 5, sorcerer/wizard 5</t>
  </si>
  <si>
    <t>V, S, M (a melted prism)</t>
  </si>
  <si>
    <t>contiguous area up to one 5-foot cube/caster level (S)</t>
  </si>
  <si>
    <t>You cause the surrounding area to appear to distort. The angles and corners of the area subtly twist and contort, creating unnatural and impossible shapes. Any creature entering the area must succeed at a Will save or become disoriented. Disoriented characters treat the area as difficult terrain and are sickened. In addition, whenever a disoriented creature uses an action to move (including taking a 5-foot step if it can do so in difficult terrain), roll 1d8 to see which direction it moves, in a similar manner to determining where a splash weapon lands on a miss (Pathfinder RPG Core Rulebook 202). On a 1, the creature moves in its intended direction, with 2 through 8 rotating around the creature's starting square in a clockwise direction. Only the creature's first  5 feet of movement each round are affected in this way-it can move normally for any remaining movement, either from the same action or from later actions, as the creature acclimatizes to the distortion. An affected creature can attempt a new Will save each round to end the disoriented effect. A creature that leaves the area and re-enters must attempt the saving throw again, even if it succeeded at its initial save.</t>
  </si>
  <si>
    <t xml:space="preserve"> Distort geometry in an area.</t>
  </si>
  <si>
    <t>Life Blast</t>
  </si>
  <si>
    <t>V, S, M (a dead leaf)</t>
  </si>
  <si>
    <t>150 ft.</t>
  </si>
  <si>
    <t>150-ft. line</t>
  </si>
  <si>
    <t>This spell must be cast in an area with vegetation or it has no effect. When you cast this spell, you draw the life force from the surrounding land and hurl it at your enemies, dealing 1d6 points of positive energy damage per caster level (to a maximum of 12d6 at 12th level) to any undead creatures in the spell's area. However, doing so blights the land around you in a spread with a radius of 5 feet per caster level you have (to a maximum of 60 feet at 12th level). All vegetation in that area immediately withers and dies. Plant creatures aren't affected.  The blast starts from your palm and is able to travel through solid objects and obstacles.</t>
  </si>
  <si>
    <t xml:space="preserve"> Drain life from local vegetation to launch a blast of positive energy.</t>
  </si>
  <si>
    <t>Locate Gate</t>
  </si>
  <si>
    <t>bard 5, cleric/oracle 5, occultist 5, psychic 5, sorcerer/wizard 5, summoner/unchained summoner 5</t>
  </si>
  <si>
    <t>V, S, F/DF (a small lodestone sphere)</t>
  </si>
  <si>
    <t>circle centered on you with a radius of 400 ft. + 40 ft./level</t>
  </si>
  <si>
    <t>You sense the direction of the nearest teleportation circle (permanent or with a remaining duration), gate spell, or other effect which magically connects two different locations (for example, an active magic item, a creature's special ability, or unique adventure location). Locate gate detects only spells or effects with a permanent or ongoing duration, not instantaneous effects like dimension door or teleport.  Locate gate can be blocked by spells like nondetection, if the effect originates from a specific object or creature. However, spell effects can't likewise be warded. For example, ring gates are a specific object, but a permanent teleportation circle is not (the surface in which it's inscribed doesn't count). Locate gate isn't blocked by lead, water, or other physical environmental conditions, but it is blocked by any intervening area that is dimensionally warded (such as by dimensional lock or forbiddance).</t>
  </si>
  <si>
    <t xml:space="preserve"> Find a nearby magical portal.</t>
  </si>
  <si>
    <t>Mad Sultan's Melody</t>
  </si>
  <si>
    <t>bard 3, mesmerist 4, occultist 4, psychic 4, sorcerer/wizard 4, witch 4</t>
  </si>
  <si>
    <t>V, S, F (masterwork flute, pipe, or string instrument)</t>
  </si>
  <si>
    <t>one creature/2 levels, no two of which may be more than 30 ft. apart (see text)</t>
  </si>
  <si>
    <t>You imitate the mad cacophony created by the awful beings associated with the Outer God, Azathoth. This spell targets only creatures with the ooze type, creatures with the amorphous special ability, and non-bipedal creatures with a special association with the Outer Gods. This music draws the targets' attention to the caster, as per the fascinate bardic performance. It affects mindless creatures despite the mindless quality typically granting immunity to mind-affecting effects, though it doesn't ignore any other immunity to mind-affecting effects the creature might have. The caster doesn't have to maintain the effect each round-the music continues for the duration of the spell. Creatures fascinated by mad sultan's melody become immune to any other casting of the spell for 24 hours after the spell ends, and the spell ends if the fascination breaks on any of its targets for any reason (such as an attack).  If you have the bardic performance class feature and the fascinate bardic performance, you can choose to use the spell's saving throw DC or a DC equal to 10 + 1/2 your levels in the class that grants you bardic performance + your Charisma modifier, whichever is higher. If you choose to use the latter DC, each round of the melody costs 1 round of bardic performance and it counts as an active performance for determining how many performances you can have active.  This spell takes a toll on the caster. Each time you cast it, you take 1d4 points of Wisdom damage. If your campaign uses the sanity system (see page 12), you instead take 2d6 points of sanity damage.</t>
  </si>
  <si>
    <t xml:space="preserve"> Bizarre cacophony fascinates eldritch creatures.</t>
  </si>
  <si>
    <t>Massacre</t>
  </si>
  <si>
    <t>cleric/oracle 9, psychic 9, shaman 9, sorcerer/wizard 9, witch 9</t>
  </si>
  <si>
    <t>V, S, M (a flask of ectoplasmic residue)</t>
  </si>
  <si>
    <t>You unleash a wave of necromantic energy that snuffs out the life force of those in its path. This wave pulses out from you in a line 5 feet wide and 30 feet long. The wave visibly rips the souls from the bodies of those it passes through, which manifest as screaming, transparent versions of the affected creatures. The wave kills every living creature of 17 or fewer HD in the line, starting with the creature closest to you, to a maximum of 1d4 HD of creatures  per caster level. No creature of 18 or more HD can be affected. If a creature succeeds at its saving throw or has too many HD, it doesn't count against the HD the spell can kill The wave continues to affect creatures as it rolls away from you until you either run out of HD to affect or reach the limit of the spell's area. If the spell does not kill any creatures, the unreleased necromantic energy violently explodes in the final square of the 60-foot line, dealing 10d6 points of damage + 1 point per caster level to any creature in that square with no saving throw. If several creatures occupy the same square, roll randomly to determine which is affected.</t>
  </si>
  <si>
    <t xml:space="preserve"> Slaughter creatures in a line.</t>
  </si>
  <si>
    <t>Maze Of Madness And Suffering</t>
  </si>
  <si>
    <t>psychic 9, sorcerer/wizard 9, witch 9</t>
  </si>
  <si>
    <t>V, S, M (an ornate puzzle box worth 1,000 gp and soaked in fresh blood)</t>
  </si>
  <si>
    <t>Will partial, see below</t>
  </si>
  <si>
    <t>This spell works like maze, except the DC of the Intelligence check to escape is 22 and each round a creature remains in the maze a different effect occurs depending on which section of the maze it is in. Roll on the following table each time the creature attempts an Intelligence check to escape the maze to see which part of the maze it wanders through; if a creature doesn't attempt an Intelligence check, it stays in the same section and suffers that section's effects. Any conditions or damage taken persist for the listed duration even if the creature exits the maze before then, but conditions don't stack with themselves.  d% Maze Section  1-20 Circus  21-40 Haunted forest  41-60 Hellscape  61-80 Oasis of respite  81-100 Strange city  Circus: The creature finds itself in a nightmarish circus of giant beasts, garishly painted faces, and hideous, mocking laughter. The creature must succeed at a Will save or gain a lesser madness (see page 182). The save uses the madness's normal DC.  Haunted Forest: The creature travels through a dark forest of grasping trees while shadowy beasts prowl at the edge of its vision. The creature must succeed at a Will save or become frightened for 2d4 rounds. This is a fear effect. A frightened creature can still attempt Intelligence checks to escape the maze, but it takes 3d6 points of slashing and piercing damage from the trees' branches.  Hellscape: The creature navigates a landscape of fire and stone walls carved with diabolical faces while the cries of the damned echo in the air. The creature must succeed at a Will save or become paralyzed by fear and potential torment for 1 round. This is a  fear effect. The creature can't attempt to escape the maze while paralyzed, and if it fails three consecutive saving throws against this paralysis, the hellscape delivers a coup de grace, dealing the creature 4d6 points of fire damage. The creature must succeed at a Fortitude save (DC = 10 + the damage dealt) or die. A creature that survives the coup de grace escapes from the paralysis as well.  Oasis of Respite: Whether it appears as a beautiful glade, a perfumed palace, or a literal desert oasis, this section of the maze is supernaturally peaceful, especially in comparison to the rest of the maze. The creature must succeed at a Will save or become fascinated for 1 round. The creature can't attempt to escape the maze while fascinated. A creature that fails three consecutive saving throws to this fascination enters a state of lethargy and gives up ever escaping the maze, remaining in this area until the spell ends on its own in 10 minutes (as per maze).  Strange City: The creature journeys through a city of cyclopean architecture under a sky of indescribable color and numerous stars. The creature must succeed at a Will save or take 2d4 points of Wisdom damage. If your campaign uses the sanity system (see page 12), the creature instead takes 2d10 points of sanity damage.</t>
  </si>
  <si>
    <t xml:space="preserve"> Send a target into a dangerous extradimensional maze.</t>
  </si>
  <si>
    <t>Night Terrors</t>
  </si>
  <si>
    <t>emotionUM, evil, mind-affecting</t>
  </si>
  <si>
    <t>bard 6, mesmerist 6, psychic 6, sorcerer/wizard 6, witch 6</t>
  </si>
  <si>
    <t>V, S, M/DF (a drop of black ink)</t>
  </si>
  <si>
    <t>intelligent creature touched</t>
  </si>
  <si>
    <t>The target of this spell gains no benefit from normal or magical sleep, writhing in a series of nightmares that torture its psyche and diminish its ability to perform strenuous tasks. The target doesn't heal ability or hit point damage naturally and can't prepare spells or regain spell slots. After one night of poor sleep, the target is fatigued (or exhausted if it was fatigued before trying to rest). A creature affected by this spell doesn't recover from the fatigued or exhausted condition inflicted by this spell after resting, nor do spells such as lesser restoration provide any respite. Each restless night, the target takes 1d4 points of Wisdom damage, which also can't be recovered by magic while night terrors is active.  The images from previous nightmares continue to haunt the target's mind while awake. If the target has rested at least once while affected by night terrors and then becomes subjected to a fear condition, the target experiences the next higher level of fear than it would normally. However, per the alternate rules for fear (see page 10), this spell cannot cause a lesser state of fear to become a greater one. If the effect causing the fear condition doesn't usually stack with other fear effects, the target's level of fear does not increase. This aspect of the spell is a fear effect.  The affected creature can attempt a new saving throw once per day to end night terrors, but multiple attempts to rest in a given day do not afford the target multiple saves. A creature that  successfully saves against night terrors ends the spell and rests normally that night but gains the benefits of only that night's rest, not any benefits missed on previous nights.  If your campaign uses the sanity system (see page 12), the target takes 1d8 points of sanity damage instead of Wisdom damage.</t>
  </si>
  <si>
    <t xml:space="preserve"> Disturb a creature’s rest with dark dreams.</t>
  </si>
  <si>
    <t>Pessimism</t>
  </si>
  <si>
    <t>bard 4, medium 4, mesmerist 4, psychic 5, sorcerer/wizard 5, witch 5</t>
  </si>
  <si>
    <t>V, S, M/DF (a shard of a broken mirror)</t>
  </si>
  <si>
    <t>You erode the target's confidence and instill a sense of despair. This fear of failure manifests as a -2 penalty on attack rolls, saving throws, ability checks, skill checks, and weapon damage rolls. Additionally, the target can't gain morale bonuses of any kind while the spell remains in effect. No amount of achievement counters the spell's effects-the target simply explains away positive events with a self-critical perspective.  Certain events can solidify the character's belief that it is doomed. Whenever the target rolls a natural 1 on an attack roll or saving throw, fails an ability or skill check by more than 5, or takes additional damage as a result of a foe's confirmed critical hit, the penalty to roll imposed by pessimism becomes -3 for 1 round. This increased penalty doesn't stack, even if multiple catastrophes occur on the same round.</t>
  </si>
  <si>
    <t xml:space="preserve"> Force a creature to see the negative side of things.</t>
  </si>
  <si>
    <t>Phantasmal Asphyxiation</t>
  </si>
  <si>
    <t>medium 3, mesmerist 4, psychic 4, sorcerer/wizard 4, spiritualist 4, witch 4</t>
  </si>
  <si>
    <t>V, S, M (an empty vial)</t>
  </si>
  <si>
    <t>Will disbelief, then Fortitude partial (see text)</t>
  </si>
  <si>
    <t>Your target must succeed at a Will save or believe it can no longer breathe. An affected target must attempt a Fortitude save each round at the beginning of its turn. The first time it fails the Fortitude save, it is staggered until the next time it attempts a save against the spell. If the target fails a second Fortitude save in a row, it falls unconscious for the spell's remaining duration. The target breathes normally while unconscious, but is shaken for 1 minute upon awakening. If the target succeeds at two Fortitude saves in a row, it shakes off the spell's effects entirely. Otherwise, the target continues to attempt a save each round until it falls unconscious or the spell ends. This spell has no effect on creatures that don't need to breathe.</t>
  </si>
  <si>
    <t xml:space="preserve"> Trick a creature into thinking it can’t breathe.</t>
  </si>
  <si>
    <t>Phantasmal Putrefaction</t>
  </si>
  <si>
    <t>medium 4, mesmerist 5, sorcerer/wizard 6, witch 6</t>
  </si>
  <si>
    <t>You implant within the minds of your targets the illusion that their skin is rotting away, large rents are appearing all over their bodies, and their internal organs are spilling out into a putrid half-liquid mass at their feet. Those who fail to disbelieve phantasmal putrefaction immediately take 1d4 points of Wisdom damage. This damage occurs only once. Each round at the beginning of its turn, an affected target receives another Will save to disbelieve the effect, and targets that fail must succeed at a Fortitude save or faint, falling asleep as per sleep (except that it isn't a magical sleep effect). Waking up doesn't end the spell for a target; it must continue to attempt Will saves to disbelieve and Fortitude saves to avoid fainting each round until the spell ends or the target successfully disbelieves.  Targets of the spell perceive everyone else around them to be rotting away, but other creatures see no visible effect of the spell, so they, in addition to those who disbelieve, can communicate the nature of the illusion to allies, providing those allies with a +4 bonus on the saving throw to disbelieve.  If your campaign uses the sanity system (see page 12), a creature takes 1d8 points of sanity damage instead of Wisdom damage.</t>
  </si>
  <si>
    <t xml:space="preserve"> Trick creatures into thinking their flesh is rotting.</t>
  </si>
  <si>
    <t>Phobia</t>
  </si>
  <si>
    <t>bard 5, mesmerist 5, psychic 6, sorcerer/wizard 6, witch 6</t>
  </si>
  <si>
    <t>V, S, M (a single white hair)</t>
  </si>
  <si>
    <t>You instill the target with an intense, instinctual fear of a condition or circumstance, more powerful than the phobia lesser madness (see page 182). You can name an energy type (acid, cold, electricity, fire, or sonic), a hazard (such as an avalanche or earthquake), or a single creature of the animal type or all vermin (applying when the target sees a swarm or a single Small or larger creature). Alternatively, you can name the following specific environments: darkness (darker than dim light, and you can't apply this phobia to a creature with natural racial darkvision, see in darkness, blindsight, or similar senses), enclosed spaces (places that require the creature to squeeze),heights (10 times the  target's height, and you can't apply this phobia to creatures with a natural fly speed), or water (you can't apply this phobia to aquatic creatures or creatures with a natural swim speed).  When the target takes damage of the energy type (for an energy type phobia), or perceives the presence of the creature, environment, or hazard, it must attempt a DC 20 Will save. If it fails, it becomes panicked, but even if it succeeds, it becomes shaken and feels intensely uncomfortable; a creature shaken in this way does not need to roll further saving throws against its phobia until its shaken condition ends, even if it continues to be exposed to its phobia.  A creature panicked by phobia can begin to act normally 1 minute after it ceases being able to perceive its phobia or after taking the energy damage if the phobia is an energy type, though the shaken condition ends immediately after the creature can no longer perceive its phobia. Break enchantment, heal, limited wish, miracle, or wish can remove a phobia spell.</t>
  </si>
  <si>
    <t xml:space="preserve"> Induce an irrational fear in a creature to the point of madness.</t>
  </si>
  <si>
    <t>Plundered Power</t>
  </si>
  <si>
    <t>cleric/oracle 7, druid 7, occultist 6, shaman 7, sorcerer/wizard 7, summoner/unchained summoner 6, witch 7</t>
  </si>
  <si>
    <t>V, S, M (crushed rubies worth 2,500 gp and a major organ from the sacrificed target, see text)</t>
  </si>
  <si>
    <t>You must sacrifice a creature just as you finish casting this spell. When the sacrifice dies, its blood or ichor pools and hardens into a single red bloodstone. This bloodstone contains the essence and spirit of the sacrificed creature, allowing anyone holding the stone to activate the creature's highest-level activated racial spell-like ability, taking the actions necessary to activate the stored spell-like ability. Any creature who holds the stone can activate it, but the stone can be used only once per day (or the frequency of the creature's spell-like ability, whichever is less). If a creature has several racial spell-like abilities of the same spell level, choose randomly from among them to determine which one is stored in the bloodstone. The bloodstone can only store racial spell-like abilities that emulate a spell, including altered spells, like invisibility (self only), but not unique spell-like abilities possessed by the creature. Abilities with altered effects are still altered, so a creature activating the bloodstone for greater teleport (self only) would affect only itself and a bloodstone storing summon monster II (Small fire elemental only) would still only be able to summon a Small fire elemental. Additionally, the bloodstone can't store spell-like abilities that duplicate spells with expensive components costing more than 250 gp.  The save DC, caster level, and other attributes of this ability remain the same as when the creature was still alive, though the creature who activates the bloodstone can choose the targets, area, or shape of the spell, and make other decisions, such as  controlling the target of dominate person. The bloodstone can take any actions necessary to manipulate aspects of the spell, concentrating on the spell, redirecting the spell, and so on, up to a full normal round's worth of actions.  If the sacrificed creature doesn't die during the casting of the spell (for instance if it was merely a summoned creature) or is brought back to life before the spell's duration expires, the bloodstone loses its magical power. The fragment of the creature's spirit trapped in the bloodstone does not hinder attempts to restore the creature to life.</t>
  </si>
  <si>
    <t xml:space="preserve"> Kill a creature and steal its strongest spell-like ability.</t>
  </si>
  <si>
    <t>Profane Nimbus</t>
  </si>
  <si>
    <t>antipaladin 4, cleric/oracle 5, inquisitor 5</t>
  </si>
  <si>
    <t>You are surrounded by a nimbus of shadow shaped like your god's unholy symbol or a symbol of your faith. Any good creature striking you with unarmed strikes, natural weapons, or a handheld weapon deals normal damage, but at the same time, the attacker takes 1d6 points of damage + 1 point per caster level (maximum +15). Creatures wielding melee weapons with reach are not subject to this damage if they attack you. Spell resistance applies against this damage. You also take half damage from magical attacks with the good descriptor. If such an attack allows a Reflex save for half damage, you take no damage on a successful saving throw.</t>
  </si>
  <si>
    <t xml:space="preserve"> Unholy energy damages good creatures that attack you and protects you from good attacks.</t>
  </si>
  <si>
    <t>Pyrotechnic Eruption</t>
  </si>
  <si>
    <t>bloodrager 3, magus 4, occultist 4, sorcerer/wizard 4</t>
  </si>
  <si>
    <t>V, S, M (a pinch of coal)</t>
  </si>
  <si>
    <t>The caster causes jets of flame to erupt from the ground and surround the target. The target takes 1d6 points of damage per caster level (maximum 15d6) unless it succeeds at a Reflex save for half damage. The blaze surrounds the target for the duration of the spell, forcing the creature to attempt a new save each round. Each round, the damage dealt is reduced to half as many d6; the spell expires when it would deal no damage. If the target moves, the pyrotechnic eruption follows, even if the target teleports.  Anyone attempting to touch the target takes damage, using the same amount of dice as the last time the target attempted a save (Reflex half). A creature can take the place of the target by bull rushing or grappling it and switching places. The new creature then automatically takes the current round's damage with no saving throw and can begin to attempt Reflex saves starting on its next turn.</t>
  </si>
  <si>
    <t xml:space="preserve"> Erupting flames burn a target several times.</t>
  </si>
  <si>
    <t>Quick Change</t>
  </si>
  <si>
    <t>alchemist 2, bard 2, bloodrager 2, druid 2, inquisitor 2, magus 2, medium 2, mesmerist 2, occultist 2, ranger 2, shaman 2, sorcerer/wizard 2, spiritualist 2, summoner/unchained summoner 2, witch 2</t>
  </si>
  <si>
    <t>If you have the change shape special quality, you can revert to your true form as a swift action. If a creature is not aware of your true form, when you use this spell to revert to your true form and attack that creature in the same round, the creature is denied its Dexterity bonus to AC against your first attack.</t>
  </si>
  <si>
    <t xml:space="preserve"> Use change shape as a swift action and surprise foes.</t>
  </si>
  <si>
    <t>Rigor Mortis</t>
  </si>
  <si>
    <t>painUM</t>
  </si>
  <si>
    <t>cleric/oracle 4, magus 4, occultist 4, psychic 4, shaman 4, sorcerer/wizard 4, spiritualist 3, witch 4</t>
  </si>
  <si>
    <t>V, S, M/DF (a knucklebone)</t>
  </si>
  <si>
    <t>The joints of a creature affected by this spell stiffen and swell, making movement painful and slow. The target takes 1d6 points of nonlethal damage per caster level. Additionally, the target takes a -4 penalty to Dexterity and its movement speed decreases by 10 feet; these additional effects last for 1 minute per caster level, though another creature can spend 1 minute and attempt a DC 25 Heal check to end them early. A successful save halves the nonlethal damage and negates the penalty to Dexterity and movement.</t>
  </si>
  <si>
    <t xml:space="preserve"> Painfully swell a target’s joints.</t>
  </si>
  <si>
    <t>Sacramental Seal</t>
  </si>
  <si>
    <t>V, S, F (an object worth at least 2,000 gp)</t>
  </si>
  <si>
    <t>You trap the target in an object decorated with the holy symbols of your god or faith. While trapped in the object, the creature can't take any actions and is immune to spells and spell-like abilities. The creature remains permanently trapped in the object as long the object remains in your possession. Only a freedom, miracle, or wish spell can dispel the enchantment, though destroying the object frees the creature.  If you relinquish your stewardship of the object (such as giving it away or leaving it in a remote location or extradimensional space), the trapped creature begins to gain control over the object. It immediately gains the ability to communicate telepathically with any creature now in possession of the object. It still can't take any actions besides communicating but can use feats and skills related to speaking (such as Bluff and Diplomacy).  After 1 week of the object being out of your presence, the creature can create a number of haunts with a total CR (that is, the CR of the encounter with all of the haunts at once) equaling 1/4 the creature's Hit Dice. These haunts are centered on the object. The creature can also communicate telepathically up to a range of 100 feet at this point.  After 1 month of the object being out of your presence, the CR total of the haunts the trapped creature can create increases to 1/2 its Hit Dice. In addition to telepathy, it can also impart mental images of its choosing into the mind of any creature holding or carrying the object.  After 1 year of being out of your presence, in addition to the above abilities, the creature can attempt to possess any living  creature with an Intelligence score of 3 or higher that touches the object, as per possessionOA. However, the creature can't personally destroy the object, even while possessing another creature.  Because the binding magic irrevocably weakens the longer you're away from the item, returning it to your ownership doesn't reverse any of the effects. You must free the creature and impose another sacramental seal if you want to restrict its abilities again.  If the object is placed in the stewardship of creatures or a location belonging to your faith, it still counts as being out of your presence but it takes ten times longer for the creature to manifest the above abilities (it would take 10 weeks for it to manifest the ability to create haunts, for example).</t>
  </si>
  <si>
    <t xml:space="preserve"> Seal a creature away inside the spell’s focus.</t>
  </si>
  <si>
    <t>Sacred Nimbus</t>
  </si>
  <si>
    <t>cleric/oracle 5, inquisitor 5, paladin 4</t>
  </si>
  <si>
    <t>You are surrounded by a nimbus of golden light shaped like your god's holy symbol or a symbol of your faith. Any evil creature striking you with unarmed strikes, natural weapons, or a handheld weapon deals normal damage, but at the same time, the attacker takes 1d6 points of damage + 1 point per caster level (maximum +15). Creatures wielding melee weapons with reach are not subject to this damage if they attack you. Spell resistance applies against this damage. You also take half damage from magical attacks with the evil descriptor. If such an attack allows a Reflex save for half damage, you take no damage on a successful saving throw.</t>
  </si>
  <si>
    <t xml:space="preserve"> Holy energy damages evil creatures that attack you and protects you from evil attacks.</t>
  </si>
  <si>
    <t>Screaming Flames</t>
  </si>
  <si>
    <t>evil, fire, mind-affecting</t>
  </si>
  <si>
    <t>antipaladin 3, cleric/oracle 3</t>
  </si>
  <si>
    <t>V, S, M/DF (a charred animal or humanoid skull fragment)</t>
  </si>
  <si>
    <t>a sheet of flame up to 15 ft. long and 10 ft. high that moves 15 ft. in a straight line.</t>
  </si>
  <si>
    <t>A sheer wall of flame appears and rushes away from you. Tendrils of fire reach out of it, shaped into skulls screaming in agony. When the wall passes through a creature's space, that creature must succeed at a Reflex save or take 1d8 points of fire damage for every 2 caster levels you have (maximum 5d8). Any creature taking fire damage must also succeed at a Will save or take 1d3 points of Wisdom damage. Deaf creatures receive a +4 circumstance bonus on their Will saves.  If your campaign uses the sanity system (see page 12), a creature takes 1d6 points of sanity damage instead of Wisdom damage.</t>
  </si>
  <si>
    <t xml:space="preserve"> Send forth a wave of flames screaming with the agony of the damned.</t>
  </si>
  <si>
    <t>Sense Fear</t>
  </si>
  <si>
    <t>antipaladin 1, bloodrager 1, cleric/oracle 2, druid 2, inquisitor 2, medium 1, mesmerist 2, occultist 2, psychic 2, ranger 2, shaman 2, spiritualist 2, witch 2</t>
  </si>
  <si>
    <t>V, S, M/DF (a patch of fur)</t>
  </si>
  <si>
    <t>You sense the fear of those nearby, feeling it in the air around you. You can detect spooked, shaken, scared, frightened, panicked, terrified, and horrified creatures within 30 feet, and you immediately know what level of fear they are experiencing. You determine the creatures' approximate direction from you, though you do not sense a given creature's identity or know which squares the creatures occupy. If you're within 5 feet of a creature whose fear you sense, you pinpoint that creature's location, as if using blindsense.</t>
  </si>
  <si>
    <t xml:space="preserve"> Perceive nearby creatures that are experiencing fear.</t>
  </si>
  <si>
    <t>Sense Madness</t>
  </si>
  <si>
    <t>cleric/oracle 2, inquisitor 2, medium 2, occultist 2, paladin 2, psychic 2</t>
  </si>
  <si>
    <t>creatures in range (see text)</t>
  </si>
  <si>
    <t>You can sense the presence of mental disturbance in creatures within range, focusing your detection on one creature each round. If the target is currently suffering from any form of madness (see page 182) or addiction (GameMastery Guide 236), has total sanity damage greater than or equal to its sanity edge (see page 12), or is under a magical compulsion that could be detected by detect magic, you can detect the presence of such a disturbance on the first round of concentration.  If you concentrate on the same creature for an additional round, you learn if the creature's total sanity damage is greater than or equal to its sanity edge, and you can attempt a Sense Motive check against a DC equal to 10 + the save DC of the target's madness or addiction to determine the exact nature of a madness or addiction. Additionally, you can attempt a Spellcraft check with a DC equal to 11 + the caster level of the compulsion against each magical compulsion currently affecting the target that could be detected by detect magic. If successful, you can identify the specific spell affecting the target. You gain a +4 bonus on your Spellcraft check if the effect is confusion, insanity, or a similar effect that explicitly causes madness or insanity. If you successfully identify such an effect with sense madness, the insights provided  by this spell grant you a +1 circumstance bonus on your next caster level check in the following 1 minute made to counter, dispel, or remove that specific effect. After attempting a check to identify a madness, addiction, or compulsion, you can't attempt that check against the same creature again, even if you concentrate on the creature again.</t>
  </si>
  <si>
    <t xml:space="preserve"> Determine mental disturbances in nearby creatures.</t>
  </si>
  <si>
    <t>Sleepwalking Suggestion</t>
  </si>
  <si>
    <t>bard 4, medium 3, mesmerist 4, psychic 5, sorcerer/wizard 5, witch 5</t>
  </si>
  <si>
    <t>V, S, M (two doses of oil of taggit worth 180 gp total)</t>
  </si>
  <si>
    <t>Will negates or none (see text)</t>
  </si>
  <si>
    <t>You compel the target creature to rise from its sleep as if sleepwalking and perform a course of activity (limited to a sentence or two). The spell takes effect immediately if the target is already asleep, or as soon as the target falls asleep if it is conscious. You can specify that the creature should wait before taking action when you give your instructions if you so choose. A sleeping creature doesn't get a save against this spell. The suggested activity must not cause the target to directly harm itself or others, but it doesn't need to be reasonable. For example, you could instruct the target to unlock doors and windows or poison its ally's rations, but not jump off a roof or perform a coup de grace action against a sleeping ally. Instructions that cause direct harm prompt the target to awaken just prior to performing the action and the target experiences a vague memory of what it was supposed to do.  The target moves at its speed, but isn't capable of running or moving at a higher rate of speed. It moves in dark conditions as if it had darkvision and can perform most simple and skill-based actions, but it can't engage in combat, spellcasting, or actions that require significant cognitive awareness (like making complex decisions, solving puzzles, or using complicated magic items). If the creature takes any damage while sleepwalking, it must attempt a new saving throw. If it succeeds, the spell ends and the creature awakens. When the target completes the suggested course of activity, or when the spell ends or is dismissed, the target remains unconscious and returns to where it was sleeping and must be awoken normally. It retains no memory of what it did while unconscious (with the only exception described above).  Unlike the sleepwalkAPG spell, attempts to use sleepwalking suggestion on a creature that is unconscious for any reason other than sleep automatically fail. A creature affected by sleepwalking suggestion is unaware it has been programmed to act in its sleep (unless awoken because it was about to cause harm).</t>
  </si>
  <si>
    <t xml:space="preserve"> Cause a creature to perform a suggested action while asleep.</t>
  </si>
  <si>
    <t>Slough</t>
  </si>
  <si>
    <t>cleric/oracle 5, occultist 4, psychic 5, sorcerer/wizard 5, spiritualist 4, witch 5</t>
  </si>
  <si>
    <t>V, S, M/DF (a pinch of dried skin flakes)</t>
  </si>
  <si>
    <t>medium (100 ft. + 10 ft./levels)</t>
  </si>
  <si>
    <t>The target takes 1d4 points of Constitution damage each round as its skin loosens and splits. Once it has taken 5 or more points of Constitution damage in this way, its skin falls off to reveal its musculature. The creature ceases taking Constitution damage, but takes a -4 penalty on saving throws against disease, pain effects, or poison, and on Charisma-based skill checks with the exception of Intimidate and Use Magic Device. The creature's skin regrows rapidly-once its Constitution damage is fully healed, its skin becomes intact once again and the penalties end.</t>
  </si>
  <si>
    <t xml:space="preserve"> Slough off a target’s skin.</t>
  </si>
  <si>
    <t>Stave Off Corruption</t>
  </si>
  <si>
    <t>1 day/2 caster levels</t>
  </si>
  <si>
    <t>You ward the target to slow the advancement of its corruption. The target receives a +2 circumstance bonus on saving throws against the advancement of its corruption, as described in the catalyst section of each corruption. Multiple applications of this spell do not stack, nor does the bonus stack with morale, profane, or sacred bonuses on saving throws against the advancement of the target's corruption.  The material components for this spell vary with the type of corruption. For example, garlic is used for a vampirism corruption, a sprig of wolfsbane is used for a lycanthropy corruption, and so on. The GM can determine appropriate material components, but the components should cost at least 25 gp.</t>
  </si>
  <si>
    <t xml:space="preserve"> Protect against a corruption’s progression.</t>
  </si>
  <si>
    <t>Straitjacket</t>
  </si>
  <si>
    <t>inquisitor 4, occultist 4, sorcerer/wizard 5, summoner/unchained summoner 5</t>
  </si>
  <si>
    <t>V, S, M (leather strap)</t>
  </si>
  <si>
    <t>close (25 ft. + 5 ft./2 caster levels)</t>
  </si>
  <si>
    <t>You cause a straitjacket to spring into existence to restrain the target creature. You attempt a combat maneuver against the target's CMD. Your CMB for this check is equal to your caster level + 5 due to the straightjacket's Strength. This combat maneuver doesn't provoke an attack of opportunity, and if it succeeds, the target is restrained. This is similar to the grappled condition, except the target is able to move at its normal speed, the restraint doesn't cause the target to require concentration checks to use abilities that require concentration, and the target can't take actions that require one or more hands or arms to perform (including casting spells that require a somatic or material component).  Once it has been restrained for 1 round, the target can attempt an additional saving throw against a magical effect that makes it confused, a curse, a fear effect, or a madness. The caster chooses which effect the target gets an extra save against. This extra save applies to only effects with durations of 10 minutes per level or less, and it doesn't apply to instantaneous effects. This extra save occurs only once per casting of straitjacket.  A creature can attempt to escape the straitjacket with a combat maneuver check or Escape Artist check, with a DC equal to 10 + your caster level + your Intelligence, Wisdom, or Charisma modifier, whichever is highest.</t>
  </si>
  <si>
    <t xml:space="preserve"> Restrain a creature’s arms and grant it a second saving throw against certain magic.</t>
  </si>
  <si>
    <t>Symbol Of Exsanguination</t>
  </si>
  <si>
    <t>bloodrager 2, cleric/oracle 3, occultist 2, sorcerer/wizard 3, witch 3</t>
  </si>
  <si>
    <t>V, S, M (powdered garnet and bloodstone worth a total of 500 gp)</t>
  </si>
  <si>
    <t>This spell functions like symbol of death, except that each creature within the radius of symbol of exsanguination begins to bleed uncontrollably and violently from their eyes, ears, nose, and mouth, as well as any existing open wounds. Creatures that failed their saving throws immediately take 1d6 points of bleed damage and are sickened as long as they continue to take bleed damage from the symbol.  While a DC 15 Heal check or magical healing can end the bleed damage as normal, the bleed damage and sickened condition begin again each round so long as the creature begins its turn still within 60 feet of the symbol, including if the creature leaves the area and returns. Creatures that succeed at their saving throw suffer no ill effects from the symbol, even if they leave its area and return.  Unlike symbol of death, symbol of exsanguination has no hit point limit on the creatures it can affect. Once triggered, a symbol of exsanguination remains active for 10 minutes per caster level.  Magic traps such as symbol of exsanguination are hard to detect and disable. While any character can use Perception to find a symbol, only a character who has the trapfinding class feature can use Disable Device to disarm it. The DC in each case is equal to 25 + spell level, or 28 (27 for a bloodrager) for symbol of exsanguination.</t>
  </si>
  <si>
    <t xml:space="preserve"> Triggered rune causes nearby creatures to bleed.</t>
  </si>
  <si>
    <t>Temporary Graft</t>
  </si>
  <si>
    <t>alchemist 3, bloodrager 3, magus 4, occultist 3, sorcerer/wizard 4</t>
  </si>
  <si>
    <t>V, S, F (a dismembered body part)</t>
  </si>
  <si>
    <t>You temporarily graft a dismembered body part onto yourself. You must have the body part in your possession or the spell has no effect. The graft must come from a creature the same size category as you. You can have only one graft active at a time. Grafting on a new body part immediately ends the effects of the older casting and causes that body part to fall off. The effect of the graft depends on the type of body part you choose to graft to yourself, as follows.  Fins: The fins grant you a 40 foot swim speed.  Head: The head grants you all-around vision. If the head came from a creature that had darkvision, low-light vision, or scent, you gain the appropriate senses at half the normal range. You can speak through either head, but not both simultaneously. You don't receive any additional special abilities the head might have had (like a medusa's petrifying gaze ability).  Leg: The leg increases your base movement speed by 5 feet and grants you a +2 bonus to CMD against overrun and trip combat maneuvers (the usual bonus for having an extra leg).  Wings: The wings grant you a 40-foot fly speed (poor maneuverability).</t>
  </si>
  <si>
    <t xml:space="preserve"> Graft a body part onto yourself to gain one of several benefits.</t>
  </si>
  <si>
    <t>Torpid Reanimation</t>
  </si>
  <si>
    <t>antipaladin 4, cleric/oracle 4, occultist 4, shaman 4, sorcerer/wizard 5, spiritualist 4</t>
  </si>
  <si>
    <t>V, S, M (an onyx gem worth at least 25 gp per HD of the undead)</t>
  </si>
  <si>
    <t>1 day/caster level and instantaneous (see text)</t>
  </si>
  <si>
    <t>This spell works like animate dead except you set a specific condition for when the animation occurs and you do not immediately have control of the creatures. The condition can be simple, such as being touched, a certain word spoken, or on hearing a specific sound. You can also set a condition based on time, but it must occur within a number of days equal to your caster level. At any time, you can cause the animation to occur as a standard action.  You can gain control of any uncontrolled undead you created with this spell as a free action if you are within at least 60 feet of the undead creature and have line of sight to it; if you have control of an undead you created with this spell and later lose control of that undead, you can't use this ability to regain control of the same undead. The limit on the number of Hit Dice you can control with animate dead still applies.</t>
  </si>
  <si>
    <t xml:space="preserve"> Animate dead when a specific trigger condition occurs.</t>
  </si>
  <si>
    <t>Verminous Transformation</t>
  </si>
  <si>
    <t>alchemist 6, shaman 7, witch 7</t>
  </si>
  <si>
    <t>V, S, M (a handful of bat wings, insects, and rat tails)</t>
  </si>
  <si>
    <t>You partially transform your body into a swarm of bats, insects, rats, and spiders. As a standard action, you can send out a piece of your body to attack up to four Medium or smaller creatures (or one larger creature) within 10 feet of you. The creatures take 4d6 points of damage and must succeed at a Fortitude save or take 1d3 points of Constitution damage and 1d3 points of Strength damage; the ability damage is a poison effect. Abilities that protect against swarm attacks apply to this damage and spell resistance applies.  Additionally, since your body is partially a swarm, you take only half damage from piercing and slashing attacks, unless those attacks would deal full damage or greater to a swarm (for instance, an area piercing attack would deal full damage to you). You can still be targeted by single-target spells but you gain a +2 circumstance bonus on any saving throws against them.  Casting spells in this form is difficult and any spells with somatic components require a concentration check as if casting defensively; if you are also casting the spell defensively, roll a single concentration check at a -5 penalty.</t>
  </si>
  <si>
    <t xml:space="preserve"> Partially transform into a swarm.</t>
  </si>
  <si>
    <t>Vile Dog Transformation</t>
  </si>
  <si>
    <t>antipaladin 3, cleric/oracle 5, druid 5, shaman 5, sorcerer/wizard 5, witch 5</t>
  </si>
  <si>
    <t>V, S, M (a strip of leather)</t>
  </si>
  <si>
    <t>one or more dogs touched</t>
  </si>
  <si>
    <t>You transform one or more dogs into evil, monstrous creatures. Each dog can attempt a Will save to negate the transformation, but if the dog trusts you (it has been trained by you for a purpose, or has been in your care for at least 30 days and generally treated well), it takes a -4 penalty on this saving throw. Each transformed dog has the same stats as a hell hound (Bestiary 173) except that it doesn't have fire immunity and cold vulnerability and instead has acid, cold, and fire resistance 5. Additionally, each transformed dog deals an extra 1d6 points of acid damage with its bite attack (instead of fire damage), and its breath weapon is replaced with a vaporous cloud that spreads out in front of the creature in a 10-foot cone, dealing 2d4 points of acid damage. The creature can't understand Infernal but understands any languages you know. The dog is normally neutral evil, but is chaotic evil if you are chaotic or lawful evil if you are lawful.  For every 3 caster levels you have, you can transform one dog (to a maximum of five dogs at 15th level). At the end of the spell's duration, the dogs immediately dissolve into a stinking pile of gore and bones.  You can command the creature in the same way you would a creature you summoned via a summon monster spell. If you buy dogs to use with this spell, they cost 15 gp for a lap dog, 25 gp for a guard dog, or 150 gp for a riding dog (Pathfinder RPG Ultimate Equipment 82). Any kind of dog can be transformed by this spell and has the same statistics.</t>
  </si>
  <si>
    <t xml:space="preserve"> Transform ordinary dogs into fiendish minions.</t>
  </si>
  <si>
    <t>Waves Of Blood</t>
  </si>
  <si>
    <t>bloodrager 3, magus 3, psychic 3, sorcerer/wizard 3, spiritualist 3, witch 3</t>
  </si>
  <si>
    <t>V, S, M (a drop of the caster's blood)</t>
  </si>
  <si>
    <t>instantaneous and 1 round; see text</t>
  </si>
  <si>
    <t>Reflex negates, Fortitude negates (see text)</t>
  </si>
  <si>
    <t>You cause torrents of roiling blood to push your opponents away from you. This wave attempts a bull rush combat maneuver against all creatures within its area of effect, and you bull rush creatures of any size in this way. Attempt a single combat maneuver check and apply the result to each creature within the area. Your CMB for this bull rush is equal to your caster level plus your Intelligence, Wisdom, or Charisma modifier, whichever is highest. This bull rush doesn't provoke attacks of opportunity. Any creature in the area  must also succeed at a Fortitude saving throw or become sickened for 1d6 rounds by the tide of blood.  The area covered by the cone remains slick for 1 round, requiring a successful DC 10 Acrobatics check from any creature attempting to move within it (as if moving on uneven ground). Any creature that falls prone due to failing the check must succeed at a Fortitude save or become sickened until it stands back up.</t>
  </si>
  <si>
    <t xml:space="preserve"> A cone of blood pushes creatures, sickens them, and makes the ground slick.</t>
  </si>
  <si>
    <t>Wither Limb</t>
  </si>
  <si>
    <t>cleric/oracle 6, inquisitor 6, shaman 6, sorcerer/wizard 6, spiritualist 5, witch 6</t>
  </si>
  <si>
    <t>You cause one limb of the target to shrivel and weaken. The target takes 2d6 points of damage. The points are permanently lost until the target's limb is restored by heal, limited wish, miracle,  regenerate, or wish. Wither limb affects only living creatures of the humanoid or monstrous humanoid type, or similar bipedal creatures at the GM's discretion. You choose the limb affected. This spell's effects stack, until all a target's arms and legs (or equivalent limbs) are withered.  Arm: The target looses the use of one arm, which might affect what weapons and shields it can use. The creature must immediately drop all objects held in the withered limb, though it can shift a two-handed weapon it is holding in both hands to a remaining arm as an immediate action. Worn objects-gauntlets, rings, and magic items in the wrist slot-remain. This prevents the creature from using two-weapon fighting, claw attacks from that arm, and so on. If multiple castings of this spell wither all of a creature's arms, it can't manipulate objects or cast spells requiring somatic components.  Leg: The creature's movement speeds are halved, except for flying or other speeds that don't involve its legs. If multiple castings of this spell wither all of a creature's legs, it can only crawl at a speed of 5 feet each round.  Wing: The creature loses access to any fly speed that depends on its wings if even a single wing is withered.</t>
  </si>
  <si>
    <t xml:space="preserve"> Make one of the target’s limbs useless.</t>
  </si>
  <si>
    <t>Besmara's Grasping Depths</t>
  </si>
  <si>
    <t>haunted</t>
  </si>
  <si>
    <t>cleric/oracle 5, inquisitor 6, shaman 6, spiritualist 5, witch 6</t>
  </si>
  <si>
    <t>V, S, M/DF (a vial of sea water)</t>
  </si>
  <si>
    <t>one 5-ft. cube/level (S)</t>
  </si>
  <si>
    <t>You call upon the restless souls of those who died at sea. This spell can be cast only on an area of deep water. When a creature enters the area, the haunt manifests, automatically grabbing the creature and dragging it under the water on initiative count 10. Each round, the haunt deals 1d6 points of nonlethal damage as it drags its victim down 10 feet; a successful DC 15 Swim check reduces the descent to 5 feet and negates the nonlethal damage. Each round in the haunt's clutches reduces the duration the victim can hold her breath by 2 rounds (Pathfinder RPG Core Rulebook 445). A victim can make a single move or standard action each round while in the haunt's grasp if she succeeds at a Will save; on a failed save, she can only struggle helplessly against the haunt. A victim cannot use her actions to swim toward the surface while the haunt is active. If the haunt reaches the bottom of its body of water, it pounds its victim against the bottom, dealing 2d6 points of nonlethal damage per round to the victim and reducing the  duration the victim can hold her breath by an additional round. This continues until either the haunt is neutralized (in which case the victim must still swim to the surface) or the victim drowns.  The haunt can grab and attempt to drown multiple creatures in its area on its initiative count. The magic holding the haunt together is unstable and deteriorates while the haunt is active. Each round at the end of its turn, the haunt automatically loses 1d6 hit points per creature it is currently affecting. Furthermore, the spell's haunt-like manifestation is active throughout the spell's duration, rendering it vulnerable to effects that damage haunts. When the haunt reaches 0 hit points, the spell ends.</t>
  </si>
  <si>
    <t>Haunted Heroes Handbook</t>
  </si>
  <si>
    <t>Notice Perception DC 30 (to detect the smell of brine)  hp 5 hp/level; Trigger proximity; Reset none</t>
  </si>
  <si>
    <t>Crafter's Nightmare</t>
  </si>
  <si>
    <t>bard 2, druid 2, medium 1, mesmerist 2, occultist 2, psychic 2, sorcerer/wizard 2, spiritualist 2, witch 2</t>
  </si>
  <si>
    <t>You concentrate feelings of competitiveness, envy, and ill will into a poltergeist-like haunt that wreaks havoc on its victim's long-term endeavors. Every time a creature in the affected area attempts a Craft or Profession check to generate income, create an item, or earn capital (Pathfinder RPG Ultimate Campaign 85), any skill check required for crafting or repairing a magic item, or any skill check required for an occult ritual (Pathfinder RPG Occult Adventures 208), the haunt imposes a -5 penalty on the check. If the creature fails its check by 5 or more, the haunt's mischief deals 1d6 points of damage to the creature in addition to any other negative effects from such a failure. If the creature attempts to cast a spell with a casting time of 1 minute or longer, the haunt becomes similarly disruptive, requiring the caster to succeed at a concentration check (DC = 15 + spell level) or lose the spell and take 1d6 points of damage from the mischief. Each time the haunt is disruptive, the spell's haunt-like manifestation occurs during that round.</t>
  </si>
  <si>
    <t>Notice Perception DC 20 (to hear faint, sinister laughter)  hp 2 hp/level; Trigger skill check or spell (see text); Reset none</t>
  </si>
  <si>
    <t>Frigid Souls</t>
  </si>
  <si>
    <t>cold, emotionUM, fear, mind-affecting</t>
  </si>
  <si>
    <t>cleric/oracle 4, druid 4, ranger 3, shaman 4, sorcerer/wizard 4, witch 4</t>
  </si>
  <si>
    <t>V, S, DF/M (a bloody icicle)</t>
  </si>
  <si>
    <t>You harness the Irriseni people's palpable fear of their frozen environment and cruel Jadwiga overlords into a haunt that withers defenses against the cold. Any creature that enters the affected area must succeed at a Will save or gain spell resistance equal to 11 + your caster level against any abjuration effect that provides resistance to or protection against cold damage or cold climates. This spell resistance cannot be voluntarily lowered. Once every 30 minutes as an immediate action, the haunt attempts a dispel check (1d20 + your caster level) against an active abjuration effect currently protecting a creature in the affected area against cold, even if it was active before the creature was haunted or it successfully bypassed the spell resistance imposed by the haunt. Against creatures with multiple layers of protection, these dispel checks start with the highest-level abjuration effects and work their way down the list. Each time the haunt attempts a dispel check, the spell's haunt-like manifestation occurs during that round.</t>
  </si>
  <si>
    <t>Notice Perception DC 25 (to feel a biting chill as if through the touch of a frozen hand)  hp 2 hp/level; Trigger proximity; Reset none</t>
  </si>
  <si>
    <t>Grim Stalker</t>
  </si>
  <si>
    <t>death, emotionUM, fear, mind-affecting</t>
  </si>
  <si>
    <t>cleric/oracle 7, magus 6, shaman 7, sorcerer/wizard 7, summoner/unchained summoner 6, witch 7</t>
  </si>
  <si>
    <t>V, S, DF/M (a hound's fang)</t>
  </si>
  <si>
    <t>one object touched</t>
  </si>
  <si>
    <t>You bind spirits of ill fate to an object, focusing their wrath onto the next creature that touches the object. When a creature touches the target object, it can attempt a Will save to negate the spell's effect. Although a successful save prevents the creature from becoming haunted, the haunt still resides within the object, and targets either the next creature to touch the object or the same creature again if it still holds the object after 24 hours. The haunt remains within the object until a creature fails its save or the spell's duration ends.  Once a creature is affected by the haunt, it begins noticing a large, black mastiff with ominous green eyes watching and following it from a distance, always just beyond the range of focus or interaction. The grim stalker terrorizes the creature's sleep, affecting it as per nightmare every night during the spell's duration (Will negates for one night). Each time the creature takes hit point damage, the grim stalker lunges closer, causing the creature to become shaken for 1 round (Will negates). Each time the creature is reduced to less than one-tenth of its maximum hit points, the grim stalker lunges at the creature as an immediate action, affecting it as per phantasmal killer.  Each time the grim stalker lunges at the affected creature, the spell's haunt-like manifestation occurs during that round. Alternatively, a haunted creature can attempt to force the grim  stalker to manifest using a simple ritual that requires a successful Knowledge (arcana), Knowledge (religion), or Spellcraft check; occult reagents costing 450 gp (which are consumed as part of the ritual); and a full-round action. The DC for this check equals the spell's save DC. Successfully performing the ritual causes the grim stalker to manifest as a Nessian warhound (Pathfinder RPG Bestiary 173) in an available square 20 feet away from the victim, save that its only subtype is extraplanar, its alignment is neutral, its bite and breath weapon deal negative energy damage instead of fire damage, and it has negative energy affinity instead of fire immunity and vulnerability to cold. The grim stalker immediately attacks the affected creature, persisting until either it or the creature is slain, at which point the spell effect (and the warhound) disappears.</t>
  </si>
  <si>
    <t>Notice Perception DC 30 (to see a black dog darting toward the target out of the corner of the eye)  hp 4 hp/level; Trigger touch (object); Reset none</t>
  </si>
  <si>
    <t>Horrifying Visage</t>
  </si>
  <si>
    <t>bard 3, cleric/oracle 3, inquisitor 3, magus 3, psychic 3, shaman 3, sorcerer/wizard 3, spiritualist 3, witch 3</t>
  </si>
  <si>
    <t>You channel residual feelings of terror into the minds of creatures within the area, causing those fears to manifest when confronted with a specific object. All creatures in the area must succeed at a Will save or acquire a phobia (Pathfinder RPG GameMastery Guide 250) for the spell's duration. You choose one kind of creature, object, or image within the area of the spell when it is cast that triggers the phobia. The kind of creature, object, or image that triggers the phobia must be named specifically. A creature type or subtype is not specific enough. The phobia can be cured using traditional methods of treating insanity, and spells or effects that prevent possession or mind control suppress the phobia for their duration. Each time the phobia is triggered in an affected creature, the spell's haunt-like manifestation occurs during that round.</t>
  </si>
  <si>
    <t>Notice Perception DC 25 (to hear a distant cry of fright, or see a horrified ghostly face appear over a victim's face)  hp 2 hp/level; Trigger proximity; Reset none</t>
  </si>
  <si>
    <t>Mischievous Shadow</t>
  </si>
  <si>
    <t>bard 4, magus 4, medium 3, shaman 4, sorcerer/wizard 4, spiritualist 4, summoner/unchained summoner 4, witch 4</t>
  </si>
  <si>
    <t>V, S, M (a black candle)</t>
  </si>
  <si>
    <t>You direct spirits into the shadows of creatures. The shadows of creatures that fail their Will saving throws appear slightly different for the duration of the spell, bearing small horns, unusually long and slender arms, or other small discrepancies. This spell does not work on creatures that do not cast shadows or reflections. At will as an immediate action (but no more often than once every 10 minutes), a mischievous shadow can interfere with its host's actions or the actions of adjacent creatures by interacting with their shadows in ways that affect their physical counterparts, such as grabbing the shadow of a crossbow to redirect the physical weapon's aim. Each disruption either imposes a -8 penalty on a single attack roll, combat maneuver check, or Strength- or Dexterity-based skill check, or requires a spellcaster to succeed at a concentration check (DC = 15 + spell level) or lose a spell being cast. If you are within range of the spell effect, you can decide how these shadows interfere; otherwise, their actions are timed and decided by the GM as needed, typically manifesting during important or crucial roles. Each time a mischievous shadow makes such a disruption, the spell's haunt-like manifestation occurs during that round.</t>
  </si>
  <si>
    <t>Notice Perception DC 25 (to see a target's shadow act incongruously with its physical motions)  hp 2 hp/level; Trigger proximity; Reset none</t>
  </si>
  <si>
    <t>Skin Tag</t>
  </si>
  <si>
    <t>alchemist 1, medium 1, occultist 1, shaman 1, sorcerer/wizard 1, witch 1</t>
  </si>
  <si>
    <t>V, S, M (beverage or food item, plus special reagents worth 25 gp)</t>
  </si>
  <si>
    <t>touch (object); 1 mile (remote effects)</t>
  </si>
  <si>
    <t>1 beverage or piece of food touched</t>
  </si>
  <si>
    <t>1 day plus 1 day/level (D)</t>
  </si>
  <si>
    <t>none (object), Fortitude negates; see text</t>
  </si>
  <si>
    <t>no (object), yes (creature)</t>
  </si>
  <si>
    <t>You mix a malign spirit into a piece of food, a drink, or some other item to be consumed (including alchemical items, potions, elixirs, or similar items). The skin tag spell discharges when the item is consumed, affecting the creature that used the item unless it succeeds at a Fortitude save. The spirit embeds itself somewhere in the affected creature's skin, forming a painless set of wrinkles and tags of skin that looks vaguely like a face when the haunt activates. You are considered to have a body part from the affected creature for the purpose of scrying and similar divination spells. Once per day as a standard action, you can remotely cause the spirit to make the affected creature's skin crawl, causing the creature to become sickened for 1d4 rounds + 1 round per 2 caster levels you have (to a maximum of 5 extra rounds at 10th level) unless it succeeds at a Fortitude save. Alternatively, once per day you can remotely use a hex, a mind-affecting spell, or a necromancy spell that causes disease or possession on the affected creature. Each time you use the  remote sickening or spell or hex effect, the spell's haunt-like manifestation occurs during that round.</t>
  </si>
  <si>
    <t>Notice Perception DC 20 (to taste a hint of rot) or DC 25 (if the affected creature is wearing armor or heavy clothing)  hp 5 hp; Trigger conditional (using the item or the spell's remote effect); Reset none</t>
  </si>
  <si>
    <t>Unsettling Presence</t>
  </si>
  <si>
    <t>bard 2, medium 1, mesmerist 2, occultist 2, psychic 2, shaman 2, sorcerer/wizard 2, witch 2</t>
  </si>
  <si>
    <t>Those in this spell's area who fail their Will saving throws harbor a faint sense of paranoia and evoke the same feeling in others for the duration of the spell. Domesticated animals (not including familiars and animal companions) don't willingly approach affected creatures unless the animal's master succeeds at a DC 25 Handle Animal, Ride, or wild empathy check. Affected creatures take a -4 penalty on Handle Animal, Ride, and wild empathy checks against familiars, animal companions, animal cohorts, and other permanent companions provided by class abilities for the spell's duration. Anyone an affected creature interacts with must succeed at a Will save or have its initial attitude automatically worsened by one step for the spell's duration. Every time an affected creature attempts a Sense Motive check to get a hunch or detect a Bluff from another creature (or vice versa), it must succeed at a Will save or automatically assume the other party is lying or otherwise harbors ill will against it. Each time this spell causes an affected creature (or someone interacting with the affected creature) to attempt a Will saving throw, the spell's hauntlike manifestation occurs.</t>
  </si>
  <si>
    <t>Notice Perception DC 20 (to feel a sudden sense of dread, or to hear victims' names whispered behind their backs)  hp 2 hp/level; Trigger proximity; Reset none</t>
  </si>
  <si>
    <t>Urgathoa's Beacon</t>
  </si>
  <si>
    <t>emotionUM, evil, fear, mind-affecting</t>
  </si>
  <si>
    <t>antipaladin 2, cleric/oracle 2, inquisitor 2</t>
  </si>
  <si>
    <t>You shroud an area in Urgathoa's unclean influence, rendering those who pass through it and fail their Will saving throws more enticing to ravenous undead. When an affected creature comes within 60 feet of an undead creature, the spell immediately draws the undead creature's attention, granting it a +4 bonus  on Perception checks to notice the affected creature and on saving throws to resist spells that hide or disguise the affected creature (such as hide from undead). Once the undead creature notices the affected creature, it feels compelled to kill and devour the affected creature, and gains a +1 profane bonus on attack rolls made against the affected creature and a +1 profane bonus on saving throws against the affected creature's spells and special abilities. The undead also ignores any concealment less than total concealment that an affected creature has. Each time the spell draws an undead creature's attention to an affected creature, the spell's haunt-like manifestation occurs during that round.</t>
  </si>
  <si>
    <t>Notice Perception DC 20 (to see a pale light briefly in the area)  hp 2 hp/level; Trigger proximity; Reset none</t>
  </si>
  <si>
    <t>Yellow Sign</t>
  </si>
  <si>
    <t>bard 6, cleric/oracle 9, sorcerer/wizard 9, witch 9</t>
  </si>
  <si>
    <t>V, S, M (ochre and sulfur, plus powdered gold worth a total of 15,000 gp)</t>
  </si>
  <si>
    <t>This spell functions as per symbol of death, save that creatures that succumb to this spell become dominated (as per dominate monster) by Hastur. This causes such creatures to seek to aid any obvious minions or worshipers of Hastur in sight, and any true worshiper of Hastur can command the affected creatures as if that worshiper had been the one to  dominate them. In the case of conflicting commands issued from different true worshipers of Hastur, the commanders must attempt opposed Charisma checks, with the winner being able to command the targets for that round. If no worshipers or agents of Hastur are in sight, an affected creature can act normally. When affected by this spell's Yellow Sign in this way, the effects last for 1 round per level. Once triggered, the Yellow Sign remains active for 10 minutes per caster level.  There is a 1% chance when a creature fails its saving throw against this spell that Hastur takes note and, for reasons of his own, decides to control the target personally. In this case, the actions taken by the dominated creature are left to the GM to determine, but the effects of this spell's Yellow Sign persist for 1 day per level and the commands issued cannot be countermanded by any other creature, even if they are Hastur worshipers.  Regardless of how long the effects last or whether Hastur directly controls a victim, if a creature failed to resist this spell's effects, Hastur can target that victim for the rest of its life with his fulvous dreams ability (Pathfinder RPG Bestiary 4 140). Whether or not the Great Old One ever chooses to do so is left to the GM to determine.  Yellow Sign can be made permanent with a permanency spell by a caster of 18th level or higher for the cost of 40,000 gp.</t>
  </si>
  <si>
    <t>AP 110</t>
  </si>
  <si>
    <t>Hastur</t>
  </si>
  <si>
    <t>Janni's Jaunt</t>
  </si>
  <si>
    <t>cleric/oracle 4, medium 3, psychic 4, shaman 6, sorcerer/wizard 6, summoner/unchained summoner 5, witch 6</t>
  </si>
  <si>
    <t>This spell functions as per plane shift, but with the following exceptions. First, you are able to transport only willing creatures. Second, the spell can transport you and any other willing targets only to an Elemental Plane, the Astral Plane, or the Material Plane.</t>
  </si>
  <si>
    <t>Planes Of Power</t>
  </si>
  <si>
    <t>Medusa's Bane</t>
  </si>
  <si>
    <t>V, S, M (tiny fragment of a mirror)</t>
  </si>
  <si>
    <t>This spell causes your eyes to take on a silvery mirror-like quality, transforming your eyes into metallic-looking orbs that reflect the world you see. Your vision is in no way impaired while this spell is in effect, but you are granted immunity to gaze attacks for the spell's duration. As an immediate action, you can reflect a creature's gaze back on itself, forcing the target of the gaze attack to save against its own gaze weapon or be affected by it. This reflection bypasses the typical immunity creatures with gaze attacks have to their own race's gaze attack, but does not bypass any other resistances or immunities the creature might have. Once you choose to reflect a gaze attack in this manner, the effect of medusa's bane immediately ends.</t>
  </si>
  <si>
    <t>Divine Anthology</t>
  </si>
  <si>
    <t>Enlightened Step</t>
  </si>
  <si>
    <t>air, meditative</t>
  </si>
  <si>
    <t>cleric/oracle 6, druid 6, shaman 6</t>
  </si>
  <si>
    <t>V, M (soothing incense worth 600 gp)</t>
  </si>
  <si>
    <t>Through careful regulation of your body's mystical energies, thoughtful control of your poise and balance, and the focus in your mind on the surety of each and every step you take, you are able to make your steps lighter than air. This grants you the benefits of air walk, except as noted above. Additionally, at any time during the spell's duration, you can expend the spell's remaining duration as a swift action in order to gain a fly speed of 120 feet with perfect maneuverability for 1 minute. After this time, the spell ends.</t>
  </si>
  <si>
    <t>Firewalker's Meditation</t>
  </si>
  <si>
    <t>cleric/oracle 4, druid 4, paladin 3, shaman 4, wizard 4</t>
  </si>
  <si>
    <t>V, M (soothing incense worth 400 gp)</t>
  </si>
  <si>
    <t>You focus your mind on blocking out pain, allowing your body to endure punishments that would be otherwise unbearable. While under the effects of this spell, you continue to register pain-you simply don't suffer the deleterious effects such sensations bring. For example, if you were lit on fire as you slept, you would still wake from the pain of burning even though some of the fire damage you endured (perhaps all of it) would be negated by this spell.  You gain DR 5/magic, resist fire 10, and a +4 bonus on saving throws to resist pain effects. Once the spell has prevented a total of 10 points of damage per caster level (maximum 100 points), it is discharged. At any time during the spell's duration when you take damage that would be subject to the damage  reduction or energy resistance granted by this spell, you can expend the spell's remaining duration as an immediate action in order to increase the effects to DR 10/magic, resist fire 30, and immunity to pain effects. If you do so, these enhanced effects persist for 3 rounds. After this time, the spell ends.</t>
  </si>
  <si>
    <t>Rite Of Bodily Purity</t>
  </si>
  <si>
    <t>cleric/oracle 1, druid 1, paladin 1, ranger 1, shaman 1</t>
  </si>
  <si>
    <t>V, M (soothing incense worth 100 gp)</t>
  </si>
  <si>
    <t>You energize your body's immune system, improving your ability to resist toxins and ailments. You gain a +2 resistance bonus on saving throws to resist diseases, drugs, and poisons. Additionally, at any time during the spell's duration, whenever you fail a saving throw to resist a disease, drug, or poison, you can expend the spell's remaining duration as an immediate action in order to reroll that saving throw. You must take the second result, even if it's worse. The +2 resistance bonus granted by the spell applies to the reroll, but after you make this reroll, the spell ends.</t>
  </si>
  <si>
    <t>Rite Of Centered Mind</t>
  </si>
  <si>
    <t>cleric/oracle 1, druid 1, shaman 1, wizard 1</t>
  </si>
  <si>
    <t>You heighten your awareness of your own thoughts, allowing you to more easily resist outside influences. You gain a +1 resistance bonus on saving throws to resist mind-affecting effects. This resistance bonus is increased to +2 if the effect is an emotion or fear effect. Additionally, at any time during the spell's duration, whenever you fail a saving throw to resist a mind-affecting effect, you can expend the spell's remaining duration as an immediate action in order to reroll that saving throw. You must take the second result, even if it's worse. The +2 resistance bonus granted by the spell applies to the reroll, but after you make this reroll, the spell ends.</t>
  </si>
  <si>
    <t>See Beyond</t>
  </si>
  <si>
    <t>cleric/oracle 3, shaman 3, witch 3, wizard 3</t>
  </si>
  <si>
    <t>V, M (soothing incense worth 300 gp)</t>
  </si>
  <si>
    <t>You attune your mind and your sight to the hidden world of spirits. You gain a +5 circumstance bonus on Perception checks; this circumstance bonus increases to a +10 circumstance bonus  on Perception checks to find invisible creatures or objects, incorporeal creatures or objects, or things that exist only on the Ethereal Plane. Additionally, at any time during the spell's duration, you can push your ethereal vision even further as a swift action. When you do, you can see through solid objects (as if using a ring of x-ray vision) for 5 rounds. After this time, the spell ends.</t>
  </si>
  <si>
    <t>Spirit Bonds</t>
  </si>
  <si>
    <t>you; see text</t>
  </si>
  <si>
    <t>You heighten your awareness of up to one willing creature or object per 3 caster levels, each of which must be within 30 feet of you during the entire hour you spend preparing spells and casting spirit bonds. By concentrating on one of these creatures or objects as a full-round action, you can learn its direction and relative distance from your location, provided that it is on the same plane. In the case of a creature, you can also learn the state of its emotion or health aura as a full-round action (see page 198 of Pathfinder RPG Occult Adventures for more information about auras). In the case of an object, you can also get a sense of how damaged it is, similar to reading the health aura of a creature, or, in the case of a magic item that must be activated, you can learn when it was last activated (a full-round action in either case).  Additionally, at any time during the spell's duration, you can deliver a single message to any of the creatures that participated in the spell. This message is delivered telepathically regardless of range and can be up to 25 words in length. Delivering a message in this way severs your connection with that character, and you can no longer learn information about that creature through this spell, but doing so does not impact the remaining duration you have linked to other creatures or objects.</t>
  </si>
  <si>
    <t>Visualization Of The Body</t>
  </si>
  <si>
    <t>cleric/oracle 2, druid 2, magus 2, ranger 2, shaman 2, wizard 2</t>
  </si>
  <si>
    <t>V, M (soothing incense worth 200 gp)</t>
  </si>
  <si>
    <t>You focus your mind on one aspect of your body, aligning the energies within your body to enhance that element. Choose a single physical ability score (Constitution, Dexterity, or Strength). If you choose Strength or Dexterity, you gain a +5 bonus on skill checks associated with that ability score. If you choose Constitution, your maximum and current hit points increase by an amount equal to your Hit Dice.  At any time during the spell's duration, you can expend the spell's remaining duration as an immediate action in order to gain a one-time physical enhancement associated with the  ability score you chose to visualize, as detailed below. After you do so, the spell ends.  Constitution: You immediately regain a number of hit points equal to 1d8 + your total character level.  Dexterity: You gain a +4 dodge bonus to your Armor Class for 3 rounds.  Strength: You gain a +6 bonus on all Strength checks to break objects and on checks to escape or establish grapples for 1 minute.</t>
  </si>
  <si>
    <t>Visualization Of The Mind</t>
  </si>
  <si>
    <t>cleric/oracle 2, shaman 2, wizard 2</t>
  </si>
  <si>
    <t>You enhance a single aspect of your mind, nurturing and empowering it. Choose a single mental ability score (Charisma, Intelligence, or Wisdom). You gain a +5 bonus on ability checks and skill checks associated with that ability score.  At any time during the spell's duration, you can expend the spell's remaining duration as an immediate action in order to gain a one-time mental enhancement associated with the ability score you chose to visualize, as detailed below. After you do so, the spell ends.  Charisma: You are immediately infused with a wave of supernatural luck, and gain a +2 luck bonus on all d20 rolls for 1 minute.  Intelligence: You immediately gain a flash of insight, and gain a number of ranks equal to your Hit Dice in any skill in which you have no ranks. These ranks last for 1 minute, during which time you can also treat that skill as a class skill.  Wisdom: When you fail a Will save, you can immediately attempt that saving throw again, gaining a +4 bonus on the new saving throw to resist the effect.</t>
  </si>
  <si>
    <t>Bereave</t>
  </si>
  <si>
    <t>bard 3, cleric/oracle 4, mesmerist 3, psychic 4, witch 4</t>
  </si>
  <si>
    <t>V, S, M/DF (a broken chain link)</t>
  </si>
  <si>
    <t>An overwhelming feeling of loss overcomes the targets, and their allies' words sound bleak and hollow. Regardless of actual allegiances, affected creatures no longer count as allies for other creatures and always count as enemies for the purposes of abilities, effects, and spells that differentiate between allies and enemies, such as flanking or spells such as bane or bless. Allies of an affected creature must succeed at a melee touch attack to affect the subject with touch spells, and an affected creature cannot voluntarily fail a saving throw even if the effect is harmless (such as cure light wounds). An affected creature still counts as her own ally and can target herself with abilities, effects, and spells normally.</t>
  </si>
  <si>
    <t>Inner Sea Temples</t>
  </si>
  <si>
    <t>Overstimulate</t>
  </si>
  <si>
    <t>alchemist 2, bard 2, bloodrager 2, cleric/oracle 2, druid 2, psychic 2, ranger 2, shaman 2, summoner/unchained summoner 2, witch 2</t>
  </si>
  <si>
    <t>V, S, M/DF (smelling salts)</t>
  </si>
  <si>
    <t>You deprive a creature of the blissful oblivion of unconsciousness, either to keep it going despite grievous injuries or to prolong its suffering. For the duration of the spell, the target gains the ferocity ability (Pathfinder RPG Bestiary 300), allowing it to remain conscious and continue fighting even if its hit point total is below 0. The target is still staggered and loses 1 hit point each round, and the target still dies when its hit point total reaches a negative amount equal to its Constitution score.</t>
  </si>
  <si>
    <t>Scarify</t>
  </si>
  <si>
    <t>adept 1, alchemist 1, antipaladin 1, cleric/oracle 1, druid 1, inquisitor 1, shaman 1, spiritualist 1, witch 1</t>
  </si>
  <si>
    <t>Your touch causes a single creature's skin to produce fibrous tissue that sutures the creature's wounds, rapidly closing them and leaving jagged scars where the wounds were. The process is painful, and converts 2d6 points of damage + 1 point per caster level (maximum +5) into nonlethal damage. If the target creature is immune to nonlethal damage, the spell fails. Damage resistance against nonlethal damage reduces the amount of damage converted. This effect counts as healing for the purpose of stopping bleed damage. Kuthites are especially fond of this spell, as it gives them permanent physical reminders of the all too brief pain they endured.</t>
  </si>
  <si>
    <t>Shroud Of Darkness</t>
  </si>
  <si>
    <t>antipaladin 4, bard 5, cleric/oracle 5, inquisitor 5, mesmerist 4, shaman 5, sorcerer/wizard 5</t>
  </si>
  <si>
    <t>V, S, M/DF (a pinch of black sand)</t>
  </si>
  <si>
    <t>one creature/3 levels, no two of which can be more than 30 ft. apart</t>
  </si>
  <si>
    <t>With a dark incantation and a gesture of your hand over your eyes, you cause a shroud of darkness to descend upon the targets of this spell. The subjects treat the light level as two steps lower than normal for the duration of this spell. Bright light becomes dim light, normal light becomes darkness, and areas of dim light and darkness become supernaturally dark (as darkness, but even creatures with darkvision cannot see).</t>
  </si>
  <si>
    <t>Ferment</t>
  </si>
  <si>
    <t>alchemist 1, bard 1, cleric/oracle 1, druid 1, sorcerer/wizard 1, witch 1</t>
  </si>
  <si>
    <t>V, S, M (a drop of ale, mead, or wine)</t>
  </si>
  <si>
    <t>This spell temporarily imbues a potable liquid (including elixirs, extracts, potions, and poisons) with an intoxicant. The caster must succeed at a caster level check in order to affect magic liquids and poisons (DC = 10 + item level for magic liquids, DC equal to the poison's save DC for a poison); otherwise, the spell fails. If the caster succeeds, the liquid also assumes a flavor according to what the caster desires,  but the effect on the imbiber is the same. An imbiber of a liquid affected by ferment must succeed at a Fortitude saving throw at the spell's save DC or take a -2 penalty on attack rolls, saves, ability checks, and skill checks for the remaining duration of the spell. Additionally, the DC of any skill check to identify a magic liquid or poison under the effects of this spell increases by 5.</t>
  </si>
  <si>
    <t>Free Spirit</t>
  </si>
  <si>
    <t>bard 3, cleric/oracle 3, druid 3, medium 3, shaman 3, spiritualist 3, witch 3</t>
  </si>
  <si>
    <t>This spell allows you to channel the essence of Cayden Cailean's philosophy, giving you the benefits of a freedom of movement spell and granting you a +4 bonus on saving throws against fear effects. The spell also makes you drunk. For the duration of the spell, you take a -2 penalty on attack rolls, ability checks, skill checks, and concentration checks. If you somehow remove or avoid these penalties, the spell's duration ends.</t>
  </si>
  <si>
    <t>Knock, Mass</t>
  </si>
  <si>
    <t>cleric/oracle 6, inquisitor 6, mesmerist 6, occultist 6, psychic 6, sorcerer/wizard 6</t>
  </si>
  <si>
    <t>one means of closure/level, no two of which can be more than 30 feet apart</t>
  </si>
  <si>
    <t>Also known as "unshackle," this spell functions as knock, but works on multiple means of closure at once.</t>
  </si>
  <si>
    <t>Spirit Share</t>
  </si>
  <si>
    <t>alchemist 1, bard 1, cleric/oracle 1, druid 1, occultist 1, shaman 1, sorcerer/wizard 1, witch 1</t>
  </si>
  <si>
    <t>V, S, F (liquid to be shared)</t>
  </si>
  <si>
    <t>This spell was first created as a minor parlor trick, but adventuring Caydenites have repurposed and improved on it for use on their travels. For the duration of the spell, as a standard action you can touch a willing target to deliver 1 dose of a potable liquid (including alcoholic drinks and potions and elixirs, but not poisons or other liquids that are primarily harmful when drunk) in your possession (though not necessarily held in hand) into her.</t>
  </si>
  <si>
    <t>Soul Vault</t>
  </si>
  <si>
    <t>cleric/oracle 3, druid 4, inquisitor 3, psychic 5, shaman 3, sorcerer/wizard 4, spiritualist 2, witch 4</t>
  </si>
  <si>
    <t>This spell protects the target's soul by briefly enveloping the target in an ethereal vault. The target gains a +4 bonus on saving throws against spells and effects that would trap or redirect its soul (such as magic jar, soul bind, and trap the soul) and effects that would transform the target into an undead creature. The target is granted a save to negate such effects even if one is not normally allowed. If it's cast on a living creature that then dies, the target's body and spirit are protected by the spell for its duration. If it's cast on a corpse within 1 round of death, the target's body and soul are both protected. Otherwise, only the body receives the protection.  Any spellcaster that worships Abadar may learn and cast soul vault as a 4th level spell, if it isn't normally on her class spell list. Soul vault can be made permanent with the permanency spell at a cost of 7,500 gp and a minimum caster level of 11th.</t>
  </si>
  <si>
    <t>True Appraisal</t>
  </si>
  <si>
    <t>bard 1, cleric/oracle 1, inquisitor 1, occultist 1, witch 1</t>
  </si>
  <si>
    <t>V, F (gold coin)</t>
  </si>
  <si>
    <t>You gain temporary insight into the value of objects. You gain a +5 competence bonus on Appraise checks, can attempt an Appraise check to determine an object's value as a move action, and can take 10 on an Appraise check even if stress or distractions would normally prevent you from doing so. You know if you fail an Appraise check, and you never determine a wildly inaccurate price.</t>
  </si>
  <si>
    <t>Funereal Weapon</t>
  </si>
  <si>
    <t>cleric/oracle 1, inquisitor 1, occultist 1, paladin 1</t>
  </si>
  <si>
    <t>You imbue a weapon with a faint silvery glow that dimly illuminates a 5-foot square. An affected weapon also easily bypasses the physical defenses of undead creatures, ignoring 5 points of an undead creature's damage reduction, as long as the damage reduction is not DR/epic. For example, attacks with a weapon affected by this spell completely ignore a zombie's DR 5/slashing or reduce a lich's damage reduction to DR 10/bludgeoning and magic.  You can't cast this spell on a natural weapon, such as an unarmed strike. Funereal weapon affects the DR of only undead creatures.</t>
  </si>
  <si>
    <t>Necrostasis</t>
  </si>
  <si>
    <t>cleric/oracle 2, inquisitor 2, shaman 2, sorcerer/wizard 3, spiritualist 2, witch 2</t>
  </si>
  <si>
    <t>V, S, M/DF (a finger bone)</t>
  </si>
  <si>
    <t>You drain necromantic energy from an undead creature, inducing a sluggish stupor. The target becomes staggered. For the duration of the spell, dark wisps of energy seep out of the target creature. If the target already has the staggered condition (as a zombie does), it becomes dazed for 1 round instead.</t>
  </si>
  <si>
    <t>Preserve</t>
  </si>
  <si>
    <t>adept 1, cleric/oracle 1, medium 1, occultist 1, ranger 1, shaman 1, sorcerer/wizard 1, spiritualist 1, witch 1</t>
  </si>
  <si>
    <t>V, S, M/DF (a pinch of salt)</t>
  </si>
  <si>
    <t>one or more objects touched, up to 1 lb./level</t>
  </si>
  <si>
    <t>You imbue one or more objects with magic that dramatically slows down natural processes that lead to decay and spoilage. For the duration of the spell, food, water, plants, and other perishable objects affected by the spell remain as fresh as they were when the spell was cast. The spell also protects these objects against spells of the same level or lower that cause spoilage, such as putrefy food and drinkAPG. When the duration of preserve expires, the objects resume aging at their normal rate.  The spell also works on severed body parts and the bodies of small creatures as per gentle repose, provided that the weight of the creature or part does not exceed the spell's limit.  Preserve can be made permanent with a permanency spell by a caster of 9th level or higher for 500 gp.</t>
  </si>
  <si>
    <t>Spiral Ascent</t>
  </si>
  <si>
    <t>you and touched objects</t>
  </si>
  <si>
    <t>You transform yourself into a helical beam of divine energy that instantly transports you upward to a spot within range. The destination must be a square in the spell's range that's within 10 feet of a point directly above you. The destination must be within your line of sight or familiar to you. After using this spell, you can't take any other actions until your next turn. You can bring along objects as long as their weight doesn't exceed your maximum load.  If you arrive in a place that is already occupied by a solid body, you are teleported to a random open space on a suitable surface within the range and other limitations of the spell. If no such space is available, the spell simply fails. This spell  does not function on a plane lacking gravity. On a plane with subjective directional gravity, you can use this spell to teleport in any direction.</t>
  </si>
  <si>
    <t>Spiral Descent</t>
  </si>
  <si>
    <t>This spell functions as spiral ascent, except the destination and direction of travel is downward from your current location.</t>
  </si>
  <si>
    <t>Betraying Sting</t>
  </si>
  <si>
    <t>cleric/oracle 6, occultist 6, psychic 6, shaman 6, witch 6</t>
  </si>
  <si>
    <t>You unleash divine power to smite those who wrongly trusted you. The power takes the form of a yellow-and-black bolt of energy that makes the sound of a thousand angry, swarming wasps. This spell affects only creatures that have an attitude toward you of indifferent, friendly, or helpful. The spell deals 1d8 points of damage per 2 caster levels you have.</t>
  </si>
  <si>
    <t>Harvest Knowledge</t>
  </si>
  <si>
    <t>alchemist 4, antipaladin 4, bard 4, inquisitor 4, mesmerist 4, psychic 4, sorcerer/wizard 4, witch 4</t>
  </si>
  <si>
    <t>V, S, M (a piece of lodestone)</t>
  </si>
  <si>
    <t>one creature or object; see text</t>
  </si>
  <si>
    <t>You touch a creature and temporarily absorb its knowledge for yourself. If the target fails its saving throw, you can sort through its lore and memories. You can retrieve one answer to a specific question per minute, as through sifting through the creature's surface thoughts with detect thoughts. Alternatively, you can tap into the target's learned experiences and attempt one Knowledge check in a skill in which the target has at least 1 rank, using the target's total skill modifier. Each Knowledge check requires 1 minute and allows the target another Will save to resist the effect. If the target successfully resists, the spell does not end, but you are unable to attempt another Knowledge check for that skill using this spell. You can also use this spell against targets trapped in magic items or spells that hold their bodies or souls, such as an iron flask or the spell trap the soul, by touching the associated receptacle.</t>
  </si>
  <si>
    <t>Incessant Buzzing</t>
  </si>
  <si>
    <t>antipaladin 1, bard 1, psychic 1, shaman 1, sorcerer/wizard 1, witch 1</t>
  </si>
  <si>
    <t>V, S, M/DF (insect wing)</t>
  </si>
  <si>
    <t>You summon an illusory swarm of angry wasps that fills a 10-foot-diameter sphere. You can summon it so that it shares an area with other creatures, and you can move it up to 40 feet each round as a move action. Creatures caught inside the swarm's area of effect cannot use skills that require patience or concentration. Additionally, spellcasters within the area must succeed at a caster level check (DC =  20 + level of spell to be cast) in order to cast spells. On a failed caster level check, the spell is lost. While the buzzing is unpleasant, it is not so loud as to drown out other noises or make communication difficult.</t>
  </si>
  <si>
    <t>Painful Revelation</t>
  </si>
  <si>
    <t>one ongoing illusion effect</t>
  </si>
  <si>
    <t>You augment an ongoing illusion effect to strike out painfully at creatures that see through it. When a creature successfully disbelieves an illusion that is the target of painful revelation, it takes 1d6 points of nonlethal damage for every 2 caster levels you have (maximum 10d6) and is staggered for 1d4 rounds. A successful Will save reduces the nonlethal damage by half and negates the staggered effect. Once painful revelation has been triggered, the spell ends.  However, creatures under the effect of spells such as true seeing that automatically pierce illusions are not subject to this effect.</t>
  </si>
  <si>
    <t>Pillow Talk</t>
  </si>
  <si>
    <t>bard 3, inquisitor 3, mesmerist 3, psychic 3, sorcerer/wizard 3, witch 3</t>
  </si>
  <si>
    <t>sleeping, living creature touched</t>
  </si>
  <si>
    <t>This spell can be cast only on a sleeping creature, which must be present for the full duration of the casting time. You grant the semblance of wakefulness to the target, allowing it to answer questions. You can ask one question per 2 caster levels. The target's knowledge is limited to what it normally knows, including the languages it speaks. Answers are brief, cryptic, or repetitive, especially if the creature would have opposed you when awake. If the target succeeds at a Will save, it awakens (unless some force is  preventing it from being awake, such as magic or drugs), and it remains aware of the first question you asked. If the target has been subject to pillow talk within the past week, the new spell fails. While your questions don't otherwise wake the target, this spell does nothing to prevent other sounds or stimulus from waking the target. A target who sleeps through the spellcasting and duration of the spell has no memory of it taking place, but a target who awakens before the spell ends remembers every question asked and what answers it gave.</t>
  </si>
  <si>
    <t>Reveal Secrets</t>
  </si>
  <si>
    <t>bard 1, inquisitor 1, mesmerist 1, psychic 1, sorcerer/wizard 1, witch 1</t>
  </si>
  <si>
    <t>V, S, M (a drop of alcoholic liquid)</t>
  </si>
  <si>
    <t>When you cast this spell, you ask the target whether it has a secret about a specific topic that can be described in 10 words or fewer. This can concern a person, place, or thing (such as a town's mayor, the ring worn by a traveling merchant, or the bridge spanning a nearby river) or an easily distinguished event (such as a historic battle or a recent rash of disappearances). If the target knows a secret about the topic (information it believes isn't common knowledge and which it would not normally tell you), it states it has a secret. The target doesn't mention anything about the secret and doesn't remember telling you it has a secret. If the target succeeds at its saving throw, it isn't compelled to reveal whether it knows a secret and is aware that you asked.</t>
  </si>
  <si>
    <t>Sadomasochism</t>
  </si>
  <si>
    <t>antipaladin 3, cleric/oracle 3, inquisitor 3, magus 4, sorcerer/wizard 4, witch 4</t>
  </si>
  <si>
    <t>While subject to this spell, anytime you are dealt damage, your attacker must roll damage for the attack twice and take the higher result, but the attacker must also succeed at a Will saving throw or be demoralized (Pathfinder RPG Core Rulebook 99) for 1 round. Each time you deal damage to a creature demoralized by this spell, you roll damage twice and take the higher result. This spell originally appeared in Pathfinder Campaign Setting: Inner Sea Gods.</t>
  </si>
  <si>
    <t>Curse Of The Crimson Throne Chapter Appendix</t>
  </si>
  <si>
    <t>Infuse Decay</t>
  </si>
  <si>
    <t>V, S, F (a set of fine mortician's tools worth 100 gp)</t>
  </si>
  <si>
    <t>corporeal undead touched; see text</t>
  </si>
  <si>
    <t>This spell functions as per imbue with spell ability, except it can only target corporeal undead creatures, and can only transfer touch spells. The number and level of spells the subject can be granted depends on the undead creature's Hit Dice; even multiple castings of infuse decay can't exceed this limit.  HD of Undead Touch Spells Infused  5 or lower One 1st-level spell  6-10 One or two 1st-level spells  11 or higher One or two 1st-level spells and one 2nd-level spell  Once you cast infuse decay, you can't prepare a new 4th-level spell to replace it (see imbue with spell ability on page 299 of the Pathfinder RPG Core Rulebook for further details). The infused spell is automatically triggered the next time the undead creature makes a successful touch attack or attack with a natural weapon. An intelligent undead can choose not to trigger the spell on a hit. Only one infused spell can be triggered per attack. An intelligent undead can choose which spell to trigger if it has more than one infused spell. A nonintelligent undead triggers a random spell when it hits with a natural weapon. Only one spell can be triggered per round, regardless of the number of attacks the undead makes.</t>
  </si>
  <si>
    <t>Unlock Flesh</t>
  </si>
  <si>
    <t>V, S,F (any slashing weapon or cutting tool)</t>
  </si>
  <si>
    <t>1 round/level (living target) or instantaneous (undead target); see below</t>
  </si>
  <si>
    <t>By touching a creature with a bladed instrument, you cause the creature's flesh to loosen and slide against its skeletal moorings. A living creature touched becomes staggered by the disturbing and uncomfortable sensation for 1 round per level. Each round on its turn, the subject can attempt a new saving throw to end the effect. This is a standard action that does not provoke attacks of opportunity. A corporeal undead creature targeted by this spell instead takes 1d6 points of damage per caster level (maximum 5d6 at 5th level) as wet, oozing chunks of flesh slough off its desiccated bones (a successful Fortitude save halves this damage). Incorporeal creatures, or creatures that do not have flesh, are immune to this spell's effects.</t>
  </si>
  <si>
    <t>Bit Of Luck</t>
  </si>
  <si>
    <t>alchemist 4, bard 3, cleric/oracle 4, psychic 4, shaman 4, sorcerer/wizard 4, witch 4</t>
  </si>
  <si>
    <t>V, S, M (a four-leaf clover)</t>
  </si>
  <si>
    <t>For the spell's duration, the caster gains a reservoir of luck with a total number of points equal to 1 point per 2 caster levels. During the spell's duration, the caster can spend 1 point from this reservoir when making an attack roll or skill check to add a +1d8 luck bonus to the d20 roll's result. This bonus can be added before or after the roll or check's result is revealed, and if this bonus is large enough to turn a failure into a success, the roll succeeds. The spell instantly ends when all points are expended or when it is cast on the target again.  An 8th-level caster can instead spend 4 points to add a +2d8 luck bonus, and a 16th-level caster can spend 8 luck points to instead add a +3d8 luck bonus.</t>
  </si>
  <si>
    <t>Blood Of The Beast</t>
  </si>
  <si>
    <t>Curse Of Befouled Fortune</t>
  </si>
  <si>
    <t>antipaladin 3, bloodrager 4, cleric/oracle 3, shaman 3, sorcerer/wizard 4, spiritualist 3, witch 3</t>
  </si>
  <si>
    <t>You curse the target, making it incredibly unlucky. While affected by curse of befouled fortune, the target can't receive luck bonuses or benefit from effects that grant it the ability to roll multiple times and take the higher result (like the swashbuckler's charmed life ability). The target also can't choose a die result, such as taking 10 or 20 in lieu of rolling (as per the bard's lore master ability). Finally, the first time each turn the target would succeed at an attack, saving throw, or skill check, it must roll twice and use the worse of the two results.  This curse cannot be dispelled, but it can be removed with a break enchantment, limited wish, miracle, remove curse, or wish spell.</t>
  </si>
  <si>
    <t>Batrachian Surge</t>
  </si>
  <si>
    <t>bloodrager 1, druid 1, inquisitor 1, ranger 1, summoner/unchained summoner 1</t>
  </si>
  <si>
    <t>1 round + 1 round/3 levels (D)</t>
  </si>
  <si>
    <t>You tap into your latent amphibian strengths, unlocking a short-lived physical talent. Armor or gear you are wearing adjusts to your new shape for the duration of the spell. When you cast batrachian surge, choose one of the following features to gain its associated benefits. You can have only one batrachian surge spell active on you at a time.  Gills: Your throat expands, and gill slits appear along your neck. You can breathe underwater.  Leaping: Your legs elongate and become especially muscular. You are always treated as having a running start when attempting Acrobatics checks to jump, and you gain a competence bonus on Acrobatics checks to jump equal to your caster level.  Swimming: You grow a large tadpole tail, and your other limbs shrink slightly. You gain a swim speed equal to your base land speed.  Tongue: Your tongue extends to the length of your body. Increase your reach by 5 feet when delivering touch spells. This increased reach doesn't stack with any other spells or abilities that affect your reach.</t>
  </si>
  <si>
    <t>Sweat Poison</t>
  </si>
  <si>
    <t>alchemist 2, druid 3, inquisitor 3, ranger 2</t>
  </si>
  <si>
    <t>Glands along your neck, back, or wrists swell and exude a viscous injury poison (save Fort DC 14; frequency 1/round for 4 rounds; effect 1d2 Str; cure 1 save). You are not immune to this poison, and unless you have the poison use class feature or a similar ability, you are at risk of poisoning yourself. You can apply this poison to a weapon as a move action, and each dose you apply reduces the remaining duration of this spell by 1 minute. If doing so would reduce the remaining duration to 0 minutes or less, the spell ends, and any applied poisons retain their potency only until the end of your turn.  When you apply the poison, you can choose to reduce the spell's remaining duration by 2 or more additional minutes (maximum = your caster level) in order to enhance that dose of poison. For every 2 minutes of duration expended, the poison's save DC increases by 1, the number of rounds it lasts increases by 1/2 (round down), and the number of saves required to cure it increases by 1/4 (round down). If you have the toxic skin alternate racial trait (Advanced Race Guide 190), you can expend one daily use as a free action to enhance this spell's poison's damage to 1d3 Strength and its starting save DC to 15.</t>
  </si>
  <si>
    <t>Contagious Suggestion</t>
  </si>
  <si>
    <t>bard 4, medium 4, mesmerist 4, occultist 5, psychic 5, sorcerer/wizard 5, witch 5</t>
  </si>
  <si>
    <t>1 hour/level or until completed (D)</t>
  </si>
  <si>
    <t>This spell functions as per suggestion, except the target can pass on the enchantment to other targets. The target is compelled to communicate your suggestion to another creature, forcing the new target to attempt a saving throw as if it were the initial target. If a secondary target successfully saves, the suggestion effect on the initial target isn't negated. If a secondary target fails, it is placed under the same compulsion as the initial target and can further spread the suggestion. This spell can affect a total number of Hit Dice of creatures equal to your caster level. Creatures that save against this spell cannot be affected by that particular casting of contagious suggestion for 24 hours.</t>
  </si>
  <si>
    <t>Gullibility</t>
  </si>
  <si>
    <t>You befuddle the target's mind, making it more willing to believe even the most outlandish tales. The target takes a -10 penalty on Sense Motive checks for the spell's duration. In addition, creatures that attempt to lie to or deceive the target gain a +10 bonus on their Bluff checks, as if the target wanted to believe them and was drunk or impaired simultaneously. Furthermore, the believability of any lie told to a creature under the effects of gullibility increases by one step; an impossible lie seems far-fetched, a far-fetched lie seems unlikely, and an unlikely lie seems believable.  A creature gains no benefits from glibness on B luff checks to lie to or deceive a creature that is under the effects of gullibility; in effect, gullibility r enders a t arget s o w illing t o believe what others say that glibness cannot make their words any more believable.</t>
  </si>
  <si>
    <t>Hypnotism, Greater</t>
  </si>
  <si>
    <t>bard 4, mesmerist 4, occultist 4, psychic 4, sorcerer/wizard 4, witch 4</t>
  </si>
  <si>
    <t>This functions as hypnotism, except it affects 2 Hit Die of creatures per caster level you have. You can make up to five requests (instead of a single request) to each creature affected by the spell, and the requests can be as long and as complicated as you desire (though they still must be reasonable).</t>
  </si>
  <si>
    <t>Metabolic Molting</t>
  </si>
  <si>
    <t>cleric/oracle 6, druid 6, shaman 6, witch 6</t>
  </si>
  <si>
    <t>V, S, M (a valuable gemstone worth at least 250 gp)</t>
  </si>
  <si>
    <t>willing creature or dead body touched</t>
  </si>
  <si>
    <t>You encase the willing subject in a jeweled shell that has the same hardness and hit points as 5 inches of iron (hardness 10, hp 150). For 7 days, the subject enters a state of suspended animation (as per temporal stasis), during which it heals from even the most grievous wounds. Each day, the subject regains 5 hit points per Hit Die it has as well as recovering from 2 points of ability damage or ability drain from any ability score of its choice. After 7 days, the shell crumbles away and the subject emerges, its body's severed limbs, broken bones, and ruined organs regrown (as per regenerate).  If the gemstone you use for the component is worth at least 5,000 gp, metabolic molting can bring a target back to life, as long as it has been dead for no more than 1 hour when the spell is cast. When the spell is used on such a creature, the creature comes back to life after 7 days and stabilizes at 0 hit points. A creature brought back to life through metabolic molting gains 1 permanent negative level, or 2 points of Constitution drain if it is 1st level. Like raise dead, this spell can't save creatures slain by death effects.</t>
  </si>
  <si>
    <t>Naga Shape I</t>
  </si>
  <si>
    <t>alchemist 4, bloodrager 4, magus 4, sorcerer/wizard 4</t>
  </si>
  <si>
    <t>V, S, M (a piece of the creature whose form you want to assume)</t>
  </si>
  <si>
    <t>Whenever you cast this spell, you can assume the form of any type of Large naga (including most nagas, but not royal nagas), though not the form of a specific individual. In effect, you transform into a Large serpent, gaining a +4 size bonus to your Strength, a -2 penalty to your Dexterity, and a +4 natural armor bonus. Unlike with beast shape II, however, you keep your own head when using this spell and can cast spells with verbal and somatic components, even though the naga form doesn't have hands.  If the form you assume has any of the following abilities, you gain the listed ability: climb 60 feet, fly 60 feet (good maneuverability), swim 60 feet, darkvision 60 feet, low-light vision, and scent.</t>
  </si>
  <si>
    <t>Naga Shape II</t>
  </si>
  <si>
    <t>alchemist 5, bloodrager 5, magus 5, sorcerer/wizard 5</t>
  </si>
  <si>
    <t>This spell functions as naga shape I. Additionally, if the form you assume has any of the following abilities, you gain the listed ability: burrow 30 feet, climb 90 feet, fly 90 feet (good maneuverability), swim 90 feet, blindsense 30 feet, darkvision 60 feet, low-light vision, compression, constrict, detect thoughts, dreamsight, grab, hypnosis, poison, sneak attack +2d6, and spit.</t>
  </si>
  <si>
    <t>Naga Shape III</t>
  </si>
  <si>
    <t>alchemist 6, bloodrager 6, magus 6, sorcerer/wizard 6</t>
  </si>
  <si>
    <t>This spell functions as naga shape I. Additionally, if the form you assume has any of the following abilities, you gain the listed ability: burrow 60 feet, climb 90 feet, fly 120 feet (good maneuverability), swim 120 feet, blindsense 60 feet, darkvision 90 feet, low-light vision, tremorsense 60 feet, bleed, compression, constrict, detect thoughts, dreamsight, grab, hypnosis, poison, sneak attack +3d6, and spit.</t>
  </si>
  <si>
    <t>Depilate</t>
  </si>
  <si>
    <t>bard 1, druid 1, sorcerer/wizard 1, witch 1</t>
  </si>
  <si>
    <t>S, M (a sliver of cow's tongue)</t>
  </si>
  <si>
    <t>one creature with hair or fur</t>
  </si>
  <si>
    <t>This simple jinx causes a target's hair or fur to fall out in patchy clumps, leaving the creature disheveled and less commanding. A jinxed creature takes a -2 penalty on all Diplomacy, Intimidate, and Perform checks until the hair begins to regrow 1 week later, or until the damage can be concealed with a successful Disguise or Heal check (the DC is equal to the original save DC of the spell). A successful break enchantment, remove curse, or similar effect instantly regrows the target's hair or fur and removes the spell's effects.</t>
  </si>
  <si>
    <t>Fumblestep</t>
  </si>
  <si>
    <t>mesmerist 1, sorcerer/wizard 1, spiritualist 1, witch 1</t>
  </si>
  <si>
    <t>V, S, M (a sharp pebble)</t>
  </si>
  <si>
    <t>Fumblestep coats a target's feet in slick ectoplasm that retains some psychic connection to your mind. While the spell remains in effect, the target creature takes a -1 penalty on Reflex saving throws and Acrobatics checks.  At any point during the spell's duration while the target remains in range, you can discharge the spell as a standard action, mentally tugging at the ectoplasm to perform a trip combat maneuver, using your caster level instead of your base attack bonus, and using your Charisma, Intelligence, or Wisdom modifier, whichever is highest, instead of your Strength modifier. This trip attempt does not provoke an attack of opportunity and cannot be affected by feats or other means of altering a trip combat maneuver's effects.</t>
  </si>
  <si>
    <t>Lightfingers</t>
  </si>
  <si>
    <t>psychic 1, spiritualist 1, witch 1</t>
  </si>
  <si>
    <t>A flutter of subtle, telekinetic force causes your target to drop a single nonmagical carried item weighing no more than 1 pound per caster level, such as a coin purse, a key ring, or a loose object in its pocket. The target must succeed at a Perception check against the spell's save DC to notice the dropped item. You select what item the target drops as long as you can see both your target and the item you wish to affect. This use of the spell can't cause a target to lose a held item or anything it is wearing, including jewelry.  You can instead cast lightfingers to attempt a single disarm or stealAPG combat maneuver, using your caster level instead of your base attack bonus, and using your Charisma, Intelligence, or Wisdom modifier, whichever is highest, instead of your Strength modifier. This disarm or steal attempt does not provoke attacks of opportunity and cannot be affected by feats or other means of altering a combat maneuver's effects. This use of the spell is immediately obvious.</t>
  </si>
  <si>
    <t>Amnesia</t>
  </si>
  <si>
    <t>bard 4, medium 3, mesmerist 4, psychic 4, sorcerer/wizard 4</t>
  </si>
  <si>
    <t>You cause the target to lose most of its memories; its skills, its past, and even its name become mysteries to it. While the target can build new memories, it has trouble accessing those gained before falling victim to the spell. The target can still speak and read any languages it knows and perform basic tasks, but it loses all class abilities, feats, and skill ranks gained before being affected by amnesia. It retains its base attack bonus, saving throws bonuses, Combat Maneuver Bonus, Combat Maneuver Defense, total experience points, Hit Dice, and hit points. If the target gains a character level while suffering from amnesia, it can use any abilities gained by that class level normally. If the class level it gained was from a class in which it already has levels, it gains the abilities of a 1st-level character of that class, even though it is technically of a higher level in that class. If the amnesia is cured, the target regains the full abilities of the class, including those gained from any levels taken while suffering from this condition. Amnesia can be removed only by heal, limited wish, miracle, psychic surgeryOA, or wish.</t>
  </si>
  <si>
    <t>Villain Codex</t>
  </si>
  <si>
    <t>Appearance Of Life, Greater</t>
  </si>
  <si>
    <t>cleric/oracle 5, medium 4, mesmerist 5, psychic 5, sorcerer/wizard 5, spiritualist 4, witch 5</t>
  </si>
  <si>
    <t>one willing undead creature touched</t>
  </si>
  <si>
    <t>This spell functions as appearance of life (Pathfinder RPG Horror Adventures 108), except that you can disguise a single undead creature regardless of its number of Hit Dice, and the illusion also creates relevant smells, sounds, textures, and temperatures  to match the appearance. If you disguise the target as a living version of itself, creatures that interact with the target take a -5 penalty on their Will saving throws to disbelieve the illusion, though if the target attacks a creature, the attacked creature no longer takes this penalty.</t>
  </si>
  <si>
    <t>Covetous Urge</t>
  </si>
  <si>
    <t>curse, language-dependent, mind-affecting</t>
  </si>
  <si>
    <t>bard 2, sorcerer/wizard 2, summoner/unchained summoner 2, witch 2</t>
  </si>
  <si>
    <t>V, S, M (a golden coin)</t>
  </si>
  <si>
    <t>one living creature with 7 HD or fewer</t>
  </si>
  <si>
    <t>You curse the target with insatiable greed, causing it to attempt to steal any item worth 100 gp or more that it can see, each time it enters a new room or area. If it can see multiple items of value in a single room or area, it attempts to steal the item it thinks is worth the most. This covetous compulsion might cause the target to act recklessly where it normally would not (unless acting in this manner would clearly cause it to die, suffer great harm, or get caught).  In combat, if the target sees a valuable item on an opponent, it must, for example, attempt to disarm its foe to take a valuable weapon or use the steal combat maneuver (Pathfinder RPG Advanced Player's Guide 322) to grab a precious item kept on the opponent's belt. Once the target has either attempted to steal an item in combat or else taken damage, this magical compulsion subsides until the threat of the current combat ends and the target enters a new room or area. Affected targets in combat that have neither attempted to steal an item nor taken damage (perhaps because the opponent with the most valuable item is far away) can attempt a saving throw each round to ignore the spell's effect until the threat ends and the target enters a new room.  Break enchantment, limited wish, miracle, remove curse, or wish can each end covetous urge before the duration expires. Dispel magic does not affect covetous urge.</t>
  </si>
  <si>
    <t>Hide Bruises</t>
  </si>
  <si>
    <t>antipaladin 1, bard 1, inquisitor 1, mesmerist 1, occultist 1, psychic 1, sorcerer/wizard 1, witch 1</t>
  </si>
  <si>
    <t>V, S, M (drop of blood)</t>
  </si>
  <si>
    <t>none and Will disbelief (see text)</t>
  </si>
  <si>
    <t>The target's wounds to seem to disappear. A creature attempting a Heal check to tell the severity of the target's injuries takes a -10 penalty on that check. A creature that physically touches the glamered areas can attempt a Will save to recognize it as an illusion.</t>
  </si>
  <si>
    <t>Resist Starvation</t>
  </si>
  <si>
    <t>antipaladin 1, cleric/oracle 1, shaman 1</t>
  </si>
  <si>
    <t>V, S, M (crumb of food)</t>
  </si>
  <si>
    <t>If the target doesn't eat on the day this spell is cast on it, the DC to avoid taking nonlethal damage from starvation on the following day doesn't increase by 1. This spell fails if the target hasn't already attempted at least one Constitution check to avoid starvation.</t>
  </si>
  <si>
    <t>Beacon Of Guilt</t>
  </si>
  <si>
    <t>bard 2, inquisitor 2, occultist 2, sorcerer/wizard 2</t>
  </si>
  <si>
    <t>24 hours or until discharged, then instantaneous</t>
  </si>
  <si>
    <t>You place an invisible ward upon an object that is triggered the first time a creature tries to move the object from its current location. The next creature to touch the object is cursed to become obvious  to everyone around it. The creature must succeed at a Will save or be surrounded in an aura of twinkling red light that functions as faerie fire (spell resistance applies). The curse bestowed by this spell cannot be dispelled, but a break enchantment, limited wish, miracle, remove curse, or wish spell can remove it.</t>
  </si>
  <si>
    <t>Escape Alarm</t>
  </si>
  <si>
    <t>bard 2, inquisitor 2, occultist 2, psychic 2, ranger 2, sorcerer/wizard 2, spiritualist 2, summoner/unchained summoner 2</t>
  </si>
  <si>
    <t>V, S, F (a short segment of a chain)</t>
  </si>
  <si>
    <t>ten 10-foot cubes/level</t>
  </si>
  <si>
    <t>You place a ward on an area that notifies you when a creature exits it. This functions as alarm, except as noted. It alerts you when a creature leaves, rather than enters, the area, and you can't select a password to bypass its effects. Instead, when you place an escape alarm, you can attune up to one additional creature per caster level to the spell. You are automatically attuned to your own escape alarm and don't count against the limit. Attuned creatures can enter and exit the spell's area without triggering the alarm. If you select a mental alarm rather than an audible one, all attuned creatures receive the mental alert when someone exits the warded area.</t>
  </si>
  <si>
    <t>Outbreak</t>
  </si>
  <si>
    <t>antipaladin 2, bloodrager 3, cleric/oracle 2, druid 2, sorcerer/wizard 3</t>
  </si>
  <si>
    <t>20-ft. burst</t>
  </si>
  <si>
    <t>You cause any diseased creatures in the area to become extremely contagious. Any affected creature is overcome by a fit of wracking coughs, causing it to become fatigued and exposing any creatures within 10 feet of the diseased creature to the diseases it carries. On a successful save, a creature is fatigued for 1 round and doesn't have a chance to infect nearby creatures.</t>
  </si>
  <si>
    <t>Virulent Miasma</t>
  </si>
  <si>
    <t>antipaladin 2, bloodrager 3, druid 3, sorcerer/wizard 3</t>
  </si>
  <si>
    <t>V, S, M (a dried scab from a diseased creature)</t>
  </si>
  <si>
    <t>Virulent miasma creates fog like fog cloud, except that the vapors carry the taint of disease. Living creatures take a -4 penalty on saving throws against disease effects as long as they remain within the cloud and for 1d4+1 rounds after leaving. This effect of the spell allows a Fortitude save to negate it, and it is subject to spell resistance. A creature that succeeds at its saving throw against the fog (or ignores the fog due to spell resistance) is not affected and need not make further saves even if it remains in the fog.</t>
  </si>
  <si>
    <t>Cloak Of Shadows</t>
  </si>
  <si>
    <t>evil, shadow</t>
  </si>
  <si>
    <t>antipaladin 4, bard 5, mesmerist 5, sorcerer/wizard 5, spiritualist 5</t>
  </si>
  <si>
    <t>You wrap yourself in a protective mantle of semi-real shadow. This grants a number of advantages: you gain concealment (20% miss chance), a +5 competence bonus on Stealth checks, and DR 5/good. This shroud of shadows also protects you from direct  sunlight, negating sunlight vulnerability, sunlight powerlessness, and similar effects.  When you are in dim light or darkness, the first two benefits increase against foes that don't have darkvision or the see in darkness ability (Pathfinder RPG Bestiary 2 301). Such creatures suffer a 50% miss chance (though you don't gain total concealment) and your competence bonus on Stealth checks increases to +10 with respect to such creatures.</t>
  </si>
  <si>
    <t>Shadow Claws</t>
  </si>
  <si>
    <t>antipaladin 1, bard 2, bloodrager 2, magus 2, sorcerer/wizard 2, spiritualist 2</t>
  </si>
  <si>
    <t>You summon a pair of claws over your hands formed from semi-real material. This grants you two primary claw attacks dealing 1d4 points of damage if you are Medium (1d3 if Small) plus 1 point of Strength damage. A successful Fortitude saving throw negates the Strength damage (DC = this spell's DC).</t>
  </si>
  <si>
    <t>Shadow Jaunt</t>
  </si>
  <si>
    <t>antipaladin 3, bard 4, sorcerer/wizard 4, spiritualist 4, summoner/unchained summoner 4</t>
  </si>
  <si>
    <t>You instantly travel between shadows to a point within range, though line of sight is not necessary. You leave a shadowy image of yourself in your former location and are wrapped in shadow at your destination; you can attempt a Stealth check as a free action to hide in your new location. Creatures that fail opposed Perception checks typically aren't aware that you are no longer at your former location unless they are familiar with this spell and identify the effects. Any attack on your former location causes the shadows to disperse, allowing any creature that can see your former location to immediately notice your disappearance. In addition, for 1 round, the envelope of shadow around you grants you concealment (20% miss chance). This spell doesn't function if there are no shadows within 5 feet of your starting location, and you can't travel through your own shadow. If you choose a destination that has no shadows, you appear from the shadow closest to your destination that's within the spell's range (this could be your starting location if there are no other shadows within the spell's range).</t>
  </si>
  <si>
    <t>Shield Of Wings</t>
  </si>
  <si>
    <t>You gain five burning wings that grant a fly speed equal to the number of wings x 10 (average maneuverability) for an initial fly speed of 50 feet. The first time in a round where you would take fire damage, a wing vanishes (reducing the fly speed granted) and you gain fire resistance 30 for the remainder of the round. When you are down to one wing (and a fly speed of 10 feet), your maneuverability drops to poor. When you lose your final wing, you become immune to fire damage for 1 additional minute, after which the effects of this spell end.</t>
  </si>
  <si>
    <t>Paths Of The Righteous</t>
  </si>
  <si>
    <t>Charm Fey</t>
  </si>
  <si>
    <t>one fey creature</t>
  </si>
  <si>
    <t>This spell functions as charm person, except it affects a fey instead of a humanoid.</t>
  </si>
  <si>
    <t>The First World Realm Of The Fey</t>
  </si>
  <si>
    <t>Hold Fey</t>
  </si>
  <si>
    <t>This spell functions as per hold person, except it affects a fey instead of a humanoid.</t>
  </si>
  <si>
    <t>Locate Portal</t>
  </si>
  <si>
    <t>bard 2, cleric/oracle 2, druid 2, psychic 2, ranger 1, shaman 2, sorcerer/wizard 2, summoner/unchained summoner 2, witch 2</t>
  </si>
  <si>
    <t>circle, centered on you, with a radius of 1 mile/level</t>
  </si>
  <si>
    <t>When this spell is active, you feel a mental pull in the direction of any active or operable portal leading to another plane within range of the spell. If multiple portals are present, you are pulled only to the nearest one. If moving causes you to become closer to a different portal, you become drawn to that one instead. The spell gives you the direction of the portal only, not a route. Once you are within 10 feet of the portal, you no longer feel the pull, only the portal's presence. The spell does not pinpoint or otherwise reveal hidden portals, nor does it do anything to aid in opening or operating them.</t>
  </si>
  <si>
    <t>Planar Orientation</t>
  </si>
  <si>
    <t>bard 1, cleric/oracle 1, druid 1, inquisitor 1, psychic 1, ranger 1, shaman 1, summoner/unchained summoner 1, witch 1, sorcerer/wizard 1</t>
  </si>
  <si>
    <t>This spell helps creatures accustomed to the concrete reality of the Material Plane to navigate within the confusing realities of other planes. When cast, it functions as know direction, save that instead of revealing true north, it reveals the direction of the palace or demesnes most associated with that plane or demiplane's ruling god or demigod, as well as a brief and generic vision of that entity's appearance or holy symbol. The spell functions only within whatever plane or demiplane you are located in at the time; for instance, if cast within a specific demon lord's Abyssal realm or on a given layer of Hell, it would point to the seat of power for that demon lord or archdevil, not Lamashtu or Asmodeus. If a plane or demiplane has multiple gods or rulers, such as the Eldest of the First World or Heaven's various Empyreal Lords and deities, it reveals the directions of the closest three, allowing for triangulation.  This spell reveals the location of the god or demigod's official seat of power only, not the entity itself, and if such a location is deliberately hidden via magic of any sort, the spell automatically fails. It does not function on the Material Plane.</t>
  </si>
  <si>
    <t>Fool's Gold</t>
  </si>
  <si>
    <t>bard 1, medium 1, mesmerist 1, psychic 1, sorcerer/wizard 1</t>
  </si>
  <si>
    <t>V, S, M (a copper piece or silver piece)</t>
  </si>
  <si>
    <t>objects touched</t>
  </si>
  <si>
    <t>none or Will disbelief (see text)</t>
  </si>
  <si>
    <t>You can temporarily make copper or silver seem to be an equivalent amount of gold. The spell affects 1 gp/level worth of material (thus, at 3rd level, the spell affects up to 300 copper pieces, 30 silver pieces, or a copper or silver item worth no more than 3 gp). Coins increase in value as normal for the new type of coinage. For items other than coins, some of the value of the item comes from its craftsmanship, regardless of the metal used, so the value of the item seems to be 5 times (for silver items) or 50 times (for copper items) its true value. Thus, a copper candlestick originally worth 5 cp transformed by this spell appears to be worth 250 cp, or 2 gp and 5 sp. A successful DC 25 Appraise check automatically detects the true nature of the coins or items. Creatures inspecting or interacting with the coins or items can attempt a saving throw to disbelieve the illusion.</t>
  </si>
  <si>
    <t>Burning Entanglement</t>
  </si>
  <si>
    <t>40-ft.-radius spread</t>
  </si>
  <si>
    <t>Reflex negates or partial (see text)</t>
  </si>
  <si>
    <t>This spell functions as per entangle, except it sets the foliage on fire. A creature that begins its turn entangled by the spell takes 4d6 points of fire damage (Reflex half), and a creature that begins its turn in the area but is not entangled takes 2d6 points of fire damage (Reflex negates). Smoke rising from the vines partially obscures visibility. Creatures can see things in the smoke within 5 feet clearly, but attacks against anything farther away in the smoke must contend with concealment (20% miss chance). When the spell's duration expires, the vines burn away entirely.</t>
  </si>
  <si>
    <t>Nature's Paths</t>
  </si>
  <si>
    <t>bard 1, druid 1, inquisitor 1, ranger 1, shaman 1, witch 1</t>
  </si>
  <si>
    <t>V, S, M/DF (a smooth stone)</t>
  </si>
  <si>
    <t>The target instinctively knows the shortest, easiest, and fastest way through the wilderness. For the purpose of determining overland speed, the target treats any trackless terrain as though there were a trail or road, and any terrain with a road or trail as though there were a highway (Pathfinder RPG Core Rulebook 171-172). Up to one creature per caster level traveling with the target can also benefit from the effect. The spell functions only outdoors and does not function in magically altered terrain.</t>
  </si>
  <si>
    <t>Sand Table</t>
  </si>
  <si>
    <t>bard 3, medium 3, ranger 3, sorcerer/wizard 4</t>
  </si>
  <si>
    <t>V, S, M (handful of sand)</t>
  </si>
  <si>
    <t>Sand table allows you to create a scale model of the battlefield surrounding your position, showing numbers of troops, their relative positions, and their movement as if you were observing from a great height overhead (1,000 feet up). You cast the spell upon a table or other flat surface and cause the model to appear upon a 5-foot-by-5-foot section of that table or surface. It reflects accurate terrain and topography, though it doesn't identify fine topographical features or concealed or hidden topography. It also indicates all normally visible Small or larger creatures within the area of effect, but it doesn't provide identifying characteristics of those creatures; each creature appears as an indistinct speck, under 1 millimeter in each dimension.  The spell marks obvious war camps and contingents of troops with a symbol of their banner (if they openly carry such a symbol). The spell provides a snapshot of the topography and creature locations when cast; it doesn't adjust for changes that occur during the duration. The table shows the land surrounding itself up to a 1-mile radius from the surface. The sand table does not reveal invisible or incorporeal creatures, nor does it include creatures that are underground, indoors, submerged below the surface of water, below a tree line or other source of cover from above, or flying above 1,000 feet in the air. Those looking at the table can spot Small and larger creatures that are using Stealth to hide, but they take a -10 penalty on their Perception checks because of the size of the models.  Once the spell has been cast, if anything moves or shakes the surface upon which it was placed, the spell ends instantly.</t>
  </si>
  <si>
    <t>Dousing Rain</t>
  </si>
  <si>
    <t>bard 2, druid 2, shaman 2, witch 2</t>
  </si>
  <si>
    <t>V, S, M/DF (a drop of water)</t>
  </si>
  <si>
    <t>cylinder (10-ft. radius, 40 ft. high)</t>
  </si>
  <si>
    <t>With a beckoning gesture, you call forth a downpour of rain. For the duration of the spell, the following effects apply within the affected area. Nonmagical fires are automatically extinguished, and all creatures and objects in the area gain fire resistance 5. The conjured water is conductive, and whenever a doused creature takes electricity damage, it takes 1 additional point of electricity damage. At 6th, 12th, and 18th levels, the fire resistance increases by 5 and the additional electricity damage increases by 1 point.</t>
  </si>
  <si>
    <t>Reinvigorating Wind</t>
  </si>
  <si>
    <t>air, mind-affecting</t>
  </si>
  <si>
    <t>bard 2, druid 3, shaman 2, witch 3</t>
  </si>
  <si>
    <t>V, S, M/DF (a flower petal)</t>
  </si>
  <si>
    <t>You exhale deeply, creating a gentle magical wind that invigorates any allies in the affected area, as follows. Any sleeping allies immediately wake up. Fascinated allies are shaken free of the fascinate effect. Flat-footed allies no longer count as flat-footed even if they have not acted yet. The duration of effects that cause any allies to be confused, frightened, paralyzed, slowed, or stunned is decreased by 1d4 rounds (roll separately for each target). If the duration of any such effect is reduced to 0 rounds or fewer, the effect ends for that ally. Finally, any allies lying prone may stand up as an immediate action, provoking attacks of opportunity as normal.</t>
  </si>
  <si>
    <t>Steady Saddle</t>
  </si>
  <si>
    <t>antipaladin 1, druid 1, paladin 1, ranger 1</t>
  </si>
  <si>
    <t>saddle touched</t>
  </si>
  <si>
    <t>A saddle affected by this spell becomes more comfortable to sit in, and the magic stabilizes any shaking motion caused by riding at a high speed. For the duration of the spell, the penalty to use ranged weapons while mounted in the target saddle decreases by 2. This stacks with the benefit of the Mounted Archery feat and similar effects. Furthermore, the DC for any concentration check required as a result of the mount's movement decreases by 2.</t>
  </si>
  <si>
    <t>Wicker Horse</t>
  </si>
  <si>
    <t>occultist 2, shaman 2, summoner/unchained summoner 2, witch 2</t>
  </si>
  <si>
    <t>V, S, M/DF (a reed or twig)</t>
  </si>
  <si>
    <t>a horselike wicker construct</t>
  </si>
  <si>
    <t>Reeds, grasses, creepers, or thin tree branches (your choice) that you touch animate, twisting and bending to form a wicker horse complete with a riding saddle. The object is animated, but retains a wickerlike appearance.  A wicker horse has the statistics of a light horse or a pony, except it gains construct traits and counts as both an animal and a construct for the purposes of spells and effects. It gains a number of extra hit points equal to your caster level. It has no skills or feats except as noted below.  A horse made of reeds gains a number of Swim ranks equal to your caster level. A horse made of grasses gains the Run feat and a number of Acrobatics ranks equal to your caster level. A horse made of creepers gains a number of ranks in Climb and Stealth equal to your caster level. A horse made of tree branches is continually affected by barkskin, as cast by a magic-user with a caster level equal to yours.  The wicker horse does not follow any commands given with the Handle Animal skill, and only you can ride it. You can cast this spell only in an environment where suitable plant material is available. When the spell ends or the horse loses all its hit points, the horse falls apart.</t>
  </si>
  <si>
    <t>Book Ward</t>
  </si>
  <si>
    <t>V, S, M/DF (a drop of clear oil)</t>
  </si>
  <si>
    <t>one touched object of up to 10 pounds/level</t>
  </si>
  <si>
    <t>1 day/level or until discharged (see text)</t>
  </si>
  <si>
    <t>Yes (harmless, object)</t>
  </si>
  <si>
    <t>As protection from energy, except as noted above and that the spell only protects against acid and fire damage. While the energy protection remains, the item is also completely waterproof (this protection extends to other liquids as well, such as alcohol and oil).</t>
  </si>
  <si>
    <t>Seekers of Secrets</t>
  </si>
  <si>
    <t>Questing Stone</t>
  </si>
  <si>
    <t>touch and unlimited</t>
  </si>
  <si>
    <t>one ioun stone touched</t>
  </si>
  <si>
    <t>This spell functions like arcane eye, except that it uses an ioun stone as a visible scrying sensor. The ioun stone moves at the same rate as an arcane eye, and may pass through holes or spaces as small as 2 inches in diameter. It can enter another plane of existence using a gate or similar portal, but the caster loses contact with the sensor should this occur. The enhanced ioun stone has AC 24, 10 hp, hardness 5, fly speed 30 (perfect), and a +16 Stealth bonus. The stone does not provide you with its normal benefits while you are using it as a scrying sensor.</t>
  </si>
  <si>
    <t>Revelation</t>
  </si>
  <si>
    <t>bard 2, cleric/oracle 3, sorcerer/wizard 3</t>
  </si>
  <si>
    <t>You gain a brief understanding of the workings of a single puzzle, device, or trap, gaining an insight bonus equal to your caster level (maximum +10) on checks to disable, manipulate or solve the object in question. Your insight is ineffable; you are unable to communicate your understanding to others.  At the GM's option, this spell may instead give you a clue or other piece of useful information. In this case you may communicate the clue to others and retain knowledge of it after the spell's duration has expired.</t>
  </si>
  <si>
    <t>Scrivener's Chant</t>
  </si>
  <si>
    <t>bard 0, cleric/oracle 0, sorcerer/wizard 0</t>
  </si>
  <si>
    <t>V, S, M (fine sand and a vial of ink)</t>
  </si>
  <si>
    <t>one or more written objects</t>
  </si>
  <si>
    <t>This spell imbues a quill with animate energy and rapidly transcribes words from one page to another. The quill copies a written work at the rate of one normal-sized page per minute.  The Linguistics skill can be used to make a convincing copy, but otherwise the reproduction is written in the hand of the caster.  You must concentrate upon the material being duplicated for the spell's duration and provide new blank pages as required.  The scrivener's chant requires blank paper and a quill or other writing materials, in addition to the material components.  This spell cannot duplicate magical writing (including spells and magical scrolls), though it can duplicate non-magical writing from a magical source.</t>
  </si>
  <si>
    <t>Cursed Treasure</t>
  </si>
  <si>
    <t>V, S, M (a platinum piece)</t>
  </si>
  <si>
    <t>unattended object touched</t>
  </si>
  <si>
    <t>permanent until discharged, then permanent (see text)</t>
  </si>
  <si>
    <t>Fortitude negates (object), then Will negates (see text)</t>
  </si>
  <si>
    <t>yes (object), then yes (see text)</t>
  </si>
  <si>
    <t>You touch a piece of treasure or container filled with treasure and place a terrible curse upon it, choosing from any option available with bestow curse. The next creature to take the treasure or remove items from the container is affected by the curse, unless it succeeds at a Will save (spell resistance applies). If you are the next creature to take the treasure or get objects from the container, though, the spell discharges harmlessly instead.</t>
  </si>
  <si>
    <t>Rotgut</t>
  </si>
  <si>
    <t>antipaladin 2, bard 2, cleric/oracle 2, inquisitor 2, occultist 2</t>
  </si>
  <si>
    <t>V, S, M (a pinch of hops)</t>
  </si>
  <si>
    <t>1 gallon of water/level</t>
  </si>
  <si>
    <t>You transform the target into a cheap alcohol of your choice, such as beer, grog, mead, rum, or wine. The alcohol doesn't taste good, but it's drinkable and just as effective as normal alcohol in making creatures inebriated (Pathfinder RPG GameMastery Guide 237). This spell doesn't work on holy water, potions, magical liquids, or water that is part of a creature.</t>
  </si>
  <si>
    <t>Walk The Plank</t>
  </si>
  <si>
    <t>V, S, M (a shark tooth and a splinter of a ship's hull)</t>
  </si>
  <si>
    <t>20-ft.-by-20-ft. hole, 10 ft. deep/4 levels</t>
  </si>
  <si>
    <t>1 round plus 1 round/level</t>
  </si>
  <si>
    <t>This spell functions as per create pitAPG, except as noted here. All but the top 10 feet of the hole is filled with saltwater, reducing the fall damage for anyone falling into the pit to 1d3 points of nonlethal damage and allowing Huge or larger creatures at the water's surface to simply pull themselves out of the pit as part of a normal move action, without a Climb check. Additionally, the pit contains a single advanced shark (Pathfinder RPG Bestiary 294, 247) for every 4 caster levels you have (maximum four advanced sharks). If desired, when you cast the spell, you can substitute two of the summoned sharks for one great white shark (Pathfinder RPG Bestiary 4 241). These sharks immediately attack any creature that falls into the pit, even you. If multiple creatures fall in the pit, the sharks attack randomly. When the spell ends, creatures inside the hole rise up with the bottom of the pit, as normal for create pit, but the conjured water and sharks vanish.</t>
  </si>
  <si>
    <t>Hobble</t>
  </si>
  <si>
    <t>bard 1, bloodrager 1, inquisitor 1, magus 1, mesmerist 1, ranger 1, sorcerer/wizard 1</t>
  </si>
  <si>
    <t>V, S, M (a drop of glue)</t>
  </si>
  <si>
    <t>one creature/level, no two of which can be more than 20 feet apart</t>
  </si>
  <si>
    <t>This spell disrupts the method a target uses for movement. Creatures under the effects of this spell move at half their base speed (rounded down to the nearest 5-foot increment) but can still take 5-foot steps as normal. Incorporeal creatures and creatures flying with perfect maneuverability are immune to the effects of this spell. Each round, a target receives another save to end the effect.</t>
  </si>
  <si>
    <t>Hoodwink</t>
  </si>
  <si>
    <t>bard 2, medium 2, mesmerist 2, occultist 2, sorcerer/wizard 2, psychic 2</t>
  </si>
  <si>
    <t>V, S, M (small piece of black cloth)</t>
  </si>
  <si>
    <t>close (25 ft. +5 ft./level)</t>
  </si>
  <si>
    <t>You befuddle the targets' senses, preventing the targets from clearly perceiving their surroundings.  Instead, hoodwinked creatures see only the roughest shapes and details and hear only muffled noises. However, targets can clearly hear verbal communication from the spell's caster. This spell does not impart understanding of the caster's language if the creature can't already understand it. Other than to hear the caster speak, targets automatically fail Perception checks with DCs greater than 5, and they are too disoriented by the spell to accurately remember the path they took while under its effects.  While under the effects of this spell, targets without the help of a guide move at half speed, and any attacks they make are treated as though the creature they are attacking had concealment. Moving faster than half speed requires targets to succeed at a DC 10 Acrobatics check. Those that fail this check fall prone. If the target is attacked or physically harmed by any creature other than another target of hoodwink, the spell's effect ends immediately for that target only.</t>
  </si>
  <si>
    <t>Geomessage</t>
  </si>
  <si>
    <t>bard 3, medium 3, occultist 3, ranger 3, sorcerer/wizard 4</t>
  </si>
  <si>
    <t>V, S, M (a scrap of vellum)</t>
  </si>
  <si>
    <t>surface touched</t>
  </si>
  <si>
    <t>You create a written message of 50 words or fewer, or else an image, a drawing, or a similar diagram. The figment hangs invisible and obscured upon the target surface for the duration of the spell. Another casting of geomessage is needed to cause the figment to arrange itself into the intended message.  When you cast the spell, you can choose to incorporate a passphrase into the spell. If you do so, the message is protected as if nondetection had been cast on it for the full duration of the spell, though creatures that cast geomessage on the surface and speak the passphrase ignore the nondetection effect and cause the image to become visible until the caster speaks the passphrase again.  Without a passphrase, the message simply remains invisible to those who cast geomessage. Detection methods like detect magic and see invisibility indicate the message's presence but do not reveal its contents.</t>
  </si>
  <si>
    <t>Protection From Spores</t>
  </si>
  <si>
    <t>alchemist 2, cleric/oracle 2, druid 2, ranger 1, shaman 2, witch 2</t>
  </si>
  <si>
    <t>With a touch, you bolster a creature's body to protect it from the harmful effects of spores and similar afflictions. While under the effect of this spell, a creature is immune to the effects of brown mold, green slime, russet mold, yellow mold, and any similar hazard, provided the hazard is CR 6 or lower. Similarly, the creature is immune to poison, disease, and infestation attacks from all fungal creatures of CR 6 or lower, including  effects such as basidirond spores, violet fungus rot, and the like. The target is immune to fungus-based toxins, such as striped toadstool. Against similar hazards or monsters of CR 7 or higher, the target gains a bonus on all saving throws against the effect equal to half your caster level. Protection from spores offers no protection against fungal infestations created by the seeded, by the spell what grows within, or by Xhamen-Dor.</t>
  </si>
  <si>
    <t>AP 113</t>
  </si>
  <si>
    <t>What Grows Within</t>
  </si>
  <si>
    <t>bard 6, cleric/oracle 6, druid 6, mesmerist 6, psychic 6, sorcerer/wizard 6, witch 6</t>
  </si>
  <si>
    <t>By speaking the name "Xhamen-Dor," you infuse yourself with the essence of the Inmost Blot and gain a +3 profane bonus on Will saving throws for the spell's duration. When you prepare what grows within for the first time, or the first time you use it via a spell-completion or spell-trigger item, you can thereafter be targeted by Xhamen-Dor's infected dreams ability (see page 86). As long as you are under the effects of what grows within, your mind-affecting spells carry this supernatural taint within them and can infect those who succumb to those effects. Whenever you successfully affect a creature with one of your mind-affecting spells (this requires the target to fail its saving throw against the spell if the spell allows a save, but automatically affects a target if the spell does not allow a saving throw), that target must also succeed at a Fortitude saving throw against what grows within or it immediately becomes afflicted by a lesser version of Xhamen-Dor's seeded infestation. This infestation does not expose the victim to Xhamen-Dor's infectious dreams, but it can ultimately  result in that creature's transformation into one of the seeded. Each time you affect a creature with what grows within in this manner, the remaining duration of what grows within is reduced by 1 round. If you affect multiple creatures in a round, you choose the order in which they must save against the effects of what grows within, and reduce the spell's remaining duration by 1 round each time one of them is affected by the infestation.  Lesser Seeded Infestation-save Fortitude DC = spell's save DC; onset immediate; frequency 1/day; effect 1d4 Constitution drain; cure none. This infestation can be cured by magic alone. A creature whose Constitution is reduced to 0 by this infestation dies and rises from death in 1d4 rounds as a seeded creature (see page 90). This is an infestation effect.</t>
  </si>
  <si>
    <t>Litany Of Truth</t>
  </si>
  <si>
    <t>inquisitor 6, paladin 4</t>
  </si>
  <si>
    <t>With a tirade against deceit, you strip the target of any illusions cloaking it. Any illusion spells or effects affecting the target are suppressed for the spell's duration. In addition, the target can't benefit from concealment.  While subject to this spell, the target cannot be the target of another spell that has the word "litany" in the title.</t>
  </si>
  <si>
    <t>Qadira Jewel Of The East</t>
  </si>
  <si>
    <t>Balance Of Suffering</t>
  </si>
  <si>
    <t>cleric/oracle 6, inquisitor 6, occultist 6, shaman 6, spiritualist 6, witch 6</t>
  </si>
  <si>
    <t>one living creature and another single living or undead creature</t>
  </si>
  <si>
    <t>You borrow life force from a living creature and infuse it into another living creature, potentially wreaking destruction on the former and bolstering the life of the latter.  Choose an initial target, which must be alive, and a secondary target, which must be alive or undead. The initial target is dealt a number of points of damage equal to 9d6 + 1 point per caster level. A successful Will saving throw halves the damage dealt. The target might die from damage even if it succeeds on its saving throw.  If the secondary target is a living creature, it regains a number of hit points equal to the amount of damage taken by the initial target. If the secondary target is undead, it instead takes an amount of damage equal to that dealt to the initial target. The secondary target can halve the healing imparted or harm inflicted to it with a successful Will saving throw (although a secondary target receiving healing can forgo this saving throw as normal).  This spell is subject to the spell resistance of the initial target; if the secondary target is unwilling, this spell is also subject to the secondary target's spell resistance. If the spell does not penetrate the initial target's spell resistance, it fizzles with no effect. If it does not penetrate the secondary target's spell resistance, the initial target is still harmed as described, but the secondary target is not healed or harmed.</t>
  </si>
  <si>
    <t>Healer's Handbook</t>
  </si>
  <si>
    <t>Curative Distillation</t>
  </si>
  <si>
    <t>alchemist 2, cleric/oracle 3</t>
  </si>
  <si>
    <t>V, S, M (healing herb, alchemical remedy, or potion of a healing spell worth at least 50 gp)</t>
  </si>
  <si>
    <t>You concentrate the healing potential of the material component so that it's exceptionally potent and restorative. This spell restores a number of hit points equal to 1d8 + 1 point per caster level (maximum +10) to the target, and also grants the target the benefits of the material component. Roll the hit points restored separately when determining how many total hit points this spell and the material component restore.</t>
  </si>
  <si>
    <t>Healing Flames</t>
  </si>
  <si>
    <t>You unleash a blast of holy flames that washes over all creatures in the area in a glorious display of divine power. This deals damage to evil creatures and heals good creatures in the area. The amount of damage dealt and the number of hit points restored in each case is 1d8 points per 2 caster levels (maximum 5d8).  Half of the damage this spell deals to evil creatures is fire damage, and half of the damage is pure divine power that is therefore not subject to reduction by energy resistance to fire-based attacks.  Neutral enemies within the spell's area of effect also take the fire damage, but do not take the divine damage. Neutral allies within the area are healed by half as much as good creatures. A successful Reflex saving throw halves the damage taken in all cases.</t>
  </si>
  <si>
    <t>Healing Token</t>
  </si>
  <si>
    <t>cleric/oracle 2, druid 2, inquisitor 2, paladin 2, ranger 2, shaman 2</t>
  </si>
  <si>
    <t>one touched holy symbol per 3 caster levels</t>
  </si>
  <si>
    <t>You imbue one touched holy symbol per 3 caster levels with a connection to your own divine power, turning the touched holy symbols into tokens of healing. Each of the targeted holy symbols can represent any deity regardless of the deity's actual alignment.  As long as you wear or carry your divine focus, any creature carrying a token of healing can make a plea for healing in a language you understand as a standard action. When they do this, you are silently alerted to the plea for healing and can magically heal the target as an immediate action anytime before the end of your next turn.  The magical healing you use to do this can be either a supernatural ability that heals damage (if you have uses available) or a spell or spell-like ability that belongs to the healing subschool (if you can cast any). In either case, to use the ability or cast the spell through this spell, you must be able to include or target that creature, and the ability's activation time or spell's casting time must be no longer than one standard action.  If the ability or healing spell you use through a token would affect multiple creatures, such as mass cure light wounds, the ability or spell affects the creature that pleaded for healing as well as any other creatures within the healing spell's normal range that are also holding a holy symbol imbued with this spell.  So, for example, when you use mass cure light wounds through a holy symbol that has been turned into a token of healing, that spell would heal the creature holding the token that pleaded for healing as well as one creature per level that is also holding a token (no two of which can be more than 30 feet apart). However, the mass cure light wounds spell would heal only creatures within range that are holding tokens.</t>
  </si>
  <si>
    <t>Inspiring Recovery</t>
  </si>
  <si>
    <t>cleric/oracle 6, inquisitor 6, paladin 4, ranger 4</t>
  </si>
  <si>
    <t>one target creature and all its allies within 60 feet; see text</t>
  </si>
  <si>
    <t>You can heal a creature, harm an undead creature, or call upon a very recently dead creature to fight beyond death's reach. The target creature regains 1d8 hit points per 2 caster levels (maximum 10d8).  This healing can even bring back to life creatures that have been dead within the previous 1 round (but they cannot have been dead for any longer). If you apply this spell's healing to such a creature and its hit point total is at a negative amount less than its Constitution score, it comes back to life and stabilizes at its new hit point total. If you awaken a dead creature in this way, all allies of that creature within 60 feet who can see it regain consciousness gain a +2 morale bonus on attack rolls, damage rolls, and saving throws for 1 minute thereafter, as the healing powers of your deity have imbued them with renewed vigor.  Creatures killed by death effects cannot be revived this way. This spell deals damage to undead creatures rather than curing them, and it cannot bring them back to life.</t>
  </si>
  <si>
    <t>Purify Body</t>
  </si>
  <si>
    <t>alchemist 4, cleric/oracle 4, medium 4, paladin 4, psychic 5</t>
  </si>
  <si>
    <t>instantaneous and 1 hour or until discharged</t>
  </si>
  <si>
    <t>You align the target's chakras and soothe any unwanted imperfections found within its physical form, leaving its body pristine and without any pain or weakness.  You restore a number of hit points to the creature equal to 3d8 + 1 per caster level (maximum +20). If the healing would cause the target to exceed its maximum hit points, the target immediately gains half the excess healing from this spell as temporary hit points that last for 1 hour. These temporary hit points are lost first when the target takes damage (although some temporary hit points are lost even before these temporary hit points, such as the temporary hit points from the shell of succor oracle mystery, described on page 21, or the shell of succor hex granted by the restoration spirit specialization and described on page 27).  This spell also ends any painUM effects, removes all physical ability score damage (from Strength, Dexterity, and Constitution), and removes the following conditions: blinded, dazzled, deafened, nauseated, paralyzed, and sickened.</t>
  </si>
  <si>
    <t>Befuddled Combatant</t>
  </si>
  <si>
    <t>bard 5, mesmerist 5, psychic 5, shaman 5, sorcerer/wizard 5, witch 5</t>
  </si>
  <si>
    <t>V, S, M (cooked noodles)</t>
  </si>
  <si>
    <t>As a way to befuddle your target, you fill its mind with all manner of swirling images as well as baffling and incoherent thoughts, making the target an ineffective combatant and rendering its spellcasting and other such abilities much more feeble.  For the spell's duration, the DCs of all of the target's spells, spell-like abilities, supernatural abilities, and extraordinary abilities are reduced by 4. Any of its attacks that would deal hit point damage, including its melee and ranged physical attacks, deal minimum damage for the duration of this spell.  This curse applies only to effects created by the creature while this spell is actively affecting the target; applying or removing this curse doesn't alter the ongoing damage of effects previously created by the target (such as an incendiary cloud spell that was cast before the target became affected by this spell).</t>
  </si>
  <si>
    <t>Enchantment Sight</t>
  </si>
  <si>
    <t>alchemist 2, bard 2, cleric/oracle 2, inquisitor 2, medium 2, mesmerist 2, occultist 2, paladin 2, psychic 2, sorcerer/wizard 2, spiritualist 2, witch 2</t>
  </si>
  <si>
    <t>Your irises take on a purplish tinge and you can see whether creatures within 60 feet of you are affected by an enchantment effect. To your eyes only, a creature under the effects of an enchantment spell glows with a simple white light around its head. You can immediately discern whether the brightness of the light is faint, moderate, strong, or overwhelming depending on the highest spell level of enchantment currently in effect (as per detect magic). Enchantments of the charm or compulsion subschool glow with a scarlet or emerald hue, respectively.  If a creature under an enchantment effect is in your line of sight, you can attempt a Spellcraft check as a move action to determine the highest-level spell or spell effect (DC = 15 + the spell level, or 15 + 1/2 the caster level for a non-spell effect). Effects that block divination magic also block this spell.  Enchantment sight can be made permanent with a permanency spell cast by a caster of 9th level or higher, at a cost of 2,500 gp.</t>
  </si>
  <si>
    <t>Heroes Of The High Court</t>
  </si>
  <si>
    <t>Reveal Emotions</t>
  </si>
  <si>
    <t>medium 3, mesmerist 4, occultist 4, psychic 4, spiritualist 4</t>
  </si>
  <si>
    <t>You create an area that draws out a creature's emotion aura (Pathfinder RPG Occult Adventures 198). Creatures within this area constantly glow with colors that represent their current overall  emotional state and continue to do so for 1d4 rounds after leaving the area. This glow is clearly visible to any creature that can see the creature. Emotionless creatures or creatures unaffected by this spell glow with a dull purple hue while within the area.</t>
  </si>
  <si>
    <t>Shroud Of Innocuity</t>
  </si>
  <si>
    <t>bard 3, medium 3, mesmerist 3, psychic 3, shaman 3, sorcerer/wizard 3, witch 3</t>
  </si>
  <si>
    <t>one willing creature plus one/2 caster levels, no two of which can be more than 30 ft. apart</t>
  </si>
  <si>
    <t>none (harmless); see text</t>
  </si>
  <si>
    <t>All affected creatures are veiled with a commonplace appearance. This appearance varies based on the viewer, but is always an ordinary member of that viewer's race, ethnicity, or nationality. This familiarity grants a +2 bonus on Diplomacy checks attempted by affected targets against those not affected by the spell.  Creatures with an attitude of unfriendly or hostile toward an affected target can attempt a Will save to disbelieve the effect the first time they encounter that target.</t>
  </si>
  <si>
    <t>Speechreader's Sight</t>
  </si>
  <si>
    <t>alchemist 1, bard 1, cleric/oracle 1, inquisitor 1, medium 1, mesmerist 1, occultist 1, psychic 1, sorcerer/wizard 1, spiritualist 1, witch 1</t>
  </si>
  <si>
    <t>If a creature within 100 feet that you can see is speaking a language you understand, you can read its lips with perfect accuracy. Reading lips in this manner gives the exact wording of conversation and does not assist in deciphering any obfuscated ideas such as secret messages or slang. Reading lips requires moderate concentration, and you take a -4 penalty on other Perception checks while doing so.  Speechreader's sight can be made permanent with a permanency spell cast by a caster of 9th level or higher, at a cost of 2,500 gp.</t>
  </si>
  <si>
    <t>False Face</t>
  </si>
  <si>
    <t>alchemist 1, bard 1, inquisitor 1, mesmerist 1, sorcerer/wizard 1, witch 1</t>
  </si>
  <si>
    <t>V, S, M (a folded-paper mask)</t>
  </si>
  <si>
    <t>This spell alters details of your appearance so that you are no longer recognizable as yourself. Your new appearance is within the norms for your race, ethnicity, and gender. You lack control over the details of your appearance; however, when casting false face, you can choose an appearance you previously used, allowing you to maintain specific identities.</t>
  </si>
  <si>
    <t>Perceive Betrayal</t>
  </si>
  <si>
    <t>cleric/oracle 6, inquisitor 4, sorcerer/wizard 7, witch 6</t>
  </si>
  <si>
    <t>V, S, M (12 drops of blood), F (a silver circlet worth 500 gp)</t>
  </si>
  <si>
    <t>By donning a silver circlet anointed with blood, you gain the ability to sense traitorous intent toward a single person to whom you defer, designated when you cast the spell. The spell alerts you when a creature with traitorous intent is within 200 feet, although it doesn't identify the source. By concentrating, you can learn the strength of the greatest threat, based on the following categories.  Ill Will: Someone dislikes your liege, but isn't planning to act against her.  Plotting: Someone is actively conspiring against your liege.  Imminent: Someone is in the process of carrying out a plot against your liege.  Creatures that are immune to mind-affecting or thought-detecting effects cannot have their intent detected by perceive betrayal.</t>
  </si>
  <si>
    <t>Pierce Facade</t>
  </si>
  <si>
    <t>alchemist 1, bard 1, cleric/oracle 1, inquisitor 1, psychic 1, sorcerer/wizard 1, witch 1</t>
  </si>
  <si>
    <t>V, S, M/DF (an eagle's eye)</t>
  </si>
  <si>
    <t>The target gains a +5 insight bonus on Perception checks to see through disguises. This bonus increases to +10 at caster level 7th.</t>
  </si>
  <si>
    <t>Aura Of Distraction</t>
  </si>
  <si>
    <t>psychic 2, sorcerer/wizard 2, witch 2</t>
  </si>
  <si>
    <t>You emit an aura of subsonic noise and mental imagery that makes concentrating difficult. Any creature within the aura that fails its save takes a -5 penalty on concentration checks. A creature must attempt the Will save upon entering the area of the aura, and the penalty ends as soon as the creature leaves the aura. A creature that succeeds at its save is immune to the effects of the aura for this casting of the spell, even if it leaves and reenters the aura, but must attempt another Will save each additional time this spell is cast. You are immune to your own aura of distraction.</t>
  </si>
  <si>
    <t>Psychic Anthology</t>
  </si>
  <si>
    <t>Burst Of Force</t>
  </si>
  <si>
    <t>psychic 5, sorcerer/wizard 5</t>
  </si>
  <si>
    <t>With a burst of telekinetic force, you deal 1d6 points of force damage per caster level (maximum 15d6 points of damage) to all other creatures in the affected area. A successful Fortitude save reduces the damage taken by half. A creature that fails its Fortitude save must also succeed at a Reflex save or be knocked prone.</t>
  </si>
  <si>
    <t>Debilitating Pain</t>
  </si>
  <si>
    <t>psychic 3, witch 3</t>
  </si>
  <si>
    <t>1 round/3 levels</t>
  </si>
  <si>
    <t>The target is overcome with intense pain, causing it to be stunned on a failed save or dazed for 1 round on a successful save.</t>
  </si>
  <si>
    <t>Debilitating Pain, Mass</t>
  </si>
  <si>
    <t>psychic 5, witch 5</t>
  </si>
  <si>
    <t>This spell functions as per debilitating pain, except you can target one creature for every 4 caster levels you have.</t>
  </si>
  <si>
    <t>Glimpse Of The Akashic</t>
  </si>
  <si>
    <t>1 day or until discharged (see text)</t>
  </si>
  <si>
    <t>You expand your consciousness in an attempt to tap into the perfect knowledge contained within the Akashic Record. Such a connection is incredibly difficult to create and maintain, and it can be almost impossible to know at the time of the casting what knowledge will be gained. The information contained within the Akashic Record can be overwhelming when accessed in this fashion, so your mind partitions it away until needed. For the next day, you can activate the knowledge gained from the Akashic Record as a free action; when you do so, you gain a circumstance bonus equal to your caster level on all skill checks, ability checks, attack rolls, damage rolls, saving throws, and combat maneuver checks for 1 minute. At the end of this time, the overwhelming nature of the Akashic Record assaults your psyche, causing you to be stunned for 2 rounds and then sickened for 1 minute.</t>
  </si>
  <si>
    <t>Reflexive Barrier</t>
  </si>
  <si>
    <t>magus 3, psychic 3</t>
  </si>
  <si>
    <t>In the blink of an eye, you erect a deflective barrier of force to protect one target. The target gains a deflection bonus to its AC equal to half your caster level. This bonus lasts until the beginning of your next turn. You can cast this spell as a reaction to an attack, but you must do so before the result of the attack is revealed.</t>
  </si>
  <si>
    <t>Rend Body I</t>
  </si>
  <si>
    <t>You lacerate the body of the target creature with telekinetic force, rending it limb from limb. The target creature takes 1d6 points of damage per caster level you have (maximum 10d6 points of damage). If this spell deals an amount of damage to the target equal to more than half its maximum hit point total, one of the target's limbs (determined randomly) is gruesomely ripped from the target's body and flies 15 feet away from the creature in a random direction. The target then takes 1 point of bleed damage per 2 caster levels you have. The bleeding can be stopped by a successful DC 15 Heal check or the application of any effect that heals hit point damage, but the limb can be restored only by powerful healing effects such as heal or regeneration. If the damage reduces the target's hit points to below 0, all of its limbs are affected in this fashion.  Creatures without discernible anatomy or limbs are unaffected by rend body.</t>
  </si>
  <si>
    <t>Rend Body II</t>
  </si>
  <si>
    <t>This spell functions as per rend body I, but the target takes 1d8 points of damage per caster level you have (maximum 10d8). This spell can be undercast.</t>
  </si>
  <si>
    <t>Rend Body III</t>
  </si>
  <si>
    <t>This spell functions as per rend body I, but the target takes 1d8 points of damage per caster level you have (maximum 15d8), and if a limb is ripped from its body, the target is sickened for as long as the bleed damage persists. This spell can be undercast.</t>
  </si>
  <si>
    <t>Rend Body IV</t>
  </si>
  <si>
    <t>This functions as per rend body III, but the target takes 1d8 points of damage per caster level (maximum 20d8), and one of the target's limbs is ripped off if the amount of damage dealt is greater than 1/4 of its maximum hit point total. This spell can be undercast.</t>
  </si>
  <si>
    <t>Sensory Overload</t>
  </si>
  <si>
    <t>1 round /level</t>
  </si>
  <si>
    <t>You overload the target creature's senses, making it difficult for the target to concentrate. For the duration of the effect, the target must succeed at a Will save at the same DC as the original effect to perform any standard or full-round action. On a failure,  the creature loses the action that triggered the saving throw. If successful, the creature is able to take the action, but this spell effect is not negated.</t>
  </si>
  <si>
    <t>Telekinetic Strikes</t>
  </si>
  <si>
    <t>magus 2, psychic 2, sorcerer/wizard 2</t>
  </si>
  <si>
    <t>The touched creature's limbs are charged with telekinetic force. For the duration of the spell, the target's unarmed attacks or natural weapons deal an additional 1d4 points of force damage on each successful unarmed melee attack.</t>
  </si>
  <si>
    <t>Thought Worm I</t>
  </si>
  <si>
    <t>You implant a minor suggestion within the target creature's psyche that makes it less inclined to resist mental intrusion. The target creature takes a -2 penalty on Will saves against all mind-affecting spells and effects for the duration of the spell.</t>
  </si>
  <si>
    <t>Thought Worm II</t>
  </si>
  <si>
    <t>This spell functions as per thought worm I, but the penalty on Will saves is -4. This spell can be undercast.</t>
  </si>
  <si>
    <t>Thought Worm III</t>
  </si>
  <si>
    <t>This functions as per thought worm II, except a target that succeeds at its Will save still takes a -2 penalty on Will saves against your mind-affecting spells and effects for the same duration. This spell can be undercast.</t>
  </si>
  <si>
    <t>Thought Worm IV</t>
  </si>
  <si>
    <t>This functions as per thought worm III, except that the penalty on Will saves is -6 and a target that succeeds at its Will save still takes a -3 penalty on Will saves against your mind-affecting spells and effects for the same duration. This spell can be undercast.</t>
  </si>
  <si>
    <t>Ja Noi Aspect</t>
  </si>
  <si>
    <t>alchemist 3, bloodrager 3, druid 3, magus 3, ranger 3, sorcerer/wizard 3</t>
  </si>
  <si>
    <t>You gain some of the appearance and qualities of the ja noi, oni who take hobgoblin form. Your skin turns a fiery red color and you gain fast healing 3, although this ability cannot repair damage caused by acid or fire. You can dismiss this spell as an immediate action when you fail a Will saving throw; if you do, you can reroll your saving throw, but you must take the second result.</t>
  </si>
  <si>
    <t>AP 115</t>
  </si>
  <si>
    <t>Opportunistic Loyalty</t>
  </si>
  <si>
    <t>antipaladin 1, cleric/oracle 1, inquisitor 1, mesmerist 1, psychic 1, witch 1</t>
  </si>
  <si>
    <t>Cast this spell when a creature within range casts a spell that provides an effect for its allies (such as bless or prayer). You are considered an ally of the caster for the purposes of that spell. Although you are momentarily considered an ally, the caster need not target you if the spell requires that the caster select one or more allies to be affected by the spell (as does haste). This spell does not allow a target spell to affect more creatures than described in its target entry. If this spell would raise the total number of affected targets above that allowed by the target spell, opportunistic loyalty has no effect.</t>
  </si>
  <si>
    <t>Spectral Scout</t>
  </si>
  <si>
    <t>bard 3, druid 3, ranger 3, shaman 3, sorcerer/wizard 3</t>
  </si>
  <si>
    <t>one incorporeal animal of size Tiny or smaller</t>
  </si>
  <si>
    <t>You summon a spectral creature in the shape of the Tiny or smaller animal of your choice, which always appears in your square. The creature emits a faint glow of a color you choose at the time of the spell's casting, providing the illumination of a candle. It has the same statistics as the creature after which it is modeled (including ability scores, Armor Class, feats, senses, skills, and speed), but is incorporeal and has only 1 hit point. A spectral scout cannot attack, but can otherwise follow any basic instructions that could be given to a pet or animal companion of similar intelligence but without the need to make Handle Animal skill checks.  A spectral scout can communicate verbally with the caster but can't be understood by others. A spectral scout can relay information it has directly witnessed with perfect clarity, including sights, sounds, and smells, but it cannot further interpret that information. For example, a spectral scout can report on how many individuals it sees, the direction they are going, and what equipment they carry; it can't tell the caster whether the people were friend or foe, or their objective.</t>
  </si>
  <si>
    <t>AP 116</t>
  </si>
  <si>
    <t>Sylvan Hideaway</t>
  </si>
  <si>
    <t>V, S, M (one pound of unworked stone or wood)</t>
  </si>
  <si>
    <t>one 5-foot square of touched earth</t>
  </si>
  <si>
    <t>When this spell is cast on a natural, unworked surface, it creates an extradimensional underground space large enough to comfortably hold two creatures of any size per caster level (maximum 12). The room is sealed by a 5-foot-square camouflaged trap door that can be locked from within. (This trap door has hardness 10 and 20 hit points per caster level; the Perception DC to see the hidden trap door equals the spell's save DC.) The door and room are made of the same material of the material component used to cast the spell. You can choose the shape and configuration of the room when you create it; however, any furnishings (tables, beds, etc.) in the room are made of the same material as the room and cannot be moved once created. When the spell ends, anything inside the space is ejected to the surface in the nearest available square.</t>
  </si>
  <si>
    <t>Guarding Knowledge</t>
  </si>
  <si>
    <t>alchemist 3, bard 3, cleric/oracle 3, inquisitor 2, occultist 3, psychic 3, sorcerer/wizard 3</t>
  </si>
  <si>
    <t>V, S, M/DF (see text)</t>
  </si>
  <si>
    <t>Upon casting this spell, choose a specific variety of monster (red dragon rather than dragon) and one of its special attacks that you have successfully identified with a Knowledge check or otherwise researched, such as a cockatrice's petrification ability or a spider swarm's poison. You gain a +4 insight bonus on saving throws against the selected special attack. The bonus does not apply to saves against other monsters' abilities of the same name, spell-like abilities, or special attacks derived from class levels or equipment. If you use a trophy from a monster of the exact same variety as an optional material component, the bonus increases to +6.</t>
  </si>
  <si>
    <t>Monster Hunter's Handbook</t>
  </si>
  <si>
    <t>Huntmaster's Spear</t>
  </si>
  <si>
    <t>antipaladin 1, bloodrager 2, druid 2, inquisitor 2, magus 2, occultist 2, paladin 1, ranger 1, shaman 2</t>
  </si>
  <si>
    <t>nonmagical spear touched</t>
  </si>
  <si>
    <t>Choose one creature type (and subtype, if applicable) from the ranger's favored enemy list. When you cast this spell, the targeted spear hums with destructive energy and functions as a +1 spear against creatures of the selected type.  You can discharge this spell in order to make an especially powerful attack with the spear. The spear's critical range becomes 18-20 and its critical multiplier becomes x3. If you make this attack as part of a charge action, you gain an enhancement bonus of +30 feet to your base speed while performing the charge. If you throw the spear as part of this attack, its range increment increases to 80 feet. If you cast this spell on a masterwork spear, it also gains the bane special ability against the selected creature type and automatically bypasses any damage reduction (except DR/-) regardless of the creature's type. After resolving the attack, the spear is completely destroyed in a burst of energy.  Any creature other than you treats the spear as a normal weapon of its type. You can have only one huntmaster's spear in effect at a time. If you cast the spell again, any previous instance of the spell immediately ends. If you expend a monster trophy of the type selected as an optional material component for this spell, you reduce the casting time to 1 round.</t>
  </si>
  <si>
    <t>Protection From Natural Attacks</t>
  </si>
  <si>
    <t>alchemist 3, druid 4, psychic 4, ranger 2, shaman 4, spiritualist 3, summoner/unchained summoner 3</t>
  </si>
  <si>
    <t>V, S, M/DF (a scale from a lizard)</t>
  </si>
  <si>
    <t>Upon casting this spell, select one type of natural attack from the following: bite, claw, gore, hoof, pincers, slam, sting, swarm, tail slap, talon, tentacle, or wing. For the duration of the spell, the target gains DR 5/- against all attacks from natural weapons of the selected type.</t>
  </si>
  <si>
    <t>Repugnant Taste</t>
  </si>
  <si>
    <t>alchemist 3, bard 3, druid 4, mesmerist 3, ranger 3, shaman 4, witch 4</t>
  </si>
  <si>
    <t>V, S, M/DF (mustard seed)</t>
  </si>
  <si>
    <t>The target creature begins sweating a foul liquid that makes it repugnant to most living creatures. When a creature deals damage to the affected creature with a bite attack or the swallow whole ability, it must succeed at a Fortitude saving throw or become nauseated until the end of its next turn. After a creature has become nauseated by this spell, each subsequent failed saving throw against the spell instead gives it the sickened condition until the end of its next turn.</t>
  </si>
  <si>
    <t>Barghest Feast</t>
  </si>
  <si>
    <t>The target gains the ability to absorb power from devouring a humanoid corpse. To use this ability, the target must feed on the corpse of one nonevil humanoid creature, a process that takes 1 full round per Hit Die the creature had and provokes attacks of opportunity. For every 2 rounds it feeds on the corpse in this way, the target gains a +1 profane bonus on attack rolls, saving throws, and skill checks (to a maximum of +5).</t>
  </si>
  <si>
    <t>AP 117</t>
  </si>
  <si>
    <t>Hobbling Bomb Admixture</t>
  </si>
  <si>
    <t>Upon drinking an extract created with this formula, you make a significant change to your magical reserve that modifies the nature of all bombs you create and throw during this extract's duration. This effect on your magical reserve has no effect on any discoveries that you use to modify your bombs, but you can have only one admixture effect (formula with the words "bomb admixture" in its title) active at  a time. If you drink another bomb admixture, the effects of the former bomb admixture end and the new one becomes active.  When you throw a bomb and hit a target directly, it affects up to three targets-the creature the bomb hit directly, and up to two other creatures that take damage from the splash damage (alchemist's choice). Each targeted creature must succeed at a Fortitude saving throw or have its speed reduced by 20 feet (minimum 0 feet).</t>
  </si>
  <si>
    <t>Grasp</t>
  </si>
  <si>
    <t>bard 0, cleric/oracle 0, druid 0, magus 0, psychic 0, skald 0, sorcerer/wizard 0, witch 0</t>
  </si>
  <si>
    <t>You can cast this spell as an immediate action when you fail a Climb check and would fall. You can immediately attempt another Climb check as a free action at a -2 penalty. Each successive use of this spell in a particular situation increases the penalty by 2. If successful, you don't fall, but you don't progress at climbing.</t>
  </si>
  <si>
    <t>Heroes Of The Darklands</t>
  </si>
  <si>
    <t>Mage's Crawl Space</t>
  </si>
  <si>
    <t>bard 2, shaman 2, sorcerer/wizard 2, witch 2</t>
  </si>
  <si>
    <t>V, S, M (a piece of clay)</t>
  </si>
  <si>
    <t>5-foot sphere centered on yourself</t>
  </si>
  <si>
    <t>When you cast this spell, you merge with an adjacent natural stone surface, forming a 5-foot pocket within. If the stone surface does not have enough volume to safely contain a 5-foot sphere of empty space, the spell fails. When created, there is sufficient air within the pocket for up to one Medium creature to survive for the spell's duration, including one additional Tiny or smaller creature, such as a familiar. At the end of the spell's duration, you are immediately expelled into the nearest available open space adjacent to the surface you merged with.</t>
  </si>
  <si>
    <t>Rock Whip</t>
  </si>
  <si>
    <t>cleric/oracle 2, druid 2, magus 2, ranger 1, shaman 2, sorcerer/wizard 2, witch 2</t>
  </si>
  <si>
    <t>whip of earth and stone</t>
  </si>
  <si>
    <t>A 15-foot-long lash of crumbling crystal and earth emerges from the palm of your hand. This weapon is treated as a nonmagical whip that deals 1d8 points of bludgeoning damage. You can wield this weapon as a whip as if you were proficient with it, and it isn't subject to the disarm or sunder combat maneuver. The whip passes through natural unworked stone effortlessly, allowing you to ignore cover between you and your target from such sources. Armor and natural armor have no effect on the damage dealt by a rock whip (unlike a normal whip), but the whip deals no damage to outsiders with the earth subtype. Attacks with a rock whip strike with resounding  force; you can make a free bull rush combat maneuver against any creature you strike with a rock whip, using your caster level in place of your base attack bonus and your primary casting ability score modifier (Charisma for sorcerers, Intelligence for wizards, and so on) in place of your Strength modifier.</t>
  </si>
  <si>
    <t>Shadowfade</t>
  </si>
  <si>
    <t>bard 1, inquisitor 1, magus 1, mesmerist 1, sorcerer/wizard 1, summoner/unchained summoner 1</t>
  </si>
  <si>
    <t>V, S, M (a blindfold)</t>
  </si>
  <si>
    <t>In areas of darkness, the target of shadowfade is invisible to creatures using darkvision to see. In areas of dim light, the target gains concealment against creatures using darkvision. This spell has no effect in areas of normal light or brighter, and is automatically dispelled if the target enters an area of bright light or takes a hostile action.</t>
  </si>
  <si>
    <t>Skyshroud</t>
  </si>
  <si>
    <t>bard 3, cleric/oracle 3, skald 3, sorcerer/wizard 3</t>
  </si>
  <si>
    <t>V, S, F (a jar of earth from the surface)</t>
  </si>
  <si>
    <t>long (400 ft. + 40 ft./level); see text</t>
  </si>
  <si>
    <t>hemisphere that cannot extend beyond four 10-ft. cubes + one 10-ft. cube/level (S)</t>
  </si>
  <si>
    <t>The caster designates the area of a hemisphere within the spell's range. If a solid object would block the creation of the hemisphere (such as a ceiling or wall), the spell instead conforms to the geometry of the location up to the maximum area of effect for the spell. The hemisphere displays an image of the sky as it appears directly above where the spell was cast. This effect bypasses natural impediments, such as rock or stone, that would obstruct the targeted location from the sky.  The image of the sky created by this spell counts as the actual sky for purposes of effects that require view of the sky, sun, stars, or other features (including for spell preparation or  deific obediences). It does not enable spells or effects that draw effects from the sky (such as call lightning).  Light created by this effect functions normally and harms creatures vulnerable to bright light or direct sunlight.</t>
  </si>
  <si>
    <t>Concealed Breath</t>
  </si>
  <si>
    <t>alchemist 4, cleric/oracle 4, druid 4, shaman 4, sorcerer/wizard 4, summoner/unchained summoner 4</t>
  </si>
  <si>
    <t>S, M/DF (a palm-sized stone)</t>
  </si>
  <si>
    <t>This spell allows affected creatures to hold their breath freely without negative effects or risk of suffocation. Divide the duration evenly among all creatures touched. A creature that doesn't need to breathe because of this spell is not at risk of drowning and is immune to effects that require breathing, such as inhaled poisons. This does not grant immunity to cloud or gas attacks that don't require breathing. While a creature is holding its breath, it can't speak or cast spells with a verbal component (unless it's using Silent Spell). This spell does not prevent a creature from breathing normally; it just removes the need for the creature to breathe.</t>
  </si>
  <si>
    <t>Morning Sun</t>
  </si>
  <si>
    <t>cleric/oracle 7, druid 7, inquisitor 6, shaman 7</t>
  </si>
  <si>
    <t>V, S, M (500 gp worth of gold dust)</t>
  </si>
  <si>
    <t>Fortitude negates and Reflex half, see text</t>
  </si>
  <si>
    <t>This spell conjures a miniature sphere of sunlight, approximately the size of a human fist, at a desired location within range. The sphere sheds bright light in a 60-foot-radius burst. Creatures that take penalties in bright light do so while within the sphere's area of illumination. Creatures that start their turns within the area of illumination and that are damaged or destroyed by sunlight must succeed at a Fortitude save or become staggered until 1d4+1 rounds after they leave the affected area. Non-creatures, such as hazardous fungi and mold that are destroyed by sunlight, become inert for the duration of the spell.  The sphere cannot be moved from the place it was cast. The sphere deals 10d6 points of fire damage to anything it touches and anything that passes within 5 feet of it. A successful Reflex save reduces this damage by half.</t>
  </si>
  <si>
    <t>Pale Flame</t>
  </si>
  <si>
    <t>V, S, M (caphorite shard)</t>
  </si>
  <si>
    <t>This spell functions as per produce flame, except that the  flames never glow brighter than dim light, including any fires started by this spell. These flames cast light only half the distance of a torch and cannot be seen from more than 100 feet away. The flames deal 2d6 points of fire damage + 1 point per caster level (maximum +5). Against plants, this damage increases to 2d6 points + 2 points per caster level (maximum +10).</t>
  </si>
  <si>
    <t>Radiation Ward</t>
  </si>
  <si>
    <t>alchemist 2, cleric/oracle 2, druid 2, ranger 1, shaman 2, sorcerer/wizard 2</t>
  </si>
  <si>
    <t>A creature warded by this spell gains a +4 bonus on saving throws against radiation-based effects. In addition, the warded creature is immediately aware when it enters an area  of radiation, as well as the radiation level (low, medium, high, or severe) suffusing the area.</t>
  </si>
  <si>
    <t>Animus Mine</t>
  </si>
  <si>
    <t>mesmerist 2, psychic 3</t>
  </si>
  <si>
    <t>You implant a mental mine within your psyche that triggers against anyone attempting to manipulate your thoughts. Any creature that uses a mind-affecting effect against you triggers the mine, causing psychic backlash against the offending creature. This backlash deals 1d6 points of damage per caster level (maximum 10d6) and staggers the target for 1d4 rounds.  If the target succeeds at a Will saving throw, it takes only half damage and negates the staggered effect. The mine does not disrupt the mind-affecting effect that triggered the spell. You can use a swift action to suppress the trigger of your mine for 1 round to allow someone to use a mind-affecting effect on you. You can have only one mental mine active at a time.</t>
  </si>
  <si>
    <t>Animus Mine, Greater</t>
  </si>
  <si>
    <t>This functions as per animus mine, except the triggering creature is stunned for 1d4 rounds instead of staggered. If the target succeeds at a Will saving throw, it takes only half damage and negates the stunned effect. If the target fails this Will saving throw, you automatically succeed at any saving throw against the mind-affecting effect that triggered the mine.</t>
  </si>
  <si>
    <t>Entomb</t>
  </si>
  <si>
    <t>druid 8, shaman 8, sorcerer/wizard 8</t>
  </si>
  <si>
    <t>V, S, M (a pristine geode worth at least 1,000 gp)</t>
  </si>
  <si>
    <t>up to three 10-ft. cubes/level (S)</t>
  </si>
  <si>
    <t>You designate an aboveground area and send it deep within the earth. During the casting of this spell, the chosen area is rocked by minor tremors that alert nearby creatures to the impending danger. Once the spell is complete, the chosen area is drawn into the earth and buried in a self-contained vault, with the uppermost point at a depth of up to 10 feet per caster level below the surface. The surrounding atmosphere and all creatures within the selected area at the end of the spell's casting time are entombed in this vault.  The magic of the vault maintains the natural light, temperature, and air quality of the area as it originally existed aboveground, but any magical effects that affected these qualities do not have their duration extended. For example, a sunny field would remain brightly lit indefinitely, despite being buried underground, while a daylight spell would expire at the end of that spell's duration.  When creating the vault, you can leave a tunnel to the surface world (up to 20 feet wide), or you can completely isolate the vault from the outside world. Casting this spell does not destroy or damage anything that may have existed in the ground where you choose to place this vault, but instead pushes it farther down into the earth. Should your vault be dispelled, the entombed area returns to the surface, and anything that may have been displaced by the vault returns to its original place. If there is something already on the surface that blocks the vault's path, the vault pushes it harmlessly aside when returning.</t>
  </si>
  <si>
    <t>Intensify Psyche</t>
  </si>
  <si>
    <t>bard 1, cleric/oracle 2, medium 2, mesmerist 1, psychic 2, sorcerer/wizard 2, spiritualist 2, witch 2</t>
  </si>
  <si>
    <t>A sense of euphoria suffuses the target, amplifying all sensations, good or bad. The target creature gains a +2 competence bonus on Diplomacy, Handle Animal, Perform, and Sense Motive checks. In addition, the DC for any spells or effects with the emotion or pain descriptors cast or caused by the target increases by 1 while the target is under the effects of the spell. However, increased sensitivity causes the target to take a -2 penalty on saving throws against spells and effects with the emotion or pain descriptor.</t>
  </si>
  <si>
    <t>Surface Excursion</t>
  </si>
  <si>
    <t>magus 5, occultist 4, psychic 5, shaman 5, sorcerer/wizard 5, spiritualist 4, summoner/unchained summoner 4, witch 5</t>
  </si>
  <si>
    <t>V, S, M (a handful of soil that has been in the sun for at least 6 hours)</t>
  </si>
  <si>
    <t>you plus up to one willing creature per 3 levels</t>
  </si>
  <si>
    <t>You instantly transport yourself and touched allies onto the nearest sky-facing surface directly above you. The destination surface may be solid ground or the surface of a body of water (or other liquid), depending on your position. If reaching the surface would require crossing planar boundaries or no sky-facing surface exists directly above your position, the spell fails and has no effect.  When the spell is cast, a magical beacon appears at both your departure and arrival points, suspended 3 feet in the air. These beacons are invisible to everyone but you and those allies touched when the spell was cast. You and every creature originally targeted by the spell can touch the beacon at your arrival point to teleport back to your original departure point. Each creature that chooses to return in this manner is transported to a free space adjacent to the beacon at your original departure point. If the area around the departure beacon is occupied by a solid body (for instance, rubble from a cave-in), then you and each creature traveling with you take 1d6 points of damage and are shunted to a random open space on a solid surface within 100 feet of the beacon. If there is no free space within 100 feet, the spell effect ends with no return transportation.</t>
  </si>
  <si>
    <t>Cold Iron Fetters</t>
  </si>
  <si>
    <t>cleric/oracle 5, inquisitor 4, occultist 5, ranger 3, shaman 5, sorcerer/wizard 5, summoner/unchained summoner 4, witch 5</t>
  </si>
  <si>
    <t>V, S, M/DF (miniature cold iron shackle)</t>
  </si>
  <si>
    <t>Cold iron shackles materialize around the target's limbs, reducing each of the target's movement speeds by half. Any flying target has its maneuverability worsened by two steps (from good to poor, for example, to a minimum of clumsy maneuverability). Additionally, if the target has DR/cold iron or DR/cold iron and magic, it is unable to use supernatural or spell-like means of movement (such as dimension door, teleport, or tree meld) for the duration of the spell.</t>
  </si>
  <si>
    <t>Legacy Of The First World</t>
  </si>
  <si>
    <t>Iron Spine</t>
  </si>
  <si>
    <t>cleric/oracle 4, magus 3, sorcerer/wizard 3, witch 3</t>
  </si>
  <si>
    <t>V, S, M/DF (cold iron ingot)</t>
  </si>
  <si>
    <t>You launch an ingot of iron at the target. If you succeed at a ranged touch attack, the target's skeleton or exoskeleton turns into jagged shards of cold iron. Whenever the target moves, it takes 1d6 points of piercing damage and is sickened for 1 round as metal spines stab into its flesh. This damage is subject to damage reduction, but it overcomes damage reduction as though it were a weapon of cold iron and magic. A creature affected by this spell can choose to remain motionless to avoid taking damage. Creatures with DR/cold iron or DR/cold iron and magic affected by this spell are nauseated instead of sickened. This spell has no effect on a creature that has neither a skeleton nor a hard carapace.</t>
  </si>
  <si>
    <t>Mortal Terror</t>
  </si>
  <si>
    <t>antipaladin 2, bard 2, cleric/oracle 2, inquisitor 2, mesmerist 2, psychic 2, shaman 2, sorcerer/wizard 2, witch 2</t>
  </si>
  <si>
    <t>You imbue the target with an exaggerated sense of its own mortality and a drive for self-preservation. The target is shaken, and the first time each round the target takes damage (including the first round of the spell's duration), it must succeed at another Will save or its fear level increases by one step (from shaken to frightened, and from frightened to panicked). If the target fails a saving throw against this effect while panicked, it is transfixed in terror and is helpless for the remainder of the spell's duration. If the target succeeds at the initial Will save, it is shaken for 1 round but its fear level cannot be further increased by this spell's effects during that round.</t>
  </si>
  <si>
    <t>Alluring Spores</t>
  </si>
  <si>
    <t>V, S, M/DF (a clump of pollen)</t>
  </si>
  <si>
    <t>This spell creates a burst of spores that weaken the mind. Creatures within the area must succeed at a Fortitude save or take a -1 penalty on saving throws against your enchantment spells or effects for the duration of this spell. This penalty increases to -2 for any creature that is (or could be) sexually attracted to you.</t>
  </si>
  <si>
    <t>Strand Of The Tangled Knot</t>
  </si>
  <si>
    <t>cleric/oracle 1, inquisitor 1, shaman 1, witch 1</t>
  </si>
  <si>
    <t>V, S, M/DF (a small knot of twine)</t>
  </si>
  <si>
    <t>You mimic tugging at the Green Mother's legendary Tangled Knot to subtly alter your fate. The next single attack made against you takes a -10 penalty. If that attack is a critical hit, it is instead treated as a normal hit.</t>
  </si>
  <si>
    <t>Thirsting Entanglement</t>
  </si>
  <si>
    <t>druid 4, ranger 4, shaman 4</t>
  </si>
  <si>
    <t>This spell functions as entangle, except the plants latch on to targets and drain away their vitality. Any creature that fails a save to avoid becoming entangled or fails a check to break free takes 1d2 points of Constitution damage.</t>
  </si>
  <si>
    <t>Threefold Face</t>
  </si>
  <si>
    <t>medium 3, sorcerer/wizard 3, witch 3</t>
  </si>
  <si>
    <t>V, S, M/DF (a three-pointed knot)</t>
  </si>
  <si>
    <t>9 minutes</t>
  </si>
  <si>
    <t>You grow two additional faces set equidistantly around your head, each embodying a different aspect of your personality that you choose (such as kindliness, joy, or wrath). You gain all-around vision and can't be flanked. Effects that would blind you, deafen you, block your mouth, or otherwise affect your face, including beneficial effects that grant you exceptional vision, only affect a single face (for example, it would take three castings of blindness/ deafness to blind you). You lose all-around vision if even a single face becomes blind. This spell doesn't grant you additional magic item slots or additional heads. When threefold face ends, you gain all the conditions from all three faces, for good or ill.</t>
  </si>
  <si>
    <t>Threefold Form</t>
  </si>
  <si>
    <t>druid 9, psychic 9, witch 9</t>
  </si>
  <si>
    <t>V, S, F (a green, three-pointed knot made of mithral worth 729 gp)</t>
  </si>
  <si>
    <t>9 rounds</t>
  </si>
  <si>
    <t>You pull forth idealized versions of yourself at various ages from your mind, splitting into three copies of yourself. Threefold form functions as bilocation (Pathfinder RPG Occult Adventures 158), except there are three of you instead of two, and each of the three bodies is under the effect of threefold aspectAPG with a different idealized age. Other than the differences from threefold aspect, each body shares all other effects with you, as normal for bilocation.</t>
  </si>
  <si>
    <t>Threefold Sight</t>
  </si>
  <si>
    <t>bard 3, medium 3, occultist 3, psychic 3, sorcerer/wizard 3, witch 3</t>
  </si>
  <si>
    <t>3 minutes</t>
  </si>
  <si>
    <t>You view several possible futures at once, allowing you to thread a needle around disasters by taking a middle path. For the duration of this spell, whenever you roll for an attack, saving throw, or skill check, roll three d20 and use the middle of the three rolls (or the highest, if more than one die shows the same highest value, or the lowest, if more than one die shows the same lowest value). If another ability would make you roll an attack roll, saving throw, or skill check twice and take the higher result, roll twice and take the lower result, or reroll, that ability has no effect and threefold sight ends immediately.</t>
  </si>
  <si>
    <t>Ally Across Time</t>
  </si>
  <si>
    <t>bard 2, cleric/oracle 2, inquisitor 2, medium 1, psychic 2, ranger 1, sorcerer/wizard 2</t>
  </si>
  <si>
    <t>one 5-ft. cube of temporal possibility/2 levels</t>
  </si>
  <si>
    <t>You create one or more 5-foot cubes of temporal possibility where your timeline overlaps with those of your parallel existences. As a free action, you can summon a duplicate of yourself (not including any animal companions, familiars, intelligent items, or other creatures) from an alternate timeline in one of the cubes you can see, which lasts until the end of your turn. This duplicate has your statistics (though its hit points equal your caster level), threatens all squares adjacent to it, and has any teamwork feats you have. Although the duplicate appears with all of the equipment you currently carry, it cannot use any of its equipment and all its equipment disappears when the duplicate does. This duplicate cannot voluntarily move from the space in which it's summoned. During its brief existence, a duplicate can use the aid another action once to assist you, but it cannot take any other type of action. Once a duplicate disappears, the cube of temporal possibility it occupied dissipates.  You can summon only one duplicate before the spell ends. For every 4 caster levels you have beyond 3rd, you can summon an additional duplicate before the spell ends, though you cannot have more than one duplicate in existence at once.</t>
  </si>
  <si>
    <t>Army Across Time</t>
  </si>
  <si>
    <t>bard 4, cleric/oracle 5, inquisitor 4, medium 3, psychic 5, ranger 3, sorcerer/wizard 5</t>
  </si>
  <si>
    <t>five 5-ft. cubes of temporal possibility plus one additional cube/level</t>
  </si>
  <si>
    <t>This spell functions as ally across time as noted above with  two exceptions. First, you can summon one duplicate per caster level before the spell ends. Second, you can have up to one duplicate in existence at a time for every 3 caster levels you have.</t>
  </si>
  <si>
    <t>Temporal Divergence</t>
  </si>
  <si>
    <t>psychic 7, sorcerer/wizard 7, witch 7</t>
  </si>
  <si>
    <t>V, S, M (mithral wishbone worth 100 gp)</t>
  </si>
  <si>
    <t>This spell allows you to witness two divergent decisions and choose which to pursue. Upon completing this spell, you must immediately choose two other different spells that you could cast at that moment and that each have a casting time of 1 standard action; these spells take effect simultaneously, and you must track all resulting effects, areas of effect, saving throws, and other outcomes separately as if each had been cast normally and the other spell had never happened. Once you've seen how each spell resolves, you must choose which version of reality occurred, expending the standard action, prepared spell, and material components as necessary. The other spell's results are ignored and do not require an action or expend the prepared spell, spell slot, or material components. If the targets of the spell you did not choose expended any resources or effects to resist your spell, those resources or effects are also not expended. If you cast this spell and do not or cannot immediately follow the instructions described above, this spell has no effect.  For example, after casting this spell, a wizard could cast temporal stasis on a demon and fireball on a group of orcs. Seeing that the demon succeeds at its saving throw against temporal stasis and that the fireball kills many orcs, the wizard chooses the fireball to take effect. The temporal stasis is treated as if it had not been cast, and its spell slot and costly material component are not expended.  Casting this spell more than once in a single day is risky. On the second and subsequent casting in a 24-hour period, you must succeed at a DC 25 Will saving throw or be exposed to a crippling array of possibilities and paradoxes that leave you confused for 24 hours. Whenever this confusion would cause you to attack the nearest creature, you instead expend your highest-level remaining prepared spell or spell slot, if any, with no effect.</t>
  </si>
  <si>
    <t>Temporal Regression</t>
  </si>
  <si>
    <t>druid 9, psychic 8, sorcerer/wizard 8, witch 8</t>
  </si>
  <si>
    <t>V, S, F (hourglass filled with powdered horacalcum worth 1,500 gp)</t>
  </si>
  <si>
    <t>personal and close (25 ft. + 5 ft./2 levels; see below)</t>
  </si>
  <si>
    <t>When you complete this spell, note your current location and condition, including your hit point total and any ongoing conditions affecting you as well as their durations (e.g. poison, sickened, ability damage, and spell effects). This spell creates a beacon in space-time that's imperceptible to anyone but you. As a standard action while you are within range of the beacon before the spell's duration expires, you can discharge the spell to transport yourself back to the marked location and restore yourself to the condition you were in when you cast the spell; this does not restore any expended items, charges, or spells you may have used during that time. This does not reverse effects for anyone else, and to bystanders it appears as though you teleported to the beacon location and regained conditions you had when the beacon was set. Temporal regression strains your body; when the spell is discharged, you gain 1 temporary negative level for every 2 rounds that passed since you cast the spell. These negative levels disappear after 24 hours.  You can discharge the spell to transport yourself back to your beacon as an immediate action instead of a standard action, but doing so utterly and entirely consumes the spell's focus.</t>
  </si>
  <si>
    <t>Blade Of Light</t>
  </si>
  <si>
    <t>This spell infuses a weapon with pure sunlight (the weapon need not be a bladed weapon). A weapon enhanced by this spell sheds light as if daylight had been cast on it. It functions as a magic and good weapon for the purposes of overcoming damage reduction. The weapon grants a +2 sacred bonus on attack rolls against undead and deals +1d6 points of damage on a successful hit against such foes; against incorporeal undead, it functions as if it had the ghost touch weapon special ability. The weapon automatically confirms critical hits against foes that are vulnerable to sunlight.</t>
  </si>
  <si>
    <t>Adventurer's Guide</t>
  </si>
  <si>
    <t>Burning Sands</t>
  </si>
  <si>
    <t>druid 1, ranger 1, shaman 1, sorcerer/wizard 1, witch 1</t>
  </si>
  <si>
    <t>V, S, M (a handful of sand)/DF</t>
  </si>
  <si>
    <t>20-ft. radius</t>
  </si>
  <si>
    <t>You cause sheets of hot sand to spread over the ground in the area of effect. This layer of sand is 1 foot deep and constantly shifts and churns, transforming the ground in the area into difficult terrain. The sand itself burns, and periodic flames rise from the grit. While these flames cannot ignite objects, they deal 1d4 points of fire damage to any creature that ends its turn in contact with the ground within the area of effect. At the end of the duration, the sand vanishes, leaving no aftereffects (other than damage dealt).</t>
  </si>
  <si>
    <t>Cleansing Fire</t>
  </si>
  <si>
    <t>good, fire</t>
  </si>
  <si>
    <t>30-ft. radius emanating from the touched point</t>
  </si>
  <si>
    <t>A ring of fire surrounds the area affected by the spell. The flames radiate heat, but not enough to damage adjacent creatures. The flames deal 2d6 points of fire damage to any creatures that pass through them (or 4d6 points of damage to undead creatures). If you manifest a portion of the ring in a square that contains a creature, that creature takes damage as if it passed through the ring. The ring of flames attempts to dispel all ongoing spell effects with the evil descriptor within it, targeting each spell effect once per round as per dispel magic. Any attempt to cast a spell with the evil descriptor inside the ring of flames is targeted by a</t>
  </si>
  <si>
    <t>Sun's Disdain</t>
  </si>
  <si>
    <t>bloodrager 2, cleric/oracle 2, inquisitor 2, shaman 2, sorcerer/wizard 2, witch 2</t>
  </si>
  <si>
    <t>V, S, M (a piece of glass)/DF</t>
  </si>
  <si>
    <t>You alter a creature so the touch of the sun is hostile to it. The cursed creature gains light blindness and is blinded for 1 round if exposed to bright light, such as sunlight or the daylight spell. The cursed creature is dazzled as long as it remains in areas of bright light, and it is treated as being particularly susceptible to sunlight for the purposes of resolving spells like searing light, sunbeam, and sunburst.</t>
  </si>
  <si>
    <t>Sun's Disdain, Mass</t>
  </si>
  <si>
    <t>bloodrager 5, cleric/oracle 5, inquisitor 5, shaman 5, sorcerer/wizard 5, witch 5</t>
  </si>
  <si>
    <t>This spell functions like sun's disdain, except that it can affect multiple creatures.</t>
  </si>
  <si>
    <t>Sunstalker</t>
  </si>
  <si>
    <t>bard 3, ranger 3, sorcerer/wizard 3</t>
  </si>
  <si>
    <t>A touched creature becomes invisible (as per invisibility) as long as it is in direct sunlight (or bright light shed by a daylight spell). If an action the target creature takes causes the invisible creature to become visible but does not end the sunstalker spell's duration, the creature can use this spell's magic to become invisible again as a standard action as long as it stands in an area of sunlight (as defined above). The creature gains only concealment (20% miss chance) in normal light.</t>
  </si>
  <si>
    <t>Aldori Alacrity</t>
  </si>
  <si>
    <t>alchemist 2, bard 2, magus 2</t>
  </si>
  <si>
    <t>V, S, M (ginger root shavings)</t>
  </si>
  <si>
    <t>This spell's energy quickens your steps, allowing fancy footwork. You gain a +10-foot enhancement bonus to your speed and a +1 dodge bonus to your AC. These bonuses do not stack with those granted by haste or similar effects. While under the effects of Aldori alacrity, you can take 5-foot steps in difficult terrain.</t>
  </si>
  <si>
    <t>Contest Of Skill</t>
  </si>
  <si>
    <t>bard 2, cleric/oracle 3, magus 2, paladin 2</t>
  </si>
  <si>
    <t>V, S, M (a tiny gong)</t>
  </si>
  <si>
    <t>The randomness of critical hits has long vexed certain duelists in the Aldori school who consider luck to be an unwelcome addition to duels, which they view as contests of skill rather than chance. The creature targeted by this spell is infused with magical power, altering the odds of combat to weaken lucky strikes. Critical threats made by the affected creature automatically fail to confirm. Critical threats that automatically confirm due to class features or feats, such as the fighter's weapon mastery, are unaffected by this spell. In addition, when the initial target of this spell fails its Will save to resist contest of skill, it can select one additional creature within range of the spell to suffer the effects of the spell as well (Will negates). If this secondary target negates this spell with a successful save, the duration of contest of skill on the primary target is reduced to 1 round.</t>
  </si>
  <si>
    <t>Deivon's Parry</t>
  </si>
  <si>
    <t>bard 1, magus 1</t>
  </si>
  <si>
    <t>Originally designed by an Aldori magus who had long admired swashbucklers for their ability to deflect blows, Deivon's parry has swiftly gained popularity among bards and magi alike. Your reflexes snap into action, allowing you to deflect a blow. This spell can be cast only when an opponent makes a melee attack against you, and only before the attack roll has been made. Make a parry attempt with a light or one-handed weapon you're wielding, as if using the swashbuckler's opportune parry and riposte deed (except that this does not require panache). You cannot riposte as part of this spell's effect.</t>
  </si>
  <si>
    <t>Tactical Adaptation</t>
  </si>
  <si>
    <t>V, S, F (a gold and sapphire ring worth 500 gp, which the caster must wear for the spell's duration)</t>
  </si>
  <si>
    <t>This spell was developed by an Aldori Academy student after several weeks of observing (and occasionally joining) Restov barroom brawls. You draw on your mind's hidden reserves, instantaneously mastering advanced combat techniques. When you cast this spell, choose a combat feat. You must meet all prerequisites for this feat, treating your magus level as your base attack bonus for this purpose. For the duration of this spell, you are treated as if you had the chosen feat. Once you cast this spell, you cannot change the chosen feat (or any decisions related to that feat) for additional castings of this spell on the same day. A creature can benefit from only one tactical adaptation spell at a time.</t>
  </si>
  <si>
    <t>Tieldlara's Feint</t>
  </si>
  <si>
    <t>With a lascivious wink and a sensuous sway, you flood a foe's mind with lustful thoughts of you, distracting your target and rendering that creature vulnerable to your attacks. An affected creature takes a penalty equal to half your caster level on concentration checks and to its CMD against dirty trickAPG, grapple, and stealAPG combat maneuvers you perform. The creature is also denied its Dexterity bonus to AC for the first melee attack you make against it each round. If the target would not normally be sexually attracted to you, it receives a +4 bonus on its saving throw. If you end your turn more than 20 feet from the target or end your turn where your target cannot see you, this spell immediately ends.</t>
  </si>
  <si>
    <t>Deceptive Redundancy</t>
  </si>
  <si>
    <t>bard 5, mesmerist 5, psychic 5, sorcerer/wizard 5</t>
  </si>
  <si>
    <t>10 minutes/level or until triggered, then 1 round/level</t>
  </si>
  <si>
    <t>You create a contingent ward that defies those who would dispel your magic, convincing them that their spell worked. When a spell such as dispel magic would end one of your spells that's affecting you, you can dismiss deceptive redundancy as an immediate action to attempt an opposed caster level check against the spellcaster. If you succeed, the dispelling effect fails to end your spell, and your spell's aura becomes difficult to detect for 1 round per caster level. Any divination attempted during this time fails to perceive the spell's aura unless the caster succeeds at a caster level check (DC = 15 + your caster level). Deceptive redundancy is most effective when hiding auras for spells that don't have easily perceived effects, rather than visually obvious spells such as enlarge person or fire shield.</t>
  </si>
  <si>
    <t>Haunting Reminder</t>
  </si>
  <si>
    <t>antipaladin 1, bard 2, inquisitor 2, mesmerist 2, psychic 2, sorcerer/wizard 2</t>
  </si>
  <si>
    <t>12 hours + 2 hours/level or until triggered, then 1 day/level</t>
  </si>
  <si>
    <t>As part of casting this spell, you can attempt a single Intimidate check to make the target act friendly to you. If you succeed, the target assists you normally, but it remains fearful of your retribution even after its attitude shifts to unfriendly. If the creature reports your coercion to authorities, attacks you, or otherwise acts in a purposeful way that threatens you or your objectives (at the GM's discretion), the spell triggers, inflicting the creature with the unshakable certainty that you will find and punish it. This imposes the shaken condition on the creature for 1 day per caster level; during this time, the creature takes a -2 penalty on saving throws against spells you cast with the fear descriptor.</t>
  </si>
  <si>
    <t>Obscured Script</t>
  </si>
  <si>
    <t>bard 2, mesmerist 2, occultist 2, psychic 2, sorcerer/wizard 2</t>
  </si>
  <si>
    <t>V, S, M (a scrap of paper bearing a simple sentence written in at least five languages)</t>
  </si>
  <si>
    <t>one touched page, scroll, inscription, book, or other document no more than 3 feet in any dimension</t>
  </si>
  <si>
    <t>You create a latent illusion that clouds the judgment and reading ability of any creature that examines a targeted text. While casting the spell, you can designate up to one creature other than yourself per level to be immune to the effects. All other creatures that read the text must succeed at a Will save or find it difficult to properly parse and decipher the contents. This increases the DC of Linguistics checks to decipher the text by an amount equal to your caster level (maximum +10), and it increases the DC of the Wisdom check to avoid drawing a false conclusion by an equal amount. Unaffected creatures gain a circumstance bonus equal to your caster level (maximum +10) on Bluff checks to deceive affected creatures about the text's contents. The spell obscures any magical glyphs, runes, or symbols within the text, increasing the Perception DC to find such traps by an amount equal to half your caster level (maximum +5). Obscured script can be made permanent with a permanency spell by a caster of 10th level or higher for the cost of 5,000 gp.</t>
  </si>
  <si>
    <t>Sympathetic Aura</t>
  </si>
  <si>
    <t>This spell functions like magic aura, except it extends its altered aura to similar items in a 5-foot radius. For this purpose, similar items must be alike in approximate shape, composition, and function, so a potion of cure light wounds targeted by this spell to appear nonmagical would also obscure the auras of nearby potions, elixirs, and oils, as well as flasks. Items other than the targeted item retain their altered aura for 1 round per caster level after being removed from the spell's area.</t>
  </si>
  <si>
    <t>Fungal Blisters</t>
  </si>
  <si>
    <t>alchemist 2, druid 2, sorcerer/wizard 2, witch 2</t>
  </si>
  <si>
    <t>When you cast this spell, horrible, fungal growths sprout forth all over your body. You develop 1d2+1 of these blisters per 2 caster levels. Each time you are dealt more than 5 points of bludgeoning, piercing, or slashing damage from a single attack, one of these blisters bursts, releasing a cloud of harmful spores in a 5-foot-radius burst centered on you. These spores enter the lungs of all living creatures within the cloud that need to breathe and deal 1d6+1 points of damage for every 2 caster levels you have (Fortitude negates). This is a disease effect, and you and plants aren't affected by the spores. It is possible for more than one blister to burst in a single round. If you are reduced to 0 or fewer hit points, all remaining blisters burst, and the resulting spores deal the cumulative amount of damage.  You are not able to cast this spell while wearing heavy armor. If you don heavy armor during the spell's duration, all remaining blisters burst as if you had been reduced to 0 or fewer hit points.</t>
  </si>
  <si>
    <t>AP 119</t>
  </si>
  <si>
    <t>Sebaceous Twin</t>
  </si>
  <si>
    <t>By touching a living target, you cause a half-formed, parasitic clone of the target to burst from its midsection. The twin dangles from the target's body, making it difficult for the target to move easily and imparting a -2 penalty on Acrobatics and Climb checks. In addition, for the spell's duration, the target must succeed at a Fortitude saving throw at the start of its turn each round, or else it takes 1 point of Constitution damage and is sickened for that round as the twin siphons off its blood. Each time the target receives any healing (magical or otherwise), the duration of this spell is extended by 1 round. Each attack that deals damage to the target reduces the duration of this spell by 1 round. If the duration reaches 0 rounds in this  manner, the twin is violently excised from the body, and the target takes 1d6 points of bleed damage (which can be healed as normal).  The effect of sebaceous twin counts as a disease effect with a DC equal to the spell's saving throw DC.</t>
  </si>
  <si>
    <t>Allied Cloak</t>
  </si>
  <si>
    <t>bard 3, bloodrager 3, magus 3, occultist 2, sorcerer/wizard 3, summoner/unchained summoner 3</t>
  </si>
  <si>
    <t>V, S, F (cloak or outer garment)</t>
  </si>
  <si>
    <t>You cause a cloak, shawl, poncho, or other outer garment you are wearing to animate to aid and defend you. The cloak provides a +2 shield bonus to your AC. In addition, once each round during your turn, you can take a free action to direct your cloak to use the aid another action to assist your skill check, attack roll, or AC. The cloak has an attack bonus or a total skill bonus equal to your caster level plus your key spellcasting ability score modifier (Charisma for bards, Intelligence for wizards, and so on). If another creature dons the cloak during the duration, the cloak provides its protection and aid to the wearer, but it still uses the same bonus on the aid another actions as if you were the wearer. The cloak cannot take any other type of action.</t>
  </si>
  <si>
    <t>Adventurer's Armory 2</t>
  </si>
  <si>
    <t>Billowing Skirt</t>
  </si>
  <si>
    <t>bard 2, inquisitor 2, occultist 2, shaman 2, sorcerer/wizard 2, witch 2</t>
  </si>
  <si>
    <t>V, S, F (a skirt, kilt, or gown)</t>
  </si>
  <si>
    <t>A skirt, kilt, or gown you are wearing enables you to control your falls through the air. A creature wearing the enchanted item of clothing falls slowly as if affected by feather fall and can attempt a DC 15 Fly skill check as a move action to hover in place for 1 round.</t>
  </si>
  <si>
    <t>Grappling Scarf</t>
  </si>
  <si>
    <t>bard 1, inquisitor 1, occultist 1, skald 1, sorcerer/wizard 1</t>
  </si>
  <si>
    <t>V, S, F (scarf)</t>
  </si>
  <si>
    <t>A scarf you are wearing frays at the end into hook-like shapes  and can extend to incredible lengths. Although your scarf retains its weight, its frayed ends function as a grappling hook that can be thrown with a range increment of 20 feet. Your scarf elongates to 100 feet the first time it is thrown during the spell duration. Regardless of its apparent material, the scarf is as strong and easy to climb as a knotted silk rope. At the end of the duration, the scarf detaches and returns to its former shape, fluttering down from its position if you haven't already retrieved it.</t>
  </si>
  <si>
    <t>Restful Cloak</t>
  </si>
  <si>
    <t>cleric/oracle 2, druid 2, occultist 2, paladin 2, ranger 2, shaman 2</t>
  </si>
  <si>
    <t>V, S, F (cloak)</t>
  </si>
  <si>
    <t>A cloak you are wearing transforms into a canvas tent large enough to hold four Medium creatures, firmly pitched in a flat area adjacent to you (if there is no such area, this spell simply fails). A creature regains 1 hit point for each hour it rests in the tent, in addition to any other benefits of resting. Additionally, a fatigued creature resting within the tent for 1 hour loses the fatigued condition, but a creature cannot recover from being fatigued more than once per casting of restful tent. At the end of the spell's duration, the tent transforms back into a cloak. If the tent is moved prior to the expiration of the spell's duration, the spell immediately ends.</t>
  </si>
  <si>
    <t>Sculpted Cape</t>
  </si>
  <si>
    <t>bard 1, occultist 1, ranger 1, shaman 1, sorcerer/wizard 1, witch 1</t>
  </si>
  <si>
    <t>V, S, F (cape or loose outer garment)</t>
  </si>
  <si>
    <t>Your cape, cloak, or shawl stiffens and maintains its shape even if removed. A sculpted cape has hardness 2 and a number of hit points equal to your caster level, and it can support 1 pound of weight per caster level. An unworn sculpted cape can provide cover.</t>
  </si>
  <si>
    <t>Surefoot Boots</t>
  </si>
  <si>
    <t>druid 2, occultist 2, ranger 2, shaman 2</t>
  </si>
  <si>
    <t>V, S, F (footwear)</t>
  </si>
  <si>
    <t>You touch your boots, shoes, or other footwear and imbue them with the ability to find purchase on even the most treacherous ground. While the spell is in effect, the footwear's wearer treats any Acrobatics skill check to balance as though the wearer had rolled a 20.</t>
  </si>
  <si>
    <t>Aquatic Trail</t>
  </si>
  <si>
    <t>druid 3, inquisitor 3, ranger 2, shaman 3</t>
  </si>
  <si>
    <t>You use divination magic to enhance the underwater trails in the area around you, allowing you to track creatures through the water as if across soft ground as long as they passed through the area less than 1 week ago (this lets you notice trails that are much older than normal underwater trails). The spell's area moves with you, so you can follow the trail through the water over long distances. Other creatures can also follow the trail as long as they move with you. Because of the plethora of sea creatures in the higher zones, it's possible that the trail that most interests you will be covered by the trails of other aquatic creatures, making this spell even more useful than normal in the Abyssal and Abaddonian zones.</t>
  </si>
  <si>
    <t>Aquatic Adventures</t>
  </si>
  <si>
    <t>Extreme Buoyancy</t>
  </si>
  <si>
    <t>alchemist 2, bard 2, druid 2, medium 2, occultist 2, psychic 2, ranger 2, shaman 2</t>
  </si>
  <si>
    <t>V, S, M (a bag of air), DF</t>
  </si>
  <si>
    <t>The target's buoyancy becomes and stays swiftly rising, regardless of how dense the target and its gear are. Among other effects, the target needs to succeed at a DC 20 Swim check to submerge itself and to stay submerged (see Buoyancy on page 43).</t>
  </si>
  <si>
    <t>Free Swim</t>
  </si>
  <si>
    <t>alchemist 3, bard 3, cleric/oracle 3, druid 3, inquisitor 3, medium 3, mesmerist 3, occultist 3, psychic 3, ranger 3, spiritualist 3</t>
  </si>
  <si>
    <t>V, S, M (a strip of kelp bound to the target), DF</t>
  </si>
  <si>
    <t>The target can move and attack underwater normally without the usual penalties involved with underwater combat, as if under the effects of freedom of movement. However, the target doesn't gain any protections against grapple, paralysis, and magical effects that impede movement (such as solid fog, slow, and web).</t>
  </si>
  <si>
    <t>Invisibility Bubble</t>
  </si>
  <si>
    <t>alchemist 2, antipaladin 2, bard 2, inquisitor 2, magus 2, medium 2, mesmerist 2, occultist 2, psychic 2, sorcerer/wizard 2, spiritualist 2, summoner/unchained summoner 2</t>
  </si>
  <si>
    <t>V, S, M (a needle from a sea urchin)</t>
  </si>
  <si>
    <t>touched creature's space, up to one 5-foot-cube</t>
  </si>
  <si>
    <t>A glamered bubble surrounds the target's space, rendering her completely invisible underwater by hiding both the target and any water she displaces. Because of the bubble's size limit, this spell works only on Medium or smaller targets. Other objects and creatures within the bubble's space are also invisible while they stay in the space, which could reveal the spell's existence to a canny observer who notices fish disappearing into the bubble and reappearing on the other side. Creatures inside the bubble can see each other, which allows foes who can pinpoint the bubble's location (such as dragons) to stick their heads into the bubble in order to see the target. Any creature on the inside of the bubble that takes any action that would break invisibility pops the bubble and ends the spell early. On land, the bubble is clearly visible, acting much as invisibility does in the water. Unlike with invisibility, the inside of the bubble blocks light from escaping the bubble, meaning that light sources inside the bubble don't illuminate past its edges, but also don't reveal a telltale glow.</t>
  </si>
  <si>
    <t>Invisibility Bubble, Giant</t>
  </si>
  <si>
    <t>bard 3, mesmerist 3, occultist 3, psychic 3, sorcerer/wizard 3, summoner/unchained summoner 3</t>
  </si>
  <si>
    <t>10-ft.-radius emanation centered on the touched creature's space</t>
  </si>
  <si>
    <t>This functions as per invisibility bubble, but the bubble is larger, which allows you to target a creature of up to size Gargantuan, or allows more creatures into the bubble.</t>
  </si>
  <si>
    <t>Invisibility Bubble, Mass</t>
  </si>
  <si>
    <t>mesmerist 6, psychic 7, sorcerer/wizard 7, summoner/unchained summoner 6</t>
  </si>
  <si>
    <t>This functions as per invisibility bubble, but the spell affects the areas of each target creature, regardless of the creature's size. The effect moves with the group and is broken when anyone in the group attacks. Individuals in separate bubbles can't see each other. The spell is broken for any individual who moves more than 180 feet from the nearest member of the group. If only two individuals are affected, the one moving away from the other one loses its invisibility. If both are moving away from each other simultaneously, they both become visible when the distance between them exceeds 180 feet.</t>
  </si>
  <si>
    <t>Lead Anchor</t>
  </si>
  <si>
    <t>alchemist 2, bard 2, druid 2, medium 2, occultist 2, psychic 2, ranger 2, shaman 2, witch 2</t>
  </si>
  <si>
    <t>The target's buoyancy becomes and stays swiftly sinking, regardless of how dense the target and its gear are. Among other effects, the target can walk on the bottom, but she also needs to succeed at a DC 20 Swim check to swim towards the surface and to stay above the bottom (see Buoyancy on page 43). This makes lead anchor a useful spell both for exploring the sea floor and for drowning an air-breathing foe in the water.</t>
  </si>
  <si>
    <t>Life Current</t>
  </si>
  <si>
    <t>cleric/oracle 3, druid 3, paladin 3, ranger 3, shaman 3</t>
  </si>
  <si>
    <t>current or portion of current up to 20 feet wide and 100 feet long</t>
  </si>
  <si>
    <t>You infuse the current with positive energy. At the start of their turn when the current moves them, living creatures in the current's area heal 1d6 hit points per 10 feet of the current's speed (maximum 6d6). Undead creatures in the current instead take an equal amount of damage.</t>
  </si>
  <si>
    <t>Neutral Buoyancy</t>
  </si>
  <si>
    <t>The target's buoyancy becomes and stays neutral, regardless of how dense the target and its gear are. Among other effects, the target neither sinks nor rises when it doesn't attempt a Swim check, making it easier to stay put while performing demanding actions or when helpless or disabled, and the target can swim up and down with equal ease.</t>
  </si>
  <si>
    <t>Pressure Adaptation</t>
  </si>
  <si>
    <t>alchemist 3, bloodrager 3, cleric/oracle 3, druid 3, paladin 3, psychic 3, ranger 3, shaman 3, summoner/unchained summoner 3</t>
  </si>
  <si>
    <t>V, S, M (slime from a cephalopod)</t>
  </si>
  <si>
    <t>The target adapts incredibly quickly to changes in pressure, adjusting to 100 feet of new pressure (or the entire shift, in the case of an instantaneous shift within its native range; see page 48) after just one successful Fortitude saving throw instead of the usual five.</t>
  </si>
  <si>
    <t>Stabilize Pressure</t>
  </si>
  <si>
    <t>alchemist 2, bloodrager 2, cleric/oracle 2, druid 2, paladin 2, psychic 2, ranger 2, shaman 2, summoner/unchained summoner 2</t>
  </si>
  <si>
    <t>V, S, M (a piece of shell)</t>
  </si>
  <si>
    <t>You instantly stabilize the target's pressure, causing it to adjust to its current pressure all at once. This doesn't help it readjust to future pressure changes.</t>
  </si>
  <si>
    <t>Steam Ray Fusillade</t>
  </si>
  <si>
    <t>V, S, M (a scraping from a hydrothermal vent)</t>
  </si>
  <si>
    <t>For the duration of the spell, you can fire three rays of steam once per round as a standard action (and you also fire three such rays as part of casting the spell). These rays function similarly to the rays from scorching ray (you can fire them at close range, they're ranged touch attacks, they deal 4d6 points of fire damage each, and spell resistance negates  them) except that they work both underwater and above water without a caster level check for being a fire spell.</t>
  </si>
  <si>
    <t>Unlife Current</t>
  </si>
  <si>
    <t>antipaladin 3, cleric/oracle 3, druid 3, ranger 3, shaman 3</t>
  </si>
  <si>
    <t>This functions as life current except you infuse the current with negative energy, so it heals undead and harms living creatures.</t>
  </si>
  <si>
    <t>Wave Form</t>
  </si>
  <si>
    <t>bloodrager 4, cleric/oracle 4, druid 4, shaman 4, sorcerer/wizard 4</t>
  </si>
  <si>
    <t>You transform into a wave of frothing water up to 15 feet wide and 15 feet tall, as space permits, and then surge forth in a straight line in the direction of your choice, moving up to twice your base movement speed before immediately returning to your normal form. This movement does not provoke attacks of opportunity. While in wave form, you are immune to weapon attacks and attacks that target a specific number of creatures (since the spell is instantaneous, this is mainly relevant for readied actions and the like). All creatures and unattended objects in your path take 4d6 points of bludgeoning damage and are knocked prone. A successful Reflex save prevents a creature from being knocked prone.</t>
  </si>
  <si>
    <t>Absorb Rune I</t>
  </si>
  <si>
    <t>bard 4, cleric/oracle 4, magus 4, occultist 4, sorcerer/wizard 4</t>
  </si>
  <si>
    <t>V, S, M (a white silk glove worth 25 gp)</t>
  </si>
  <si>
    <t>one spell effect</t>
  </si>
  <si>
    <t>instantaneous plus 1 minute/ level (see text)</t>
  </si>
  <si>
    <t>This spell allows you to lay your hand upon a magical glyph, symbol, or other magical spell effect (referred to in this spell description as a "rune") and attempt to absorb the essence of its effect. To absorb a rune, you must be aware of the rune's existence (but need not know the details of what it actually does) and then succeed at a caster level check (DC = 10 + the caster level of the spell affect being absorbed) as you touch the rune in question. If you fail this caster level check, the magical rune is not triggered unless you fail the roll by 5 or more. If you succeed at the caster level check, the rune is removed from the surface it was originally placed upon and duplicated on the cloth of a silk glove worn on your hand. The rune remains located on the glove's palm in an inert state for up to 1 minute per caster level. As a standard action taken at any time during that duration, you can transfer the rune to another surface similar to the one it was originally placed upon, at which point the rune's function either returns to normal or dissipates harmlessly as if successfully dispelled (your choice). If the spell's duration expires before you place the rune on a new surface, the absorbed rune dissipates harmlessly. Absorb rune I affects only runes whose effects are equivalent to a spell of 3rd level or lower. An attempt to use absorb rune I on a more powerful effect automatically triggers the rune when you touch it.</t>
  </si>
  <si>
    <t>Absorb Rune II</t>
  </si>
  <si>
    <t>bard 6, cleric/oracle 6, magus 6, occultist 6, sorcerer/wizard 6</t>
  </si>
  <si>
    <t>This spell functions like absorb rune I, but it can affect runes equivalent to a spell of 5th level or lower.</t>
  </si>
  <si>
    <t>Absorb Rune III</t>
  </si>
  <si>
    <t>This spell functions like absorb rune I, but it can affect runes equivalent to a spell of 8th level or lower.</t>
  </si>
  <si>
    <t>Hidden Knowledge</t>
  </si>
  <si>
    <t>up to 1 day/level (see text)</t>
  </si>
  <si>
    <t>This subtle but useful spell allows you to safeguard important knowledge-even from yourself. While casting this spell, you recite one piece of knowledge (up to a maximum of 50 words). Upon completion of the spell's casting, you transfer the knowledge from your mind to your skin in the form of an intricate, runic tattoo placed anywhere you choose on your body. The knowledge disappears utterly from your mind, and you might not realize you forgot something. The magic of the spell patches over gaps in your memory with recollections from the past. Until the spell's duration ends, the knowledge is lost to you. When you cast this spell, you decide how long you wish the spell's duration to be, up to a maximum duration of 1 day per level. Many Cyphermages commission nonmagical tattoos to disguise the effects of this spell. A detect magic spell or a successful Linguistics or Spellcraft check (DC 20 + your Intelligence modifier) reveals an enchanted tattoo, but not its contents. The effects of hidden knowledge can be dispelled normally, in which case the knowledge is completely lost.</t>
  </si>
  <si>
    <t>Rune Trace</t>
  </si>
  <si>
    <t>bard 1, cleric/oracle 1, occultist 1, psychic 1, sorcerer/wizard 1</t>
  </si>
  <si>
    <t>V, S, M (pinch of powdered gemstones worth 25 gp)</t>
  </si>
  <si>
    <t>rune touched</t>
  </si>
  <si>
    <t>By immersing yourself fully in the intricacies of a carved or written rune of any kind, you can divine the elements of that rune's nature. While casting rune trace, you must run your fingers (which cannot be gloved at the time) over the rune, glyph, symbol, or other marking you want to examine (hereafter referred to as the "rune"). This does not trigger any effects that touching the rune would normally trigger. Runes, symbols, and other effects that trigger when read still trigger as normal if you do so- but note that this spell does not require you to view and read the rune that you're targeting. When the spell's casting time ends, you instantly receive flashes of insight regarding the rune's nature, history, and purpose, including the following information. Age: You learn if the rune was placed within the last 24 hours, within the last month, within the last year, within the last decade, within the last century, or prior to the last century.  Insight: If you have cast rune trace on a magical rune, you gain a +5 bonus on all skill rolls and checks to dispel, disable, or otherwise tamper with the rune.  Language: You learn what language the character of the rune is taken from, or in the case of a rune that has no language, you learn that it is a unique image.  Purpose: You learn the general purpose of the rune (such as whether it's a decoration, information, a magical defense, or a warning).</t>
  </si>
  <si>
    <t>Rune Of Rule</t>
  </si>
  <si>
    <t>bard 2, occultist 2, sorcerer/wizard 2, witch 2</t>
  </si>
  <si>
    <t>V, S, M (vial of paint worth 25 gp)</t>
  </si>
  <si>
    <t>1 day or until activated (see description)</t>
  </si>
  <si>
    <t>Investigations into the ancient and mysterious traditions of the seven virtues of rule of the lost human empire of Azlant, which were later corrupted by the runelords into the more familiar seven deadly sins, inspired the Cyphermages to develop the runes of rule. This spell allows you to place a rune upon another creature that can then be used to aid it at a later time. You determine the spell's effect at the time of casting by using your finger to paint a specific rune on the recipient's body with a dose of specially prepared paint worth 25 gp. The inscribed rune lasts for 24 hours or until the spell is activated. Unless otherwise noted, the creature upon which the rune of rule has been inscribed can activate it at any time as a swift action. If the spell effect isn't used, all markings associated with the rune disappear and the effect fades. You can never place the spell upon yourself-it must be bestowed on someone else. The seven runes of rule, along with their specific effects when the user activates them, are listed below. A creature can bear only one rune of rule at a time. Charity: A creature bearing this mark gains a +5 insight bonus on a single attack roll or skill check attempted at the request of another creature, provided the creature bearing this mark does not gain any immediate benefit or reward for making the roll or attempting the check. Generosity: A creature bearing the rune of generosity can activate it as an immediate action, but it must do so as another creature within 30 feet activates a consumable magic item such as a potion or scroll that was given to it at some point within the last 24 hours by the creature bearing the rune. When the rune is activated, the effects of the consumable magic item resolve at a caster level that is 2 higher than the item's actual caster level. Humility: When a creature activates the rune of humility, it does not provoke attacks of opportunity for 1 round. Kindness: A creature must be using the aid another action or casting a healing spell in order to activate a rune of kindness. If the creature activates the rune while using the aid another action, the bonus imparted on a success increases to +5. If the creature instead activates the rune while casting a healing spell, the effective caster level of the spell increases by 2. Love: When a creature activates the rune of love as he casts a spell with the charm descriptor, the save DC of that spell increases by 1. Alternatively, a creature can activate the rune of love after he rolls damage for a weapon or spell attack, causing the damage dealt to become nonlethal damage. Temperance: A creature bearing the rune of temperance can activate it as an immediate action immediately upon failing a saving throw against a poison, disease, drug, or similar effect. The creature can immediately attempt a second saving throw against the effect and can use the result of that second saving throw as the actual result. Zeal: A creature that activates the rune of zeal gains a +3 bonus on Will saves, and the save DCs of all language-dependent effects created by the creature increase by 1; these effects last for 1 round.</t>
  </si>
  <si>
    <t>Slave To Sin</t>
  </si>
  <si>
    <t>bard 2, cleric/oracle 3, inquisitor 3, mesmerist 2, paladin 2, sorcerer/wizard 3, witch 3</t>
  </si>
  <si>
    <t>V, S, M/DF (a scrap of paper inscribed with the Sihedron rune)</t>
  </si>
  <si>
    <t>This spell allows you to reach into an evil creature's mind to expose and exploit its susceptibility to whichever of the seven so-called "deadly sins" it is most susceptible to. The targeted creature must succeed at a Will save or it is overwhelmed with an inability to repress urges to indulge in whatever sin most closely mirrors its personality, and a glowing rune appears upon the creature's body (usually the brow), identifying the sin. (The GM adjudicates which rune manifests on the creature's body, as appropriate.) Each round, at the start of its turn, the target must attempt a new Will saving throw against the spell's DC to resist the sin's enslavement. If the target succeeds at this saving throw, it is sickened for that round by the distractions of its sin. If it fails, it is sickened and staggered as it spends part of its action wallowing in its targeted sin (a wrathful victim might waste time spouting threats and profanity, while a slothful victim might merely be slow and hesitant, and a lustful victim could well spend precious moments ogling or fawning over something of beauty).</t>
  </si>
  <si>
    <t>Detect Charm</t>
  </si>
  <si>
    <t>bard 1, cleric/oracle 1, inquisitor 1, medium 1, mesmerist 1, occultist 1, paladin 1, psychic 1, shaman 1, sorcerer/wizard 1, spiritualist 1, witch 1</t>
  </si>
  <si>
    <t>This spell functions as per detect magic, except that it detects only charm, compulsion, and possession effects. You immediately detect the strength and location of each such aura on all creatures in the area. You can attempt to identify the properties of each aura (see Spellcraft on page 106 the Pathfinder RPG Core Rulebook). In addition to noticing the targets of these effects, you can recognize when creatures in the area are using these effects on others by attempting a Sense Motive check as a standard action (DC = 20 + caster level). If you succeed, you can attempt a Spellcraft check to identify what magic it is using (even if the target is not in the area).</t>
  </si>
  <si>
    <t>Summon Flight Of Eagles</t>
  </si>
  <si>
    <t>bloodrager 4, druid 6, ranger 4, shaman 6, sorcerer/wizard 6, summoner/unchained summoner 6, witch 6</t>
  </si>
  <si>
    <t>V, S, F (a gold feather worth 100 gp)</t>
  </si>
  <si>
    <t>1d4+1 summoned creatures</t>
  </si>
  <si>
    <t>You summon 1d4+1 giant eagles to serve as you designate. The summoned birds can fight if you wish, but can also serve as mounts.</t>
  </si>
  <si>
    <t>Suppress Charms And Compulsions</t>
  </si>
  <si>
    <t>bard 2, cleric/oracle 2, mesmerist 2, paladin 2, psychic 2, shaman 2, sorcerer/wizard 2</t>
  </si>
  <si>
    <t>one creature plus one additional creature per 4 levels, no two of which can be more than 30 ft. apart</t>
  </si>
  <si>
    <t>10 minutes or concentration (up to 1 round/level); see text</t>
  </si>
  <si>
    <t>You bolster the subject's sense of willpower and self-worth when you cast this spell. As you cast it, you must decide if you want to grant a bonus to saving throws against charms and compulsions or suppress charms and compulsions. If you grant a bonus to saving throws, you grant all affected creatures a +4 morale bonus on saving throws against charm and compulsion effects for 10 minutes. If instead you suppress charms and compulsions, the spell's duration drops to concentration, to a maximum duration of 1 round per level. As long as you continue to concentrate, the spell suppresses all existing charm and compulsion effects affecting the targets, regardless of whether the effect is beneficial or harmful. New charm or compulsion effects that successfully target such a protected creature are automatically suppressed as long as you continue concentrating. If you cease concentrating, the spell effect immediately ends, and remaining charm or compulsion effects resume for the rest of their remaining durations as normal.</t>
  </si>
  <si>
    <t>Brand Of Conformity</t>
  </si>
  <si>
    <t>This spell etches the symbol of a nation, organization, or order on the target, dealing 1 point of damage. The mark can be placed on any exposed portion of the creature, typically the head or forearm. While branded in this way, the recipient loses the ability to speak or understand its racial language and the language of its homeland or primary culture (if these are different). For example, an elf raised among the Shoanti would lose Elven and Shoanti (if she knew both those languages), while a halfling raised among dwarves would lose both Halfling and Dwarven (if she knew both those languages). A gnome raised among gnomes would lose Gnome, but no other language. This spell never suppresses Common or Undercommon, nor does it prevent spellcasting, though it may prevent a target from speaking intelligibly if it suppresses all of the target's languages. A brand of conformity can be hidden beneath clothing or removed by scraping it away (the latter deals 1d6 points of damage, though the brand returns if that damage is healed). In any event, the language-suppression element of a brand of conformity continues to function even when hidden or scraped away.</t>
  </si>
  <si>
    <t>Brand Of Hobbling</t>
  </si>
  <si>
    <t>This spell etches a symbol of chains, a particular prison, or a lawful institution on the target, dealing 1d6 points of damage. The mark can be placed on any exposed portion of the creature, typically on the head or forearm. While the recipient is branded in this way, all of its movement speeds are reduced by half (rounded down to the next 5-foot increment). A brand of hobbling can be hidden by clothing or removed by scraping the brand away (the latter deals 1d6 points of damage, though the brand returns if that damage is healed), but in either case the effects of a brand of hobbling continue to function.</t>
  </si>
  <si>
    <t>Brand Of Tracking</t>
  </si>
  <si>
    <t>This spell etches the symbol of an eye or a lawful institution on the target, dealing 1d6 points of damage. The mark can be placed on any exposed portion of the creature, typically the head or forearm. While the target is branded in this way, twice per day as a standard action, you can instantly determine in what direction and how far away the target is, as long as it is within a range equal to 1 mile per your caster level. If the target travels beyond this range or to another plane, you cannot gain information about the recipient's location. Similarly, if the target becomes warded by a spell or effect that thwarts divination spells (such as nondetection) or moves into such an area (such as one created by antimagic field), you cannot gain information about the target's location. This effect otherwise works as a locate creature spell that lasts for 1 minute per caster level. It can be fooled by mislead but not by polymorph. A brand of tracking can be hidden by clothing or temporarily removed by scraping it away (the latter deals 1d6 points of damage, though the brand returns if that damage is healed, or 1 day later otherwise). The effects of a brand of tracking continue to function even when hidden or scraped away. A brand of tracking cannot be dispelled, but it can be permanently removed by any means that removes a mark of justice (see page 312 of the Pathfinder RPG Core Rulebook).</t>
  </si>
  <si>
    <t>Dirge Of The Victorious Knights</t>
  </si>
  <si>
    <t>V, S, F (a medal from a dead Hellknight or a copy of a Chelish opera script, either worth at least 100 gp)</t>
  </si>
  <si>
    <t>120-ft. line, 10 ft. wide</t>
  </si>
  <si>
    <t>By performing part of the Chelish opera Victory of the Hellknights, you call forth spectral illusions of mounted Hellknights to trample your foes under the hooves of their glorious steeds. The shadowy knights appear in an adjacent 10-foot square and ride forward in the direction you indicate, dealing 1d6 points of damage per caster level (maximum 20d6) to all creatures in their path. Half of this damage is cold damage, while half results directly from arcane power and is not subject to cold resistance or immunity. The knights cannot pass through force effects or barriers that block incorporeal creatures or undead. I</t>
  </si>
  <si>
    <t>Infernal Challenger</t>
  </si>
  <si>
    <t>lawful; see text</t>
  </si>
  <si>
    <t>cleric/oracle 3, sorcerer/wizard 3, summoner/unchained summoner 3</t>
  </si>
  <si>
    <t>V, S, F/DF (an iron badge or medallion)</t>
  </si>
  <si>
    <t>one called bearded devil and testing ground; see text</t>
  </si>
  <si>
    <t>This spell summons a bearded devil, causing it to appear where you designate. The area within a 50-foot radius of where the devil appears is ringed with a smoldering, red glow. This area is the testing ground. To successfully cast this spell, no creature other than the devil's challenger (see below) can be within this area while the spell is being cast. On the round it appears, the devil identifies itself (typically by name and with a brief recitation of honors) and states it is prepared to do battle with a sole mortal champion. In the same round, either you or a creature you designate while casting the spell must identify the devil's challenger. For the duration of the spell, the devil does everything in its power to kill the challenger. You do not control the devil or have any influence over how it conducts itself in battle, but the devil cannot leave the testing ground. Unlike with summon monster and similar spells, you cannot dismiss the devil. Rather, the conjured devil remains until any one of the following criteria is met: it is reduced below 0 hit points or otherwise defeated, its challenger is slain, its challenger leaves the testing ground, or it takes damage from any source other than its challenger. Upon any of these occurrences, the devil vanishes. Conjuring a devil is typically an evil act. If cast for any purpose besides the administering of a Hellknight test, this spell has the evil descriptor.</t>
  </si>
  <si>
    <t>Shackle</t>
  </si>
  <si>
    <t>cleric/oracle 2, inquisitor 2, ranger 2, sorcerer/wizard 2, summoner/unchained summoner 2</t>
  </si>
  <si>
    <t>one set of restraints; see text</t>
  </si>
  <si>
    <t>You summon a set of Small or Medium masterwork restraints into being. When you cast this spell, you can choose whether the restraints are manacles or fetters (manacles specifically designed to fit around the ankles). You also summon the restraints' key to your person; the Disable Device DC to open the locked restraints is equal to 15 + your caster level + the modifier of your primary casting ability score. Typically, the restraints appear in your hands. However, as part of the spell's casting, you can make a melee touch attack against a creature; if you succeed and the creature then fails a Reflex saving throw against the spell's DC, the locked fetters appear clasped on the creature or locked manacles clasp you and the creature together. You can instead have manacles restrain the target's limbs in front of or behind it. If you cast the spell as a full-round action, you can make melee touch attacks against two creatures you can reach. If you succeed at both attacks and both creatures fail their Reflex saving throws, you can cause the set of manacles to bind the targets together. As you increase in level, the restraints become stronger and you gain more control over them. If you are 6th level or higher, you can make the restraints mithral, or you can summon Tiny or Large restraints. If you are 12th level or higher, you can summon Diminutive or Huge restraints. If you use an emerald worth at least 1,000 gp as a material component while casting this spell, as a standard action once during its duration, you can affect any creature bound by these restraints as per dimensional anchor with a duration of 1 minute per caster level. If you are 18th level or higher and use an emerald worth at least 1,000 gp as a material component while casting this spell, the restraints' hardness increases to 30, they have 60 hit points, and they can't be broken with a successful Strength check. (The emerald must be worth at least 2,000 gp if you also wish to use the dimensional anchor effect described earlier.) If you cast this spell before the duration of a previous casting has lapsed, you can create a new set of restraints or reset the previous spell's duration. If you used an expensive material component during a previous casting, you must again use a component when creating new restraints or resetting the duration if you wish to maintain the special effect. You do not need to touch these previously created shackles to renew their duration, though you must be on the same plane as the shackles. When this spell ends, the restraints disappear, and any ongoing effects created by the spell end.</t>
  </si>
  <si>
    <t>Brightest Light</t>
  </si>
  <si>
    <t>bard 4, cleric/oracle 4, druid 4, inquisitor 4, magus 4, occultist 4, paladin 4, ranger 4, shaman 4, sorcerer/wizard 4</t>
  </si>
  <si>
    <t>This trademark spell of the Lantern Bearers functions as daylight, except it lasts longer. In addition, as a swift action once during the spell's duration, you can will the light to try to end a magical darkness effect located within 60 feet of the light this spell emits. Attempt a dispel check (1d20 + your caster level), with a DC equal to 11 + the caster level of the darkness effect. If you succeed, the darkness effect ends. Regardless of whether you are successful, the light from this spell dims to the brightness of a torch for the spell's remaining duration.</t>
  </si>
  <si>
    <t>Detoxify</t>
  </si>
  <si>
    <t>cleric/oracle 3, druid 3, inquisitor 3, paladin 3, ranger 2, shaman 3, witch 3</t>
  </si>
  <si>
    <t>V, S, M (a dandelion stem)</t>
  </si>
  <si>
    <t>You remove a creature's ability to poison others, whether inherent or via poisoned weapons. Whenever an affected creature would inflict poison with an attack, spell, or other method (including auras and other constant methods), that poison is automatically neutralized. This does not grant the subject of the spell any resistance to poison itself.</t>
  </si>
  <si>
    <t>Preserve Grace</t>
  </si>
  <si>
    <t>cleric/oracle 2, inquisitor 1, paladin 1</t>
  </si>
  <si>
    <t>V, S, F (a silver hand mirror worth 50 gp)</t>
  </si>
  <si>
    <t>one good-aligned creature</t>
  </si>
  <si>
    <t>The Lantern Bearers must often make difficult decisions during their missions, such as determining what to do with captured enemies-should they be executed, imprisoned, set free, or given a chance to mend their ways? With this spell, you grant a creature the ability to foresee moral consequences, as if the creature were wearing a phylactery of faithfulness. The spell's guidance focuses on the protection of beauty and encourages peaceful resolution and mercy.</t>
  </si>
  <si>
    <t>Mask From Divination</t>
  </si>
  <si>
    <t>alchemist 5, bloodrager 4, magus 5, shaman 5, sorcerer/wizard 5, witch 5</t>
  </si>
  <si>
    <t>V, S, F (an eyeless mask), M (diamond dust worth 200 gp)</t>
  </si>
  <si>
    <t>As part of the action used to cast this spell, you place the mask used as the focus component on the target's face, after which it adheres tightly to the target for the spell's duration and cannot be removed by physical force. Despite lacking eyes, this mask does not impair its wearer's vision in any way. While in effect, this spell functions like nondetection, except it also foils divination spells that attempt to gather information about the creature, even if they don't target it specifically. In the case of divination spells that would normally reveal the wearer's presence, such as see invisibility, the spell works, but the wearer is detected only if the caster succeeds at a caster level check. Likewise, scrying attempts that specifically target the wearer do not work at all unless the caster succeeds at a caster level check. In addition, the DCs of skill checks to learn about the wearer or identify the wearer and its strengths and weaknesses- including Diplomacy checks to gather information, Perception checks opposed by the target's Disguise checks, and Knowledge checks-increase by 4. The mask cannot be removed for the duration of the spell, and the fact that the target is wearing the focus mask cannot be hidden in any way from creatures that observe the target.</t>
  </si>
  <si>
    <t>Planar Inquiry</t>
  </si>
  <si>
    <t>cleric/oracle 3, druid 3, inquisitor 3, shaman 3, sorcerer/wizard 3, summoner/unchained summoner 3, witch 3</t>
  </si>
  <si>
    <t>V, S, M (offerings worth 100 gp per HD of creature called)</t>
  </si>
  <si>
    <t>one called outsider who answers questions</t>
  </si>
  <si>
    <t>Although he was hardly the first to turn to the Outer Planes for answers, Jatembe's dealings with outsiders in his pursuit of enlightenment are legendary, and the Magaambya credits the Old-Mage with the creation of this spell. This spell calls a creature from another plane to your precise location, functioning like lesser planar ally except as noted. When you call a creature using planar inquiry, the only task that you can ask of the creature is for it to answer questions or gather information regarding a specific topic (a person, a place, or a thing). After hearing your request, if the creature has an appropriate Knowledge skill, it can attempt a check to provide the information it has. If it lacks such a skill, the called creature leaves for 1d4 hours to gather this information. Upon its return, you roll 1d20 + your caster level, and use the result to determine what information the creature has gathered about the subject (as if using Diplomacy). The called creature stays for up to 10 minutes as it relays this information to you, after which it departs to its home plane. If the creature is attacked or damaged at any time during the spell's duration, the spell ends and the creature returns to the plane from which you summoned it. When you cast this spell, you can choose a specific kind of outsider to call, even calling an individual creature by name. The kind of outsider called doesn't alter the effects of the spell, but when you use planar inquiry to summon a creature with an alignment or elemental subtype, the spell gains that descriptor. You cannot call an outsider whose Hit Dice exceed your caster level (maximum 18 HD) and you cannot use this spell to contact a unique outsider (such as a deity's herald) or an outsider with mythic ranks.</t>
  </si>
  <si>
    <t>Frost Mammoth</t>
  </si>
  <si>
    <t>cleric/oracle 7, druid 7, shaman 7, sorcerer/wizard 7, summoner/unchained summoner 6</t>
  </si>
  <si>
    <t>V, S, M (a fragment of mammoth tusk)</t>
  </si>
  <si>
    <t>one frost mammoth</t>
  </si>
  <si>
    <t>A blast of snow suddenly fills an area with a space of 15 feet, immediately taking the shape of a woolly mammoth made of snow with tusks of solid ice. The mammoth has statistics identical to those of a mastodon (Pathfinder RPG Bestiary 128), except it also has the cold subtype (and thus gains immunity to cold and vulnerability to fire). The frost mammoth obeys your telepathic commands. It allows you or anyone you designate to ride it, and it is treated as if combat trained. At 17th level, a frost mammoth you conjure deals an additional 1d6 points of cold damage with each physical attack.</t>
  </si>
  <si>
    <t>Invoke Primal Power</t>
  </si>
  <si>
    <t>This spell must be cast as you activate wild shape to assume the form of an animal of at least Large size. When you assume the animal form, it takes on many of the primal characteristics of the savage, prehistoric creatures that dwell in the Realm of the Mammoth Lords. When this spell's duration expires, you return to your natural form automatically-in effect, you shorten the duration of that use of wild shape to the duration of this spell when you cast invoke primal power. In addition to the normal effects you gain upon assuming the wild shape, you also gain a +4 size bonus to your Constitution score and increase the natural armor bonus granted by the effect by 2 (thus, if you assume the size of a Large animal as if via beast shape II, your natural armor bonus is +6 instead of +4). Furthermore, you gain one of the following additional abilities while you are in your enhanced wild shape form. At caster level 13th, you gain two of the following abilities, and at caster level 17th, you gain three of the abilities.  Cold Resistance: Your new body is covered with thick layers of fur and insulating blubber. You gain cold resistance 30.  Ferocity: You remain conscious and can continue to fight even if your hit point total is below 0. You are still staggered and lose 1 hit point each round, and still die when your hit point total reaches a negative amount equal to your Constitution score.  Giant Slayer: Your new form is particularly suited for slaying giants. Against creatures with the giant subtype, you gain a +2 insight bonus on attack rolls and on damage rolls with your new form's natural attacks.  Powerful Charge: Choose one of the natural attacks you gain from your new form. When you make a charge attack, this natural attack deals 2d6 additional points of damage in addition to the normal benefits and hazards of a charge. This damage applies only to the first attack you make when you perform your charge.  Rend: Once per round, if you hit the same target with two or more natural attacks in a round, you rend the target of those attacks, dealing 2d6 additional points of damage.  Swift: Your new form's base speed increases by 20 feet.  Trample: As a full-round action, you can attempt to overrun any creature that is at least one size category smaller than you. This works just like the overrun combat maneuver, but you do not need to attempt a check; you merely have to move over your opponents. Targets take damage equal to 2d6 plus 1-1/2 times your Strength modifier from your trample, and can make attacks of opportunity against you, but at a -4 penalty. If a targets forgoes an attack of opportunity, it can attempt a Reflex save to avoid the trample and take half damage. The save DC against this effect is equal to 10 + half your caster level + your Strength modifier. You can deal only trampling damage to each target once per round, no matter how many times your movement takes you over a target creature.  Trip: Choose one of the natural attacks granted to you by your new form. Up to once per round, you can attempt to trip an opponent as a free action without provoking an attack of opportunity if you hit with the specified attack. If the attempt fails, you are not tripped in return.</t>
  </si>
  <si>
    <t>Bone Flense</t>
  </si>
  <si>
    <t>bloodrager 2, cleric/oracle 3, druid 3, inquisitor 3, magus 3, sorcerer/wizard 3, witch 3</t>
  </si>
  <si>
    <t>M/F (a jagged shard of bone from a humanoid creature)</t>
  </si>
  <si>
    <t>Choose a creature that you can see. When that creature is struck by a weapon wielded by a member of the Red Mantis, a sawtooth sabre, or by the claw of a giant mantis, the bone nearest to the wound instantly sprouts jagged, razor-sharp spurs that flense the muscle and flesh from the inside out unless the target succeeds at a Fortitude save. The creature takes 1d6 points of piercing damage per caster level. While the bone returns to normal immediately after dealing damage, the creature takes 1d4 points of bleed damage for 1 round per 2 caster levels. The victim is sickened by the pain for the duration of the bleeding. If the target creature has no bones, this spell has no effect.</t>
  </si>
  <si>
    <t>Crimson Breath</t>
  </si>
  <si>
    <t>alchemist 4, cleric/oracle 4, druid 4, sorcerer/wizard 4, witch 4</t>
  </si>
  <si>
    <t>When you cast this spell, your salivary glands transform and instantly fill with potent venom. Make a ranged touch attack against a single target in range; if you hit, the target is affected by a dose of breath of the mantis god (see page 158). The Fortitude save DC for this poison is the same as the spell's DC, not the standard save DC for the poison.</t>
  </si>
  <si>
    <t>Mark Of Blood</t>
  </si>
  <si>
    <t>bloodrager 2, inquisitor 2, sorcerer/wizard 2, witch 2</t>
  </si>
  <si>
    <t>one weapon touched</t>
  </si>
  <si>
    <t>1 minute and permanent (see text)</t>
  </si>
  <si>
    <t>You place a drop of your blood on a weapon and charge it with magic so that you transfer a small amount of your life essence to the next living creature you strike with the weapon. Thereafter, you can spend a move action to know the direction and general distance of that creature. The target can negate this effect with a successful Will save. You must strike a creature within 1 minute of casting this spell or the magic is wasted, but once the mark of blood takes effect it is permanent until dispelled or removed via an effect like remove curse.</t>
  </si>
  <si>
    <t>Mirror Mantis</t>
  </si>
  <si>
    <t>bard 1, cleric/oracle 1, mesmerist 1, occultist 1, psychic 1, sorcerer/wizard 1</t>
  </si>
  <si>
    <t>S, F (a hand mirror stained with a dried drop of blood)</t>
  </si>
  <si>
    <t>Whenever the target of this spell looks into a mirror or other reflective surface where it can see its own visage clearly, it sees a Red Mantis assassin (in full armor, face hidden by a mantis mask) looking back at it. The reflection is harmless and mimics the target's motions perfectly; no one else can see this illusion. The first time the target sees the Red Mantis reflection, it must succeed at a Will save be or shaken and take a -2 penalty on saves against fear effects for as long as it can see the altered image and for 3 rounds thereafter. A new save must be attempted each time the creature views its reflection during the spell's duration. Once a creature successfully saves, it becomes immune to being shaken by the caster's mirror mantis spell for 24 hours, though it will still see the Red Mantis reflection until the spell ends.</t>
  </si>
  <si>
    <t>Sarzari Shadow Memory</t>
  </si>
  <si>
    <t>bard 6, cleric/oracle 6, inquisitor 6, psychic 6, sorcerer/wizard 6, witch 6</t>
  </si>
  <si>
    <t>V, S, M (a work of art bearing your target's likeness worth at least 1,500 gp)</t>
  </si>
  <si>
    <t>1 month</t>
  </si>
  <si>
    <t>While casting this spell, you slowly destroy a piece of art bearing your victim's likeness and beseech Achaekek to grant you access to the knowledge and lore contained within the innermost sanctum of the Crimson Citadel, the Sarzari Library. This endows you with information that could facilitate the target's assassination by your hands. This information must be chosen from one of the three following categories-back doors, character, or weakness. "Back doors" informs you of hidden passages and other means of navigation within your target's home. While inside your target's home, you gain a +10 insight bonus on Perception checks and gain the constant benefits of detect secret doors and find traps. You automatically see through any illusory walls in the target's home. "Character" lets you know of a compromising detail about your target's personal life, giving you a +10 bonus on Bluff, Diplomacy, and Intimidate checks when attempting to gather information about your contracted victim from other people. Your target takes a -2 penalty on all saving throws against mind-affecting effects you generate, and you gain a +4 bonus on caster level checks you attempt to overcome the target's spell resistance. "Weakness" grants you knowledge of physical vulnerabilities your target has, as well as information about the target's damage reduction, immunities, and other defensive abilities. If these vulnerabilities and defenses change during the spell's duration, you immediately know. You automatically confirm all critical threats against the target. Once your victim is slain or a month has passed (whichever comes first), the information you gained from the spell fades. While you can recall certain elements of these memories, you no longer gain any of the benefits associated with the spell. You can only have one target affected by Sarzari shadow memory at any one time; if you cast this spell a second time while a previous casting is still active, the effects of the new spell replace the effects of the old one.</t>
  </si>
  <si>
    <t>Sawtooth Terrain</t>
  </si>
  <si>
    <t>one 10-foot square of difficult and damaging terrain</t>
  </si>
  <si>
    <t>This spell targets an area of earth, metal, stone, or wood, causing long, serrated blades to shoot out from random points within the area of effect. Any creature in the area when the spell is first cast must attempt a Reflex save to avoid taking 3d8 points of piercing damage from the blades and an additional 2d6 points of bleed damage. A creature that fails the save also has its speed reduced by half for 24 hours or until the injured creature benefits from a "cure" spell (which restores lost hit points as normal). Another creature can remove the penalty by succeeding on a Heal check against the spell's save DC as a standard action. The lashing limbs remain active in the area for the remainder of the spell's duration, during which time the area is treated as difficult terrain, and any creature that moves into or through the area takes 1d8 points of piercing damage. The transformed area can be located on any visible surface within range, including floors, walls, doors, ceilings, or other generally flat surfaces.</t>
  </si>
  <si>
    <t>Instant Portrait</t>
  </si>
  <si>
    <t>bard 1, cleric/oracle 1, inquisitor 1, mesmerist 1, occultist 1, psychic 1, sorcerer/wizard 1, summoner/unchained summoner 1, witch 1</t>
  </si>
  <si>
    <t>a monochromatic illustration up to 1 square foot in area</t>
  </si>
  <si>
    <t>You touch a surface and produce a painted portrait of either yourself or a creature you can see without needing to attempt a Craft (painting) check. The surface to be affected must be relatively flat, such as a piece of paper or a wall. The image can be any color of your choice, but is monochromatic. While it is of too poor a quality to sell, it is otherwise accurate enough to recognize the subject or to serve as a target for the enter image spell. The portrait reflects your perception of the creature depicted, including any disguises, magical or mundane, that the subject is wearing at the time of the painting's creation. The portrait is only as durable as normal paint and can be removed by mundane means.</t>
  </si>
  <si>
    <t>Wall Of Silver</t>
  </si>
  <si>
    <t>bard 5, cleric/oracle 6, inquisitor 5, sorcerer/wizard 6</t>
  </si>
  <si>
    <t>transparent wall 20 ft. high by up to 20 ft. long/level</t>
  </si>
  <si>
    <t>You create a wall of translucent silver energy that hums and vibrates at the slightest touch. Objects and nonevil creatures can pass through this wall without difficulty. However, spells and effects with the evil descriptor treat this barrier as a wall of force, which blocks line of effect. Evil creatures that pass through the wall take 3d6 points of damage + 1 point of damage per caster level (maximum 3d6+20) and are blinded for 1 round. Creatures of any alignment that are particularly vulnerable to silver (such as those with damage reduction bypassed by silver, like devils or lycanthropes) instead take 1d6 points of damage per caster level (maximum 15d6), are staggered for 1 round, and are permanently blinded. A creature that succeeds at a Will save reduces the damage by half and negates the blinding and staggering effects. If you create a wall of silver so that it appears where creatures are, each creature takes damage as if passing through the wall. Each such creature can avoid the wall (ending up on the side of its choice) and thus take no damage by succeeding at a Reflex save.</t>
  </si>
  <si>
    <t>Storm Sight</t>
  </si>
  <si>
    <t>V, S, F (a storm, either natural or magical)</t>
  </si>
  <si>
    <t>You step into any magical or naturally occurring storm and commune directly with the power of the wind and rain. This spell allows the storm's power to fill you, granting you knowledge and images of what else lies within its reach. As long as you remain within the storm, you can concentrate on it for 1 minute to determine whether or not other living creatures with an Intelligence score of 3 or higher are caught in the storm within 400 feet of you. Due to the nature of the spell, you do not need to attempt concentration checks against violent wind or storms when casting the spell, but other elements that might disrupt spellcasting require checks as normal. While the spell is in effect, you no longer need to attempt concentration checks as a result of wind or storms for spells you cast or concentrate on. Once you've sensed creatures with this spell by concentrating for 1 minute, you can continue concentrating to learn more. After you concentrate for 1 additional round, the spell reveals to you via winds and rain the presence of any Small or larger living creature with an Intelligence of 3 or higher within 400 feet of you. After 2 consecutive rounds of concentration, you learn the approximate distance to the detected life forms from your current location. After 3 rounds of concentration, the rain and winds allow you to determine the approximate direction of each life form. Once you've concentrated in this way for 3 rounds, you gain a bonus equal to half your caster level on your next initiative check during the spell's duration.</t>
  </si>
  <si>
    <t>Alpha Instinct</t>
  </si>
  <si>
    <t>bard 3, druid 2, medium 2, mesmerist 3, ranger 2, shaman 2</t>
  </si>
  <si>
    <t>V, S, M (a bit of musk from an alpha wolf or another socially dominant animal)</t>
  </si>
  <si>
    <t>Animals perceive you as a social superior. The starting attitude of animals you interact with improves by one step, and you gain a +2 morale bonus on Handle Animal checks. Helpful animals provide simple assistance (such as using the aid another action on skill checks they understand) as long as the spell lasts, but they flee from attacks and do not support you in combat. At one point during the spell's duration, you can issue a nonverbal command to helpful animals within 60 feet to forage for you; the animal or animals immediately head out into the wilderness to do just that. After 1 hour, the animals return to the location where you issued the command to make you an offering of edible food sufficient for one meal for you and a number of others equal to your caster level.</t>
  </si>
  <si>
    <t>Ultimate Wilderness</t>
  </si>
  <si>
    <t>Gain bonuses when you’re interacting with animals.</t>
  </si>
  <si>
    <t>Aquatic Cavalry</t>
  </si>
  <si>
    <t>antipaladin 2, druid 2, paladin 2, ranger 2, shaman 2, summoner/unchained summoner 2</t>
  </si>
  <si>
    <t>1 hippocampus plus 1 hippocampus/3 caster levels</t>
  </si>
  <si>
    <t>You summon a school of hippocampi (one plus one per 3 caster levels, to a maximum of six at 15th level; Pathfinder RPG Bestiary 2 155) to serve as combat-trained mounts. The hippocampi avoid combat if possible but defend themselves if attacked. If any hippocampus attacks, the remaining duration of the spell changes from 1 hour per level to 1 round per level (so if a full 4 hours remained, the hippocampi last for only 4 more rounds).</t>
  </si>
  <si>
    <t>Summon hippocampi to serve as aquatic mounts.</t>
  </si>
  <si>
    <t>Bleed For Your Master</t>
  </si>
  <si>
    <t>antipaladin 2, druid 3, ranger 3, sorcerer/wizard 3, witch 3</t>
  </si>
  <si>
    <t>When you would be hit by an attack that requires an attack roll, or when you are within an area of effect that allows you to attempt a Reflex saving throw, with a single touch you compel the target to throw itself in front of the blow or shield you from the effect.  If an attack roll triggered this spell's casting, the target takes the damage instead of you, even if the attack roll would not normally hit the target's Armor Class.  If an area of effect that allows you to attempt a Reflex save triggered this spell's casting, the target instead grants you cover against the effect (+2 bonus on Reflex saves) if it is your size or smaller, or improved cover (+4 bonus on Reflex saves and improved evasion against the effect) if it is larger than you. The target automatically fails its Reflex save against the effect but can still benefit from improved evasion and similar mitigating effects. After taking damage, the target is shaken for 1 minute. If the target was already shaken, it becomes frightened instead.</t>
  </si>
  <si>
    <t>Compel a companion to take damage for you.</t>
  </si>
  <si>
    <t>Callback</t>
  </si>
  <si>
    <t>shaman 2, sorcerer/wizard 2, witch 2</t>
  </si>
  <si>
    <t>V, S, M (a crushed grasshopper)</t>
  </si>
  <si>
    <t>your familiar or spirit animal</t>
  </si>
  <si>
    <t>10 minutes/level or until expended (see text)</t>
  </si>
  <si>
    <t>If the target takes hit point damage while within range of this spell, it immediately teleports to your space (or adjacent to your space) after the damage is applied. If the target is killed, its corpse teleports instead. Optionally, you can specify a number of points of damage for your familiar to take before the spell takes effect, but you must do so when the spell is cast. Once the familiar has teleported back to you, the spell ends.</t>
  </si>
  <si>
    <t>Teleport a familiar or spirit animal to your side when it is injured.</t>
  </si>
  <si>
    <t>Callback, Greater</t>
  </si>
  <si>
    <t>1 hour/level or until expended</t>
  </si>
  <si>
    <t>This spell functions as callback, except as noted above.</t>
  </si>
  <si>
    <t>Teleport a familiar or spirit animal from miles away to your side when it is injured.</t>
  </si>
  <si>
    <t>Cave Fangs</t>
  </si>
  <si>
    <t>druid 5, shaman 5, witch 5</t>
  </si>
  <si>
    <t>V, S, M (a sharp gemstone fragment worth 150 gp)</t>
  </si>
  <si>
    <t>one 5-ft. square/level (S); the area must be a stone surface</t>
  </si>
  <si>
    <t>1 day/level or until triggered (D)</t>
  </si>
  <si>
    <t>You create a magical trap in the area that causes deadly stalactites or stalagmites to lurch out of the floor or ceiling of a stone surface to "bite" an intruder. The magical trap is triggered whenever a Small or larger creature (other than you or your animal companion, familiar, or spirit animal) moves through the affected area. The effect of cave fangs depends on whether you create stalactites or stalagmites (see below). You can place these trapped squares anywhere within the spell's range; they need not be adjacent to each other, and you can create any mix of stalactites and stalagmites you wish. Cave fangs can be detected and disarmed as per a magical trap with successful DC 30 Perception and Disable Device checks. All trapped squares created by a single casting are linked, and they are all disabled if one of them is. If you place the traps in an area that is occupied by a creature, the spell effect is triggered at the completion of the casting.  Stalactites: Shards of rock drop from the ceiling, dealing 3d8 points of bludgeoning and piercing damage (Reflex half) and creating an area of dense rubble that costs 2 squares of movement to enter. Dense rubble adds 5 to the DC of Acrobatics checks and adds 2 to the DCs of Stealth checks. A creature that fails its Reflex save is pinned to the ground under stalactites and rubble, gaining the entangled condition until it can free itself with a successful DC 15 Strength check or DC 20 Escape Artist check. One Small or larger creature can automatically clear the rubble by working for 1 minute.  Stalagmites: Piercing spires of rock erupt up from the ground, dealing 3d8 points of piercing damage and knocking the creature prone (a creature that succeeds at a Reflex saving throw takes half damage and avoids being knocked prone). Once the stalagmites appear, they function thereafter as spike stones for 1 minute per caster level and then crumble to dust.  If cave fangs is cast inside of a cave or cavern, each effect of the spell deals 4d8 points of damage instead of 3d8, and creatures that trigger the cave fangs take a -2 penalty on their saving throws against the spell's effect.</t>
  </si>
  <si>
    <t xml:space="preserve"> Create a trap from stalactites and stalagmites.</t>
  </si>
  <si>
    <t>Companion Transposition</t>
  </si>
  <si>
    <t>antipaladin 4, druid 5, paladin 4, ranger 4, shaman 5, sorcerer/wizard 5, witch 5</t>
  </si>
  <si>
    <t>V, S, F (a feather, tuft of fur, or similar memento from your target)</t>
  </si>
  <si>
    <t>yourself and one animal companion, familiar, or spirit animal within range</t>
  </si>
  <si>
    <t>You trade places with the other target, teleporting as if you were both affected by dimension door. Both you and the other target arrive in a square you choose in the other's former space. If the targets are different sizes, they must appear in locations that cover previously occupied squares. As with dimension door, after casting this spell, you can't take any other actions until your next turn, and the other target is staggered until the end of its next turn due to the transposition.</t>
  </si>
  <si>
    <t>Swap places with your animal companion, familiar, or spirit animal via teleportation.</t>
  </si>
  <si>
    <t>Earth Tremor</t>
  </si>
  <si>
    <t>bloodrager 3, druid 3, magus 3, shaman 3, sorcerer/wizard 3, witch 3</t>
  </si>
  <si>
    <t>up to 30 ft. (see text)</t>
  </si>
  <si>
    <t>30-ft. line, 20-ft. cone-shaped spread, or 10-ft.-radius spread (see text)</t>
  </si>
  <si>
    <t>You strike the ground and unleash a tremor of seismic force, hurling up earth, rock, and sand. You choose whether the earth tremor affects a 30-foot line, a 20-foot cone-shaped spread, or a 10-foot-radius spread centered on you. The space you occupy is not affected by earth tremor. The area you choose becomes dense rubble that costs 2 squares of movement to enter. Dense rubble adds 5 to the DC of Acrobatics checks and adds 2 to the DC of Stealth checks. Creatures on the ground in the area take 1d4 points of bludgeoning damage per caster level you have (maximum 10d4) or half damage on a successful save. Medium or smaller creatures that fail their saves are knocked prone.  This spell can be cast only on a surface of earth, sand, or stone. It has no effect if you are in a wooden or metal structure or if you are not touching the ground.</t>
  </si>
  <si>
    <t>Unleash a tremor that creates difficult terrain and can knock foes down and damage them.</t>
  </si>
  <si>
    <t>Echo</t>
  </si>
  <si>
    <t>bard 1, druid 1, medium 1, mesmerist 1, occultist 1, psychic 1, ranger 1, spiritualist 1, witch 1</t>
  </si>
  <si>
    <t>S, F (a conch shell)</t>
  </si>
  <si>
    <t>close (25 ft. + 5 ft./2 levels) or long (400 ft. + 40 ft./level); see text</t>
  </si>
  <si>
    <t>one 10-ft. cube/level (S)</t>
  </si>
  <si>
    <t>You cause a sound heard in the target area up to 1 round ago and lasting up to 1 round in duration to repeat at a regular interval. The original sound need not have come from the area, but it echoes from the target area at its original full volume. Any special effects of the sound are not duplicated by this spell. If the area is naturally prone to echoes, such as a space surrounded on at least two sides by cliffs or high river banks, the spell's range is long. Otherwise, the spell's range is close.  You can concentrate as a standard action to alter the echo. You can change it to be any sound audible in the area within the last 1 round, move the apparent source of the sound within the area, or attempt a Bluff check to create a distraction to hide with a bonus equal to your caster level.</t>
  </si>
  <si>
    <t xml:space="preserve"> Cause a sound to repeat itself.</t>
  </si>
  <si>
    <t>Explosion Of Rot</t>
  </si>
  <si>
    <t>V, S, M (a rotting flower)</t>
  </si>
  <si>
    <t>You call forth a burst of decay that ravages all creatures in the area. Even nonliving creatures such as constructs and undead crumble or wither in this malignant eruption of rotting energy. Creatures in the area of effect take 1d6 points of damage per caster level (maximum 15d6) and are staggered for 1d4 rounds. A target that succeeds at a Reflex saving throw takes half damage and negates the staggered effect. Plant creatures are particularly susceptible to this rotting effect; a plant creature caught in the burst takes a -2 penalty on the saving throw and takes 1 extra point of damage per die.</t>
  </si>
  <si>
    <t>Call forth a burst of decay that damages and can stagger targets.</t>
  </si>
  <si>
    <t>Fey Form I</t>
  </si>
  <si>
    <t>alchemist 3, bloodrager 3, druid 3, magus 4, shaman 3, sorcerer/wizard 4, witch 4</t>
  </si>
  <si>
    <t>You assume the form of a Small or Medium creature of the fey type. Your base speed changes to match the new form's base speed, with a maximum speed of 60 feet (even if the chosen fey form has a base speed in excess of that speed). If the form you assume has any of the following abilities, you gain those abilities: climb speed 30 feet, fly speed 30 feet (average maneuverability), swim speed 30 feet, darkvision 60 feet, low-light vision, scent, and boot stomp. If the form you assume has the aquatic subtype, you can breathe air and water. If the creature has any weaknesses, you gain those weaknesses. If a listed ability depends on an item (as is the case with boot stomp), this spell transforms the nearest counterpart among your worn gear into that item.  You can more easily cast spells that the creature has as spell-like abilities, although you must still cast them as normal for your class. When you cast a spell that the creature has as a spell-like ability, it requires no verbal or somatic components and can't be countered.  Small Fey: If you assume this form, you gain a +2 size bonus to your Dexterity and Constitution scores.  Medium Fey: If you assume this form, you gain a +2 size bonus to your Strength and Constitution scores.</t>
  </si>
  <si>
    <t>Assume the form of a Small or Medium fey creature.</t>
  </si>
  <si>
    <t>Fey Form II</t>
  </si>
  <si>
    <t>alchemist 5, druid 5, magus 6, shaman 5, sorcerer/wizard 6, witch 6</t>
  </si>
  <si>
    <t>This spell functions as fey form I, except it also allows you to assume the form of a Tiny or Large creature of the fey type. Your base speed can't increase above 90 feet this way. If the form you assume has any of the following abilities, you gain those abilities: burrow speed 30 feet, climb speed 90 feet, fly speed 60 feet (good maneuverability), swim speed 60 feet, all-around vision, blindsense 30 feet, darkvision 60 feet, low-light vision, scent, see in darkness, abduct, animated hair, bleed, blood rage, boot stomp, burn, compression, constrict, crushing leap, DR 2/cold iron, grab, heavy weapons, icewalking, kneecapper, nasal spray, no shadow, oversized weapons, poison, putrid vomit, rock throwing (50 feet, 1d6 damage), sound mimicry, trackless step, trample, tree meld, undersized weapons, and woodland stride. If the creature has immunity to mind-affecting effects or poison, you gain a +4 resistance bonus on saves against those effects. If the creature has any weaknesses, you gain them. Tiny Fey: If you assume this form, you gain a +6 size bonus to your Dexterity score and take a -2 penalty to your Strength score. Large Fey: If you assume this form, you gain a +4 size bonus to your Strength and Constitution scores and take a -2 penalty to your Dexterity score.</t>
  </si>
  <si>
    <t xml:space="preserve"> Assume the form of a Tiny or Large fey creature.</t>
  </si>
  <si>
    <t>Fey Form III</t>
  </si>
  <si>
    <t>alchemist 6, druid 6, shaman 6, sorcerer/wizard 7, witch 7</t>
  </si>
  <si>
    <t>This spell functions as fey form II except it allows you to assume the form of a Diminutive or Huge creature of the fey type. If the form you assume has any of the following abilities, you gain those abilities: burrow speed 60 feet, climb speed 90 feet, fly speed 90 feet (good maneuverability), swim speed 90 feet, all-around vision, blindsense 60 feet, blindsight 30 feet, darkvision 90 feet, low-light vision, scent, see in darkness, tremorsense 60 feet, abduct, animated hair, bleed, blood rage, boot stomp, burn, compression, constrict, crushing leap, DR 5/cold iron, fear aura, frightful presence, grab, heavy weapons, icewalking, kneecapper, luminous, nasal spray, no shadow, oversized weapons, poison, putrid vomit, rend, rock throwing (100 feet, 2d6 damage), sound mimicry, supernatural speed, tear shadow, trackless step, trample, tree meld, undersized weapons, and woodland stride. If the creature has immunity or resistance to any energy types, you gain resistance 20 to those energy types. If the creature has immunity to mind-affecting effects or poison, you gain a +8 resistance bonus on saves against those effects. If the creature has any weaknesses, you gain those weaknesses. Diminutive Fey: If you assume this form, you gain a +8 size bonus to your Dexterity score and take a -4 penalty to your Strength score. Huge Fey: If you assume this form, you gain a +6 size bonus to your Strength and Constitution scores and take a -4 penalty to your Dexterity score.</t>
  </si>
  <si>
    <t>Assume the form of a Diminutive or Huge fey creature.</t>
  </si>
  <si>
    <t>Fey Form IV</t>
  </si>
  <si>
    <t>druid 8, shaman 8, sorcerer/wizard 9, witch 9</t>
  </si>
  <si>
    <t>This spell functions as fey form III except it doesn't limit your base speed and also allows you to use more abilities. If the form you assume has any of the following abilities, you gain those abilities: burrow speed 60 feet, climb speed 90 feet, fly speed 120 feet (good maneuverability), swim speed 120 feet, all-around vision, blindsense 60 feet, blindsight 30 feet, darkvision 90 feet, low-light vision, scent, see in darkness, tremorsense 60 feet, abduct, animated hair, beguiling aura, bleed, blood rage, boot stomp, burn, compression, constrict, crushing leap, DR 5/cold iron, fast healing 5, fear aura, frightful presence, grab, heavy weapons, hide in plain sight, icewalking, kneecapper, luminous, nasal spray, no shadow, oversized weapons, poison, putrid vomit, rend, rock throwing (120 feet, 2d10 damage), sound mimicry, supernatural speed, tear shadow, trackless step, trample, transparency, tree meld, undersized weapons, vault, and woodland stride. If the creature has immunity or resistance to any energy types, you gain resistance 30 to those energy types. If the creature has immunity to mindaffecting effects or poison, you gain a +8 resistance bonus on saves against those effects. If the creature has spell resistance, you gain spell resistance 6 + your caster level. If the creature has any weaknesses, you gain those weaknesses.</t>
  </si>
  <si>
    <t>Assume the form of a powerful fey creature.</t>
  </si>
  <si>
    <t>Fey Gate</t>
  </si>
  <si>
    <t>bard 6, cleric/oracle 8, druid 8, sorcerer/wizard 8, summoner/unchained summoner 6, witch 8</t>
  </si>
  <si>
    <t>This spell functions as the planar travel function of gate, except it can be used to travel only between points on the Material Plane and the First World, and it comes with additional dangers.  This spell forms a circular portal between 5 and 20 feet in diameter (your choice) oriented in the direction you desire when it comes into being (typically vertical and facing you). The portal is full of gray fog that blocks line of sight.  Anyone or anything that moves through the portal to enter the First World is shunted instantly to a random point on that plane (the same point for everything traveling via a particular casting). At the end of the spell's duration, the caster can attempt a DC 30 Spellcraft check. On a success, the portal remains open for 1d4+1 days. Creatures exiting the First World through a fey gate always arrive at the location the spell was cast.  While the spell always deposits travelers on solid ground in the First World, it conveys no protections against whatever creatures or environmental hazards may be present there.</t>
  </si>
  <si>
    <t>Create a portal that allows travel to the First World.</t>
  </si>
  <si>
    <t>Flashfire</t>
  </si>
  <si>
    <t>druid 3, shaman 3</t>
  </si>
  <si>
    <t>one 5-ft. square/2 levels</t>
  </si>
  <si>
    <t>Reflex negates (object) and Fortitude negates</t>
  </si>
  <si>
    <t>You cause flames to spring up in the area of effect. These flames deal 1d6 points of fire damage for every 3 caster levels you have (maximum 5d6) to each creature that enters a burning area or begins its turn in the area; these creatures also catch on fire. A creature that succeeds at a Reflex save negates the damage and avoids catching on fire. The area and all adjacent 5-foot squares are smoky, providing concealment within. You can concentrate as a standard action to ignite one 5-foot square adjacent to a currently burning square. Heavy precipitation (including sleet storm) ends the spell. Strong and severe winds spread each square of flashfire downwind by one square each round, but windstorm-force or stronger winds extinguish the fires.</t>
  </si>
  <si>
    <t>Cause smoky fires to spring up to burn foes and set them alight.</t>
  </si>
  <si>
    <t>Forest's Sense</t>
  </si>
  <si>
    <t>You can sense the location of a target creature within range if it is also within 10 feet of a living plant or fungus. You must be able to target the creature by tangible qualities such as its build, clothing texture, size, or tracks, but you need not have line of effect to your target. The fungus or plants near the target serve as a scrying sensor for this spell. Your senses of hearing, smell, and touch extend to all fungus and plants within 10 feet of the target, allowing you to gauge the size and shape of nearby objects and potentially to overhear conversations in which the target is currently participating. Your scent ability and tremorsense extend through this scrying sensor if you have them, but any other special senses you might have do not. For 1 day after casting this spell, you gain a +5 insight bonus on Survival checks to track creatures you sensed via the spell. You can dismiss this bonus on Survival checks.</t>
  </si>
  <si>
    <t>Sense the location of a distant target that is near a plant or fungus.</t>
  </si>
  <si>
    <t>Greensight</t>
  </si>
  <si>
    <t>druid 2, ranger 2, shaman 2, sorcerer/wizard 2</t>
  </si>
  <si>
    <t>V, S, M (a leaf)</t>
  </si>
  <si>
    <t>The target of this spell gains the ability to see up to 60 feet through thick plant matter as though it were transparent. Greenery, leaves, and vines-even lichen, moss, and slime-offer no concealment to the recipient's sight, though her vision still can be blocked by solid wood, such as trees or wooden structures. Undergrowth does not grant concealment to a creature against a target of the effects of greensight.</t>
  </si>
  <si>
    <t>Grant a target the ability to see through plant matter as if it were transparent.</t>
  </si>
  <si>
    <t>Hidden Spring</t>
  </si>
  <si>
    <t>cleric/oracle 1, druid 1, ranger 1, shaman 1, witch 1</t>
  </si>
  <si>
    <t>V, S, F (a Y-shaped wooden rod)</t>
  </si>
  <si>
    <t>a spring of fresh water</t>
  </si>
  <si>
    <t>You spend 1 hour in quiet meditation, holding the focus component in both hands and walking around a natural area. You are simultaneously drawn to areas of natural moisture while drawing that moisture closer. As the spell's casting time concludes, you thrust the focus component into the ground. From that point, a fresh, clean water trickles forth at a rate of 1 gallon every 10 minutes. You cannot cast this spell inside a building or in an area of worked stone, but you can cast it underground. You cannot cast this spell within 1 mile of an existing hidden spring.</t>
  </si>
  <si>
    <t>Discover a temporary spring of fresh, flowing water.</t>
  </si>
  <si>
    <t>Iron Stake</t>
  </si>
  <si>
    <t>cleric/oracle 3, druid 3, inquisitor 2, ranger 2, sorcerer/wizard 3, witch 3</t>
  </si>
  <si>
    <t>V, S, M (a pinch of iron filings)</t>
  </si>
  <si>
    <t>This spell creates a 1-foot-long spike of cold iron that you fling at your target as a ranged touch attack. The stake is treated as a magic and cold iron weapon for the purpose of overcoming damage reduction, and deals 1d6 points of piercing damage for every 2 caster levels you have (maximum 10d6 at 20th level). Additionally, if a creature with DR/cold iron takes damage from this spell, it is sickened for 1 round and must attempt a Fortitude save. If it fails, for a number of rounds equal to your caster level, it must succeed at a concentration check (in addition to any normally required concentration checks) to use any spells or spell-like abilities it has-the DC of this check is equal to 15 + twice the spell's level. If the creature fails this concentration check, its spell is wasted.</t>
  </si>
  <si>
    <t>Hurl a spike of cold iron at a foe.</t>
  </si>
  <si>
    <t>Magical Beast Shape</t>
  </si>
  <si>
    <t>This spell functions as beast shape IV except you can assume the form of only a magical beast of a size between Diminutive and Huge. If the form you assume has any of the following abilities, you gain those abilities: burrow speed 60 feet, climb speed 90 feet, fly speed 120 feet (good maneuverability), swim speed 120 feet, blindsense 60 feet, blindsight 30 feet, darkvision 90 feet, low-light vision, scent, see in darkness, tremorsense 60 feet, blood drain, blood frenzy, breath weapon (if damage, up to 12d6 points), constrict, fast healing 5, ferocity, grab, hold breath, jet, no breath, poison, pounce, powerful charge, pull, rake, rend, roar, spikes, trample, trip, and web. If the creature has immunity to poison, you gain a +8 resistance bonus on saves against poison. If the creature has immunity or resistance to any energy types, you gain resistance 20 to those energy types. If the creature has vulnerability to an energy type, you gain that vulnerability. Diminutive Magical Beast: If you assume this form, you gain a +10 size bonus to your Dexterity score and take a -4 penalty to your Strength score. Huge Magical Beast: If you assume this form, you gain a +8 size bonus to your Strength score, take a -4 penalty on your Dexterity score, a +2 size bonus to your Constitution score, and gain a +7 natural armor bonus.</t>
  </si>
  <si>
    <t>Assume the form of a magical beast.</t>
  </si>
  <si>
    <t>Merge With Familiar</t>
  </si>
  <si>
    <t>your familiar or spirit animal; see text</t>
  </si>
  <si>
    <t>As long as the target is at least one size category smaller than you are, it can merge harmlessly into your body while under the effect of this spell. For the duration of this spell, you and the target can separate or merge at will as a move action. While merged, your familiar or spirit animal can't be targeted or affected by most attacks and effects, though it still suffers from ongoing effects and their durations continue. It can be the recipient of effects that originate from you.</t>
  </si>
  <si>
    <t>Merge the body of your familiar or spirit animal into your own.</t>
  </si>
  <si>
    <t>Mirage</t>
  </si>
  <si>
    <t>bard 3, druid 3, mesmerist 3, occultist 3, psychic 3, ranger 3</t>
  </si>
  <si>
    <t>V, S, M (a pinch of sand and a drop of water)</t>
  </si>
  <si>
    <t>Will disbelief (see below)</t>
  </si>
  <si>
    <t>You create an image of a pool of water, a group of standing stones, a cove, an island, or another simple land formation over a stretch of flat land or water. The image is purely visual, and structures, equipment, and creatures within the area are not hidden or changed in appearance. Anyone interacting with the illusion can attempt to disbelieve it, and a creature trained in Survival can make a special attempt to disbelieve the illusion. The creature must be within 120 feet of the illusion's area and can attempt a Survival check instead of a Will saving throw. If the result is equal to or greater than the spell's save DC, the creature realizes the mirage is an illusion as if it disbelieved the spell.</t>
  </si>
  <si>
    <t>Create illusory terrain.</t>
  </si>
  <si>
    <t>Ooze Form I</t>
  </si>
  <si>
    <t>V, S, M (a bit of the creature whose form you plan to assume)</t>
  </si>
  <si>
    <t>You assume the form of a Small or Medium ooze. Regardless of the type of ooze you transform into, you gain base speed 10 feet, climb speed 10 feet, swim speed 20 feet, and blindsense 30 feet. You gain a +4 resistance bonus on saving throws against mindaffecting effects and poison. A wood or metal weapon that strikes you takes acid damage as if from your slam unless the wielder succeeds at a Reflex saving throw. Small Ooze: If you assume this form, you gain a +4 size bonus to your Constitution score, a slam attack (1d3 plus 1d3 acid), and constrict (1d3), and take , a -4 penalty to your Dexterity score. Medium Ooze: If you assume this form, you gain a +6 size bonus to your Constitution score, a -6 penalty to your Dexterity score, a slam attack (1d4 plus 1d4 acid), and constrict (1d4).</t>
  </si>
  <si>
    <t>Assume the form of a Small or Medium ooze creature.</t>
  </si>
  <si>
    <t>Ooze Form II</t>
  </si>
  <si>
    <t>This spell functions as ooze form I except you can also assume the form of a Large ooze. You gain blindsight 30 feet and immunity to critical hits and precision damage as well. Large Ooze: If you assume this form, you gain a +2 size bonus to your Strength score, a +8 size bonus to your Constitution score, a slam attack (2d4 plus 1d6 acid and grab), and constrict (2d4), and you take a -8 penalty to your Dexterity score.</t>
  </si>
  <si>
    <t>Assume the form of a Large ooze creature.</t>
  </si>
  <si>
    <t>Ooze Form III</t>
  </si>
  <si>
    <t>This spell functions as ooze form II except you can also assume the form of a Huge ooze. You gain blindsight 60 feet and a +8 resistance bonus on saving throws against mind-affecting effects and poison as well. Huge Ooze: If you assume this form, you gain a +4 size bonus to your Strength, a +10 size bonus to your Constitution score, a -10 penalty to your Dexterity score, base speed 20 feet, climb speed 20 feet, swim speed 30 feet, a slam attack (2d6 plus 2d6 acid and grab), and constrict (2d6).</t>
  </si>
  <si>
    <t>Assume the form of a Huge ooze creature.</t>
  </si>
  <si>
    <t>Pouncing Fury</t>
  </si>
  <si>
    <t>alchemist 2, bloodrager 2, druid 2, magus 2, ranger 2, sorcerer/wizard 2, witch 2</t>
  </si>
  <si>
    <t>When you charge, you can make a full attack at the end of that charge, but only with claw attacks you have, and you can make only one attack per claw. If you have abilities that grant bonuses on damage rolls or that apply other special effects to charge attacks, only the first claw attack benefits from these bonuses. When you make a claw attack as an attack of opportunity, you can expend one additional use of your attacks of opportunity to make an additional claw attack against the target that provoked the attack.</t>
  </si>
  <si>
    <t>Replay Tracks</t>
  </si>
  <si>
    <t>druid 5, inquisitor 4, medium 3, occultist 3, psychic 5, ranger 2</t>
  </si>
  <si>
    <t>V, S, F (a track or other sign of a creature's passing found with Perception or Survival)</t>
  </si>
  <si>
    <t>concentration, up to 1 hour/level</t>
  </si>
  <si>
    <t>This spell allows you to reconstruct past events that occurred in your current location based on the tracks and other signs left behind. Replay tracks reveals events that occurred while the tracks that serve as the focus for the spell were being left, revealing events in the order they happened in real time or in reverse, depending on whether you are following the tracks forward or backward, although the image isn't clear enough to make out details (such as a creature's exact identity). You can attempt Survival checks to follow tracks as part of concentrating on the spell, but only events connected to the tracks used as the focus of the spell are revealed by the spell. Elements that left no trace detectable by you, such as creatures benefitting from pass without trace, are absent from the events you visualize.</t>
  </si>
  <si>
    <t>Reconstruct past events from a set of tracks.</t>
  </si>
  <si>
    <t>Ropeweave</t>
  </si>
  <si>
    <t>occultist 2, ranger 2</t>
  </si>
  <si>
    <t>V, S, F (a rope)</t>
  </si>
  <si>
    <t>one rope</t>
  </si>
  <si>
    <t>You cause the target rope to grow in length and weave itself into one of several forms, each of which can support up to 1,000 pounds, plus 200 pounds per caster level (maximum 3,000 pounds at 10th level). Only one type of construction can be created with each casting of the spell, and the creation remains stationary unless destroyed. Each 5-foot section of the object created by this spell has a break DC of 23, AC 11, and 1 hit point per caster level (maximum 10 hp), but all sections of the creation are magically supported and need not be anchored to a solid surface or any other portion of the effect. Destroying one part of it does not cause the remainder of the structure to collapse, though each 5-foot section destroyed reduces the maximum weight the creation can support by 200 pounds. During any round in which the rope is overloaded, every remaining section takes 1d4 points of damage. You can use ropeweave to create any of the following structures. Rope Bridge: The rope forms a 5-foot-wide bridge that spans up to 10 feet horizontally per caster level you have (maximum 100 feet). Creatures can cross the bridge at half speed with a successful DC 5 Acrobatics check or at full speed with a successful DC 10 Acrobatics check. The DC assumes a creature is using both hands to assist in navigating the rope bridge; the DC increases by 5 if a creature uses only one hand to steady itself and by 10 if the creature does not use its hands. A failed Acrobatics check results in failure to progress across the rope bridge; creatures that fail by 5 or more fall. Rope Hammock: The rope knits itself into a stationary hammock suspended in midair. The hammock can be suspended at a height of 5 feet plus 5 feet per 2 caster levels you have (maximum 30 feet), with a rope ladder (see below) leading up to a platform of 1 5-foot square per caster level, and at least one such square must be adjacent to the square containing the vertical rope ladder. As a move action, the caster can command the rope ladder to withdraw into the hammock. When the ladder is withdrawn, the rope hammock blends in with its surroundings and muffles sounds and smells from creatures resting on it that are taking no violent actions; noticing the rope hammock requires a successful DC 20 Perception check or Survival check, even for creatures with scent. This does not apply if the creatures in the hammock attack or move more than half speed. The hammock provides a +2 cover bonus to AC against attacks from beneath it. Rope Ladder: The rope knots itself and hangs suspended in midair, perpendicular to the ground, stretching up to 10 feet vertically per caster level you have (maximum 100 feet). Climbing the rope ladder requires a successful DC 5 Climb check, or DC 0 if there is a wall adjacent to it you can brace it against. Trip Line: The rope stretches into a tangled mass that fills one 5-foot square per caster level you have (maximum 10 squares), all of which must be contiguous (including diagonally). Any creature entering a square with this trip line must succeed at an Acrobatics check (DC = 10 if moving at half speed, DC = 15 if moving at full speed, and DC = 20 if running or charging). On a failed check, the creature's movement stops when it enters the square; a creature that fails by 5 or more falls prone. A creature larger than Medium gains a +2 bonus on its Acrobatics check for every size category larger than Medium it is.</t>
  </si>
  <si>
    <t>Create useful tools from a coil of rope.</t>
  </si>
  <si>
    <t>Scamper</t>
  </si>
  <si>
    <t>Your animal companion moves with astonishing agility and speed until the end of its turn. It can move at full speed while using Acrobatics, and it gains a competence bonus equal to twice your caster level (maximum +20 at 10th level) on Acrobatics checks to avoid attacks of opportunity or move through a square occupied by an enemy.</t>
  </si>
  <si>
    <t>Grant your animal companion astonishing agility.</t>
  </si>
  <si>
    <t>Sea Of Dust</t>
  </si>
  <si>
    <t>2-mile-radius emanation</t>
  </si>
  <si>
    <t>You cause all areas of water to which you have line of effect to recede as if you had cast control water. Exposed water that enters the area ebbs away, evaporating or leaching into the ground at a rate of 1 foot of depth per hour. Living creatures in the area when the spell is cast are parched with thirst and take a -4 penalty on Constitution checks to resist the effects of a hot climate, and their daily water requirement to avoid thirst doubles (Pathfinder RPG Core Rulebook 444). Plant creatures and inanimate plants take 1d6 points of nonlethal damage per hour after the first 24 hours, which bypasses hardness and damage reduction. Living creatures with the aquatic or water subtype, unless completely immersed in water, must attempt a DC 20 Constitution check each hour no matter how much water they drink. A creature that fails takes 1d6 points of nonlethal damage and becomes fatigued until it recovers from the nonlethal damage. After 1 week, the soil in the area of sea of dust begins to break down and blow away. Moderate winds have a 50% chance each hour to cause sandstorms (Core Rulebook 431). This chance increases to 75% in strong winds and 100% in severe or stronger winds. Short-duration wind effects such as gust of wind create sandstorms with the same area and duration as the spell, plus an identical duration after the spell ends. After 1 month, the soil in an area affected by sea of dust has virtually disintegrated. The area is treated as a shallow bog for the purposes of movement (Core Rulebook 427), with a 25% chance each hour to encounter an area equivalent to a deep bog 2d6x10 feet across, and a 5% chance to encounter a collapsing dust drift equivalent to quicksand (Core Rulebook 427) 1d6x5 feet across. The affected region remains desertlike in condition until the magic is dispelled, at which point the region recovers and returns to its original terrain over the course of time (this may take only days or weeks, or it could take months or even years, subject to GM discretion). This spell has no effect if cast on an entirely aquatic region. If the spell is cast on an island, the effects of the spell extend to the shore but not beyond.</t>
  </si>
  <si>
    <t>Permanently drive water out of a region to create a desert.</t>
  </si>
  <si>
    <t>Sea Steed</t>
  </si>
  <si>
    <t>druid 2, paladin 2, ranger 2</t>
  </si>
  <si>
    <t>a creature you are mounted upon</t>
  </si>
  <si>
    <t>The target adapts to life in the water, gaining piscine scales that cover its body and growing fins in place of feet. It gains the aquatic subtype, the amphibious quality, and a swim speed equal to its base speed before it came under the effect of this spell. While under the effects of this spell, the target's base speed is reduced by 10 feet (minimum 10 feet).</t>
  </si>
  <si>
    <t>Your mount adapts to an aquatic environment</t>
  </si>
  <si>
    <t>Sea Stallion</t>
  </si>
  <si>
    <t>druid 4, paladin 4, ranger 4</t>
  </si>
  <si>
    <t>This spell functions as sea steed, but as long as you stay mounted on the target, you also gain the amphibious quality and your melee attacks function as if you were under the effect of freedom of movement. The benefits you gain from this spell are not polymorph effects. If you dismount from the target, you retain the amphibious quality for up to 1 minute, but not the other benefits. You regain all of the benefits once you mount the target creature again.</t>
  </si>
  <si>
    <t>You and your mount adapt to an aquatic environment.</t>
  </si>
  <si>
    <t>Shapechanger's Gift</t>
  </si>
  <si>
    <t>V, S, M (a piece of the creature whose form you plan to grant)</t>
  </si>
  <si>
    <t>willing living creature touched</t>
  </si>
  <si>
    <t>You change the target into an animal (as per beast shape I), humanoid (as per alter self), or monstrous humanoid (as per monstrous physique IUM). The chosen form can't have a fly speed. The subject's statistics change as per the appropriate spell except the creature's ability scores and natural armor do not change. The creature can change between its natural form and the chosen form at will as a standard action.</t>
  </si>
  <si>
    <t>Temporarily change a target into an animal, humanoid, or monstrous humanoid.</t>
  </si>
  <si>
    <t>Shapechanger's Gift, Greater</t>
  </si>
  <si>
    <t>This spell functions as shapechanger's gift except the chosen form can be an animal (as per beast shape I), elemental (as per elemental body I), fey (as per fey form I*), humanoid (as per alter self), monstrous humanoid (as per monstrous physique IUM), or vermin (as per vermin shape IUM) and the chosen form can have a fly speed.</t>
  </si>
  <si>
    <t>Temporarily change a target into an animal, elemental, fey, humanoid, monstrous humanoid, or vermin.</t>
  </si>
  <si>
    <t>Signs Of The Land</t>
  </si>
  <si>
    <t>This spell functions as commune with nature except it reveals up to three details about the territory you currently occupy from the following list: bodies of water, features, minerals, or plants. For each feature you learn about, you automatically know the skills you can use to discover that feature and you gain 1d6 Discovery Points toward finding it (see page 124).</t>
  </si>
  <si>
    <t xml:space="preserve"> Learn up to three details about the surrounding territory.</t>
  </si>
  <si>
    <t>Sky Steed</t>
  </si>
  <si>
    <t>The target sprouts angelic wings and gains a fly speed equal to its base speed with average maneuverability. It also gains a bonus on Fly checks equal to your caster level.</t>
  </si>
  <si>
    <t>Grant your mount angelic wings.</t>
  </si>
  <si>
    <t>Snowball</t>
  </si>
  <si>
    <t>bloodrager 1, druid 1, magus 1, sorcerer/wizard 1, summoner/unchained summoner 1, witch 1</t>
  </si>
  <si>
    <t>one ball of ice and snow</t>
  </si>
  <si>
    <t>You throw a ball of elemental ice and snow at a single target as a ranged touch attack. The snowball deals 1d6 points of cold damage per caster level you have (maximum 5d6).</t>
  </si>
  <si>
    <t>Throw a conjured ball of snow at a target.</t>
  </si>
  <si>
    <t>Soothing Mud</t>
  </si>
  <si>
    <t>dust, earth, sand, or water in one 5-ft. square/level</t>
  </si>
  <si>
    <t>You create an area of healing mud. Water, earth, sand, and dust thicken into a wet mud. The mud functions as difficult terrain and does not sink if created in water unless weighed down by more than 100 pounds per caster level you have. Each round a creature begins its turn in or on the mud, the mud restores 1 hit point to it; this healing is unaffected by effects that increase a creature's healing. A creature that rests partially or completely submerged in this mud for 1 full minute is also healed of 1d4 points of ability damage to an ability score of its choice. A creature can be healed of ability damage this way only once per day.</t>
  </si>
  <si>
    <t>Create restorative mud that heals hit point and ability damage.</t>
  </si>
  <si>
    <t>Sturdy Tree Fort</t>
  </si>
  <si>
    <t>V, S, F (a nail, a rope, and a short wooden plank)</t>
  </si>
  <si>
    <t>one large tree and a sturdy wooden house</t>
  </si>
  <si>
    <t>You cause a large tree to grow in the 5-foot square you touch. The tree has 1 foot of thickness for every 4 caster levels you have, and it can grow to any height you designate, up to 5 feet high per caster level you have. If there is a ceiling or other barrier overhead, the maximum height of the tree cannot exceed the space available. At any point along the tree's height, you can create a sturdy wooden building that fills one 10-foot cube for every 4 caster levels you have. All portions of the structure must be adjacent to the trunk of the tree (or can have the tree trunk extend up through their spaces), but otherwise these cubes need not be contiguous. If you place the cubes so that they are contiguous, the buildings merge together, complete with ladders connecting different vertical levels. The fort is magically supported, but if the tree it is attached to is destroyed, the structure is destroyed as well (the tree has hardness 5 and 20 hp per caster level you have). Each building you create has shuttered arrow slits on its walls and in the floor, granting those within the structure improved cover against attacks from outside while the arrow slits are open and total cover when they are closed. Each cube within the fort is equivalent to a secure shelter, other than the size and its wooded construction material (hardness 5). When you cast sturdy tree fort, you can designate a number of creatures equal to your caster level. Designated creatures gain a +10 bonus on Climb checks and are not denied their Dexterity bonuses while climbing on the fort's structure, as they find handholds and stable footholds easily on the tree and its buildings. You cannot cast this spell in an area of worked stone, though you can cast it in natural surroundings that would not normally support the growth of a large tree, such as a cavern, desert, or glacier. If you cast this spell in a forest, jungle, or similar heavily treed terrain, the fort is camouflaged as long as its doors and windows remain closed (or even if they are open, as long as those within remain quiet and take no violent actions), requiring a successful DC 25 Perception check or Survival check to notice its presence.</t>
  </si>
  <si>
    <t>Create a tree with a defensive fort within it.</t>
  </si>
  <si>
    <t>Tailwind</t>
  </si>
  <si>
    <t>bloodrager 4, cleric/oracle 4, druid 3, magus 4, occultist 3, ranger 3, shaman 3, sorcerer/wizard 4, spiritualist 3</t>
  </si>
  <si>
    <t>one or more creatures, no two of which can be more than 120 feet apart</t>
  </si>
  <si>
    <t>You compel the wind to push the targets in a direction of your choice. The subjects can hustle during local and overland movement without risk of fatigue. If the subjects are flying, the first 20 feet of movement each round in the chosen direction does not count against their movement for the round. Each creature remains affected only while within 120 feet of every other subject. You can change the tailwind's direction once per hour by concentrating as a standard action. This spell has no effect underwater.</t>
  </si>
  <si>
    <t>Create a current of wind to enhance or impede flight.</t>
  </si>
  <si>
    <t>Tail Current</t>
  </si>
  <si>
    <t>This spell functions as tailwind except it creates a helpful current in water instead of in the air. It grants free movement while swimming rather than while flying and functions only underwater.</t>
  </si>
  <si>
    <t>Tamer's Lash</t>
  </si>
  <si>
    <t>bard 1, bloodrager 1, magus 1, ranger 1</t>
  </si>
  <si>
    <t>a whip of magical sound</t>
  </si>
  <si>
    <t>A 15-foot-long whip of sonic energy springs from your hand, delivering a loud crack when you strike with it. The tamer's lash acts as a whip that deals 1d4 points of sonic damage on a hit, but it has no physical substance and you cannot use it to perform combat maneuvers, nor can it be sundered or disarmed. If you strike an animal with the tamer's lash, the animal must succeed at a Will saving throw or be unable to attack you for 1d3 rounds. Furthermore, if the whipped animal starts its turn unable to attack you as a result of this spell and it is within 30 feet of you, it must spend its first action moving away from you, if it is able. Combattrained animals, animal companions, and animals with Hit Dice in excess of your caster level + 4 gain a +4 circumstance bonus on their saves to avoid being intimidated in this way. This intimidation effect is a mind-affecting fear effect.</t>
  </si>
  <si>
    <t>Create a whip made of sound that damages foes and can frighten animals.</t>
  </si>
  <si>
    <t>Tidal Surge</t>
  </si>
  <si>
    <t>30 ft. or 60 ft.; see text</t>
  </si>
  <si>
    <t>cone-shaped burst or line; see text</t>
  </si>
  <si>
    <t>If you cast tidal surge on land, you create an onrushing surge of water 10 feet high in a 30-foot cone that deals 1d6 points of bludgeoning damage for every 2 caster levels you have (maximum 10d6 at 20th level) and extinguishes all nonmagical fires in the area. Magical fire effects in the area of a tidal surge are affected as if you had cast dispel magic. In addition to taking damage, creatures that fail their Reflex saves are pushed 1d4x5 feet away from you, and Medium or smaller creatures are also knocked prone. If you cast this spell in or on a body of water at least 30 feet across, you can shape the spell either as the cone described above or as a 60-foot line. In either shape, the water deals 1d10 points of bludgeoning damage for every 2 caster levels you have in addition to pushing away creatures that fail their Reflex saves.</t>
  </si>
  <si>
    <t>Create a surge of water to bludgeon foes and extinguish fires.</t>
  </si>
  <si>
    <t>Vigilant Rest</t>
  </si>
  <si>
    <t>antipaladin 3, bard 4, medium 3, mesmerist 4, occultist 3, paladin 3, psychic 4, ranger 3, shaman 4, spiritualist 4, witch 4</t>
  </si>
  <si>
    <t>V, S, M (a handful of crushed glass)</t>
  </si>
  <si>
    <t>1 living creature touched</t>
  </si>
  <si>
    <t>While the target of this spell is asleep, she retains some of her normal powers of perception. While she tunes out harmless sounds such as the crackling of the campfire, crickets, or light breezes, she does not take the normal +10 modifier to the DC of Perception checks she attempts while asleep. If the target detects a threat or unexplained noise while sleeping, she can wake immediately and stand up from her sleeping position as a free action. If the target is roused but returns to sleep during the spell's duration, she falls asleep immediately and does not count as having her sleep interrupted, even if she engaged in combat while she was awake.</t>
  </si>
  <si>
    <t>Cause a sleeping creature to retain some perception of its surroundings.</t>
  </si>
  <si>
    <t>Vine Strike</t>
  </si>
  <si>
    <t>alchemist 2, antipaladin 2, bloodrager 2, druid 2, ranger 2, shaman 2, sorcerer/wizard 2</t>
  </si>
  <si>
    <t>Bristles burst from your body, lodging in your opponent and blossoming into entangling vines as you pummel your target. While this spell is in effect, one of your natural attacks or unarmed strikes deals an additional 1d6 points of damage, and each creature hit with that natural weapon or unarmed strike must succeed at a Reflex save or be entangled for the duration of the spell; on a successful Reflex save, the creature is immune to the entangled effect for 1 round. A creature entangled by this spell can spend a standard action to remove the vines, but can be entangled again by further unarmed strikes.</t>
  </si>
  <si>
    <t xml:space="preserve"> Enhance one of your natural or unarmed attacks with thorny vine growth.</t>
  </si>
  <si>
    <t>Wandering Weather</t>
  </si>
  <si>
    <t>This spell functions as control weather except you can opt for the weather to remain centered on you as you move.</t>
  </si>
  <si>
    <t>Control weather in a large area that moves with you.</t>
  </si>
  <si>
    <t>Winter Grasp</t>
  </si>
  <si>
    <t>Ice encrusts the ground, radiating supernatural cold and making it hard for creatures to maintain their balance. This icy ground is treated as normal ice, forcing creatures to spend 2 squares of movement to enter an icy square and increasing the DC of Acrobatics checks in the area by 5. A creature that begins its turn in the affected area takes 1d6 points of cold damage and takes a -2 penalty on saving throws against spells with the cold descriptor for 1 round.</t>
  </si>
  <si>
    <t>Create a slippery sheet of ice on the ground.</t>
  </si>
  <si>
    <t>With The Wind</t>
  </si>
  <si>
    <t>bloodrager 2, druid 2, magus 2, occultist 2, ranger 2, sorcerer/wizard 2, spiritualist 2</t>
  </si>
  <si>
    <t>You create eddies in the air around the subject that protect it from being checked or blown away. The target can't be moved by winds of less than windstorm force unless it wishes to be.</t>
  </si>
  <si>
    <t>Protect a target from being blown away by wind of less than windstorm forc</t>
  </si>
  <si>
    <t>Halfling Vengeance</t>
  </si>
  <si>
    <t>antipaladin 1, cleric/oracle 2, inquisitor 2</t>
  </si>
  <si>
    <t>one Small or smaller creature touched</t>
  </si>
  <si>
    <t>You grant the touched target the ability to ascertain the weaknesses of foes. The target deals an additional 1d6 points of precision damage on successful attacks with daggers or slings against foes within 30 feet, as long as the attacked foe is denied its Dexterity bonus to Armor Class or is flanked by the target. This additional damage increases by 1d6 for every 4 caster levels you have beyond 3rd, to a maximum of 5d6 at 19th level. This bonus damage is precision damage and stacks with other sources of precision damage, such as sneak attack. This bonus damage is not multiplied on a critical hit.  Once per round on a successful attack that deals this precision damage, the target can choose to forgo 2d6 points of precision damage (either granted by this spell or from other sources of precision damage, such as sneak attack) to inflict one of the following conditions on the attacked foe for 1 round:  • The attacked foe can't make attacks of opportunity against creatures smaller than it.  • The attacked foe is denied its Dexterity bonus to Armor Class against attacks made with daggers or slings.  • The attacked foe takes a -2 penalty on attacks against creatures smaller than it.  • The attacked foe can't take 5-foot steps.  A creature can benefit from only one halfling vengeance spell at a time.</t>
  </si>
  <si>
    <t>AP 131</t>
  </si>
  <si>
    <t>Halfling Vengeance, Mass</t>
  </si>
  <si>
    <t>antipaladin 4, cleric/oracle 7, inquisitor 6</t>
  </si>
  <si>
    <t>one Small or smaller creature/level, no two of which can be more than 30 ft. apart</t>
  </si>
  <si>
    <t>This spell functions like halfling vengeance, except that it affects multiple creatures.</t>
  </si>
  <si>
    <t>Word Of Beckoning</t>
  </si>
  <si>
    <t>This spell functions like sending, except the subject also receives knowledge of a command word that, when spoken, summons you to the open space nearest to the subject.  The subject must speak the command word within 1 round of knowing it to summon you, although the subject isn't obligated to speak it. You can be transported any distance within a plane but cannot travel between planes. You can bring along objects as long as their weight doesn't exceed your maximum load. You may also bring one additional willing Medium or smaller creature (carrying gear or objects up to its maximum load) or its equivalent per three caster levels. A Large creature counts as two Medium creatures, a Huge creature counts as four Medium creatures, and so forth. All creatures to be transported must be in contact with one another, and at least one of those creatures must be in contact with you.</t>
  </si>
  <si>
    <t>Alluring Light</t>
  </si>
  <si>
    <t>bard 1, witch 1</t>
  </si>
  <si>
    <t>You glow with a soft radiance that calls out to all who see it. Each enemy that fails its save is drawn to you and must use its move action to approach you at the beginning of each of its turns for 1 round per caster level. An affected target must move toward you in the most direct path it can, though it can step around obstacles or other creatures. This spell can't force a creature to walk into an area that might obviously harm or kill it (such as into a pit, over a patch of floor studded with caltrops, or through a wall of fire). An affected creature that loses sight of you is not compelled to move toward you, although if it later regains vision of you while still affected by this spell, it must again move toward you. Any hostile action against an affected creature (such an attack of opportunity due to its movement) cancels the spell's effect against that creature. Your initial flash of light also increases the light level within the spell's area by one step, up to normal light (darkness becomes dim light, and dim light becomes normal light) for 1 round per caster level.</t>
  </si>
  <si>
    <t>AP 134</t>
  </si>
  <si>
    <t>Moonrise Arrow</t>
  </si>
  <si>
    <t>cleric/oracle 3, inquisitor 3, magus 3, occultist 3, paladin 3</t>
  </si>
  <si>
    <t>You cause ammunition, including shuriken, to glow with faint silvery light. The ammunition counts as magic and silver for the purpose of overcoming damage reduction, in addition to the properties of any other special material the ammunition has. Incorporeal undead and shapechangers take an additional 1d8 points of damage from such ammunition. The targeted ammunition sheds dim light in a 5-foot radius for 1 round after it is fired or thrown.</t>
  </si>
  <si>
    <t>Qlippoth Appearance</t>
  </si>
  <si>
    <t>alchemist 3, antipaladin 2, cleric/oracle 3, shaman 3, witch 3</t>
  </si>
  <si>
    <t>10 minutes/level (see text)</t>
  </si>
  <si>
    <t>When under the effects of this spell, your face and body appear subtly wrong, though you are still recognizable as yourself. You gain a +4 circumstance bonus on Intimidate checks but take a -4 penalty on Diplomacy checks. As long as this spell's effects persist, you can reveal the face under your face as a standard action, assaulting the senses of a single living creature within 30 feet that can see you. A targeted creature must succeed at a Will save against the DC of this spell or be subject to one of the following effects (your choice). Every time you use this ability, you reduce the remaining duration of this spell by 10 minutes.  • The affected creature takes 1 point of Wisdom damage.  • The affected creature is paralyzed with revulsion for 1 round.  • The affected creature is sickened with disgust for 1d6 rounds.  • The affected creature takes 1d6 points of nonlethal damage as its senses are overwhelmed.</t>
  </si>
  <si>
    <t>AP 135</t>
  </si>
  <si>
    <t>Awaken The Devoured</t>
  </si>
  <si>
    <t>cleric/oracle 5, inquisitor 4, psychic 5, shaman 5, sorcerer/wizard 5, spiritualist 5, witch 5</t>
  </si>
  <si>
    <t>one daemon per 4 caster levels</t>
  </si>
  <si>
    <t>instantaneous and 1 round/level</t>
  </si>
  <si>
    <t>This spell is often used by conjurers as a method to torment daemons and force compliance, for it awakens the broken, anguished memories of the countless souls that the target daemons have consumed. All daemons targeted by awaken the devoured must be within 30 feet of each other. The fragmented memories haunt and afflict the daemons, dealing 1d8 points of damage per caster level (maximum 15d8) and making the daemons confused for 1 round per level. A daemon that succeeds at a Will save halves the damage and negates the confusion effect.</t>
  </si>
  <si>
    <t>Book of the Damned</t>
  </si>
  <si>
    <t>Charon's Dispensation</t>
  </si>
  <si>
    <t>cleric/oracle 4, inquisitor 4, medium 4, mesmerist 4, psychic 4, shaman 4, sorcerer/wizard 4, spiritualist 4, witch 4</t>
  </si>
  <si>
    <t>V, S, M (2 silver coins)</t>
  </si>
  <si>
    <t>The target of this spell gains immunity to the harmful effects of touching or drinking from the River Styx and a +4 profane bonus on saves against effects that alter or suppress memory (such as modify memory or mindwipeOA). This does not grant the target the ability to breathe water, nor does it grant any protection against creatures or mundane hazards such as rapids. The spell has no power to restore memory to a creature already suffering from an existing fugue or amnesia state.</t>
  </si>
  <si>
    <t>Create Drug</t>
  </si>
  <si>
    <t>alchemist 3, cleric/oracle 4, druid 3, occultist 3</t>
  </si>
  <si>
    <t>1 dose of a drug/3 levels</t>
  </si>
  <si>
    <t>The caster conjures into being one of the following drugs: aether, flayleaf, opium, pesh, scour, shiver, or zerk. (At the GM's discretion, other drugs of similar power can be included on this list.) The drug doses the caster creates with this spell must be used within 1 minute of being conjured, or they dissolve into worthless dust or evaporate into noxious but fleeting vapors, though the effects of the drug may last far longer if taken before it decays.  The drugs created by this spell cannot be sold, but they can be given to other creatures. A creature that takes a dose of one of these drug typically must be either willing or helpless, though some drugs might be inhaled, applied to injuries, or secretly slipped into food if the caster acts swiftly (see each drug's description). The DC to resist a drug created by this spell is based on the conjurer's caster level, not the DC listed in the common versions of the drug. For more information, see Drugs and Addiction on page 236 of the Pathfinder RPG GameMastery Guide.  As a special use of this spell, a lawful evil worshiper of Mahathallah, the Dowager of Illusions, can create doses of the drug adyton (see the sidebar above). A Mahathallah worshiper can create adyton only once per week, regardless of her level or how many times she casts this spell. The spell otherwise functions- and creates as many doses-as normal.</t>
  </si>
  <si>
    <t>Create Soul Gem</t>
  </si>
  <si>
    <t>cleric/oracle 3, occultist 3, shaman 3, sorcerer/wizard 3, spiritualist 3, witch 3</t>
  </si>
  <si>
    <t>V, S, F (crystal lens worth 500 gp)</t>
  </si>
  <si>
    <t>one dying or recently dead creature</t>
  </si>
  <si>
    <t>You draw forth the ebbing life force of a dying creature or one that has died in the past round, focusing it through a crystal lens focus to transform into a soul gem. If the creature is alive and fails its saving throw, it dies and you capture its soul in the gem. If the creature is dead, it can still resist the spell effect by attempting a Will save as if it were still alive. The value of the soul gem created depends on the nature of the creature it is made from (see page 191). Soul gems created by this spell crumble to dust once the spell's duration expires, releasing the trapped soul to travel on to judgment in the Great Beyond.  Only one soul gem can be created from a dying creature. Any attempt to resurrect a body whose soul is trapped in a soul gem requires a caster check against create soul gem's save DC. Failure results in the resurrection spell having no effect, while success shatters the target's soul gem and returns the creature to life as normal. If the soul gem resides in an unholy location, such as that created by the unhallow spell, the DC of this check increases by 2.  If you are a souldrinker (see page 212), you can cast this spell and expend 5 soul points to fill the gem with the equivalent of one basic soul.</t>
  </si>
  <si>
    <t>Hellfire Ray</t>
  </si>
  <si>
    <t>cleric/oracle 6, magus 6, sorcerer/wizard 6, witch 6</t>
  </si>
  <si>
    <t>V, S, F/DF (any unholy symbol or heretical tome)</t>
  </si>
  <si>
    <t>A blast of hellfire blazes from your hands. You can fire one ray, plus one additional ray for every 4 caster levels beyond 11th (to a maximum of three rays at 19th level). Each ray requires a ranged touch attack to hit and deals 1d6 points of damage per caster level (maximum 15d6). Half the damage is fire damage, but the other half results directly from unholy power and is therefore not subject to being reduced by fire resistance. The rays can be fired at the same target or at different targets, but all rays must be fired simultaneously and aimed at targets within 30 feet of each other.  Any creature killed by this spell must attempt a Will saving throw; failure means the creature's soul is damned to Hell as a burst of brimstone appears around its corpse. A nonevil spellcaster attempting to bring the creature back from the dead  must attempt a caster level check (DC = 10 + the slain creature's level) to succeed; failure means the spellcaster cannot try again for 1 day. Evil spellcasters can raise the slain character normally, without requiring a check. A raised c</t>
  </si>
  <si>
    <t>Lash Of The Astradaemon</t>
  </si>
  <si>
    <t>cleric/oracle 6, magus 5, sorcerer/wizard 6, witch 6</t>
  </si>
  <si>
    <t>You draw on the essence of astradaemons to cause one of your hands to elongate and sprout fearsome translucent claws that radiate a cold phosphorescence. You gain one claw attack, which is a primary natural attack that deals 1d6 points of slashing damage on a hit (1d4 for a Small spellcaster) and forces the creature struck to succeed at a Fortitude save against the spell (spell resistance applies) to resist gaining 1 negative level. Each time you inflict a negative level with this spell, you gain 5 temporary hit points that persist for 1 hour. A creature that succeeds at the saving throw against your claw's negative level is immune to further negative levels inflicted from this casting of lash of the astradaemon but not to the claw's damage. The claw does not interfere with your ability to cast spells or perform other actions that require hands. You can use your claw attack up to 1 time per 2 caster levels. Your claw reverts to a normal hand once you've delivered all of your potential attacks or after 24 hours (whichever comes first).</t>
  </si>
  <si>
    <t>Malediction</t>
  </si>
  <si>
    <t>antipaladin 4, cleric/oracle 4, shaman 4, spiritualist 4, witch 4</t>
  </si>
  <si>
    <t>1 creature touched</t>
  </si>
  <si>
    <t>1 minute and instantaneous (see text)</t>
  </si>
  <si>
    <t>Channeling the blasphemy of fiends into your hand, you mark your target with a brief but fundamental corruption, causing its soul to be irretrievably damned should it die within the next minute. If you are lawful evil, souls are sent to Hell. If you are neutral evil, souls are sent to Abaddon. If you are chaotic evil, souls are sent to the Abyss.  A target killed while under the effect of this spell cannot be resurrected by normal means. Only a worshiper of a deity or demigod of your alignment can return a soul damned by malediction to life without difficulty. Other spellcasters must succeed at a caster level check (DC = 10 + your caster level) to restore to life a creature slain while under the effects of  malediction. Miracle or wish can return the victim of a malediction to life without requiring a caster level check.  A soul can also be freed by the efforts of someone bodily going to the appropriate plane, locating the affected soul, and leading it out of the plane, which allows it to go to its intended destination in the afterlife and be resurrected as normal. You can end the effects of your own malediction by casting the spell again and concentrating on a past target. Doing so only frees the past target to go to its rightful place in death; it does not return the target to life.  Spells such as break enchantment, dispel magic, and remove curse negate this spell if successfully cast before the target dies.</t>
  </si>
  <si>
    <t>Parasitic Soul</t>
  </si>
  <si>
    <t>This spell functions like magic jar except as noted above, and instead of your own soul, you can transfer a trapped soul (such as one trapped in a soul gem or trapped with soul bind or trap the soul) from the receptacle into an unwilling target's body. If the target creature fails its saving throw, it dies and the trapped soul in the receptacle permanently inhabits the body as if using magic jar. The trapped soul does not get a saving throw to resist this transfer. To dismiss the spell, you must be within range of the possessed body.</t>
  </si>
  <si>
    <t>Rift Of Ruin</t>
  </si>
  <si>
    <t>5-ft.-wide, 60-ft.-deep extradimensional hole, up to 5 ft. long per level (S)</t>
  </si>
  <si>
    <t>This spell tears a rift in reality, creating an extradimensional hole with a depth of 60 feet. You must create the rift on a horizontal surface of sufficient size. Since the rift extends into the Abyss, it does not displace the original underlying material or allow access to areas below the surface-you can create the rift on the deck of a ship as easily as in a dungeon floor or the ground of a forest. Any Large or smaller creature standing in the area where you conjure the rift must succeed at a Reflex save to avoid falling into the hole. If successful, the creature picks which side of the rift it remains on once the rift opens. Unattended objects and structures that can be fully engulfed by the rift automatically fall into it.  The walls of the rift are covered with razor-sharp blades, while the floor seethes with boiling pools of acid, strange chewing  vermin, writhing shards of ice, and all manner of other chaotic and deadly manifestations of the Abyss. A creature that falls into the rift takes 6d6 points of falling damage. Any creature in the rift (starting on the round it enters) takes an additional 6d6 points of damage from the rift's environs, even if the creature is merely climbing or flying within the rift rather than standing at the bottom. This additional damage changes from round to round and is randomly selected from acid, bludgeoning, cold, electricity, fire, piercing, slashing, or sonic. Each round, a creature in the rift can attempt a Reflex save to take half damage that round. The rift's walls have a Climb DC of 25.  When this spell's duration ends, the rift snaps shut, violently expelling all creatures still within. These creatures take double damage from the rift's environs in that round and are knocked prone as they are returned to the surface above.  At any time during the spell's duration, you can use it to conjure a number of Abyssal denizens into the surrounding region as a standard action. Doing so causes the rift to snap shut, ending the spell's duration and returning any creatures that had fallen into it to the ground as detailed above. As the rift snaps shut, choose one of the following creatures or groups of creatures to appear in the area; these Abyssal denizens are treated as if you had summoned them via summon monster VII and remain for a number of rounds equal to the remaining duration of the rift of ruin spell. You can choose to summon one of the following: one bebilith, one vrock, 1d3 shadow demons, 1d3 succubi, 1d4+1 babaus, or 1d4+1 brimoraksB6.</t>
  </si>
  <si>
    <t>Sacrifice</t>
  </si>
  <si>
    <t>one summoned elemental or outsider (see text)</t>
  </si>
  <si>
    <t>instantaneous, 1 hour, or 1 day (see text)</t>
  </si>
  <si>
    <t>You make a sacrifice to aid in conjuring and commanding a creature called with planar ally, planar binding, or a similar spell. A sacrifice can be used in a variety of ways.  Bargain: Making a sacrifice directly to the conjured being grants you a bonus on opposed Charisma checks made to compel the creature into service for the next hour.  Enticement: Making a sacrifice the round before conjuring increases the DC of the Will save an outsider must attempt to resist being conjured.  Payment: Making a sacrifice directly to the conjured being allows you to pay for one service from the creature in commodities other than gold.  Reinforcement: Making a sacrifice the round before creating a magic circle and preparing a summoning diagram amplifies the power of its warding magic, increasing the DC of Charisma checks the creature might attempt to escape. This lasts 1 day.  Multiple sacrifices can be made to affect a single conjuring, but the bonuses provided by this spell do not stack. Therefore, while you can make sacrifices to aid in conjuring and bargaining with a creature, you cannot make multiple sacrifices (even of varying types) to enhance the same effect for a particular conjuration.  A sacrifice can consist of any kind of commodity the target creature favors, including living creatures, treasures, or more ephemeral offerings. While this spell is not fundamentally evil, good-aligned creatures are more selective in what offerings they accept, typically scoffing at blood sacrifices. Many sacrifices are fundamentally evil acts, such as murdering a pious innocent to conjure a fiend. Any creature might reject certain types of sacrifices, thus denying you the benefits of this spell, as the offering must appeal to the target-few outsiders would care for 2,000 gp worth of parchment, while 2,000 gp of diamonds would be widely coveted. The GM determines what sacrifices creatures find appealing.  The table below lists a number of likely offerings, along with the bonus such gifts provide and the offering's equivalent value in gold pieces for the purposes of planar ally. Several of these sacrifices involve the loss of ability scores, levels, or lives, and some can cause changes in alignment. Any change wrought by such sacrifices (loss of ability score or level, or change in alignment) cannot be recovered, cured, or undone by any spell or effect short of miracle or wish. The same is true of creatures killed as a sacrifice; such creatures cannot be resurrected by any magic less powerful than these spells. Any object sacrificed with this spell is effectively destroyed or removed to an extraplanar holding of the conjured creature's choice. The bonuses and values noted on the sacrifice effects table are guidelines for offerings; certain types of treasures or lives might prove especially valuable to specific creatures, with extraordinary sacrifices (such as a potent artifact or the life of a high-level paladin) garnering increased bonuses.  You cannot make greater sacrifices than those noted on the table to gain increased bonuses or gold values. For example, you could not gain 2 permanent negative levels to gain a +16 bonus, nor gain increased benefit from slaying 20 Hit Dice worth of creatures to pay for a 10-HD creature's service.  Granted  Type Sacrifice Bonus GP Value  Treasures 100 gp/HD of target +1 Equal  Lives1 One living creature +2 200 gp/HD with HD equal to target  Body/Mind1 Reduction of ability score +4 500 gp/point by 1 reduced  Morals2 Alignment shifts one step +6 1,000 gp/step toward target's  Soul1 One permanent negative +8 2,500 gp level  1 When used to sacrifice a life, body, mind, or soul other than the caster's own, this is an evil act.  2 A character can sacrifice only her own morals, and can do so only once per lifetime.</t>
  </si>
  <si>
    <t>Soul Transfer</t>
  </si>
  <si>
    <t>V, S, M (a gem worth 1,000 gp per HD of the targeted creature or soul)</t>
  </si>
  <si>
    <t>one petitioner, incorporeal soul, or similar creature</t>
  </si>
  <si>
    <t>This spell functions like the spell completion option of trap the soul, except it works only on bodiless souls (such as incorporeal undead or a soul trapped in a gem) and creatures whose substance is a physical incarnation of a soul (such as a petitioner). It does not work on creatures formed from souls or planar material (such as most outsiders). Soul transfer is mainly used to transfer souls from one receptacle to another, but it can also be used to capture vulnerable souls that aren't bound to mortal flesh (such as incorporeal creatures and petitioners). When used to capture a petitioner, the petitioner's physical body vanishes, reappearing only when its soul is released from the receptacle.</t>
  </si>
  <si>
    <t>Waters Of Lamashtu</t>
  </si>
  <si>
    <t>alchemist 2, antipaladin 2, cleric/oracle 3, druid 3, witch 3</t>
  </si>
  <si>
    <t>V, S, M (250 gp of powdered amber)</t>
  </si>
  <si>
    <t>up to 1 flask of the waters of Lamashtu per 2 levels</t>
  </si>
  <si>
    <t>This spell generates what appears to be clear, pure water, but it is in fact a foul secretion known as the waters of Lamashtu. The liquid functions in all the same ways as unholy water (see curse water). In addition, any creature that is anointed with or drinks this fluid must attempt a Fortitude save (drinking the waters of Lamashtu is particularly effective-a creature that drinks the liquid takes a -4 penalty on its save to resist its effects). Success causes the creature to become violently ill, vomit up the fluid, and become sickened for 1d4 rounds. Failure indicates the water takes root and wreaks havoc on the victim's mind (dealing 1d6 points of Intelligence damage) and twists and deforms its body (dealing 1d6 points of Dexterity damage). The subject's Dexterity and Intelligence cannot drop below 1 as a result of this effect. Casting this spell creates approximately 2 ounces of the waters of Lamashtu-enough for one dose or, if bottled, one use as a thrown weapon.  The fluid can be created and stored indefinitely, though it cannot be created inside a creature. Extensive exposure to the waters of Lamashtu (such as drinking nothing else for months at a time) can have other long-term effects on the target, including the development of monstrous deformities or even total transformation into a beast, depending on the GM's discretion (these mutations are rarely, if ever, beneficial to the victim).</t>
  </si>
  <si>
    <t>Anywhere But Here</t>
  </si>
  <si>
    <t>magus 4, psychic 4, sorcerer/wizard 4, summoner 4, witch 4</t>
  </si>
  <si>
    <t>you and up to four willing creatures, none of whom can be on their home plane</t>
  </si>
  <si>
    <t>This spell functions similarly to plane shift, but instead of transporting the targets to a destination near an intended location on a specific plane, anywhere but here transports affected creatures to a random plane. A creature can be affected by anywhere but here only if it is currently not on its home plane (although targets can, by chance, end up traveling to their home plane as a result of this spell). Subjects always appear in a location that is not inherently harmful, but the exact destination is otherwise random. The specific plane is determined by the table below; the location on the destination plane where the transported creatures arrive is completely subject to the GM's whim.  d% Planar Destination  1-7 Abyss  8-14 Abaddon  15-20 Hell  21-24 Shadow Plane  25-28 First World  29-35 Maelstrom  36-42 Boneyard  43-49 Axis  50-56 Ethereal Plane  57-63 Elysium  64-70 Nirvana  71-77 Heaven  78-84 Astral Plane  85-90 Random demiplane  91-95 Material Plane (random world)  96-100 GM's choice  A creature that is transported by anywhere but here cannot be affected by a subsequent casting of anywhere but here for 24 hours afterward (but can be affected normally by other forms of planar travel).</t>
  </si>
  <si>
    <t>Planar Adventures</t>
  </si>
  <si>
    <t>Transport yourself and willing creatures to a random planar destination.</t>
  </si>
  <si>
    <t>Arbitrament</t>
  </si>
  <si>
    <t>non-neutral creatures in a 40-ft.-radius spread centered on you</t>
  </si>
  <si>
    <t>All chaotic evil, chaotic good, lawful evil, and lawful good creatures within the area of this spell suffer the following conditions, based on their Hit Dice.  Hit Dice Effect  Equal to caster level Sickened  Up to caster level - 1 Sickened, staggered  Up to caster level - 5 Nauseated, sickened, staggered  Up to caster level - 10 Killed, nauseated, sickened, staggered  The effects are concurrent. A creature can attempt a Will save to reduce or negate the effects. If subject to multiple effects, the creature rolls once and applies the result to each effect.  Sickened: The creature is sickened for 1d4 rounds (Will negates).  Staggered: The creature is staggered for 2d4 rounds, or for 1d4 rounds on a successful Will save.  Nauseated: The creature is nauseated for 1d10 minutes, or for 1d4 rounds on a successful Will save.  Killed: Living creatures die, and undead creatures are destroyed. On a successful Will save, the creature instead takes 3d6 points of damage + 1 point per caster level (maximum +25).  Furthermore, if you are on your home plane when you cast this spell, all chaotic evil, chaotic good, lawful evil, and lawful good extraplanar creatures within the area are banished to their home planes (Will negates, at a -4 penalty). Creatures so banished cannot return for at least 24 hours. This effect takes place regardless of whether the creatures hear the arbitrament.  Creatures whose Hit Dice exceed your caster level are unaffected by arbitrament.</t>
  </si>
  <si>
    <t>Harms creatures of extreme alignments.</t>
  </si>
  <si>
    <t>Ardor's Onslaught</t>
  </si>
  <si>
    <t>instantaneous or 1d6 rounds; see text</t>
  </si>
  <si>
    <t>You unleash the power of zealous conviction to smite your enemies with a burst of pulsing metallic energy. Only creatures with a neutral alignment component are harmed by the spell.  The spell deals 1d8 points of damage per 2 caster levels (maximum 5d8) to creatures whose alignment is neutral with no other alignment components (with the exception of neutral outsiders, who take 1d6 points of damage per caster level,  maximum 10d6). Neutral outsiders are also nauseated for 1d6 rounds. A creature can attempt a Will save to halve the damage and negate the nauseated effect.  The spell deals half damage against creatures that are chaotic neutral, lawful neutral, neutral evil, or neutral good, and such targets are not nauseated. On a successful Will save, such a creature reduces the damage to one-quarter the damage rolled.</t>
  </si>
  <si>
    <t>Power of conviction harms neutral foes.</t>
  </si>
  <si>
    <t>Bestow Planar Infusion I</t>
  </si>
  <si>
    <t>cleric/oracle 1, inquisitor 1, magus 1, medium 1, occultist 1, psychic 1, sorcerer/wizard 1, summoner 1, witch 1</t>
  </si>
  <si>
    <t>This spell draws upon the latent planar energy of the caster's surroundings, allowing her to temporarily infuse a creature with the plane's power. The touched creature gains that plane's basic infusion for the spell's duration. This spell has no effect if cast on the Material Plane, and it ends as soon as the spell's target leaves the plane with which it has been infused. Details on planar infusions can be found in each plane's Infusion section, as presented in Chapter 3 of this book.  Once a creature gains the benefits of bestow planar infusion I, it remains attuned to that plane for 24 hours. Additional castings of bestow planar infusion I during this time bestow the same infusion that was granted by the initial casting that day. Planar infusions that can be used a limited number of times per day are not refreshed by multiple castings of bestow planar infusion I.</t>
  </si>
  <si>
    <t>Grant a target the effects of a planar infusion.</t>
  </si>
  <si>
    <t>Bestow Planar Infusion II</t>
  </si>
  <si>
    <t>cleric/oracle 4, inquisitor 4, magus 4, medium 4, occultist 4, psychic 4, sorcerer/wizard 4, summoner 4, witch 4</t>
  </si>
  <si>
    <t>This functions as bestow planar infusion I, except that the touched creature gains the improved infusion of the current plane.</t>
  </si>
  <si>
    <t>Grant a target the effects of an improved planar infusion.</t>
  </si>
  <si>
    <t>Bestow Planar Infusion III</t>
  </si>
  <si>
    <t>cleric/oracle 7, psychic 7, sorcerer/wizard 7, witch 7</t>
  </si>
  <si>
    <t>This functions as bestow planar infusion I, except that the touched creature gains the greater infusion of the current plane.</t>
  </si>
  <si>
    <t>Grant a target the effects of a greater planar infusion.</t>
  </si>
  <si>
    <t>Commune With Plane</t>
  </si>
  <si>
    <t>cleric/oracle 5, psychic 5, ranger 4, summoner 5, witch 5</t>
  </si>
  <si>
    <t>You become one with the plane around you, attaining knowledge of the surrounding territory. You instantly gain knowledge of as many as three facts from among the following subjects: areas with different planar traits, the layout and topography of local terrain, local divine influences, planar phenomena, portals between planes, presence of creatures native to the plane, presence of powerful nonnative creatures, the general state of the plane, or valuable planar substances.  On standard planes, the spell operates with a radius of 1 mile per caster level. On demiplanes, the spell is less powerful, and its radius is limited to 100 feet per caster level. This spell has no effect when cast on the Material Plane.</t>
  </si>
  <si>
    <t>Learn about local planar terrain.</t>
  </si>
  <si>
    <t>Counterbalancing Aura</t>
  </si>
  <si>
    <t>V, S, F (a set of scales worth 500 gp)</t>
  </si>
  <si>
    <t>An oscillating bronze glow surrounds the targets, protecting them from attacks, granting them resistance to spells cast by neutral creatures, and sickening or nauseating neutral creatures that strike the targets. This abjuration has four effects.  First, each warded creature gains a +4 deflection bonus to AC and a +4 resistance bonus on saving throws. This benefit applies against all attacks and effects, not just attacks by neutral creatures.  Second, a warded creature gains spell resistance 23 against spells cast by chaotic neutral, lawful neutral, neutral evil, and neutral good creatures, and spell resistance 27 against spells cast by neutral creatures with no other alignment components.  Third, the spell protects warded creatures from possession and influence by such creatures (otherwise as protection from evil).  Finally, if a chaotic neutral, lawful neutral, neutral evil, or neutral good creature successfully hits a warded creature with a melee attack, the attacker is sickened for 1d6 rounds (Fortitude negates). If a neutral creature successfully hits a warded creature with a melee attack, the attacker is instead nauseated for 1d6 rounds (Fortitude negates).</t>
  </si>
  <si>
    <t>Targets gain +4 to AC and saves; resist attacks and spells from neutral creatures.</t>
  </si>
  <si>
    <t>Diminish Resistance</t>
  </si>
  <si>
    <t>bard 2, cleric/oracle 2, inquisitor 2, magus 2, mesmerist 2, psychic 2, sorcerer/wizard 2, witch 2</t>
  </si>
  <si>
    <t>V, S, M/DF (a pinch of coarse sand)</t>
  </si>
  <si>
    <t>You weaken a creature's resistance against one energy type you select: acid, cold, electricity, fire, or sonic. The creature's resistance to that energy type decreases by 5 (minimum 0), plus an additional 5 for every 5 caster levels beyond 3rd (to a maximum of 20 at 18th level).</t>
  </si>
  <si>
    <t>Weaken a creature’s energy resistance.</t>
  </si>
  <si>
    <t>Dispel Balance</t>
  </si>
  <si>
    <t>you and a touched, neutral creature from another plane, or you and an enchantment on a touched creature or object</t>
  </si>
  <si>
    <t>Pulsing bronze energy surrounds you, bestowing three effects.  First, you gain a +3 deflection bonus to AC against attacks by chaotic neutral, lawful neutral, neutral evil, and neutral good creatures. Against attacks by creatures whose alignment is neutral with no other alignment components, this deflection bonus is instead +5.  Second, upon making a successful melee touch attack against a creature from another plane with a neutral component to its alignment, you can banish that creature back to its home plane. The creature's spell resistance applies to this attempt, and the creature can negate this effect with a successful Will save. If the creature's alignment is neutral with no other alignment components, the creature takes a -2 penalty on this saving throw. This use discharges and ends the spell.  Third, with a touch, you can automatically dispel any one enchantment spell cast by a creature with a neutral component to its alignment. Spells that can't be dispelled by dispel magic also can't be dispelled by dispel balance. Saving Throws and spell resistance do not apply to this effect. This use discharges and ends the spell.</t>
  </si>
  <si>
    <t>You are protected from neutral creatures.</t>
  </si>
  <si>
    <t>Ether Step</t>
  </si>
  <si>
    <t>magus 5, sorcerer/wizard 6, summoner 5</t>
  </si>
  <si>
    <t>You step into the Ethereal Plane long enough to dodge a blow or confound a spell; you must cast ether step after you are targeted by an attack or effect but before you learn the results of the attack or effect. This spell functions as ethereal jaunt, except that you become ethereal until the beginning of your next turn. On the turn after you cast this spell and return to your starting point, you can take only move actions or free actions.</t>
  </si>
  <si>
    <t>Step briefly into the Ethereal Plane to avoid attacks and dangers that would otherwise harm you.</t>
  </si>
  <si>
    <t>Hasten Judgment</t>
  </si>
  <si>
    <t>antipaladin 4, cleric/oracle 5, druid 5, inquisitor 4, sorcerer/wizard 6, spiritualist 4, witch 5</t>
  </si>
  <si>
    <t>V, S, M (2 silver pieces)</t>
  </si>
  <si>
    <t>one living or corporeal undead creature</t>
  </si>
  <si>
    <t>This potent curse weighs upon the target's soul, hastening a living creature's journey to the Boneyard upon death or weakening an undead creature's animating force. A living creature that dies during the spell's duration cannot be affected by breath of life or similar effects, and the period during which attempts to restore the target to life can succeed is reduced to 1 hour/level (for raise dead), 1 day/level (for resurrection), or 10 days/level (for true resurrection). Reincarnate and similar effects work normally on a creature killed under this spell's effects.  An undead creature affected by this spell cannot gain temporary hit points, and any existing channel resistance the undead may have is reduced by half as long as the curse persists.  Creatures whose souls are separate from their bodies (such as liches) or are merged with their bodies (such as non-native outsiders) are unaffected by hasten judgment.</t>
  </si>
  <si>
    <t>Quicken a soul’s journey to judgment—hampering resurrection or weakening undead foes.</t>
  </si>
  <si>
    <t>Homeward Bound</t>
  </si>
  <si>
    <t>cleric/oracle 3, sorcerer/wizard 4</t>
  </si>
  <si>
    <t>one willing extraplanar creature</t>
  </si>
  <si>
    <t>This spell functions as dismissal, except as noted above.</t>
  </si>
  <si>
    <t>Return a creature to its home plane.</t>
  </si>
  <si>
    <t>Infuse Self</t>
  </si>
  <si>
    <t>alchemist 3, bard 3, bloodrager 3, magus 3, sorcerer/wizard 3</t>
  </si>
  <si>
    <t>When you cast this spell, you assume the form of a native outsider from the following list: aasimar, aphorite (see page 224), duskwalker (see page 230), fetchlingB2, ganzi (see page 234), ifritB2, oreadB2, shabtiB5, suliB3, sylphB2, tiefling, or undineB2. You gain a +2 size bonus to one physical ability score of your choice. If the race has resistance to one or more energy types, you gain energy resistance 5 to your choice of one of those types. If the race gains a racial bonus on saving throws or skills, you gain those bonuses. If the race has darkvision or low-light vision, you gain those qualities.</t>
  </si>
  <si>
    <t>Assume the form of a native outsider.</t>
  </si>
  <si>
    <t>Invoke Deity</t>
  </si>
  <si>
    <t>antipaladin 4, cleric/oracle 6, inquisitor 6, medium 4, occultist 6, paladin 4, ranger 4, witch 6</t>
  </si>
  <si>
    <t>V, S, M (incense worth 1,000 gp), F (a bejeweled holy symbol of your patron deity worth 2,500 gp)</t>
  </si>
  <si>
    <t>By holding aloft a holy symbol and calling your deity's name, you take on an aspect of that divinity. When you cast this spell, choose a domain offered by your deity. You gain that domain's benefits from the list below, along with the listed physical changes; abilities that allow a saving throw use this spell's DC. At any point during the duration of this spell, you can change which domain benefit you gain by concentrating for 1 round-this provokes attacks of opportunity and reduces the remaining duration of the spell by 10 minutes. If you have less than 10 minutes of the spell's duration remaining, you cannot change the selected domain in this way. If you change your domain, all ongoing effects from your previously chosen domain end.  You must worship a single divinity in order to cast this spell, even if you do not normally cast divine spells. If you perform an action that blatantly violates your deity's precepts while under this spell's effects, invoke deity immediately ends and you are stunned for a number of rounds equal to your Hit Dice. Invoke deity has the same alignment descriptors ([chaotic], [evil], [good], or [lawful]) as your deity's alignment. If an ability duplicates a spell, it functions as that spell heightened to a level equal to your invoke deity spell.  Air: You become wispy and translucent. You gain a fly speed of 60 feet with perfect maneuverability, or you increase your current fly speed by 30 feet-whichever results in a faster speed. While flying, you gain a +1 dodge bonus to your AC.  Animal: Your form becomes bestial with animalistic features. You gain low-light vision, scent, a +6 natural armor bonus, and a bite attack that deals damage as normal for a creature of your size. If you already have a bite attack, the damage increases as if you increased one size category. You can use speak with animals at will.  Artifice: Parts of your body are replaced by pistons and gears. You can be affected by spells that specifically affect constructs (such as make whole). You are immune to bleed, disease, and poison effects, and you gain a +4 bonus on saving throws against death effects, mind-affecting effects, and necromancy effects.  Chaos: Your flesh churns and swirls chaotically. You are immune to additional damage from critical hits and precision damage (such as sneak attack damage), and weapons you wield count as chaotic for the purpose of overcoming damage reduction.  Charm: You become overwhelmingly attractive and persuasive. You gain a +6 enhancement bonus to Charisma.  Community: Your voice echoes with the sound of multitudes. Select a number of creatures within 30 feet equal to your level divided by three-you gain the effects of status and telepathic bond with those creatures.  Darkness: Your eyes become solid black orbs. You become immune to blindness and can see perfectly in darkness of any kind, even that created by a deeper darkness spell.  Death: Your flesh becomes pallid. You are healed by both positive and negative energy, are immune to energy drain and death effects, and automatically stabilize when reduced below 0 hit points.  Destruction: The air around you crackles. You gain a +2 bonus on damage rolls with two-handed melee weapons. Spells you cast that cause hit point damage have their save DCs (if any) increased by 1. You gain a +4 bonus on Strength checks to break objects, and you ignore the first 5 points of hardness any object has when you attack it with a melee weapon.  Earth: Your flesh becomes stony. You gain DR 10/bludgeoning and are immune to petrification effects.  Evil: Your appearance becomes corrupted and fiendish. You automatically confirm critical hits, and weapons you wield count as evil for the purpose of overcoming damage reduction.  Fire: Your hair ignites into flames. You are immune to fire. As a standard action once per minute, you can fire a ray of flame, as per scorching ray (limit one ray).  Glory: Your countenance becomes stern and implacable, and your wrath devastates the undead. You gain the benefits of heroism and protection from evil, and your first successful attack each round against an undead target deals an additional 1d6 points of positive energy damage.  Good: Your appearance becomes pristine and angelic. You are immune to fear and compulsion effects, and weapons you wield count as good for the purpose of overcoming damage reduction.  Healing: Your appearance becomes hale and hearty. You gain fast healing 3, and your spells and class features that restore hit points each restore an additional 1d8 hit points.  Knowledge: You are surrounded by the sound of numerous turning pages. You gain a +6 enhancement bonus to Intelligence.  Law: A haze of mathematical symbols hovers around you. You are immune to hostile transmutation effects and all confusion effects, and weapons you wield count as lawful for the purpose of overcoming damage reduction.  Liberation: Your form becomes lithe and flexible. You gain a +6 enhancement bonus to Dexterity.  Luck: The faint sound of tinkling bells plays around you. You gain a +1 luck bonus to your Armor Class and on attack rolls, ability checks, saving throws, and skill checks. As an immediate action, you can force a single creature within 10 feet to reroll a single d20 it just rolled-you must use this ability before the results of the d20 roll are known. Each time you use this ability, the remaining duration of invoke deity decreases by 10 minutes, and you can't use this ability if you have less than 10 minutes remaining of the spell's duration.  Madness: Your voice takes on an eerie, grating quality. As a standard action, you can inflict madness on a creature within 30 feet; that creature must succeed at a Will save or become confused for 1d4 rounds. You cannot target a creature more than once a minute with this effect.  Magic: You shimmer with magical power. You gain spell resistance equal to 11 + your caster level against hostile spells.  Nobility: Your voice becomes resonant and imperious. As a move action, you can issue one order to a single creature within 30 feet. This effect functions as if you had cast the spell command.  Plant: Your appearance becomes plantlike, with leafy hair and green skin. You become immune to paralysis, poison, polymorph effects, sleep effects, and stunning.  Protection: An aura of protective energy surrounds you. Select three of the following spells: delay poison, false life, mage armor, protection from chaos, protection from evil, protection from good, protection from law, resist energy, shield, or shield of faith; you gain the protective benefits of those spells.  Repose: Your eyes become pure, bleak white. You gain a +6 enhancement bonus to Wisdom.  Rune: Your skin is marked with runic tattoos. Your presence does not trigger the effects of glyphs of warding, symbol spells, and similar effects unless you choose to, and you are immune to their harmful effects. You can use read magic at will and can resolve the effects of scrolls using your own caster level rather than the scroll's caster level.  ScalykindB6: Your flesh becomes squamous, and your mouth grows venomous fangs. You gain a bite attack that deals damage as normal for a creature of your size; if you already have a bite attack, the damage increases as if you had increased one size category. Each creature you bite must succeed at a Fortitude save or become sickened for 1d4 rounds (or if already sickened, staggered for 1 round); this is a poison effect.  Strength: Your body visibly ripples with muscle. You gain a +6 enhancement bonus to Strength.  Sun: Your form blazes with solar light. You are immune to blindness, the dazzled condition, and all effects generated by powerful light (such as searing light, sunray, or the blinding light of a shining childB2), and you radiate light as the daylight spell. Creatures that are harmed or hindered by sunlight take a -2 penalty on attack rolls against you, and you gain a +2 bonus on saving throws against effects originating from such creatures.  Travel: Faint afterimages trail behind you when you move. You gain a +6 enhancement bonus to Constitution.  Trickery: Your appearance changes as you desire (as veil, except affecting only yourself). Changing your appearance is a swift action. You gain a +4 bonus on Bluff, Disguise, Sleight of Hand, and Stealth checks.  VoidB6: Your clothes and hair seem to float about you, as if you were adrift in a weightless environment. You are immune to cold damage and no longer need to breathe. You can exist comfortably in the depths of outer space.  War: You are surrounded by the sounds of battle. You gain a +2 insight bonus on attack rolls with your deity's favored weapon and deal an additional 1d6 points of damage with your deity's favored weapon each time you hit a foe. You can use your deity's favored weapon as a divine focus or holy symbol.  Water: You gain gills, webbed fingers, and other ichthyic features. You gain a swim speed of 40 feet, can breathe water, and ignore the usual penalties on weapon attack and damage rolls from fighting underwater.  Weather: Your hair and clothing are constantly wind-tossed, and you crackle with electricity. You do not take penalties or damage or suffer from reduced visibility or other effects due to natural weather. You are immune to electricity damage, and your call lightning and call lightning storm spells and effects always function as though called outdoors in stormy weather.</t>
  </si>
  <si>
    <t>Infuse yourself with the powers of your deity’s planar realm.</t>
  </si>
  <si>
    <t>Judgment Undone</t>
  </si>
  <si>
    <t>cleric/oracle 9, psychic 9, shaman 9</t>
  </si>
  <si>
    <t>V, S, M (diamonds worth 50,000 gp), F (see text)</t>
  </si>
  <si>
    <t>one willing petitioner</t>
  </si>
  <si>
    <t>This powerful, elaborate, and risky spell undoes Pharasma's judgment, returning a willing petitioner to its mortal life. This spell must be cast on the plane to which the petitioner was sent, and the petitioner must be present for the entire casting. In addition, the caster must provide a specific object that the petitioner valued deeply in its mortal life as a focus for the spell. This is different for every petitioner and usually requires research to discover, although those who knew the petitioner well in life can often identify the item easily. At the completion of the spell's casting, the petitioner returns to the mortal form it had as a young adult, with all of its memories and class levels (or equivalent statistics) intact.  The casting of judgment undone is not without risk. The servants of Pharasma vigilantly watch for perversions of the order of fate and death, though it can take time for them to pinpoint disruptions when they occur. After 1d6+5 minutes from the beginning of this spell's 10-minute casting time, an olethrosB6 appears within 50 feet of the caster; this psychopomp demands the caster cease casting the spell immediately and attacks if its request is ignored. The psychopomp never attempts to harm the petitioner unless judgment undone has already been successfully cast by the time the psychopomp arrives, in which case it attempts to eliminate the returned mortal as well. If the caster and returned mortal are no longer present, the olethros does what she can to track both down and exact judgment-how successful she may be depends on the GM's discretion.  The caster of judgment undone can pause the spell's casting for up to 1 minute without causing the spell to fail. During this time, the caster does not need to concentrate on judgment undone and can act normally and cast other spells without disrupting the spell, but if she does not begin casting again before this 1-minute window elapses, the spell fails.  It is possible to cast judgment undone without incurring the wrath of a psychopomp, but doing so requires the caster to first visit the Boneyard and seek out a powerful agent of Pharasma to gain permission to restore the petitioner to its mortal life. The details and difficulty of this task are subject to the GM's discretion, but at the very least should involve a significant expenditure of time and resources. The granting of permission to cast judgment undone is an excellent reward for a quest given to a party of adventurers from a powerful psychopomp. If the PCs exceed expectations in fulfilling this quest, it's not unheard of for the psychopomp to not only grant permission for the spell's casting, but to also provide the diamonds needed for the spell's material component, information about the required focus, or even both. Worshipers of Pharasma who cast this spell without securing permission in this manner are considered to have grossly violated Pharasma's code of conduct.</t>
  </si>
  <si>
    <t>Restores a petitioner to its mortal life.</t>
  </si>
  <si>
    <t>Positive Pulse</t>
  </si>
  <si>
    <t>cleric/oracle 1, inquisitor 1, paladin 1, shaman 1, sorcerer/wizard 1, spiritualist 1, summoner 1, witch 1</t>
  </si>
  <si>
    <t>instantaneous plus 1 round (see text)</t>
  </si>
  <si>
    <t>Will negates or Will negates (harmless); see text</t>
  </si>
  <si>
    <t>This spell causes a wave of positive energy to spread from a point you designate, damaging foes vulnerable to positive energy and bolstering living creatures. Each creature damaged by positive energy in the area (such as undead) must succeed at a Will save or take 1d6 points of damage, plus 1 point for every 2 caster levels (maximum +5). Haunts manifesting in the spell's area also take this damage.  This spell does not heal creatures healed by positive energy; such creatures instead gain a +2 bonus on saving throws against death effects, energy drain, negative energy, and effects directly caused by haunts. This bonus lasts for 1 round.</t>
  </si>
  <si>
    <t>Energy harms undead or bolsters the living.</t>
  </si>
  <si>
    <t>Positive Pulse, Greater</t>
  </si>
  <si>
    <t>cleric/oracle 4, inquisitor 4, paladin 3, shaman 4, sorcerer/wizard 4, spiritualist 4, summoner 3, witch 4</t>
  </si>
  <si>
    <t>15-ft.-radius burst</t>
  </si>
  <si>
    <t>This spell functions like positive pulse, except that the damage dealt increases to 3d6 plus your caster level, and the bonus on saving throws increases to +8.</t>
  </si>
  <si>
    <t>A large pulse of positive energy damages undead and bolsters living creatures.</t>
  </si>
  <si>
    <t>Quintessence Mastery</t>
  </si>
  <si>
    <t>1 round or 4 hours; see text</t>
  </si>
  <si>
    <t>V, S, F (a staff crafted from the chosen plane's material worth 2,500 gp)</t>
  </si>
  <si>
    <t>personal or up to 10 10-ft. cubes/level (S)</t>
  </si>
  <si>
    <t>control over a plane's terrain and traits</t>
  </si>
  <si>
    <t>1 hour/level or 1 day/level; see text</t>
  </si>
  <si>
    <t>This spell grants the caster limited control over the quintessence of an Outer Plane. The control granted by quintessence mastery can take one of two forms, depending on the version of the spell cast. Both versions can be cast only on one of the nine Outer Planes, for it is these planes, not the Transitive or Inner Planes, that are comprised of quintessence.  Planewarp: This allows the caster to create various objects or effects. When this spell is cast, you can replicate a number of effects from one or more of the following spells: control water, diminish plants, fog cloud, major creation, move earth, plant growth, secure shelter, soften earth and stone, spike growth, spike stones, stone shape, transmute mud to rock, transmute rock to mud, wall of stone, or wall of thorns. The total spell levels of effects to be created must not exceed 8. For example, you could use this spell to replicate the effects of fog cloud, secure shelter, and soften earth and stone (since these three spells have levels that add up to 8) or diminish plants and spike stones (since these two spells have levels that add up to 7), but not move earth and plant growth (since these two spells have levels that add up to 9). If a spell appears on different spell lists at different levels, use the lowest level-control water, for example, counts as a 4th-level spell even though it's a 6th-level spell for sorcerers and wizards. This list need not be exhaustive; at the GM's discretion, this list may be expanded to include similar spells from other sources or similarly themed effects that do not mimic specific spells. This version of the spell has a casting time of 1 round and lasts for 1 hour per caster level or until its effects are expended.  Shape Realm: This functions similarly to create demiplaneUM, except that it alters an equivalent area of the plane the caster is on rather than creating a self-contained realm on the Astral or Ethereal Plane. You cannot grant the affected area an alignment or essence trait opposed by the plane's traits (such as granting the lawful-aligned trait to a portion of Elysium), and the area is not self-contained. At the GM's discretion, additional restrictions beyond those listed in the create demiplane spell may limit this spell's effects, and additional options for customizing the affected area may be available. This version of the spell has a casting time of 4 hours and lasts for 1 day per caster level. This version of quintessence mastery can be made permanent in the same way and for the same cost as create demiplane. This version of quintessence mastery does not function within the boundaries of a divine realm.</t>
  </si>
  <si>
    <t>Exercise limited control over the quintessence of an Outer Plane, creating or shaping terrain.</t>
  </si>
  <si>
    <t>Shadow Invasion</t>
  </si>
  <si>
    <t>magus 4, sorcerer/wizard 4, summoner 4</t>
  </si>
  <si>
    <t>V, S, F (a masterwork piercing or slashing weapon)</t>
  </si>
  <si>
    <t>30-ft. radius emanation centered on you</t>
  </si>
  <si>
    <t>Using a slashing motion with the spell's focus as part of the casting of shadow invasion, you cut open a rift to the Plane of Shadow that fills a 30-foot area with shadowy energies. This area is stationary and becomes dark and gloomy, reducing the light level by one step (as darkness). Certain spells are enhanced within the area; spells of the shadow subschool that have reduced effects when disbelieved (such as shadow evocation) have their reduced effects increased by 20% (to a maximum of 90%) when determining their effects on targets within the area of shadow invasion.  In addition, the rift created by shadow invasion has a chance of attracting attention from the other side, and the spell can be inverted to bring these watchers through. When shadow invasion is dismissed as a standard action, there is a chance that a single evangelist kyton (Pathfinder RPG Bestiary 185) will be summoned under the caster's command (as per summon monster V). This chance is 5% for every full round that shadow invasion was active. If the caster level of shadow invasion is 16th or greater, this effect summons an interlocutorB3 kyton instead. A kyton summoned this way remains for a number of rounds equal to what the remaining duration of shadow invasion would have been had it not been dismissed. Successfully summoning a kyton this way is a lawful and evil act, as though casting a spell with the lawful and evil descriptors.</t>
  </si>
  <si>
    <t>Create an area of darkness that strengthens shadow spells and attracts kytons.</t>
  </si>
  <si>
    <t>Songbird</t>
  </si>
  <si>
    <t>bard 1, cleric/oracle 1, mesmerist 1, paladin 1, psychic 1, sorcerer/wizard 1</t>
  </si>
  <si>
    <t>You conjure uplifting music from the wilds of Elysium, Heaven, or Nirvana to bolster other musical activities.  If you cast songbird during the same round in which you attempt a Perform check, songbird acts as accompaniment and grants a +3 bonus on that Perform check.  If you cast songbird in the same round in which you activate a bardic performance, that round of bardic performance does not count against your total rounds of bardic performance available for the day.  If you cast songbird in the same round in which you cast a spell with the sonic descriptor, that spell's save DC increases by 1.</t>
  </si>
  <si>
    <t>Conjure music from a good-aligned plane.</t>
  </si>
  <si>
    <t>Soulseeker</t>
  </si>
  <si>
    <t>cleric/oracle 8, medium 4, occultist 6, shaman 8, spiritualist 6, witch 8</t>
  </si>
  <si>
    <t>V, S, M (incense worth 250 gp), F (see text)</t>
  </si>
  <si>
    <t>one soul</t>
  </si>
  <si>
    <t>You identify the stage of a given soul's judgment, or determine its fate post-judgment. You must either unambiguously identify  the soul you seek or use the skull of the body the soul vacated as a focus. If the subject does not share your alignment, the soul can attempt a Will save to resist this spell's effects as if it were still alive. If the subject is still alive or its soul has been destroyed, this spell fails without providing any information.  If the soul has not yet been judged and moved on to its final reward or punishment, soulseeker provides an estimate of its location; in most cases, this is somewhere in the River of Souls or the Boneyard. While this may assist in physically traveling to the soul's location, especially in cases involving effects such as soul bind or a devourer's devour soul ability, the spell's primary purpose is to identify how long the subject has been dead (and what form of life-restoring magic is necessary). If the soul has already been judged, soulseeker instead identifies the plane to which the soul has been sent as a petitioner and the petitioner's general location on that plane (such as "Elysium, beneath the boughs of the Witchwood").  If soulseeker is cast on the same plane on which the soul's new petitioner form currently exists, it guides you along the shortest, most direct physical route to the petitioner, as described in find the path. In this case, the spell's duration is 1 hour per level.</t>
  </si>
  <si>
    <t>Determine a soul’s location.</t>
  </si>
  <si>
    <t>Speak With Soul</t>
  </si>
  <si>
    <t>antipaladin 4, cleric/oracle 6, medium 4, paladin 4, shaman 6, spiritualist 6</t>
  </si>
  <si>
    <t>V, S, M (a drop of candle wax)</t>
  </si>
  <si>
    <t>You commune with the soul of a dead creature. To cast this spell, you must be at the soul's place of death or be in the soul's presence, whether it is contained in a receptacle, powers an intelligent magic item, or other possibilities. The soul can attempt a Will save to resist the spell as if it were alive.  A soul contacted this way can speak normally in any language it knows. Unlike speak with dead and similar spells, you are not limited to asking questions and can engage in normal conversation with the soul (and vice versa). The soul isn't an undead creature and isn't compelled to speak or be truthful. Generally, the soul only knows what it knew in life, although souls that persisted with awareness of their surroundings after death may have more to offer.</t>
  </si>
  <si>
    <t>Hold an extended conversation with a soul.</t>
  </si>
  <si>
    <t>Bloodstone Mirror</t>
  </si>
  <si>
    <t>cleric/oracle 7, occultist 5, witch 7</t>
  </si>
  <si>
    <t>V, S, M (a red bloodstone worth 500 gp)</t>
  </si>
  <si>
    <t>Developed due to Arazni's fear that her stolen organs might be used to control her, this spell reflects any attempts to steal your free will. Whenever you are exposed to a mind-affecting effect or a spell that would otherwise give another creature control of your actions (such as control undead), you can dispel this effect as an immediate action to redirect the spell to a creature within 30 feet. The affected creature must attempt a save against the original DC of the triggering effect. On a failure, it is subject to the effects of the triggering spell, with the exception that you are treated as the original caster (statistics determined by caster level are still calculated according to its original caster). The target creature applies any spell resistance or immunities it has normally. You can have only one instance of this spell active at a time.</t>
  </si>
  <si>
    <t>AP 140</t>
  </si>
  <si>
    <t>Litany Of The Red Crusader</t>
  </si>
  <si>
    <t>antipaladin 1, inquisitor 2, paladin 1</t>
  </si>
  <si>
    <t>Followers of Arazni have made use of this litany since her days as a crusader and herald. Each time the target creature takes piercing or slashing damage, it takes 1 point of bleed damage; this bleed damage stacks with itself. While subject to this spell, the target cannot be the target of another spell that has the word "litany" in the title.</t>
  </si>
  <si>
    <t>Unspoken Name</t>
  </si>
  <si>
    <t>cleric/oracle 3, inquisitor 3, sorcerer/wizard 3, witch 3</t>
  </si>
  <si>
    <t>Prized among those who seek to monitor the attention paid to them, this spell is said to be used by Arazni to identify those followers who dare refer to her as "the Harlot Queen" so she might summarily dismiss them. When you cast this spell, designate a word, phrase, or name. If a creature within 1 mile of you uses that word, phrase, or name to refer to you, you immediately learn that creature's name, appearance, and location. This discharges the spell.</t>
  </si>
  <si>
    <t>Grand Curse</t>
  </si>
  <si>
    <t>cleric/oracle 8, sorcerer/wizard 9</t>
  </si>
  <si>
    <t>1 standard action or see below</t>
  </si>
  <si>
    <t>You can use the grand curse to duplicate the effects of major curse, except the DC to remove the curse is equal to the save DC +10, or the grand curse can be used to place a permanent curse on an area.  If used to place a curse on an area, the caster may affect one 10 ft. by 10 ft. square per caster level.  The nature of the grand curse is decided by the spellcaster upon conclusion of the ritual, which takes 1 hour to complete; any of the effects of bestow curse may be placed upon the area, and any time a target comes into contact with the area they are subject to the curse. If another spell effect is desired, the grand curse may duplicate any compulsion spell of 4th level or less. The player should be creative with the types of curses available, but should be in line with the above restrictions.</t>
  </si>
  <si>
    <t>Rappan Athuk</t>
  </si>
  <si>
    <t>Mage's Evasion</t>
  </si>
  <si>
    <t>V, S, M, (quicksilver, and an eyelash from the caster), F (silver statuette of the caster worth 5,000 gp)</t>
  </si>
  <si>
    <t>1day/level or until discharged</t>
  </si>
  <si>
    <t>This powerful variant of the contingency spell transfers you and everything you carry (except for other creatures or objects that weigh more than 50 pounds) to a destination you designate at the time of casting. When casting mage's evasion, you must specify the locale and detail up to six specific conditions that trigger this spell. When any of these conditions occurs, your body, mind, and soul are transported to the target destination. The location can be any place you have familiarity (studied carefully, as defined by the teleport spell), even another plane.  When casting the spell, you cast greater teleport and possibly other spells that take effect when you arrive at your destination point. The 10 minute casting time is the minimum total for all spells cast (if the companion spells have combined times longer than 10 minutes, use the combined casting times instead). In addition to any material components required by the companion spells, the initial casting of mage's evasion drains 1d6 hp from the spellcaster. These hit points are "stored" in the spell, and may be regained by the caster normally.  The stored hit points are immediately recovered by the caster upon the triggering of the evasion.  The greater teleport aspect of this spell takes you to your destination, so any condition that prevents teleporting also prevents mage's evasion. Once reaching the destination point, the companion spells included in the evasion instantly and simultaneously take effect. The companion spells must be ones that have a range of personal and be of a spell level no higher than one-third of your caster level. The total combined level of companion spells may not exceed your caster level. The conditions you specify to bring the spell into effect must be clear, although they can be general in nature (see the contingency spell, in the Pathfinder Roleplaying Game Core Rulebook for guidelines).  The spell pulls together your mind, body, and soul if they have been separated. For example, if your soul is trapped in a magic jar when the evasion is triggered, your soul returns to your body (breaking the magic jar spell).If your body or soul has been bound (for example, with a binding, imprisonment, or trap the soul spell), you must succeed at a opposed caster level check (DC 11 + the caster level of the person who cast the trapping spell) to break free.  You may only use one mage's evasion spell at a time; if a second is cast, or if a contingency spell is cast, the first spell (if still active) is dispelled.</t>
  </si>
  <si>
    <t>Cone Of Slime</t>
  </si>
  <si>
    <t>cleric/oracle 5, sorcerer/wizard 4, summoner 4</t>
  </si>
  <si>
    <t>V, S, M (small flask of green slime)</t>
  </si>
  <si>
    <t>This spell conjures a 30 ft. cone of green slime from the fingertips of the caster. Anyone within the area of effect must make a DC 15 Reflex save or be engulfed in green slime. Engulfed creatures begin to dissolve into green slime. Armor and equipment dissolves in 1d2 rounds. Once armor and clothing dissolve, the victim begins suffering 1d4 points of Con damage per round. When the victim reaches 0 Constitution, he becomes one with the slime. The slime can only be destroyed by a cure disease spell, or by the victim being exposed to 10 points of cold or heat damage.</t>
  </si>
  <si>
    <t>Sword of Air</t>
  </si>
  <si>
    <t>Keyhole</t>
  </si>
  <si>
    <t>cleric/oracle 1, sorcerer/wizard 1, witch 1</t>
  </si>
  <si>
    <t>one touched door or portal</t>
  </si>
  <si>
    <t>special (see text)</t>
  </si>
  <si>
    <t>By touching a single door, gate, or other portal, you create a keyhole where none existed before or double the size of an existing keyhole. A conjured keyhole allows you to peer through the door, though the limited perspective imposes a -10 penalty on Perception checks to spot anything beyond. It also allows a sealed door to be locked or picked if it could not be before. Locking or unlocking such a door requires a successful Disable Device check with a DC equal to the barrier's break DC + 10. Enlarging an existing keyhole allows viewers to peer through to whatever lies beyond, even if the preexisting keyhole did not allow it, and it reduces the Disable Device DC to open or lock the door by 5.  This spell does not normally allow a saving throw, but magic doors and barriers can resist the effect with a successful Will saving throw, as if they were carried by their original creator.</t>
  </si>
  <si>
    <t>AP 143</t>
  </si>
  <si>
    <t>Open The Dead Roads</t>
  </si>
  <si>
    <t>To cast open the Dead Roads, you must be in an area of fog or dim light. Upon completion of the spell, swirling mists part and deposit you and any creatures you touched on a nearby stretch of the Dead Roads, a network of extraplanar roadways. You can take up to one creature per level, but all targets must be touching each other. You must specify a location known to you or one of your travelers as your destination when casting this spell.  When traveling the otherworldly paths of the Dead Roads, you move at a speed of 50 miles per hour regardless of the terrain on the Material Plane. Your own movement speed does not change; you simply arrive at distant destinations more quickly because the Dead Roads offer a shorter route. You can exit the Dead Roads at any point before reaching your destination by wandering off the path, in which case you are usually returned to your starting place. If this would place  you within a solid object, you (and any creatures with you) are shunted to the nearest empty space available.  Because the Dead Roads occupy another plane, it is impossible to spy on the Material Plane while using this spell without additional spells or supernatural abilities.  Open the Dead Roads can be used to travel to or from the Shadow Plane, the Ethereal Plane, the Astral Plane, or the Boneyard; any of these destinations requires 10 hours of travel. Thanks to their unique nature, the Dead Roads can be used to travel from any plane to the Material Plane-a trip likewise requiring 10 hours-unless that plane normally bars all extraplanar travel.  Creatures you bring with you to the Dead Roads are not obligated to follow you. If they wander off, there is an 80% chance they arrive at a random point on the Material Plane within 2d6x10 miles of your starting point, otherwise they arrive in the Boneyard.</t>
  </si>
  <si>
    <t>Chant</t>
  </si>
  <si>
    <t>all allies and foes within a 40-ft. burst centered on you</t>
  </si>
  <si>
    <t>concentration; maximum 5 min./level (see below)</t>
  </si>
  <si>
    <t>As long as you chant, you bring special favor upon your allies and bring disfavor to your enemies. You and your allies gain a +1 luck bonus on attack rolls, weapon damage rolls, saves, and skill checks while your foes take a -1 penalty on such rolls.  You must chant in a clear voice. Any interruption in your chanting, such as a failed concentration check, a silence spell or speaking or casting another spell, ends this spell. As an exception to the general rule, the effects of this spell stack with those of a prayer spell if cast by a cleric of your alignment and who worships the same deity as you.</t>
  </si>
  <si>
    <t>Planar Aegis</t>
  </si>
  <si>
    <t>druid 5, occultist 4, ranger 3, sorcerer/wizard 5, summoner 4</t>
  </si>
  <si>
    <t>V, S, M (a fistful of naturally occurring material from a plane)</t>
  </si>
  <si>
    <t>You draw motes of essence from material native to a plane that has elemental or energy essence traits (Pathfinder RPG Planar Adventures 60), weaving the essence together into a shield of force. Choose an essence trait from the list below; the material component for this spell must come from a plane that has the essence trait you chose. Each essence trait has an associated damage type (see the table below). Any creature that hits you with a non-reach melee weapon, natural weapon, or unarmed attack takes 3d6 points of damage plus 1 point per caster level you have (maximum +20) of a type corresponding to the essence trait you chose. In addition, you take only half damage from attacks or effects of the associated damage type, and if such an attack or effect allows a saving throw for half damage, you take no damage on a successful saving throw.  Essence Trait Damage Type  Air-Dominant Electricity  Earth-Dominant Acid  Fire-Dominant Fire  Positive-Dominant Positive  Negative-Dominant Negative  Water-Dominant Cold</t>
  </si>
  <si>
    <t>Plane-Hopper's Handbook</t>
  </si>
  <si>
    <t>Speak With Plane</t>
  </si>
  <si>
    <t>cleric/oracle 4, medium 3, shaman 4, sorcerer/wizard 4, summoner 3, witch 4</t>
  </si>
  <si>
    <t>V, S, F/DF (a small glass bead)</t>
  </si>
  <si>
    <t>one plane with a sentient structure</t>
  </si>
  <si>
    <t>You tap into the awareness and consciousness of a plane with a sentient structure (Planar Adventures 60), allowing it to answer questions. A tangible manifestation of the plane (such as the ground) must be within the spell's range upon casting.  You can ask the sentient plane one question per 2 caster levels. If the plane's alignment is at least one step away from yours, the plane can attempt a Will save to resist the spell. A plane typically has a +20 bonus on Will saves, and a demiplane typically has a +15 bonus on Will saves. A plane's traits can further affect these bonuses: a mildly aligned plane receives a +2 bonus, and a strongly aligned plane or a plane with the wild magic trait receives a +4 bonus on its save.  If a plane has been subject to this spell within the past week, a new casting of this spell targeting the same plane fails. If speak with plane targets a plane that does not have a sentient structure, the spell fails.</t>
  </si>
  <si>
    <t>Talisman Of Reprieve</t>
  </si>
  <si>
    <t>cleric/oracle 5, inquisitor 4, paladin 3</t>
  </si>
  <si>
    <t>20-ft.-radius emanation centered on an item</t>
  </si>
  <si>
    <t>You imbue an item with an aura of divine amnesty, allowing all allies within the aura's area to ignore penalties to Intelligence-, Wisdom-, and Charisma-based checks resulting from a plane's mildly or strongly aligned traits (Planar Adventures 62), regardless of the allies' alignments. In addition, the item grants a +4 circumstance bonus on checks with one Intelligence-, Wisdom-, or Charisma-based skill determined by you at the time of casting.</t>
  </si>
  <si>
    <t>Celestial Companion</t>
  </si>
  <si>
    <t>druid 2, paladin 1, ranger 2, shaman 2, sorcerer/wizard 2, summoner 1, witch 2</t>
  </si>
  <si>
    <t>V, S, DF/M</t>
  </si>
  <si>
    <t>animal companion, eidolon, familiar, or mount</t>
  </si>
  <si>
    <t>You bestow divine protection on your companion. The target gains spell resistance equal to 5 plus half your caster level against spells and spell-like effects produced by evil creatures. The target also gains a +1 sacred bonus on saving throws and DR 5/evil or silver. Creatures under the effects of this spell often take on a celestial appearance, such as golden feathers or a radiant aura, but they are not truly celestial creatures.</t>
  </si>
  <si>
    <t>Righteous Condemnation</t>
  </si>
  <si>
    <t>1 round/per level (D)</t>
  </si>
  <si>
    <t>Any creature of chaotic, neutral, or evil alignment who targets you with a spell must succeed at a Will save or take a -4 penalty on Intelligence-, Wisdom-, and Charisma-based checks for the spell's duration. Creatures with only neutral alignment components receive a +4 bonus on their Will saves against this spell. The penalties for alignment components stack (therefore, a chaotic evil spellcaster would take a -8 penalty).</t>
  </si>
  <si>
    <t>Fiendish Wrath</t>
  </si>
  <si>
    <t>alchemist 3, bard 3, bloodrager 3, mesmerist 3, psychic 4, sorcerer/wizard 4, summoner 3, witch 4</t>
  </si>
  <si>
    <t>one willing living creature per 3 levels, no two of which can be more than 30 ft. apart</t>
  </si>
  <si>
    <t>Each affected creature flies into a combat frenzy. The target gains a +2 morale bonus to Strength and Constitution, and a +1 morale bonus on Will saves. If an affected creature strikes an enemy with two claw attacks or two unarmed strikes while in this frenzy, it can use the rend ability, dealing an additional amount of damage equal to its claw or unarmed strike damage plus 1-1/2 times its Strength bonus.</t>
  </si>
  <si>
    <t>Healing Leak</t>
  </si>
  <si>
    <t>antipaladin 2, cleric/oracle 3, paladin 2, sorcerer/wizard 3, witch 3</t>
  </si>
  <si>
    <t>V, S, M/DF (a piece of muslin)</t>
  </si>
  <si>
    <t>Whenever the target is affected by a spell or effect that heals hit point damage through the use of positive or negative energy, it regains only half the number of hit points it normally would recover. If the target employs a spell or effect that heals itself or other creatures through the use of positive or negative energy, the target must succeed at a concentration check (DC = this spell's save DC) or the effect restores only half of the normal number of hit points. Other forms of healing (such as from the Heal skill) are not affected by this spell.</t>
  </si>
  <si>
    <t>Greater Reversion</t>
  </si>
  <si>
    <t>cleric/oracle 5, psychic 4, sorcerer/wizard 5</t>
  </si>
  <si>
    <t>20 minutes</t>
  </si>
  <si>
    <t>self</t>
  </si>
  <si>
    <t>You create a fine-tuned replica of yourself within the Akashic Record at the time the spell is cast. You must currently have a number of hit points equal to or greater than half your maximum hit points to cast the spell. If at any time during the duration of the spell you are brought below half your maximum hit points, you can end this spell as an immediate action to absorb strength from your replica and immediately regain a number of hit points equal to 3d8 plus 1 point per caster level (maximum +15).</t>
  </si>
  <si>
    <t>Minor Reversion</t>
  </si>
  <si>
    <t>cleric/oracle 3, psychic 2, sorcerer/wizard 3</t>
  </si>
  <si>
    <t>You create an imperfect replica of yourself within the Akashic Record at the time the spell is cast. You must currently have a number of hit points equal to or greater than half your maximum hit points to cast the spell. If at any time during the duration of the spell you are brought below half your maximum hit points, you can end this spell as an immediate action to absorb strength from your replica and immediately regain a number of hit points equal to 1d8 plus 1 point per caster level (maximum +5).</t>
  </si>
  <si>
    <t>Minor Reversion, Mass</t>
  </si>
  <si>
    <t>cleric/oracle 6, psychic 5, sorcerer/wizard 6</t>
  </si>
  <si>
    <t>You create a replica within the Akashic Record of each target at the time the spell is cast. Each targeted creature must currently have at least half its hit points. If at any time during the duration of the spell a target is brought below half her maximum hit points, that target can end the spell on herself as an immediate action to absorb strength from her replica and immediately regain a number of hit points equal to 1d8 plus 1 point per caster level (maximum +25).</t>
  </si>
  <si>
    <t>Eroding Ray</t>
  </si>
  <si>
    <t>You channel a fraction of the tumultuous ecosystem of the Hao Jin Tapestry and redirect it through your hands as a beam of deteriorating energy. You can fire one ray, plus one additional ray for every 4 levels beyond 3rd (to a maximum of three rays at 11th level). Each ray requires a ranged touch attack to hit and can target only a construct or an object. If a ray hits, the target begins to crumble, taking 2d6 points of damage. This damage ignores hardness and damage reduction.</t>
  </si>
  <si>
    <t>Inhibiting Patterns</t>
  </si>
  <si>
    <t>bard 3, psychic 4, sorcerer/wizard 4</t>
  </si>
  <si>
    <t>V, S, M (a sprinkle of ground glass)</t>
  </si>
  <si>
    <t>one cylinder (10-ft. radius, 40-ft. high)/3 levels</t>
  </si>
  <si>
    <t>concentration +1 round/level (D)</t>
  </si>
  <si>
    <t>You create one or more vibrant pillars of kaleidoscopic color that rise out from the ground. A creature attempting to move through one of the pillars must attempt a Will save. Failure means the creature can't move through the pillar and can't take any other actions for the duration of its turn that round, but it can attempt to pass through the pillar again in subsequent rounds (attempting another save against the effect). A creature need only succeed at one saving throw to move through all pillars created by this spell.  A creature standing within the area of a pillar is dazzled (no save), while a creature making a ranged attack that passes through one or more of the illusory pillars takes a 50% miss chance. A creature can make a melee attack against a target within a pillar at no penalty.</t>
  </si>
  <si>
    <t>Distant Realms</t>
  </si>
  <si>
    <t>Scintillating Wall</t>
  </si>
  <si>
    <t>bard 4, psychic 5, sorcerer/wizard 5</t>
  </si>
  <si>
    <t>V, S, M (a handful of crushed d'ziriak chitin)</t>
  </si>
  <si>
    <t>wall with an area of up to one 10-ft. square/level</t>
  </si>
  <si>
    <t>You create a vibrant wall of hypnotic light and color. The wall does not impede movement or line of sight in any way. Creatures moving through the wall must succeed at a Will save or become fascinated. Each round, on its turn, a fascinated creature can attempt a new saving throw to end the effect as a full-round action that does not provoke attacks of opportunity. A creature that succeeds at the save against the fascination effect is no longer affected if it remains within the wall, but it must attempt a new saving throw if it leaves the area and later moves through the wall again. Creatures adjacent to the wall and creatures moving through the wall that succeed at their save against fascination are dazzled.  If you create the wall so that it appears in the same space as one or more creatures, each affected creature must succeed at a Fortitude save or become blinded. Creatures that successfully save against the blindness are subject to the fascination effect unless they leave the wall within 1 round of casting the spell.  Scintillating wall can be made permanent with a permanency spell cast by a caster of 13th level or higher, at a cost of 12,500 gp.</t>
  </si>
  <si>
    <t>Section 15: Copyright Notice - Paizo Spells Database</t>
  </si>
  <si>
    <t>Paizo Spells Database. Copyright 2020 Mike Chopswil</t>
  </si>
  <si>
    <t>Issues? Contact me at chopswil@gmail.com</t>
  </si>
  <si>
    <t>31 mar 2020: fix for missing target field for Blight, Death Candle, Grasp, Share Shape, Urban Grace, Wave Form</t>
  </si>
  <si>
    <t>19 Jan 2020: updated for Plane-Hopper's Handbook, Druma, Profit and Prophecy, Nidal, Land of Shadows, Distant Realms, Taldor, The First Empire, Sandpoint, Light Of The Lost Coast</t>
  </si>
  <si>
    <t>21 jul 2019: updated through AP 144</t>
  </si>
  <si>
    <t>30 mar 2019: updated through AP 140, Book of the Damned, Planar Adventures and through Rappan Athuk-Level 14</t>
  </si>
  <si>
    <t>22 Nov 2018: updated through AP 136</t>
  </si>
  <si>
    <t>13 jun 2018: add medium spell level to older spells</t>
  </si>
  <si>
    <t>09 jun 2018: update unchanied summer spell level for doublelevel entry, inflict moderate wounds, inflict heavy wounds, Contigent Scroll  re imported</t>
  </si>
  <si>
    <t>26 may 2018: remove misspleled spells, happened to also be in Ultimate Wlderness</t>
  </si>
  <si>
    <t>01 apr 2018: update table formatting for some spells</t>
  </si>
  <si>
    <r>
      <rPr>
        <sz val="10"/>
        <color rgb="FF0000FF"/>
        <rFont val="Arial"/>
      </rPr>
      <t xml:space="preserve">29 mar 2018: add </t>
    </r>
    <r>
      <rPr>
        <sz val="9"/>
        <color rgb="FF000000"/>
        <rFont val="Consolas"/>
      </rPr>
      <t>summoner_unchained field</t>
    </r>
  </si>
  <si>
    <r>
      <rPr>
        <sz val="10"/>
        <color rgb="FF0000FF"/>
        <rFont val="Arial"/>
      </rPr>
      <t xml:space="preserve">19 Mar 2018: de-dup DB for Ultimate Wilderness, update </t>
    </r>
    <r>
      <rPr>
        <sz val="9"/>
        <color rgb="FF000000"/>
        <rFont val="Consolas"/>
      </rPr>
      <t>Detect Poison for inquestor spell level</t>
    </r>
  </si>
  <si>
    <t>16 mar 2018: updated for Ultimate Wilderness</t>
  </si>
  <si>
    <t>28 Feb 2018: updated to fix parsing errors: Detect Charm, Explode Head, Grasping Tentacles, Wave Form, Chill Metal , Heat Metal, Sonic Form, Last Azlanti's Defending Sword, Mass, Mislead, Enchantment Sight, Threefold Face, Dark-Light, Limited Wish, Control Weather, Enemy Hammer</t>
  </si>
  <si>
    <t>26 dec 2017:update abberant bloodline sorcerer vs bloodrager</t>
  </si>
  <si>
    <t>01 jul 2017: updated for AP 119, Adventurer's Armory 2, Aquatic Adventures, PFS 8-20, PFS 8-21, finished Adventurer's Guide</t>
  </si>
  <si>
    <t>10 Jun 2017: updated for AP 118, Legacy ofthe First World, started Adventurer's Guide</t>
  </si>
  <si>
    <t>08 May 2017: updated for AP 117, Heroes Of The Darklands, PFRPG Bestiary 6, PFS 8-18, PFS 8-19</t>
  </si>
  <si>
    <t>08 Apr 2017: updated for PFS 8-14, PFS 8-15, AP 115, AP 116, Monster Hunter's Handbook, PFS 8-16, PFS 8-17</t>
  </si>
  <si>
    <t>25 Feb 2017: updated for PFS 8-12, PFS 8-13, AP 114, Heroes Of The High Court, Psychic Anthology, Lands Of Conflict</t>
  </si>
  <si>
    <t>29 Jan 2017: updated for PFS 8-10, PFS 8-11, finished Villain Codex, AP 113, Qadira Jewel Of The East, Healer's Handbook</t>
  </si>
  <si>
    <t>18 Dec 2016: updated for AP 112, Paths Of The Righteous, The First World Realm Of The Fey, PFS 8-08, PFS 8-09 and more Villain Codex</t>
  </si>
  <si>
    <t>20 Nov 2016: updated for AP 111,Seers Of The Drowned City,Horror Realms,Blood Of The Beast, Villain Codex started, PFS 8-06, PFS 8-07</t>
  </si>
  <si>
    <t>28 Oct 2016: updated for Inner Sea Temples, Curse Of The Crimson Throne, PFS 8-04, PFS 8-05</t>
  </si>
  <si>
    <t xml:space="preserve">02 Oct 2016: updated for AP 110, Planes Of Power, Divine Anthology
</t>
  </si>
  <si>
    <t>29 Aug 2016: updated for AP 108, Legacy Of Dragons, Gallows Of Madness, Horror Adventures, PFS Pregen Characters, AP 109, Haunted Heroes Handbook</t>
  </si>
  <si>
    <t>05 jul 2016: updated for AP 107, Path Of The Hellknight, Spymaster's Handbook, We B4 Goblins</t>
  </si>
  <si>
    <t>14 Jun 2016: add hunter class spell level field</t>
  </si>
  <si>
    <t xml:space="preserve">02 Jun 2016: updated for AP 106, Ire Of The Storm, Magic Tactics Toolbox, Inner Sea Intrigue, Ultimate Equipment eratta
</t>
  </si>
  <si>
    <t>30 Apr 2016: updated for AP 105, Heaven Unleashed, Armor Masters Handbook</t>
  </si>
  <si>
    <t>02 Apr 2016: updated for AP 104, Inner Sea Faiths, Ultimate Intrigue</t>
  </si>
  <si>
    <t>01 Mar 2016: updated for AP 103, Darklands Revisited, Blood Of Shadows, Down The Blighted Path</t>
  </si>
  <si>
    <t>31 Jan 2016: updated for AP 101,AP 102, Arcane Anthology</t>
  </si>
  <si>
    <t>20 dec 2015: updated for AP 100, Agents Of Evil, Cheliax, The Infernal Empire, The House On Hook Street. updated for all paizo bloodlines, patrons and domains added either spell level or level spell is gained</t>
  </si>
  <si>
    <t xml:space="preserve">28 nov 2015: updated for Weapon Master's Handbook, Occult Realms, Feast Of Dust, PFRPG Bestiary 5, update ADVANCED RACE GUIDE, ADVANCED CLASS GUIDE, ULTIMATE COMBAT for errata
</t>
  </si>
  <si>
    <t>01 Nov2015: updated for AP 99, Occult Origins, Distant Shores, Black Markets, Inner Sea Races, added occulist spell elvels to older spells</t>
  </si>
  <si>
    <t>02 Oct 2015: Updated forAP 97, Dirty Tactics Toolbox, Occult Bestiary, Phantom Phenomena, AP 98, Heroes Of The Streets, Occult Adventures</t>
  </si>
  <si>
    <t>27 jul 2015: updated for AP 93, Cohorts &amp; Companions, AP 94, Monster Summoner's Handbook, Inner Sea Monster Codex, We Be Goblins Free, AP 95, AP 96, Hell Unleashed</t>
  </si>
  <si>
    <t>02 may 2015: updated for Tombs Of Golarion, Melee Tactics Toolbox, AP 92, Heroes Of The Wild, Pathfinder Unchained</t>
  </si>
  <si>
    <t>07 mar 2015: updated for AP 91, Belkzen, Daughters Of Fury</t>
  </si>
  <si>
    <t>24 Jan2015: Updated for AP 90 &amp; Familiar Folio</t>
  </si>
  <si>
    <t>14 Dec 2014: updated for AP 88, AP 89, Ranged Tactics Toolbox, Giant Hunters Handbook,Plunder &amp; Peril and finished Monster Codex</t>
  </si>
  <si>
    <t>01 Nov 2014: updated for AP 87, Advanced Class Origins, Ships of the Inner Sea,  started Monster Codex</t>
  </si>
  <si>
    <t>10 Oct 2014: updated for adding shaman and bloodrager levels to older spells</t>
  </si>
  <si>
    <t>04 Oct 2014: updated for AP 86, Undead Unleashed, Champions Of Corruption</t>
  </si>
  <si>
    <t>06 Sep 2014: updated for Advanced Class Guide. New fields bloodrager
 And shaman</t>
  </si>
  <si>
    <t>23 Aug 2014: updated for AP 85, Technology Guide, People Of The Stars</t>
  </si>
  <si>
    <t>27 jul 2014: updated for AP 83, AP 84, People Of The River</t>
  </si>
  <si>
    <t>26 Jun 2014: updated for AP 82, Numeria Land Of Fallen Stars, Blood Of The Elements</t>
  </si>
  <si>
    <t>31 May 2014: updated for AP 81, Occult Mysteries, The Harrow Handbook</t>
  </si>
  <si>
    <t>04 May 2014: updated for AP 80, Alchemy Manual, Inner Sea Combat, Inner Sea Gods</t>
  </si>
  <si>
    <t>23 Mar 2014: Updated for AP 79 and Champions Of Balance</t>
  </si>
  <si>
    <t>23 Feb Updated for AP 78</t>
  </si>
  <si>
    <t>26 Jan 2014: updated for AP 77, Osirion, Legacy Of Pharaohs, People Of The Sands, UC errata. ADDed new field adpet for adept spell levels</t>
  </si>
  <si>
    <t>28 Dec 2013: updated for Wardens Of The Reborn Forge</t>
  </si>
  <si>
    <t>17 Nov 2013: updated for Blood Of The Moon</t>
  </si>
  <si>
    <t>06 Oct 2013: updated all older spells for mthic data</t>
  </si>
  <si>
    <t>29 Sep 2013: updated for AP 74, Mythic Origins, Mythic Realms. Updated older spells for new mythic data up to start of Ps</t>
  </si>
  <si>
    <t>02 Sept 2013: updated for AP 73,Wrath Of The Righteous, Faiths &amp; Philosophies, Demon Hunter's Handbook, Demons Revisited, Mythic Adventures</t>
  </si>
  <si>
    <t>28 Jul 2013: updated for AP 72,Dragonslayer's Handbook, The Worldwound,Pathfinder Society Primer, The Dragon's Demand</t>
  </si>
  <si>
    <t>29 Jun 2013: Updated for Kobolds Of Golarion &amp; Quests and Campaigns, AP 71. Added new field Patron, comma delim field of witch patron spells</t>
  </si>
  <si>
    <t>02 jun 2013: updated for Chronicle Of The Righteous. Doamin field cleanup (includes sub-domains) blodline field added. New Core rule  errata applied.</t>
  </si>
  <si>
    <t>21 Apr 2013: Updated for Champions Of Purity &amp; AP 69. Updated oracle spell level and text to match cleric spell level</t>
  </si>
  <si>
    <t>24 Mar 2013: updated for AP 68 and Dungeoneers Handbook. Reimported some spells due to parsing issues:  Telekinetic Assembly , Groundswell ,Ironbeard ,Death From Below  ,Jitterbugs ,Major Phantom Object,Minor Dream   , Minor Phantom Object,Battle Trance ,Spawn Ward , Sow Thought  ,Fins To Feet , Karmic Blessing  , Strong Wings  ,Imbue With Elemental Might,Squeeze,Shadow Anchor, Magic Stone, Resist Energy, Snake Staff,Gorum's Armor,Bowstaff,Brow Gasher.  And over the years some spells were missied in getting nto the DB in the place, her they are now : Corpse Hammer,Oath of Justice,Soothing Word,Tactical Formation.</t>
  </si>
  <si>
    <t>06 Mar 2013: Updated 2 spells, change blindness-deafness to blindness/deafness and Smug Narcissism to have only one Duration value.</t>
  </si>
  <si>
    <t>23 Feb 2013: updated for Animal Archive &amp; AP 67. Fixed the following spells for school,subschool,descriptor issues: breeze, Burning Disarm, Frost Fall, Martyr's Bargain, Sheet Lightning, Jolting Portent, Blast Barrier, Seducer's Eyes, Fairness, Genius Avaricious, Heroes' Feast, Curse Of Disgust</t>
  </si>
  <si>
    <t>06 Feb 2013: updated for People Of The North</t>
  </si>
  <si>
    <t>24 Dec 2012: updated for AP 65 and Blood Of The Night</t>
  </si>
  <si>
    <t>02 Dec 2012: updated for AP 64</t>
  </si>
  <si>
    <t>30 Sep 2012: Updated for AP 62, Artifacts &amp; Legends and Knights Of The Inner Sea</t>
  </si>
  <si>
    <t>19 Aug 2012: updated for RotRL-AE-Appendix</t>
  </si>
  <si>
    <t>22 JUl  2012: Updated AP 58 &amp; 59, Magnimar City Of Monuments, RotRL-AE-Burnt Offerings, started RotRL-AE-The Skinsaw Murders , name field is now just name, added linkedtext and id fields</t>
  </si>
  <si>
    <t>21 Jun 2012: Updated with AP 57, Lost Kingdoms, Advanced Race Guide</t>
  </si>
  <si>
    <t>04 Jun2012: Added Hero Spells from APG</t>
  </si>
  <si>
    <t>27 May 2012: Updated for AP 56</t>
  </si>
  <si>
    <t>22 Apr 2012 Updated for AP 55</t>
  </si>
  <si>
    <t>01Apr2012: update for Ultimate Magic errata</t>
  </si>
  <si>
    <t>18 Mar 2012: updated Spark to be Magnus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</si>
</sst>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9" x14ac:knownFonts="1">
    <font>
      <sz val="10"/>
      <color rgb="FF000000"/>
      <name val="Calibri"/>
      <scheme val="minor"/>
    </font>
    <font>
      <sz val="10"/>
      <color theme="1"/>
      <name val="Calibri"/>
      <scheme val="minor"/>
    </font>
    <font>
      <u/>
      <sz val="10"/>
      <color rgb="FF0000FF"/>
      <name val="Calibri"/>
    </font>
    <font>
      <sz val="11"/>
      <color theme="1"/>
      <name val="Arial"/>
    </font>
    <font>
      <sz val="10"/>
      <color rgb="FF0000FF"/>
      <name val="Arial"/>
    </font>
    <font>
      <u/>
      <sz val="10"/>
      <color rgb="FF0000FF"/>
      <name val="Arial"/>
    </font>
    <font>
      <sz val="10"/>
      <color theme="1"/>
      <name val="Arial"/>
    </font>
    <font>
      <sz val="9"/>
      <color rgb="FF000000"/>
      <name val="Consolas"/>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164" fontId="6" fillId="0" borderId="0" xfId="0" applyNumberFormat="1"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2906"/>
  <sheetViews>
    <sheetView tabSelected="1" workbookViewId="0">
      <pane ySplit="1" topLeftCell="A2" activePane="bottomLeft" state="frozen"/>
      <selection pane="bottomLeft" activeCell="T1" sqref="T1:T1048576"/>
    </sheetView>
  </sheetViews>
  <sheetFormatPr defaultColWidth="14.44140625" defaultRowHeight="15" customHeight="1" x14ac:dyDescent="0.3"/>
  <cols>
    <col min="1" max="4" width="11.5546875" customWidth="1"/>
    <col min="5" max="5" width="41.5546875" customWidth="1"/>
    <col min="6" max="6" width="24.77734375" customWidth="1"/>
    <col min="7" max="91" width="11.5546875" customWidth="1"/>
  </cols>
  <sheetData>
    <row r="1" spans="1:91" ht="14.25" customHeight="1" x14ac:dyDescent="0.3">
      <c r="A1" s="8"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ht="14.25" customHeight="1" x14ac:dyDescent="0.3">
      <c r="A2" s="1" t="s">
        <v>91</v>
      </c>
      <c r="B2" s="1" t="s">
        <v>92</v>
      </c>
      <c r="C2" s="1" t="s">
        <v>93</v>
      </c>
      <c r="D2" s="1" t="s">
        <v>43</v>
      </c>
      <c r="E2" s="1" t="s">
        <v>94</v>
      </c>
      <c r="F2" s="1" t="s">
        <v>95</v>
      </c>
      <c r="G2" s="1" t="s">
        <v>96</v>
      </c>
      <c r="H2" s="1">
        <v>0</v>
      </c>
      <c r="I2" s="1" t="s">
        <v>97</v>
      </c>
      <c r="K2" s="1" t="s">
        <v>98</v>
      </c>
      <c r="M2" s="1" t="s">
        <v>99</v>
      </c>
      <c r="N2" s="1">
        <v>0</v>
      </c>
      <c r="O2" s="1">
        <v>0</v>
      </c>
      <c r="P2" s="1" t="s">
        <v>100</v>
      </c>
      <c r="Q2" s="1" t="s">
        <v>101</v>
      </c>
      <c r="R2" s="1" t="s">
        <v>102</v>
      </c>
      <c r="S2" s="1" t="s">
        <v>103</v>
      </c>
      <c r="T2" s="1">
        <v>1</v>
      </c>
      <c r="U2" s="1">
        <v>1</v>
      </c>
      <c r="V2" s="1">
        <v>1</v>
      </c>
      <c r="W2" s="1">
        <v>1</v>
      </c>
      <c r="X2" s="1">
        <v>0</v>
      </c>
      <c r="Y2" s="1">
        <v>2</v>
      </c>
      <c r="Z2" s="1">
        <v>2</v>
      </c>
      <c r="AA2" s="1" t="s">
        <v>104</v>
      </c>
      <c r="AB2" s="1" t="s">
        <v>104</v>
      </c>
      <c r="AC2" s="1" t="s">
        <v>104</v>
      </c>
      <c r="AD2" s="1" t="s">
        <v>104</v>
      </c>
      <c r="AE2" s="1" t="s">
        <v>104</v>
      </c>
      <c r="AF2" s="1" t="s">
        <v>104</v>
      </c>
      <c r="AG2" s="1" t="s">
        <v>104</v>
      </c>
      <c r="AH2" s="1" t="s">
        <v>104</v>
      </c>
      <c r="AI2" s="1" t="s">
        <v>104</v>
      </c>
      <c r="AJ2" s="1" t="s">
        <v>104</v>
      </c>
      <c r="AK2" s="1" t="s">
        <v>104</v>
      </c>
      <c r="AL2" s="1">
        <v>2</v>
      </c>
      <c r="AM2" s="1" t="s">
        <v>104</v>
      </c>
      <c r="AO2" s="1">
        <v>2</v>
      </c>
      <c r="AQ2" s="1" t="s">
        <v>105</v>
      </c>
      <c r="AR2" s="1">
        <v>1</v>
      </c>
      <c r="AS2" s="1">
        <v>0</v>
      </c>
      <c r="AT2" s="1">
        <v>0</v>
      </c>
      <c r="AU2" s="1">
        <v>0</v>
      </c>
      <c r="AV2" s="1">
        <v>0</v>
      </c>
      <c r="AW2" s="1">
        <v>0</v>
      </c>
      <c r="AX2" s="1">
        <v>0</v>
      </c>
      <c r="AY2" s="1">
        <v>0</v>
      </c>
      <c r="AZ2" s="1">
        <v>0</v>
      </c>
      <c r="BA2" s="1">
        <v>0</v>
      </c>
      <c r="BB2" s="1">
        <v>0</v>
      </c>
      <c r="BC2" s="1">
        <v>0</v>
      </c>
      <c r="BD2" s="1">
        <v>0</v>
      </c>
      <c r="BE2" s="1">
        <v>0</v>
      </c>
      <c r="BF2" s="1">
        <v>0</v>
      </c>
      <c r="BG2" s="1">
        <v>0</v>
      </c>
      <c r="BH2" s="1">
        <v>0</v>
      </c>
      <c r="BI2" s="1">
        <v>0</v>
      </c>
      <c r="BJ2" s="1">
        <v>0</v>
      </c>
      <c r="BK2" s="1">
        <v>0</v>
      </c>
      <c r="BL2" s="1">
        <v>0</v>
      </c>
      <c r="BM2" s="1">
        <v>0</v>
      </c>
      <c r="BN2" s="1">
        <v>0</v>
      </c>
      <c r="BO2" s="1">
        <v>0</v>
      </c>
      <c r="BP2" s="1">
        <v>0</v>
      </c>
      <c r="BQ2" s="2" t="str">
        <f>HYPERLINK("http://www.d20pfsrd.com/magic/all-spells/a/acid-arrow","Acid Arrow")</f>
        <v>Acid Arrow</v>
      </c>
      <c r="BR2" s="1">
        <v>1</v>
      </c>
      <c r="BS2" s="1" t="s">
        <v>104</v>
      </c>
      <c r="BX2" s="1">
        <v>0</v>
      </c>
      <c r="BY2" s="1">
        <v>2</v>
      </c>
      <c r="BZ2" s="1" t="s">
        <v>104</v>
      </c>
      <c r="CA2" s="1" t="s">
        <v>104</v>
      </c>
      <c r="CB2" s="1" t="s">
        <v>104</v>
      </c>
      <c r="CC2" s="1" t="s">
        <v>104</v>
      </c>
      <c r="CD2" s="1" t="s">
        <v>104</v>
      </c>
      <c r="CE2" s="1" t="s">
        <v>104</v>
      </c>
      <c r="CF2" s="1" t="s">
        <v>104</v>
      </c>
      <c r="CG2" s="1" t="s">
        <v>104</v>
      </c>
      <c r="CH2" s="1" t="s">
        <v>104</v>
      </c>
      <c r="CJ2" s="1">
        <v>0</v>
      </c>
      <c r="CK2" s="1">
        <v>0</v>
      </c>
      <c r="CL2" s="1">
        <v>0</v>
      </c>
      <c r="CM2" s="1" t="s">
        <v>104</v>
      </c>
    </row>
    <row r="3" spans="1:91" ht="14.25" customHeight="1" x14ac:dyDescent="0.3">
      <c r="A3" s="1" t="s">
        <v>106</v>
      </c>
      <c r="B3" s="1" t="s">
        <v>92</v>
      </c>
      <c r="C3" s="1" t="s">
        <v>93</v>
      </c>
      <c r="D3" s="1" t="s">
        <v>43</v>
      </c>
      <c r="E3" s="1" t="s">
        <v>107</v>
      </c>
      <c r="F3" s="1" t="s">
        <v>95</v>
      </c>
      <c r="G3" s="1" t="s">
        <v>108</v>
      </c>
      <c r="H3" s="1">
        <v>0</v>
      </c>
      <c r="I3" s="1" t="s">
        <v>109</v>
      </c>
      <c r="K3" s="1" t="s">
        <v>110</v>
      </c>
      <c r="M3" s="1" t="s">
        <v>111</v>
      </c>
      <c r="N3" s="1">
        <v>0</v>
      </c>
      <c r="O3" s="1">
        <v>0</v>
      </c>
      <c r="P3" s="1" t="s">
        <v>100</v>
      </c>
      <c r="Q3" s="1" t="s">
        <v>101</v>
      </c>
      <c r="R3" s="1" t="s">
        <v>112</v>
      </c>
      <c r="S3" s="1" t="s">
        <v>103</v>
      </c>
      <c r="T3" s="1">
        <v>1</v>
      </c>
      <c r="U3" s="1">
        <v>1</v>
      </c>
      <c r="V3" s="1">
        <v>1</v>
      </c>
      <c r="W3" s="1">
        <v>0</v>
      </c>
      <c r="X3" s="1">
        <v>0</v>
      </c>
      <c r="Y3" s="1">
        <v>6</v>
      </c>
      <c r="Z3" s="1">
        <v>6</v>
      </c>
      <c r="AA3" s="1" t="s">
        <v>104</v>
      </c>
      <c r="AB3" s="1" t="s">
        <v>104</v>
      </c>
      <c r="AC3" s="1" t="s">
        <v>104</v>
      </c>
      <c r="AD3" s="1" t="s">
        <v>104</v>
      </c>
      <c r="AE3" s="1" t="s">
        <v>104</v>
      </c>
      <c r="AF3" s="1" t="s">
        <v>104</v>
      </c>
      <c r="AG3" s="1" t="s">
        <v>104</v>
      </c>
      <c r="AH3" s="1" t="s">
        <v>104</v>
      </c>
      <c r="AI3" s="1" t="s">
        <v>104</v>
      </c>
      <c r="AJ3" s="1" t="s">
        <v>104</v>
      </c>
      <c r="AK3" s="1" t="s">
        <v>104</v>
      </c>
      <c r="AL3" s="1">
        <v>6</v>
      </c>
      <c r="AM3" s="1" t="s">
        <v>104</v>
      </c>
      <c r="AO3" s="1">
        <v>6</v>
      </c>
      <c r="AQ3" s="1" t="s">
        <v>113</v>
      </c>
      <c r="AR3" s="1">
        <v>1</v>
      </c>
      <c r="AS3" s="1">
        <v>0</v>
      </c>
      <c r="AT3" s="1">
        <v>0</v>
      </c>
      <c r="AU3" s="1">
        <v>0</v>
      </c>
      <c r="AV3" s="1">
        <v>0</v>
      </c>
      <c r="AW3" s="1">
        <v>0</v>
      </c>
      <c r="AX3" s="1">
        <v>0</v>
      </c>
      <c r="AY3" s="1">
        <v>0</v>
      </c>
      <c r="AZ3" s="1">
        <v>0</v>
      </c>
      <c r="BA3" s="1">
        <v>0</v>
      </c>
      <c r="BB3" s="1">
        <v>0</v>
      </c>
      <c r="BC3" s="1">
        <v>0</v>
      </c>
      <c r="BD3" s="1">
        <v>0</v>
      </c>
      <c r="BE3" s="1">
        <v>0</v>
      </c>
      <c r="BF3" s="1">
        <v>0</v>
      </c>
      <c r="BG3" s="1">
        <v>0</v>
      </c>
      <c r="BH3" s="1">
        <v>0</v>
      </c>
      <c r="BI3" s="1">
        <v>0</v>
      </c>
      <c r="BJ3" s="1">
        <v>0</v>
      </c>
      <c r="BK3" s="1">
        <v>0</v>
      </c>
      <c r="BL3" s="1">
        <v>0</v>
      </c>
      <c r="BM3" s="1">
        <v>0</v>
      </c>
      <c r="BN3" s="1">
        <v>0</v>
      </c>
      <c r="BO3" s="1">
        <v>0</v>
      </c>
      <c r="BP3" s="1">
        <v>0</v>
      </c>
      <c r="BQ3" s="2" t="str">
        <f>HYPERLINK("http://www.d20pfsrd.com/magic/all-spells/a/acid-fog","Acid Fog")</f>
        <v>Acid Fog</v>
      </c>
      <c r="BR3" s="1">
        <v>2</v>
      </c>
      <c r="BS3" s="1" t="s">
        <v>104</v>
      </c>
      <c r="BX3" s="1">
        <v>0</v>
      </c>
      <c r="BY3" s="1" t="s">
        <v>104</v>
      </c>
      <c r="BZ3" s="1" t="s">
        <v>104</v>
      </c>
      <c r="CA3" s="1" t="s">
        <v>104</v>
      </c>
      <c r="CB3" s="1" t="s">
        <v>104</v>
      </c>
      <c r="CC3" s="1" t="s">
        <v>104</v>
      </c>
      <c r="CD3" s="1" t="s">
        <v>104</v>
      </c>
      <c r="CE3" s="1" t="s">
        <v>104</v>
      </c>
      <c r="CF3" s="1" t="s">
        <v>104</v>
      </c>
      <c r="CG3" s="1" t="s">
        <v>104</v>
      </c>
      <c r="CH3" s="1" t="s">
        <v>104</v>
      </c>
      <c r="CJ3" s="1">
        <v>0</v>
      </c>
      <c r="CK3" s="1">
        <v>0</v>
      </c>
      <c r="CL3" s="1">
        <v>0</v>
      </c>
      <c r="CM3" s="1">
        <v>6</v>
      </c>
    </row>
    <row r="4" spans="1:91" ht="14.25" customHeight="1" x14ac:dyDescent="0.3">
      <c r="A4" s="1" t="s">
        <v>114</v>
      </c>
      <c r="B4" s="1" t="s">
        <v>92</v>
      </c>
      <c r="C4" s="1" t="s">
        <v>93</v>
      </c>
      <c r="D4" s="1" t="s">
        <v>43</v>
      </c>
      <c r="E4" s="1" t="s">
        <v>115</v>
      </c>
      <c r="F4" s="1" t="s">
        <v>95</v>
      </c>
      <c r="G4" s="1" t="s">
        <v>116</v>
      </c>
      <c r="H4" s="1">
        <v>0</v>
      </c>
      <c r="I4" s="1" t="s">
        <v>117</v>
      </c>
      <c r="K4" s="1" t="s">
        <v>118</v>
      </c>
      <c r="M4" s="1" t="s">
        <v>119</v>
      </c>
      <c r="N4" s="1">
        <v>0</v>
      </c>
      <c r="O4" s="1">
        <v>0</v>
      </c>
      <c r="P4" s="1" t="s">
        <v>100</v>
      </c>
      <c r="Q4" s="1" t="s">
        <v>101</v>
      </c>
      <c r="R4" s="1" t="s">
        <v>120</v>
      </c>
      <c r="S4" s="1" t="s">
        <v>103</v>
      </c>
      <c r="T4" s="1">
        <v>1</v>
      </c>
      <c r="U4" s="1">
        <v>1</v>
      </c>
      <c r="V4" s="1">
        <v>0</v>
      </c>
      <c r="W4" s="1">
        <v>0</v>
      </c>
      <c r="X4" s="1">
        <v>0</v>
      </c>
      <c r="Y4" s="1">
        <v>0</v>
      </c>
      <c r="Z4" s="1">
        <v>0</v>
      </c>
      <c r="AA4" s="1" t="s">
        <v>104</v>
      </c>
      <c r="AB4" s="1" t="s">
        <v>104</v>
      </c>
      <c r="AC4" s="1" t="s">
        <v>104</v>
      </c>
      <c r="AD4" s="1" t="s">
        <v>104</v>
      </c>
      <c r="AE4" s="1" t="s">
        <v>104</v>
      </c>
      <c r="AF4" s="1" t="s">
        <v>104</v>
      </c>
      <c r="AG4" s="1">
        <v>0</v>
      </c>
      <c r="AH4" s="1" t="s">
        <v>104</v>
      </c>
      <c r="AI4" s="1">
        <v>0</v>
      </c>
      <c r="AJ4" s="1" t="s">
        <v>104</v>
      </c>
      <c r="AK4" s="1" t="s">
        <v>104</v>
      </c>
      <c r="AL4" s="1">
        <v>0</v>
      </c>
      <c r="AM4" s="1" t="s">
        <v>104</v>
      </c>
      <c r="AO4" s="1">
        <v>0</v>
      </c>
      <c r="AQ4" s="1" t="s">
        <v>121</v>
      </c>
      <c r="AR4" s="1">
        <v>1</v>
      </c>
      <c r="AS4" s="1">
        <v>0</v>
      </c>
      <c r="AT4" s="1">
        <v>0</v>
      </c>
      <c r="AU4" s="1">
        <v>0</v>
      </c>
      <c r="AV4" s="1">
        <v>0</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2" t="str">
        <f>HYPERLINK("http://www.d20pfsrd.com/magic/all-spells/a/acid-splash","Acid Splash")</f>
        <v>Acid Splash</v>
      </c>
      <c r="BR4" s="1">
        <v>3</v>
      </c>
      <c r="BS4" s="1" t="s">
        <v>104</v>
      </c>
      <c r="BX4" s="1">
        <v>0</v>
      </c>
      <c r="BY4" s="1" t="s">
        <v>104</v>
      </c>
      <c r="BZ4" s="1" t="s">
        <v>104</v>
      </c>
      <c r="CA4" s="1" t="s">
        <v>104</v>
      </c>
      <c r="CB4" s="1" t="s">
        <v>104</v>
      </c>
      <c r="CC4" s="1" t="s">
        <v>104</v>
      </c>
      <c r="CD4" s="1" t="s">
        <v>104</v>
      </c>
      <c r="CE4" s="1" t="s">
        <v>104</v>
      </c>
      <c r="CF4" s="1" t="s">
        <v>104</v>
      </c>
      <c r="CG4" s="1" t="s">
        <v>104</v>
      </c>
      <c r="CH4" s="1" t="s">
        <v>104</v>
      </c>
      <c r="CJ4" s="1">
        <v>0</v>
      </c>
      <c r="CK4" s="1">
        <v>0</v>
      </c>
      <c r="CL4" s="1">
        <v>0</v>
      </c>
      <c r="CM4" s="1">
        <v>0</v>
      </c>
    </row>
    <row r="5" spans="1:91" ht="14.25" customHeight="1" x14ac:dyDescent="0.3">
      <c r="A5" s="1" t="s">
        <v>122</v>
      </c>
      <c r="B5" s="1" t="s">
        <v>123</v>
      </c>
      <c r="C5" s="1" t="s">
        <v>124</v>
      </c>
      <c r="D5" s="1" t="s">
        <v>125</v>
      </c>
      <c r="E5" s="1" t="s">
        <v>126</v>
      </c>
      <c r="F5" s="1" t="s">
        <v>95</v>
      </c>
      <c r="G5" s="1" t="s">
        <v>127</v>
      </c>
      <c r="H5" s="1">
        <v>0</v>
      </c>
      <c r="I5" s="1" t="s">
        <v>128</v>
      </c>
      <c r="L5" s="1" t="s">
        <v>129</v>
      </c>
      <c r="M5" s="1" t="s">
        <v>130</v>
      </c>
      <c r="N5" s="1">
        <v>0</v>
      </c>
      <c r="O5" s="1">
        <v>0</v>
      </c>
      <c r="P5" s="1" t="s">
        <v>100</v>
      </c>
      <c r="Q5" s="1" t="s">
        <v>131</v>
      </c>
      <c r="R5" s="1" t="s">
        <v>132</v>
      </c>
      <c r="S5" s="1" t="s">
        <v>103</v>
      </c>
      <c r="T5" s="1">
        <v>1</v>
      </c>
      <c r="U5" s="1">
        <v>1</v>
      </c>
      <c r="V5" s="1">
        <v>0</v>
      </c>
      <c r="W5" s="1">
        <v>0</v>
      </c>
      <c r="X5" s="1">
        <v>1</v>
      </c>
      <c r="Y5" s="1" t="s">
        <v>104</v>
      </c>
      <c r="Z5" s="1" t="s">
        <v>104</v>
      </c>
      <c r="AA5" s="1">
        <v>2</v>
      </c>
      <c r="AB5" s="1" t="s">
        <v>104</v>
      </c>
      <c r="AC5" s="1" t="s">
        <v>104</v>
      </c>
      <c r="AD5" s="1" t="s">
        <v>104</v>
      </c>
      <c r="AE5" s="1" t="s">
        <v>104</v>
      </c>
      <c r="AF5" s="1">
        <v>2</v>
      </c>
      <c r="AG5" s="1" t="s">
        <v>104</v>
      </c>
      <c r="AH5" s="1" t="s">
        <v>104</v>
      </c>
      <c r="AI5" s="1">
        <v>2</v>
      </c>
      <c r="AJ5" s="1">
        <v>2</v>
      </c>
      <c r="AK5" s="1" t="s">
        <v>104</v>
      </c>
      <c r="AL5" s="1" t="s">
        <v>104</v>
      </c>
      <c r="AM5" s="1">
        <v>2</v>
      </c>
      <c r="AO5" s="1">
        <v>2</v>
      </c>
      <c r="AP5" s="1" t="s">
        <v>133</v>
      </c>
      <c r="AQ5" s="1" t="s">
        <v>134</v>
      </c>
      <c r="AR5" s="1">
        <v>0</v>
      </c>
      <c r="AS5" s="1">
        <v>0</v>
      </c>
      <c r="AT5" s="1">
        <v>0</v>
      </c>
      <c r="AU5" s="1">
        <v>0</v>
      </c>
      <c r="AV5" s="1">
        <v>0</v>
      </c>
      <c r="AW5" s="1">
        <v>0</v>
      </c>
      <c r="AX5" s="1">
        <v>0</v>
      </c>
      <c r="AY5" s="1">
        <v>0</v>
      </c>
      <c r="AZ5" s="1">
        <v>0</v>
      </c>
      <c r="BA5" s="1">
        <v>0</v>
      </c>
      <c r="BB5" s="1">
        <v>0</v>
      </c>
      <c r="BC5" s="1">
        <v>0</v>
      </c>
      <c r="BD5" s="1">
        <v>0</v>
      </c>
      <c r="BE5" s="1">
        <v>0</v>
      </c>
      <c r="BF5" s="1">
        <v>0</v>
      </c>
      <c r="BG5" s="1">
        <v>0</v>
      </c>
      <c r="BH5" s="1">
        <v>0</v>
      </c>
      <c r="BI5" s="1">
        <v>0</v>
      </c>
      <c r="BJ5" s="1">
        <v>0</v>
      </c>
      <c r="BK5" s="1">
        <v>1</v>
      </c>
      <c r="BL5" s="1">
        <v>0</v>
      </c>
      <c r="BM5" s="1">
        <v>0</v>
      </c>
      <c r="BN5" s="1">
        <v>0</v>
      </c>
      <c r="BO5" s="1">
        <v>0</v>
      </c>
      <c r="BP5" s="1">
        <v>0</v>
      </c>
      <c r="BQ5" s="2" t="str">
        <f>HYPERLINK("http://www.d20pfsrd.com/magic/all-spells/a/aid","Aid")</f>
        <v>Aid</v>
      </c>
      <c r="BR5" s="1">
        <v>4</v>
      </c>
      <c r="BS5" s="1" t="s">
        <v>104</v>
      </c>
      <c r="BU5" s="1" t="s">
        <v>135</v>
      </c>
      <c r="BX5" s="1">
        <v>0</v>
      </c>
      <c r="BY5" s="1" t="s">
        <v>104</v>
      </c>
      <c r="BZ5" s="1">
        <v>2</v>
      </c>
      <c r="CA5" s="1" t="s">
        <v>104</v>
      </c>
      <c r="CB5" s="1">
        <v>2</v>
      </c>
      <c r="CC5" s="1" t="s">
        <v>104</v>
      </c>
      <c r="CD5" s="1" t="s">
        <v>104</v>
      </c>
      <c r="CE5" s="1">
        <v>2</v>
      </c>
      <c r="CF5" s="1" t="s">
        <v>104</v>
      </c>
      <c r="CG5" s="1" t="s">
        <v>104</v>
      </c>
      <c r="CH5" s="1" t="s">
        <v>104</v>
      </c>
      <c r="CJ5" s="1">
        <v>0</v>
      </c>
      <c r="CK5" s="1">
        <v>0</v>
      </c>
      <c r="CL5" s="1">
        <v>0</v>
      </c>
      <c r="CM5" s="1" t="s">
        <v>104</v>
      </c>
    </row>
    <row r="6" spans="1:91" ht="14.25" customHeight="1" x14ac:dyDescent="0.3">
      <c r="A6" s="1" t="s">
        <v>136</v>
      </c>
      <c r="B6" s="1" t="s">
        <v>137</v>
      </c>
      <c r="D6" s="1" t="s">
        <v>44</v>
      </c>
      <c r="E6" s="1" t="s">
        <v>138</v>
      </c>
      <c r="F6" s="1" t="s">
        <v>95</v>
      </c>
      <c r="G6" s="1" t="s">
        <v>127</v>
      </c>
      <c r="H6" s="1">
        <v>0</v>
      </c>
      <c r="I6" s="1" t="s">
        <v>128</v>
      </c>
      <c r="L6" s="1" t="s">
        <v>139</v>
      </c>
      <c r="M6" s="1" t="s">
        <v>140</v>
      </c>
      <c r="N6" s="1">
        <v>0</v>
      </c>
      <c r="O6" s="1">
        <v>0</v>
      </c>
      <c r="P6" s="1" t="s">
        <v>100</v>
      </c>
      <c r="Q6" s="1" t="s">
        <v>131</v>
      </c>
      <c r="R6" s="1" t="s">
        <v>141</v>
      </c>
      <c r="S6" s="1" t="s">
        <v>103</v>
      </c>
      <c r="T6" s="1">
        <v>1</v>
      </c>
      <c r="U6" s="1">
        <v>1</v>
      </c>
      <c r="V6" s="1">
        <v>0</v>
      </c>
      <c r="W6" s="1">
        <v>0</v>
      </c>
      <c r="X6" s="1">
        <v>1</v>
      </c>
      <c r="Y6" s="1" t="s">
        <v>104</v>
      </c>
      <c r="Z6" s="1" t="s">
        <v>104</v>
      </c>
      <c r="AA6" s="1">
        <v>4</v>
      </c>
      <c r="AB6" s="1">
        <v>4</v>
      </c>
      <c r="AC6" s="1" t="s">
        <v>104</v>
      </c>
      <c r="AD6" s="1" t="s">
        <v>104</v>
      </c>
      <c r="AE6" s="1" t="s">
        <v>104</v>
      </c>
      <c r="AF6" s="1">
        <v>4</v>
      </c>
      <c r="AG6" s="1" t="s">
        <v>104</v>
      </c>
      <c r="AH6" s="1" t="s">
        <v>104</v>
      </c>
      <c r="AI6" s="1" t="s">
        <v>104</v>
      </c>
      <c r="AJ6" s="1">
        <v>4</v>
      </c>
      <c r="AK6" s="1" t="s">
        <v>104</v>
      </c>
      <c r="AL6" s="1" t="s">
        <v>104</v>
      </c>
      <c r="AM6" s="1" t="s">
        <v>104</v>
      </c>
      <c r="AO6" s="1">
        <v>4</v>
      </c>
      <c r="AP6" s="1" t="s">
        <v>142</v>
      </c>
      <c r="AQ6" s="1" t="s">
        <v>143</v>
      </c>
      <c r="AR6" s="1">
        <v>0</v>
      </c>
      <c r="AS6" s="1">
        <v>1</v>
      </c>
      <c r="AT6" s="1">
        <v>0</v>
      </c>
      <c r="AU6" s="1">
        <v>0</v>
      </c>
      <c r="AV6" s="1">
        <v>0</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2" t="str">
        <f>HYPERLINK("http://www.d20pfsrd.com/magic/all-spells/a/air-walk","Air Walk")</f>
        <v>Air Walk</v>
      </c>
      <c r="BR6" s="1">
        <v>5</v>
      </c>
      <c r="BS6" s="1" t="s">
        <v>104</v>
      </c>
      <c r="BX6" s="1">
        <v>0</v>
      </c>
      <c r="BY6" s="1" t="s">
        <v>104</v>
      </c>
      <c r="BZ6" s="1" t="s">
        <v>104</v>
      </c>
      <c r="CA6" s="1" t="s">
        <v>104</v>
      </c>
      <c r="CB6" s="1" t="s">
        <v>104</v>
      </c>
      <c r="CC6" s="1" t="s">
        <v>104</v>
      </c>
      <c r="CD6" s="1">
        <v>4</v>
      </c>
      <c r="CE6" s="1" t="s">
        <v>104</v>
      </c>
      <c r="CF6" s="1" t="s">
        <v>104</v>
      </c>
      <c r="CG6" s="1" t="s">
        <v>104</v>
      </c>
      <c r="CH6" s="1">
        <v>4</v>
      </c>
      <c r="CJ6" s="1">
        <v>0</v>
      </c>
      <c r="CK6" s="1">
        <v>0</v>
      </c>
      <c r="CL6" s="1">
        <v>0</v>
      </c>
      <c r="CM6" s="1" t="s">
        <v>104</v>
      </c>
    </row>
    <row r="7" spans="1:91" ht="14.25" customHeight="1" x14ac:dyDescent="0.3">
      <c r="A7" s="1" t="s">
        <v>144</v>
      </c>
      <c r="B7" s="1" t="s">
        <v>137</v>
      </c>
      <c r="D7" s="1" t="s">
        <v>145</v>
      </c>
      <c r="E7" s="1" t="s">
        <v>146</v>
      </c>
      <c r="F7" s="1" t="s">
        <v>95</v>
      </c>
      <c r="G7" s="1" t="s">
        <v>127</v>
      </c>
      <c r="H7" s="1">
        <v>0</v>
      </c>
      <c r="I7" s="1" t="s">
        <v>128</v>
      </c>
      <c r="L7" s="1" t="s">
        <v>147</v>
      </c>
      <c r="M7" s="1" t="s">
        <v>130</v>
      </c>
      <c r="N7" s="1">
        <v>0</v>
      </c>
      <c r="O7" s="1">
        <v>0</v>
      </c>
      <c r="P7" s="1" t="s">
        <v>148</v>
      </c>
      <c r="Q7" s="1" t="s">
        <v>149</v>
      </c>
      <c r="R7" s="1" t="s">
        <v>150</v>
      </c>
      <c r="S7" s="1" t="s">
        <v>103</v>
      </c>
      <c r="T7" s="1">
        <v>1</v>
      </c>
      <c r="U7" s="1">
        <v>1</v>
      </c>
      <c r="V7" s="1">
        <v>0</v>
      </c>
      <c r="W7" s="1">
        <v>0</v>
      </c>
      <c r="X7" s="1">
        <v>1</v>
      </c>
      <c r="Y7" s="1" t="s">
        <v>104</v>
      </c>
      <c r="Z7" s="1" t="s">
        <v>104</v>
      </c>
      <c r="AA7" s="1">
        <v>2</v>
      </c>
      <c r="AB7" s="1" t="s">
        <v>104</v>
      </c>
      <c r="AC7" s="1" t="s">
        <v>104</v>
      </c>
      <c r="AD7" s="1" t="s">
        <v>104</v>
      </c>
      <c r="AE7" s="1" t="s">
        <v>104</v>
      </c>
      <c r="AF7" s="1" t="s">
        <v>104</v>
      </c>
      <c r="AG7" s="1" t="s">
        <v>104</v>
      </c>
      <c r="AH7" s="1" t="s">
        <v>104</v>
      </c>
      <c r="AI7" s="1">
        <v>2</v>
      </c>
      <c r="AJ7" s="1">
        <v>2</v>
      </c>
      <c r="AK7" s="1" t="s">
        <v>104</v>
      </c>
      <c r="AL7" s="1" t="s">
        <v>104</v>
      </c>
      <c r="AM7" s="1" t="s">
        <v>104</v>
      </c>
      <c r="AO7" s="1">
        <v>2</v>
      </c>
      <c r="AP7" s="1" t="s">
        <v>151</v>
      </c>
      <c r="AQ7" s="1" t="s">
        <v>152</v>
      </c>
      <c r="AR7" s="1">
        <v>0</v>
      </c>
      <c r="AS7" s="1">
        <v>0</v>
      </c>
      <c r="AT7" s="1">
        <v>0</v>
      </c>
      <c r="AU7" s="1">
        <v>0</v>
      </c>
      <c r="AV7" s="1">
        <v>0</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2" t="str">
        <f>HYPERLINK("http://www.d20pfsrd.com/magic/all-spells/a/align-weapon","Align Weapon")</f>
        <v>Align Weapon</v>
      </c>
      <c r="BR7" s="1">
        <v>6</v>
      </c>
      <c r="BS7" s="1" t="s">
        <v>104</v>
      </c>
      <c r="BX7" s="1">
        <v>0</v>
      </c>
      <c r="BY7" s="1" t="s">
        <v>104</v>
      </c>
      <c r="BZ7" s="1" t="s">
        <v>104</v>
      </c>
      <c r="CA7" s="1" t="s">
        <v>104</v>
      </c>
      <c r="CB7" s="1" t="s">
        <v>104</v>
      </c>
      <c r="CC7" s="1" t="s">
        <v>104</v>
      </c>
      <c r="CD7" s="1" t="s">
        <v>104</v>
      </c>
      <c r="CE7" s="1" t="s">
        <v>104</v>
      </c>
      <c r="CF7" s="1" t="s">
        <v>104</v>
      </c>
      <c r="CG7" s="1" t="s">
        <v>104</v>
      </c>
      <c r="CH7" s="1" t="s">
        <v>104</v>
      </c>
      <c r="CJ7" s="1">
        <v>0</v>
      </c>
      <c r="CK7" s="1">
        <v>0</v>
      </c>
      <c r="CL7" s="1">
        <v>0</v>
      </c>
      <c r="CM7" s="1" t="s">
        <v>104</v>
      </c>
    </row>
    <row r="8" spans="1:91" ht="14.25" customHeight="1" x14ac:dyDescent="0.3">
      <c r="A8" s="1" t="s">
        <v>153</v>
      </c>
      <c r="B8" s="1" t="s">
        <v>137</v>
      </c>
      <c r="C8" s="1" t="s">
        <v>154</v>
      </c>
      <c r="E8" s="1" t="s">
        <v>155</v>
      </c>
      <c r="F8" s="1" t="s">
        <v>95</v>
      </c>
      <c r="G8" s="1" t="s">
        <v>156</v>
      </c>
      <c r="H8" s="1">
        <v>0</v>
      </c>
      <c r="I8" s="1" t="s">
        <v>157</v>
      </c>
      <c r="L8" s="1" t="s">
        <v>158</v>
      </c>
      <c r="M8" s="1" t="s">
        <v>130</v>
      </c>
      <c r="N8" s="1">
        <v>1</v>
      </c>
      <c r="O8" s="1">
        <v>0</v>
      </c>
      <c r="R8" s="1" t="s">
        <v>159</v>
      </c>
      <c r="S8" s="1" t="s">
        <v>103</v>
      </c>
      <c r="T8" s="1">
        <v>1</v>
      </c>
      <c r="U8" s="1">
        <v>1</v>
      </c>
      <c r="V8" s="1">
        <v>1</v>
      </c>
      <c r="W8" s="1">
        <v>0</v>
      </c>
      <c r="X8" s="1">
        <v>0</v>
      </c>
      <c r="Y8" s="1">
        <v>2</v>
      </c>
      <c r="Z8" s="1">
        <v>2</v>
      </c>
      <c r="AA8" s="1" t="s">
        <v>104</v>
      </c>
      <c r="AB8" s="1" t="s">
        <v>104</v>
      </c>
      <c r="AC8" s="1" t="s">
        <v>104</v>
      </c>
      <c r="AD8" s="1">
        <v>2</v>
      </c>
      <c r="AE8" s="1" t="s">
        <v>104</v>
      </c>
      <c r="AF8" s="1">
        <v>2</v>
      </c>
      <c r="AG8" s="1">
        <v>2</v>
      </c>
      <c r="AH8" s="1">
        <v>2</v>
      </c>
      <c r="AI8" s="1" t="s">
        <v>104</v>
      </c>
      <c r="AJ8" s="1" t="s">
        <v>104</v>
      </c>
      <c r="AK8" s="1" t="s">
        <v>104</v>
      </c>
      <c r="AL8" s="1">
        <v>2</v>
      </c>
      <c r="AM8" s="1" t="s">
        <v>104</v>
      </c>
      <c r="AO8" s="1">
        <v>2</v>
      </c>
      <c r="AQ8" s="1" t="s">
        <v>160</v>
      </c>
      <c r="AR8" s="1">
        <v>0</v>
      </c>
      <c r="AS8" s="1">
        <v>0</v>
      </c>
      <c r="AT8" s="1">
        <v>0</v>
      </c>
      <c r="AU8" s="1">
        <v>0</v>
      </c>
      <c r="AV8" s="1">
        <v>0</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2" t="str">
        <f>HYPERLINK("http://www.d20pfsrd.com/magic/all-spells/a/alter-self","Alter Self")</f>
        <v>Alter Self</v>
      </c>
      <c r="BR8" s="1">
        <v>7</v>
      </c>
      <c r="BS8" s="1" t="s">
        <v>104</v>
      </c>
      <c r="BX8" s="1">
        <v>0</v>
      </c>
      <c r="BY8" s="1" t="s">
        <v>104</v>
      </c>
      <c r="BZ8" s="1">
        <v>2</v>
      </c>
      <c r="CA8" s="1">
        <v>2</v>
      </c>
      <c r="CB8" s="1">
        <v>2</v>
      </c>
      <c r="CC8" s="1">
        <v>2</v>
      </c>
      <c r="CD8" s="1" t="s">
        <v>104</v>
      </c>
      <c r="CE8" s="1" t="s">
        <v>104</v>
      </c>
      <c r="CF8" s="1" t="s">
        <v>104</v>
      </c>
      <c r="CG8" s="1" t="s">
        <v>104</v>
      </c>
      <c r="CH8" s="1" t="s">
        <v>104</v>
      </c>
      <c r="CJ8" s="1">
        <v>0</v>
      </c>
      <c r="CK8" s="1">
        <v>0</v>
      </c>
      <c r="CL8" s="1">
        <v>0</v>
      </c>
      <c r="CM8" s="1">
        <v>2</v>
      </c>
    </row>
    <row r="9" spans="1:91" ht="14.25" customHeight="1" x14ac:dyDescent="0.3">
      <c r="A9" s="1" t="s">
        <v>161</v>
      </c>
      <c r="B9" s="1" t="s">
        <v>162</v>
      </c>
      <c r="E9" s="1" t="s">
        <v>163</v>
      </c>
      <c r="F9" s="1" t="s">
        <v>95</v>
      </c>
      <c r="G9" s="1" t="s">
        <v>164</v>
      </c>
      <c r="H9" s="1">
        <v>0</v>
      </c>
      <c r="I9" s="1" t="s">
        <v>117</v>
      </c>
      <c r="J9" s="1" t="s">
        <v>165</v>
      </c>
      <c r="M9" s="1" t="s">
        <v>166</v>
      </c>
      <c r="N9" s="1">
        <v>1</v>
      </c>
      <c r="O9" s="1">
        <v>0</v>
      </c>
      <c r="P9" s="1" t="s">
        <v>100</v>
      </c>
      <c r="Q9" s="1" t="s">
        <v>101</v>
      </c>
      <c r="R9" s="1" t="s">
        <v>167</v>
      </c>
      <c r="S9" s="1" t="s">
        <v>103</v>
      </c>
      <c r="T9" s="1">
        <v>1</v>
      </c>
      <c r="U9" s="1">
        <v>1</v>
      </c>
      <c r="V9" s="1">
        <v>0</v>
      </c>
      <c r="W9" s="1">
        <v>1</v>
      </c>
      <c r="X9" s="1">
        <v>1</v>
      </c>
      <c r="Y9" s="1">
        <v>1</v>
      </c>
      <c r="Z9" s="1">
        <v>1</v>
      </c>
      <c r="AA9" s="1" t="s">
        <v>104</v>
      </c>
      <c r="AB9" s="1" t="s">
        <v>104</v>
      </c>
      <c r="AC9" s="1">
        <v>1</v>
      </c>
      <c r="AD9" s="1">
        <v>1</v>
      </c>
      <c r="AE9" s="1" t="s">
        <v>104</v>
      </c>
      <c r="AF9" s="1" t="s">
        <v>104</v>
      </c>
      <c r="AG9" s="1">
        <v>1</v>
      </c>
      <c r="AH9" s="1" t="s">
        <v>104</v>
      </c>
      <c r="AI9" s="1">
        <v>1</v>
      </c>
      <c r="AJ9" s="1" t="s">
        <v>104</v>
      </c>
      <c r="AK9" s="1" t="s">
        <v>104</v>
      </c>
      <c r="AL9" s="1" t="s">
        <v>104</v>
      </c>
      <c r="AM9" s="1" t="s">
        <v>104</v>
      </c>
      <c r="AO9" s="1">
        <v>1</v>
      </c>
      <c r="AP9" s="1" t="s">
        <v>168</v>
      </c>
      <c r="AQ9" s="1" t="s">
        <v>169</v>
      </c>
      <c r="AR9" s="1">
        <v>0</v>
      </c>
      <c r="AS9" s="1">
        <v>0</v>
      </c>
      <c r="AT9" s="1">
        <v>0</v>
      </c>
      <c r="AU9" s="1">
        <v>0</v>
      </c>
      <c r="AV9" s="1">
        <v>0</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2" t="str">
        <f>HYPERLINK("http://www.d20pfsrd.com/magic/all-spells/a/alarm","Alarm")</f>
        <v>Alarm</v>
      </c>
      <c r="BR9" s="1">
        <v>8</v>
      </c>
      <c r="BS9" s="1" t="s">
        <v>104</v>
      </c>
      <c r="BT9" s="1" t="s">
        <v>170</v>
      </c>
      <c r="BX9" s="1">
        <v>0</v>
      </c>
      <c r="BY9" s="1" t="s">
        <v>104</v>
      </c>
      <c r="BZ9" s="1" t="s">
        <v>104</v>
      </c>
      <c r="CA9" s="1">
        <v>1</v>
      </c>
      <c r="CB9" s="1" t="s">
        <v>104</v>
      </c>
      <c r="CC9" s="1" t="s">
        <v>104</v>
      </c>
      <c r="CD9" s="1">
        <v>1</v>
      </c>
      <c r="CE9" s="1">
        <v>1</v>
      </c>
      <c r="CF9" s="1" t="s">
        <v>104</v>
      </c>
      <c r="CG9" s="1" t="s">
        <v>104</v>
      </c>
      <c r="CH9" s="1">
        <v>1</v>
      </c>
      <c r="CJ9" s="1">
        <v>0</v>
      </c>
      <c r="CK9" s="1">
        <v>0</v>
      </c>
      <c r="CL9" s="1">
        <v>0</v>
      </c>
      <c r="CM9" s="1">
        <v>1</v>
      </c>
    </row>
    <row r="10" spans="1:91" ht="14.25" customHeight="1" x14ac:dyDescent="0.3">
      <c r="A10" s="1" t="s">
        <v>171</v>
      </c>
      <c r="B10" s="1" t="s">
        <v>172</v>
      </c>
      <c r="E10" s="1" t="s">
        <v>173</v>
      </c>
      <c r="F10" s="1" t="s">
        <v>95</v>
      </c>
      <c r="G10" s="1" t="s">
        <v>174</v>
      </c>
      <c r="H10" s="1">
        <v>1</v>
      </c>
      <c r="I10" s="1" t="s">
        <v>117</v>
      </c>
      <c r="L10" s="1" t="s">
        <v>175</v>
      </c>
      <c r="M10" s="1" t="s">
        <v>111</v>
      </c>
      <c r="N10" s="1">
        <v>1</v>
      </c>
      <c r="O10" s="1">
        <v>0</v>
      </c>
      <c r="P10" s="1" t="s">
        <v>176</v>
      </c>
      <c r="Q10" s="1" t="s">
        <v>101</v>
      </c>
      <c r="R10" s="1" t="s">
        <v>177</v>
      </c>
      <c r="S10" s="1" t="s">
        <v>103</v>
      </c>
      <c r="T10" s="1">
        <v>1</v>
      </c>
      <c r="U10" s="1">
        <v>1</v>
      </c>
      <c r="V10" s="1">
        <v>0</v>
      </c>
      <c r="W10" s="1">
        <v>1</v>
      </c>
      <c r="X10" s="1">
        <v>0</v>
      </c>
      <c r="Y10" s="1">
        <v>6</v>
      </c>
      <c r="Z10" s="1">
        <v>6</v>
      </c>
      <c r="AA10" s="1" t="s">
        <v>104</v>
      </c>
      <c r="AB10" s="1" t="s">
        <v>104</v>
      </c>
      <c r="AC10" s="1" t="s">
        <v>104</v>
      </c>
      <c r="AD10" s="1">
        <v>6</v>
      </c>
      <c r="AE10" s="1" t="s">
        <v>104</v>
      </c>
      <c r="AF10" s="1">
        <v>6</v>
      </c>
      <c r="AG10" s="1" t="s">
        <v>104</v>
      </c>
      <c r="AH10" s="1">
        <v>6</v>
      </c>
      <c r="AI10" s="1" t="s">
        <v>104</v>
      </c>
      <c r="AJ10" s="1" t="s">
        <v>104</v>
      </c>
      <c r="AK10" s="1" t="s">
        <v>104</v>
      </c>
      <c r="AL10" s="1" t="s">
        <v>104</v>
      </c>
      <c r="AM10" s="1" t="s">
        <v>104</v>
      </c>
      <c r="AO10" s="1">
        <v>6</v>
      </c>
      <c r="AP10" s="1" t="s">
        <v>178</v>
      </c>
      <c r="AQ10" s="1" t="s">
        <v>179</v>
      </c>
      <c r="AR10" s="1">
        <v>0</v>
      </c>
      <c r="AS10" s="1">
        <v>0</v>
      </c>
      <c r="AT10" s="1">
        <v>0</v>
      </c>
      <c r="AU10" s="1">
        <v>0</v>
      </c>
      <c r="AV10" s="1">
        <v>0</v>
      </c>
      <c r="AW10" s="1">
        <v>0</v>
      </c>
      <c r="AX10" s="1">
        <v>0</v>
      </c>
      <c r="AY10" s="1">
        <v>0</v>
      </c>
      <c r="AZ10" s="1">
        <v>0</v>
      </c>
      <c r="BA10" s="1">
        <v>0</v>
      </c>
      <c r="BB10" s="1">
        <v>0</v>
      </c>
      <c r="BC10" s="1">
        <v>0</v>
      </c>
      <c r="BD10" s="1">
        <v>0</v>
      </c>
      <c r="BE10" s="1">
        <v>0</v>
      </c>
      <c r="BF10" s="1">
        <v>0</v>
      </c>
      <c r="BG10" s="1">
        <v>0</v>
      </c>
      <c r="BH10" s="1">
        <v>0</v>
      </c>
      <c r="BI10" s="1">
        <v>0</v>
      </c>
      <c r="BJ10" s="1">
        <v>0</v>
      </c>
      <c r="BK10" s="1">
        <v>0</v>
      </c>
      <c r="BL10" s="1">
        <v>0</v>
      </c>
      <c r="BM10" s="1">
        <v>0</v>
      </c>
      <c r="BN10" s="1">
        <v>0</v>
      </c>
      <c r="BO10" s="1">
        <v>0</v>
      </c>
      <c r="BP10" s="1">
        <v>0</v>
      </c>
      <c r="BQ10" s="2" t="str">
        <f>HYPERLINK("http://www.d20pfsrd.com/magic/all-spells/a/analyze-dweomer","Analyze Dweomer")</f>
        <v>Analyze Dweomer</v>
      </c>
      <c r="BR10" s="1">
        <v>9</v>
      </c>
      <c r="BS10" s="1">
        <v>1500</v>
      </c>
      <c r="BX10" s="1">
        <v>0</v>
      </c>
      <c r="BY10" s="1" t="s">
        <v>104</v>
      </c>
      <c r="BZ10" s="1" t="s">
        <v>104</v>
      </c>
      <c r="CA10" s="1">
        <v>6</v>
      </c>
      <c r="CB10" s="1" t="s">
        <v>104</v>
      </c>
      <c r="CC10" s="1" t="s">
        <v>104</v>
      </c>
      <c r="CD10" s="1">
        <v>6</v>
      </c>
      <c r="CE10" s="1">
        <v>6</v>
      </c>
      <c r="CF10" s="1" t="s">
        <v>104</v>
      </c>
      <c r="CG10" s="1" t="s">
        <v>104</v>
      </c>
      <c r="CH10" s="1" t="s">
        <v>104</v>
      </c>
      <c r="CJ10" s="1">
        <v>0</v>
      </c>
      <c r="CK10" s="1">
        <v>0</v>
      </c>
      <c r="CL10" s="1">
        <v>0</v>
      </c>
      <c r="CM10" s="1" t="s">
        <v>104</v>
      </c>
    </row>
    <row r="11" spans="1:91" ht="14.25" customHeight="1" x14ac:dyDescent="0.3">
      <c r="A11" s="1" t="s">
        <v>180</v>
      </c>
      <c r="B11" s="1" t="s">
        <v>137</v>
      </c>
      <c r="E11" s="1" t="s">
        <v>181</v>
      </c>
      <c r="F11" s="1" t="s">
        <v>95</v>
      </c>
      <c r="G11" s="1" t="s">
        <v>116</v>
      </c>
      <c r="H11" s="1">
        <v>0</v>
      </c>
      <c r="I11" s="1" t="s">
        <v>109</v>
      </c>
      <c r="L11" s="1" t="s">
        <v>182</v>
      </c>
      <c r="M11" s="1" t="s">
        <v>130</v>
      </c>
      <c r="N11" s="1">
        <v>0</v>
      </c>
      <c r="O11" s="1">
        <v>0</v>
      </c>
      <c r="P11" s="1" t="s">
        <v>183</v>
      </c>
      <c r="Q11" s="1" t="s">
        <v>184</v>
      </c>
      <c r="R11" s="1" t="s">
        <v>185</v>
      </c>
      <c r="S11" s="1" t="s">
        <v>103</v>
      </c>
      <c r="T11" s="1">
        <v>1</v>
      </c>
      <c r="U11" s="1">
        <v>1</v>
      </c>
      <c r="V11" s="1">
        <v>0</v>
      </c>
      <c r="W11" s="1">
        <v>0</v>
      </c>
      <c r="X11" s="1">
        <v>0</v>
      </c>
      <c r="Y11" s="1">
        <v>5</v>
      </c>
      <c r="Z11" s="1">
        <v>5</v>
      </c>
      <c r="AA11" s="1" t="s">
        <v>104</v>
      </c>
      <c r="AB11" s="1">
        <v>5</v>
      </c>
      <c r="AC11" s="1">
        <v>4</v>
      </c>
      <c r="AD11" s="1" t="s">
        <v>104</v>
      </c>
      <c r="AE11" s="1" t="s">
        <v>104</v>
      </c>
      <c r="AF11" s="1" t="s">
        <v>104</v>
      </c>
      <c r="AG11" s="1" t="s">
        <v>104</v>
      </c>
      <c r="AH11" s="1" t="s">
        <v>104</v>
      </c>
      <c r="AI11" s="1" t="s">
        <v>104</v>
      </c>
      <c r="AJ11" s="1" t="s">
        <v>104</v>
      </c>
      <c r="AK11" s="1" t="s">
        <v>104</v>
      </c>
      <c r="AL11" s="1" t="s">
        <v>104</v>
      </c>
      <c r="AM11" s="1" t="s">
        <v>104</v>
      </c>
      <c r="AO11" s="1">
        <v>5</v>
      </c>
      <c r="AP11" s="1" t="s">
        <v>186</v>
      </c>
      <c r="AQ11" s="1" t="s">
        <v>187</v>
      </c>
      <c r="AR11" s="1">
        <v>0</v>
      </c>
      <c r="AS11" s="1">
        <v>0</v>
      </c>
      <c r="AT11" s="1">
        <v>0</v>
      </c>
      <c r="AU11" s="1">
        <v>0</v>
      </c>
      <c r="AV11" s="1">
        <v>0</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2" t="str">
        <f>HYPERLINK("http://www.d20pfsrd.com/magic/all-spells/a/animal-growth","Animal Growth")</f>
        <v>Animal Growth</v>
      </c>
      <c r="BR11" s="1">
        <v>10</v>
      </c>
      <c r="BS11" s="1" t="s">
        <v>104</v>
      </c>
      <c r="BU11" s="1" t="s">
        <v>188</v>
      </c>
      <c r="BX11" s="1">
        <v>0</v>
      </c>
      <c r="BY11" s="1" t="s">
        <v>104</v>
      </c>
      <c r="BZ11" s="1">
        <v>5</v>
      </c>
      <c r="CA11" s="1" t="s">
        <v>104</v>
      </c>
      <c r="CB11" s="1" t="s">
        <v>104</v>
      </c>
      <c r="CC11" s="1" t="s">
        <v>104</v>
      </c>
      <c r="CD11" s="1" t="s">
        <v>104</v>
      </c>
      <c r="CE11" s="1" t="s">
        <v>104</v>
      </c>
      <c r="CF11" s="1" t="s">
        <v>104</v>
      </c>
      <c r="CG11" s="1" t="s">
        <v>104</v>
      </c>
      <c r="CH11" s="1">
        <v>4</v>
      </c>
      <c r="CJ11" s="1">
        <v>0</v>
      </c>
      <c r="CK11" s="1">
        <v>0</v>
      </c>
      <c r="CL11" s="1">
        <v>0</v>
      </c>
      <c r="CM11" s="1" t="s">
        <v>104</v>
      </c>
    </row>
    <row r="12" spans="1:91" ht="14.25" customHeight="1" x14ac:dyDescent="0.3">
      <c r="A12" s="1" t="s">
        <v>189</v>
      </c>
      <c r="B12" s="1" t="s">
        <v>123</v>
      </c>
      <c r="C12" s="1" t="s">
        <v>124</v>
      </c>
      <c r="D12" s="1" t="s">
        <v>125</v>
      </c>
      <c r="E12" s="1" t="s">
        <v>190</v>
      </c>
      <c r="F12" s="1" t="s">
        <v>191</v>
      </c>
      <c r="G12" s="1" t="s">
        <v>192</v>
      </c>
      <c r="H12" s="1">
        <v>0</v>
      </c>
      <c r="I12" s="1" t="s">
        <v>117</v>
      </c>
      <c r="L12" s="1" t="s">
        <v>193</v>
      </c>
      <c r="M12" s="1" t="s">
        <v>194</v>
      </c>
      <c r="N12" s="1">
        <v>0</v>
      </c>
      <c r="O12" s="1">
        <v>0</v>
      </c>
      <c r="P12" s="1" t="s">
        <v>195</v>
      </c>
      <c r="Q12" s="1" t="s">
        <v>184</v>
      </c>
      <c r="R12" s="1" t="s">
        <v>196</v>
      </c>
      <c r="S12" s="1" t="s">
        <v>103</v>
      </c>
      <c r="T12" s="1">
        <v>1</v>
      </c>
      <c r="U12" s="1">
        <v>1</v>
      </c>
      <c r="V12" s="1">
        <v>1</v>
      </c>
      <c r="W12" s="1">
        <v>0</v>
      </c>
      <c r="X12" s="1">
        <v>0</v>
      </c>
      <c r="Y12" s="1" t="s">
        <v>104</v>
      </c>
      <c r="Z12" s="1" t="s">
        <v>104</v>
      </c>
      <c r="AA12" s="1" t="s">
        <v>104</v>
      </c>
      <c r="AB12" s="1">
        <v>2</v>
      </c>
      <c r="AC12" s="1">
        <v>1</v>
      </c>
      <c r="AD12" s="1">
        <v>2</v>
      </c>
      <c r="AE12" s="1" t="s">
        <v>104</v>
      </c>
      <c r="AF12" s="1" t="s">
        <v>104</v>
      </c>
      <c r="AG12" s="1" t="s">
        <v>104</v>
      </c>
      <c r="AH12" s="1" t="s">
        <v>104</v>
      </c>
      <c r="AI12" s="1" t="s">
        <v>104</v>
      </c>
      <c r="AJ12" s="1" t="s">
        <v>104</v>
      </c>
      <c r="AK12" s="1" t="s">
        <v>104</v>
      </c>
      <c r="AL12" s="1" t="s">
        <v>104</v>
      </c>
      <c r="AM12" s="1" t="s">
        <v>104</v>
      </c>
      <c r="AO12" s="1">
        <v>2</v>
      </c>
      <c r="AQ12" s="1" t="s">
        <v>197</v>
      </c>
      <c r="AR12" s="1">
        <v>0</v>
      </c>
      <c r="AS12" s="1">
        <v>0</v>
      </c>
      <c r="AT12" s="1">
        <v>0</v>
      </c>
      <c r="AU12" s="1">
        <v>0</v>
      </c>
      <c r="AV12" s="1">
        <v>0</v>
      </c>
      <c r="AW12" s="1">
        <v>0</v>
      </c>
      <c r="AX12" s="1">
        <v>0</v>
      </c>
      <c r="AY12" s="1">
        <v>0</v>
      </c>
      <c r="AZ12" s="1">
        <v>0</v>
      </c>
      <c r="BA12" s="1">
        <v>0</v>
      </c>
      <c r="BB12" s="1">
        <v>0</v>
      </c>
      <c r="BC12" s="1">
        <v>0</v>
      </c>
      <c r="BD12" s="1">
        <v>0</v>
      </c>
      <c r="BE12" s="1">
        <v>0</v>
      </c>
      <c r="BF12" s="1">
        <v>0</v>
      </c>
      <c r="BG12" s="1">
        <v>0</v>
      </c>
      <c r="BH12" s="1">
        <v>0</v>
      </c>
      <c r="BI12" s="1">
        <v>0</v>
      </c>
      <c r="BJ12" s="1">
        <v>0</v>
      </c>
      <c r="BK12" s="1">
        <v>1</v>
      </c>
      <c r="BL12" s="1">
        <v>0</v>
      </c>
      <c r="BM12" s="1">
        <v>0</v>
      </c>
      <c r="BN12" s="1">
        <v>0</v>
      </c>
      <c r="BO12" s="1">
        <v>0</v>
      </c>
      <c r="BP12" s="1">
        <v>0</v>
      </c>
      <c r="BQ12" s="2" t="str">
        <f>HYPERLINK("http://www.d20pfsrd.com/magic/all-spells/a/animal-messenger","Animal Messenger")</f>
        <v>Animal Messenger</v>
      </c>
      <c r="BR12" s="1">
        <v>11</v>
      </c>
      <c r="BS12" s="1" t="s">
        <v>104</v>
      </c>
      <c r="BX12" s="1">
        <v>0</v>
      </c>
      <c r="BY12" s="1" t="s">
        <v>104</v>
      </c>
      <c r="BZ12" s="1">
        <v>2</v>
      </c>
      <c r="CA12" s="1">
        <v>2</v>
      </c>
      <c r="CB12" s="1" t="s">
        <v>104</v>
      </c>
      <c r="CC12" s="1">
        <v>2</v>
      </c>
      <c r="CD12" s="1" t="s">
        <v>104</v>
      </c>
      <c r="CE12" s="1" t="s">
        <v>104</v>
      </c>
      <c r="CF12" s="1" t="s">
        <v>104</v>
      </c>
      <c r="CG12" s="1" t="s">
        <v>104</v>
      </c>
      <c r="CH12" s="1">
        <v>1</v>
      </c>
      <c r="CJ12" s="1">
        <v>0</v>
      </c>
      <c r="CK12" s="1">
        <v>0</v>
      </c>
      <c r="CL12" s="1">
        <v>0</v>
      </c>
      <c r="CM12" s="1" t="s">
        <v>104</v>
      </c>
    </row>
    <row r="13" spans="1:91" ht="14.25" customHeight="1" x14ac:dyDescent="0.3">
      <c r="A13" s="1" t="s">
        <v>198</v>
      </c>
      <c r="B13" s="1" t="s">
        <v>137</v>
      </c>
      <c r="C13" s="1" t="s">
        <v>154</v>
      </c>
      <c r="E13" s="1" t="s">
        <v>199</v>
      </c>
      <c r="F13" s="1" t="s">
        <v>95</v>
      </c>
      <c r="G13" s="1" t="s">
        <v>127</v>
      </c>
      <c r="H13" s="1">
        <v>0</v>
      </c>
      <c r="I13" s="1" t="s">
        <v>117</v>
      </c>
      <c r="L13" s="1" t="s">
        <v>200</v>
      </c>
      <c r="M13" s="1" t="s">
        <v>201</v>
      </c>
      <c r="N13" s="1">
        <v>1</v>
      </c>
      <c r="O13" s="1">
        <v>0</v>
      </c>
      <c r="P13" s="1" t="s">
        <v>195</v>
      </c>
      <c r="Q13" s="1" t="s">
        <v>131</v>
      </c>
      <c r="R13" s="1" t="s">
        <v>202</v>
      </c>
      <c r="S13" s="1" t="s">
        <v>103</v>
      </c>
      <c r="T13" s="1">
        <v>1</v>
      </c>
      <c r="U13" s="1">
        <v>1</v>
      </c>
      <c r="V13" s="1">
        <v>0</v>
      </c>
      <c r="W13" s="1">
        <v>0</v>
      </c>
      <c r="X13" s="1">
        <v>1</v>
      </c>
      <c r="Y13" s="1" t="s">
        <v>104</v>
      </c>
      <c r="Z13" s="1" t="s">
        <v>104</v>
      </c>
      <c r="AA13" s="1" t="s">
        <v>104</v>
      </c>
      <c r="AB13" s="1">
        <v>8</v>
      </c>
      <c r="AC13" s="1" t="s">
        <v>104</v>
      </c>
      <c r="AD13" s="1" t="s">
        <v>104</v>
      </c>
      <c r="AE13" s="1" t="s">
        <v>104</v>
      </c>
      <c r="AF13" s="1" t="s">
        <v>104</v>
      </c>
      <c r="AG13" s="1" t="s">
        <v>104</v>
      </c>
      <c r="AH13" s="1" t="s">
        <v>104</v>
      </c>
      <c r="AI13" s="1" t="s">
        <v>104</v>
      </c>
      <c r="AJ13" s="1" t="s">
        <v>104</v>
      </c>
      <c r="AK13" s="1" t="s">
        <v>104</v>
      </c>
      <c r="AL13" s="1" t="s">
        <v>104</v>
      </c>
      <c r="AM13" s="1" t="s">
        <v>104</v>
      </c>
      <c r="AO13" s="1">
        <v>8</v>
      </c>
      <c r="AP13" s="1" t="s">
        <v>203</v>
      </c>
      <c r="AQ13" s="1" t="s">
        <v>204</v>
      </c>
      <c r="AR13" s="1">
        <v>0</v>
      </c>
      <c r="AS13" s="1">
        <v>0</v>
      </c>
      <c r="AT13" s="1">
        <v>0</v>
      </c>
      <c r="AU13" s="1">
        <v>0</v>
      </c>
      <c r="AV13" s="1">
        <v>0</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2" t="str">
        <f>HYPERLINK("http://www.d20pfsrd.com/magic/all-spells/a/animal-shapes","Animal Shapes")</f>
        <v>Animal Shapes</v>
      </c>
      <c r="BR13" s="1">
        <v>12</v>
      </c>
      <c r="BS13" s="1" t="s">
        <v>104</v>
      </c>
      <c r="BU13" s="1" t="s">
        <v>205</v>
      </c>
      <c r="BX13" s="1">
        <v>0</v>
      </c>
      <c r="BY13" s="1" t="s">
        <v>104</v>
      </c>
      <c r="BZ13" s="1">
        <v>8</v>
      </c>
      <c r="CA13" s="1" t="s">
        <v>104</v>
      </c>
      <c r="CB13" s="1" t="s">
        <v>104</v>
      </c>
      <c r="CC13" s="1" t="s">
        <v>104</v>
      </c>
      <c r="CD13" s="1" t="s">
        <v>104</v>
      </c>
      <c r="CE13" s="1" t="s">
        <v>104</v>
      </c>
      <c r="CF13" s="1" t="s">
        <v>104</v>
      </c>
      <c r="CG13" s="1" t="s">
        <v>104</v>
      </c>
      <c r="CH13" s="1" t="s">
        <v>104</v>
      </c>
      <c r="CJ13" s="1">
        <v>0</v>
      </c>
      <c r="CK13" s="1">
        <v>0</v>
      </c>
      <c r="CL13" s="1">
        <v>0</v>
      </c>
      <c r="CM13" s="1" t="s">
        <v>104</v>
      </c>
    </row>
    <row r="14" spans="1:91" ht="14.25" customHeight="1" x14ac:dyDescent="0.3">
      <c r="A14" s="1" t="s">
        <v>206</v>
      </c>
      <c r="B14" s="1" t="s">
        <v>123</v>
      </c>
      <c r="C14" s="1" t="s">
        <v>124</v>
      </c>
      <c r="D14" s="1" t="s">
        <v>207</v>
      </c>
      <c r="E14" s="1" t="s">
        <v>208</v>
      </c>
      <c r="F14" s="1" t="s">
        <v>95</v>
      </c>
      <c r="G14" s="1" t="s">
        <v>116</v>
      </c>
      <c r="H14" s="1">
        <v>0</v>
      </c>
      <c r="I14" s="1" t="s">
        <v>117</v>
      </c>
      <c r="L14" s="1" t="s">
        <v>209</v>
      </c>
      <c r="M14" s="1" t="s">
        <v>210</v>
      </c>
      <c r="N14" s="1">
        <v>0</v>
      </c>
      <c r="O14" s="1">
        <v>0</v>
      </c>
      <c r="P14" s="1" t="s">
        <v>211</v>
      </c>
      <c r="Q14" s="1" t="s">
        <v>184</v>
      </c>
      <c r="R14" s="1" t="s">
        <v>212</v>
      </c>
      <c r="S14" s="1" t="s">
        <v>103</v>
      </c>
      <c r="T14" s="1">
        <v>1</v>
      </c>
      <c r="U14" s="1">
        <v>1</v>
      </c>
      <c r="V14" s="1">
        <v>0</v>
      </c>
      <c r="W14" s="1">
        <v>0</v>
      </c>
      <c r="X14" s="1">
        <v>0</v>
      </c>
      <c r="Y14" s="1" t="s">
        <v>104</v>
      </c>
      <c r="Z14" s="1" t="s">
        <v>104</v>
      </c>
      <c r="AA14" s="1" t="s">
        <v>104</v>
      </c>
      <c r="AB14" s="1">
        <v>2</v>
      </c>
      <c r="AC14" s="1" t="s">
        <v>104</v>
      </c>
      <c r="AD14" s="1">
        <v>2</v>
      </c>
      <c r="AE14" s="1" t="s">
        <v>104</v>
      </c>
      <c r="AF14" s="1" t="s">
        <v>104</v>
      </c>
      <c r="AG14" s="1" t="s">
        <v>104</v>
      </c>
      <c r="AH14" s="1" t="s">
        <v>104</v>
      </c>
      <c r="AI14" s="1" t="s">
        <v>104</v>
      </c>
      <c r="AJ14" s="1" t="s">
        <v>104</v>
      </c>
      <c r="AK14" s="1" t="s">
        <v>104</v>
      </c>
      <c r="AL14" s="1" t="s">
        <v>104</v>
      </c>
      <c r="AM14" s="1">
        <v>2</v>
      </c>
      <c r="AO14" s="1">
        <v>2</v>
      </c>
      <c r="AP14" s="1" t="s">
        <v>213</v>
      </c>
      <c r="AQ14" s="1" t="s">
        <v>214</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0</v>
      </c>
      <c r="BI14" s="1">
        <v>0</v>
      </c>
      <c r="BJ14" s="1">
        <v>0</v>
      </c>
      <c r="BK14" s="1">
        <v>1</v>
      </c>
      <c r="BL14" s="1">
        <v>0</v>
      </c>
      <c r="BM14" s="1">
        <v>0</v>
      </c>
      <c r="BN14" s="1">
        <v>0</v>
      </c>
      <c r="BO14" s="1">
        <v>1</v>
      </c>
      <c r="BP14" s="1">
        <v>0</v>
      </c>
      <c r="BQ14" s="2" t="str">
        <f>HYPERLINK("http://www.d20pfsrd.com/magic/all-spells/a/animal-trance","Animal Trance")</f>
        <v>Animal Trance</v>
      </c>
      <c r="BR14" s="1">
        <v>13</v>
      </c>
      <c r="BS14" s="1" t="s">
        <v>104</v>
      </c>
      <c r="BX14" s="1">
        <v>0</v>
      </c>
      <c r="BY14" s="1" t="s">
        <v>104</v>
      </c>
      <c r="BZ14" s="1" t="s">
        <v>104</v>
      </c>
      <c r="CA14" s="1">
        <v>2</v>
      </c>
      <c r="CB14" s="1" t="s">
        <v>104</v>
      </c>
      <c r="CC14" s="1">
        <v>2</v>
      </c>
      <c r="CD14" s="1" t="s">
        <v>104</v>
      </c>
      <c r="CE14" s="1" t="s">
        <v>104</v>
      </c>
      <c r="CF14" s="1" t="s">
        <v>104</v>
      </c>
      <c r="CG14" s="1" t="s">
        <v>104</v>
      </c>
      <c r="CH14" s="1">
        <v>2</v>
      </c>
      <c r="CJ14" s="1">
        <v>0</v>
      </c>
      <c r="CK14" s="1">
        <v>0</v>
      </c>
      <c r="CL14" s="1">
        <v>0</v>
      </c>
      <c r="CM14" s="1" t="s">
        <v>104</v>
      </c>
    </row>
    <row r="15" spans="1:91" ht="14.25" customHeight="1" x14ac:dyDescent="0.3">
      <c r="A15" s="1" t="s">
        <v>215</v>
      </c>
      <c r="B15" s="1" t="s">
        <v>216</v>
      </c>
      <c r="D15" s="1" t="s">
        <v>54</v>
      </c>
      <c r="E15" s="1" t="s">
        <v>217</v>
      </c>
      <c r="F15" s="1" t="s">
        <v>95</v>
      </c>
      <c r="G15" s="1" t="s">
        <v>218</v>
      </c>
      <c r="H15" s="1">
        <v>1</v>
      </c>
      <c r="I15" s="1" t="s">
        <v>128</v>
      </c>
      <c r="L15" s="1" t="s">
        <v>219</v>
      </c>
      <c r="M15" s="1" t="s">
        <v>119</v>
      </c>
      <c r="N15" s="1">
        <v>0</v>
      </c>
      <c r="O15" s="1">
        <v>0</v>
      </c>
      <c r="P15" s="1" t="s">
        <v>100</v>
      </c>
      <c r="Q15" s="1" t="s">
        <v>101</v>
      </c>
      <c r="R15" s="1" t="s">
        <v>220</v>
      </c>
      <c r="S15" s="1" t="s">
        <v>103</v>
      </c>
      <c r="T15" s="1">
        <v>1</v>
      </c>
      <c r="U15" s="1">
        <v>1</v>
      </c>
      <c r="V15" s="1">
        <v>1</v>
      </c>
      <c r="W15" s="1">
        <v>0</v>
      </c>
      <c r="X15" s="1">
        <v>0</v>
      </c>
      <c r="Y15" s="1">
        <v>4</v>
      </c>
      <c r="Z15" s="1">
        <v>4</v>
      </c>
      <c r="AA15" s="1">
        <v>3</v>
      </c>
      <c r="AB15" s="1" t="s">
        <v>104</v>
      </c>
      <c r="AC15" s="1" t="s">
        <v>104</v>
      </c>
      <c r="AD15" s="1" t="s">
        <v>104</v>
      </c>
      <c r="AE15" s="1" t="s">
        <v>104</v>
      </c>
      <c r="AF15" s="1" t="s">
        <v>104</v>
      </c>
      <c r="AG15" s="1" t="s">
        <v>104</v>
      </c>
      <c r="AH15" s="1" t="s">
        <v>104</v>
      </c>
      <c r="AI15" s="1" t="s">
        <v>104</v>
      </c>
      <c r="AJ15" s="1">
        <v>3</v>
      </c>
      <c r="AK15" s="1">
        <v>3</v>
      </c>
      <c r="AL15" s="1" t="s">
        <v>104</v>
      </c>
      <c r="AM15" s="1">
        <v>3</v>
      </c>
      <c r="AO15" s="1">
        <v>4</v>
      </c>
      <c r="AP15" s="1" t="s">
        <v>221</v>
      </c>
      <c r="AQ15" s="1" t="s">
        <v>222</v>
      </c>
      <c r="AR15" s="1">
        <v>0</v>
      </c>
      <c r="AS15" s="1">
        <v>0</v>
      </c>
      <c r="AT15" s="1">
        <v>0</v>
      </c>
      <c r="AU15" s="1">
        <v>0</v>
      </c>
      <c r="AV15" s="1">
        <v>0</v>
      </c>
      <c r="AW15" s="1">
        <v>0</v>
      </c>
      <c r="AX15" s="1">
        <v>0</v>
      </c>
      <c r="AY15" s="1">
        <v>0</v>
      </c>
      <c r="AZ15" s="1">
        <v>0</v>
      </c>
      <c r="BA15" s="1">
        <v>0</v>
      </c>
      <c r="BB15" s="1">
        <v>0</v>
      </c>
      <c r="BC15" s="1">
        <v>1</v>
      </c>
      <c r="BD15" s="1">
        <v>0</v>
      </c>
      <c r="BE15" s="1">
        <v>0</v>
      </c>
      <c r="BF15" s="1">
        <v>0</v>
      </c>
      <c r="BG15" s="1">
        <v>0</v>
      </c>
      <c r="BH15" s="1">
        <v>0</v>
      </c>
      <c r="BI15" s="1">
        <v>0</v>
      </c>
      <c r="BJ15" s="1">
        <v>0</v>
      </c>
      <c r="BK15" s="1">
        <v>0</v>
      </c>
      <c r="BL15" s="1">
        <v>0</v>
      </c>
      <c r="BM15" s="1">
        <v>0</v>
      </c>
      <c r="BN15" s="1">
        <v>0</v>
      </c>
      <c r="BO15" s="1">
        <v>0</v>
      </c>
      <c r="BP15" s="1">
        <v>0</v>
      </c>
      <c r="BQ15" s="2" t="str">
        <f>HYPERLINK("http://www.d20pfsrd.com/magic/all-spells/a/animate-dead","Animate Dead")</f>
        <v>Animate Dead</v>
      </c>
      <c r="BR15" s="1">
        <v>14</v>
      </c>
      <c r="BS15" s="1">
        <v>25</v>
      </c>
      <c r="BT15" s="1" t="s">
        <v>223</v>
      </c>
      <c r="BU15" s="1" t="s">
        <v>224</v>
      </c>
      <c r="BV15" s="1" t="s">
        <v>225</v>
      </c>
      <c r="BW15" s="1" t="s">
        <v>226</v>
      </c>
      <c r="BX15" s="1">
        <v>1</v>
      </c>
      <c r="BY15" s="1" t="s">
        <v>104</v>
      </c>
      <c r="BZ15" s="1">
        <v>3</v>
      </c>
      <c r="CA15" s="1" t="s">
        <v>104</v>
      </c>
      <c r="CB15" s="1" t="s">
        <v>104</v>
      </c>
      <c r="CC15" s="1" t="s">
        <v>104</v>
      </c>
      <c r="CD15" s="1">
        <v>3</v>
      </c>
      <c r="CE15" s="1">
        <v>3</v>
      </c>
      <c r="CF15" s="1" t="s">
        <v>104</v>
      </c>
      <c r="CG15" s="1" t="s">
        <v>104</v>
      </c>
      <c r="CH15" s="1" t="s">
        <v>104</v>
      </c>
      <c r="CJ15" s="1">
        <v>0</v>
      </c>
      <c r="CK15" s="1">
        <v>0</v>
      </c>
      <c r="CL15" s="1">
        <v>0</v>
      </c>
      <c r="CM15" s="1" t="s">
        <v>104</v>
      </c>
    </row>
    <row r="16" spans="1:91" ht="14.25" customHeight="1" x14ac:dyDescent="0.3">
      <c r="A16" s="1" t="s">
        <v>227</v>
      </c>
      <c r="B16" s="1" t="s">
        <v>137</v>
      </c>
      <c r="E16" s="1" t="s">
        <v>228</v>
      </c>
      <c r="F16" s="1" t="s">
        <v>95</v>
      </c>
      <c r="G16" s="1" t="s">
        <v>116</v>
      </c>
      <c r="H16" s="1">
        <v>0</v>
      </c>
      <c r="I16" s="1" t="s">
        <v>109</v>
      </c>
      <c r="L16" s="1" t="s">
        <v>229</v>
      </c>
      <c r="M16" s="1" t="s">
        <v>111</v>
      </c>
      <c r="N16" s="1">
        <v>0</v>
      </c>
      <c r="O16" s="1">
        <v>0</v>
      </c>
      <c r="P16" s="1" t="s">
        <v>100</v>
      </c>
      <c r="Q16" s="1" t="s">
        <v>101</v>
      </c>
      <c r="R16" s="1" t="s">
        <v>230</v>
      </c>
      <c r="S16" s="1" t="s">
        <v>103</v>
      </c>
      <c r="T16" s="1">
        <v>1</v>
      </c>
      <c r="U16" s="1">
        <v>1</v>
      </c>
      <c r="V16" s="1">
        <v>0</v>
      </c>
      <c r="W16" s="1">
        <v>0</v>
      </c>
      <c r="X16" s="1">
        <v>0</v>
      </c>
      <c r="Y16" s="1" t="s">
        <v>104</v>
      </c>
      <c r="Z16" s="1" t="s">
        <v>104</v>
      </c>
      <c r="AA16" s="1">
        <v>6</v>
      </c>
      <c r="AB16" s="1" t="s">
        <v>104</v>
      </c>
      <c r="AC16" s="1" t="s">
        <v>104</v>
      </c>
      <c r="AD16" s="1">
        <v>6</v>
      </c>
      <c r="AE16" s="1" t="s">
        <v>104</v>
      </c>
      <c r="AF16" s="1" t="s">
        <v>104</v>
      </c>
      <c r="AG16" s="1" t="s">
        <v>104</v>
      </c>
      <c r="AH16" s="1">
        <v>6</v>
      </c>
      <c r="AI16" s="1" t="s">
        <v>104</v>
      </c>
      <c r="AJ16" s="1">
        <v>6</v>
      </c>
      <c r="AK16" s="1" t="s">
        <v>104</v>
      </c>
      <c r="AL16" s="1" t="s">
        <v>104</v>
      </c>
      <c r="AM16" s="1" t="s">
        <v>104</v>
      </c>
      <c r="AO16" s="1">
        <v>6</v>
      </c>
      <c r="AP16" s="1" t="s">
        <v>231</v>
      </c>
      <c r="AQ16" s="1" t="s">
        <v>232</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2" t="str">
        <f>HYPERLINK("http://www.d20pfsrd.com/magic/all-spells/a/animate-objects","Animate Objects")</f>
        <v>Animate Objects</v>
      </c>
      <c r="BR16" s="1">
        <v>15</v>
      </c>
      <c r="BS16" s="1" t="s">
        <v>104</v>
      </c>
      <c r="BT16" s="1" t="s">
        <v>233</v>
      </c>
      <c r="BV16" s="1" t="s">
        <v>234</v>
      </c>
      <c r="BX16" s="1">
        <v>1</v>
      </c>
      <c r="BY16" s="1" t="s">
        <v>104</v>
      </c>
      <c r="BZ16" s="1" t="s">
        <v>104</v>
      </c>
      <c r="CA16" s="1">
        <v>6</v>
      </c>
      <c r="CB16" s="1" t="s">
        <v>104</v>
      </c>
      <c r="CC16" s="1" t="s">
        <v>104</v>
      </c>
      <c r="CD16" s="1">
        <v>6</v>
      </c>
      <c r="CE16" s="1" t="s">
        <v>104</v>
      </c>
      <c r="CF16" s="1" t="s">
        <v>104</v>
      </c>
      <c r="CG16" s="1" t="s">
        <v>104</v>
      </c>
      <c r="CH16" s="1" t="s">
        <v>104</v>
      </c>
      <c r="CJ16" s="1">
        <v>0</v>
      </c>
      <c r="CK16" s="1">
        <v>0</v>
      </c>
      <c r="CL16" s="1">
        <v>0</v>
      </c>
      <c r="CM16" s="1" t="s">
        <v>104</v>
      </c>
    </row>
    <row r="17" spans="1:91" ht="14.25" customHeight="1" x14ac:dyDescent="0.3">
      <c r="A17" s="1" t="s">
        <v>235</v>
      </c>
      <c r="B17" s="1" t="s">
        <v>137</v>
      </c>
      <c r="E17" s="1" t="s">
        <v>236</v>
      </c>
      <c r="F17" s="1" t="s">
        <v>95</v>
      </c>
      <c r="G17" s="1" t="s">
        <v>237</v>
      </c>
      <c r="H17" s="1">
        <v>0</v>
      </c>
      <c r="I17" s="1" t="s">
        <v>117</v>
      </c>
      <c r="L17" s="1" t="s">
        <v>238</v>
      </c>
      <c r="M17" s="1" t="s">
        <v>239</v>
      </c>
      <c r="N17" s="1">
        <v>0</v>
      </c>
      <c r="O17" s="1">
        <v>0</v>
      </c>
      <c r="P17" s="1" t="s">
        <v>100</v>
      </c>
      <c r="Q17" s="1" t="s">
        <v>101</v>
      </c>
      <c r="R17" s="1" t="s">
        <v>240</v>
      </c>
      <c r="S17" s="1" t="s">
        <v>103</v>
      </c>
      <c r="T17" s="1">
        <v>1</v>
      </c>
      <c r="U17" s="1">
        <v>0</v>
      </c>
      <c r="V17" s="1">
        <v>0</v>
      </c>
      <c r="W17" s="1">
        <v>0</v>
      </c>
      <c r="X17" s="1">
        <v>0</v>
      </c>
      <c r="Y17" s="1" t="s">
        <v>104</v>
      </c>
      <c r="Z17" s="1" t="s">
        <v>104</v>
      </c>
      <c r="AA17" s="1" t="s">
        <v>104</v>
      </c>
      <c r="AB17" s="1">
        <v>7</v>
      </c>
      <c r="AC17" s="1" t="s">
        <v>104</v>
      </c>
      <c r="AD17" s="1" t="s">
        <v>104</v>
      </c>
      <c r="AE17" s="1" t="s">
        <v>104</v>
      </c>
      <c r="AF17" s="1" t="s">
        <v>104</v>
      </c>
      <c r="AG17" s="1" t="s">
        <v>104</v>
      </c>
      <c r="AH17" s="1" t="s">
        <v>104</v>
      </c>
      <c r="AI17" s="1" t="s">
        <v>104</v>
      </c>
      <c r="AJ17" s="1" t="s">
        <v>104</v>
      </c>
      <c r="AK17" s="1" t="s">
        <v>104</v>
      </c>
      <c r="AL17" s="1" t="s">
        <v>104</v>
      </c>
      <c r="AM17" s="1" t="s">
        <v>104</v>
      </c>
      <c r="AO17" s="1">
        <v>7</v>
      </c>
      <c r="AP17" s="1" t="s">
        <v>241</v>
      </c>
      <c r="AQ17" s="1" t="s">
        <v>242</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2" t="str">
        <f>HYPERLINK("http://www.d20pfsrd.com/magic/all-spells/a/animate-plants","Animate Plants")</f>
        <v>Animate Plants</v>
      </c>
      <c r="BR17" s="1">
        <v>16</v>
      </c>
      <c r="BS17" s="1" t="s">
        <v>104</v>
      </c>
      <c r="BT17" s="1" t="s">
        <v>243</v>
      </c>
      <c r="BU17" s="1" t="s">
        <v>244</v>
      </c>
      <c r="BV17" s="1" t="s">
        <v>245</v>
      </c>
      <c r="BX17" s="1">
        <v>1</v>
      </c>
      <c r="BY17" s="1" t="s">
        <v>104</v>
      </c>
      <c r="BZ17" s="1">
        <v>7</v>
      </c>
      <c r="CA17" s="1" t="s">
        <v>104</v>
      </c>
      <c r="CB17" s="1" t="s">
        <v>104</v>
      </c>
      <c r="CC17" s="1" t="s">
        <v>104</v>
      </c>
      <c r="CD17" s="1" t="s">
        <v>104</v>
      </c>
      <c r="CE17" s="1" t="s">
        <v>104</v>
      </c>
      <c r="CF17" s="1" t="s">
        <v>104</v>
      </c>
      <c r="CG17" s="1" t="s">
        <v>104</v>
      </c>
      <c r="CH17" s="1" t="s">
        <v>104</v>
      </c>
      <c r="CJ17" s="1">
        <v>0</v>
      </c>
      <c r="CK17" s="1">
        <v>0</v>
      </c>
      <c r="CL17" s="1">
        <v>0</v>
      </c>
      <c r="CM17" s="1" t="s">
        <v>104</v>
      </c>
    </row>
    <row r="18" spans="1:91" ht="14.25" customHeight="1" x14ac:dyDescent="0.3">
      <c r="A18" s="1" t="s">
        <v>246</v>
      </c>
      <c r="B18" s="1" t="s">
        <v>137</v>
      </c>
      <c r="E18" s="1" t="s">
        <v>247</v>
      </c>
      <c r="F18" s="1" t="s">
        <v>95</v>
      </c>
      <c r="G18" s="1" t="s">
        <v>116</v>
      </c>
      <c r="H18" s="1">
        <v>0</v>
      </c>
      <c r="I18" s="1" t="s">
        <v>109</v>
      </c>
      <c r="L18" s="1" t="s">
        <v>248</v>
      </c>
      <c r="M18" s="1" t="s">
        <v>111</v>
      </c>
      <c r="N18" s="1">
        <v>0</v>
      </c>
      <c r="O18" s="1">
        <v>0</v>
      </c>
      <c r="P18" s="1" t="s">
        <v>100</v>
      </c>
      <c r="Q18" s="1" t="s">
        <v>101</v>
      </c>
      <c r="R18" s="1" t="s">
        <v>249</v>
      </c>
      <c r="S18" s="1" t="s">
        <v>103</v>
      </c>
      <c r="T18" s="1">
        <v>1</v>
      </c>
      <c r="U18" s="1">
        <v>1</v>
      </c>
      <c r="V18" s="1">
        <v>0</v>
      </c>
      <c r="W18" s="1">
        <v>0</v>
      </c>
      <c r="X18" s="1">
        <v>0</v>
      </c>
      <c r="Y18" s="1">
        <v>1</v>
      </c>
      <c r="Z18" s="1">
        <v>1</v>
      </c>
      <c r="AA18" s="1" t="s">
        <v>104</v>
      </c>
      <c r="AB18" s="1" t="s">
        <v>104</v>
      </c>
      <c r="AC18" s="1" t="s">
        <v>104</v>
      </c>
      <c r="AD18" s="1">
        <v>1</v>
      </c>
      <c r="AE18" s="1" t="s">
        <v>104</v>
      </c>
      <c r="AF18" s="1" t="s">
        <v>104</v>
      </c>
      <c r="AG18" s="1" t="s">
        <v>104</v>
      </c>
      <c r="AH18" s="1" t="s">
        <v>104</v>
      </c>
      <c r="AI18" s="1" t="s">
        <v>104</v>
      </c>
      <c r="AJ18" s="1" t="s">
        <v>104</v>
      </c>
      <c r="AK18" s="1" t="s">
        <v>104</v>
      </c>
      <c r="AL18" s="1" t="s">
        <v>104</v>
      </c>
      <c r="AM18" s="1" t="s">
        <v>104</v>
      </c>
      <c r="AO18" s="1">
        <v>1</v>
      </c>
      <c r="AP18" s="1" t="s">
        <v>250</v>
      </c>
      <c r="AQ18" s="1" t="s">
        <v>251</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2" t="str">
        <f>HYPERLINK("http://www.d20pfsrd.com/magic/all-spells/a/animate-rope","Animate Rope")</f>
        <v>Animate Rope</v>
      </c>
      <c r="BR18" s="1">
        <v>17</v>
      </c>
      <c r="BS18" s="1" t="s">
        <v>104</v>
      </c>
      <c r="BU18" s="1" t="s">
        <v>252</v>
      </c>
      <c r="BX18" s="1">
        <v>0</v>
      </c>
      <c r="BY18" s="1" t="s">
        <v>104</v>
      </c>
      <c r="BZ18" s="1" t="s">
        <v>104</v>
      </c>
      <c r="CA18" s="1">
        <v>1</v>
      </c>
      <c r="CB18" s="1" t="s">
        <v>104</v>
      </c>
      <c r="CC18" s="1">
        <v>1</v>
      </c>
      <c r="CD18" s="1" t="s">
        <v>104</v>
      </c>
      <c r="CE18" s="1" t="s">
        <v>104</v>
      </c>
      <c r="CF18" s="1" t="s">
        <v>104</v>
      </c>
      <c r="CG18" s="1" t="s">
        <v>104</v>
      </c>
      <c r="CH18" s="1" t="s">
        <v>104</v>
      </c>
      <c r="CJ18" s="1">
        <v>0</v>
      </c>
      <c r="CK18" s="1">
        <v>0</v>
      </c>
      <c r="CL18" s="1">
        <v>0</v>
      </c>
      <c r="CM18" s="1" t="s">
        <v>104</v>
      </c>
    </row>
    <row r="19" spans="1:91" ht="14.25" customHeight="1" x14ac:dyDescent="0.3">
      <c r="A19" s="1" t="s">
        <v>253</v>
      </c>
      <c r="B19" s="1" t="s">
        <v>162</v>
      </c>
      <c r="E19" s="1" t="s">
        <v>254</v>
      </c>
      <c r="F19" s="1" t="s">
        <v>255</v>
      </c>
      <c r="G19" s="1" t="s">
        <v>127</v>
      </c>
      <c r="H19" s="1">
        <v>0</v>
      </c>
      <c r="I19" s="1" t="s">
        <v>256</v>
      </c>
      <c r="J19" s="1" t="s">
        <v>257</v>
      </c>
      <c r="M19" s="1" t="s">
        <v>130</v>
      </c>
      <c r="N19" s="1">
        <v>1</v>
      </c>
      <c r="O19" s="1">
        <v>0</v>
      </c>
      <c r="P19" s="1" t="s">
        <v>100</v>
      </c>
      <c r="Q19" s="1" t="s">
        <v>184</v>
      </c>
      <c r="R19" s="1" t="s">
        <v>258</v>
      </c>
      <c r="S19" s="1" t="s">
        <v>103</v>
      </c>
      <c r="T19" s="1">
        <v>1</v>
      </c>
      <c r="U19" s="1">
        <v>1</v>
      </c>
      <c r="V19" s="1">
        <v>0</v>
      </c>
      <c r="W19" s="1">
        <v>0</v>
      </c>
      <c r="X19" s="1">
        <v>1</v>
      </c>
      <c r="Y19" s="1" t="s">
        <v>104</v>
      </c>
      <c r="Z19" s="1" t="s">
        <v>104</v>
      </c>
      <c r="AA19" s="1">
        <v>6</v>
      </c>
      <c r="AB19" s="1">
        <v>6</v>
      </c>
      <c r="AC19" s="1" t="s">
        <v>104</v>
      </c>
      <c r="AD19" s="1" t="s">
        <v>104</v>
      </c>
      <c r="AE19" s="1" t="s">
        <v>104</v>
      </c>
      <c r="AF19" s="1" t="s">
        <v>104</v>
      </c>
      <c r="AG19" s="1" t="s">
        <v>104</v>
      </c>
      <c r="AH19" s="1" t="s">
        <v>104</v>
      </c>
      <c r="AI19" s="1" t="s">
        <v>104</v>
      </c>
      <c r="AJ19" s="1">
        <v>6</v>
      </c>
      <c r="AK19" s="1" t="s">
        <v>104</v>
      </c>
      <c r="AL19" s="1" t="s">
        <v>104</v>
      </c>
      <c r="AM19" s="1" t="s">
        <v>104</v>
      </c>
      <c r="AO19" s="1">
        <v>6</v>
      </c>
      <c r="AP19" s="1" t="s">
        <v>259</v>
      </c>
      <c r="AQ19" s="1" t="s">
        <v>260</v>
      </c>
      <c r="AR19" s="1">
        <v>0</v>
      </c>
      <c r="AS19" s="1">
        <v>0</v>
      </c>
      <c r="AT19" s="1">
        <v>0</v>
      </c>
      <c r="AU19" s="1">
        <v>0</v>
      </c>
      <c r="AV19" s="1">
        <v>0</v>
      </c>
      <c r="AW19" s="1">
        <v>0</v>
      </c>
      <c r="AX19" s="1">
        <v>0</v>
      </c>
      <c r="AY19" s="1">
        <v>0</v>
      </c>
      <c r="AZ19" s="1">
        <v>0</v>
      </c>
      <c r="BA19" s="1">
        <v>0</v>
      </c>
      <c r="BB19" s="1">
        <v>0</v>
      </c>
      <c r="BC19" s="1">
        <v>0</v>
      </c>
      <c r="BD19" s="1">
        <v>0</v>
      </c>
      <c r="BE19" s="1">
        <v>0</v>
      </c>
      <c r="BF19" s="1">
        <v>0</v>
      </c>
      <c r="BG19" s="1">
        <v>0</v>
      </c>
      <c r="BH19" s="1">
        <v>0</v>
      </c>
      <c r="BI19" s="1">
        <v>0</v>
      </c>
      <c r="BJ19" s="1">
        <v>0</v>
      </c>
      <c r="BK19" s="1">
        <v>0</v>
      </c>
      <c r="BL19" s="1">
        <v>0</v>
      </c>
      <c r="BM19" s="1">
        <v>0</v>
      </c>
      <c r="BN19" s="1">
        <v>0</v>
      </c>
      <c r="BO19" s="1">
        <v>0</v>
      </c>
      <c r="BP19" s="1">
        <v>0</v>
      </c>
      <c r="BQ19" s="2" t="str">
        <f>HYPERLINK("http://www.d20pfsrd.com/magic/all-spells/a/antilife-shell","Antilife Shell")</f>
        <v>Antilife Shell</v>
      </c>
      <c r="BR19" s="1">
        <v>18</v>
      </c>
      <c r="BS19" s="1" t="s">
        <v>104</v>
      </c>
      <c r="BU19" s="1" t="s">
        <v>261</v>
      </c>
      <c r="BX19" s="1">
        <v>0</v>
      </c>
      <c r="BY19" s="1" t="s">
        <v>104</v>
      </c>
      <c r="BZ19" s="1">
        <v>6</v>
      </c>
      <c r="CA19" s="1">
        <v>6</v>
      </c>
      <c r="CB19" s="1" t="s">
        <v>104</v>
      </c>
      <c r="CC19" s="1" t="s">
        <v>104</v>
      </c>
      <c r="CD19" s="1" t="s">
        <v>104</v>
      </c>
      <c r="CE19" s="1" t="s">
        <v>104</v>
      </c>
      <c r="CF19" s="1" t="s">
        <v>104</v>
      </c>
      <c r="CG19" s="1" t="s">
        <v>104</v>
      </c>
      <c r="CH19" s="1">
        <v>6</v>
      </c>
      <c r="CJ19" s="1">
        <v>0</v>
      </c>
      <c r="CK19" s="1">
        <v>0</v>
      </c>
      <c r="CL19" s="1">
        <v>0</v>
      </c>
      <c r="CM19" s="1" t="s">
        <v>104</v>
      </c>
    </row>
    <row r="20" spans="1:91" ht="14.25" customHeight="1" x14ac:dyDescent="0.3">
      <c r="A20" s="1" t="s">
        <v>262</v>
      </c>
      <c r="B20" s="1" t="s">
        <v>162</v>
      </c>
      <c r="E20" s="1" t="s">
        <v>263</v>
      </c>
      <c r="F20" s="1" t="s">
        <v>95</v>
      </c>
      <c r="G20" s="1" t="s">
        <v>264</v>
      </c>
      <c r="H20" s="1">
        <v>0</v>
      </c>
      <c r="I20" s="1" t="s">
        <v>256</v>
      </c>
      <c r="J20" s="1" t="s">
        <v>257</v>
      </c>
      <c r="M20" s="1" t="s">
        <v>265</v>
      </c>
      <c r="N20" s="1">
        <v>1</v>
      </c>
      <c r="O20" s="1">
        <v>0</v>
      </c>
      <c r="P20" s="1" t="s">
        <v>100</v>
      </c>
      <c r="Q20" s="1" t="s">
        <v>145</v>
      </c>
      <c r="R20" s="1" t="s">
        <v>266</v>
      </c>
      <c r="S20" s="1" t="s">
        <v>103</v>
      </c>
      <c r="T20" s="1">
        <v>1</v>
      </c>
      <c r="U20" s="1">
        <v>1</v>
      </c>
      <c r="V20" s="1">
        <v>1</v>
      </c>
      <c r="W20" s="1">
        <v>0</v>
      </c>
      <c r="X20" s="1">
        <v>1</v>
      </c>
      <c r="Y20" s="1">
        <v>6</v>
      </c>
      <c r="Z20" s="1">
        <v>6</v>
      </c>
      <c r="AA20" s="1">
        <v>8</v>
      </c>
      <c r="AB20" s="1" t="s">
        <v>104</v>
      </c>
      <c r="AC20" s="1" t="s">
        <v>104</v>
      </c>
      <c r="AD20" s="1" t="s">
        <v>104</v>
      </c>
      <c r="AE20" s="1" t="s">
        <v>104</v>
      </c>
      <c r="AF20" s="1" t="s">
        <v>104</v>
      </c>
      <c r="AG20" s="1" t="s">
        <v>104</v>
      </c>
      <c r="AH20" s="1" t="s">
        <v>104</v>
      </c>
      <c r="AI20" s="1" t="s">
        <v>104</v>
      </c>
      <c r="AJ20" s="1">
        <v>8</v>
      </c>
      <c r="AK20" s="1" t="s">
        <v>104</v>
      </c>
      <c r="AL20" s="1" t="s">
        <v>104</v>
      </c>
      <c r="AM20" s="1" t="s">
        <v>104</v>
      </c>
      <c r="AO20" s="1">
        <v>6</v>
      </c>
      <c r="AP20" s="1" t="s">
        <v>267</v>
      </c>
      <c r="AQ20" s="1" t="s">
        <v>268</v>
      </c>
      <c r="AR20" s="1">
        <v>0</v>
      </c>
      <c r="AS20" s="1">
        <v>0</v>
      </c>
      <c r="AT20" s="1">
        <v>0</v>
      </c>
      <c r="AU20" s="1">
        <v>0</v>
      </c>
      <c r="AV20" s="1">
        <v>0</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2" t="str">
        <f>HYPERLINK("http://www.d20pfsrd.com/magic/all-spells/a/antimagic-field","Antimagic Field")</f>
        <v>Antimagic Field</v>
      </c>
      <c r="BR20" s="1">
        <v>19</v>
      </c>
      <c r="BS20" s="1" t="s">
        <v>104</v>
      </c>
      <c r="BV20" s="1" t="s">
        <v>269</v>
      </c>
      <c r="BX20" s="1">
        <v>1</v>
      </c>
      <c r="BY20" s="1" t="s">
        <v>104</v>
      </c>
      <c r="BZ20" s="1" t="s">
        <v>104</v>
      </c>
      <c r="CA20" s="1">
        <v>7</v>
      </c>
      <c r="CB20" s="1" t="s">
        <v>104</v>
      </c>
      <c r="CC20" s="1" t="s">
        <v>104</v>
      </c>
      <c r="CD20" s="1">
        <v>6</v>
      </c>
      <c r="CE20" s="1" t="s">
        <v>104</v>
      </c>
      <c r="CF20" s="1" t="s">
        <v>104</v>
      </c>
      <c r="CG20" s="1" t="s">
        <v>104</v>
      </c>
      <c r="CH20" s="1" t="s">
        <v>104</v>
      </c>
      <c r="CJ20" s="1">
        <v>0</v>
      </c>
      <c r="CK20" s="1">
        <v>0</v>
      </c>
      <c r="CL20" s="1">
        <v>0</v>
      </c>
      <c r="CM20" s="1" t="s">
        <v>104</v>
      </c>
    </row>
    <row r="21" spans="1:91" ht="14.25" customHeight="1" x14ac:dyDescent="0.3">
      <c r="A21" s="1" t="s">
        <v>270</v>
      </c>
      <c r="B21" s="1" t="s">
        <v>123</v>
      </c>
      <c r="C21" s="1" t="s">
        <v>124</v>
      </c>
      <c r="D21" s="1" t="s">
        <v>271</v>
      </c>
      <c r="E21" s="1" t="s">
        <v>272</v>
      </c>
      <c r="F21" s="1" t="s">
        <v>273</v>
      </c>
      <c r="G21" s="1" t="s">
        <v>274</v>
      </c>
      <c r="H21" s="1">
        <v>0</v>
      </c>
      <c r="I21" s="1" t="s">
        <v>117</v>
      </c>
      <c r="L21" s="1" t="s">
        <v>275</v>
      </c>
      <c r="M21" s="1" t="s">
        <v>166</v>
      </c>
      <c r="N21" s="1">
        <v>1</v>
      </c>
      <c r="O21" s="1">
        <v>0</v>
      </c>
      <c r="P21" s="1" t="s">
        <v>276</v>
      </c>
      <c r="Q21" s="1" t="s">
        <v>184</v>
      </c>
      <c r="R21" s="1" t="s">
        <v>277</v>
      </c>
      <c r="S21" s="1" t="s">
        <v>103</v>
      </c>
      <c r="T21" s="1">
        <v>1</v>
      </c>
      <c r="U21" s="1">
        <v>1</v>
      </c>
      <c r="V21" s="1">
        <v>1</v>
      </c>
      <c r="W21" s="1">
        <v>0</v>
      </c>
      <c r="X21" s="1">
        <v>1</v>
      </c>
      <c r="Y21" s="1">
        <v>8</v>
      </c>
      <c r="Z21" s="1">
        <v>8</v>
      </c>
      <c r="AA21" s="1" t="s">
        <v>104</v>
      </c>
      <c r="AB21" s="1">
        <v>9</v>
      </c>
      <c r="AC21" s="1" t="s">
        <v>104</v>
      </c>
      <c r="AD21" s="1" t="s">
        <v>104</v>
      </c>
      <c r="AE21" s="1" t="s">
        <v>104</v>
      </c>
      <c r="AF21" s="1" t="s">
        <v>104</v>
      </c>
      <c r="AG21" s="1">
        <v>6</v>
      </c>
      <c r="AH21" s="1">
        <v>8</v>
      </c>
      <c r="AI21" s="1" t="s">
        <v>104</v>
      </c>
      <c r="AJ21" s="1" t="s">
        <v>104</v>
      </c>
      <c r="AK21" s="1" t="s">
        <v>104</v>
      </c>
      <c r="AL21" s="1" t="s">
        <v>104</v>
      </c>
      <c r="AM21" s="1" t="s">
        <v>104</v>
      </c>
      <c r="AO21" s="1">
        <v>8</v>
      </c>
      <c r="AQ21" s="1" t="s">
        <v>278</v>
      </c>
      <c r="AR21" s="1">
        <v>0</v>
      </c>
      <c r="AS21" s="1">
        <v>0</v>
      </c>
      <c r="AT21" s="1">
        <v>0</v>
      </c>
      <c r="AU21" s="1">
        <v>0</v>
      </c>
      <c r="AV21" s="1">
        <v>0</v>
      </c>
      <c r="AW21" s="1">
        <v>0</v>
      </c>
      <c r="AX21" s="1">
        <v>0</v>
      </c>
      <c r="AY21" s="1">
        <v>0</v>
      </c>
      <c r="AZ21" s="1">
        <v>0</v>
      </c>
      <c r="BA21" s="1">
        <v>0</v>
      </c>
      <c r="BB21" s="1">
        <v>1</v>
      </c>
      <c r="BC21" s="1">
        <v>0</v>
      </c>
      <c r="BD21" s="1">
        <v>0</v>
      </c>
      <c r="BE21" s="1">
        <v>0</v>
      </c>
      <c r="BF21" s="1">
        <v>0</v>
      </c>
      <c r="BG21" s="1">
        <v>0</v>
      </c>
      <c r="BH21" s="1">
        <v>0</v>
      </c>
      <c r="BI21" s="1">
        <v>0</v>
      </c>
      <c r="BJ21" s="1">
        <v>0</v>
      </c>
      <c r="BK21" s="1">
        <v>1</v>
      </c>
      <c r="BL21" s="1">
        <v>0</v>
      </c>
      <c r="BM21" s="1">
        <v>0</v>
      </c>
      <c r="BN21" s="1">
        <v>0</v>
      </c>
      <c r="BO21" s="1">
        <v>0</v>
      </c>
      <c r="BP21" s="1">
        <v>0</v>
      </c>
      <c r="BQ21" s="2" t="str">
        <f>HYPERLINK("http://www.d20pfsrd.com/magic/all-spells/a/antipathy","Antipathy")</f>
        <v>Antipathy</v>
      </c>
      <c r="BR21" s="1">
        <v>20</v>
      </c>
      <c r="BS21" s="1" t="s">
        <v>104</v>
      </c>
      <c r="BU21" s="1" t="s">
        <v>279</v>
      </c>
      <c r="BX21" s="1">
        <v>0</v>
      </c>
      <c r="BY21" s="1" t="s">
        <v>104</v>
      </c>
      <c r="BZ21" s="1" t="s">
        <v>104</v>
      </c>
      <c r="CA21" s="1">
        <v>8</v>
      </c>
      <c r="CB21" s="1" t="s">
        <v>104</v>
      </c>
      <c r="CC21" s="1" t="s">
        <v>104</v>
      </c>
      <c r="CD21" s="1">
        <v>6</v>
      </c>
      <c r="CE21" s="1" t="s">
        <v>104</v>
      </c>
      <c r="CF21" s="1" t="s">
        <v>104</v>
      </c>
      <c r="CG21" s="1" t="s">
        <v>104</v>
      </c>
      <c r="CH21" s="1" t="s">
        <v>104</v>
      </c>
      <c r="CJ21" s="1">
        <v>0</v>
      </c>
      <c r="CK21" s="1">
        <v>0</v>
      </c>
      <c r="CL21" s="1">
        <v>0</v>
      </c>
      <c r="CM21" s="1">
        <v>6</v>
      </c>
    </row>
    <row r="22" spans="1:91" ht="14.25" customHeight="1" x14ac:dyDescent="0.3">
      <c r="A22" s="1" t="s">
        <v>280</v>
      </c>
      <c r="B22" s="1" t="s">
        <v>162</v>
      </c>
      <c r="E22" s="1" t="s">
        <v>281</v>
      </c>
      <c r="F22" s="1" t="s">
        <v>95</v>
      </c>
      <c r="G22" s="1" t="s">
        <v>127</v>
      </c>
      <c r="H22" s="1">
        <v>0</v>
      </c>
      <c r="I22" s="1" t="s">
        <v>256</v>
      </c>
      <c r="J22" s="1" t="s">
        <v>257</v>
      </c>
      <c r="M22" s="1" t="s">
        <v>130</v>
      </c>
      <c r="N22" s="1">
        <v>1</v>
      </c>
      <c r="O22" s="1">
        <v>0</v>
      </c>
      <c r="P22" s="1" t="s">
        <v>100</v>
      </c>
      <c r="Q22" s="1" t="s">
        <v>184</v>
      </c>
      <c r="R22" s="1" t="s">
        <v>282</v>
      </c>
      <c r="S22" s="1" t="s">
        <v>103</v>
      </c>
      <c r="T22" s="1">
        <v>1</v>
      </c>
      <c r="U22" s="1">
        <v>1</v>
      </c>
      <c r="V22" s="1">
        <v>0</v>
      </c>
      <c r="W22" s="1">
        <v>0</v>
      </c>
      <c r="X22" s="1">
        <v>1</v>
      </c>
      <c r="Y22" s="1" t="s">
        <v>104</v>
      </c>
      <c r="Z22" s="1" t="s">
        <v>104</v>
      </c>
      <c r="AA22" s="1" t="s">
        <v>104</v>
      </c>
      <c r="AB22" s="1">
        <v>4</v>
      </c>
      <c r="AC22" s="1" t="s">
        <v>104</v>
      </c>
      <c r="AD22" s="1" t="s">
        <v>104</v>
      </c>
      <c r="AE22" s="1" t="s">
        <v>104</v>
      </c>
      <c r="AF22" s="1" t="s">
        <v>104</v>
      </c>
      <c r="AG22" s="1" t="s">
        <v>104</v>
      </c>
      <c r="AH22" s="1" t="s">
        <v>104</v>
      </c>
      <c r="AI22" s="1" t="s">
        <v>104</v>
      </c>
      <c r="AJ22" s="1" t="s">
        <v>104</v>
      </c>
      <c r="AK22" s="1" t="s">
        <v>104</v>
      </c>
      <c r="AL22" s="1" t="s">
        <v>104</v>
      </c>
      <c r="AM22" s="1" t="s">
        <v>104</v>
      </c>
      <c r="AO22" s="1">
        <v>4</v>
      </c>
      <c r="AQ22" s="1" t="s">
        <v>283</v>
      </c>
      <c r="AR22" s="1">
        <v>0</v>
      </c>
      <c r="AS22" s="1">
        <v>0</v>
      </c>
      <c r="AT22" s="1">
        <v>0</v>
      </c>
      <c r="AU22" s="1">
        <v>0</v>
      </c>
      <c r="AV22" s="1">
        <v>0</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2" t="str">
        <f>HYPERLINK("http://www.d20pfsrd.com/magic/all-spells/a/antiplant-shell","Antiplant Shell")</f>
        <v>Antiplant Shell</v>
      </c>
      <c r="BR22" s="1">
        <v>21</v>
      </c>
      <c r="BS22" s="1" t="s">
        <v>104</v>
      </c>
      <c r="BX22" s="1">
        <v>0</v>
      </c>
      <c r="BY22" s="1" t="s">
        <v>104</v>
      </c>
      <c r="BZ22" s="1" t="s">
        <v>104</v>
      </c>
      <c r="CA22" s="1" t="s">
        <v>104</v>
      </c>
      <c r="CB22" s="1" t="s">
        <v>104</v>
      </c>
      <c r="CC22" s="1" t="s">
        <v>104</v>
      </c>
      <c r="CD22" s="1" t="s">
        <v>104</v>
      </c>
      <c r="CE22" s="1" t="s">
        <v>104</v>
      </c>
      <c r="CF22" s="1" t="s">
        <v>104</v>
      </c>
      <c r="CG22" s="1" t="s">
        <v>104</v>
      </c>
      <c r="CH22" s="1">
        <v>4</v>
      </c>
      <c r="CJ22" s="1">
        <v>0</v>
      </c>
      <c r="CK22" s="1">
        <v>0</v>
      </c>
      <c r="CL22" s="1">
        <v>0</v>
      </c>
      <c r="CM22" s="1" t="s">
        <v>104</v>
      </c>
    </row>
    <row r="23" spans="1:91" ht="14.25" customHeight="1" x14ac:dyDescent="0.3">
      <c r="A23" s="1" t="s">
        <v>284</v>
      </c>
      <c r="B23" s="1" t="s">
        <v>172</v>
      </c>
      <c r="C23" s="1" t="s">
        <v>285</v>
      </c>
      <c r="E23" s="1" t="s">
        <v>286</v>
      </c>
      <c r="F23" s="1" t="s">
        <v>287</v>
      </c>
      <c r="G23" s="1" t="s">
        <v>288</v>
      </c>
      <c r="H23" s="1">
        <v>0</v>
      </c>
      <c r="I23" s="1" t="s">
        <v>289</v>
      </c>
      <c r="K23" s="1" t="s">
        <v>290</v>
      </c>
      <c r="M23" s="1" t="s">
        <v>130</v>
      </c>
      <c r="N23" s="1">
        <v>1</v>
      </c>
      <c r="O23" s="1">
        <v>0</v>
      </c>
      <c r="P23" s="1" t="s">
        <v>100</v>
      </c>
      <c r="Q23" s="1" t="s">
        <v>101</v>
      </c>
      <c r="R23" s="1" t="s">
        <v>291</v>
      </c>
      <c r="S23" s="1" t="s">
        <v>103</v>
      </c>
      <c r="T23" s="1">
        <v>1</v>
      </c>
      <c r="U23" s="1">
        <v>1</v>
      </c>
      <c r="V23" s="1">
        <v>1</v>
      </c>
      <c r="W23" s="1">
        <v>0</v>
      </c>
      <c r="X23" s="1">
        <v>0</v>
      </c>
      <c r="Y23" s="1">
        <v>4</v>
      </c>
      <c r="Z23" s="1">
        <v>4</v>
      </c>
      <c r="AA23" s="1" t="s">
        <v>104</v>
      </c>
      <c r="AB23" s="1" t="s">
        <v>104</v>
      </c>
      <c r="AC23" s="1" t="s">
        <v>104</v>
      </c>
      <c r="AD23" s="1" t="s">
        <v>104</v>
      </c>
      <c r="AE23" s="1" t="s">
        <v>104</v>
      </c>
      <c r="AF23" s="1">
        <v>4</v>
      </c>
      <c r="AG23" s="1" t="s">
        <v>104</v>
      </c>
      <c r="AH23" s="1">
        <v>4</v>
      </c>
      <c r="AI23" s="1" t="s">
        <v>104</v>
      </c>
      <c r="AJ23" s="1" t="s">
        <v>104</v>
      </c>
      <c r="AK23" s="1" t="s">
        <v>104</v>
      </c>
      <c r="AL23" s="1" t="s">
        <v>104</v>
      </c>
      <c r="AM23" s="1" t="s">
        <v>104</v>
      </c>
      <c r="AO23" s="1">
        <v>4</v>
      </c>
      <c r="AP23" s="1" t="s">
        <v>292</v>
      </c>
      <c r="AQ23" s="1" t="s">
        <v>293</v>
      </c>
      <c r="AR23" s="1">
        <v>0</v>
      </c>
      <c r="AS23" s="1">
        <v>0</v>
      </c>
      <c r="AT23" s="1">
        <v>0</v>
      </c>
      <c r="AU23" s="1">
        <v>0</v>
      </c>
      <c r="AV23" s="1">
        <v>0</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2" t="str">
        <f>HYPERLINK("http://www.d20pfsrd.com/magic/all-spells/a/arcane-eye","Arcane Eye")</f>
        <v>Arcane Eye</v>
      </c>
      <c r="BR23" s="1">
        <v>22</v>
      </c>
      <c r="BS23" s="1" t="s">
        <v>104</v>
      </c>
      <c r="BX23" s="1">
        <v>0</v>
      </c>
      <c r="BY23" s="1" t="s">
        <v>104</v>
      </c>
      <c r="BZ23" s="1" t="s">
        <v>104</v>
      </c>
      <c r="CA23" s="1">
        <v>4</v>
      </c>
      <c r="CB23" s="1" t="s">
        <v>104</v>
      </c>
      <c r="CC23" s="1">
        <v>4</v>
      </c>
      <c r="CD23" s="1">
        <v>4</v>
      </c>
      <c r="CE23" s="1" t="s">
        <v>104</v>
      </c>
      <c r="CF23" s="1" t="s">
        <v>104</v>
      </c>
      <c r="CG23" s="1" t="s">
        <v>104</v>
      </c>
      <c r="CH23" s="1" t="s">
        <v>104</v>
      </c>
      <c r="CJ23" s="1">
        <v>0</v>
      </c>
      <c r="CK23" s="1">
        <v>0</v>
      </c>
      <c r="CL23" s="1">
        <v>0</v>
      </c>
      <c r="CM23" s="1" t="s">
        <v>104</v>
      </c>
    </row>
    <row r="24" spans="1:91" ht="14.25" customHeight="1" x14ac:dyDescent="0.3">
      <c r="A24" s="1" t="s">
        <v>294</v>
      </c>
      <c r="B24" s="1" t="s">
        <v>162</v>
      </c>
      <c r="E24" s="1" t="s">
        <v>295</v>
      </c>
      <c r="F24" s="1" t="s">
        <v>95</v>
      </c>
      <c r="G24" s="1" t="s">
        <v>296</v>
      </c>
      <c r="H24" s="1">
        <v>1</v>
      </c>
      <c r="I24" s="1" t="s">
        <v>128</v>
      </c>
      <c r="L24" s="1" t="s">
        <v>297</v>
      </c>
      <c r="M24" s="1" t="s">
        <v>298</v>
      </c>
      <c r="N24" s="1">
        <v>0</v>
      </c>
      <c r="O24" s="1">
        <v>0</v>
      </c>
      <c r="P24" s="1" t="s">
        <v>100</v>
      </c>
      <c r="Q24" s="1" t="s">
        <v>101</v>
      </c>
      <c r="R24" s="1" t="s">
        <v>299</v>
      </c>
      <c r="S24" s="1" t="s">
        <v>103</v>
      </c>
      <c r="T24" s="1">
        <v>1</v>
      </c>
      <c r="U24" s="1">
        <v>1</v>
      </c>
      <c r="V24" s="1">
        <v>1</v>
      </c>
      <c r="W24" s="1">
        <v>0</v>
      </c>
      <c r="X24" s="1">
        <v>0</v>
      </c>
      <c r="Y24" s="1">
        <v>2</v>
      </c>
      <c r="Z24" s="1">
        <v>2</v>
      </c>
      <c r="AA24" s="1" t="s">
        <v>104</v>
      </c>
      <c r="AB24" s="1" t="s">
        <v>104</v>
      </c>
      <c r="AC24" s="1" t="s">
        <v>104</v>
      </c>
      <c r="AD24" s="1" t="s">
        <v>104</v>
      </c>
      <c r="AE24" s="1" t="s">
        <v>104</v>
      </c>
      <c r="AF24" s="1" t="s">
        <v>104</v>
      </c>
      <c r="AG24" s="1" t="s">
        <v>104</v>
      </c>
      <c r="AH24" s="1" t="s">
        <v>104</v>
      </c>
      <c r="AI24" s="1" t="s">
        <v>104</v>
      </c>
      <c r="AJ24" s="1" t="s">
        <v>104</v>
      </c>
      <c r="AK24" s="1" t="s">
        <v>104</v>
      </c>
      <c r="AL24" s="1" t="s">
        <v>104</v>
      </c>
      <c r="AM24" s="1" t="s">
        <v>104</v>
      </c>
      <c r="AO24" s="1">
        <v>2</v>
      </c>
      <c r="AP24" s="1" t="s">
        <v>300</v>
      </c>
      <c r="AQ24" s="1" t="s">
        <v>301</v>
      </c>
      <c r="AR24" s="1">
        <v>0</v>
      </c>
      <c r="AS24" s="1">
        <v>0</v>
      </c>
      <c r="AT24" s="1">
        <v>0</v>
      </c>
      <c r="AU24" s="1">
        <v>0</v>
      </c>
      <c r="AV24" s="1">
        <v>0</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2" t="str">
        <f>HYPERLINK("http://www.d20pfsrd.com/magic/all-spells/a/arcane-lock","Arcane Lock")</f>
        <v>Arcane Lock</v>
      </c>
      <c r="BR24" s="1">
        <v>23</v>
      </c>
      <c r="BS24" s="1">
        <v>25</v>
      </c>
      <c r="BX24" s="1">
        <v>0</v>
      </c>
      <c r="BY24" s="1" t="s">
        <v>104</v>
      </c>
      <c r="BZ24" s="1" t="s">
        <v>104</v>
      </c>
      <c r="CA24" s="1" t="s">
        <v>104</v>
      </c>
      <c r="CB24" s="1" t="s">
        <v>104</v>
      </c>
      <c r="CC24" s="1" t="s">
        <v>104</v>
      </c>
      <c r="CD24" s="1">
        <v>2</v>
      </c>
      <c r="CE24" s="1" t="s">
        <v>104</v>
      </c>
      <c r="CF24" s="1" t="s">
        <v>104</v>
      </c>
      <c r="CG24" s="1" t="s">
        <v>104</v>
      </c>
      <c r="CH24" s="1" t="s">
        <v>104</v>
      </c>
      <c r="CJ24" s="1">
        <v>0</v>
      </c>
      <c r="CK24" s="1">
        <v>0</v>
      </c>
      <c r="CL24" s="1">
        <v>0</v>
      </c>
      <c r="CM24" s="1" t="s">
        <v>104</v>
      </c>
    </row>
    <row r="25" spans="1:91" ht="14.25" customHeight="1" x14ac:dyDescent="0.3">
      <c r="A25" s="1" t="s">
        <v>302</v>
      </c>
      <c r="B25" s="1" t="s">
        <v>303</v>
      </c>
      <c r="E25" s="1" t="s">
        <v>304</v>
      </c>
      <c r="F25" s="1" t="s">
        <v>95</v>
      </c>
      <c r="G25" s="1" t="s">
        <v>116</v>
      </c>
      <c r="H25" s="1">
        <v>0</v>
      </c>
      <c r="I25" s="1" t="s">
        <v>128</v>
      </c>
      <c r="K25" s="1" t="s">
        <v>305</v>
      </c>
      <c r="M25" s="1" t="s">
        <v>298</v>
      </c>
      <c r="N25" s="1">
        <v>0</v>
      </c>
      <c r="O25" s="1">
        <v>0</v>
      </c>
      <c r="P25" s="1" t="s">
        <v>100</v>
      </c>
      <c r="Q25" s="1" t="s">
        <v>101</v>
      </c>
      <c r="R25" s="1" t="s">
        <v>306</v>
      </c>
      <c r="S25" s="1" t="s">
        <v>103</v>
      </c>
      <c r="T25" s="1">
        <v>1</v>
      </c>
      <c r="U25" s="1">
        <v>1</v>
      </c>
      <c r="V25" s="1">
        <v>0</v>
      </c>
      <c r="W25" s="1">
        <v>0</v>
      </c>
      <c r="X25" s="1">
        <v>0</v>
      </c>
      <c r="Y25" s="1">
        <v>0</v>
      </c>
      <c r="Z25" s="1">
        <v>0</v>
      </c>
      <c r="AA25" s="1" t="s">
        <v>104</v>
      </c>
      <c r="AB25" s="1" t="s">
        <v>104</v>
      </c>
      <c r="AC25" s="1" t="s">
        <v>104</v>
      </c>
      <c r="AD25" s="1" t="s">
        <v>104</v>
      </c>
      <c r="AE25" s="1" t="s">
        <v>104</v>
      </c>
      <c r="AF25" s="1" t="s">
        <v>104</v>
      </c>
      <c r="AG25" s="1">
        <v>0</v>
      </c>
      <c r="AH25" s="1" t="s">
        <v>104</v>
      </c>
      <c r="AI25" s="1" t="s">
        <v>104</v>
      </c>
      <c r="AJ25" s="1" t="s">
        <v>104</v>
      </c>
      <c r="AK25" s="1" t="s">
        <v>104</v>
      </c>
      <c r="AL25" s="1">
        <v>0</v>
      </c>
      <c r="AM25" s="1" t="s">
        <v>104</v>
      </c>
      <c r="AO25" s="1">
        <v>0</v>
      </c>
      <c r="AQ25" s="1" t="s">
        <v>307</v>
      </c>
      <c r="AR25" s="1">
        <v>0</v>
      </c>
      <c r="AS25" s="1">
        <v>0</v>
      </c>
      <c r="AT25" s="1">
        <v>0</v>
      </c>
      <c r="AU25" s="1">
        <v>0</v>
      </c>
      <c r="AV25" s="1">
        <v>0</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2" t="str">
        <f>HYPERLINK("http://www.d20pfsrd.com/magic/all-spells/a/arcane-mark","Arcane Mark")</f>
        <v>Arcane Mark</v>
      </c>
      <c r="BR25" s="1">
        <v>24</v>
      </c>
      <c r="BS25" s="1" t="s">
        <v>104</v>
      </c>
      <c r="BX25" s="1">
        <v>0</v>
      </c>
      <c r="BY25" s="1" t="s">
        <v>104</v>
      </c>
      <c r="BZ25" s="1">
        <v>0</v>
      </c>
      <c r="CA25" s="1">
        <v>0</v>
      </c>
      <c r="CB25" s="1" t="s">
        <v>104</v>
      </c>
      <c r="CC25" s="1" t="s">
        <v>104</v>
      </c>
      <c r="CD25" s="1" t="s">
        <v>104</v>
      </c>
      <c r="CE25" s="1" t="s">
        <v>104</v>
      </c>
      <c r="CF25" s="1" t="s">
        <v>104</v>
      </c>
      <c r="CG25" s="1" t="s">
        <v>104</v>
      </c>
      <c r="CH25" s="1" t="s">
        <v>104</v>
      </c>
      <c r="CJ25" s="1">
        <v>0</v>
      </c>
      <c r="CK25" s="1">
        <v>0</v>
      </c>
      <c r="CL25" s="1">
        <v>0</v>
      </c>
      <c r="CM25" s="1">
        <v>0</v>
      </c>
    </row>
    <row r="26" spans="1:91" ht="14.25" customHeight="1" x14ac:dyDescent="0.3">
      <c r="A26" s="1" t="s">
        <v>308</v>
      </c>
      <c r="B26" s="1" t="s">
        <v>172</v>
      </c>
      <c r="E26" s="1" t="s">
        <v>309</v>
      </c>
      <c r="F26" s="1" t="s">
        <v>95</v>
      </c>
      <c r="G26" s="1" t="s">
        <v>116</v>
      </c>
      <c r="H26" s="1">
        <v>0</v>
      </c>
      <c r="I26" s="1" t="s">
        <v>157</v>
      </c>
      <c r="L26" s="1" t="s">
        <v>158</v>
      </c>
      <c r="M26" s="1" t="s">
        <v>130</v>
      </c>
      <c r="N26" s="1">
        <v>1</v>
      </c>
      <c r="O26" s="1">
        <v>0</v>
      </c>
      <c r="R26" s="1" t="s">
        <v>310</v>
      </c>
      <c r="S26" s="1" t="s">
        <v>103</v>
      </c>
      <c r="T26" s="1">
        <v>1</v>
      </c>
      <c r="U26" s="1">
        <v>1</v>
      </c>
      <c r="V26" s="1">
        <v>0</v>
      </c>
      <c r="W26" s="1">
        <v>0</v>
      </c>
      <c r="X26" s="1">
        <v>0</v>
      </c>
      <c r="Y26" s="1">
        <v>3</v>
      </c>
      <c r="Z26" s="1">
        <v>3</v>
      </c>
      <c r="AA26" s="1" t="s">
        <v>104</v>
      </c>
      <c r="AB26" s="1" t="s">
        <v>104</v>
      </c>
      <c r="AC26" s="1" t="s">
        <v>104</v>
      </c>
      <c r="AD26" s="1" t="s">
        <v>104</v>
      </c>
      <c r="AE26" s="1" t="s">
        <v>104</v>
      </c>
      <c r="AF26" s="1">
        <v>3</v>
      </c>
      <c r="AG26" s="1" t="s">
        <v>104</v>
      </c>
      <c r="AH26" s="1">
        <v>3</v>
      </c>
      <c r="AI26" s="1">
        <v>3</v>
      </c>
      <c r="AJ26" s="1" t="s">
        <v>104</v>
      </c>
      <c r="AK26" s="1" t="s">
        <v>104</v>
      </c>
      <c r="AL26" s="1">
        <v>3</v>
      </c>
      <c r="AM26" s="1" t="s">
        <v>104</v>
      </c>
      <c r="AO26" s="1">
        <v>3</v>
      </c>
      <c r="AQ26" s="1" t="s">
        <v>311</v>
      </c>
      <c r="AR26" s="1">
        <v>0</v>
      </c>
      <c r="AS26" s="1">
        <v>0</v>
      </c>
      <c r="AT26" s="1">
        <v>0</v>
      </c>
      <c r="AU26" s="1">
        <v>0</v>
      </c>
      <c r="AV26" s="1">
        <v>0</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2" t="str">
        <f>HYPERLINK("http://www.d20pfsrd.com/magic/all-spells/a/arcane-sight","Arcane Sight")</f>
        <v>Arcane Sight</v>
      </c>
      <c r="BR26" s="1">
        <v>25</v>
      </c>
      <c r="BS26" s="1" t="s">
        <v>104</v>
      </c>
      <c r="BX26" s="1">
        <v>0</v>
      </c>
      <c r="BY26" s="1" t="s">
        <v>104</v>
      </c>
      <c r="BZ26" s="1" t="s">
        <v>104</v>
      </c>
      <c r="CA26" s="1">
        <v>3</v>
      </c>
      <c r="CB26" s="1" t="s">
        <v>104</v>
      </c>
      <c r="CC26" s="1" t="s">
        <v>104</v>
      </c>
      <c r="CD26" s="1">
        <v>3</v>
      </c>
      <c r="CE26" s="1" t="s">
        <v>104</v>
      </c>
      <c r="CF26" s="1" t="s">
        <v>104</v>
      </c>
      <c r="CG26" s="1" t="s">
        <v>104</v>
      </c>
      <c r="CH26" s="1" t="s">
        <v>104</v>
      </c>
      <c r="CJ26" s="1">
        <v>0</v>
      </c>
      <c r="CK26" s="1">
        <v>0</v>
      </c>
      <c r="CL26" s="1">
        <v>0</v>
      </c>
      <c r="CM26" s="1" t="s">
        <v>104</v>
      </c>
    </row>
    <row r="27" spans="1:91" ht="14.25" customHeight="1" x14ac:dyDescent="0.3">
      <c r="A27" s="1" t="s">
        <v>312</v>
      </c>
      <c r="B27" s="1" t="s">
        <v>172</v>
      </c>
      <c r="E27" s="1" t="s">
        <v>313</v>
      </c>
      <c r="F27" s="1" t="s">
        <v>95</v>
      </c>
      <c r="G27" s="1" t="s">
        <v>116</v>
      </c>
      <c r="H27" s="1">
        <v>0</v>
      </c>
      <c r="I27" s="1" t="s">
        <v>157</v>
      </c>
      <c r="L27" s="1" t="s">
        <v>158</v>
      </c>
      <c r="M27" s="1" t="s">
        <v>130</v>
      </c>
      <c r="N27" s="1">
        <v>1</v>
      </c>
      <c r="O27" s="1">
        <v>0</v>
      </c>
      <c r="R27" s="1" t="s">
        <v>314</v>
      </c>
      <c r="S27" s="1" t="s">
        <v>103</v>
      </c>
      <c r="T27" s="1">
        <v>1</v>
      </c>
      <c r="U27" s="1">
        <v>1</v>
      </c>
      <c r="V27" s="1">
        <v>0</v>
      </c>
      <c r="W27" s="1">
        <v>0</v>
      </c>
      <c r="X27" s="1">
        <v>0</v>
      </c>
      <c r="Y27" s="1">
        <v>7</v>
      </c>
      <c r="Z27" s="1">
        <v>7</v>
      </c>
      <c r="AA27" s="1" t="s">
        <v>104</v>
      </c>
      <c r="AB27" s="1" t="s">
        <v>104</v>
      </c>
      <c r="AC27" s="1" t="s">
        <v>104</v>
      </c>
      <c r="AD27" s="1" t="s">
        <v>104</v>
      </c>
      <c r="AE27" s="1" t="s">
        <v>104</v>
      </c>
      <c r="AF27" s="1" t="s">
        <v>104</v>
      </c>
      <c r="AG27" s="1" t="s">
        <v>104</v>
      </c>
      <c r="AH27" s="1">
        <v>7</v>
      </c>
      <c r="AI27" s="1" t="s">
        <v>104</v>
      </c>
      <c r="AJ27" s="1" t="s">
        <v>104</v>
      </c>
      <c r="AK27" s="1" t="s">
        <v>104</v>
      </c>
      <c r="AL27" s="1" t="s">
        <v>104</v>
      </c>
      <c r="AM27" s="1" t="s">
        <v>104</v>
      </c>
      <c r="AO27" s="1">
        <v>7</v>
      </c>
      <c r="AQ27" s="1" t="s">
        <v>315</v>
      </c>
      <c r="AR27" s="1">
        <v>0</v>
      </c>
      <c r="AS27" s="1">
        <v>0</v>
      </c>
      <c r="AT27" s="1">
        <v>0</v>
      </c>
      <c r="AU27" s="1">
        <v>0</v>
      </c>
      <c r="AV27" s="1">
        <v>0</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2" t="str">
        <f>HYPERLINK("http://www.d20pfsrd.com/magic/all-spells/a/arcane-sight#TOC-Arcane-Sight-Greater","Arcane Sight, Greater")</f>
        <v>Arcane Sight, Greater</v>
      </c>
      <c r="BR27" s="1">
        <v>26</v>
      </c>
      <c r="BS27" s="1" t="s">
        <v>104</v>
      </c>
      <c r="BX27" s="1">
        <v>0</v>
      </c>
      <c r="BY27" s="1" t="s">
        <v>104</v>
      </c>
      <c r="BZ27" s="1" t="s">
        <v>104</v>
      </c>
      <c r="CA27" s="1">
        <v>7</v>
      </c>
      <c r="CB27" s="1" t="s">
        <v>104</v>
      </c>
      <c r="CC27" s="1" t="s">
        <v>104</v>
      </c>
      <c r="CD27" s="1" t="s">
        <v>104</v>
      </c>
      <c r="CE27" s="1" t="s">
        <v>104</v>
      </c>
      <c r="CF27" s="1" t="s">
        <v>104</v>
      </c>
      <c r="CG27" s="1" t="s">
        <v>104</v>
      </c>
      <c r="CH27" s="1" t="s">
        <v>104</v>
      </c>
      <c r="CJ27" s="1">
        <v>0</v>
      </c>
      <c r="CK27" s="1">
        <v>0</v>
      </c>
      <c r="CL27" s="1">
        <v>0</v>
      </c>
      <c r="CM27" s="1" t="s">
        <v>104</v>
      </c>
    </row>
    <row r="28" spans="1:91" ht="14.25" customHeight="1" x14ac:dyDescent="0.3">
      <c r="A28" s="1" t="s">
        <v>316</v>
      </c>
      <c r="B28" s="1" t="s">
        <v>216</v>
      </c>
      <c r="E28" s="1" t="s">
        <v>317</v>
      </c>
      <c r="F28" s="1" t="s">
        <v>318</v>
      </c>
      <c r="G28" s="1" t="s">
        <v>319</v>
      </c>
      <c r="H28" s="1">
        <v>1</v>
      </c>
      <c r="I28" s="1" t="s">
        <v>128</v>
      </c>
      <c r="L28" s="1" t="s">
        <v>320</v>
      </c>
      <c r="M28" s="1" t="s">
        <v>145</v>
      </c>
      <c r="N28" s="1">
        <v>0</v>
      </c>
      <c r="O28" s="1">
        <v>0</v>
      </c>
      <c r="P28" s="1" t="s">
        <v>100</v>
      </c>
      <c r="Q28" s="1" t="s">
        <v>184</v>
      </c>
      <c r="R28" s="1" t="s">
        <v>321</v>
      </c>
      <c r="S28" s="1" t="s">
        <v>103</v>
      </c>
      <c r="T28" s="1">
        <v>1</v>
      </c>
      <c r="U28" s="1">
        <v>1</v>
      </c>
      <c r="V28" s="1">
        <v>1</v>
      </c>
      <c r="W28" s="1">
        <v>0</v>
      </c>
      <c r="X28" s="1">
        <v>0</v>
      </c>
      <c r="Y28" s="1">
        <v>9</v>
      </c>
      <c r="Z28" s="1">
        <v>9</v>
      </c>
      <c r="AA28" s="1">
        <v>9</v>
      </c>
      <c r="AB28" s="1" t="s">
        <v>104</v>
      </c>
      <c r="AC28" s="1" t="s">
        <v>104</v>
      </c>
      <c r="AD28" s="1" t="s">
        <v>104</v>
      </c>
      <c r="AE28" s="1" t="s">
        <v>104</v>
      </c>
      <c r="AF28" s="1" t="s">
        <v>104</v>
      </c>
      <c r="AG28" s="1" t="s">
        <v>104</v>
      </c>
      <c r="AH28" s="1">
        <v>9</v>
      </c>
      <c r="AI28" s="1" t="s">
        <v>104</v>
      </c>
      <c r="AJ28" s="1">
        <v>9</v>
      </c>
      <c r="AK28" s="1" t="s">
        <v>104</v>
      </c>
      <c r="AL28" s="1" t="s">
        <v>104</v>
      </c>
      <c r="AM28" s="1" t="s">
        <v>104</v>
      </c>
      <c r="AO28" s="1">
        <v>9</v>
      </c>
      <c r="AP28" s="1" t="s">
        <v>322</v>
      </c>
      <c r="AQ28" s="1" t="s">
        <v>323</v>
      </c>
      <c r="AR28" s="1">
        <v>0</v>
      </c>
      <c r="AS28" s="1">
        <v>0</v>
      </c>
      <c r="AT28" s="1">
        <v>0</v>
      </c>
      <c r="AU28" s="1">
        <v>0</v>
      </c>
      <c r="AV28" s="1">
        <v>0</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2" t="str">
        <f>HYPERLINK("http://www.d20pfsrd.com/magic/all-spells/a/astral-projection","Astral Projection")</f>
        <v>Astral Projection</v>
      </c>
      <c r="BR28" s="1">
        <v>27</v>
      </c>
      <c r="BS28" s="1">
        <v>1000</v>
      </c>
      <c r="BT28" s="1" t="s">
        <v>324</v>
      </c>
      <c r="BU28" s="1" t="s">
        <v>325</v>
      </c>
      <c r="BX28" s="1">
        <v>0</v>
      </c>
      <c r="BY28" s="1" t="s">
        <v>104</v>
      </c>
      <c r="BZ28" s="1" t="s">
        <v>104</v>
      </c>
      <c r="CA28" s="1">
        <v>9</v>
      </c>
      <c r="CB28" s="1" t="s">
        <v>104</v>
      </c>
      <c r="CC28" s="1" t="s">
        <v>104</v>
      </c>
      <c r="CD28" s="1" t="s">
        <v>104</v>
      </c>
      <c r="CE28" s="1" t="s">
        <v>104</v>
      </c>
      <c r="CF28" s="1" t="s">
        <v>104</v>
      </c>
      <c r="CG28" s="1" t="s">
        <v>104</v>
      </c>
      <c r="CH28" s="1" t="s">
        <v>104</v>
      </c>
      <c r="CJ28" s="1">
        <v>0</v>
      </c>
      <c r="CK28" s="1">
        <v>0</v>
      </c>
      <c r="CL28" s="1">
        <v>0</v>
      </c>
      <c r="CM28" s="1" t="s">
        <v>104</v>
      </c>
    </row>
    <row r="29" spans="1:91" ht="14.25" customHeight="1" x14ac:dyDescent="0.3">
      <c r="A29" s="1" t="s">
        <v>326</v>
      </c>
      <c r="B29" s="1" t="s">
        <v>162</v>
      </c>
      <c r="E29" s="1" t="s">
        <v>327</v>
      </c>
      <c r="F29" s="1" t="s">
        <v>273</v>
      </c>
      <c r="G29" s="1" t="s">
        <v>328</v>
      </c>
      <c r="H29" s="1">
        <v>1</v>
      </c>
      <c r="I29" s="1" t="s">
        <v>128</v>
      </c>
      <c r="L29" s="1" t="s">
        <v>129</v>
      </c>
      <c r="M29" s="1" t="s">
        <v>119</v>
      </c>
      <c r="N29" s="1">
        <v>0</v>
      </c>
      <c r="O29" s="1">
        <v>0</v>
      </c>
      <c r="P29" s="1" t="s">
        <v>100</v>
      </c>
      <c r="Q29" s="1" t="s">
        <v>184</v>
      </c>
      <c r="R29" s="1" t="s">
        <v>329</v>
      </c>
      <c r="S29" s="1" t="s">
        <v>103</v>
      </c>
      <c r="T29" s="1">
        <v>1</v>
      </c>
      <c r="U29" s="1">
        <v>1</v>
      </c>
      <c r="V29" s="1">
        <v>1</v>
      </c>
      <c r="W29" s="1">
        <v>0</v>
      </c>
      <c r="X29" s="1">
        <v>1</v>
      </c>
      <c r="Y29" s="1" t="s">
        <v>104</v>
      </c>
      <c r="Z29" s="1" t="s">
        <v>104</v>
      </c>
      <c r="AA29" s="1">
        <v>5</v>
      </c>
      <c r="AB29" s="1">
        <v>5</v>
      </c>
      <c r="AC29" s="1" t="s">
        <v>104</v>
      </c>
      <c r="AD29" s="1" t="s">
        <v>104</v>
      </c>
      <c r="AE29" s="1" t="s">
        <v>104</v>
      </c>
      <c r="AF29" s="1" t="s">
        <v>104</v>
      </c>
      <c r="AG29" s="1" t="s">
        <v>104</v>
      </c>
      <c r="AH29" s="1" t="s">
        <v>104</v>
      </c>
      <c r="AI29" s="1">
        <v>5</v>
      </c>
      <c r="AJ29" s="1">
        <v>5</v>
      </c>
      <c r="AK29" s="1" t="s">
        <v>104</v>
      </c>
      <c r="AL29" s="1" t="s">
        <v>104</v>
      </c>
      <c r="AM29" s="1" t="s">
        <v>104</v>
      </c>
      <c r="AO29" s="1">
        <v>5</v>
      </c>
      <c r="AP29" s="1" t="s">
        <v>330</v>
      </c>
      <c r="AQ29" s="1" t="s">
        <v>331</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2" t="str">
        <f>HYPERLINK("http://www.d20pfsrd.com/magic/all-spells/a/atonement","Atonement")</f>
        <v>Atonement</v>
      </c>
      <c r="BR29" s="1">
        <v>28</v>
      </c>
      <c r="BS29" s="1">
        <v>500</v>
      </c>
      <c r="BX29" s="1">
        <v>0</v>
      </c>
      <c r="BY29" s="1" t="s">
        <v>104</v>
      </c>
      <c r="BZ29" s="1" t="s">
        <v>104</v>
      </c>
      <c r="CA29" s="1" t="s">
        <v>104</v>
      </c>
      <c r="CB29" s="1" t="s">
        <v>104</v>
      </c>
      <c r="CC29" s="1" t="s">
        <v>104</v>
      </c>
      <c r="CD29" s="1" t="s">
        <v>104</v>
      </c>
      <c r="CE29" s="1" t="s">
        <v>104</v>
      </c>
      <c r="CF29" s="1" t="s">
        <v>104</v>
      </c>
      <c r="CG29" s="1" t="s">
        <v>104</v>
      </c>
      <c r="CH29" s="1">
        <v>5</v>
      </c>
      <c r="CJ29" s="1">
        <v>0</v>
      </c>
      <c r="CK29" s="1">
        <v>0</v>
      </c>
      <c r="CL29" s="1">
        <v>0</v>
      </c>
      <c r="CM29" s="1" t="s">
        <v>104</v>
      </c>
    </row>
    <row r="30" spans="1:91" ht="14.25" customHeight="1" x14ac:dyDescent="0.3">
      <c r="A30" s="1" t="s">
        <v>332</v>
      </c>
      <c r="B30" s="1" t="s">
        <v>172</v>
      </c>
      <c r="E30" s="1" t="s">
        <v>333</v>
      </c>
      <c r="F30" s="1" t="s">
        <v>191</v>
      </c>
      <c r="G30" s="1" t="s">
        <v>334</v>
      </c>
      <c r="H30" s="1">
        <v>1</v>
      </c>
      <c r="I30" s="1" t="s">
        <v>157</v>
      </c>
      <c r="L30" s="1" t="s">
        <v>158</v>
      </c>
      <c r="M30" s="1" t="s">
        <v>119</v>
      </c>
      <c r="N30" s="1">
        <v>0</v>
      </c>
      <c r="O30" s="1">
        <v>0</v>
      </c>
      <c r="R30" s="1" t="s">
        <v>335</v>
      </c>
      <c r="S30" s="1" t="s">
        <v>103</v>
      </c>
      <c r="T30" s="1">
        <v>1</v>
      </c>
      <c r="U30" s="1">
        <v>1</v>
      </c>
      <c r="V30" s="1">
        <v>1</v>
      </c>
      <c r="W30" s="1">
        <v>1</v>
      </c>
      <c r="X30" s="1">
        <v>0</v>
      </c>
      <c r="Y30" s="1" t="s">
        <v>104</v>
      </c>
      <c r="Z30" s="1" t="s">
        <v>104</v>
      </c>
      <c r="AA30" s="1">
        <v>2</v>
      </c>
      <c r="AB30" s="1" t="s">
        <v>104</v>
      </c>
      <c r="AC30" s="1" t="s">
        <v>104</v>
      </c>
      <c r="AD30" s="1" t="s">
        <v>104</v>
      </c>
      <c r="AE30" s="1" t="s">
        <v>104</v>
      </c>
      <c r="AF30" s="1" t="s">
        <v>104</v>
      </c>
      <c r="AG30" s="1" t="s">
        <v>104</v>
      </c>
      <c r="AH30" s="1">
        <v>2</v>
      </c>
      <c r="AI30" s="1" t="s">
        <v>104</v>
      </c>
      <c r="AJ30" s="1">
        <v>2</v>
      </c>
      <c r="AK30" s="1" t="s">
        <v>104</v>
      </c>
      <c r="AL30" s="1" t="s">
        <v>104</v>
      </c>
      <c r="AM30" s="1" t="s">
        <v>104</v>
      </c>
      <c r="AO30" s="1">
        <v>2</v>
      </c>
      <c r="AP30" s="1" t="s">
        <v>336</v>
      </c>
      <c r="AQ30" s="1" t="s">
        <v>337</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2" t="str">
        <f>HYPERLINK("http://www.d20pfsrd.com/magic/all-spells/a/augury","Augury")</f>
        <v>Augury</v>
      </c>
      <c r="BR30" s="1">
        <v>29</v>
      </c>
      <c r="BS30" s="1">
        <v>25</v>
      </c>
      <c r="BT30" s="1" t="s">
        <v>338</v>
      </c>
      <c r="BX30" s="1">
        <v>0</v>
      </c>
      <c r="BY30" s="1" t="s">
        <v>104</v>
      </c>
      <c r="BZ30" s="1">
        <v>2</v>
      </c>
      <c r="CA30" s="1">
        <v>2</v>
      </c>
      <c r="CB30" s="1">
        <v>2</v>
      </c>
      <c r="CC30" s="1" t="s">
        <v>104</v>
      </c>
      <c r="CD30" s="1">
        <v>2</v>
      </c>
      <c r="CE30" s="1">
        <v>2</v>
      </c>
      <c r="CF30" s="1" t="s">
        <v>104</v>
      </c>
      <c r="CG30" s="1" t="s">
        <v>104</v>
      </c>
      <c r="CH30" s="1" t="s">
        <v>104</v>
      </c>
      <c r="CJ30" s="1">
        <v>0</v>
      </c>
      <c r="CK30" s="1">
        <v>0</v>
      </c>
      <c r="CL30" s="1">
        <v>0</v>
      </c>
      <c r="CM30" s="1" t="s">
        <v>104</v>
      </c>
    </row>
    <row r="31" spans="1:91" ht="14.25" customHeight="1" x14ac:dyDescent="0.3">
      <c r="A31" s="1" t="s">
        <v>339</v>
      </c>
      <c r="B31" s="1" t="s">
        <v>137</v>
      </c>
      <c r="E31" s="1" t="s">
        <v>340</v>
      </c>
      <c r="F31" s="1" t="s">
        <v>341</v>
      </c>
      <c r="G31" s="1" t="s">
        <v>342</v>
      </c>
      <c r="H31" s="1">
        <v>1</v>
      </c>
      <c r="I31" s="1" t="s">
        <v>128</v>
      </c>
      <c r="L31" s="1" t="s">
        <v>343</v>
      </c>
      <c r="M31" s="1" t="s">
        <v>119</v>
      </c>
      <c r="N31" s="1">
        <v>0</v>
      </c>
      <c r="O31" s="1">
        <v>0</v>
      </c>
      <c r="P31" s="1" t="s">
        <v>211</v>
      </c>
      <c r="Q31" s="1" t="s">
        <v>184</v>
      </c>
      <c r="R31" s="1" t="s">
        <v>344</v>
      </c>
      <c r="S31" s="1" t="s">
        <v>103</v>
      </c>
      <c r="T31" s="1">
        <v>1</v>
      </c>
      <c r="U31" s="1">
        <v>1</v>
      </c>
      <c r="V31" s="1">
        <v>1</v>
      </c>
      <c r="W31" s="1">
        <v>0</v>
      </c>
      <c r="X31" s="1">
        <v>1</v>
      </c>
      <c r="Y31" s="1" t="s">
        <v>104</v>
      </c>
      <c r="Z31" s="1" t="s">
        <v>104</v>
      </c>
      <c r="AA31" s="1" t="s">
        <v>104</v>
      </c>
      <c r="AB31" s="1">
        <v>5</v>
      </c>
      <c r="AC31" s="1" t="s">
        <v>104</v>
      </c>
      <c r="AD31" s="1" t="s">
        <v>104</v>
      </c>
      <c r="AE31" s="1" t="s">
        <v>104</v>
      </c>
      <c r="AF31" s="1" t="s">
        <v>104</v>
      </c>
      <c r="AG31" s="1" t="s">
        <v>104</v>
      </c>
      <c r="AH31" s="1" t="s">
        <v>104</v>
      </c>
      <c r="AI31" s="1" t="s">
        <v>104</v>
      </c>
      <c r="AJ31" s="1" t="s">
        <v>104</v>
      </c>
      <c r="AK31" s="1" t="s">
        <v>104</v>
      </c>
      <c r="AL31" s="1" t="s">
        <v>104</v>
      </c>
      <c r="AM31" s="1" t="s">
        <v>104</v>
      </c>
      <c r="AO31" s="1">
        <v>5</v>
      </c>
      <c r="AQ31" s="1" t="s">
        <v>345</v>
      </c>
      <c r="AR31" s="1">
        <v>0</v>
      </c>
      <c r="AS31" s="1">
        <v>0</v>
      </c>
      <c r="AT31" s="1">
        <v>0</v>
      </c>
      <c r="AU31" s="1">
        <v>0</v>
      </c>
      <c r="AV31" s="1">
        <v>0</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2" t="str">
        <f>HYPERLINK("http://www.d20pfsrd.com/magic/all-spells/a/awaken","Awaken")</f>
        <v>Awaken</v>
      </c>
      <c r="BR31" s="1">
        <v>30</v>
      </c>
      <c r="BS31" s="1">
        <v>2000</v>
      </c>
      <c r="BX31" s="1">
        <v>0</v>
      </c>
      <c r="BY31" s="1" t="s">
        <v>104</v>
      </c>
      <c r="BZ31" s="1">
        <v>6</v>
      </c>
      <c r="CA31" s="1" t="s">
        <v>104</v>
      </c>
      <c r="CB31" s="1" t="s">
        <v>104</v>
      </c>
      <c r="CC31" s="1" t="s">
        <v>104</v>
      </c>
      <c r="CD31" s="1" t="s">
        <v>104</v>
      </c>
      <c r="CE31" s="1" t="s">
        <v>104</v>
      </c>
      <c r="CF31" s="1" t="s">
        <v>104</v>
      </c>
      <c r="CG31" s="1" t="s">
        <v>104</v>
      </c>
      <c r="CH31" s="1">
        <v>5</v>
      </c>
      <c r="CJ31" s="1">
        <v>0</v>
      </c>
      <c r="CK31" s="1">
        <v>0</v>
      </c>
      <c r="CL31" s="1">
        <v>0</v>
      </c>
      <c r="CM31" s="1" t="s">
        <v>104</v>
      </c>
    </row>
    <row r="32" spans="1:91" ht="14.25" customHeight="1" x14ac:dyDescent="0.3">
      <c r="A32" s="1" t="s">
        <v>346</v>
      </c>
      <c r="B32" s="1" t="s">
        <v>123</v>
      </c>
      <c r="C32" s="1" t="s">
        <v>124</v>
      </c>
      <c r="D32" s="1" t="s">
        <v>347</v>
      </c>
      <c r="E32" s="1" t="s">
        <v>348</v>
      </c>
      <c r="F32" s="1" t="s">
        <v>95</v>
      </c>
      <c r="G32" s="1" t="s">
        <v>127</v>
      </c>
      <c r="H32" s="1">
        <v>0</v>
      </c>
      <c r="I32" s="1" t="s">
        <v>349</v>
      </c>
      <c r="J32" s="1" t="s">
        <v>350</v>
      </c>
      <c r="M32" s="1" t="s">
        <v>130</v>
      </c>
      <c r="N32" s="1">
        <v>0</v>
      </c>
      <c r="O32" s="1">
        <v>0</v>
      </c>
      <c r="P32" s="1" t="s">
        <v>211</v>
      </c>
      <c r="Q32" s="1" t="s">
        <v>184</v>
      </c>
      <c r="R32" s="1" t="s">
        <v>351</v>
      </c>
      <c r="S32" s="1" t="s">
        <v>103</v>
      </c>
      <c r="T32" s="1">
        <v>1</v>
      </c>
      <c r="U32" s="1">
        <v>1</v>
      </c>
      <c r="V32" s="1">
        <v>0</v>
      </c>
      <c r="W32" s="1">
        <v>0</v>
      </c>
      <c r="X32" s="1">
        <v>1</v>
      </c>
      <c r="Y32" s="1" t="s">
        <v>104</v>
      </c>
      <c r="Z32" s="1" t="s">
        <v>104</v>
      </c>
      <c r="AA32" s="1">
        <v>1</v>
      </c>
      <c r="AB32" s="1" t="s">
        <v>104</v>
      </c>
      <c r="AC32" s="1" t="s">
        <v>104</v>
      </c>
      <c r="AD32" s="1" t="s">
        <v>104</v>
      </c>
      <c r="AE32" s="1" t="s">
        <v>104</v>
      </c>
      <c r="AF32" s="1" t="s">
        <v>104</v>
      </c>
      <c r="AG32" s="1" t="s">
        <v>104</v>
      </c>
      <c r="AH32" s="1" t="s">
        <v>104</v>
      </c>
      <c r="AI32" s="1">
        <v>1</v>
      </c>
      <c r="AJ32" s="1">
        <v>1</v>
      </c>
      <c r="AK32" s="1">
        <v>1</v>
      </c>
      <c r="AL32" s="1" t="s">
        <v>104</v>
      </c>
      <c r="AM32" s="1" t="s">
        <v>104</v>
      </c>
      <c r="AO32" s="1">
        <v>1</v>
      </c>
      <c r="AP32" s="1" t="s">
        <v>352</v>
      </c>
      <c r="AQ32" s="1" t="s">
        <v>353</v>
      </c>
      <c r="AR32" s="1">
        <v>0</v>
      </c>
      <c r="AS32" s="1">
        <v>0</v>
      </c>
      <c r="AT32" s="1">
        <v>0</v>
      </c>
      <c r="AU32" s="1">
        <v>0</v>
      </c>
      <c r="AV32" s="1">
        <v>0</v>
      </c>
      <c r="AW32" s="1">
        <v>0</v>
      </c>
      <c r="AX32" s="1">
        <v>0</v>
      </c>
      <c r="AY32" s="1">
        <v>0</v>
      </c>
      <c r="AZ32" s="1">
        <v>0</v>
      </c>
      <c r="BA32" s="1">
        <v>0</v>
      </c>
      <c r="BB32" s="1">
        <v>0</v>
      </c>
      <c r="BC32" s="1">
        <v>0</v>
      </c>
      <c r="BD32" s="1">
        <v>1</v>
      </c>
      <c r="BE32" s="1">
        <v>0</v>
      </c>
      <c r="BF32" s="1">
        <v>0</v>
      </c>
      <c r="BG32" s="1">
        <v>0</v>
      </c>
      <c r="BH32" s="1">
        <v>0</v>
      </c>
      <c r="BI32" s="1">
        <v>0</v>
      </c>
      <c r="BJ32" s="1">
        <v>0</v>
      </c>
      <c r="BK32" s="1">
        <v>1</v>
      </c>
      <c r="BL32" s="1">
        <v>0</v>
      </c>
      <c r="BM32" s="1">
        <v>0</v>
      </c>
      <c r="BN32" s="1">
        <v>0</v>
      </c>
      <c r="BO32" s="1">
        <v>0</v>
      </c>
      <c r="BP32" s="1">
        <v>0</v>
      </c>
      <c r="BQ32" s="2" t="str">
        <f>HYPERLINK("http://www.d20pfsrd.com/magic/all-spells/b/bane","Bane")</f>
        <v>Bane</v>
      </c>
      <c r="BR32" s="1">
        <v>31</v>
      </c>
      <c r="BS32" s="1" t="s">
        <v>104</v>
      </c>
      <c r="BV32" s="1" t="s">
        <v>354</v>
      </c>
      <c r="BX32" s="1">
        <v>1</v>
      </c>
      <c r="BY32" s="1" t="s">
        <v>104</v>
      </c>
      <c r="BZ32" s="1">
        <v>1</v>
      </c>
      <c r="CA32" s="1" t="s">
        <v>104</v>
      </c>
      <c r="CB32" s="1" t="s">
        <v>104</v>
      </c>
      <c r="CC32" s="1">
        <v>1</v>
      </c>
      <c r="CD32" s="1" t="s">
        <v>104</v>
      </c>
      <c r="CE32" s="1" t="s">
        <v>104</v>
      </c>
      <c r="CF32" s="1" t="s">
        <v>104</v>
      </c>
      <c r="CG32" s="1" t="s">
        <v>104</v>
      </c>
      <c r="CH32" s="1" t="s">
        <v>104</v>
      </c>
      <c r="CJ32" s="1">
        <v>0</v>
      </c>
      <c r="CK32" s="1">
        <v>0</v>
      </c>
      <c r="CL32" s="1">
        <v>0</v>
      </c>
      <c r="CM32" s="1" t="s">
        <v>104</v>
      </c>
    </row>
    <row r="33" spans="1:91" ht="14.25" customHeight="1" x14ac:dyDescent="0.3">
      <c r="A33" s="1" t="s">
        <v>355</v>
      </c>
      <c r="B33" s="1" t="s">
        <v>162</v>
      </c>
      <c r="E33" s="1" t="s">
        <v>356</v>
      </c>
      <c r="F33" s="1" t="s">
        <v>95</v>
      </c>
      <c r="G33" s="1" t="s">
        <v>357</v>
      </c>
      <c r="H33" s="1">
        <v>0</v>
      </c>
      <c r="I33" s="1" t="s">
        <v>117</v>
      </c>
      <c r="L33" s="1" t="s">
        <v>358</v>
      </c>
      <c r="M33" s="1" t="s">
        <v>119</v>
      </c>
      <c r="N33" s="1">
        <v>0</v>
      </c>
      <c r="O33" s="1">
        <v>0</v>
      </c>
      <c r="P33" s="1" t="s">
        <v>211</v>
      </c>
      <c r="Q33" s="1" t="s">
        <v>184</v>
      </c>
      <c r="R33" s="1" t="s">
        <v>359</v>
      </c>
      <c r="S33" s="1" t="s">
        <v>103</v>
      </c>
      <c r="T33" s="1">
        <v>1</v>
      </c>
      <c r="U33" s="1">
        <v>1</v>
      </c>
      <c r="V33" s="1">
        <v>0</v>
      </c>
      <c r="W33" s="1">
        <v>1</v>
      </c>
      <c r="X33" s="1">
        <v>0</v>
      </c>
      <c r="Y33" s="1">
        <v>7</v>
      </c>
      <c r="Z33" s="1">
        <v>7</v>
      </c>
      <c r="AA33" s="1">
        <v>6</v>
      </c>
      <c r="AB33" s="1" t="s">
        <v>104</v>
      </c>
      <c r="AC33" s="1" t="s">
        <v>104</v>
      </c>
      <c r="AD33" s="1" t="s">
        <v>104</v>
      </c>
      <c r="AE33" s="1" t="s">
        <v>104</v>
      </c>
      <c r="AF33" s="1" t="s">
        <v>104</v>
      </c>
      <c r="AG33" s="1">
        <v>5</v>
      </c>
      <c r="AH33" s="1" t="s">
        <v>104</v>
      </c>
      <c r="AI33" s="1">
        <v>5</v>
      </c>
      <c r="AJ33" s="1">
        <v>6</v>
      </c>
      <c r="AK33" s="1" t="s">
        <v>104</v>
      </c>
      <c r="AL33" s="1" t="s">
        <v>104</v>
      </c>
      <c r="AM33" s="1" t="s">
        <v>104</v>
      </c>
      <c r="AO33" s="1">
        <v>7</v>
      </c>
      <c r="AQ33" s="1" t="s">
        <v>360</v>
      </c>
      <c r="AR33" s="1">
        <v>0</v>
      </c>
      <c r="AS33" s="1">
        <v>0</v>
      </c>
      <c r="AT33" s="1">
        <v>0</v>
      </c>
      <c r="AU33" s="1">
        <v>0</v>
      </c>
      <c r="AV33" s="1">
        <v>0</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2" t="str">
        <f>HYPERLINK("http://www.d20pfsrd.com/magic/all-spells/b/banishment","Banishment")</f>
        <v>Banishment</v>
      </c>
      <c r="BR33" s="1">
        <v>32</v>
      </c>
      <c r="BS33" s="1" t="s">
        <v>104</v>
      </c>
      <c r="BT33" s="1" t="s">
        <v>361</v>
      </c>
      <c r="BU33" s="1" t="s">
        <v>362</v>
      </c>
      <c r="BX33" s="1">
        <v>0</v>
      </c>
      <c r="BY33" s="1" t="s">
        <v>104</v>
      </c>
      <c r="BZ33" s="1">
        <v>6</v>
      </c>
      <c r="CA33" s="1">
        <v>7</v>
      </c>
      <c r="CB33" s="1" t="s">
        <v>104</v>
      </c>
      <c r="CC33" s="1" t="s">
        <v>104</v>
      </c>
      <c r="CD33" s="1" t="s">
        <v>104</v>
      </c>
      <c r="CE33" s="1">
        <v>6</v>
      </c>
      <c r="CF33" s="1" t="s">
        <v>104</v>
      </c>
      <c r="CG33" s="1" t="s">
        <v>104</v>
      </c>
      <c r="CH33" s="1" t="s">
        <v>104</v>
      </c>
      <c r="CJ33" s="1">
        <v>0</v>
      </c>
      <c r="CK33" s="1">
        <v>0</v>
      </c>
      <c r="CL33" s="1">
        <v>0</v>
      </c>
      <c r="CM33" s="1">
        <v>6</v>
      </c>
    </row>
    <row r="34" spans="1:91" ht="14.25" customHeight="1" x14ac:dyDescent="0.3">
      <c r="A34" s="1" t="s">
        <v>363</v>
      </c>
      <c r="B34" s="1" t="s">
        <v>137</v>
      </c>
      <c r="E34" s="1" t="s">
        <v>364</v>
      </c>
      <c r="F34" s="1" t="s">
        <v>95</v>
      </c>
      <c r="G34" s="1" t="s">
        <v>127</v>
      </c>
      <c r="H34" s="1">
        <v>0</v>
      </c>
      <c r="I34" s="1" t="s">
        <v>128</v>
      </c>
      <c r="L34" s="1" t="s">
        <v>129</v>
      </c>
      <c r="M34" s="1" t="s">
        <v>140</v>
      </c>
      <c r="N34" s="1">
        <v>0</v>
      </c>
      <c r="O34" s="1">
        <v>0</v>
      </c>
      <c r="P34" s="1" t="s">
        <v>100</v>
      </c>
      <c r="Q34" s="1" t="s">
        <v>131</v>
      </c>
      <c r="R34" s="1" t="s">
        <v>365</v>
      </c>
      <c r="S34" s="1" t="s">
        <v>103</v>
      </c>
      <c r="T34" s="1">
        <v>1</v>
      </c>
      <c r="U34" s="1">
        <v>1</v>
      </c>
      <c r="V34" s="1">
        <v>0</v>
      </c>
      <c r="W34" s="1">
        <v>0</v>
      </c>
      <c r="X34" s="1">
        <v>1</v>
      </c>
      <c r="Y34" s="1" t="s">
        <v>104</v>
      </c>
      <c r="Z34" s="1" t="s">
        <v>104</v>
      </c>
      <c r="AA34" s="1" t="s">
        <v>104</v>
      </c>
      <c r="AB34" s="1">
        <v>2</v>
      </c>
      <c r="AC34" s="1">
        <v>2</v>
      </c>
      <c r="AD34" s="1" t="s">
        <v>104</v>
      </c>
      <c r="AE34" s="1" t="s">
        <v>104</v>
      </c>
      <c r="AF34" s="1">
        <v>2</v>
      </c>
      <c r="AG34" s="1">
        <v>2</v>
      </c>
      <c r="AH34" s="1" t="s">
        <v>104</v>
      </c>
      <c r="AI34" s="1" t="s">
        <v>104</v>
      </c>
      <c r="AJ34" s="1" t="s">
        <v>104</v>
      </c>
      <c r="AK34" s="1" t="s">
        <v>104</v>
      </c>
      <c r="AL34" s="1" t="s">
        <v>104</v>
      </c>
      <c r="AM34" s="1" t="s">
        <v>104</v>
      </c>
      <c r="AO34" s="1">
        <v>2</v>
      </c>
      <c r="AP34" s="1" t="s">
        <v>366</v>
      </c>
      <c r="AQ34" s="1" t="s">
        <v>367</v>
      </c>
      <c r="AR34" s="1">
        <v>0</v>
      </c>
      <c r="AS34" s="1">
        <v>0</v>
      </c>
      <c r="AT34" s="1">
        <v>0</v>
      </c>
      <c r="AU34" s="1">
        <v>0</v>
      </c>
      <c r="AV34" s="1">
        <v>0</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2" t="str">
        <f>HYPERLINK("http://www.d20pfsrd.com/magic/all-spells/b/barkskin","Barkskin")</f>
        <v>Barkskin</v>
      </c>
      <c r="BR34" s="1">
        <v>33</v>
      </c>
      <c r="BS34" s="1" t="s">
        <v>104</v>
      </c>
      <c r="BT34" s="1" t="s">
        <v>368</v>
      </c>
      <c r="BV34" s="1" t="s">
        <v>369</v>
      </c>
      <c r="BW34" s="1" t="s">
        <v>370</v>
      </c>
      <c r="BX34" s="1">
        <v>1</v>
      </c>
      <c r="BY34" s="1" t="s">
        <v>104</v>
      </c>
      <c r="BZ34" s="1">
        <v>2</v>
      </c>
      <c r="CA34" s="1" t="s">
        <v>104</v>
      </c>
      <c r="CB34" s="1" t="s">
        <v>104</v>
      </c>
      <c r="CC34" s="1" t="s">
        <v>104</v>
      </c>
      <c r="CD34" s="1" t="s">
        <v>104</v>
      </c>
      <c r="CE34" s="1" t="s">
        <v>104</v>
      </c>
      <c r="CF34" s="1" t="s">
        <v>104</v>
      </c>
      <c r="CG34" s="1" t="s">
        <v>104</v>
      </c>
      <c r="CH34" s="1">
        <v>2</v>
      </c>
      <c r="CJ34" s="1">
        <v>0</v>
      </c>
      <c r="CK34" s="1">
        <v>0</v>
      </c>
      <c r="CL34" s="1">
        <v>0</v>
      </c>
      <c r="CM34" s="1">
        <v>2</v>
      </c>
    </row>
    <row r="35" spans="1:91" ht="14.25" customHeight="1" x14ac:dyDescent="0.3">
      <c r="A35" s="1" t="s">
        <v>371</v>
      </c>
      <c r="B35" s="1" t="s">
        <v>137</v>
      </c>
      <c r="E35" s="1" t="s">
        <v>372</v>
      </c>
      <c r="F35" s="1" t="s">
        <v>95</v>
      </c>
      <c r="G35" s="1" t="s">
        <v>373</v>
      </c>
      <c r="H35" s="1">
        <v>0</v>
      </c>
      <c r="I35" s="1" t="s">
        <v>128</v>
      </c>
      <c r="L35" s="1" t="s">
        <v>374</v>
      </c>
      <c r="M35" s="1" t="s">
        <v>130</v>
      </c>
      <c r="N35" s="1">
        <v>0</v>
      </c>
      <c r="O35" s="1">
        <v>0</v>
      </c>
      <c r="P35" s="1" t="s">
        <v>375</v>
      </c>
      <c r="Q35" s="1" t="s">
        <v>184</v>
      </c>
      <c r="R35" s="1" t="s">
        <v>376</v>
      </c>
      <c r="S35" s="1" t="s">
        <v>103</v>
      </c>
      <c r="T35" s="1">
        <v>1</v>
      </c>
      <c r="U35" s="1">
        <v>1</v>
      </c>
      <c r="V35" s="1">
        <v>1</v>
      </c>
      <c r="W35" s="1">
        <v>0</v>
      </c>
      <c r="X35" s="1">
        <v>1</v>
      </c>
      <c r="Y35" s="1">
        <v>2</v>
      </c>
      <c r="Z35" s="1">
        <v>2</v>
      </c>
      <c r="AA35" s="1">
        <v>2</v>
      </c>
      <c r="AB35" s="1">
        <v>2</v>
      </c>
      <c r="AC35" s="1">
        <v>2</v>
      </c>
      <c r="AD35" s="1" t="s">
        <v>104</v>
      </c>
      <c r="AE35" s="1" t="s">
        <v>104</v>
      </c>
      <c r="AF35" s="1">
        <v>2</v>
      </c>
      <c r="AG35" s="1">
        <v>2</v>
      </c>
      <c r="AH35" s="1" t="s">
        <v>104</v>
      </c>
      <c r="AI35" s="1" t="s">
        <v>104</v>
      </c>
      <c r="AJ35" s="1">
        <v>2</v>
      </c>
      <c r="AK35" s="1" t="s">
        <v>104</v>
      </c>
      <c r="AL35" s="1">
        <v>2</v>
      </c>
      <c r="AM35" s="1">
        <v>2</v>
      </c>
      <c r="AO35" s="1">
        <v>2</v>
      </c>
      <c r="AQ35" s="1" t="s">
        <v>377</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2" t="str">
        <f>HYPERLINK("http://www.d20pfsrd.com/magic/all-spells/b/bear-s-endurance","Bear's Endurance")</f>
        <v>Bear's Endurance</v>
      </c>
      <c r="BR35" s="1">
        <v>34</v>
      </c>
      <c r="BS35" s="1" t="s">
        <v>104</v>
      </c>
      <c r="BU35" s="1" t="s">
        <v>378</v>
      </c>
      <c r="BX35" s="1">
        <v>0</v>
      </c>
      <c r="BY35" s="1">
        <v>2</v>
      </c>
      <c r="BZ35" s="1">
        <v>2</v>
      </c>
      <c r="CA35" s="1">
        <v>2</v>
      </c>
      <c r="CB35" s="1">
        <v>2</v>
      </c>
      <c r="CC35" s="1" t="s">
        <v>104</v>
      </c>
      <c r="CD35" s="1" t="s">
        <v>104</v>
      </c>
      <c r="CE35" s="1" t="s">
        <v>104</v>
      </c>
      <c r="CF35" s="1" t="s">
        <v>104</v>
      </c>
      <c r="CG35" s="1" t="s">
        <v>104</v>
      </c>
      <c r="CH35" s="1">
        <v>2</v>
      </c>
      <c r="CJ35" s="1">
        <v>0</v>
      </c>
      <c r="CK35" s="1">
        <v>0</v>
      </c>
      <c r="CL35" s="1">
        <v>0</v>
      </c>
      <c r="CM35" s="1">
        <v>2</v>
      </c>
    </row>
    <row r="36" spans="1:91" ht="14.25" customHeight="1" x14ac:dyDescent="0.3">
      <c r="A36" s="1" t="s">
        <v>379</v>
      </c>
      <c r="B36" s="1" t="s">
        <v>137</v>
      </c>
      <c r="E36" s="1" t="s">
        <v>380</v>
      </c>
      <c r="F36" s="1" t="s">
        <v>95</v>
      </c>
      <c r="G36" s="1" t="s">
        <v>373</v>
      </c>
      <c r="H36" s="1">
        <v>0</v>
      </c>
      <c r="I36" s="1" t="s">
        <v>117</v>
      </c>
      <c r="L36" s="1" t="s">
        <v>381</v>
      </c>
      <c r="M36" s="1" t="s">
        <v>130</v>
      </c>
      <c r="N36" s="1">
        <v>0</v>
      </c>
      <c r="O36" s="1">
        <v>0</v>
      </c>
      <c r="P36" s="1" t="s">
        <v>375</v>
      </c>
      <c r="Q36" s="1" t="s">
        <v>184</v>
      </c>
      <c r="R36" s="1" t="s">
        <v>382</v>
      </c>
      <c r="S36" s="1" t="s">
        <v>103</v>
      </c>
      <c r="T36" s="1">
        <v>1</v>
      </c>
      <c r="U36" s="1">
        <v>1</v>
      </c>
      <c r="V36" s="1">
        <v>1</v>
      </c>
      <c r="W36" s="1">
        <v>0</v>
      </c>
      <c r="X36" s="1">
        <v>1</v>
      </c>
      <c r="Y36" s="1">
        <v>6</v>
      </c>
      <c r="Z36" s="1">
        <v>6</v>
      </c>
      <c r="AA36" s="1">
        <v>6</v>
      </c>
      <c r="AB36" s="1">
        <v>6</v>
      </c>
      <c r="AC36" s="1" t="s">
        <v>104</v>
      </c>
      <c r="AD36" s="1" t="s">
        <v>104</v>
      </c>
      <c r="AE36" s="1" t="s">
        <v>104</v>
      </c>
      <c r="AF36" s="1" t="s">
        <v>104</v>
      </c>
      <c r="AG36" s="1">
        <v>4</v>
      </c>
      <c r="AH36" s="1" t="s">
        <v>104</v>
      </c>
      <c r="AI36" s="1" t="s">
        <v>104</v>
      </c>
      <c r="AJ36" s="1">
        <v>6</v>
      </c>
      <c r="AK36" s="1" t="s">
        <v>104</v>
      </c>
      <c r="AL36" s="1">
        <v>6</v>
      </c>
      <c r="AM36" s="1" t="s">
        <v>104</v>
      </c>
      <c r="AO36" s="1">
        <v>6</v>
      </c>
      <c r="AQ36" s="1" t="s">
        <v>383</v>
      </c>
      <c r="AR36" s="1">
        <v>0</v>
      </c>
      <c r="AS36" s="1">
        <v>0</v>
      </c>
      <c r="AT36" s="1">
        <v>0</v>
      </c>
      <c r="AU36" s="1">
        <v>0</v>
      </c>
      <c r="AV36" s="1">
        <v>0</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2" t="str">
        <f>HYPERLINK("http://www.d20pfsrd.com/magic/all-spells/b/bear-s-endurance","Bear's Endurance, Mass")</f>
        <v>Bear's Endurance, Mass</v>
      </c>
      <c r="BR36" s="1">
        <v>35</v>
      </c>
      <c r="BS36" s="1" t="s">
        <v>104</v>
      </c>
      <c r="BU36" s="1" t="s">
        <v>384</v>
      </c>
      <c r="BX36" s="1">
        <v>0</v>
      </c>
      <c r="BY36" s="1" t="s">
        <v>104</v>
      </c>
      <c r="BZ36" s="1">
        <v>6</v>
      </c>
      <c r="CA36" s="1">
        <v>6</v>
      </c>
      <c r="CB36" s="1" t="s">
        <v>104</v>
      </c>
      <c r="CC36" s="1" t="s">
        <v>104</v>
      </c>
      <c r="CD36" s="1" t="s">
        <v>104</v>
      </c>
      <c r="CE36" s="1" t="s">
        <v>104</v>
      </c>
      <c r="CF36" s="1" t="s">
        <v>104</v>
      </c>
      <c r="CG36" s="1" t="s">
        <v>104</v>
      </c>
      <c r="CH36" s="1">
        <v>6</v>
      </c>
      <c r="CJ36" s="1">
        <v>0</v>
      </c>
      <c r="CK36" s="1">
        <v>0</v>
      </c>
      <c r="CL36" s="1">
        <v>0</v>
      </c>
      <c r="CM36" s="1">
        <v>6</v>
      </c>
    </row>
    <row r="37" spans="1:91" ht="14.25" customHeight="1" x14ac:dyDescent="0.3">
      <c r="A37" s="1" t="s">
        <v>385</v>
      </c>
      <c r="B37" s="1" t="s">
        <v>137</v>
      </c>
      <c r="C37" s="1" t="s">
        <v>154</v>
      </c>
      <c r="E37" s="1" t="s">
        <v>386</v>
      </c>
      <c r="F37" s="1" t="s">
        <v>95</v>
      </c>
      <c r="G37" s="1" t="s">
        <v>156</v>
      </c>
      <c r="H37" s="1">
        <v>0</v>
      </c>
      <c r="I37" s="1" t="s">
        <v>157</v>
      </c>
      <c r="L37" s="1" t="s">
        <v>158</v>
      </c>
      <c r="M37" s="1" t="s">
        <v>130</v>
      </c>
      <c r="N37" s="1">
        <v>1</v>
      </c>
      <c r="O37" s="1">
        <v>0</v>
      </c>
      <c r="R37" s="1" t="s">
        <v>387</v>
      </c>
      <c r="S37" s="1" t="s">
        <v>103</v>
      </c>
      <c r="T37" s="1">
        <v>1</v>
      </c>
      <c r="U37" s="1">
        <v>1</v>
      </c>
      <c r="V37" s="1">
        <v>1</v>
      </c>
      <c r="W37" s="1">
        <v>0</v>
      </c>
      <c r="X37" s="1">
        <v>0</v>
      </c>
      <c r="Y37" s="1">
        <v>3</v>
      </c>
      <c r="Z37" s="1">
        <v>3</v>
      </c>
      <c r="AA37" s="1" t="s">
        <v>104</v>
      </c>
      <c r="AB37" s="1" t="s">
        <v>104</v>
      </c>
      <c r="AC37" s="1" t="s">
        <v>104</v>
      </c>
      <c r="AD37" s="1" t="s">
        <v>104</v>
      </c>
      <c r="AE37" s="1" t="s">
        <v>104</v>
      </c>
      <c r="AF37" s="1">
        <v>3</v>
      </c>
      <c r="AG37" s="1" t="s">
        <v>104</v>
      </c>
      <c r="AH37" s="1" t="s">
        <v>104</v>
      </c>
      <c r="AI37" s="1" t="s">
        <v>104</v>
      </c>
      <c r="AJ37" s="1" t="s">
        <v>104</v>
      </c>
      <c r="AK37" s="1" t="s">
        <v>104</v>
      </c>
      <c r="AL37" s="1">
        <v>3</v>
      </c>
      <c r="AM37" s="1" t="s">
        <v>104</v>
      </c>
      <c r="AO37" s="1">
        <v>3</v>
      </c>
      <c r="AP37" s="1" t="s">
        <v>388</v>
      </c>
      <c r="AQ37" s="1" t="s">
        <v>389</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2" t="str">
        <f>HYPERLINK("http://www.d20pfsrd.com/magic/all-spells/b/beast-shape-i#TOC-Beast-Shape-I","Beast Shape I")</f>
        <v>Beast Shape I</v>
      </c>
      <c r="BR37" s="1">
        <v>36</v>
      </c>
      <c r="BS37" s="1" t="s">
        <v>104</v>
      </c>
      <c r="BU37" s="1" t="s">
        <v>390</v>
      </c>
      <c r="BX37" s="1">
        <v>0</v>
      </c>
      <c r="BY37" s="1">
        <v>3</v>
      </c>
      <c r="BZ37" s="1" t="s">
        <v>104</v>
      </c>
      <c r="CA37" s="1" t="s">
        <v>104</v>
      </c>
      <c r="CB37" s="1" t="s">
        <v>104</v>
      </c>
      <c r="CC37" s="1" t="s">
        <v>104</v>
      </c>
      <c r="CD37" s="1" t="s">
        <v>104</v>
      </c>
      <c r="CE37" s="1" t="s">
        <v>104</v>
      </c>
      <c r="CF37" s="1" t="s">
        <v>104</v>
      </c>
      <c r="CG37" s="1" t="s">
        <v>104</v>
      </c>
      <c r="CH37" s="1" t="s">
        <v>104</v>
      </c>
      <c r="CJ37" s="1">
        <v>0</v>
      </c>
      <c r="CK37" s="1">
        <v>0</v>
      </c>
      <c r="CL37" s="1">
        <v>0</v>
      </c>
      <c r="CM37" s="1" t="s">
        <v>104</v>
      </c>
    </row>
    <row r="38" spans="1:91" ht="14.25" customHeight="1" x14ac:dyDescent="0.3">
      <c r="A38" s="1" t="s">
        <v>391</v>
      </c>
      <c r="B38" s="1" t="s">
        <v>137</v>
      </c>
      <c r="C38" s="1" t="s">
        <v>154</v>
      </c>
      <c r="E38" s="1" t="s">
        <v>392</v>
      </c>
      <c r="F38" s="1" t="s">
        <v>95</v>
      </c>
      <c r="G38" s="1" t="s">
        <v>156</v>
      </c>
      <c r="H38" s="1">
        <v>0</v>
      </c>
      <c r="I38" s="1" t="s">
        <v>157</v>
      </c>
      <c r="L38" s="1" t="s">
        <v>158</v>
      </c>
      <c r="M38" s="1" t="s">
        <v>130</v>
      </c>
      <c r="N38" s="1">
        <v>1</v>
      </c>
      <c r="O38" s="1">
        <v>0</v>
      </c>
      <c r="R38" s="1" t="s">
        <v>393</v>
      </c>
      <c r="S38" s="1" t="s">
        <v>103</v>
      </c>
      <c r="T38" s="1">
        <v>1</v>
      </c>
      <c r="U38" s="1">
        <v>1</v>
      </c>
      <c r="V38" s="1">
        <v>1</v>
      </c>
      <c r="W38" s="1">
        <v>0</v>
      </c>
      <c r="X38" s="1">
        <v>0</v>
      </c>
      <c r="Y38" s="1">
        <v>4</v>
      </c>
      <c r="Z38" s="1">
        <v>4</v>
      </c>
      <c r="AA38" s="1" t="s">
        <v>104</v>
      </c>
      <c r="AB38" s="1" t="s">
        <v>104</v>
      </c>
      <c r="AC38" s="1" t="s">
        <v>104</v>
      </c>
      <c r="AD38" s="1" t="s">
        <v>104</v>
      </c>
      <c r="AE38" s="1" t="s">
        <v>104</v>
      </c>
      <c r="AF38" s="1">
        <v>4</v>
      </c>
      <c r="AG38" s="1" t="s">
        <v>104</v>
      </c>
      <c r="AH38" s="1" t="s">
        <v>104</v>
      </c>
      <c r="AI38" s="1" t="s">
        <v>104</v>
      </c>
      <c r="AJ38" s="1" t="s">
        <v>104</v>
      </c>
      <c r="AK38" s="1" t="s">
        <v>104</v>
      </c>
      <c r="AL38" s="1">
        <v>4</v>
      </c>
      <c r="AM38" s="1" t="s">
        <v>104</v>
      </c>
      <c r="AO38" s="1">
        <v>4</v>
      </c>
      <c r="AQ38" s="1" t="s">
        <v>394</v>
      </c>
      <c r="AR38" s="1">
        <v>0</v>
      </c>
      <c r="AS38" s="1">
        <v>0</v>
      </c>
      <c r="AT38" s="1">
        <v>0</v>
      </c>
      <c r="AU38" s="1">
        <v>0</v>
      </c>
      <c r="AV38" s="1">
        <v>0</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2" t="str">
        <f>HYPERLINK("http://www.d20pfsrd.com/magic/all-spells/b/beast-shape-i#TOC-Beast-Shape-II","Beast Shape II")</f>
        <v>Beast Shape II</v>
      </c>
      <c r="BR38" s="1">
        <v>37</v>
      </c>
      <c r="BS38" s="1" t="s">
        <v>104</v>
      </c>
      <c r="BU38" s="1" t="s">
        <v>395</v>
      </c>
      <c r="BX38" s="1">
        <v>0</v>
      </c>
      <c r="BY38" s="1">
        <v>4</v>
      </c>
      <c r="BZ38" s="1" t="s">
        <v>104</v>
      </c>
      <c r="CA38" s="1" t="s">
        <v>104</v>
      </c>
      <c r="CB38" s="1" t="s">
        <v>104</v>
      </c>
      <c r="CC38" s="1" t="s">
        <v>104</v>
      </c>
      <c r="CD38" s="1" t="s">
        <v>104</v>
      </c>
      <c r="CE38" s="1" t="s">
        <v>104</v>
      </c>
      <c r="CF38" s="1" t="s">
        <v>104</v>
      </c>
      <c r="CG38" s="1" t="s">
        <v>104</v>
      </c>
      <c r="CH38" s="1" t="s">
        <v>104</v>
      </c>
      <c r="CJ38" s="1">
        <v>0</v>
      </c>
      <c r="CK38" s="1">
        <v>0</v>
      </c>
      <c r="CL38" s="1">
        <v>0</v>
      </c>
      <c r="CM38" s="1" t="s">
        <v>104</v>
      </c>
    </row>
    <row r="39" spans="1:91" ht="14.25" customHeight="1" x14ac:dyDescent="0.3">
      <c r="A39" s="1" t="s">
        <v>396</v>
      </c>
      <c r="B39" s="1" t="s">
        <v>137</v>
      </c>
      <c r="C39" s="1" t="s">
        <v>154</v>
      </c>
      <c r="E39" s="1" t="s">
        <v>397</v>
      </c>
      <c r="F39" s="1" t="s">
        <v>95</v>
      </c>
      <c r="G39" s="1" t="s">
        <v>156</v>
      </c>
      <c r="H39" s="1">
        <v>0</v>
      </c>
      <c r="I39" s="1" t="s">
        <v>157</v>
      </c>
      <c r="L39" s="1" t="s">
        <v>158</v>
      </c>
      <c r="M39" s="1" t="s">
        <v>130</v>
      </c>
      <c r="N39" s="1">
        <v>1</v>
      </c>
      <c r="O39" s="1">
        <v>0</v>
      </c>
      <c r="R39" s="1" t="s">
        <v>398</v>
      </c>
      <c r="S39" s="1" t="s">
        <v>103</v>
      </c>
      <c r="T39" s="1">
        <v>1</v>
      </c>
      <c r="U39" s="1">
        <v>1</v>
      </c>
      <c r="V39" s="1">
        <v>1</v>
      </c>
      <c r="W39" s="1">
        <v>0</v>
      </c>
      <c r="X39" s="1">
        <v>0</v>
      </c>
      <c r="Y39" s="1">
        <v>5</v>
      </c>
      <c r="Z39" s="1">
        <v>5</v>
      </c>
      <c r="AA39" s="1" t="s">
        <v>104</v>
      </c>
      <c r="AB39" s="1" t="s">
        <v>104</v>
      </c>
      <c r="AC39" s="1" t="s">
        <v>104</v>
      </c>
      <c r="AD39" s="1" t="s">
        <v>104</v>
      </c>
      <c r="AE39" s="1" t="s">
        <v>104</v>
      </c>
      <c r="AF39" s="1">
        <v>5</v>
      </c>
      <c r="AG39" s="1" t="s">
        <v>104</v>
      </c>
      <c r="AH39" s="1" t="s">
        <v>104</v>
      </c>
      <c r="AI39" s="1" t="s">
        <v>104</v>
      </c>
      <c r="AJ39" s="1" t="s">
        <v>104</v>
      </c>
      <c r="AK39" s="1" t="s">
        <v>104</v>
      </c>
      <c r="AL39" s="1">
        <v>5</v>
      </c>
      <c r="AM39" s="1" t="s">
        <v>104</v>
      </c>
      <c r="AO39" s="1">
        <v>5</v>
      </c>
      <c r="AP39" s="1" t="s">
        <v>399</v>
      </c>
      <c r="AQ39" s="1" t="s">
        <v>400</v>
      </c>
      <c r="AR39" s="1">
        <v>0</v>
      </c>
      <c r="AS39" s="1">
        <v>0</v>
      </c>
      <c r="AT39" s="1">
        <v>0</v>
      </c>
      <c r="AU39" s="1">
        <v>0</v>
      </c>
      <c r="AV39" s="1">
        <v>0</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2" t="str">
        <f>HYPERLINK("http://www.d20pfsrd.com/magic/all-spells/b/beast-shape-i#TOC-Beast-Shape-III","Beast Shape III")</f>
        <v>Beast Shape III</v>
      </c>
      <c r="BR39" s="1">
        <v>38</v>
      </c>
      <c r="BS39" s="1" t="s">
        <v>104</v>
      </c>
      <c r="BU39" s="1" t="s">
        <v>401</v>
      </c>
      <c r="BX39" s="1">
        <v>0</v>
      </c>
      <c r="BY39" s="1" t="s">
        <v>104</v>
      </c>
      <c r="BZ39" s="1" t="s">
        <v>104</v>
      </c>
      <c r="CA39" s="1" t="s">
        <v>104</v>
      </c>
      <c r="CB39" s="1" t="s">
        <v>104</v>
      </c>
      <c r="CC39" s="1" t="s">
        <v>104</v>
      </c>
      <c r="CD39" s="1" t="s">
        <v>104</v>
      </c>
      <c r="CE39" s="1" t="s">
        <v>104</v>
      </c>
      <c r="CF39" s="1" t="s">
        <v>104</v>
      </c>
      <c r="CG39" s="1" t="s">
        <v>104</v>
      </c>
      <c r="CH39" s="1" t="s">
        <v>104</v>
      </c>
      <c r="CJ39" s="1">
        <v>0</v>
      </c>
      <c r="CK39" s="1">
        <v>0</v>
      </c>
      <c r="CL39" s="1">
        <v>0</v>
      </c>
      <c r="CM39" s="1" t="s">
        <v>104</v>
      </c>
    </row>
    <row r="40" spans="1:91" ht="14.25" customHeight="1" x14ac:dyDescent="0.3">
      <c r="A40" s="1" t="s">
        <v>402</v>
      </c>
      <c r="B40" s="1" t="s">
        <v>137</v>
      </c>
      <c r="C40" s="1" t="s">
        <v>154</v>
      </c>
      <c r="E40" s="1" t="s">
        <v>403</v>
      </c>
      <c r="F40" s="1" t="s">
        <v>95</v>
      </c>
      <c r="G40" s="1" t="s">
        <v>156</v>
      </c>
      <c r="H40" s="1">
        <v>0</v>
      </c>
      <c r="I40" s="1" t="s">
        <v>157</v>
      </c>
      <c r="L40" s="1" t="s">
        <v>158</v>
      </c>
      <c r="M40" s="1" t="s">
        <v>130</v>
      </c>
      <c r="N40" s="1">
        <v>1</v>
      </c>
      <c r="O40" s="1">
        <v>0</v>
      </c>
      <c r="R40" s="1" t="s">
        <v>404</v>
      </c>
      <c r="S40" s="1" t="s">
        <v>103</v>
      </c>
      <c r="T40" s="1">
        <v>1</v>
      </c>
      <c r="U40" s="1">
        <v>1</v>
      </c>
      <c r="V40" s="1">
        <v>1</v>
      </c>
      <c r="W40" s="1">
        <v>0</v>
      </c>
      <c r="X40" s="1">
        <v>0</v>
      </c>
      <c r="Y40" s="1">
        <v>6</v>
      </c>
      <c r="Z40" s="1">
        <v>6</v>
      </c>
      <c r="AA40" s="1" t="s">
        <v>104</v>
      </c>
      <c r="AB40" s="1" t="s">
        <v>104</v>
      </c>
      <c r="AC40" s="1" t="s">
        <v>104</v>
      </c>
      <c r="AD40" s="1" t="s">
        <v>104</v>
      </c>
      <c r="AE40" s="1" t="s">
        <v>104</v>
      </c>
      <c r="AF40" s="1">
        <v>6</v>
      </c>
      <c r="AG40" s="1" t="s">
        <v>104</v>
      </c>
      <c r="AH40" s="1" t="s">
        <v>104</v>
      </c>
      <c r="AI40" s="1" t="s">
        <v>104</v>
      </c>
      <c r="AJ40" s="1" t="s">
        <v>104</v>
      </c>
      <c r="AK40" s="1" t="s">
        <v>104</v>
      </c>
      <c r="AL40" s="1">
        <v>6</v>
      </c>
      <c r="AM40" s="1" t="s">
        <v>104</v>
      </c>
      <c r="AO40" s="1">
        <v>6</v>
      </c>
      <c r="AQ40" s="1" t="s">
        <v>405</v>
      </c>
      <c r="AR40" s="1">
        <v>0</v>
      </c>
      <c r="AS40" s="1">
        <v>0</v>
      </c>
      <c r="AT40" s="1">
        <v>0</v>
      </c>
      <c r="AU40" s="1">
        <v>0</v>
      </c>
      <c r="AV40" s="1">
        <v>0</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2" t="str">
        <f>HYPERLINK("http://www.d20pfsrd.com/magic/all-spells/b/beast-shape-i#TOC-Beast-Shape-IV","Beast Shape IV")</f>
        <v>Beast Shape IV</v>
      </c>
      <c r="BR40" s="1">
        <v>39</v>
      </c>
      <c r="BS40" s="1" t="s">
        <v>104</v>
      </c>
      <c r="BT40" s="1" t="s">
        <v>406</v>
      </c>
      <c r="BU40" s="1" t="s">
        <v>407</v>
      </c>
      <c r="BX40" s="1">
        <v>0</v>
      </c>
      <c r="BY40" s="1" t="s">
        <v>104</v>
      </c>
      <c r="BZ40" s="1" t="s">
        <v>104</v>
      </c>
      <c r="CA40" s="1" t="s">
        <v>104</v>
      </c>
      <c r="CB40" s="1" t="s">
        <v>104</v>
      </c>
      <c r="CC40" s="1" t="s">
        <v>104</v>
      </c>
      <c r="CD40" s="1" t="s">
        <v>104</v>
      </c>
      <c r="CE40" s="1" t="s">
        <v>104</v>
      </c>
      <c r="CF40" s="1" t="s">
        <v>104</v>
      </c>
      <c r="CG40" s="1" t="s">
        <v>104</v>
      </c>
      <c r="CH40" s="1" t="s">
        <v>104</v>
      </c>
      <c r="CJ40" s="1">
        <v>0</v>
      </c>
      <c r="CK40" s="1">
        <v>0</v>
      </c>
      <c r="CL40" s="1">
        <v>0</v>
      </c>
      <c r="CM40" s="1" t="s">
        <v>104</v>
      </c>
    </row>
    <row r="41" spans="1:91" ht="14.25" customHeight="1" x14ac:dyDescent="0.3">
      <c r="A41" s="1" t="s">
        <v>408</v>
      </c>
      <c r="B41" s="1" t="s">
        <v>216</v>
      </c>
      <c r="D41" s="1" t="s">
        <v>47</v>
      </c>
      <c r="E41" s="1" t="s">
        <v>409</v>
      </c>
      <c r="F41" s="1" t="s">
        <v>95</v>
      </c>
      <c r="G41" s="1" t="s">
        <v>116</v>
      </c>
      <c r="H41" s="1">
        <v>0</v>
      </c>
      <c r="I41" s="1" t="s">
        <v>128</v>
      </c>
      <c r="L41" s="1" t="s">
        <v>374</v>
      </c>
      <c r="M41" s="1" t="s">
        <v>298</v>
      </c>
      <c r="N41" s="1">
        <v>0</v>
      </c>
      <c r="O41" s="1">
        <v>0</v>
      </c>
      <c r="P41" s="1" t="s">
        <v>211</v>
      </c>
      <c r="Q41" s="1" t="s">
        <v>184</v>
      </c>
      <c r="R41" s="1" t="s">
        <v>410</v>
      </c>
      <c r="S41" s="1" t="s">
        <v>103</v>
      </c>
      <c r="T41" s="1">
        <v>1</v>
      </c>
      <c r="U41" s="1">
        <v>1</v>
      </c>
      <c r="V41" s="1">
        <v>0</v>
      </c>
      <c r="W41" s="1">
        <v>0</v>
      </c>
      <c r="X41" s="1">
        <v>0</v>
      </c>
      <c r="Y41" s="1">
        <v>4</v>
      </c>
      <c r="Z41" s="1">
        <v>4</v>
      </c>
      <c r="AA41" s="1">
        <v>3</v>
      </c>
      <c r="AB41" s="1" t="s">
        <v>104</v>
      </c>
      <c r="AC41" s="1" t="s">
        <v>104</v>
      </c>
      <c r="AD41" s="1" t="s">
        <v>104</v>
      </c>
      <c r="AE41" s="1" t="s">
        <v>104</v>
      </c>
      <c r="AF41" s="1" t="s">
        <v>104</v>
      </c>
      <c r="AG41" s="1" t="s">
        <v>104</v>
      </c>
      <c r="AH41" s="1">
        <v>3</v>
      </c>
      <c r="AI41" s="1" t="s">
        <v>104</v>
      </c>
      <c r="AJ41" s="1">
        <v>3</v>
      </c>
      <c r="AK41" s="1">
        <v>3</v>
      </c>
      <c r="AL41" s="1" t="s">
        <v>104</v>
      </c>
      <c r="AM41" s="1">
        <v>3</v>
      </c>
      <c r="AO41" s="1">
        <v>4</v>
      </c>
      <c r="AP41" s="1" t="s">
        <v>411</v>
      </c>
      <c r="AQ41" s="1" t="s">
        <v>412</v>
      </c>
      <c r="AR41" s="1">
        <v>0</v>
      </c>
      <c r="AS41" s="1">
        <v>0</v>
      </c>
      <c r="AT41" s="1">
        <v>0</v>
      </c>
      <c r="AU41" s="1">
        <v>0</v>
      </c>
      <c r="AV41" s="1">
        <v>1</v>
      </c>
      <c r="AW41" s="1">
        <v>0</v>
      </c>
      <c r="AX41" s="1">
        <v>0</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2" t="str">
        <f>HYPERLINK("http://www.d20pfsrd.com/magic/all-spells/b/bestow-curse","Bestow Curse")</f>
        <v>Bestow Curse</v>
      </c>
      <c r="BR41" s="1">
        <v>40</v>
      </c>
      <c r="BS41" s="1" t="s">
        <v>104</v>
      </c>
      <c r="BT41" s="1" t="s">
        <v>413</v>
      </c>
      <c r="BX41" s="1">
        <v>0</v>
      </c>
      <c r="BY41" s="1">
        <v>4</v>
      </c>
      <c r="BZ41" s="1">
        <v>3</v>
      </c>
      <c r="CA41" s="1" t="s">
        <v>104</v>
      </c>
      <c r="CB41" s="1">
        <v>2</v>
      </c>
      <c r="CC41" s="1">
        <v>3</v>
      </c>
      <c r="CD41" s="1">
        <v>3</v>
      </c>
      <c r="CE41" s="1">
        <v>3</v>
      </c>
      <c r="CF41" s="1" t="s">
        <v>104</v>
      </c>
      <c r="CG41" s="1" t="s">
        <v>104</v>
      </c>
      <c r="CH41" s="1" t="s">
        <v>104</v>
      </c>
      <c r="CJ41" s="1">
        <v>0</v>
      </c>
      <c r="CK41" s="1">
        <v>0</v>
      </c>
      <c r="CL41" s="1">
        <v>0</v>
      </c>
      <c r="CM41" s="1" t="s">
        <v>104</v>
      </c>
    </row>
    <row r="42" spans="1:91" ht="14.25" customHeight="1" x14ac:dyDescent="0.3">
      <c r="A42" s="1" t="s">
        <v>414</v>
      </c>
      <c r="B42" s="1" t="s">
        <v>123</v>
      </c>
      <c r="C42" s="1" t="s">
        <v>124</v>
      </c>
      <c r="D42" s="1" t="s">
        <v>125</v>
      </c>
      <c r="E42" s="1" t="s">
        <v>415</v>
      </c>
      <c r="F42" s="1" t="s">
        <v>191</v>
      </c>
      <c r="G42" s="1" t="s">
        <v>416</v>
      </c>
      <c r="H42" s="1">
        <v>1</v>
      </c>
      <c r="I42" s="1" t="s">
        <v>117</v>
      </c>
      <c r="L42" s="1" t="s">
        <v>417</v>
      </c>
      <c r="M42" s="1" t="s">
        <v>145</v>
      </c>
      <c r="N42" s="1">
        <v>1</v>
      </c>
      <c r="O42" s="1">
        <v>0</v>
      </c>
      <c r="P42" s="1" t="s">
        <v>418</v>
      </c>
      <c r="Q42" s="1" t="s">
        <v>184</v>
      </c>
      <c r="R42" s="1" t="s">
        <v>419</v>
      </c>
      <c r="S42" s="1" t="s">
        <v>103</v>
      </c>
      <c r="T42" s="1">
        <v>1</v>
      </c>
      <c r="U42" s="1">
        <v>1</v>
      </c>
      <c r="V42" s="1">
        <v>1</v>
      </c>
      <c r="W42" s="1">
        <v>0</v>
      </c>
      <c r="X42" s="1">
        <v>0</v>
      </c>
      <c r="Y42" s="1">
        <v>8</v>
      </c>
      <c r="Z42" s="1">
        <v>8</v>
      </c>
      <c r="AA42" s="1" t="s">
        <v>104</v>
      </c>
      <c r="AB42" s="1" t="s">
        <v>104</v>
      </c>
      <c r="AC42" s="1" t="s">
        <v>104</v>
      </c>
      <c r="AD42" s="1" t="s">
        <v>104</v>
      </c>
      <c r="AE42" s="1" t="s">
        <v>104</v>
      </c>
      <c r="AF42" s="1" t="s">
        <v>104</v>
      </c>
      <c r="AG42" s="1">
        <v>6</v>
      </c>
      <c r="AH42" s="1" t="s">
        <v>104</v>
      </c>
      <c r="AI42" s="1" t="s">
        <v>104</v>
      </c>
      <c r="AJ42" s="1" t="s">
        <v>104</v>
      </c>
      <c r="AK42" s="1" t="s">
        <v>104</v>
      </c>
      <c r="AL42" s="1" t="s">
        <v>104</v>
      </c>
      <c r="AM42" s="1" t="s">
        <v>104</v>
      </c>
      <c r="AO42" s="1">
        <v>8</v>
      </c>
      <c r="AP42" s="1" t="s">
        <v>420</v>
      </c>
      <c r="AQ42" s="1" t="s">
        <v>421</v>
      </c>
      <c r="AR42" s="1">
        <v>0</v>
      </c>
      <c r="AS42" s="1">
        <v>0</v>
      </c>
      <c r="AT42" s="1">
        <v>0</v>
      </c>
      <c r="AU42" s="1">
        <v>0</v>
      </c>
      <c r="AV42" s="1">
        <v>0</v>
      </c>
      <c r="AW42" s="1">
        <v>0</v>
      </c>
      <c r="AX42" s="1">
        <v>0</v>
      </c>
      <c r="AY42" s="1">
        <v>0</v>
      </c>
      <c r="AZ42" s="1">
        <v>0</v>
      </c>
      <c r="BA42" s="1">
        <v>0</v>
      </c>
      <c r="BB42" s="1">
        <v>0</v>
      </c>
      <c r="BC42" s="1">
        <v>0</v>
      </c>
      <c r="BD42" s="1">
        <v>0</v>
      </c>
      <c r="BE42" s="1">
        <v>0</v>
      </c>
      <c r="BF42" s="1">
        <v>0</v>
      </c>
      <c r="BG42" s="1">
        <v>0</v>
      </c>
      <c r="BH42" s="1">
        <v>0</v>
      </c>
      <c r="BI42" s="1">
        <v>0</v>
      </c>
      <c r="BJ42" s="1">
        <v>0</v>
      </c>
      <c r="BK42" s="1">
        <v>1</v>
      </c>
      <c r="BL42" s="1">
        <v>0</v>
      </c>
      <c r="BM42" s="1">
        <v>0</v>
      </c>
      <c r="BN42" s="1">
        <v>0</v>
      </c>
      <c r="BO42" s="1">
        <v>0</v>
      </c>
      <c r="BP42" s="1">
        <v>0</v>
      </c>
      <c r="BQ42" s="2" t="str">
        <f>HYPERLINK("http://www.d20pfsrd.com/magic/all-spells/b/binding","Binding")</f>
        <v>Binding</v>
      </c>
      <c r="BR42" s="1">
        <v>41</v>
      </c>
      <c r="BS42" s="1">
        <v>500</v>
      </c>
      <c r="BX42" s="1">
        <v>0</v>
      </c>
      <c r="BY42" s="1" t="s">
        <v>104</v>
      </c>
      <c r="BZ42" s="1" t="s">
        <v>104</v>
      </c>
      <c r="CA42" s="1">
        <v>8</v>
      </c>
      <c r="CB42" s="1" t="s">
        <v>104</v>
      </c>
      <c r="CC42" s="1" t="s">
        <v>104</v>
      </c>
      <c r="CD42" s="1" t="s">
        <v>104</v>
      </c>
      <c r="CE42" s="1" t="s">
        <v>104</v>
      </c>
      <c r="CF42" s="1" t="s">
        <v>104</v>
      </c>
      <c r="CG42" s="1" t="s">
        <v>104</v>
      </c>
      <c r="CH42" s="1" t="s">
        <v>104</v>
      </c>
      <c r="CJ42" s="1">
        <v>0</v>
      </c>
      <c r="CK42" s="1">
        <v>0</v>
      </c>
      <c r="CL42" s="1">
        <v>0</v>
      </c>
      <c r="CM42" s="1">
        <v>6</v>
      </c>
    </row>
    <row r="43" spans="1:91" ht="14.25" customHeight="1" x14ac:dyDescent="0.3">
      <c r="A43" s="1" t="s">
        <v>422</v>
      </c>
      <c r="B43" s="1" t="s">
        <v>92</v>
      </c>
      <c r="C43" s="1" t="s">
        <v>93</v>
      </c>
      <c r="E43" s="1" t="s">
        <v>423</v>
      </c>
      <c r="F43" s="1" t="s">
        <v>95</v>
      </c>
      <c r="G43" s="1" t="s">
        <v>424</v>
      </c>
      <c r="H43" s="1">
        <v>0</v>
      </c>
      <c r="I43" s="1" t="s">
        <v>109</v>
      </c>
      <c r="J43" s="1" t="s">
        <v>425</v>
      </c>
      <c r="M43" s="1" t="s">
        <v>426</v>
      </c>
      <c r="N43" s="1">
        <v>1</v>
      </c>
      <c r="O43" s="1">
        <v>0</v>
      </c>
      <c r="P43" s="1" t="s">
        <v>100</v>
      </c>
      <c r="Q43" s="1" t="s">
        <v>101</v>
      </c>
      <c r="R43" s="1" t="s">
        <v>427</v>
      </c>
      <c r="S43" s="1" t="s">
        <v>103</v>
      </c>
      <c r="T43" s="1">
        <v>1</v>
      </c>
      <c r="U43" s="1">
        <v>1</v>
      </c>
      <c r="V43" s="1">
        <v>1</v>
      </c>
      <c r="W43" s="1">
        <v>0</v>
      </c>
      <c r="X43" s="1">
        <v>0</v>
      </c>
      <c r="Y43" s="1">
        <v>4</v>
      </c>
      <c r="Z43" s="1">
        <v>4</v>
      </c>
      <c r="AA43" s="1" t="s">
        <v>104</v>
      </c>
      <c r="AB43" s="1" t="s">
        <v>104</v>
      </c>
      <c r="AC43" s="1" t="s">
        <v>104</v>
      </c>
      <c r="AD43" s="1" t="s">
        <v>104</v>
      </c>
      <c r="AE43" s="1" t="s">
        <v>104</v>
      </c>
      <c r="AF43" s="1" t="s">
        <v>104</v>
      </c>
      <c r="AG43" s="1">
        <v>3</v>
      </c>
      <c r="AH43" s="1">
        <v>4</v>
      </c>
      <c r="AI43" s="1" t="s">
        <v>104</v>
      </c>
      <c r="AJ43" s="1" t="s">
        <v>104</v>
      </c>
      <c r="AK43" s="1" t="s">
        <v>104</v>
      </c>
      <c r="AL43" s="1">
        <v>4</v>
      </c>
      <c r="AM43" s="1" t="s">
        <v>104</v>
      </c>
      <c r="AO43" s="1">
        <v>4</v>
      </c>
      <c r="AQ43" s="1" t="s">
        <v>428</v>
      </c>
      <c r="AR43" s="1">
        <v>0</v>
      </c>
      <c r="AS43" s="1">
        <v>0</v>
      </c>
      <c r="AT43" s="1">
        <v>0</v>
      </c>
      <c r="AU43" s="1">
        <v>0</v>
      </c>
      <c r="AV43" s="1">
        <v>0</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2" t="str">
        <f>HYPERLINK("http://www.d20pfsrd.com/magic/all-spells/b/black-tentacles","Black Tentacles")</f>
        <v>Black Tentacles</v>
      </c>
      <c r="BR43" s="1">
        <v>42</v>
      </c>
      <c r="BS43" s="1" t="s">
        <v>104</v>
      </c>
      <c r="BT43" s="1" t="s">
        <v>429</v>
      </c>
      <c r="BU43" s="1" t="s">
        <v>430</v>
      </c>
      <c r="BV43" s="1" t="s">
        <v>431</v>
      </c>
      <c r="BW43" s="1" t="s">
        <v>432</v>
      </c>
      <c r="BX43" s="1">
        <v>1</v>
      </c>
      <c r="BY43" s="1">
        <v>4</v>
      </c>
      <c r="BZ43" s="1" t="s">
        <v>104</v>
      </c>
      <c r="CA43" s="1">
        <v>4</v>
      </c>
      <c r="CB43" s="1" t="s">
        <v>104</v>
      </c>
      <c r="CC43" s="1" t="s">
        <v>104</v>
      </c>
      <c r="CD43" s="1" t="s">
        <v>104</v>
      </c>
      <c r="CE43" s="1">
        <v>4</v>
      </c>
      <c r="CF43" s="1" t="s">
        <v>104</v>
      </c>
      <c r="CG43" s="1" t="s">
        <v>104</v>
      </c>
      <c r="CH43" s="1" t="s">
        <v>104</v>
      </c>
      <c r="CJ43" s="1">
        <v>0</v>
      </c>
      <c r="CK43" s="1">
        <v>0</v>
      </c>
      <c r="CL43" s="1">
        <v>0</v>
      </c>
      <c r="CM43" s="1">
        <v>4</v>
      </c>
    </row>
    <row r="44" spans="1:91" ht="14.25" customHeight="1" x14ac:dyDescent="0.3">
      <c r="A44" s="1" t="s">
        <v>433</v>
      </c>
      <c r="B44" s="1" t="s">
        <v>434</v>
      </c>
      <c r="D44" s="1" t="s">
        <v>57</v>
      </c>
      <c r="E44" s="1" t="s">
        <v>435</v>
      </c>
      <c r="F44" s="1" t="s">
        <v>95</v>
      </c>
      <c r="G44" s="1" t="s">
        <v>116</v>
      </c>
      <c r="H44" s="1">
        <v>0</v>
      </c>
      <c r="I44" s="1" t="s">
        <v>109</v>
      </c>
      <c r="K44" s="1" t="s">
        <v>436</v>
      </c>
      <c r="M44" s="1" t="s">
        <v>437</v>
      </c>
      <c r="N44" s="1">
        <v>1</v>
      </c>
      <c r="O44" s="1">
        <v>0</v>
      </c>
      <c r="P44" s="1" t="s">
        <v>438</v>
      </c>
      <c r="Q44" s="1" t="s">
        <v>184</v>
      </c>
      <c r="R44" s="1" t="s">
        <v>439</v>
      </c>
      <c r="S44" s="1" t="s">
        <v>103</v>
      </c>
      <c r="T44" s="1">
        <v>1</v>
      </c>
      <c r="U44" s="1">
        <v>1</v>
      </c>
      <c r="V44" s="1">
        <v>0</v>
      </c>
      <c r="W44" s="1">
        <v>0</v>
      </c>
      <c r="X44" s="1">
        <v>0</v>
      </c>
      <c r="Y44" s="1" t="s">
        <v>104</v>
      </c>
      <c r="Z44" s="1" t="s">
        <v>104</v>
      </c>
      <c r="AA44" s="1">
        <v>6</v>
      </c>
      <c r="AB44" s="1" t="s">
        <v>104</v>
      </c>
      <c r="AC44" s="1" t="s">
        <v>104</v>
      </c>
      <c r="AD44" s="1" t="s">
        <v>104</v>
      </c>
      <c r="AE44" s="1" t="s">
        <v>104</v>
      </c>
      <c r="AF44" s="1" t="s">
        <v>104</v>
      </c>
      <c r="AG44" s="1" t="s">
        <v>104</v>
      </c>
      <c r="AH44" s="1" t="s">
        <v>104</v>
      </c>
      <c r="AI44" s="1">
        <v>6</v>
      </c>
      <c r="AJ44" s="1">
        <v>6</v>
      </c>
      <c r="AK44" s="1" t="s">
        <v>104</v>
      </c>
      <c r="AL44" s="1" t="s">
        <v>104</v>
      </c>
      <c r="AM44" s="1" t="s">
        <v>104</v>
      </c>
      <c r="AO44" s="1">
        <v>6</v>
      </c>
      <c r="AP44" s="1" t="s">
        <v>440</v>
      </c>
      <c r="AQ44" s="1" t="s">
        <v>441</v>
      </c>
      <c r="AR44" s="1">
        <v>0</v>
      </c>
      <c r="AS44" s="1">
        <v>0</v>
      </c>
      <c r="AT44" s="1">
        <v>0</v>
      </c>
      <c r="AU44" s="1">
        <v>0</v>
      </c>
      <c r="AV44" s="1">
        <v>0</v>
      </c>
      <c r="AW44" s="1">
        <v>0</v>
      </c>
      <c r="AX44" s="1">
        <v>0</v>
      </c>
      <c r="AY44" s="1">
        <v>0</v>
      </c>
      <c r="AZ44" s="1">
        <v>0</v>
      </c>
      <c r="BA44" s="1">
        <v>0</v>
      </c>
      <c r="BB44" s="1">
        <v>0</v>
      </c>
      <c r="BC44" s="1">
        <v>0</v>
      </c>
      <c r="BD44" s="1">
        <v>0</v>
      </c>
      <c r="BE44" s="1">
        <v>0</v>
      </c>
      <c r="BF44" s="1">
        <v>1</v>
      </c>
      <c r="BG44" s="1">
        <v>0</v>
      </c>
      <c r="BH44" s="1">
        <v>0</v>
      </c>
      <c r="BI44" s="1">
        <v>0</v>
      </c>
      <c r="BJ44" s="1">
        <v>0</v>
      </c>
      <c r="BK44" s="1">
        <v>0</v>
      </c>
      <c r="BL44" s="1">
        <v>0</v>
      </c>
      <c r="BM44" s="1">
        <v>0</v>
      </c>
      <c r="BN44" s="1">
        <v>0</v>
      </c>
      <c r="BO44" s="1">
        <v>0</v>
      </c>
      <c r="BP44" s="1">
        <v>0</v>
      </c>
      <c r="BQ44" s="2" t="str">
        <f>HYPERLINK("http://www.d20pfsrd.com/magic/all-spells/b/blade-barrier","Blade Barrier")</f>
        <v>Blade Barrier</v>
      </c>
      <c r="BR44" s="1">
        <v>43</v>
      </c>
      <c r="BS44" s="1" t="s">
        <v>104</v>
      </c>
      <c r="BU44" s="1" t="s">
        <v>442</v>
      </c>
      <c r="BV44" s="1" t="s">
        <v>443</v>
      </c>
      <c r="BW44" s="1" t="s">
        <v>444</v>
      </c>
      <c r="BX44" s="1">
        <v>1</v>
      </c>
      <c r="BY44" s="1" t="s">
        <v>104</v>
      </c>
      <c r="BZ44" s="1" t="s">
        <v>104</v>
      </c>
      <c r="CA44" s="1">
        <v>6</v>
      </c>
      <c r="CB44" s="1" t="s">
        <v>104</v>
      </c>
      <c r="CC44" s="1" t="s">
        <v>104</v>
      </c>
      <c r="CD44" s="1">
        <v>6</v>
      </c>
      <c r="CE44" s="1" t="s">
        <v>104</v>
      </c>
      <c r="CF44" s="1" t="s">
        <v>104</v>
      </c>
      <c r="CG44" s="1" t="s">
        <v>104</v>
      </c>
      <c r="CH44" s="1" t="s">
        <v>104</v>
      </c>
      <c r="CJ44" s="1">
        <v>0</v>
      </c>
      <c r="CK44" s="1">
        <v>0</v>
      </c>
      <c r="CL44" s="1">
        <v>0</v>
      </c>
      <c r="CM44" s="1" t="s">
        <v>104</v>
      </c>
    </row>
    <row r="45" spans="1:91" ht="14.25" customHeight="1" x14ac:dyDescent="0.3">
      <c r="A45" s="1" t="s">
        <v>445</v>
      </c>
      <c r="B45" s="1" t="s">
        <v>434</v>
      </c>
      <c r="D45" s="1" t="s">
        <v>446</v>
      </c>
      <c r="E45" s="1" t="s">
        <v>447</v>
      </c>
      <c r="F45" s="1" t="s">
        <v>95</v>
      </c>
      <c r="G45" s="1" t="s">
        <v>237</v>
      </c>
      <c r="H45" s="1">
        <v>0</v>
      </c>
      <c r="I45" s="1" t="s">
        <v>448</v>
      </c>
      <c r="J45" s="1" t="s">
        <v>449</v>
      </c>
      <c r="M45" s="1" t="s">
        <v>119</v>
      </c>
      <c r="N45" s="1">
        <v>0</v>
      </c>
      <c r="O45" s="1">
        <v>0</v>
      </c>
      <c r="P45" s="1" t="s">
        <v>276</v>
      </c>
      <c r="Q45" s="1" t="s">
        <v>184</v>
      </c>
      <c r="R45" s="1" t="s">
        <v>450</v>
      </c>
      <c r="S45" s="1" t="s">
        <v>103</v>
      </c>
      <c r="T45" s="1">
        <v>1</v>
      </c>
      <c r="U45" s="1">
        <v>0</v>
      </c>
      <c r="V45" s="1">
        <v>0</v>
      </c>
      <c r="W45" s="1">
        <v>0</v>
      </c>
      <c r="X45" s="1">
        <v>0</v>
      </c>
      <c r="Y45" s="1" t="s">
        <v>104</v>
      </c>
      <c r="Z45" s="1" t="s">
        <v>104</v>
      </c>
      <c r="AA45" s="1">
        <v>7</v>
      </c>
      <c r="AB45" s="1" t="s">
        <v>104</v>
      </c>
      <c r="AC45" s="1" t="s">
        <v>104</v>
      </c>
      <c r="AD45" s="1" t="s">
        <v>104</v>
      </c>
      <c r="AE45" s="1" t="s">
        <v>104</v>
      </c>
      <c r="AF45" s="1" t="s">
        <v>104</v>
      </c>
      <c r="AG45" s="1" t="s">
        <v>104</v>
      </c>
      <c r="AH45" s="1" t="s">
        <v>104</v>
      </c>
      <c r="AI45" s="1">
        <v>6</v>
      </c>
      <c r="AJ45" s="1">
        <v>7</v>
      </c>
      <c r="AK45" s="1" t="s">
        <v>104</v>
      </c>
      <c r="AL45" s="1" t="s">
        <v>104</v>
      </c>
      <c r="AM45" s="1" t="s">
        <v>104</v>
      </c>
      <c r="AO45" s="1">
        <v>7</v>
      </c>
      <c r="AP45" s="1" t="s">
        <v>451</v>
      </c>
      <c r="AQ45" s="1" t="s">
        <v>452</v>
      </c>
      <c r="AR45" s="1">
        <v>0</v>
      </c>
      <c r="AS45" s="1">
        <v>0</v>
      </c>
      <c r="AT45" s="1">
        <v>0</v>
      </c>
      <c r="AU45" s="1">
        <v>0</v>
      </c>
      <c r="AV45" s="1">
        <v>0</v>
      </c>
      <c r="AW45" s="1">
        <v>0</v>
      </c>
      <c r="AX45" s="1">
        <v>0</v>
      </c>
      <c r="AY45" s="1">
        <v>0</v>
      </c>
      <c r="AZ45" s="1">
        <v>0</v>
      </c>
      <c r="BA45" s="1">
        <v>0</v>
      </c>
      <c r="BB45" s="1">
        <v>0</v>
      </c>
      <c r="BC45" s="1">
        <v>1</v>
      </c>
      <c r="BD45" s="1">
        <v>0</v>
      </c>
      <c r="BE45" s="1">
        <v>0</v>
      </c>
      <c r="BF45" s="1">
        <v>0</v>
      </c>
      <c r="BG45" s="1">
        <v>0</v>
      </c>
      <c r="BH45" s="1">
        <v>0</v>
      </c>
      <c r="BI45" s="1">
        <v>0</v>
      </c>
      <c r="BJ45" s="1">
        <v>0</v>
      </c>
      <c r="BK45" s="1">
        <v>0</v>
      </c>
      <c r="BL45" s="1">
        <v>0</v>
      </c>
      <c r="BM45" s="1">
        <v>0</v>
      </c>
      <c r="BN45" s="1">
        <v>0</v>
      </c>
      <c r="BO45" s="1">
        <v>1</v>
      </c>
      <c r="BP45" s="1">
        <v>0</v>
      </c>
      <c r="BQ45" s="2" t="str">
        <f>HYPERLINK("http://www.d20pfsrd.com/magic/all-spells/b/blasphemy","Blasphemy")</f>
        <v>Blasphemy</v>
      </c>
      <c r="BR45" s="1">
        <v>44</v>
      </c>
      <c r="BS45" s="1" t="s">
        <v>104</v>
      </c>
      <c r="BV45" s="1" t="s">
        <v>453</v>
      </c>
      <c r="BX45" s="1">
        <v>1</v>
      </c>
      <c r="BY45" s="1" t="s">
        <v>104</v>
      </c>
      <c r="BZ45" s="1" t="s">
        <v>104</v>
      </c>
      <c r="CA45" s="1" t="s">
        <v>104</v>
      </c>
      <c r="CB45" s="1" t="s">
        <v>104</v>
      </c>
      <c r="CC45" s="1" t="s">
        <v>104</v>
      </c>
      <c r="CD45" s="1" t="s">
        <v>104</v>
      </c>
      <c r="CE45" s="1" t="s">
        <v>104</v>
      </c>
      <c r="CF45" s="1" t="s">
        <v>104</v>
      </c>
      <c r="CG45" s="1" t="s">
        <v>104</v>
      </c>
      <c r="CH45" s="1" t="s">
        <v>104</v>
      </c>
      <c r="CJ45" s="1">
        <v>0</v>
      </c>
      <c r="CK45" s="1">
        <v>0</v>
      </c>
      <c r="CL45" s="1">
        <v>0</v>
      </c>
      <c r="CM45" s="1" t="s">
        <v>104</v>
      </c>
    </row>
    <row r="46" spans="1:91" ht="14.25" customHeight="1" x14ac:dyDescent="0.3">
      <c r="A46" s="1" t="s">
        <v>454</v>
      </c>
      <c r="B46" s="1" t="s">
        <v>216</v>
      </c>
      <c r="E46" s="1" t="s">
        <v>455</v>
      </c>
      <c r="F46" s="1" t="s">
        <v>95</v>
      </c>
      <c r="G46" s="1" t="s">
        <v>116</v>
      </c>
      <c r="H46" s="1">
        <v>0</v>
      </c>
      <c r="I46" s="1" t="s">
        <v>117</v>
      </c>
      <c r="L46" s="1" t="s">
        <v>417</v>
      </c>
      <c r="M46" s="1" t="s">
        <v>119</v>
      </c>
      <c r="N46" s="1">
        <v>0</v>
      </c>
      <c r="O46" s="1">
        <v>0</v>
      </c>
      <c r="P46" s="1" t="s">
        <v>211</v>
      </c>
      <c r="Q46" s="1" t="s">
        <v>184</v>
      </c>
      <c r="R46" s="1" t="s">
        <v>456</v>
      </c>
      <c r="S46" s="1" t="s">
        <v>103</v>
      </c>
      <c r="T46" s="1">
        <v>1</v>
      </c>
      <c r="U46" s="1">
        <v>1</v>
      </c>
      <c r="V46" s="1">
        <v>0</v>
      </c>
      <c r="W46" s="1">
        <v>0</v>
      </c>
      <c r="X46" s="1">
        <v>0</v>
      </c>
      <c r="Y46" s="1">
        <v>0</v>
      </c>
      <c r="Z46" s="1">
        <v>0</v>
      </c>
      <c r="AA46" s="1">
        <v>0</v>
      </c>
      <c r="AB46" s="1" t="s">
        <v>104</v>
      </c>
      <c r="AC46" s="1" t="s">
        <v>104</v>
      </c>
      <c r="AD46" s="1" t="s">
        <v>104</v>
      </c>
      <c r="AE46" s="1" t="s">
        <v>104</v>
      </c>
      <c r="AF46" s="1" t="s">
        <v>104</v>
      </c>
      <c r="AG46" s="1" t="s">
        <v>104</v>
      </c>
      <c r="AH46" s="1">
        <v>0</v>
      </c>
      <c r="AI46" s="1">
        <v>0</v>
      </c>
      <c r="AJ46" s="1">
        <v>0</v>
      </c>
      <c r="AK46" s="1" t="s">
        <v>104</v>
      </c>
      <c r="AL46" s="1" t="s">
        <v>104</v>
      </c>
      <c r="AM46" s="1" t="s">
        <v>104</v>
      </c>
      <c r="AO46" s="1">
        <v>0</v>
      </c>
      <c r="AQ46" s="1" t="s">
        <v>457</v>
      </c>
      <c r="AR46" s="1">
        <v>0</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2" t="str">
        <f>HYPERLINK("http://www.d20pfsrd.com/magic/all-spells/b/bleed","Bleed")</f>
        <v>Bleed</v>
      </c>
      <c r="BR46" s="1">
        <v>45</v>
      </c>
      <c r="BS46" s="1" t="s">
        <v>104</v>
      </c>
      <c r="BX46" s="1">
        <v>0</v>
      </c>
      <c r="BY46" s="1" t="s">
        <v>104</v>
      </c>
      <c r="BZ46" s="1">
        <v>0</v>
      </c>
      <c r="CA46" s="1">
        <v>0</v>
      </c>
      <c r="CB46" s="1">
        <v>0</v>
      </c>
      <c r="CC46" s="1">
        <v>0</v>
      </c>
      <c r="CD46" s="1">
        <v>0</v>
      </c>
      <c r="CE46" s="1">
        <v>0</v>
      </c>
      <c r="CF46" s="1" t="s">
        <v>104</v>
      </c>
      <c r="CG46" s="1" t="s">
        <v>104</v>
      </c>
      <c r="CH46" s="1" t="s">
        <v>104</v>
      </c>
      <c r="CJ46" s="1">
        <v>0</v>
      </c>
      <c r="CK46" s="1">
        <v>0</v>
      </c>
      <c r="CL46" s="1">
        <v>0</v>
      </c>
      <c r="CM46" s="1" t="s">
        <v>104</v>
      </c>
    </row>
    <row r="47" spans="1:91" ht="14.25" customHeight="1" x14ac:dyDescent="0.3">
      <c r="A47" s="1" t="s">
        <v>458</v>
      </c>
      <c r="B47" s="1" t="s">
        <v>123</v>
      </c>
      <c r="C47" s="1" t="s">
        <v>124</v>
      </c>
      <c r="D47" s="1" t="s">
        <v>125</v>
      </c>
      <c r="E47" s="1" t="s">
        <v>459</v>
      </c>
      <c r="F47" s="1" t="s">
        <v>95</v>
      </c>
      <c r="G47" s="1" t="s">
        <v>127</v>
      </c>
      <c r="H47" s="1">
        <v>0</v>
      </c>
      <c r="I47" s="1" t="s">
        <v>349</v>
      </c>
      <c r="J47" s="1" t="s">
        <v>460</v>
      </c>
      <c r="M47" s="1" t="s">
        <v>130</v>
      </c>
      <c r="N47" s="1">
        <v>0</v>
      </c>
      <c r="O47" s="1">
        <v>0</v>
      </c>
      <c r="P47" s="1" t="s">
        <v>100</v>
      </c>
      <c r="Q47" s="1" t="s">
        <v>131</v>
      </c>
      <c r="R47" s="1" t="s">
        <v>461</v>
      </c>
      <c r="S47" s="1" t="s">
        <v>103</v>
      </c>
      <c r="T47" s="1">
        <v>1</v>
      </c>
      <c r="U47" s="1">
        <v>1</v>
      </c>
      <c r="V47" s="1">
        <v>0</v>
      </c>
      <c r="W47" s="1">
        <v>0</v>
      </c>
      <c r="X47" s="1">
        <v>1</v>
      </c>
      <c r="Y47" s="1" t="s">
        <v>104</v>
      </c>
      <c r="Z47" s="1" t="s">
        <v>104</v>
      </c>
      <c r="AA47" s="1">
        <v>1</v>
      </c>
      <c r="AB47" s="1" t="s">
        <v>104</v>
      </c>
      <c r="AC47" s="1" t="s">
        <v>104</v>
      </c>
      <c r="AD47" s="1" t="s">
        <v>104</v>
      </c>
      <c r="AE47" s="1">
        <v>1</v>
      </c>
      <c r="AF47" s="1" t="s">
        <v>104</v>
      </c>
      <c r="AG47" s="1" t="s">
        <v>104</v>
      </c>
      <c r="AH47" s="1" t="s">
        <v>104</v>
      </c>
      <c r="AI47" s="1">
        <v>1</v>
      </c>
      <c r="AJ47" s="1">
        <v>1</v>
      </c>
      <c r="AK47" s="1" t="s">
        <v>104</v>
      </c>
      <c r="AL47" s="1" t="s">
        <v>104</v>
      </c>
      <c r="AM47" s="1">
        <v>1</v>
      </c>
      <c r="AO47" s="1">
        <v>1</v>
      </c>
      <c r="AP47" s="1" t="s">
        <v>462</v>
      </c>
      <c r="AQ47" s="1" t="s">
        <v>463</v>
      </c>
      <c r="AR47" s="1">
        <v>0</v>
      </c>
      <c r="AS47" s="1">
        <v>0</v>
      </c>
      <c r="AT47" s="1">
        <v>0</v>
      </c>
      <c r="AU47" s="1">
        <v>0</v>
      </c>
      <c r="AV47" s="1">
        <v>0</v>
      </c>
      <c r="AW47" s="1">
        <v>0</v>
      </c>
      <c r="AX47" s="1">
        <v>0</v>
      </c>
      <c r="AY47" s="1">
        <v>0</v>
      </c>
      <c r="AZ47" s="1">
        <v>0</v>
      </c>
      <c r="BA47" s="1">
        <v>0</v>
      </c>
      <c r="BB47" s="1">
        <v>0</v>
      </c>
      <c r="BC47" s="1">
        <v>0</v>
      </c>
      <c r="BD47" s="1">
        <v>0</v>
      </c>
      <c r="BE47" s="1">
        <v>0</v>
      </c>
      <c r="BF47" s="1">
        <v>0</v>
      </c>
      <c r="BG47" s="1">
        <v>0</v>
      </c>
      <c r="BH47" s="1">
        <v>0</v>
      </c>
      <c r="BI47" s="1">
        <v>0</v>
      </c>
      <c r="BJ47" s="1">
        <v>0</v>
      </c>
      <c r="BK47" s="1">
        <v>1</v>
      </c>
      <c r="BL47" s="1">
        <v>0</v>
      </c>
      <c r="BM47" s="1">
        <v>0</v>
      </c>
      <c r="BN47" s="1">
        <v>0</v>
      </c>
      <c r="BO47" s="1">
        <v>0</v>
      </c>
      <c r="BP47" s="1">
        <v>0</v>
      </c>
      <c r="BQ47" s="2" t="str">
        <f>HYPERLINK("http://www.d20pfsrd.com/magic/all-spells/b/bless","Bless")</f>
        <v>Bless</v>
      </c>
      <c r="BR47" s="1">
        <v>46</v>
      </c>
      <c r="BS47" s="1" t="s">
        <v>104</v>
      </c>
      <c r="BT47" s="1" t="s">
        <v>464</v>
      </c>
      <c r="BU47" s="1" t="s">
        <v>465</v>
      </c>
      <c r="BV47" s="1" t="s">
        <v>466</v>
      </c>
      <c r="BX47" s="1">
        <v>1</v>
      </c>
      <c r="BY47" s="1" t="s">
        <v>104</v>
      </c>
      <c r="BZ47" s="1">
        <v>1</v>
      </c>
      <c r="CA47" s="1" t="s">
        <v>104</v>
      </c>
      <c r="CB47" s="1" t="s">
        <v>104</v>
      </c>
      <c r="CC47" s="1" t="s">
        <v>104</v>
      </c>
      <c r="CD47" s="1" t="s">
        <v>104</v>
      </c>
      <c r="CE47" s="1" t="s">
        <v>104</v>
      </c>
      <c r="CF47" s="1" t="s">
        <v>104</v>
      </c>
      <c r="CG47" s="1" t="s">
        <v>104</v>
      </c>
      <c r="CH47" s="1" t="s">
        <v>104</v>
      </c>
      <c r="CJ47" s="1">
        <v>0</v>
      </c>
      <c r="CK47" s="1">
        <v>0</v>
      </c>
      <c r="CL47" s="1">
        <v>0</v>
      </c>
      <c r="CM47" s="1" t="s">
        <v>104</v>
      </c>
    </row>
    <row r="48" spans="1:91" ht="14.25" customHeight="1" x14ac:dyDescent="0.3">
      <c r="A48" s="1" t="s">
        <v>467</v>
      </c>
      <c r="B48" s="1" t="s">
        <v>137</v>
      </c>
      <c r="D48" s="1" t="s">
        <v>58</v>
      </c>
      <c r="E48" s="1" t="s">
        <v>468</v>
      </c>
      <c r="F48" s="1" t="s">
        <v>191</v>
      </c>
      <c r="G48" s="1" t="s">
        <v>469</v>
      </c>
      <c r="H48" s="1">
        <v>1</v>
      </c>
      <c r="I48" s="1" t="s">
        <v>128</v>
      </c>
      <c r="L48" s="1" t="s">
        <v>470</v>
      </c>
      <c r="M48" s="1" t="s">
        <v>119</v>
      </c>
      <c r="N48" s="1">
        <v>0</v>
      </c>
      <c r="O48" s="1">
        <v>0</v>
      </c>
      <c r="P48" s="1" t="s">
        <v>471</v>
      </c>
      <c r="Q48" s="1" t="s">
        <v>472</v>
      </c>
      <c r="R48" s="1" t="s">
        <v>473</v>
      </c>
      <c r="S48" s="1" t="s">
        <v>103</v>
      </c>
      <c r="T48" s="1">
        <v>1</v>
      </c>
      <c r="U48" s="1">
        <v>1</v>
      </c>
      <c r="V48" s="1">
        <v>1</v>
      </c>
      <c r="W48" s="1">
        <v>0</v>
      </c>
      <c r="X48" s="1">
        <v>0</v>
      </c>
      <c r="Y48" s="1" t="s">
        <v>104</v>
      </c>
      <c r="Z48" s="1" t="s">
        <v>104</v>
      </c>
      <c r="AA48" s="1">
        <v>1</v>
      </c>
      <c r="AB48" s="1" t="s">
        <v>104</v>
      </c>
      <c r="AC48" s="1" t="s">
        <v>104</v>
      </c>
      <c r="AD48" s="1" t="s">
        <v>104</v>
      </c>
      <c r="AE48" s="1">
        <v>1</v>
      </c>
      <c r="AF48" s="1" t="s">
        <v>104</v>
      </c>
      <c r="AG48" s="1" t="s">
        <v>104</v>
      </c>
      <c r="AH48" s="1" t="s">
        <v>104</v>
      </c>
      <c r="AI48" s="1">
        <v>1</v>
      </c>
      <c r="AJ48" s="1">
        <v>1</v>
      </c>
      <c r="AK48" s="1" t="s">
        <v>104</v>
      </c>
      <c r="AL48" s="1" t="s">
        <v>104</v>
      </c>
      <c r="AM48" s="1" t="s">
        <v>104</v>
      </c>
      <c r="AO48" s="1">
        <v>1</v>
      </c>
      <c r="AP48" s="1" t="s">
        <v>474</v>
      </c>
      <c r="AQ48" s="1" t="s">
        <v>475</v>
      </c>
      <c r="AR48" s="1">
        <v>0</v>
      </c>
      <c r="AS48" s="1">
        <v>0</v>
      </c>
      <c r="AT48" s="1">
        <v>0</v>
      </c>
      <c r="AU48" s="1">
        <v>0</v>
      </c>
      <c r="AV48" s="1">
        <v>0</v>
      </c>
      <c r="AW48" s="1">
        <v>0</v>
      </c>
      <c r="AX48" s="1">
        <v>0</v>
      </c>
      <c r="AY48" s="1">
        <v>0</v>
      </c>
      <c r="AZ48" s="1">
        <v>0</v>
      </c>
      <c r="BA48" s="1">
        <v>0</v>
      </c>
      <c r="BB48" s="1">
        <v>0</v>
      </c>
      <c r="BC48" s="1">
        <v>0</v>
      </c>
      <c r="BD48" s="1">
        <v>0</v>
      </c>
      <c r="BE48" s="1">
        <v>0</v>
      </c>
      <c r="BF48" s="1">
        <v>0</v>
      </c>
      <c r="BG48" s="1">
        <v>1</v>
      </c>
      <c r="BH48" s="1">
        <v>0</v>
      </c>
      <c r="BI48" s="1">
        <v>0</v>
      </c>
      <c r="BJ48" s="1">
        <v>0</v>
      </c>
      <c r="BK48" s="1">
        <v>0</v>
      </c>
      <c r="BL48" s="1">
        <v>0</v>
      </c>
      <c r="BM48" s="1">
        <v>0</v>
      </c>
      <c r="BN48" s="1">
        <v>0</v>
      </c>
      <c r="BO48" s="1">
        <v>0</v>
      </c>
      <c r="BP48" s="1">
        <v>0</v>
      </c>
      <c r="BQ48" s="2" t="str">
        <f>HYPERLINK("http://www.d20pfsrd.com/magic/all-spells/b/bless-water","Bless Water")</f>
        <v>Bless Water</v>
      </c>
      <c r="BR48" s="1">
        <v>47</v>
      </c>
      <c r="BS48" s="1">
        <v>25</v>
      </c>
      <c r="BU48" s="1" t="s">
        <v>476</v>
      </c>
      <c r="BX48" s="1">
        <v>0</v>
      </c>
      <c r="BY48" s="1" t="s">
        <v>104</v>
      </c>
      <c r="BZ48" s="1" t="s">
        <v>104</v>
      </c>
      <c r="CA48" s="1" t="s">
        <v>104</v>
      </c>
      <c r="CB48" s="1" t="s">
        <v>104</v>
      </c>
      <c r="CC48" s="1" t="s">
        <v>104</v>
      </c>
      <c r="CD48" s="1" t="s">
        <v>104</v>
      </c>
      <c r="CE48" s="1" t="s">
        <v>104</v>
      </c>
      <c r="CF48" s="1" t="s">
        <v>104</v>
      </c>
      <c r="CG48" s="1" t="s">
        <v>104</v>
      </c>
      <c r="CH48" s="1" t="s">
        <v>104</v>
      </c>
      <c r="CJ48" s="1">
        <v>0</v>
      </c>
      <c r="CK48" s="1">
        <v>0</v>
      </c>
      <c r="CL48" s="1">
        <v>0</v>
      </c>
      <c r="CM48" s="1" t="s">
        <v>104</v>
      </c>
    </row>
    <row r="49" spans="1:91" ht="14.25" customHeight="1" x14ac:dyDescent="0.3">
      <c r="A49" s="1" t="s">
        <v>477</v>
      </c>
      <c r="B49" s="1" t="s">
        <v>137</v>
      </c>
      <c r="E49" s="1" t="s">
        <v>478</v>
      </c>
      <c r="F49" s="1" t="s">
        <v>95</v>
      </c>
      <c r="G49" s="1" t="s">
        <v>116</v>
      </c>
      <c r="H49" s="1">
        <v>0</v>
      </c>
      <c r="I49" s="1" t="s">
        <v>128</v>
      </c>
      <c r="L49" s="1" t="s">
        <v>479</v>
      </c>
      <c r="M49" s="1" t="s">
        <v>130</v>
      </c>
      <c r="N49" s="1">
        <v>0</v>
      </c>
      <c r="O49" s="1">
        <v>0</v>
      </c>
      <c r="P49" s="1" t="s">
        <v>100</v>
      </c>
      <c r="Q49" s="1" t="s">
        <v>101</v>
      </c>
      <c r="R49" s="1" t="s">
        <v>480</v>
      </c>
      <c r="S49" s="1" t="s">
        <v>103</v>
      </c>
      <c r="T49" s="1">
        <v>1</v>
      </c>
      <c r="U49" s="1">
        <v>1</v>
      </c>
      <c r="V49" s="1">
        <v>0</v>
      </c>
      <c r="W49" s="1">
        <v>0</v>
      </c>
      <c r="X49" s="1">
        <v>0</v>
      </c>
      <c r="Y49" s="1" t="s">
        <v>104</v>
      </c>
      <c r="Z49" s="1" t="s">
        <v>104</v>
      </c>
      <c r="AA49" s="1" t="s">
        <v>104</v>
      </c>
      <c r="AB49" s="1" t="s">
        <v>104</v>
      </c>
      <c r="AC49" s="1" t="s">
        <v>104</v>
      </c>
      <c r="AD49" s="1" t="s">
        <v>104</v>
      </c>
      <c r="AE49" s="1">
        <v>1</v>
      </c>
      <c r="AF49" s="1" t="s">
        <v>104</v>
      </c>
      <c r="AG49" s="1" t="s">
        <v>104</v>
      </c>
      <c r="AH49" s="1" t="s">
        <v>104</v>
      </c>
      <c r="AI49" s="1" t="s">
        <v>104</v>
      </c>
      <c r="AJ49" s="1" t="s">
        <v>104</v>
      </c>
      <c r="AK49" s="1" t="s">
        <v>104</v>
      </c>
      <c r="AL49" s="1" t="s">
        <v>104</v>
      </c>
      <c r="AM49" s="1" t="s">
        <v>104</v>
      </c>
      <c r="AO49" s="1">
        <v>1</v>
      </c>
      <c r="AP49" s="1" t="s">
        <v>481</v>
      </c>
      <c r="AQ49" s="1" t="s">
        <v>482</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2" t="str">
        <f>HYPERLINK("http://www.d20pfsrd.com/magic/all-spells/b/bless-weapon","Bless Weapon")</f>
        <v>Bless Weapon</v>
      </c>
      <c r="BR49" s="1">
        <v>48</v>
      </c>
      <c r="BS49" s="1" t="s">
        <v>104</v>
      </c>
      <c r="BX49" s="1">
        <v>0</v>
      </c>
      <c r="BY49" s="1" t="s">
        <v>104</v>
      </c>
      <c r="BZ49" s="1" t="s">
        <v>104</v>
      </c>
      <c r="CA49" s="1" t="s">
        <v>104</v>
      </c>
      <c r="CB49" s="1" t="s">
        <v>104</v>
      </c>
      <c r="CC49" s="1" t="s">
        <v>104</v>
      </c>
      <c r="CD49" s="1" t="s">
        <v>104</v>
      </c>
      <c r="CE49" s="1" t="s">
        <v>104</v>
      </c>
      <c r="CF49" s="1" t="s">
        <v>104</v>
      </c>
      <c r="CG49" s="1" t="s">
        <v>104</v>
      </c>
      <c r="CH49" s="1" t="s">
        <v>104</v>
      </c>
      <c r="CJ49" s="1">
        <v>0</v>
      </c>
      <c r="CK49" s="1">
        <v>0</v>
      </c>
      <c r="CL49" s="1">
        <v>0</v>
      </c>
      <c r="CM49" s="1" t="s">
        <v>104</v>
      </c>
    </row>
    <row r="50" spans="1:91" ht="14.25" customHeight="1" x14ac:dyDescent="0.3">
      <c r="A50" s="1" t="s">
        <v>483</v>
      </c>
      <c r="B50" s="1" t="s">
        <v>216</v>
      </c>
      <c r="E50" s="1" t="s">
        <v>484</v>
      </c>
      <c r="F50" s="1" t="s">
        <v>95</v>
      </c>
      <c r="G50" s="1" t="s">
        <v>127</v>
      </c>
      <c r="H50" s="1">
        <v>0</v>
      </c>
      <c r="I50" s="1" t="s">
        <v>128</v>
      </c>
      <c r="L50" s="1" t="s">
        <v>485</v>
      </c>
      <c r="M50" s="1" t="s">
        <v>119</v>
      </c>
      <c r="N50" s="1">
        <v>0</v>
      </c>
      <c r="O50" s="1">
        <v>0</v>
      </c>
      <c r="P50" s="1" t="s">
        <v>486</v>
      </c>
      <c r="Q50" s="1" t="s">
        <v>184</v>
      </c>
      <c r="R50" s="1" t="s">
        <v>487</v>
      </c>
      <c r="S50" s="1" t="s">
        <v>103</v>
      </c>
      <c r="T50" s="1">
        <v>1</v>
      </c>
      <c r="U50" s="1">
        <v>1</v>
      </c>
      <c r="V50" s="1">
        <v>0</v>
      </c>
      <c r="W50" s="1">
        <v>0</v>
      </c>
      <c r="X50" s="1">
        <v>1</v>
      </c>
      <c r="Y50" s="1">
        <v>5</v>
      </c>
      <c r="Z50" s="1">
        <v>5</v>
      </c>
      <c r="AA50" s="1" t="s">
        <v>104</v>
      </c>
      <c r="AB50" s="1">
        <v>4</v>
      </c>
      <c r="AC50" s="1" t="s">
        <v>104</v>
      </c>
      <c r="AD50" s="1" t="s">
        <v>104</v>
      </c>
      <c r="AE50" s="1" t="s">
        <v>104</v>
      </c>
      <c r="AF50" s="1" t="s">
        <v>104</v>
      </c>
      <c r="AG50" s="1" t="s">
        <v>104</v>
      </c>
      <c r="AH50" s="1">
        <v>5</v>
      </c>
      <c r="AI50" s="1" t="s">
        <v>104</v>
      </c>
      <c r="AJ50" s="1" t="s">
        <v>104</v>
      </c>
      <c r="AK50" s="1" t="s">
        <v>104</v>
      </c>
      <c r="AL50" s="1" t="s">
        <v>104</v>
      </c>
      <c r="AM50" s="1" t="s">
        <v>104</v>
      </c>
      <c r="AO50" s="1">
        <v>5</v>
      </c>
      <c r="AP50" s="1" t="s">
        <v>488</v>
      </c>
      <c r="AQ50" s="1" t="s">
        <v>489</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t="s">
        <v>104</v>
      </c>
      <c r="BR50" s="1">
        <v>49</v>
      </c>
      <c r="BS50" s="1" t="s">
        <v>104</v>
      </c>
      <c r="BT50" s="1" t="s">
        <v>490</v>
      </c>
      <c r="BX50" s="1">
        <v>0</v>
      </c>
      <c r="BY50" s="1" t="s">
        <v>104</v>
      </c>
      <c r="BZ50" s="1">
        <v>5</v>
      </c>
      <c r="CA50" s="1" t="s">
        <v>104</v>
      </c>
      <c r="CB50" s="1" t="s">
        <v>104</v>
      </c>
      <c r="CC50" s="1" t="s">
        <v>104</v>
      </c>
      <c r="CD50" s="1" t="s">
        <v>104</v>
      </c>
      <c r="CE50" s="1" t="s">
        <v>104</v>
      </c>
      <c r="CF50" s="1" t="s">
        <v>104</v>
      </c>
      <c r="CG50" s="1" t="s">
        <v>104</v>
      </c>
      <c r="CH50" s="1">
        <v>4</v>
      </c>
      <c r="CJ50" s="1">
        <v>0</v>
      </c>
      <c r="CK50" s="1">
        <v>0</v>
      </c>
      <c r="CL50" s="1">
        <v>0</v>
      </c>
      <c r="CM50" s="1" t="s">
        <v>104</v>
      </c>
    </row>
    <row r="51" spans="1:91" ht="14.25" customHeight="1" x14ac:dyDescent="0.3">
      <c r="A51" s="1" t="s">
        <v>491</v>
      </c>
      <c r="B51" s="1" t="s">
        <v>216</v>
      </c>
      <c r="E51" s="1" t="s">
        <v>492</v>
      </c>
      <c r="F51" s="1" t="s">
        <v>95</v>
      </c>
      <c r="G51" s="1" t="s">
        <v>237</v>
      </c>
      <c r="H51" s="1">
        <v>0</v>
      </c>
      <c r="I51" s="1" t="s">
        <v>109</v>
      </c>
      <c r="L51" s="1" t="s">
        <v>417</v>
      </c>
      <c r="M51" s="1" t="s">
        <v>493</v>
      </c>
      <c r="N51" s="1">
        <v>1</v>
      </c>
      <c r="O51" s="1">
        <v>0</v>
      </c>
      <c r="P51" s="1" t="s">
        <v>183</v>
      </c>
      <c r="Q51" s="1" t="s">
        <v>184</v>
      </c>
      <c r="R51" s="1" t="s">
        <v>494</v>
      </c>
      <c r="S51" s="1" t="s">
        <v>103</v>
      </c>
      <c r="T51" s="1">
        <v>1</v>
      </c>
      <c r="U51" s="1">
        <v>0</v>
      </c>
      <c r="V51" s="1">
        <v>0</v>
      </c>
      <c r="W51" s="1">
        <v>0</v>
      </c>
      <c r="X51" s="1">
        <v>0</v>
      </c>
      <c r="Y51" s="1">
        <v>2</v>
      </c>
      <c r="Z51" s="1">
        <v>2</v>
      </c>
      <c r="AA51" s="1">
        <v>3</v>
      </c>
      <c r="AB51" s="1" t="s">
        <v>104</v>
      </c>
      <c r="AC51" s="1" t="s">
        <v>104</v>
      </c>
      <c r="AD51" s="1">
        <v>2</v>
      </c>
      <c r="AE51" s="1" t="s">
        <v>104</v>
      </c>
      <c r="AF51" s="1" t="s">
        <v>104</v>
      </c>
      <c r="AG51" s="1" t="s">
        <v>104</v>
      </c>
      <c r="AH51" s="1">
        <v>2</v>
      </c>
      <c r="AI51" s="1" t="s">
        <v>104</v>
      </c>
      <c r="AJ51" s="1">
        <v>3</v>
      </c>
      <c r="AK51" s="1">
        <v>2</v>
      </c>
      <c r="AL51" s="1" t="s">
        <v>104</v>
      </c>
      <c r="AM51" s="1" t="s">
        <v>104</v>
      </c>
      <c r="AO51" s="1">
        <v>2</v>
      </c>
      <c r="AP51" s="1" t="s">
        <v>495</v>
      </c>
      <c r="AQ51" s="1" t="s">
        <v>496</v>
      </c>
      <c r="AR51" s="1">
        <v>0</v>
      </c>
      <c r="AS51" s="1">
        <v>0</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2" t="str">
        <f>HYPERLINK("http://www.d20pfsrd.com/magic/all-spells/b/blindness-deafness","Blindness-Deafness")</f>
        <v>Blindness-Deafness</v>
      </c>
      <c r="BR51" s="1">
        <v>50</v>
      </c>
      <c r="BS51" s="1" t="s">
        <v>104</v>
      </c>
      <c r="BV51" s="1" t="s">
        <v>497</v>
      </c>
      <c r="BX51" s="1">
        <v>1</v>
      </c>
      <c r="BY51" s="1">
        <v>2</v>
      </c>
      <c r="BZ51" s="1">
        <v>3</v>
      </c>
      <c r="CA51" s="1">
        <v>2</v>
      </c>
      <c r="CB51" s="1" t="s">
        <v>104</v>
      </c>
      <c r="CC51" s="1">
        <v>2</v>
      </c>
      <c r="CD51" s="1" t="s">
        <v>104</v>
      </c>
      <c r="CE51" s="1">
        <v>3</v>
      </c>
      <c r="CF51" s="1" t="s">
        <v>104</v>
      </c>
      <c r="CG51" s="1" t="s">
        <v>104</v>
      </c>
      <c r="CH51" s="1" t="s">
        <v>104</v>
      </c>
      <c r="CJ51" s="1">
        <v>0</v>
      </c>
      <c r="CK51" s="1">
        <v>0</v>
      </c>
      <c r="CL51" s="1">
        <v>0</v>
      </c>
      <c r="CM51" s="1" t="s">
        <v>104</v>
      </c>
    </row>
    <row r="52" spans="1:91" ht="14.25" customHeight="1" x14ac:dyDescent="0.3">
      <c r="A52" s="1" t="s">
        <v>498</v>
      </c>
      <c r="B52" s="1" t="s">
        <v>137</v>
      </c>
      <c r="E52" s="1" t="s">
        <v>499</v>
      </c>
      <c r="F52" s="1" t="s">
        <v>95</v>
      </c>
      <c r="G52" s="1" t="s">
        <v>116</v>
      </c>
      <c r="H52" s="1">
        <v>0</v>
      </c>
      <c r="I52" s="1" t="s">
        <v>157</v>
      </c>
      <c r="L52" s="1" t="s">
        <v>158</v>
      </c>
      <c r="M52" s="1" t="s">
        <v>426</v>
      </c>
      <c r="N52" s="1">
        <v>1</v>
      </c>
      <c r="O52" s="1">
        <v>0</v>
      </c>
      <c r="R52" s="1" t="s">
        <v>500</v>
      </c>
      <c r="S52" s="1" t="s">
        <v>103</v>
      </c>
      <c r="T52" s="1">
        <v>1</v>
      </c>
      <c r="U52" s="1">
        <v>1</v>
      </c>
      <c r="V52" s="1">
        <v>0</v>
      </c>
      <c r="W52" s="1">
        <v>0</v>
      </c>
      <c r="X52" s="1">
        <v>0</v>
      </c>
      <c r="Y52" s="1">
        <v>3</v>
      </c>
      <c r="Z52" s="1">
        <v>3</v>
      </c>
      <c r="AA52" s="1" t="s">
        <v>104</v>
      </c>
      <c r="AB52" s="1" t="s">
        <v>104</v>
      </c>
      <c r="AC52" s="1" t="s">
        <v>104</v>
      </c>
      <c r="AD52" s="1">
        <v>3</v>
      </c>
      <c r="AE52" s="1" t="s">
        <v>104</v>
      </c>
      <c r="AF52" s="1" t="s">
        <v>104</v>
      </c>
      <c r="AG52" s="1" t="s">
        <v>104</v>
      </c>
      <c r="AH52" s="1" t="s">
        <v>104</v>
      </c>
      <c r="AI52" s="1" t="s">
        <v>104</v>
      </c>
      <c r="AJ52" s="1" t="s">
        <v>104</v>
      </c>
      <c r="AK52" s="1" t="s">
        <v>104</v>
      </c>
      <c r="AL52" s="1">
        <v>3</v>
      </c>
      <c r="AM52" s="1" t="s">
        <v>104</v>
      </c>
      <c r="AO52" s="1">
        <v>3</v>
      </c>
      <c r="AQ52" s="1" t="s">
        <v>501</v>
      </c>
      <c r="AR52" s="1">
        <v>0</v>
      </c>
      <c r="AS52" s="1">
        <v>0</v>
      </c>
      <c r="AT52" s="1">
        <v>0</v>
      </c>
      <c r="AU52" s="1">
        <v>0</v>
      </c>
      <c r="AV52" s="1">
        <v>0</v>
      </c>
      <c r="AW52" s="1">
        <v>0</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2" t="str">
        <f>HYPERLINK("http://www.d20pfsrd.com/magic/all-spells/b/blink","Blink")</f>
        <v>Blink</v>
      </c>
      <c r="BR52" s="1">
        <v>51</v>
      </c>
      <c r="BS52" s="1" t="s">
        <v>104</v>
      </c>
      <c r="BT52" s="1" t="s">
        <v>502</v>
      </c>
      <c r="BU52" s="1" t="s">
        <v>503</v>
      </c>
      <c r="BV52" s="1" t="s">
        <v>504</v>
      </c>
      <c r="BW52" s="1" t="s">
        <v>505</v>
      </c>
      <c r="BX52" s="1">
        <v>1</v>
      </c>
      <c r="BY52" s="1" t="s">
        <v>104</v>
      </c>
      <c r="BZ52" s="1" t="s">
        <v>104</v>
      </c>
      <c r="CA52" s="1">
        <v>3</v>
      </c>
      <c r="CB52" s="1" t="s">
        <v>104</v>
      </c>
      <c r="CC52" s="1" t="s">
        <v>104</v>
      </c>
      <c r="CD52" s="1" t="s">
        <v>104</v>
      </c>
      <c r="CE52" s="1" t="s">
        <v>104</v>
      </c>
      <c r="CF52" s="1" t="s">
        <v>104</v>
      </c>
      <c r="CG52" s="1" t="s">
        <v>104</v>
      </c>
      <c r="CH52" s="1" t="s">
        <v>104</v>
      </c>
      <c r="CJ52" s="1">
        <v>0</v>
      </c>
      <c r="CK52" s="1">
        <v>0</v>
      </c>
      <c r="CL52" s="1">
        <v>0</v>
      </c>
      <c r="CM52" s="1" t="s">
        <v>104</v>
      </c>
    </row>
    <row r="53" spans="1:91" ht="14.25" customHeight="1" x14ac:dyDescent="0.3">
      <c r="A53" s="1" t="s">
        <v>506</v>
      </c>
      <c r="B53" s="1" t="s">
        <v>507</v>
      </c>
      <c r="C53" s="1" t="s">
        <v>508</v>
      </c>
      <c r="E53" s="1" t="s">
        <v>509</v>
      </c>
      <c r="F53" s="1" t="s">
        <v>95</v>
      </c>
      <c r="G53" s="1" t="s">
        <v>237</v>
      </c>
      <c r="H53" s="1">
        <v>0</v>
      </c>
      <c r="I53" s="1" t="s">
        <v>128</v>
      </c>
      <c r="L53" s="1" t="s">
        <v>374</v>
      </c>
      <c r="M53" s="1" t="s">
        <v>130</v>
      </c>
      <c r="N53" s="1">
        <v>1</v>
      </c>
      <c r="O53" s="1">
        <v>0</v>
      </c>
      <c r="P53" s="1" t="s">
        <v>375</v>
      </c>
      <c r="Q53" s="1" t="s">
        <v>131</v>
      </c>
      <c r="R53" s="1" t="s">
        <v>510</v>
      </c>
      <c r="S53" s="1" t="s">
        <v>103</v>
      </c>
      <c r="T53" s="1">
        <v>1</v>
      </c>
      <c r="U53" s="1">
        <v>0</v>
      </c>
      <c r="V53" s="1">
        <v>0</v>
      </c>
      <c r="W53" s="1">
        <v>0</v>
      </c>
      <c r="X53" s="1">
        <v>0</v>
      </c>
      <c r="Y53" s="1">
        <v>2</v>
      </c>
      <c r="Z53" s="1">
        <v>2</v>
      </c>
      <c r="AA53" s="1" t="s">
        <v>104</v>
      </c>
      <c r="AB53" s="1" t="s">
        <v>104</v>
      </c>
      <c r="AC53" s="1" t="s">
        <v>104</v>
      </c>
      <c r="AD53" s="1">
        <v>2</v>
      </c>
      <c r="AE53" s="1" t="s">
        <v>104</v>
      </c>
      <c r="AF53" s="1">
        <v>2</v>
      </c>
      <c r="AG53" s="1">
        <v>2</v>
      </c>
      <c r="AH53" s="1" t="s">
        <v>104</v>
      </c>
      <c r="AI53" s="1" t="s">
        <v>104</v>
      </c>
      <c r="AJ53" s="1" t="s">
        <v>104</v>
      </c>
      <c r="AK53" s="1" t="s">
        <v>104</v>
      </c>
      <c r="AL53" s="1">
        <v>2</v>
      </c>
      <c r="AM53" s="1" t="s">
        <v>104</v>
      </c>
      <c r="AO53" s="1">
        <v>2</v>
      </c>
      <c r="AQ53" s="1" t="s">
        <v>511</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2" t="str">
        <f>HYPERLINK("http://www.d20pfsrd.com/magic/all-spells/b/blur","Blur")</f>
        <v>Blur</v>
      </c>
      <c r="BR53" s="1">
        <v>52</v>
      </c>
      <c r="BS53" s="1" t="s">
        <v>104</v>
      </c>
      <c r="BT53" s="1" t="s">
        <v>512</v>
      </c>
      <c r="BX53" s="1">
        <v>0</v>
      </c>
      <c r="BY53" s="1" t="s">
        <v>104</v>
      </c>
      <c r="BZ53" s="1" t="s">
        <v>104</v>
      </c>
      <c r="CA53" s="1">
        <v>2</v>
      </c>
      <c r="CB53" s="1">
        <v>2</v>
      </c>
      <c r="CC53" s="1">
        <v>2</v>
      </c>
      <c r="CD53" s="1">
        <v>2</v>
      </c>
      <c r="CE53" s="1">
        <v>2</v>
      </c>
      <c r="CF53" s="1" t="s">
        <v>104</v>
      </c>
      <c r="CG53" s="1" t="s">
        <v>104</v>
      </c>
      <c r="CH53" s="1" t="s">
        <v>104</v>
      </c>
      <c r="CJ53" s="1">
        <v>0</v>
      </c>
      <c r="CK53" s="1">
        <v>0</v>
      </c>
      <c r="CL53" s="1">
        <v>0</v>
      </c>
      <c r="CM53" s="1">
        <v>2</v>
      </c>
    </row>
    <row r="54" spans="1:91" ht="14.25" customHeight="1" x14ac:dyDescent="0.3">
      <c r="A54" s="1" t="s">
        <v>513</v>
      </c>
      <c r="B54" s="1" t="s">
        <v>162</v>
      </c>
      <c r="E54" s="1" t="s">
        <v>514</v>
      </c>
      <c r="F54" s="1" t="s">
        <v>191</v>
      </c>
      <c r="G54" s="1" t="s">
        <v>116</v>
      </c>
      <c r="H54" s="1">
        <v>0</v>
      </c>
      <c r="I54" s="1" t="s">
        <v>117</v>
      </c>
      <c r="L54" s="1" t="s">
        <v>515</v>
      </c>
      <c r="M54" s="1" t="s">
        <v>119</v>
      </c>
      <c r="N54" s="1">
        <v>0</v>
      </c>
      <c r="O54" s="1">
        <v>0</v>
      </c>
      <c r="P54" s="1" t="s">
        <v>145</v>
      </c>
      <c r="Q54" s="1" t="s">
        <v>101</v>
      </c>
      <c r="R54" s="1" t="s">
        <v>516</v>
      </c>
      <c r="S54" s="1" t="s">
        <v>103</v>
      </c>
      <c r="T54" s="1">
        <v>1</v>
      </c>
      <c r="U54" s="1">
        <v>1</v>
      </c>
      <c r="V54" s="1">
        <v>0</v>
      </c>
      <c r="W54" s="1">
        <v>0</v>
      </c>
      <c r="X54" s="1">
        <v>0</v>
      </c>
      <c r="Y54" s="1">
        <v>5</v>
      </c>
      <c r="Z54" s="1">
        <v>5</v>
      </c>
      <c r="AA54" s="1">
        <v>5</v>
      </c>
      <c r="AB54" s="1" t="s">
        <v>104</v>
      </c>
      <c r="AC54" s="1" t="s">
        <v>104</v>
      </c>
      <c r="AD54" s="1">
        <v>4</v>
      </c>
      <c r="AE54" s="1">
        <v>4</v>
      </c>
      <c r="AF54" s="1" t="s">
        <v>104</v>
      </c>
      <c r="AG54" s="1" t="s">
        <v>104</v>
      </c>
      <c r="AH54" s="1">
        <v>5</v>
      </c>
      <c r="AI54" s="1">
        <v>5</v>
      </c>
      <c r="AJ54" s="1">
        <v>5</v>
      </c>
      <c r="AK54" s="1" t="s">
        <v>104</v>
      </c>
      <c r="AL54" s="1" t="s">
        <v>104</v>
      </c>
      <c r="AM54" s="1">
        <v>5</v>
      </c>
      <c r="AO54" s="1">
        <v>5</v>
      </c>
      <c r="AP54" s="1" t="s">
        <v>517</v>
      </c>
      <c r="AQ54" s="1" t="s">
        <v>518</v>
      </c>
      <c r="AR54" s="1">
        <v>0</v>
      </c>
      <c r="AS54" s="1">
        <v>0</v>
      </c>
      <c r="AT54" s="1">
        <v>0</v>
      </c>
      <c r="AU54" s="1">
        <v>0</v>
      </c>
      <c r="AV54" s="1">
        <v>0</v>
      </c>
      <c r="AW54" s="1">
        <v>0</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2" t="str">
        <f>HYPERLINK("http://www.d20pfsrd.com/magic/all-spells/b/break-enchantment","Break Enchantment")</f>
        <v>Break Enchantment</v>
      </c>
      <c r="BR54" s="1">
        <v>53</v>
      </c>
      <c r="BS54" s="1" t="s">
        <v>104</v>
      </c>
      <c r="BT54" s="1" t="s">
        <v>519</v>
      </c>
      <c r="BV54" s="1" t="s">
        <v>520</v>
      </c>
      <c r="BW54" s="1" t="s">
        <v>521</v>
      </c>
      <c r="BX54" s="1">
        <v>1</v>
      </c>
      <c r="BY54" s="1" t="s">
        <v>104</v>
      </c>
      <c r="BZ54" s="1">
        <v>5</v>
      </c>
      <c r="CA54" s="1">
        <v>4</v>
      </c>
      <c r="CB54" s="1">
        <v>4</v>
      </c>
      <c r="CC54" s="1">
        <v>4</v>
      </c>
      <c r="CD54" s="1">
        <v>4</v>
      </c>
      <c r="CE54" s="1">
        <v>5</v>
      </c>
      <c r="CF54" s="1" t="s">
        <v>104</v>
      </c>
      <c r="CG54" s="1" t="s">
        <v>104</v>
      </c>
      <c r="CH54" s="1" t="s">
        <v>104</v>
      </c>
      <c r="CJ54" s="1">
        <v>0</v>
      </c>
      <c r="CK54" s="1">
        <v>0</v>
      </c>
      <c r="CL54" s="1">
        <v>0</v>
      </c>
      <c r="CM54" s="1" t="s">
        <v>104</v>
      </c>
    </row>
    <row r="55" spans="1:91" ht="14.25" customHeight="1" x14ac:dyDescent="0.3">
      <c r="A55" s="1" t="s">
        <v>522</v>
      </c>
      <c r="B55" s="1" t="s">
        <v>92</v>
      </c>
      <c r="C55" s="1" t="s">
        <v>523</v>
      </c>
      <c r="E55" s="1" t="s">
        <v>524</v>
      </c>
      <c r="F55" s="1" t="s">
        <v>95</v>
      </c>
      <c r="G55" s="1" t="s">
        <v>116</v>
      </c>
      <c r="H55" s="1">
        <v>0</v>
      </c>
      <c r="I55" s="1" t="s">
        <v>128</v>
      </c>
      <c r="L55" s="1" t="s">
        <v>374</v>
      </c>
      <c r="M55" s="1" t="s">
        <v>119</v>
      </c>
      <c r="N55" s="1">
        <v>0</v>
      </c>
      <c r="O55" s="1">
        <v>0</v>
      </c>
      <c r="P55" s="1" t="s">
        <v>525</v>
      </c>
      <c r="Q55" s="1" t="s">
        <v>526</v>
      </c>
      <c r="R55" s="1" t="s">
        <v>527</v>
      </c>
      <c r="S55" s="1" t="s">
        <v>103</v>
      </c>
      <c r="T55" s="1">
        <v>1</v>
      </c>
      <c r="U55" s="1">
        <v>1</v>
      </c>
      <c r="V55" s="1">
        <v>0</v>
      </c>
      <c r="W55" s="1">
        <v>0</v>
      </c>
      <c r="X55" s="1">
        <v>0</v>
      </c>
      <c r="Y55" s="1" t="s">
        <v>104</v>
      </c>
      <c r="Z55" s="1" t="s">
        <v>104</v>
      </c>
      <c r="AA55" s="1">
        <v>5</v>
      </c>
      <c r="AB55" s="1" t="s">
        <v>104</v>
      </c>
      <c r="AC55" s="1" t="s">
        <v>104</v>
      </c>
      <c r="AD55" s="1" t="s">
        <v>104</v>
      </c>
      <c r="AE55" s="1" t="s">
        <v>104</v>
      </c>
      <c r="AF55" s="1" t="s">
        <v>104</v>
      </c>
      <c r="AG55" s="1" t="s">
        <v>104</v>
      </c>
      <c r="AH55" s="1" t="s">
        <v>104</v>
      </c>
      <c r="AI55" s="1" t="s">
        <v>104</v>
      </c>
      <c r="AJ55" s="1">
        <v>5</v>
      </c>
      <c r="AK55" s="1" t="s">
        <v>104</v>
      </c>
      <c r="AL55" s="1" t="s">
        <v>104</v>
      </c>
      <c r="AM55" s="1" t="s">
        <v>104</v>
      </c>
      <c r="AO55" s="1">
        <v>5</v>
      </c>
      <c r="AP55" s="1" t="s">
        <v>528</v>
      </c>
      <c r="AQ55" s="1" t="s">
        <v>529</v>
      </c>
      <c r="AR55" s="1">
        <v>0</v>
      </c>
      <c r="AS55" s="1">
        <v>0</v>
      </c>
      <c r="AT55" s="1">
        <v>0</v>
      </c>
      <c r="AU55" s="1">
        <v>0</v>
      </c>
      <c r="AV55" s="1">
        <v>0</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2" t="str">
        <f>HYPERLINK("http://www.d20pfsrd.com/magic/all-spells/b/breath-of-life","Breath of Life")</f>
        <v>Breath of Life</v>
      </c>
      <c r="BR55" s="1">
        <v>54</v>
      </c>
      <c r="BS55" s="1" t="s">
        <v>104</v>
      </c>
      <c r="BV55" s="1" t="s">
        <v>530</v>
      </c>
      <c r="BW55" s="1" t="s">
        <v>531</v>
      </c>
      <c r="BX55" s="1">
        <v>1</v>
      </c>
      <c r="BY55" s="1" t="s">
        <v>104</v>
      </c>
      <c r="BZ55" s="1">
        <v>5</v>
      </c>
      <c r="CA55" s="1" t="s">
        <v>104</v>
      </c>
      <c r="CB55" s="1" t="s">
        <v>104</v>
      </c>
      <c r="CC55" s="1" t="s">
        <v>104</v>
      </c>
      <c r="CD55" s="1" t="s">
        <v>104</v>
      </c>
      <c r="CE55" s="1">
        <v>5</v>
      </c>
      <c r="CF55" s="1" t="s">
        <v>104</v>
      </c>
      <c r="CG55" s="1" t="s">
        <v>104</v>
      </c>
      <c r="CH55" s="1" t="s">
        <v>104</v>
      </c>
      <c r="CJ55" s="1">
        <v>0</v>
      </c>
      <c r="CK55" s="1">
        <v>0</v>
      </c>
      <c r="CL55" s="1">
        <v>0</v>
      </c>
      <c r="CM55" s="1" t="s">
        <v>104</v>
      </c>
    </row>
    <row r="56" spans="1:91" ht="14.25" customHeight="1" x14ac:dyDescent="0.3">
      <c r="A56" s="1" t="s">
        <v>532</v>
      </c>
      <c r="B56" s="1" t="s">
        <v>137</v>
      </c>
      <c r="E56" s="1" t="s">
        <v>533</v>
      </c>
      <c r="F56" s="1" t="s">
        <v>95</v>
      </c>
      <c r="G56" s="1" t="s">
        <v>534</v>
      </c>
      <c r="H56" s="1">
        <v>0</v>
      </c>
      <c r="I56" s="1" t="s">
        <v>128</v>
      </c>
      <c r="L56" s="1" t="s">
        <v>374</v>
      </c>
      <c r="M56" s="1" t="s">
        <v>130</v>
      </c>
      <c r="N56" s="1">
        <v>0</v>
      </c>
      <c r="O56" s="1">
        <v>0</v>
      </c>
      <c r="P56" s="1" t="s">
        <v>375</v>
      </c>
      <c r="Q56" s="1" t="s">
        <v>131</v>
      </c>
      <c r="R56" s="1" t="s">
        <v>535</v>
      </c>
      <c r="S56" s="1" t="s">
        <v>103</v>
      </c>
      <c r="T56" s="1">
        <v>1</v>
      </c>
      <c r="U56" s="1">
        <v>1</v>
      </c>
      <c r="V56" s="1">
        <v>1</v>
      </c>
      <c r="W56" s="1">
        <v>0</v>
      </c>
      <c r="X56" s="1">
        <v>1</v>
      </c>
      <c r="Y56" s="1">
        <v>2</v>
      </c>
      <c r="Z56" s="1">
        <v>2</v>
      </c>
      <c r="AA56" s="1">
        <v>2</v>
      </c>
      <c r="AB56" s="1">
        <v>2</v>
      </c>
      <c r="AC56" s="1" t="s">
        <v>104</v>
      </c>
      <c r="AD56" s="1" t="s">
        <v>104</v>
      </c>
      <c r="AE56" s="1">
        <v>2</v>
      </c>
      <c r="AF56" s="1">
        <v>2</v>
      </c>
      <c r="AG56" s="1">
        <v>2</v>
      </c>
      <c r="AH56" s="1" t="s">
        <v>104</v>
      </c>
      <c r="AI56" s="1" t="s">
        <v>104</v>
      </c>
      <c r="AJ56" s="1">
        <v>2</v>
      </c>
      <c r="AK56" s="1">
        <v>2</v>
      </c>
      <c r="AL56" s="1">
        <v>2</v>
      </c>
      <c r="AM56" s="1">
        <v>2</v>
      </c>
      <c r="AO56" s="1">
        <v>2</v>
      </c>
      <c r="AP56" s="1" t="s">
        <v>536</v>
      </c>
      <c r="AQ56" s="1" t="s">
        <v>537</v>
      </c>
      <c r="AR56" s="1">
        <v>0</v>
      </c>
      <c r="AS56" s="1">
        <v>0</v>
      </c>
      <c r="AT56" s="1">
        <v>0</v>
      </c>
      <c r="AU56" s="1">
        <v>0</v>
      </c>
      <c r="AV56" s="1">
        <v>0</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2" t="str">
        <f>HYPERLINK("http://www.d20pfsrd.com/magic/all-spells/b/bull-s-strength","Bull's Strength")</f>
        <v>Bull's Strength</v>
      </c>
      <c r="BR56" s="1">
        <v>55</v>
      </c>
      <c r="BS56" s="1" t="s">
        <v>104</v>
      </c>
      <c r="BT56" s="1" t="s">
        <v>538</v>
      </c>
      <c r="BU56" s="1" t="s">
        <v>539</v>
      </c>
      <c r="BX56" s="1">
        <v>0</v>
      </c>
      <c r="BY56" s="1">
        <v>2</v>
      </c>
      <c r="BZ56" s="1">
        <v>2</v>
      </c>
      <c r="CA56" s="1">
        <v>2</v>
      </c>
      <c r="CB56" s="1">
        <v>2</v>
      </c>
      <c r="CC56" s="1" t="s">
        <v>104</v>
      </c>
      <c r="CD56" s="1" t="s">
        <v>104</v>
      </c>
      <c r="CE56" s="1" t="s">
        <v>104</v>
      </c>
      <c r="CF56" s="1" t="s">
        <v>104</v>
      </c>
      <c r="CG56" s="1" t="s">
        <v>104</v>
      </c>
      <c r="CH56" s="1">
        <v>2</v>
      </c>
      <c r="CJ56" s="1">
        <v>0</v>
      </c>
      <c r="CK56" s="1">
        <v>0</v>
      </c>
      <c r="CL56" s="1">
        <v>0</v>
      </c>
      <c r="CM56" s="1">
        <v>2</v>
      </c>
    </row>
    <row r="57" spans="1:91" ht="14.25" customHeight="1" x14ac:dyDescent="0.3">
      <c r="A57" s="1" t="s">
        <v>540</v>
      </c>
      <c r="B57" s="1" t="s">
        <v>137</v>
      </c>
      <c r="E57" s="1" t="s">
        <v>380</v>
      </c>
      <c r="F57" s="1" t="s">
        <v>95</v>
      </c>
      <c r="G57" s="1" t="s">
        <v>534</v>
      </c>
      <c r="H57" s="1">
        <v>0</v>
      </c>
      <c r="I57" s="1" t="s">
        <v>117</v>
      </c>
      <c r="L57" s="1" t="s">
        <v>541</v>
      </c>
      <c r="M57" s="1" t="s">
        <v>130</v>
      </c>
      <c r="N57" s="1">
        <v>0</v>
      </c>
      <c r="O57" s="1">
        <v>0</v>
      </c>
      <c r="P57" s="1" t="s">
        <v>375</v>
      </c>
      <c r="Q57" s="1" t="s">
        <v>131</v>
      </c>
      <c r="R57" s="1" t="s">
        <v>542</v>
      </c>
      <c r="S57" s="1" t="s">
        <v>103</v>
      </c>
      <c r="T57" s="1">
        <v>1</v>
      </c>
      <c r="U57" s="1">
        <v>1</v>
      </c>
      <c r="V57" s="1">
        <v>1</v>
      </c>
      <c r="W57" s="1">
        <v>0</v>
      </c>
      <c r="X57" s="1">
        <v>1</v>
      </c>
      <c r="Y57" s="1">
        <v>6</v>
      </c>
      <c r="Z57" s="1">
        <v>6</v>
      </c>
      <c r="AA57" s="1">
        <v>6</v>
      </c>
      <c r="AB57" s="1">
        <v>6</v>
      </c>
      <c r="AC57" s="1" t="s">
        <v>104</v>
      </c>
      <c r="AD57" s="1" t="s">
        <v>104</v>
      </c>
      <c r="AE57" s="1" t="s">
        <v>104</v>
      </c>
      <c r="AF57" s="1" t="s">
        <v>104</v>
      </c>
      <c r="AG57" s="1">
        <v>4</v>
      </c>
      <c r="AH57" s="1" t="s">
        <v>104</v>
      </c>
      <c r="AI57" s="1" t="s">
        <v>104</v>
      </c>
      <c r="AJ57" s="1">
        <v>6</v>
      </c>
      <c r="AK57" s="1" t="s">
        <v>104</v>
      </c>
      <c r="AL57" s="1">
        <v>6</v>
      </c>
      <c r="AM57" s="1" t="s">
        <v>104</v>
      </c>
      <c r="AO57" s="1">
        <v>6</v>
      </c>
      <c r="AP57" s="1" t="s">
        <v>543</v>
      </c>
      <c r="AQ57" s="1" t="s">
        <v>544</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2" t="str">
        <f>HYPERLINK("http://www.d20pfsrd.com/magic/all-spells/b/bull-s-strength","Bull's Strength, Mass")</f>
        <v>Bull's Strength, Mass</v>
      </c>
      <c r="BR57" s="1">
        <v>56</v>
      </c>
      <c r="BS57" s="1" t="s">
        <v>104</v>
      </c>
      <c r="BU57" s="1" t="s">
        <v>545</v>
      </c>
      <c r="BX57" s="1">
        <v>0</v>
      </c>
      <c r="BY57" s="1" t="s">
        <v>104</v>
      </c>
      <c r="BZ57" s="1">
        <v>6</v>
      </c>
      <c r="CA57" s="1">
        <v>6</v>
      </c>
      <c r="CB57" s="1" t="s">
        <v>104</v>
      </c>
      <c r="CC57" s="1" t="s">
        <v>104</v>
      </c>
      <c r="CD57" s="1" t="s">
        <v>104</v>
      </c>
      <c r="CE57" s="1" t="s">
        <v>104</v>
      </c>
      <c r="CF57" s="1" t="s">
        <v>104</v>
      </c>
      <c r="CG57" s="1" t="s">
        <v>104</v>
      </c>
      <c r="CH57" s="1">
        <v>6</v>
      </c>
      <c r="CJ57" s="1">
        <v>0</v>
      </c>
      <c r="CK57" s="1">
        <v>0</v>
      </c>
      <c r="CL57" s="1">
        <v>0</v>
      </c>
      <c r="CM57" s="1">
        <v>6</v>
      </c>
    </row>
    <row r="58" spans="1:91" ht="14.25" customHeight="1" x14ac:dyDescent="0.3">
      <c r="A58" s="1" t="s">
        <v>546</v>
      </c>
      <c r="B58" s="1" t="s">
        <v>434</v>
      </c>
      <c r="D58" s="1" t="s">
        <v>56</v>
      </c>
      <c r="E58" s="1" t="s">
        <v>547</v>
      </c>
      <c r="F58" s="1" t="s">
        <v>95</v>
      </c>
      <c r="G58" s="1" t="s">
        <v>116</v>
      </c>
      <c r="H58" s="1">
        <v>0</v>
      </c>
      <c r="I58" s="1" t="s">
        <v>548</v>
      </c>
      <c r="J58" s="1" t="s">
        <v>549</v>
      </c>
      <c r="M58" s="1" t="s">
        <v>119</v>
      </c>
      <c r="N58" s="1">
        <v>0</v>
      </c>
      <c r="O58" s="1">
        <v>0</v>
      </c>
      <c r="P58" s="1" t="s">
        <v>550</v>
      </c>
      <c r="Q58" s="1" t="s">
        <v>184</v>
      </c>
      <c r="R58" s="1" t="s">
        <v>551</v>
      </c>
      <c r="S58" s="1" t="s">
        <v>103</v>
      </c>
      <c r="T58" s="1">
        <v>1</v>
      </c>
      <c r="U58" s="1">
        <v>1</v>
      </c>
      <c r="V58" s="1">
        <v>0</v>
      </c>
      <c r="W58" s="1">
        <v>0</v>
      </c>
      <c r="X58" s="1">
        <v>0</v>
      </c>
      <c r="Y58" s="1">
        <v>1</v>
      </c>
      <c r="Z58" s="1">
        <v>1</v>
      </c>
      <c r="AA58" s="1" t="s">
        <v>104</v>
      </c>
      <c r="AB58" s="1" t="s">
        <v>104</v>
      </c>
      <c r="AC58" s="1" t="s">
        <v>104</v>
      </c>
      <c r="AD58" s="1" t="s">
        <v>104</v>
      </c>
      <c r="AE58" s="1" t="s">
        <v>104</v>
      </c>
      <c r="AF58" s="1" t="s">
        <v>104</v>
      </c>
      <c r="AG58" s="1" t="s">
        <v>104</v>
      </c>
      <c r="AH58" s="1">
        <v>1</v>
      </c>
      <c r="AI58" s="1" t="s">
        <v>104</v>
      </c>
      <c r="AJ58" s="1" t="s">
        <v>104</v>
      </c>
      <c r="AK58" s="1" t="s">
        <v>104</v>
      </c>
      <c r="AL58" s="1">
        <v>1</v>
      </c>
      <c r="AM58" s="1">
        <v>1</v>
      </c>
      <c r="AO58" s="1">
        <v>1</v>
      </c>
      <c r="AP58" s="1" t="s">
        <v>552</v>
      </c>
      <c r="AQ58" s="1" t="s">
        <v>553</v>
      </c>
      <c r="AR58" s="1">
        <v>0</v>
      </c>
      <c r="AS58" s="1">
        <v>0</v>
      </c>
      <c r="AT58" s="1">
        <v>0</v>
      </c>
      <c r="AU58" s="1">
        <v>0</v>
      </c>
      <c r="AV58" s="1">
        <v>0</v>
      </c>
      <c r="AW58" s="1">
        <v>0</v>
      </c>
      <c r="AX58" s="1">
        <v>0</v>
      </c>
      <c r="AY58" s="1">
        <v>0</v>
      </c>
      <c r="AZ58" s="1">
        <v>0</v>
      </c>
      <c r="BA58" s="1">
        <v>0</v>
      </c>
      <c r="BB58" s="1">
        <v>0</v>
      </c>
      <c r="BC58" s="1">
        <v>0</v>
      </c>
      <c r="BD58" s="1">
        <v>0</v>
      </c>
      <c r="BE58" s="1">
        <v>1</v>
      </c>
      <c r="BF58" s="1">
        <v>0</v>
      </c>
      <c r="BG58" s="1">
        <v>0</v>
      </c>
      <c r="BH58" s="1">
        <v>0</v>
      </c>
      <c r="BI58" s="1">
        <v>0</v>
      </c>
      <c r="BJ58" s="1">
        <v>0</v>
      </c>
      <c r="BK58" s="1">
        <v>0</v>
      </c>
      <c r="BL58" s="1">
        <v>0</v>
      </c>
      <c r="BM58" s="1">
        <v>0</v>
      </c>
      <c r="BN58" s="1">
        <v>0</v>
      </c>
      <c r="BO58" s="1">
        <v>0</v>
      </c>
      <c r="BP58" s="1">
        <v>0</v>
      </c>
      <c r="BQ58" s="2" t="str">
        <f>HYPERLINK("http://www.d20pfsrd.com/magic/all-spells/b/burning-hands","Burning Hands")</f>
        <v>Burning Hands</v>
      </c>
      <c r="BR58" s="1">
        <v>57</v>
      </c>
      <c r="BS58" s="1" t="s">
        <v>104</v>
      </c>
      <c r="BT58" s="1" t="s">
        <v>554</v>
      </c>
      <c r="BU58" s="1" t="s">
        <v>555</v>
      </c>
      <c r="BV58" s="1" t="s">
        <v>556</v>
      </c>
      <c r="BX58" s="1">
        <v>1</v>
      </c>
      <c r="BY58" s="1">
        <v>1</v>
      </c>
      <c r="BZ58" s="1">
        <v>1</v>
      </c>
      <c r="CA58" s="1" t="s">
        <v>104</v>
      </c>
      <c r="CB58" s="1" t="s">
        <v>104</v>
      </c>
      <c r="CC58" s="1" t="s">
        <v>104</v>
      </c>
      <c r="CD58" s="1">
        <v>1</v>
      </c>
      <c r="CE58" s="1" t="s">
        <v>104</v>
      </c>
      <c r="CF58" s="1" t="s">
        <v>104</v>
      </c>
      <c r="CG58" s="1" t="s">
        <v>104</v>
      </c>
      <c r="CH58" s="1" t="s">
        <v>104</v>
      </c>
      <c r="CJ58" s="1">
        <v>0</v>
      </c>
      <c r="CK58" s="1">
        <v>0</v>
      </c>
      <c r="CL58" s="1">
        <v>0</v>
      </c>
      <c r="CM58" s="1" t="s">
        <v>104</v>
      </c>
    </row>
    <row r="59" spans="1:91" ht="14.25" customHeight="1" x14ac:dyDescent="0.3">
      <c r="A59" s="1" t="s">
        <v>557</v>
      </c>
      <c r="B59" s="1" t="s">
        <v>434</v>
      </c>
      <c r="D59" s="1" t="s">
        <v>52</v>
      </c>
      <c r="E59" s="1" t="s">
        <v>558</v>
      </c>
      <c r="F59" s="1" t="s">
        <v>255</v>
      </c>
      <c r="G59" s="1" t="s">
        <v>116</v>
      </c>
      <c r="H59" s="1">
        <v>0</v>
      </c>
      <c r="I59" s="1" t="s">
        <v>109</v>
      </c>
      <c r="K59" s="1" t="s">
        <v>559</v>
      </c>
      <c r="M59" s="1" t="s">
        <v>130</v>
      </c>
      <c r="N59" s="1">
        <v>0</v>
      </c>
      <c r="O59" s="1">
        <v>0</v>
      </c>
      <c r="P59" s="1" t="s">
        <v>550</v>
      </c>
      <c r="Q59" s="1" t="s">
        <v>184</v>
      </c>
      <c r="R59" s="1" t="s">
        <v>560</v>
      </c>
      <c r="S59" s="1" t="s">
        <v>103</v>
      </c>
      <c r="T59" s="1">
        <v>1</v>
      </c>
      <c r="U59" s="1">
        <v>1</v>
      </c>
      <c r="V59" s="1">
        <v>0</v>
      </c>
      <c r="W59" s="1">
        <v>0</v>
      </c>
      <c r="X59" s="1">
        <v>0</v>
      </c>
      <c r="Y59" s="1" t="s">
        <v>104</v>
      </c>
      <c r="Z59" s="1" t="s">
        <v>104</v>
      </c>
      <c r="AA59" s="1" t="s">
        <v>104</v>
      </c>
      <c r="AB59" s="1">
        <v>3</v>
      </c>
      <c r="AC59" s="1" t="s">
        <v>104</v>
      </c>
      <c r="AD59" s="1" t="s">
        <v>104</v>
      </c>
      <c r="AE59" s="1" t="s">
        <v>104</v>
      </c>
      <c r="AF59" s="1" t="s">
        <v>104</v>
      </c>
      <c r="AG59" s="1" t="s">
        <v>104</v>
      </c>
      <c r="AH59" s="1" t="s">
        <v>104</v>
      </c>
      <c r="AI59" s="1" t="s">
        <v>104</v>
      </c>
      <c r="AJ59" s="1" t="s">
        <v>104</v>
      </c>
      <c r="AK59" s="1" t="s">
        <v>104</v>
      </c>
      <c r="AL59" s="1" t="s">
        <v>104</v>
      </c>
      <c r="AM59" s="1" t="s">
        <v>104</v>
      </c>
      <c r="AO59" s="1">
        <v>3</v>
      </c>
      <c r="AP59" s="1" t="s">
        <v>561</v>
      </c>
      <c r="AQ59" s="1" t="s">
        <v>562</v>
      </c>
      <c r="AR59" s="1">
        <v>0</v>
      </c>
      <c r="AS59" s="1">
        <v>0</v>
      </c>
      <c r="AT59" s="1">
        <v>0</v>
      </c>
      <c r="AU59" s="1">
        <v>0</v>
      </c>
      <c r="AV59" s="1">
        <v>0</v>
      </c>
      <c r="AW59" s="1">
        <v>0</v>
      </c>
      <c r="AX59" s="1">
        <v>0</v>
      </c>
      <c r="AY59" s="1">
        <v>0</v>
      </c>
      <c r="AZ59" s="1">
        <v>0</v>
      </c>
      <c r="BA59" s="1">
        <v>1</v>
      </c>
      <c r="BB59" s="1">
        <v>0</v>
      </c>
      <c r="BC59" s="1">
        <v>0</v>
      </c>
      <c r="BD59" s="1">
        <v>0</v>
      </c>
      <c r="BE59" s="1">
        <v>0</v>
      </c>
      <c r="BF59" s="1">
        <v>0</v>
      </c>
      <c r="BG59" s="1">
        <v>0</v>
      </c>
      <c r="BH59" s="1">
        <v>0</v>
      </c>
      <c r="BI59" s="1">
        <v>0</v>
      </c>
      <c r="BJ59" s="1">
        <v>0</v>
      </c>
      <c r="BK59" s="1">
        <v>0</v>
      </c>
      <c r="BL59" s="1">
        <v>0</v>
      </c>
      <c r="BM59" s="1">
        <v>0</v>
      </c>
      <c r="BN59" s="1">
        <v>0</v>
      </c>
      <c r="BO59" s="1">
        <v>0</v>
      </c>
      <c r="BP59" s="1">
        <v>0</v>
      </c>
      <c r="BQ59" s="2" t="str">
        <f>HYPERLINK("http://www.d20pfsrd.com/magic/all-spells/c/call-lightning","Call Lightning")</f>
        <v>Call Lightning</v>
      </c>
      <c r="BR59" s="1">
        <v>58</v>
      </c>
      <c r="BS59" s="1" t="s">
        <v>104</v>
      </c>
      <c r="BU59" s="1" t="s">
        <v>563</v>
      </c>
      <c r="BV59" s="1" t="s">
        <v>564</v>
      </c>
      <c r="BX59" s="1">
        <v>1</v>
      </c>
      <c r="BY59" s="1" t="s">
        <v>104</v>
      </c>
      <c r="BZ59" s="1">
        <v>3</v>
      </c>
      <c r="CA59" s="1" t="s">
        <v>104</v>
      </c>
      <c r="CB59" s="1" t="s">
        <v>104</v>
      </c>
      <c r="CC59" s="1" t="s">
        <v>104</v>
      </c>
      <c r="CD59" s="1">
        <v>3</v>
      </c>
      <c r="CE59" s="1" t="s">
        <v>104</v>
      </c>
      <c r="CF59" s="1" t="s">
        <v>104</v>
      </c>
      <c r="CG59" s="1" t="s">
        <v>104</v>
      </c>
      <c r="CH59" s="1">
        <v>3</v>
      </c>
      <c r="CJ59" s="1">
        <v>0</v>
      </c>
      <c r="CK59" s="1">
        <v>0</v>
      </c>
      <c r="CL59" s="1">
        <v>0</v>
      </c>
      <c r="CM59" s="1" t="s">
        <v>104</v>
      </c>
    </row>
    <row r="60" spans="1:91" ht="14.25" customHeight="1" x14ac:dyDescent="0.3">
      <c r="A60" s="1" t="s">
        <v>565</v>
      </c>
      <c r="B60" s="1" t="s">
        <v>434</v>
      </c>
      <c r="D60" s="1" t="s">
        <v>52</v>
      </c>
      <c r="E60" s="1" t="s">
        <v>566</v>
      </c>
      <c r="F60" s="1" t="s">
        <v>255</v>
      </c>
      <c r="G60" s="1" t="s">
        <v>116</v>
      </c>
      <c r="H60" s="1">
        <v>0</v>
      </c>
      <c r="I60" s="1" t="s">
        <v>97</v>
      </c>
      <c r="K60" s="1" t="s">
        <v>559</v>
      </c>
      <c r="M60" s="1" t="s">
        <v>130</v>
      </c>
      <c r="N60" s="1">
        <v>0</v>
      </c>
      <c r="O60" s="1">
        <v>0</v>
      </c>
      <c r="P60" s="1" t="s">
        <v>550</v>
      </c>
      <c r="Q60" s="1" t="s">
        <v>184</v>
      </c>
      <c r="R60" s="1" t="s">
        <v>567</v>
      </c>
      <c r="S60" s="1" t="s">
        <v>103</v>
      </c>
      <c r="T60" s="1">
        <v>1</v>
      </c>
      <c r="U60" s="1">
        <v>1</v>
      </c>
      <c r="V60" s="1">
        <v>0</v>
      </c>
      <c r="W60" s="1">
        <v>0</v>
      </c>
      <c r="X60" s="1">
        <v>0</v>
      </c>
      <c r="Y60" s="1" t="s">
        <v>104</v>
      </c>
      <c r="Z60" s="1" t="s">
        <v>104</v>
      </c>
      <c r="AA60" s="1" t="s">
        <v>104</v>
      </c>
      <c r="AB60" s="1">
        <v>5</v>
      </c>
      <c r="AC60" s="1" t="s">
        <v>104</v>
      </c>
      <c r="AD60" s="1" t="s">
        <v>104</v>
      </c>
      <c r="AE60" s="1" t="s">
        <v>104</v>
      </c>
      <c r="AF60" s="1" t="s">
        <v>104</v>
      </c>
      <c r="AG60" s="1" t="s">
        <v>104</v>
      </c>
      <c r="AH60" s="1" t="s">
        <v>104</v>
      </c>
      <c r="AI60" s="1" t="s">
        <v>104</v>
      </c>
      <c r="AJ60" s="1" t="s">
        <v>104</v>
      </c>
      <c r="AK60" s="1" t="s">
        <v>104</v>
      </c>
      <c r="AL60" s="1" t="s">
        <v>104</v>
      </c>
      <c r="AM60" s="1" t="s">
        <v>104</v>
      </c>
      <c r="AO60" s="1">
        <v>5</v>
      </c>
      <c r="AP60" s="1" t="s">
        <v>568</v>
      </c>
      <c r="AQ60" s="1" t="s">
        <v>569</v>
      </c>
      <c r="AR60" s="1">
        <v>0</v>
      </c>
      <c r="AS60" s="1">
        <v>0</v>
      </c>
      <c r="AT60" s="1">
        <v>0</v>
      </c>
      <c r="AU60" s="1">
        <v>0</v>
      </c>
      <c r="AV60" s="1">
        <v>0</v>
      </c>
      <c r="AW60" s="1">
        <v>0</v>
      </c>
      <c r="AX60" s="1">
        <v>0</v>
      </c>
      <c r="AY60" s="1">
        <v>0</v>
      </c>
      <c r="AZ60" s="1">
        <v>0</v>
      </c>
      <c r="BA60" s="1">
        <v>1</v>
      </c>
      <c r="BB60" s="1">
        <v>0</v>
      </c>
      <c r="BC60" s="1">
        <v>0</v>
      </c>
      <c r="BD60" s="1">
        <v>0</v>
      </c>
      <c r="BE60" s="1">
        <v>0</v>
      </c>
      <c r="BF60" s="1">
        <v>0</v>
      </c>
      <c r="BG60" s="1">
        <v>0</v>
      </c>
      <c r="BH60" s="1">
        <v>0</v>
      </c>
      <c r="BI60" s="1">
        <v>0</v>
      </c>
      <c r="BJ60" s="1">
        <v>0</v>
      </c>
      <c r="BK60" s="1">
        <v>0</v>
      </c>
      <c r="BL60" s="1">
        <v>0</v>
      </c>
      <c r="BM60" s="1">
        <v>0</v>
      </c>
      <c r="BN60" s="1">
        <v>0</v>
      </c>
      <c r="BO60" s="1">
        <v>0</v>
      </c>
      <c r="BP60" s="1">
        <v>0</v>
      </c>
      <c r="BQ60" s="2" t="str">
        <f>HYPERLINK("http://www.d20pfsrd.com/magic/all-spells/c/call-lightning-storm","Call Lightning Storm")</f>
        <v>Call Lightning Storm</v>
      </c>
      <c r="BR60" s="1">
        <v>59</v>
      </c>
      <c r="BS60" s="1" t="s">
        <v>104</v>
      </c>
      <c r="BT60" s="1" t="s">
        <v>570</v>
      </c>
      <c r="BU60" s="1" t="s">
        <v>571</v>
      </c>
      <c r="BX60" s="1">
        <v>0</v>
      </c>
      <c r="BY60" s="1" t="s">
        <v>104</v>
      </c>
      <c r="BZ60" s="1">
        <v>5</v>
      </c>
      <c r="CA60" s="1" t="s">
        <v>104</v>
      </c>
      <c r="CB60" s="1" t="s">
        <v>104</v>
      </c>
      <c r="CC60" s="1" t="s">
        <v>104</v>
      </c>
      <c r="CD60" s="1">
        <v>5</v>
      </c>
      <c r="CE60" s="1" t="s">
        <v>104</v>
      </c>
      <c r="CF60" s="1" t="s">
        <v>104</v>
      </c>
      <c r="CG60" s="1" t="s">
        <v>104</v>
      </c>
      <c r="CH60" s="1">
        <v>5</v>
      </c>
      <c r="CJ60" s="1">
        <v>0</v>
      </c>
      <c r="CK60" s="1">
        <v>0</v>
      </c>
      <c r="CL60" s="1">
        <v>0</v>
      </c>
      <c r="CM60" s="1" t="s">
        <v>104</v>
      </c>
    </row>
    <row r="61" spans="1:91" ht="14.25" customHeight="1" x14ac:dyDescent="0.3">
      <c r="A61" s="1" t="s">
        <v>572</v>
      </c>
      <c r="B61" s="1" t="s">
        <v>123</v>
      </c>
      <c r="C61" s="1" t="s">
        <v>124</v>
      </c>
      <c r="D61" s="1" t="s">
        <v>271</v>
      </c>
      <c r="E61" s="1" t="s">
        <v>573</v>
      </c>
      <c r="F61" s="1" t="s">
        <v>95</v>
      </c>
      <c r="G61" s="1" t="s">
        <v>116</v>
      </c>
      <c r="H61" s="1">
        <v>0</v>
      </c>
      <c r="I61" s="1" t="s">
        <v>117</v>
      </c>
      <c r="L61" s="1" t="s">
        <v>574</v>
      </c>
      <c r="M61" s="1" t="s">
        <v>130</v>
      </c>
      <c r="N61" s="1">
        <v>0</v>
      </c>
      <c r="O61" s="1">
        <v>0</v>
      </c>
      <c r="P61" s="1" t="s">
        <v>211</v>
      </c>
      <c r="Q61" s="1" t="s">
        <v>184</v>
      </c>
      <c r="R61" s="1" t="s">
        <v>575</v>
      </c>
      <c r="S61" s="1" t="s">
        <v>103</v>
      </c>
      <c r="T61" s="1">
        <v>1</v>
      </c>
      <c r="U61" s="1">
        <v>1</v>
      </c>
      <c r="V61" s="1">
        <v>0</v>
      </c>
      <c r="W61" s="1">
        <v>0</v>
      </c>
      <c r="X61" s="1">
        <v>0</v>
      </c>
      <c r="Y61" s="1" t="s">
        <v>104</v>
      </c>
      <c r="Z61" s="1" t="s">
        <v>104</v>
      </c>
      <c r="AA61" s="1" t="s">
        <v>104</v>
      </c>
      <c r="AB61" s="1">
        <v>1</v>
      </c>
      <c r="AC61" s="1">
        <v>1</v>
      </c>
      <c r="AD61" s="1" t="s">
        <v>104</v>
      </c>
      <c r="AE61" s="1" t="s">
        <v>104</v>
      </c>
      <c r="AF61" s="1" t="s">
        <v>104</v>
      </c>
      <c r="AG61" s="1" t="s">
        <v>104</v>
      </c>
      <c r="AH61" s="1" t="s">
        <v>104</v>
      </c>
      <c r="AI61" s="1" t="s">
        <v>104</v>
      </c>
      <c r="AJ61" s="1" t="s">
        <v>104</v>
      </c>
      <c r="AK61" s="1" t="s">
        <v>104</v>
      </c>
      <c r="AL61" s="1" t="s">
        <v>104</v>
      </c>
      <c r="AM61" s="1" t="s">
        <v>104</v>
      </c>
      <c r="AO61" s="1">
        <v>1</v>
      </c>
      <c r="AP61" s="1" t="s">
        <v>576</v>
      </c>
      <c r="AQ61" s="1" t="s">
        <v>577</v>
      </c>
      <c r="AR61" s="1">
        <v>0</v>
      </c>
      <c r="AS61" s="1">
        <v>0</v>
      </c>
      <c r="AT61" s="1">
        <v>0</v>
      </c>
      <c r="AU61" s="1">
        <v>0</v>
      </c>
      <c r="AV61" s="1">
        <v>0</v>
      </c>
      <c r="AW61" s="1">
        <v>0</v>
      </c>
      <c r="AX61" s="1">
        <v>0</v>
      </c>
      <c r="AY61" s="1">
        <v>0</v>
      </c>
      <c r="AZ61" s="1">
        <v>0</v>
      </c>
      <c r="BA61" s="1">
        <v>0</v>
      </c>
      <c r="BB61" s="1">
        <v>1</v>
      </c>
      <c r="BC61" s="1">
        <v>0</v>
      </c>
      <c r="BD61" s="1">
        <v>0</v>
      </c>
      <c r="BE61" s="1">
        <v>0</v>
      </c>
      <c r="BF61" s="1">
        <v>0</v>
      </c>
      <c r="BG61" s="1">
        <v>0</v>
      </c>
      <c r="BH61" s="1">
        <v>0</v>
      </c>
      <c r="BI61" s="1">
        <v>0</v>
      </c>
      <c r="BJ61" s="1">
        <v>0</v>
      </c>
      <c r="BK61" s="1">
        <v>1</v>
      </c>
      <c r="BL61" s="1">
        <v>0</v>
      </c>
      <c r="BM61" s="1">
        <v>0</v>
      </c>
      <c r="BN61" s="1">
        <v>0</v>
      </c>
      <c r="BO61" s="1">
        <v>0</v>
      </c>
      <c r="BP61" s="1">
        <v>0</v>
      </c>
      <c r="BQ61" s="2" t="str">
        <f>HYPERLINK("http://www.d20pfsrd.com/magic/all-spells/c/calm-animals","Calm Animals")</f>
        <v>Calm Animals</v>
      </c>
      <c r="BR61" s="1">
        <v>60</v>
      </c>
      <c r="BS61" s="1" t="s">
        <v>104</v>
      </c>
      <c r="BX61" s="1">
        <v>0</v>
      </c>
      <c r="BY61" s="1" t="s">
        <v>104</v>
      </c>
      <c r="BZ61" s="1">
        <v>1</v>
      </c>
      <c r="CA61" s="1">
        <v>1</v>
      </c>
      <c r="CB61" s="1" t="s">
        <v>104</v>
      </c>
      <c r="CC61" s="1" t="s">
        <v>104</v>
      </c>
      <c r="CD61" s="1" t="s">
        <v>104</v>
      </c>
      <c r="CE61" s="1" t="s">
        <v>104</v>
      </c>
      <c r="CF61" s="1" t="s">
        <v>104</v>
      </c>
      <c r="CG61" s="1" t="s">
        <v>104</v>
      </c>
      <c r="CH61" s="1">
        <v>1</v>
      </c>
      <c r="CJ61" s="1">
        <v>0</v>
      </c>
      <c r="CK61" s="1">
        <v>0</v>
      </c>
      <c r="CL61" s="1">
        <v>0</v>
      </c>
      <c r="CM61" s="1" t="s">
        <v>104</v>
      </c>
    </row>
    <row r="62" spans="1:91" ht="14.25" customHeight="1" x14ac:dyDescent="0.3">
      <c r="A62" s="1" t="s">
        <v>578</v>
      </c>
      <c r="B62" s="1" t="s">
        <v>123</v>
      </c>
      <c r="C62" s="1" t="s">
        <v>124</v>
      </c>
      <c r="D62" s="1" t="s">
        <v>271</v>
      </c>
      <c r="E62" s="1" t="s">
        <v>579</v>
      </c>
      <c r="F62" s="1" t="s">
        <v>95</v>
      </c>
      <c r="G62" s="1" t="s">
        <v>127</v>
      </c>
      <c r="H62" s="1">
        <v>0</v>
      </c>
      <c r="I62" s="1" t="s">
        <v>109</v>
      </c>
      <c r="J62" s="1" t="s">
        <v>580</v>
      </c>
      <c r="M62" s="1" t="s">
        <v>581</v>
      </c>
      <c r="N62" s="1">
        <v>1</v>
      </c>
      <c r="O62" s="1">
        <v>0</v>
      </c>
      <c r="P62" s="1" t="s">
        <v>211</v>
      </c>
      <c r="Q62" s="1" t="s">
        <v>184</v>
      </c>
      <c r="R62" s="1" t="s">
        <v>582</v>
      </c>
      <c r="S62" s="1" t="s">
        <v>103</v>
      </c>
      <c r="T62" s="1">
        <v>1</v>
      </c>
      <c r="U62" s="1">
        <v>1</v>
      </c>
      <c r="V62" s="1">
        <v>0</v>
      </c>
      <c r="W62" s="1">
        <v>0</v>
      </c>
      <c r="X62" s="1">
        <v>1</v>
      </c>
      <c r="Y62" s="1" t="s">
        <v>104</v>
      </c>
      <c r="Z62" s="1" t="s">
        <v>104</v>
      </c>
      <c r="AA62" s="1">
        <v>2</v>
      </c>
      <c r="AB62" s="1" t="s">
        <v>104</v>
      </c>
      <c r="AC62" s="1" t="s">
        <v>104</v>
      </c>
      <c r="AD62" s="1">
        <v>2</v>
      </c>
      <c r="AE62" s="1" t="s">
        <v>104</v>
      </c>
      <c r="AF62" s="1" t="s">
        <v>104</v>
      </c>
      <c r="AG62" s="1" t="s">
        <v>104</v>
      </c>
      <c r="AH62" s="1" t="s">
        <v>104</v>
      </c>
      <c r="AI62" s="1">
        <v>2</v>
      </c>
      <c r="AJ62" s="1">
        <v>2</v>
      </c>
      <c r="AK62" s="1" t="s">
        <v>104</v>
      </c>
      <c r="AL62" s="1" t="s">
        <v>104</v>
      </c>
      <c r="AM62" s="1" t="s">
        <v>104</v>
      </c>
      <c r="AO62" s="1">
        <v>2</v>
      </c>
      <c r="AP62" s="1" t="s">
        <v>583</v>
      </c>
      <c r="AQ62" s="1" t="s">
        <v>584</v>
      </c>
      <c r="AR62" s="1">
        <v>0</v>
      </c>
      <c r="AS62" s="1">
        <v>0</v>
      </c>
      <c r="AT62" s="1">
        <v>0</v>
      </c>
      <c r="AU62" s="1">
        <v>0</v>
      </c>
      <c r="AV62" s="1">
        <v>0</v>
      </c>
      <c r="AW62" s="1">
        <v>0</v>
      </c>
      <c r="AX62" s="1">
        <v>0</v>
      </c>
      <c r="AY62" s="1">
        <v>0</v>
      </c>
      <c r="AZ62" s="1">
        <v>0</v>
      </c>
      <c r="BA62" s="1">
        <v>0</v>
      </c>
      <c r="BB62" s="1">
        <v>1</v>
      </c>
      <c r="BC62" s="1">
        <v>0</v>
      </c>
      <c r="BD62" s="1">
        <v>0</v>
      </c>
      <c r="BE62" s="1">
        <v>0</v>
      </c>
      <c r="BF62" s="1">
        <v>0</v>
      </c>
      <c r="BG62" s="1">
        <v>0</v>
      </c>
      <c r="BH62" s="1">
        <v>0</v>
      </c>
      <c r="BI62" s="1">
        <v>0</v>
      </c>
      <c r="BJ62" s="1">
        <v>0</v>
      </c>
      <c r="BK62" s="1">
        <v>1</v>
      </c>
      <c r="BL62" s="1">
        <v>0</v>
      </c>
      <c r="BM62" s="1">
        <v>0</v>
      </c>
      <c r="BN62" s="1">
        <v>0</v>
      </c>
      <c r="BO62" s="1">
        <v>0</v>
      </c>
      <c r="BP62" s="1">
        <v>0</v>
      </c>
      <c r="BQ62" s="2" t="str">
        <f>HYPERLINK("http://www.d20pfsrd.com/magic/all-spells/c/calm-emotions","Calm Emotions")</f>
        <v>Calm Emotions</v>
      </c>
      <c r="BR62" s="1">
        <v>61</v>
      </c>
      <c r="BS62" s="1" t="s">
        <v>104</v>
      </c>
      <c r="BU62" s="1" t="s">
        <v>585</v>
      </c>
      <c r="BX62" s="1">
        <v>0</v>
      </c>
      <c r="BY62" s="1" t="s">
        <v>104</v>
      </c>
      <c r="BZ62" s="1">
        <v>2</v>
      </c>
      <c r="CA62" s="1">
        <v>2</v>
      </c>
      <c r="CB62" s="1" t="s">
        <v>104</v>
      </c>
      <c r="CC62" s="1">
        <v>2</v>
      </c>
      <c r="CD62" s="1">
        <v>2</v>
      </c>
      <c r="CE62" s="1" t="s">
        <v>104</v>
      </c>
      <c r="CF62" s="1" t="s">
        <v>104</v>
      </c>
      <c r="CG62" s="1" t="s">
        <v>104</v>
      </c>
      <c r="CH62" s="1" t="s">
        <v>104</v>
      </c>
      <c r="CJ62" s="1">
        <v>0</v>
      </c>
      <c r="CK62" s="1">
        <v>0</v>
      </c>
      <c r="CL62" s="1">
        <v>0</v>
      </c>
      <c r="CM62" s="1" t="s">
        <v>104</v>
      </c>
    </row>
    <row r="63" spans="1:91" ht="14.25" customHeight="1" x14ac:dyDescent="0.3">
      <c r="A63" s="1" t="s">
        <v>586</v>
      </c>
      <c r="B63" s="1" t="s">
        <v>137</v>
      </c>
      <c r="E63" s="1" t="s">
        <v>587</v>
      </c>
      <c r="F63" s="1" t="s">
        <v>95</v>
      </c>
      <c r="G63" s="1" t="s">
        <v>588</v>
      </c>
      <c r="H63" s="1">
        <v>0</v>
      </c>
      <c r="I63" s="1" t="s">
        <v>128</v>
      </c>
      <c r="L63" s="1" t="s">
        <v>374</v>
      </c>
      <c r="M63" s="1" t="s">
        <v>130</v>
      </c>
      <c r="N63" s="1">
        <v>0</v>
      </c>
      <c r="O63" s="1">
        <v>0</v>
      </c>
      <c r="P63" s="1" t="s">
        <v>375</v>
      </c>
      <c r="Q63" s="1" t="s">
        <v>184</v>
      </c>
      <c r="R63" s="1" t="s">
        <v>589</v>
      </c>
      <c r="S63" s="1" t="s">
        <v>103</v>
      </c>
      <c r="T63" s="1">
        <v>1</v>
      </c>
      <c r="U63" s="1">
        <v>1</v>
      </c>
      <c r="V63" s="1">
        <v>1</v>
      </c>
      <c r="W63" s="1">
        <v>0</v>
      </c>
      <c r="X63" s="1">
        <v>0</v>
      </c>
      <c r="Y63" s="1">
        <v>2</v>
      </c>
      <c r="Z63" s="1">
        <v>2</v>
      </c>
      <c r="AA63" s="1" t="s">
        <v>104</v>
      </c>
      <c r="AB63" s="1">
        <v>2</v>
      </c>
      <c r="AC63" s="1">
        <v>2</v>
      </c>
      <c r="AD63" s="1">
        <v>2</v>
      </c>
      <c r="AE63" s="1" t="s">
        <v>104</v>
      </c>
      <c r="AF63" s="1">
        <v>2</v>
      </c>
      <c r="AG63" s="1">
        <v>2</v>
      </c>
      <c r="AH63" s="1" t="s">
        <v>104</v>
      </c>
      <c r="AI63" s="1" t="s">
        <v>104</v>
      </c>
      <c r="AJ63" s="1" t="s">
        <v>104</v>
      </c>
      <c r="AK63" s="1" t="s">
        <v>104</v>
      </c>
      <c r="AL63" s="1">
        <v>2</v>
      </c>
      <c r="AM63" s="1">
        <v>2</v>
      </c>
      <c r="AO63" s="1">
        <v>2</v>
      </c>
      <c r="AP63" s="1" t="s">
        <v>590</v>
      </c>
      <c r="AQ63" s="1" t="s">
        <v>591</v>
      </c>
      <c r="AR63" s="1">
        <v>0</v>
      </c>
      <c r="AS63" s="1">
        <v>0</v>
      </c>
      <c r="AT63" s="1">
        <v>0</v>
      </c>
      <c r="AU63" s="1">
        <v>0</v>
      </c>
      <c r="AV63" s="1">
        <v>0</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0</v>
      </c>
      <c r="BN63" s="1">
        <v>0</v>
      </c>
      <c r="BO63" s="1">
        <v>0</v>
      </c>
      <c r="BP63" s="1">
        <v>0</v>
      </c>
      <c r="BQ63" s="2" t="str">
        <f>HYPERLINK("http://www.d20pfsrd.com/magic/all-spells/c/cat-s-grace","Cat's Grace")</f>
        <v>Cat's Grace</v>
      </c>
      <c r="BR63" s="1">
        <v>62</v>
      </c>
      <c r="BS63" s="1" t="s">
        <v>104</v>
      </c>
      <c r="BU63" s="1" t="s">
        <v>592</v>
      </c>
      <c r="BX63" s="1">
        <v>0</v>
      </c>
      <c r="BY63" s="1">
        <v>2</v>
      </c>
      <c r="BZ63" s="1" t="s">
        <v>104</v>
      </c>
      <c r="CA63" s="1">
        <v>2</v>
      </c>
      <c r="CB63" s="1">
        <v>2</v>
      </c>
      <c r="CC63" s="1">
        <v>2</v>
      </c>
      <c r="CD63" s="1" t="s">
        <v>104</v>
      </c>
      <c r="CE63" s="1" t="s">
        <v>104</v>
      </c>
      <c r="CF63" s="1" t="s">
        <v>104</v>
      </c>
      <c r="CG63" s="1" t="s">
        <v>104</v>
      </c>
      <c r="CH63" s="1">
        <v>2</v>
      </c>
      <c r="CJ63" s="1">
        <v>0</v>
      </c>
      <c r="CK63" s="1">
        <v>0</v>
      </c>
      <c r="CL63" s="1">
        <v>0</v>
      </c>
      <c r="CM63" s="1">
        <v>2</v>
      </c>
    </row>
    <row r="64" spans="1:91" ht="14.25" customHeight="1" x14ac:dyDescent="0.3">
      <c r="A64" s="1" t="s">
        <v>593</v>
      </c>
      <c r="B64" s="1" t="s">
        <v>137</v>
      </c>
      <c r="E64" s="1" t="s">
        <v>594</v>
      </c>
      <c r="F64" s="1" t="s">
        <v>95</v>
      </c>
      <c r="G64" s="1" t="s">
        <v>588</v>
      </c>
      <c r="H64" s="1">
        <v>0</v>
      </c>
      <c r="I64" s="1" t="s">
        <v>117</v>
      </c>
      <c r="L64" s="1" t="s">
        <v>541</v>
      </c>
      <c r="M64" s="1" t="s">
        <v>130</v>
      </c>
      <c r="N64" s="1">
        <v>0</v>
      </c>
      <c r="O64" s="1">
        <v>0</v>
      </c>
      <c r="P64" s="1" t="s">
        <v>375</v>
      </c>
      <c r="Q64" s="1" t="s">
        <v>184</v>
      </c>
      <c r="R64" s="1" t="s">
        <v>595</v>
      </c>
      <c r="S64" s="1" t="s">
        <v>103</v>
      </c>
      <c r="T64" s="1">
        <v>1</v>
      </c>
      <c r="U64" s="1">
        <v>1</v>
      </c>
      <c r="V64" s="1">
        <v>1</v>
      </c>
      <c r="W64" s="1">
        <v>0</v>
      </c>
      <c r="X64" s="1">
        <v>0</v>
      </c>
      <c r="Y64" s="1">
        <v>6</v>
      </c>
      <c r="Z64" s="1">
        <v>6</v>
      </c>
      <c r="AA64" s="1" t="s">
        <v>104</v>
      </c>
      <c r="AB64" s="1">
        <v>6</v>
      </c>
      <c r="AC64" s="1" t="s">
        <v>104</v>
      </c>
      <c r="AD64" s="1">
        <v>6</v>
      </c>
      <c r="AE64" s="1" t="s">
        <v>104</v>
      </c>
      <c r="AF64" s="1" t="s">
        <v>104</v>
      </c>
      <c r="AG64" s="1">
        <v>4</v>
      </c>
      <c r="AH64" s="1" t="s">
        <v>104</v>
      </c>
      <c r="AI64" s="1" t="s">
        <v>104</v>
      </c>
      <c r="AJ64" s="1" t="s">
        <v>104</v>
      </c>
      <c r="AK64" s="1" t="s">
        <v>104</v>
      </c>
      <c r="AL64" s="1">
        <v>6</v>
      </c>
      <c r="AM64" s="1" t="s">
        <v>104</v>
      </c>
      <c r="AO64" s="1">
        <v>6</v>
      </c>
      <c r="AQ64" s="1" t="s">
        <v>596</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2" t="str">
        <f>HYPERLINK("http://www.d20pfsrd.com/magic/all-spells/c/cat-s-grace","Cat's Grace, Mass")</f>
        <v>Cat's Grace, Mass</v>
      </c>
      <c r="BR64" s="1">
        <v>63</v>
      </c>
      <c r="BS64" s="1" t="s">
        <v>104</v>
      </c>
      <c r="BU64" s="1" t="s">
        <v>597</v>
      </c>
      <c r="BX64" s="1">
        <v>0</v>
      </c>
      <c r="BY64" s="1" t="s">
        <v>104</v>
      </c>
      <c r="BZ64" s="1" t="s">
        <v>104</v>
      </c>
      <c r="CA64" s="1">
        <v>6</v>
      </c>
      <c r="CB64" s="1" t="s">
        <v>104</v>
      </c>
      <c r="CC64" s="1" t="s">
        <v>104</v>
      </c>
      <c r="CD64" s="1" t="s">
        <v>104</v>
      </c>
      <c r="CE64" s="1" t="s">
        <v>104</v>
      </c>
      <c r="CF64" s="1" t="s">
        <v>104</v>
      </c>
      <c r="CG64" s="1" t="s">
        <v>104</v>
      </c>
      <c r="CH64" s="1">
        <v>6</v>
      </c>
      <c r="CJ64" s="1">
        <v>0</v>
      </c>
      <c r="CK64" s="1">
        <v>0</v>
      </c>
      <c r="CL64" s="1">
        <v>0</v>
      </c>
      <c r="CM64" s="1">
        <v>6</v>
      </c>
    </row>
    <row r="65" spans="1:91" ht="14.25" customHeight="1" x14ac:dyDescent="0.3">
      <c r="A65" s="1" t="s">
        <v>598</v>
      </c>
      <c r="B65" s="1" t="s">
        <v>216</v>
      </c>
      <c r="D65" s="1" t="s">
        <v>599</v>
      </c>
      <c r="E65" s="1" t="s">
        <v>600</v>
      </c>
      <c r="F65" s="1" t="s">
        <v>95</v>
      </c>
      <c r="G65" s="1" t="s">
        <v>116</v>
      </c>
      <c r="H65" s="1">
        <v>0</v>
      </c>
      <c r="I65" s="1" t="s">
        <v>117</v>
      </c>
      <c r="L65" s="1" t="s">
        <v>601</v>
      </c>
      <c r="M65" s="1" t="s">
        <v>602</v>
      </c>
      <c r="N65" s="1">
        <v>0</v>
      </c>
      <c r="O65" s="1">
        <v>0</v>
      </c>
      <c r="P65" s="1" t="s">
        <v>276</v>
      </c>
      <c r="Q65" s="1" t="s">
        <v>184</v>
      </c>
      <c r="R65" s="1" t="s">
        <v>603</v>
      </c>
      <c r="S65" s="1" t="s">
        <v>103</v>
      </c>
      <c r="T65" s="1">
        <v>1</v>
      </c>
      <c r="U65" s="1">
        <v>1</v>
      </c>
      <c r="V65" s="1">
        <v>0</v>
      </c>
      <c r="W65" s="1">
        <v>0</v>
      </c>
      <c r="X65" s="1">
        <v>0</v>
      </c>
      <c r="Y65" s="1">
        <v>1</v>
      </c>
      <c r="Z65" s="1">
        <v>1</v>
      </c>
      <c r="AA65" s="1">
        <v>1</v>
      </c>
      <c r="AB65" s="1" t="s">
        <v>104</v>
      </c>
      <c r="AC65" s="1" t="s">
        <v>104</v>
      </c>
      <c r="AD65" s="1">
        <v>1</v>
      </c>
      <c r="AE65" s="1" t="s">
        <v>104</v>
      </c>
      <c r="AF65" s="1" t="s">
        <v>104</v>
      </c>
      <c r="AG65" s="1" t="s">
        <v>104</v>
      </c>
      <c r="AH65" s="1">
        <v>1</v>
      </c>
      <c r="AI65" s="1">
        <v>1</v>
      </c>
      <c r="AJ65" s="1">
        <v>1</v>
      </c>
      <c r="AK65" s="1">
        <v>1</v>
      </c>
      <c r="AL65" s="1" t="s">
        <v>104</v>
      </c>
      <c r="AM65" s="1">
        <v>1</v>
      </c>
      <c r="AO65" s="1">
        <v>1</v>
      </c>
      <c r="AP65" s="1" t="s">
        <v>604</v>
      </c>
      <c r="AQ65" s="1" t="s">
        <v>605</v>
      </c>
      <c r="AR65" s="1">
        <v>0</v>
      </c>
      <c r="AS65" s="1">
        <v>0</v>
      </c>
      <c r="AT65" s="1">
        <v>0</v>
      </c>
      <c r="AU65" s="1">
        <v>0</v>
      </c>
      <c r="AV65" s="1">
        <v>0</v>
      </c>
      <c r="AW65" s="1">
        <v>0</v>
      </c>
      <c r="AX65" s="1">
        <v>0</v>
      </c>
      <c r="AY65" s="1">
        <v>0</v>
      </c>
      <c r="AZ65" s="1">
        <v>0</v>
      </c>
      <c r="BA65" s="1">
        <v>0</v>
      </c>
      <c r="BB65" s="1">
        <v>1</v>
      </c>
      <c r="BC65" s="1">
        <v>0</v>
      </c>
      <c r="BD65" s="1">
        <v>1</v>
      </c>
      <c r="BE65" s="1">
        <v>0</v>
      </c>
      <c r="BF65" s="1">
        <v>0</v>
      </c>
      <c r="BG65" s="1">
        <v>0</v>
      </c>
      <c r="BH65" s="1">
        <v>0</v>
      </c>
      <c r="BI65" s="1">
        <v>0</v>
      </c>
      <c r="BJ65" s="1">
        <v>0</v>
      </c>
      <c r="BK65" s="1">
        <v>1</v>
      </c>
      <c r="BL65" s="1">
        <v>0</v>
      </c>
      <c r="BM65" s="1">
        <v>0</v>
      </c>
      <c r="BN65" s="1">
        <v>0</v>
      </c>
      <c r="BO65" s="1">
        <v>0</v>
      </c>
      <c r="BP65" s="1">
        <v>0</v>
      </c>
      <c r="BQ65" s="2" t="str">
        <f>HYPERLINK("http://www.d20pfsrd.com/magic/all-spells/c/cause-fear","Cause Fear")</f>
        <v>Cause Fear</v>
      </c>
      <c r="BR65" s="1">
        <v>64</v>
      </c>
      <c r="BS65" s="1" t="s">
        <v>104</v>
      </c>
      <c r="BT65" s="1" t="s">
        <v>606</v>
      </c>
      <c r="BX65" s="1">
        <v>0</v>
      </c>
      <c r="BY65" s="1">
        <v>1</v>
      </c>
      <c r="BZ65" s="1">
        <v>1</v>
      </c>
      <c r="CA65" s="1">
        <v>1</v>
      </c>
      <c r="CB65" s="1">
        <v>1</v>
      </c>
      <c r="CC65" s="1">
        <v>1</v>
      </c>
      <c r="CD65" s="1">
        <v>1</v>
      </c>
      <c r="CE65" s="1">
        <v>1</v>
      </c>
      <c r="CF65" s="1" t="s">
        <v>104</v>
      </c>
      <c r="CG65" s="1" t="s">
        <v>104</v>
      </c>
      <c r="CH65" s="1" t="s">
        <v>104</v>
      </c>
      <c r="CJ65" s="1">
        <v>0</v>
      </c>
      <c r="CK65" s="1">
        <v>0</v>
      </c>
      <c r="CL65" s="1">
        <v>0</v>
      </c>
      <c r="CM65" s="1" t="s">
        <v>104</v>
      </c>
    </row>
    <row r="66" spans="1:91" ht="14.25" customHeight="1" x14ac:dyDescent="0.3">
      <c r="A66" s="1" t="s">
        <v>607</v>
      </c>
      <c r="B66" s="1" t="s">
        <v>434</v>
      </c>
      <c r="D66" s="1" t="s">
        <v>52</v>
      </c>
      <c r="E66" s="1" t="s">
        <v>608</v>
      </c>
      <c r="F66" s="1" t="s">
        <v>95</v>
      </c>
      <c r="G66" s="1" t="s">
        <v>609</v>
      </c>
      <c r="H66" s="1">
        <v>0</v>
      </c>
      <c r="I66" s="1" t="s">
        <v>97</v>
      </c>
      <c r="L66" s="1" t="s">
        <v>610</v>
      </c>
      <c r="M66" s="1" t="s">
        <v>119</v>
      </c>
      <c r="N66" s="1">
        <v>0</v>
      </c>
      <c r="O66" s="1">
        <v>0</v>
      </c>
      <c r="P66" s="1" t="s">
        <v>550</v>
      </c>
      <c r="Q66" s="1" t="s">
        <v>184</v>
      </c>
      <c r="R66" s="1" t="s">
        <v>611</v>
      </c>
      <c r="S66" s="1" t="s">
        <v>103</v>
      </c>
      <c r="T66" s="1">
        <v>1</v>
      </c>
      <c r="U66" s="1">
        <v>1</v>
      </c>
      <c r="V66" s="1">
        <v>0</v>
      </c>
      <c r="W66" s="1">
        <v>0</v>
      </c>
      <c r="X66" s="1">
        <v>0</v>
      </c>
      <c r="Y66" s="1">
        <v>6</v>
      </c>
      <c r="Z66" s="1">
        <v>6</v>
      </c>
      <c r="AA66" s="1" t="s">
        <v>104</v>
      </c>
      <c r="AB66" s="1" t="s">
        <v>104</v>
      </c>
      <c r="AC66" s="1" t="s">
        <v>104</v>
      </c>
      <c r="AD66" s="1" t="s">
        <v>104</v>
      </c>
      <c r="AE66" s="1" t="s">
        <v>104</v>
      </c>
      <c r="AF66" s="1" t="s">
        <v>104</v>
      </c>
      <c r="AG66" s="1" t="s">
        <v>104</v>
      </c>
      <c r="AH66" s="1">
        <v>7</v>
      </c>
      <c r="AI66" s="1" t="s">
        <v>104</v>
      </c>
      <c r="AJ66" s="1" t="s">
        <v>104</v>
      </c>
      <c r="AK66" s="1" t="s">
        <v>104</v>
      </c>
      <c r="AL66" s="1">
        <v>6</v>
      </c>
      <c r="AM66" s="1" t="s">
        <v>104</v>
      </c>
      <c r="AO66" s="1">
        <v>6</v>
      </c>
      <c r="AP66" s="1" t="s">
        <v>612</v>
      </c>
      <c r="AQ66" s="1" t="s">
        <v>613</v>
      </c>
      <c r="AR66" s="1">
        <v>0</v>
      </c>
      <c r="AS66" s="1">
        <v>0</v>
      </c>
      <c r="AT66" s="1">
        <v>0</v>
      </c>
      <c r="AU66" s="1">
        <v>0</v>
      </c>
      <c r="AV66" s="1">
        <v>0</v>
      </c>
      <c r="AW66" s="1">
        <v>0</v>
      </c>
      <c r="AX66" s="1">
        <v>0</v>
      </c>
      <c r="AY66" s="1">
        <v>0</v>
      </c>
      <c r="AZ66" s="1">
        <v>0</v>
      </c>
      <c r="BA66" s="1">
        <v>1</v>
      </c>
      <c r="BB66" s="1">
        <v>0</v>
      </c>
      <c r="BC66" s="1">
        <v>0</v>
      </c>
      <c r="BD66" s="1">
        <v>0</v>
      </c>
      <c r="BE66" s="1">
        <v>0</v>
      </c>
      <c r="BF66" s="1">
        <v>0</v>
      </c>
      <c r="BG66" s="1">
        <v>0</v>
      </c>
      <c r="BH66" s="1">
        <v>0</v>
      </c>
      <c r="BI66" s="1">
        <v>0</v>
      </c>
      <c r="BJ66" s="1">
        <v>0</v>
      </c>
      <c r="BK66" s="1">
        <v>0</v>
      </c>
      <c r="BL66" s="1">
        <v>0</v>
      </c>
      <c r="BM66" s="1">
        <v>0</v>
      </c>
      <c r="BN66" s="1">
        <v>0</v>
      </c>
      <c r="BO66" s="1">
        <v>0</v>
      </c>
      <c r="BP66" s="1">
        <v>0</v>
      </c>
      <c r="BQ66" s="2" t="str">
        <f>HYPERLINK("http://www.d20pfsrd.com/magic/all-spells/c/chain-lightning","Chain Lightning")</f>
        <v>Chain Lightning</v>
      </c>
      <c r="BR66" s="1">
        <v>65</v>
      </c>
      <c r="BS66" s="1" t="s">
        <v>104</v>
      </c>
      <c r="BT66" s="1" t="s">
        <v>614</v>
      </c>
      <c r="BV66" s="1" t="s">
        <v>615</v>
      </c>
      <c r="BX66" s="1">
        <v>1</v>
      </c>
      <c r="BY66" s="1" t="s">
        <v>104</v>
      </c>
      <c r="BZ66" s="1" t="s">
        <v>104</v>
      </c>
      <c r="CA66" s="1" t="s">
        <v>104</v>
      </c>
      <c r="CB66" s="1" t="s">
        <v>104</v>
      </c>
      <c r="CC66" s="1" t="s">
        <v>104</v>
      </c>
      <c r="CD66" s="1">
        <v>6</v>
      </c>
      <c r="CE66" s="1" t="s">
        <v>104</v>
      </c>
      <c r="CF66" s="1" t="s">
        <v>104</v>
      </c>
      <c r="CG66" s="1" t="s">
        <v>104</v>
      </c>
      <c r="CH66" s="1" t="s">
        <v>104</v>
      </c>
      <c r="CJ66" s="1">
        <v>0</v>
      </c>
      <c r="CK66" s="1">
        <v>0</v>
      </c>
      <c r="CL66" s="1">
        <v>0</v>
      </c>
      <c r="CM66" s="1" t="s">
        <v>104</v>
      </c>
    </row>
    <row r="67" spans="1:91" ht="14.25" customHeight="1" x14ac:dyDescent="0.3">
      <c r="A67" s="1" t="s">
        <v>616</v>
      </c>
      <c r="B67" s="1" t="s">
        <v>137</v>
      </c>
      <c r="E67" s="1" t="s">
        <v>617</v>
      </c>
      <c r="F67" s="1" t="s">
        <v>255</v>
      </c>
      <c r="G67" s="1" t="s">
        <v>618</v>
      </c>
      <c r="H67" s="1">
        <v>0</v>
      </c>
      <c r="I67" s="1" t="s">
        <v>128</v>
      </c>
      <c r="L67" s="1" t="s">
        <v>619</v>
      </c>
      <c r="M67" s="1" t="s">
        <v>620</v>
      </c>
      <c r="N67" s="1">
        <v>1</v>
      </c>
      <c r="O67" s="1">
        <v>0</v>
      </c>
      <c r="P67" s="1" t="s">
        <v>100</v>
      </c>
      <c r="Q67" s="1" t="s">
        <v>101</v>
      </c>
      <c r="R67" s="1" t="s">
        <v>621</v>
      </c>
      <c r="S67" s="1" t="s">
        <v>103</v>
      </c>
      <c r="T67" s="1">
        <v>1</v>
      </c>
      <c r="U67" s="1">
        <v>1</v>
      </c>
      <c r="V67" s="1">
        <v>0</v>
      </c>
      <c r="W67" s="1">
        <v>0</v>
      </c>
      <c r="X67" s="1">
        <v>0</v>
      </c>
      <c r="Y67" s="1" t="s">
        <v>104</v>
      </c>
      <c r="Z67" s="1" t="s">
        <v>104</v>
      </c>
      <c r="AA67" s="1" t="s">
        <v>104</v>
      </c>
      <c r="AB67" s="1">
        <v>7</v>
      </c>
      <c r="AC67" s="1" t="s">
        <v>104</v>
      </c>
      <c r="AD67" s="1" t="s">
        <v>104</v>
      </c>
      <c r="AE67" s="1" t="s">
        <v>104</v>
      </c>
      <c r="AF67" s="1" t="s">
        <v>104</v>
      </c>
      <c r="AG67" s="1" t="s">
        <v>104</v>
      </c>
      <c r="AH67" s="1" t="s">
        <v>104</v>
      </c>
      <c r="AI67" s="1" t="s">
        <v>104</v>
      </c>
      <c r="AJ67" s="1" t="s">
        <v>104</v>
      </c>
      <c r="AK67" s="1" t="s">
        <v>104</v>
      </c>
      <c r="AL67" s="1" t="s">
        <v>104</v>
      </c>
      <c r="AM67" s="1" t="s">
        <v>104</v>
      </c>
      <c r="AO67" s="1">
        <v>7</v>
      </c>
      <c r="AQ67" s="1" t="s">
        <v>622</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2" t="str">
        <f>HYPERLINK("http://www.d20pfsrd.com/magic/all-spells/c/changestaff","Changestaff")</f>
        <v>Changestaff</v>
      </c>
      <c r="BR67" s="1">
        <v>66</v>
      </c>
      <c r="BS67" s="1" t="s">
        <v>104</v>
      </c>
      <c r="BV67" s="1" t="s">
        <v>623</v>
      </c>
      <c r="BW67" s="1" t="s">
        <v>624</v>
      </c>
      <c r="BX67" s="1">
        <v>1</v>
      </c>
      <c r="BY67" s="1" t="s">
        <v>104</v>
      </c>
      <c r="BZ67" s="1" t="s">
        <v>104</v>
      </c>
      <c r="CA67" s="1" t="s">
        <v>104</v>
      </c>
      <c r="CB67" s="1" t="s">
        <v>104</v>
      </c>
      <c r="CC67" s="1" t="s">
        <v>104</v>
      </c>
      <c r="CD67" s="1" t="s">
        <v>104</v>
      </c>
      <c r="CE67" s="1" t="s">
        <v>104</v>
      </c>
      <c r="CF67" s="1" t="s">
        <v>104</v>
      </c>
      <c r="CG67" s="1" t="s">
        <v>104</v>
      </c>
      <c r="CH67" s="1" t="s">
        <v>104</v>
      </c>
      <c r="CJ67" s="1">
        <v>0</v>
      </c>
      <c r="CK67" s="1">
        <v>0</v>
      </c>
      <c r="CL67" s="1">
        <v>0</v>
      </c>
      <c r="CM67" s="1" t="s">
        <v>104</v>
      </c>
    </row>
    <row r="68" spans="1:91" ht="14.25" customHeight="1" x14ac:dyDescent="0.3">
      <c r="A68" s="1" t="s">
        <v>625</v>
      </c>
      <c r="B68" s="1" t="s">
        <v>434</v>
      </c>
      <c r="D68" s="1" t="s">
        <v>45</v>
      </c>
      <c r="E68" s="1" t="s">
        <v>626</v>
      </c>
      <c r="F68" s="1" t="s">
        <v>95</v>
      </c>
      <c r="G68" s="1" t="s">
        <v>116</v>
      </c>
      <c r="H68" s="1">
        <v>0</v>
      </c>
      <c r="I68" s="1" t="s">
        <v>109</v>
      </c>
      <c r="J68" s="1" t="s">
        <v>627</v>
      </c>
      <c r="M68" s="1" t="s">
        <v>628</v>
      </c>
      <c r="N68" s="1">
        <v>0</v>
      </c>
      <c r="O68" s="1">
        <v>0</v>
      </c>
      <c r="P68" s="1" t="s">
        <v>629</v>
      </c>
      <c r="Q68" s="1" t="s">
        <v>184</v>
      </c>
      <c r="R68" s="1" t="s">
        <v>630</v>
      </c>
      <c r="S68" s="1" t="s">
        <v>103</v>
      </c>
      <c r="T68" s="1">
        <v>1</v>
      </c>
      <c r="U68" s="1">
        <v>1</v>
      </c>
      <c r="V68" s="1">
        <v>0</v>
      </c>
      <c r="W68" s="1">
        <v>0</v>
      </c>
      <c r="X68" s="1">
        <v>0</v>
      </c>
      <c r="Y68" s="1" t="s">
        <v>104</v>
      </c>
      <c r="Z68" s="1" t="s">
        <v>104</v>
      </c>
      <c r="AA68" s="1">
        <v>4</v>
      </c>
      <c r="AB68" s="1" t="s">
        <v>104</v>
      </c>
      <c r="AC68" s="1" t="s">
        <v>104</v>
      </c>
      <c r="AD68" s="1" t="s">
        <v>104</v>
      </c>
      <c r="AE68" s="1" t="s">
        <v>104</v>
      </c>
      <c r="AF68" s="1" t="s">
        <v>104</v>
      </c>
      <c r="AG68" s="1" t="s">
        <v>104</v>
      </c>
      <c r="AH68" s="1" t="s">
        <v>104</v>
      </c>
      <c r="AI68" s="1">
        <v>4</v>
      </c>
      <c r="AJ68" s="1">
        <v>4</v>
      </c>
      <c r="AK68" s="1" t="s">
        <v>104</v>
      </c>
      <c r="AL68" s="1" t="s">
        <v>104</v>
      </c>
      <c r="AM68" s="1" t="s">
        <v>104</v>
      </c>
      <c r="AO68" s="1">
        <v>4</v>
      </c>
      <c r="AP68" s="1" t="s">
        <v>631</v>
      </c>
      <c r="AQ68" s="1" t="s">
        <v>632</v>
      </c>
      <c r="AR68" s="1">
        <v>0</v>
      </c>
      <c r="AS68" s="1">
        <v>0</v>
      </c>
      <c r="AT68" s="1">
        <v>1</v>
      </c>
      <c r="AU68" s="1">
        <v>0</v>
      </c>
      <c r="AV68" s="1">
        <v>0</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2" t="str">
        <f>HYPERLINK("http://www.d20pfsrd.com/magic/all-spells/c/chaos-hammer","Chaos Hammer")</f>
        <v>Chaos Hammer</v>
      </c>
      <c r="BR68" s="1">
        <v>67</v>
      </c>
      <c r="BS68" s="1" t="s">
        <v>104</v>
      </c>
      <c r="BV68" s="1" t="s">
        <v>633</v>
      </c>
      <c r="BX68" s="1">
        <v>1</v>
      </c>
      <c r="BY68" s="1" t="s">
        <v>104</v>
      </c>
      <c r="BZ68" s="1" t="s">
        <v>104</v>
      </c>
      <c r="CA68" s="1" t="s">
        <v>104</v>
      </c>
      <c r="CB68" s="1" t="s">
        <v>104</v>
      </c>
      <c r="CC68" s="1" t="s">
        <v>104</v>
      </c>
      <c r="CD68" s="1" t="s">
        <v>104</v>
      </c>
      <c r="CE68" s="1" t="s">
        <v>104</v>
      </c>
      <c r="CF68" s="1" t="s">
        <v>104</v>
      </c>
      <c r="CG68" s="1" t="s">
        <v>104</v>
      </c>
      <c r="CH68" s="1" t="s">
        <v>104</v>
      </c>
      <c r="CJ68" s="1">
        <v>0</v>
      </c>
      <c r="CK68" s="1">
        <v>0</v>
      </c>
      <c r="CL68" s="1">
        <v>0</v>
      </c>
      <c r="CM68" s="1" t="s">
        <v>104</v>
      </c>
    </row>
    <row r="69" spans="1:91" ht="14.25" customHeight="1" x14ac:dyDescent="0.3">
      <c r="A69" s="1" t="s">
        <v>634</v>
      </c>
      <c r="B69" s="1" t="s">
        <v>123</v>
      </c>
      <c r="C69" s="1" t="s">
        <v>635</v>
      </c>
      <c r="D69" s="1" t="s">
        <v>125</v>
      </c>
      <c r="E69" s="1" t="s">
        <v>636</v>
      </c>
      <c r="F69" s="1" t="s">
        <v>95</v>
      </c>
      <c r="G69" s="1" t="s">
        <v>116</v>
      </c>
      <c r="H69" s="1">
        <v>0</v>
      </c>
      <c r="I69" s="1" t="s">
        <v>117</v>
      </c>
      <c r="L69" s="1" t="s">
        <v>637</v>
      </c>
      <c r="M69" s="1" t="s">
        <v>201</v>
      </c>
      <c r="N69" s="1">
        <v>0</v>
      </c>
      <c r="O69" s="1">
        <v>0</v>
      </c>
      <c r="P69" s="1" t="s">
        <v>211</v>
      </c>
      <c r="Q69" s="1" t="s">
        <v>184</v>
      </c>
      <c r="R69" s="1" t="s">
        <v>638</v>
      </c>
      <c r="S69" s="1" t="s">
        <v>103</v>
      </c>
      <c r="T69" s="1">
        <v>1</v>
      </c>
      <c r="U69" s="1">
        <v>1</v>
      </c>
      <c r="V69" s="1">
        <v>0</v>
      </c>
      <c r="W69" s="1">
        <v>0</v>
      </c>
      <c r="X69" s="1">
        <v>0</v>
      </c>
      <c r="Y69" s="1">
        <v>1</v>
      </c>
      <c r="Z69" s="1">
        <v>1</v>
      </c>
      <c r="AA69" s="1" t="s">
        <v>104</v>
      </c>
      <c r="AB69" s="1" t="s">
        <v>104</v>
      </c>
      <c r="AC69" s="1" t="s">
        <v>104</v>
      </c>
      <c r="AD69" s="1">
        <v>1</v>
      </c>
      <c r="AE69" s="1" t="s">
        <v>104</v>
      </c>
      <c r="AF69" s="1" t="s">
        <v>104</v>
      </c>
      <c r="AG69" s="1" t="s">
        <v>104</v>
      </c>
      <c r="AH69" s="1">
        <v>1</v>
      </c>
      <c r="AI69" s="1" t="s">
        <v>104</v>
      </c>
      <c r="AJ69" s="1" t="s">
        <v>104</v>
      </c>
      <c r="AK69" s="1" t="s">
        <v>104</v>
      </c>
      <c r="AL69" s="1" t="s">
        <v>104</v>
      </c>
      <c r="AM69" s="1" t="s">
        <v>104</v>
      </c>
      <c r="AO69" s="1">
        <v>1</v>
      </c>
      <c r="AP69" s="1" t="s">
        <v>639</v>
      </c>
      <c r="AQ69" s="1" t="s">
        <v>640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1</v>
      </c>
      <c r="BL69" s="1">
        <v>0</v>
      </c>
      <c r="BM69" s="1">
        <v>0</v>
      </c>
      <c r="BN69" s="1">
        <v>0</v>
      </c>
      <c r="BO69" s="1">
        <v>0</v>
      </c>
      <c r="BP69" s="1">
        <v>0</v>
      </c>
      <c r="BQ69" s="2" t="str">
        <f>HYPERLINK("http://www.d20pfsrd.com/magic/all-spells/c/charm-person","Charm Person")</f>
        <v>Charm Person</v>
      </c>
      <c r="BR69" s="1">
        <v>68</v>
      </c>
      <c r="BS69" s="1" t="s">
        <v>104</v>
      </c>
      <c r="BT69" s="1" t="s">
        <v>641</v>
      </c>
      <c r="BX69" s="1">
        <v>0</v>
      </c>
      <c r="BY69" s="1" t="s">
        <v>104</v>
      </c>
      <c r="BZ69" s="1">
        <v>1</v>
      </c>
      <c r="CA69" s="1">
        <v>1</v>
      </c>
      <c r="CB69" s="1" t="s">
        <v>104</v>
      </c>
      <c r="CC69" s="1">
        <v>1</v>
      </c>
      <c r="CD69" s="1">
        <v>1</v>
      </c>
      <c r="CE69" s="1" t="s">
        <v>104</v>
      </c>
      <c r="CF69" s="1" t="s">
        <v>104</v>
      </c>
      <c r="CG69" s="1" t="s">
        <v>104</v>
      </c>
      <c r="CH69" s="1" t="s">
        <v>104</v>
      </c>
      <c r="CJ69" s="1">
        <v>0</v>
      </c>
      <c r="CK69" s="1">
        <v>0</v>
      </c>
      <c r="CL69" s="1">
        <v>0</v>
      </c>
      <c r="CM69" s="1" t="s">
        <v>104</v>
      </c>
    </row>
    <row r="70" spans="1:91" ht="14.25" customHeight="1" x14ac:dyDescent="0.3">
      <c r="A70" s="1" t="s">
        <v>642</v>
      </c>
      <c r="B70" s="1" t="s">
        <v>123</v>
      </c>
      <c r="C70" s="1" t="s">
        <v>635</v>
      </c>
      <c r="D70" s="1" t="s">
        <v>125</v>
      </c>
      <c r="E70" s="1" t="s">
        <v>573</v>
      </c>
      <c r="F70" s="1" t="s">
        <v>95</v>
      </c>
      <c r="G70" s="1" t="s">
        <v>116</v>
      </c>
      <c r="H70" s="1">
        <v>0</v>
      </c>
      <c r="I70" s="1" t="s">
        <v>117</v>
      </c>
      <c r="L70" s="1" t="s">
        <v>643</v>
      </c>
      <c r="M70" s="1" t="s">
        <v>201</v>
      </c>
      <c r="N70" s="1">
        <v>0</v>
      </c>
      <c r="O70" s="1">
        <v>0</v>
      </c>
      <c r="P70" s="1" t="s">
        <v>211</v>
      </c>
      <c r="Q70" s="1" t="s">
        <v>184</v>
      </c>
      <c r="R70" s="1" t="s">
        <v>644</v>
      </c>
      <c r="S70" s="1" t="s">
        <v>103</v>
      </c>
      <c r="T70" s="1">
        <v>1</v>
      </c>
      <c r="U70" s="1">
        <v>1</v>
      </c>
      <c r="V70" s="1">
        <v>0</v>
      </c>
      <c r="W70" s="1">
        <v>0</v>
      </c>
      <c r="X70" s="1">
        <v>0</v>
      </c>
      <c r="Y70" s="1" t="s">
        <v>104</v>
      </c>
      <c r="Z70" s="1" t="s">
        <v>104</v>
      </c>
      <c r="AA70" s="1" t="s">
        <v>104</v>
      </c>
      <c r="AB70" s="1">
        <v>1</v>
      </c>
      <c r="AC70" s="1">
        <v>1</v>
      </c>
      <c r="AD70" s="1" t="s">
        <v>104</v>
      </c>
      <c r="AE70" s="1" t="s">
        <v>104</v>
      </c>
      <c r="AF70" s="1" t="s">
        <v>104</v>
      </c>
      <c r="AG70" s="1" t="s">
        <v>104</v>
      </c>
      <c r="AH70" s="1" t="s">
        <v>104</v>
      </c>
      <c r="AI70" s="1" t="s">
        <v>104</v>
      </c>
      <c r="AJ70" s="1" t="s">
        <v>104</v>
      </c>
      <c r="AK70" s="1" t="s">
        <v>104</v>
      </c>
      <c r="AL70" s="1" t="s">
        <v>104</v>
      </c>
      <c r="AM70" s="1" t="s">
        <v>104</v>
      </c>
      <c r="AO70" s="1">
        <v>1</v>
      </c>
      <c r="AQ70" s="1" t="s">
        <v>645</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1</v>
      </c>
      <c r="BL70" s="1">
        <v>0</v>
      </c>
      <c r="BM70" s="1">
        <v>0</v>
      </c>
      <c r="BN70" s="1">
        <v>0</v>
      </c>
      <c r="BO70" s="1">
        <v>0</v>
      </c>
      <c r="BP70" s="1">
        <v>0</v>
      </c>
      <c r="BQ70" s="2" t="str">
        <f>HYPERLINK("http://www.d20pfsrd.com/magic/all-spells/c/charm-animal","Charm Animal")</f>
        <v>Charm Animal</v>
      </c>
      <c r="BR70" s="1">
        <v>69</v>
      </c>
      <c r="BS70" s="1" t="s">
        <v>104</v>
      </c>
      <c r="BT70" s="1" t="s">
        <v>646</v>
      </c>
      <c r="BU70" s="1" t="s">
        <v>647</v>
      </c>
      <c r="BX70" s="1">
        <v>0</v>
      </c>
      <c r="BY70" s="1" t="s">
        <v>104</v>
      </c>
      <c r="BZ70" s="1">
        <v>1</v>
      </c>
      <c r="CA70" s="1">
        <v>1</v>
      </c>
      <c r="CB70" s="1" t="s">
        <v>104</v>
      </c>
      <c r="CC70" s="1" t="s">
        <v>104</v>
      </c>
      <c r="CD70" s="1" t="s">
        <v>104</v>
      </c>
      <c r="CE70" s="1" t="s">
        <v>104</v>
      </c>
      <c r="CF70" s="1" t="s">
        <v>104</v>
      </c>
      <c r="CG70" s="1" t="s">
        <v>104</v>
      </c>
      <c r="CH70" s="1">
        <v>1</v>
      </c>
      <c r="CJ70" s="1">
        <v>0</v>
      </c>
      <c r="CK70" s="1">
        <v>0</v>
      </c>
      <c r="CL70" s="1">
        <v>0</v>
      </c>
      <c r="CM70" s="1" t="s">
        <v>104</v>
      </c>
    </row>
    <row r="71" spans="1:91" ht="14.25" customHeight="1" x14ac:dyDescent="0.3">
      <c r="A71" s="1" t="s">
        <v>648</v>
      </c>
      <c r="B71" s="1" t="s">
        <v>123</v>
      </c>
      <c r="C71" s="1" t="s">
        <v>635</v>
      </c>
      <c r="D71" s="1" t="s">
        <v>125</v>
      </c>
      <c r="E71" s="1" t="s">
        <v>649</v>
      </c>
      <c r="F71" s="1" t="s">
        <v>95</v>
      </c>
      <c r="G71" s="1" t="s">
        <v>116</v>
      </c>
      <c r="H71" s="1">
        <v>0</v>
      </c>
      <c r="I71" s="1" t="s">
        <v>117</v>
      </c>
      <c r="L71" s="1" t="s">
        <v>417</v>
      </c>
      <c r="M71" s="1" t="s">
        <v>194</v>
      </c>
      <c r="N71" s="1">
        <v>0</v>
      </c>
      <c r="O71" s="1">
        <v>0</v>
      </c>
      <c r="P71" s="1" t="s">
        <v>211</v>
      </c>
      <c r="Q71" s="1" t="s">
        <v>184</v>
      </c>
      <c r="R71" s="1" t="s">
        <v>650</v>
      </c>
      <c r="S71" s="1" t="s">
        <v>103</v>
      </c>
      <c r="T71" s="1">
        <v>1</v>
      </c>
      <c r="U71" s="1">
        <v>1</v>
      </c>
      <c r="V71" s="1">
        <v>0</v>
      </c>
      <c r="W71" s="1">
        <v>0</v>
      </c>
      <c r="X71" s="1">
        <v>0</v>
      </c>
      <c r="Y71" s="1">
        <v>4</v>
      </c>
      <c r="Z71" s="1">
        <v>4</v>
      </c>
      <c r="AA71" s="1" t="s">
        <v>104</v>
      </c>
      <c r="AB71" s="1" t="s">
        <v>104</v>
      </c>
      <c r="AC71" s="1" t="s">
        <v>104</v>
      </c>
      <c r="AD71" s="1">
        <v>3</v>
      </c>
      <c r="AE71" s="1" t="s">
        <v>104</v>
      </c>
      <c r="AF71" s="1" t="s">
        <v>104</v>
      </c>
      <c r="AG71" s="1">
        <v>3</v>
      </c>
      <c r="AH71" s="1">
        <v>4</v>
      </c>
      <c r="AI71" s="1" t="s">
        <v>104</v>
      </c>
      <c r="AJ71" s="1" t="s">
        <v>104</v>
      </c>
      <c r="AK71" s="1" t="s">
        <v>104</v>
      </c>
      <c r="AL71" s="1" t="s">
        <v>104</v>
      </c>
      <c r="AM71" s="1" t="s">
        <v>104</v>
      </c>
      <c r="AO71" s="1">
        <v>4</v>
      </c>
      <c r="AP71" s="1" t="s">
        <v>651</v>
      </c>
      <c r="AQ71" s="1" t="s">
        <v>652</v>
      </c>
      <c r="AR71" s="1">
        <v>0</v>
      </c>
      <c r="AS71" s="1">
        <v>0</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1</v>
      </c>
      <c r="BL71" s="1">
        <v>0</v>
      </c>
      <c r="BM71" s="1">
        <v>0</v>
      </c>
      <c r="BN71" s="1">
        <v>0</v>
      </c>
      <c r="BO71" s="1">
        <v>0</v>
      </c>
      <c r="BP71" s="1">
        <v>0</v>
      </c>
      <c r="BQ71" s="2" t="str">
        <f>HYPERLINK("http://www.d20pfsrd.com/magic/all-spells/c/charm-monster","Charm Monster")</f>
        <v>Charm Monster</v>
      </c>
      <c r="BR71" s="1">
        <v>70</v>
      </c>
      <c r="BS71" s="1" t="s">
        <v>104</v>
      </c>
      <c r="BT71" s="1" t="s">
        <v>653</v>
      </c>
      <c r="BX71" s="1">
        <v>0</v>
      </c>
      <c r="BY71" s="1" t="s">
        <v>104</v>
      </c>
      <c r="BZ71" s="1" t="s">
        <v>104</v>
      </c>
      <c r="CA71" s="1">
        <v>4</v>
      </c>
      <c r="CB71" s="1" t="s">
        <v>104</v>
      </c>
      <c r="CC71" s="1">
        <v>3</v>
      </c>
      <c r="CD71" s="1">
        <v>4</v>
      </c>
      <c r="CE71" s="1" t="s">
        <v>104</v>
      </c>
      <c r="CF71" s="1" t="s">
        <v>104</v>
      </c>
      <c r="CG71" s="1" t="s">
        <v>104</v>
      </c>
      <c r="CH71" s="1" t="s">
        <v>104</v>
      </c>
      <c r="CJ71" s="1">
        <v>0</v>
      </c>
      <c r="CK71" s="1">
        <v>0</v>
      </c>
      <c r="CL71" s="1">
        <v>0</v>
      </c>
      <c r="CM71" s="1">
        <v>4</v>
      </c>
    </row>
    <row r="72" spans="1:91" ht="14.25" customHeight="1" x14ac:dyDescent="0.3">
      <c r="A72" s="1" t="s">
        <v>654</v>
      </c>
      <c r="B72" s="1" t="s">
        <v>123</v>
      </c>
      <c r="C72" s="1" t="s">
        <v>635</v>
      </c>
      <c r="D72" s="1" t="s">
        <v>125</v>
      </c>
      <c r="E72" s="1" t="s">
        <v>655</v>
      </c>
      <c r="F72" s="1" t="s">
        <v>95</v>
      </c>
      <c r="G72" s="1" t="s">
        <v>237</v>
      </c>
      <c r="H72" s="1">
        <v>0</v>
      </c>
      <c r="I72" s="1" t="s">
        <v>117</v>
      </c>
      <c r="L72" s="1" t="s">
        <v>656</v>
      </c>
      <c r="M72" s="1" t="s">
        <v>194</v>
      </c>
      <c r="N72" s="1">
        <v>0</v>
      </c>
      <c r="O72" s="1">
        <v>0</v>
      </c>
      <c r="P72" s="1" t="s">
        <v>211</v>
      </c>
      <c r="Q72" s="1" t="s">
        <v>184</v>
      </c>
      <c r="R72" s="1" t="s">
        <v>657</v>
      </c>
      <c r="S72" s="1" t="s">
        <v>103</v>
      </c>
      <c r="T72" s="1">
        <v>1</v>
      </c>
      <c r="U72" s="1">
        <v>0</v>
      </c>
      <c r="V72" s="1">
        <v>0</v>
      </c>
      <c r="W72" s="1">
        <v>0</v>
      </c>
      <c r="X72" s="1">
        <v>0</v>
      </c>
      <c r="Y72" s="1">
        <v>8</v>
      </c>
      <c r="Z72" s="1">
        <v>8</v>
      </c>
      <c r="AA72" s="1" t="s">
        <v>104</v>
      </c>
      <c r="AB72" s="1" t="s">
        <v>104</v>
      </c>
      <c r="AC72" s="1" t="s">
        <v>104</v>
      </c>
      <c r="AD72" s="1">
        <v>6</v>
      </c>
      <c r="AE72" s="1" t="s">
        <v>104</v>
      </c>
      <c r="AF72" s="1" t="s">
        <v>104</v>
      </c>
      <c r="AG72" s="1">
        <v>6</v>
      </c>
      <c r="AH72" s="1">
        <v>8</v>
      </c>
      <c r="AI72" s="1" t="s">
        <v>104</v>
      </c>
      <c r="AJ72" s="1" t="s">
        <v>104</v>
      </c>
      <c r="AK72" s="1" t="s">
        <v>104</v>
      </c>
      <c r="AL72" s="1" t="s">
        <v>104</v>
      </c>
      <c r="AM72" s="1" t="s">
        <v>104</v>
      </c>
      <c r="AO72" s="1">
        <v>8</v>
      </c>
      <c r="AQ72" s="1" t="s">
        <v>658</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1</v>
      </c>
      <c r="BL72" s="1">
        <v>0</v>
      </c>
      <c r="BM72" s="1">
        <v>0</v>
      </c>
      <c r="BN72" s="1">
        <v>0</v>
      </c>
      <c r="BO72" s="1">
        <v>0</v>
      </c>
      <c r="BP72" s="1">
        <v>0</v>
      </c>
      <c r="BQ72" s="2" t="str">
        <f>HYPERLINK("http://www.d20pfsrd.com/magic/all-spells/c/charm-monster","Charm Monster, Mass")</f>
        <v>Charm Monster, Mass</v>
      </c>
      <c r="BR72" s="1">
        <v>71</v>
      </c>
      <c r="BS72" s="1" t="s">
        <v>104</v>
      </c>
      <c r="BX72" s="1">
        <v>0</v>
      </c>
      <c r="BY72" s="1" t="s">
        <v>104</v>
      </c>
      <c r="BZ72" s="1" t="s">
        <v>104</v>
      </c>
      <c r="CA72" s="1">
        <v>8</v>
      </c>
      <c r="CB72" s="1" t="s">
        <v>104</v>
      </c>
      <c r="CC72" s="1">
        <v>6</v>
      </c>
      <c r="CD72" s="1">
        <v>6</v>
      </c>
      <c r="CE72" s="1" t="s">
        <v>104</v>
      </c>
      <c r="CF72" s="1" t="s">
        <v>104</v>
      </c>
      <c r="CG72" s="1" t="s">
        <v>104</v>
      </c>
      <c r="CH72" s="1" t="s">
        <v>104</v>
      </c>
      <c r="CJ72" s="1">
        <v>0</v>
      </c>
      <c r="CK72" s="1">
        <v>0</v>
      </c>
      <c r="CL72" s="1">
        <v>0</v>
      </c>
      <c r="CM72" s="1">
        <v>6</v>
      </c>
    </row>
    <row r="73" spans="1:91" ht="14.25" customHeight="1" x14ac:dyDescent="0.3">
      <c r="A73" s="1" t="s">
        <v>659</v>
      </c>
      <c r="B73" s="1" t="s">
        <v>137</v>
      </c>
      <c r="D73" s="1" t="s">
        <v>46</v>
      </c>
      <c r="E73" s="1" t="s">
        <v>660</v>
      </c>
      <c r="F73" s="1" t="s">
        <v>95</v>
      </c>
      <c r="G73" s="1" t="s">
        <v>127</v>
      </c>
      <c r="H73" s="1">
        <v>0</v>
      </c>
      <c r="I73" s="1" t="s">
        <v>117</v>
      </c>
      <c r="L73" s="1" t="s">
        <v>661</v>
      </c>
      <c r="M73" s="1" t="s">
        <v>662</v>
      </c>
      <c r="N73" s="1">
        <v>0</v>
      </c>
      <c r="O73" s="1">
        <v>0</v>
      </c>
      <c r="P73" s="1" t="s">
        <v>471</v>
      </c>
      <c r="Q73" s="1" t="s">
        <v>472</v>
      </c>
      <c r="R73" s="1" t="s">
        <v>663</v>
      </c>
      <c r="S73" s="1" t="s">
        <v>103</v>
      </c>
      <c r="T73" s="1">
        <v>1</v>
      </c>
      <c r="U73" s="1">
        <v>1</v>
      </c>
      <c r="V73" s="1">
        <v>0</v>
      </c>
      <c r="W73" s="1">
        <v>0</v>
      </c>
      <c r="X73" s="1">
        <v>1</v>
      </c>
      <c r="Y73" s="1" t="s">
        <v>104</v>
      </c>
      <c r="Z73" s="1" t="s">
        <v>104</v>
      </c>
      <c r="AA73" s="1" t="s">
        <v>104</v>
      </c>
      <c r="AB73" s="1">
        <v>2</v>
      </c>
      <c r="AC73" s="1" t="s">
        <v>104</v>
      </c>
      <c r="AD73" s="1" t="s">
        <v>104</v>
      </c>
      <c r="AE73" s="1" t="s">
        <v>104</v>
      </c>
      <c r="AF73" s="1" t="s">
        <v>104</v>
      </c>
      <c r="AG73" s="1" t="s">
        <v>104</v>
      </c>
      <c r="AH73" s="1" t="s">
        <v>104</v>
      </c>
      <c r="AI73" s="1" t="s">
        <v>104</v>
      </c>
      <c r="AJ73" s="1" t="s">
        <v>104</v>
      </c>
      <c r="AK73" s="1" t="s">
        <v>104</v>
      </c>
      <c r="AL73" s="1" t="s">
        <v>104</v>
      </c>
      <c r="AM73" s="1" t="s">
        <v>104</v>
      </c>
      <c r="AO73" s="1">
        <v>2</v>
      </c>
      <c r="AQ73" s="1" t="s">
        <v>664</v>
      </c>
      <c r="AR73" s="1">
        <v>0</v>
      </c>
      <c r="AS73" s="1">
        <v>0</v>
      </c>
      <c r="AT73" s="1">
        <v>0</v>
      </c>
      <c r="AU73" s="1">
        <v>1</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2" t="str">
        <f>HYPERLINK("http://www.d20pfsrd.com/magic/all-spells/c/chill-metal","Chill Metal")</f>
        <v>Chill Metal</v>
      </c>
      <c r="BR73" s="1">
        <v>72</v>
      </c>
      <c r="BS73" s="1" t="s">
        <v>104</v>
      </c>
      <c r="BX73" s="1">
        <v>0</v>
      </c>
      <c r="BY73" s="1" t="s">
        <v>104</v>
      </c>
      <c r="BZ73" s="1" t="s">
        <v>104</v>
      </c>
      <c r="CA73" s="1">
        <v>2</v>
      </c>
      <c r="CB73" s="1" t="s">
        <v>104</v>
      </c>
      <c r="CC73" s="1" t="s">
        <v>104</v>
      </c>
      <c r="CD73" s="1">
        <v>2</v>
      </c>
      <c r="CE73" s="1" t="s">
        <v>104</v>
      </c>
      <c r="CF73" s="1" t="s">
        <v>104</v>
      </c>
      <c r="CG73" s="1" t="s">
        <v>104</v>
      </c>
      <c r="CH73" s="1">
        <v>2</v>
      </c>
      <c r="CJ73" s="1">
        <v>0</v>
      </c>
      <c r="CK73" s="1">
        <v>0</v>
      </c>
      <c r="CL73" s="1">
        <v>0</v>
      </c>
      <c r="CM73" s="1" t="s">
        <v>104</v>
      </c>
    </row>
    <row r="74" spans="1:91" ht="14.25" customHeight="1" x14ac:dyDescent="0.3">
      <c r="A74" s="1" t="s">
        <v>665</v>
      </c>
      <c r="B74" s="1" t="s">
        <v>216</v>
      </c>
      <c r="E74" s="1" t="s">
        <v>666</v>
      </c>
      <c r="F74" s="1" t="s">
        <v>95</v>
      </c>
      <c r="G74" s="1" t="s">
        <v>116</v>
      </c>
      <c r="H74" s="1">
        <v>0</v>
      </c>
      <c r="I74" s="1" t="s">
        <v>128</v>
      </c>
      <c r="L74" s="1" t="s">
        <v>667</v>
      </c>
      <c r="M74" s="1" t="s">
        <v>119</v>
      </c>
      <c r="N74" s="1">
        <v>0</v>
      </c>
      <c r="O74" s="1">
        <v>0</v>
      </c>
      <c r="P74" s="1" t="s">
        <v>668</v>
      </c>
      <c r="Q74" s="1" t="s">
        <v>184</v>
      </c>
      <c r="R74" s="1" t="s">
        <v>669</v>
      </c>
      <c r="S74" s="1" t="s">
        <v>103</v>
      </c>
      <c r="T74" s="1">
        <v>1</v>
      </c>
      <c r="U74" s="1">
        <v>1</v>
      </c>
      <c r="V74" s="1">
        <v>0</v>
      </c>
      <c r="W74" s="1">
        <v>0</v>
      </c>
      <c r="X74" s="1">
        <v>0</v>
      </c>
      <c r="Y74" s="1">
        <v>1</v>
      </c>
      <c r="Z74" s="1">
        <v>1</v>
      </c>
      <c r="AA74" s="1" t="s">
        <v>104</v>
      </c>
      <c r="AB74" s="1" t="s">
        <v>104</v>
      </c>
      <c r="AC74" s="1" t="s">
        <v>104</v>
      </c>
      <c r="AD74" s="1" t="s">
        <v>104</v>
      </c>
      <c r="AE74" s="1" t="s">
        <v>104</v>
      </c>
      <c r="AF74" s="1" t="s">
        <v>104</v>
      </c>
      <c r="AG74" s="1" t="s">
        <v>104</v>
      </c>
      <c r="AH74" s="1">
        <v>1</v>
      </c>
      <c r="AI74" s="1" t="s">
        <v>104</v>
      </c>
      <c r="AJ74" s="1" t="s">
        <v>104</v>
      </c>
      <c r="AK74" s="1" t="s">
        <v>104</v>
      </c>
      <c r="AL74" s="1">
        <v>1</v>
      </c>
      <c r="AM74" s="1" t="s">
        <v>104</v>
      </c>
      <c r="AO74" s="1">
        <v>1</v>
      </c>
      <c r="AQ74" s="1" t="s">
        <v>670</v>
      </c>
      <c r="AR74" s="1">
        <v>0</v>
      </c>
      <c r="AS74" s="1">
        <v>0</v>
      </c>
      <c r="AT74" s="1">
        <v>0</v>
      </c>
      <c r="AU74" s="1">
        <v>0</v>
      </c>
      <c r="AV74" s="1">
        <v>0</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2" t="str">
        <f>HYPERLINK("http://www.d20pfsrd.com/magic/all-spells/c/chill-touch","Chill Touch")</f>
        <v>Chill Touch</v>
      </c>
      <c r="BR74" s="1">
        <v>73</v>
      </c>
      <c r="BS74" s="1" t="s">
        <v>104</v>
      </c>
      <c r="BT74" s="1" t="s">
        <v>671</v>
      </c>
      <c r="BX74" s="1">
        <v>0</v>
      </c>
      <c r="BY74" s="1">
        <v>1</v>
      </c>
      <c r="BZ74" s="1">
        <v>1</v>
      </c>
      <c r="CA74" s="1" t="s">
        <v>104</v>
      </c>
      <c r="CB74" s="1" t="s">
        <v>104</v>
      </c>
      <c r="CC74" s="1" t="s">
        <v>104</v>
      </c>
      <c r="CD74" s="1" t="s">
        <v>104</v>
      </c>
      <c r="CE74" s="1">
        <v>1</v>
      </c>
      <c r="CF74" s="1" t="s">
        <v>104</v>
      </c>
      <c r="CG74" s="1" t="s">
        <v>104</v>
      </c>
      <c r="CH74" s="1" t="s">
        <v>104</v>
      </c>
      <c r="CJ74" s="1">
        <v>0</v>
      </c>
      <c r="CK74" s="1">
        <v>0</v>
      </c>
      <c r="CL74" s="1">
        <v>0</v>
      </c>
      <c r="CM74" s="1" t="s">
        <v>104</v>
      </c>
    </row>
    <row r="75" spans="1:91" ht="14.25" customHeight="1" x14ac:dyDescent="0.3">
      <c r="A75" s="1" t="s">
        <v>672</v>
      </c>
      <c r="B75" s="1" t="s">
        <v>216</v>
      </c>
      <c r="D75" s="1" t="s">
        <v>49</v>
      </c>
      <c r="E75" s="1" t="s">
        <v>673</v>
      </c>
      <c r="F75" s="1" t="s">
        <v>95</v>
      </c>
      <c r="G75" s="1" t="s">
        <v>674</v>
      </c>
      <c r="H75" s="1">
        <v>1</v>
      </c>
      <c r="I75" s="1" t="s">
        <v>109</v>
      </c>
      <c r="J75" s="1" t="s">
        <v>675</v>
      </c>
      <c r="M75" s="1" t="s">
        <v>119</v>
      </c>
      <c r="N75" s="1">
        <v>0</v>
      </c>
      <c r="O75" s="1">
        <v>0</v>
      </c>
      <c r="P75" s="1" t="s">
        <v>183</v>
      </c>
      <c r="Q75" s="1" t="s">
        <v>184</v>
      </c>
      <c r="R75" s="1" t="s">
        <v>676</v>
      </c>
      <c r="S75" s="1" t="s">
        <v>103</v>
      </c>
      <c r="T75" s="1">
        <v>1</v>
      </c>
      <c r="U75" s="1">
        <v>1</v>
      </c>
      <c r="V75" s="1">
        <v>1</v>
      </c>
      <c r="W75" s="1">
        <v>0</v>
      </c>
      <c r="X75" s="1">
        <v>0</v>
      </c>
      <c r="Y75" s="1">
        <v>6</v>
      </c>
      <c r="Z75" s="1">
        <v>6</v>
      </c>
      <c r="AA75" s="1" t="s">
        <v>104</v>
      </c>
      <c r="AB75" s="1" t="s">
        <v>104</v>
      </c>
      <c r="AC75" s="1" t="s">
        <v>104</v>
      </c>
      <c r="AD75" s="1" t="s">
        <v>104</v>
      </c>
      <c r="AE75" s="1" t="s">
        <v>104</v>
      </c>
      <c r="AF75" s="1" t="s">
        <v>104</v>
      </c>
      <c r="AG75" s="1" t="s">
        <v>104</v>
      </c>
      <c r="AH75" s="1" t="s">
        <v>104</v>
      </c>
      <c r="AI75" s="1">
        <v>6</v>
      </c>
      <c r="AJ75" s="1" t="s">
        <v>104</v>
      </c>
      <c r="AK75" s="1" t="s">
        <v>104</v>
      </c>
      <c r="AL75" s="1" t="s">
        <v>104</v>
      </c>
      <c r="AM75" s="1" t="s">
        <v>104</v>
      </c>
      <c r="AO75" s="1">
        <v>6</v>
      </c>
      <c r="AQ75" s="1" t="s">
        <v>677</v>
      </c>
      <c r="AR75" s="1">
        <v>0</v>
      </c>
      <c r="AS75" s="1">
        <v>0</v>
      </c>
      <c r="AT75" s="1">
        <v>0</v>
      </c>
      <c r="AU75" s="1">
        <v>0</v>
      </c>
      <c r="AV75" s="1">
        <v>0</v>
      </c>
      <c r="AW75" s="1">
        <v>0</v>
      </c>
      <c r="AX75" s="1">
        <v>1</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2" t="str">
        <f>HYPERLINK("http://www.d20pfsrd.com/magic/all-spells/c/circle-of-death","Circle of Death")</f>
        <v>Circle of Death</v>
      </c>
      <c r="BR75" s="1">
        <v>74</v>
      </c>
      <c r="BS75" s="1">
        <v>500</v>
      </c>
      <c r="BT75" s="1" t="s">
        <v>678</v>
      </c>
      <c r="BU75" s="1" t="s">
        <v>679</v>
      </c>
      <c r="BV75" s="1" t="s">
        <v>680</v>
      </c>
      <c r="BW75" s="1" t="s">
        <v>681</v>
      </c>
      <c r="BX75" s="1">
        <v>1</v>
      </c>
      <c r="BY75" s="1" t="s">
        <v>104</v>
      </c>
      <c r="BZ75" s="1" t="s">
        <v>104</v>
      </c>
      <c r="CA75" s="1" t="s">
        <v>104</v>
      </c>
      <c r="CB75" s="1" t="s">
        <v>104</v>
      </c>
      <c r="CC75" s="1" t="s">
        <v>104</v>
      </c>
      <c r="CD75" s="1" t="s">
        <v>104</v>
      </c>
      <c r="CE75" s="1">
        <v>6</v>
      </c>
      <c r="CF75" s="1" t="s">
        <v>104</v>
      </c>
      <c r="CG75" s="1" t="s">
        <v>104</v>
      </c>
      <c r="CH75" s="1" t="s">
        <v>104</v>
      </c>
      <c r="CJ75" s="1">
        <v>0</v>
      </c>
      <c r="CK75" s="1">
        <v>0</v>
      </c>
      <c r="CL75" s="1">
        <v>0</v>
      </c>
      <c r="CM75" s="1" t="s">
        <v>104</v>
      </c>
    </row>
    <row r="76" spans="1:91" ht="14.25" customHeight="1" x14ac:dyDescent="0.3">
      <c r="A76" s="1" t="s">
        <v>682</v>
      </c>
      <c r="B76" s="1" t="s">
        <v>172</v>
      </c>
      <c r="C76" s="1" t="s">
        <v>285</v>
      </c>
      <c r="E76" s="1" t="s">
        <v>683</v>
      </c>
      <c r="F76" s="1" t="s">
        <v>287</v>
      </c>
      <c r="G76" s="1" t="s">
        <v>684</v>
      </c>
      <c r="H76" s="1">
        <v>0</v>
      </c>
      <c r="I76" s="1" t="s">
        <v>97</v>
      </c>
      <c r="K76" s="1" t="s">
        <v>290</v>
      </c>
      <c r="M76" s="1" t="s">
        <v>130</v>
      </c>
      <c r="N76" s="1">
        <v>1</v>
      </c>
      <c r="O76" s="1">
        <v>0</v>
      </c>
      <c r="P76" s="1" t="s">
        <v>100</v>
      </c>
      <c r="Q76" s="1" t="s">
        <v>101</v>
      </c>
      <c r="R76" s="1" t="s">
        <v>685</v>
      </c>
      <c r="S76" s="1" t="s">
        <v>103</v>
      </c>
      <c r="T76" s="1">
        <v>1</v>
      </c>
      <c r="U76" s="1">
        <v>1</v>
      </c>
      <c r="V76" s="1">
        <v>0</v>
      </c>
      <c r="W76" s="1">
        <v>1</v>
      </c>
      <c r="X76" s="1">
        <v>1</v>
      </c>
      <c r="Y76" s="1">
        <v>3</v>
      </c>
      <c r="Z76" s="1">
        <v>3</v>
      </c>
      <c r="AA76" s="1" t="s">
        <v>104</v>
      </c>
      <c r="AB76" s="1" t="s">
        <v>104</v>
      </c>
      <c r="AC76" s="1" t="s">
        <v>104</v>
      </c>
      <c r="AD76" s="1">
        <v>3</v>
      </c>
      <c r="AE76" s="1" t="s">
        <v>104</v>
      </c>
      <c r="AF76" s="1" t="s">
        <v>104</v>
      </c>
      <c r="AG76" s="1" t="s">
        <v>104</v>
      </c>
      <c r="AH76" s="1">
        <v>3</v>
      </c>
      <c r="AI76" s="1" t="s">
        <v>104</v>
      </c>
      <c r="AJ76" s="1" t="s">
        <v>104</v>
      </c>
      <c r="AK76" s="1" t="s">
        <v>104</v>
      </c>
      <c r="AL76" s="1" t="s">
        <v>104</v>
      </c>
      <c r="AM76" s="1" t="s">
        <v>104</v>
      </c>
      <c r="AO76" s="1">
        <v>3</v>
      </c>
      <c r="AQ76" s="1" t="s">
        <v>686</v>
      </c>
      <c r="AR76" s="1">
        <v>0</v>
      </c>
      <c r="AS76" s="1">
        <v>0</v>
      </c>
      <c r="AT76" s="1">
        <v>0</v>
      </c>
      <c r="AU76" s="1">
        <v>0</v>
      </c>
      <c r="AV76" s="1">
        <v>0</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2" t="str">
        <f>HYPERLINK("http://www.d20pfsrd.com/magic/all-spells/c/clairaudience-clairvoyance","Clairaudience/Clairvoyance")</f>
        <v>Clairaudience/Clairvoyance</v>
      </c>
      <c r="BR76" s="1">
        <v>75</v>
      </c>
      <c r="BS76" s="1" t="s">
        <v>104</v>
      </c>
      <c r="BX76" s="1">
        <v>0</v>
      </c>
      <c r="BY76" s="1" t="s">
        <v>104</v>
      </c>
      <c r="BZ76" s="1">
        <v>3</v>
      </c>
      <c r="CA76" s="1">
        <v>3</v>
      </c>
      <c r="CB76" s="1">
        <v>2</v>
      </c>
      <c r="CC76" s="1">
        <v>3</v>
      </c>
      <c r="CD76" s="1">
        <v>3</v>
      </c>
      <c r="CE76" s="1">
        <v>3</v>
      </c>
      <c r="CF76" s="1" t="s">
        <v>104</v>
      </c>
      <c r="CG76" s="1" t="s">
        <v>104</v>
      </c>
      <c r="CH76" s="1" t="s">
        <v>104</v>
      </c>
      <c r="CJ76" s="1">
        <v>0</v>
      </c>
      <c r="CK76" s="1">
        <v>0</v>
      </c>
      <c r="CL76" s="1">
        <v>0</v>
      </c>
      <c r="CM76" s="1" t="s">
        <v>104</v>
      </c>
    </row>
    <row r="77" spans="1:91" ht="14.25" customHeight="1" x14ac:dyDescent="0.3">
      <c r="A77" s="1" t="s">
        <v>687</v>
      </c>
      <c r="B77" s="1" t="s">
        <v>434</v>
      </c>
      <c r="D77" s="1" t="s">
        <v>57</v>
      </c>
      <c r="E77" s="1" t="s">
        <v>688</v>
      </c>
      <c r="F77" s="1" t="s">
        <v>95</v>
      </c>
      <c r="G77" s="1" t="s">
        <v>689</v>
      </c>
      <c r="H77" s="1">
        <v>0</v>
      </c>
      <c r="I77" s="1" t="s">
        <v>109</v>
      </c>
      <c r="K77" s="1" t="s">
        <v>690</v>
      </c>
      <c r="M77" s="1" t="s">
        <v>111</v>
      </c>
      <c r="N77" s="1">
        <v>1</v>
      </c>
      <c r="O77" s="1">
        <v>0</v>
      </c>
      <c r="P77" s="1" t="s">
        <v>100</v>
      </c>
      <c r="Q77" s="1" t="s">
        <v>184</v>
      </c>
      <c r="R77" s="1" t="s">
        <v>691</v>
      </c>
      <c r="S77" s="1" t="s">
        <v>103</v>
      </c>
      <c r="T77" s="1">
        <v>1</v>
      </c>
      <c r="U77" s="1">
        <v>1</v>
      </c>
      <c r="V77" s="1">
        <v>0</v>
      </c>
      <c r="W77" s="1">
        <v>1</v>
      </c>
      <c r="X77" s="1">
        <v>1</v>
      </c>
      <c r="Y77" s="1">
        <v>8</v>
      </c>
      <c r="Z77" s="1">
        <v>8</v>
      </c>
      <c r="AA77" s="1" t="s">
        <v>104</v>
      </c>
      <c r="AB77" s="1" t="s">
        <v>104</v>
      </c>
      <c r="AC77" s="1" t="s">
        <v>104</v>
      </c>
      <c r="AD77" s="1" t="s">
        <v>104</v>
      </c>
      <c r="AE77" s="1" t="s">
        <v>104</v>
      </c>
      <c r="AF77" s="1" t="s">
        <v>104</v>
      </c>
      <c r="AG77" s="1" t="s">
        <v>104</v>
      </c>
      <c r="AH77" s="1" t="s">
        <v>104</v>
      </c>
      <c r="AI77" s="1" t="s">
        <v>104</v>
      </c>
      <c r="AJ77" s="1" t="s">
        <v>104</v>
      </c>
      <c r="AK77" s="1" t="s">
        <v>104</v>
      </c>
      <c r="AL77" s="1" t="s">
        <v>104</v>
      </c>
      <c r="AM77" s="1" t="s">
        <v>104</v>
      </c>
      <c r="AO77" s="1">
        <v>8</v>
      </c>
      <c r="AP77" s="1" t="s">
        <v>692</v>
      </c>
      <c r="AQ77" s="1" t="s">
        <v>693</v>
      </c>
      <c r="AR77" s="1">
        <v>0</v>
      </c>
      <c r="AS77" s="1">
        <v>0</v>
      </c>
      <c r="AT77" s="1">
        <v>0</v>
      </c>
      <c r="AU77" s="1">
        <v>0</v>
      </c>
      <c r="AV77" s="1">
        <v>0</v>
      </c>
      <c r="AW77" s="1">
        <v>0</v>
      </c>
      <c r="AX77" s="1">
        <v>0</v>
      </c>
      <c r="AY77" s="1">
        <v>0</v>
      </c>
      <c r="AZ77" s="1">
        <v>0</v>
      </c>
      <c r="BA77" s="1">
        <v>0</v>
      </c>
      <c r="BB77" s="1">
        <v>0</v>
      </c>
      <c r="BC77" s="1">
        <v>0</v>
      </c>
      <c r="BD77" s="1">
        <v>0</v>
      </c>
      <c r="BE77" s="1">
        <v>0</v>
      </c>
      <c r="BF77" s="1">
        <v>1</v>
      </c>
      <c r="BG77" s="1">
        <v>0</v>
      </c>
      <c r="BH77" s="1">
        <v>0</v>
      </c>
      <c r="BI77" s="1">
        <v>0</v>
      </c>
      <c r="BJ77" s="1">
        <v>0</v>
      </c>
      <c r="BK77" s="1">
        <v>0</v>
      </c>
      <c r="BL77" s="1">
        <v>0</v>
      </c>
      <c r="BM77" s="1">
        <v>0</v>
      </c>
      <c r="BN77" s="1">
        <v>0</v>
      </c>
      <c r="BO77" s="1">
        <v>0</v>
      </c>
      <c r="BP77" s="1">
        <v>0</v>
      </c>
      <c r="BQ77" s="2" t="str">
        <f>HYPERLINK("http://www.d20pfsrd.com/magic/all-spells/c/clenched-fist","Clenched Fist")</f>
        <v>Clenched Fist</v>
      </c>
      <c r="BR77" s="1">
        <v>76</v>
      </c>
      <c r="BS77" s="1" t="s">
        <v>104</v>
      </c>
      <c r="BX77" s="1">
        <v>0</v>
      </c>
      <c r="BY77" s="1" t="s">
        <v>104</v>
      </c>
      <c r="BZ77" s="1" t="s">
        <v>104</v>
      </c>
      <c r="CA77" s="1">
        <v>8</v>
      </c>
      <c r="CB77" s="1" t="s">
        <v>104</v>
      </c>
      <c r="CC77" s="1" t="s">
        <v>104</v>
      </c>
      <c r="CD77" s="1" t="s">
        <v>104</v>
      </c>
      <c r="CE77" s="1" t="s">
        <v>104</v>
      </c>
      <c r="CF77" s="1" t="s">
        <v>104</v>
      </c>
      <c r="CG77" s="1" t="s">
        <v>104</v>
      </c>
      <c r="CH77" s="1" t="s">
        <v>104</v>
      </c>
      <c r="CJ77" s="1">
        <v>0</v>
      </c>
      <c r="CK77" s="1">
        <v>0</v>
      </c>
      <c r="CL77" s="1">
        <v>0</v>
      </c>
      <c r="CM77" s="1" t="s">
        <v>104</v>
      </c>
    </row>
    <row r="78" spans="1:91" ht="14.25" customHeight="1" x14ac:dyDescent="0.3">
      <c r="A78" s="1" t="s">
        <v>694</v>
      </c>
      <c r="B78" s="1" t="s">
        <v>162</v>
      </c>
      <c r="D78" s="1" t="s">
        <v>45</v>
      </c>
      <c r="E78" s="1" t="s">
        <v>695</v>
      </c>
      <c r="F78" s="1" t="s">
        <v>95</v>
      </c>
      <c r="G78" s="1" t="s">
        <v>696</v>
      </c>
      <c r="H78" s="1">
        <v>1</v>
      </c>
      <c r="I78" s="1" t="s">
        <v>697</v>
      </c>
      <c r="L78" s="1" t="s">
        <v>698</v>
      </c>
      <c r="M78" s="1" t="s">
        <v>111</v>
      </c>
      <c r="N78" s="1">
        <v>1</v>
      </c>
      <c r="O78" s="1">
        <v>0</v>
      </c>
      <c r="P78" s="1" t="s">
        <v>145</v>
      </c>
      <c r="Q78" s="1" t="s">
        <v>131</v>
      </c>
      <c r="R78" s="1" t="s">
        <v>699</v>
      </c>
      <c r="S78" s="1" t="s">
        <v>103</v>
      </c>
      <c r="T78" s="1">
        <v>1</v>
      </c>
      <c r="U78" s="1">
        <v>1</v>
      </c>
      <c r="V78" s="1">
        <v>0</v>
      </c>
      <c r="W78" s="1">
        <v>1</v>
      </c>
      <c r="X78" s="1">
        <v>0</v>
      </c>
      <c r="Y78" s="1" t="s">
        <v>104</v>
      </c>
      <c r="Z78" s="1" t="s">
        <v>104</v>
      </c>
      <c r="AA78" s="1">
        <v>8</v>
      </c>
      <c r="AB78" s="1" t="s">
        <v>104</v>
      </c>
      <c r="AC78" s="1" t="s">
        <v>104</v>
      </c>
      <c r="AD78" s="1" t="s">
        <v>104</v>
      </c>
      <c r="AE78" s="1" t="s">
        <v>104</v>
      </c>
      <c r="AF78" s="1" t="s">
        <v>104</v>
      </c>
      <c r="AG78" s="1" t="s">
        <v>104</v>
      </c>
      <c r="AH78" s="1" t="s">
        <v>104</v>
      </c>
      <c r="AI78" s="1" t="s">
        <v>104</v>
      </c>
      <c r="AJ78" s="1">
        <v>8</v>
      </c>
      <c r="AK78" s="1" t="s">
        <v>104</v>
      </c>
      <c r="AL78" s="1" t="s">
        <v>104</v>
      </c>
      <c r="AM78" s="1" t="s">
        <v>104</v>
      </c>
      <c r="AO78" s="1">
        <v>8</v>
      </c>
      <c r="AP78" s="1" t="s">
        <v>700</v>
      </c>
      <c r="AQ78" s="1" t="s">
        <v>701</v>
      </c>
      <c r="AR78" s="1">
        <v>0</v>
      </c>
      <c r="AS78" s="1">
        <v>0</v>
      </c>
      <c r="AT78" s="1">
        <v>1</v>
      </c>
      <c r="AU78" s="1">
        <v>0</v>
      </c>
      <c r="AV78" s="1">
        <v>0</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2" t="str">
        <f>HYPERLINK("http://www.d20pfsrd.com/magic/all-spells/c/cloak-of-chaos","Cloak of Chaos")</f>
        <v>Cloak of Chaos</v>
      </c>
      <c r="BR78" s="1">
        <v>77</v>
      </c>
      <c r="BS78" s="1">
        <v>500</v>
      </c>
      <c r="BX78" s="1">
        <v>0</v>
      </c>
      <c r="BY78" s="1" t="s">
        <v>104</v>
      </c>
      <c r="BZ78" s="1" t="s">
        <v>104</v>
      </c>
      <c r="CA78" s="1" t="s">
        <v>104</v>
      </c>
      <c r="CB78" s="1" t="s">
        <v>104</v>
      </c>
      <c r="CC78" s="1" t="s">
        <v>104</v>
      </c>
      <c r="CD78" s="1" t="s">
        <v>104</v>
      </c>
      <c r="CE78" s="1" t="s">
        <v>104</v>
      </c>
      <c r="CF78" s="1" t="s">
        <v>104</v>
      </c>
      <c r="CG78" s="1" t="s">
        <v>104</v>
      </c>
      <c r="CH78" s="1" t="s">
        <v>104</v>
      </c>
      <c r="CJ78" s="1">
        <v>0</v>
      </c>
      <c r="CK78" s="1">
        <v>0</v>
      </c>
      <c r="CL78" s="1">
        <v>0</v>
      </c>
      <c r="CM78" s="1" t="s">
        <v>104</v>
      </c>
    </row>
    <row r="79" spans="1:91" ht="14.25" customHeight="1" x14ac:dyDescent="0.3">
      <c r="A79" s="1" t="s">
        <v>702</v>
      </c>
      <c r="B79" s="1" t="s">
        <v>216</v>
      </c>
      <c r="E79" s="1" t="s">
        <v>703</v>
      </c>
      <c r="F79" s="1" t="s">
        <v>287</v>
      </c>
      <c r="G79" s="1" t="s">
        <v>704</v>
      </c>
      <c r="H79" s="1">
        <v>1</v>
      </c>
      <c r="I79" s="1" t="s">
        <v>705</v>
      </c>
      <c r="K79" s="1" t="s">
        <v>706</v>
      </c>
      <c r="M79" s="1" t="s">
        <v>119</v>
      </c>
      <c r="N79" s="1">
        <v>0</v>
      </c>
      <c r="O79" s="1">
        <v>0</v>
      </c>
      <c r="P79" s="1" t="s">
        <v>100</v>
      </c>
      <c r="Q79" s="1" t="s">
        <v>101</v>
      </c>
      <c r="R79" s="1" t="s">
        <v>707</v>
      </c>
      <c r="S79" s="1" t="s">
        <v>103</v>
      </c>
      <c r="T79" s="1">
        <v>1</v>
      </c>
      <c r="U79" s="1">
        <v>1</v>
      </c>
      <c r="V79" s="1">
        <v>1</v>
      </c>
      <c r="W79" s="1">
        <v>1</v>
      </c>
      <c r="X79" s="1">
        <v>0</v>
      </c>
      <c r="Y79" s="1">
        <v>8</v>
      </c>
      <c r="Z79" s="1">
        <v>8</v>
      </c>
      <c r="AA79" s="1" t="s">
        <v>104</v>
      </c>
      <c r="AB79" s="1" t="s">
        <v>104</v>
      </c>
      <c r="AC79" s="1" t="s">
        <v>104</v>
      </c>
      <c r="AD79" s="1" t="s">
        <v>104</v>
      </c>
      <c r="AE79" s="1" t="s">
        <v>104</v>
      </c>
      <c r="AF79" s="1" t="s">
        <v>104</v>
      </c>
      <c r="AG79" s="1" t="s">
        <v>104</v>
      </c>
      <c r="AH79" s="1">
        <v>8</v>
      </c>
      <c r="AI79" s="1" t="s">
        <v>104</v>
      </c>
      <c r="AJ79" s="1" t="s">
        <v>104</v>
      </c>
      <c r="AK79" s="1" t="s">
        <v>104</v>
      </c>
      <c r="AL79" s="1" t="s">
        <v>104</v>
      </c>
      <c r="AM79" s="1" t="s">
        <v>104</v>
      </c>
      <c r="AO79" s="1">
        <v>8</v>
      </c>
      <c r="AQ79" s="1" t="s">
        <v>708</v>
      </c>
      <c r="AR79" s="1">
        <v>0</v>
      </c>
      <c r="AS79" s="1">
        <v>0</v>
      </c>
      <c r="AT79" s="1">
        <v>0</v>
      </c>
      <c r="AU79" s="1">
        <v>0</v>
      </c>
      <c r="AV79" s="1">
        <v>0</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2" t="str">
        <f>HYPERLINK("http://www.d20pfsrd.com/magic/all-spells/c/clone","Clone")</f>
        <v>Clone</v>
      </c>
      <c r="BR79" s="1">
        <v>78</v>
      </c>
      <c r="BS79" s="1">
        <v>1000</v>
      </c>
      <c r="BX79" s="1">
        <v>0</v>
      </c>
      <c r="BY79" s="1" t="s">
        <v>104</v>
      </c>
      <c r="BZ79" s="1" t="s">
        <v>104</v>
      </c>
      <c r="CA79" s="1" t="s">
        <v>104</v>
      </c>
      <c r="CB79" s="1" t="s">
        <v>104</v>
      </c>
      <c r="CC79" s="1" t="s">
        <v>104</v>
      </c>
      <c r="CD79" s="1" t="s">
        <v>104</v>
      </c>
      <c r="CE79" s="1" t="s">
        <v>104</v>
      </c>
      <c r="CF79" s="1" t="s">
        <v>104</v>
      </c>
      <c r="CG79" s="1" t="s">
        <v>104</v>
      </c>
      <c r="CH79" s="1" t="s">
        <v>104</v>
      </c>
      <c r="CJ79" s="1">
        <v>0</v>
      </c>
      <c r="CK79" s="1">
        <v>0</v>
      </c>
      <c r="CL79" s="1">
        <v>0</v>
      </c>
      <c r="CM79" s="1" t="s">
        <v>104</v>
      </c>
    </row>
    <row r="80" spans="1:91" ht="14.25" customHeight="1" x14ac:dyDescent="0.3">
      <c r="A80" s="1" t="s">
        <v>709</v>
      </c>
      <c r="B80" s="1" t="s">
        <v>92</v>
      </c>
      <c r="C80" s="1" t="s">
        <v>93</v>
      </c>
      <c r="E80" s="1" t="s">
        <v>710</v>
      </c>
      <c r="F80" s="1" t="s">
        <v>95</v>
      </c>
      <c r="G80" s="1" t="s">
        <v>116</v>
      </c>
      <c r="H80" s="1">
        <v>0</v>
      </c>
      <c r="I80" s="1" t="s">
        <v>109</v>
      </c>
      <c r="K80" s="1" t="s">
        <v>711</v>
      </c>
      <c r="M80" s="1" t="s">
        <v>130</v>
      </c>
      <c r="N80" s="1">
        <v>0</v>
      </c>
      <c r="O80" s="1">
        <v>0</v>
      </c>
      <c r="P80" s="1" t="s">
        <v>712</v>
      </c>
      <c r="Q80" s="1" t="s">
        <v>101</v>
      </c>
      <c r="R80" s="1" t="s">
        <v>713</v>
      </c>
      <c r="S80" s="1" t="s">
        <v>103</v>
      </c>
      <c r="T80" s="1">
        <v>1</v>
      </c>
      <c r="U80" s="1">
        <v>1</v>
      </c>
      <c r="V80" s="1">
        <v>0</v>
      </c>
      <c r="W80" s="1">
        <v>0</v>
      </c>
      <c r="X80" s="1">
        <v>0</v>
      </c>
      <c r="Y80" s="1">
        <v>5</v>
      </c>
      <c r="Z80" s="1">
        <v>5</v>
      </c>
      <c r="AA80" s="1" t="s">
        <v>104</v>
      </c>
      <c r="AB80" s="1" t="s">
        <v>104</v>
      </c>
      <c r="AC80" s="1" t="s">
        <v>104</v>
      </c>
      <c r="AD80" s="1" t="s">
        <v>104</v>
      </c>
      <c r="AE80" s="1" t="s">
        <v>104</v>
      </c>
      <c r="AF80" s="1" t="s">
        <v>104</v>
      </c>
      <c r="AG80" s="1" t="s">
        <v>104</v>
      </c>
      <c r="AH80" s="1">
        <v>5</v>
      </c>
      <c r="AI80" s="1" t="s">
        <v>104</v>
      </c>
      <c r="AJ80" s="1" t="s">
        <v>104</v>
      </c>
      <c r="AK80" s="1" t="s">
        <v>104</v>
      </c>
      <c r="AL80" s="1">
        <v>5</v>
      </c>
      <c r="AM80" s="1" t="s">
        <v>104</v>
      </c>
      <c r="AO80" s="1">
        <v>5</v>
      </c>
      <c r="AP80" s="1" t="s">
        <v>714</v>
      </c>
      <c r="AQ80" s="1" t="s">
        <v>715</v>
      </c>
      <c r="AR80" s="1">
        <v>0</v>
      </c>
      <c r="AS80" s="1">
        <v>0</v>
      </c>
      <c r="AT80" s="1">
        <v>0</v>
      </c>
      <c r="AU80" s="1">
        <v>0</v>
      </c>
      <c r="AV80" s="1">
        <v>0</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2" t="str">
        <f>HYPERLINK("http://www.d20pfsrd.com/magic/all-spells/c/cloudkill","Cloudkill")</f>
        <v>Cloudkill</v>
      </c>
      <c r="BR80" s="1">
        <v>79</v>
      </c>
      <c r="BS80" s="1" t="s">
        <v>104</v>
      </c>
      <c r="BT80" s="1" t="s">
        <v>716</v>
      </c>
      <c r="BV80" s="1" t="s">
        <v>717</v>
      </c>
      <c r="BW80" s="1" t="s">
        <v>718</v>
      </c>
      <c r="BX80" s="1">
        <v>1</v>
      </c>
      <c r="BY80" s="1" t="s">
        <v>104</v>
      </c>
      <c r="BZ80" s="1" t="s">
        <v>104</v>
      </c>
      <c r="CA80" s="1" t="s">
        <v>104</v>
      </c>
      <c r="CB80" s="1" t="s">
        <v>104</v>
      </c>
      <c r="CC80" s="1" t="s">
        <v>104</v>
      </c>
      <c r="CD80" s="1" t="s">
        <v>104</v>
      </c>
      <c r="CE80" s="1">
        <v>5</v>
      </c>
      <c r="CF80" s="1" t="s">
        <v>104</v>
      </c>
      <c r="CG80" s="1" t="s">
        <v>104</v>
      </c>
      <c r="CH80" s="1" t="s">
        <v>104</v>
      </c>
      <c r="CJ80" s="1">
        <v>0</v>
      </c>
      <c r="CK80" s="1">
        <v>0</v>
      </c>
      <c r="CL80" s="1">
        <v>0</v>
      </c>
      <c r="CM80" s="1">
        <v>5</v>
      </c>
    </row>
    <row r="81" spans="1:91" ht="14.25" customHeight="1" x14ac:dyDescent="0.3">
      <c r="A81" s="1" t="s">
        <v>719</v>
      </c>
      <c r="B81" s="1" t="s">
        <v>507</v>
      </c>
      <c r="C81" s="1" t="s">
        <v>720</v>
      </c>
      <c r="D81" s="1" t="s">
        <v>125</v>
      </c>
      <c r="E81" s="1" t="s">
        <v>721</v>
      </c>
      <c r="F81" s="1" t="s">
        <v>95</v>
      </c>
      <c r="G81" s="1" t="s">
        <v>722</v>
      </c>
      <c r="H81" s="1">
        <v>0</v>
      </c>
      <c r="I81" s="1" t="s">
        <v>548</v>
      </c>
      <c r="J81" s="1" t="s">
        <v>549</v>
      </c>
      <c r="M81" s="1" t="s">
        <v>723</v>
      </c>
      <c r="N81" s="1">
        <v>0</v>
      </c>
      <c r="O81" s="1">
        <v>0</v>
      </c>
      <c r="P81" s="1" t="s">
        <v>211</v>
      </c>
      <c r="Q81" s="1" t="s">
        <v>184</v>
      </c>
      <c r="R81" s="1" t="s">
        <v>724</v>
      </c>
      <c r="S81" s="1" t="s">
        <v>103</v>
      </c>
      <c r="T81" s="1">
        <v>1</v>
      </c>
      <c r="U81" s="1">
        <v>1</v>
      </c>
      <c r="V81" s="1">
        <v>1</v>
      </c>
      <c r="W81" s="1">
        <v>0</v>
      </c>
      <c r="X81" s="1">
        <v>0</v>
      </c>
      <c r="Y81" s="1">
        <v>1</v>
      </c>
      <c r="Z81" s="1">
        <v>1</v>
      </c>
      <c r="AA81" s="1" t="s">
        <v>104</v>
      </c>
      <c r="AB81" s="1" t="s">
        <v>104</v>
      </c>
      <c r="AC81" s="1" t="s">
        <v>104</v>
      </c>
      <c r="AD81" s="1" t="s">
        <v>104</v>
      </c>
      <c r="AE81" s="1" t="s">
        <v>104</v>
      </c>
      <c r="AF81" s="1" t="s">
        <v>104</v>
      </c>
      <c r="AG81" s="1" t="s">
        <v>104</v>
      </c>
      <c r="AH81" s="1" t="s">
        <v>104</v>
      </c>
      <c r="AI81" s="1" t="s">
        <v>104</v>
      </c>
      <c r="AJ81" s="1" t="s">
        <v>104</v>
      </c>
      <c r="AK81" s="1" t="s">
        <v>104</v>
      </c>
      <c r="AL81" s="1">
        <v>1</v>
      </c>
      <c r="AM81" s="1" t="s">
        <v>104</v>
      </c>
      <c r="AO81" s="1">
        <v>1</v>
      </c>
      <c r="AQ81" s="1" t="s">
        <v>725</v>
      </c>
      <c r="AR81" s="1">
        <v>0</v>
      </c>
      <c r="AS81" s="1">
        <v>0</v>
      </c>
      <c r="AT81" s="1">
        <v>0</v>
      </c>
      <c r="AU81" s="1">
        <v>0</v>
      </c>
      <c r="AV81" s="1">
        <v>0</v>
      </c>
      <c r="AW81" s="1">
        <v>0</v>
      </c>
      <c r="AX81" s="1">
        <v>0</v>
      </c>
      <c r="AY81" s="1">
        <v>0</v>
      </c>
      <c r="AZ81" s="1">
        <v>0</v>
      </c>
      <c r="BA81" s="1">
        <v>0</v>
      </c>
      <c r="BB81" s="1">
        <v>0</v>
      </c>
      <c r="BC81" s="1">
        <v>0</v>
      </c>
      <c r="BD81" s="1">
        <v>0</v>
      </c>
      <c r="BE81" s="1">
        <v>0</v>
      </c>
      <c r="BF81" s="1">
        <v>0</v>
      </c>
      <c r="BG81" s="1">
        <v>0</v>
      </c>
      <c r="BH81" s="1">
        <v>0</v>
      </c>
      <c r="BI81" s="1">
        <v>0</v>
      </c>
      <c r="BJ81" s="1">
        <v>0</v>
      </c>
      <c r="BK81" s="1">
        <v>1</v>
      </c>
      <c r="BL81" s="1">
        <v>0</v>
      </c>
      <c r="BM81" s="1">
        <v>0</v>
      </c>
      <c r="BN81" s="1">
        <v>0</v>
      </c>
      <c r="BO81" s="1">
        <v>0</v>
      </c>
      <c r="BP81" s="1">
        <v>0</v>
      </c>
      <c r="BQ81" s="2" t="str">
        <f>HYPERLINK("http://www.d20pfsrd.com/magic/all-spells/c/color-spray","Color Spray")</f>
        <v>Color Spray</v>
      </c>
      <c r="BR81" s="1">
        <v>80</v>
      </c>
      <c r="BS81" s="1" t="s">
        <v>104</v>
      </c>
      <c r="BV81" s="1" t="s">
        <v>726</v>
      </c>
      <c r="BX81" s="1">
        <v>1</v>
      </c>
      <c r="BY81" s="1">
        <v>1</v>
      </c>
      <c r="BZ81" s="1" t="s">
        <v>104</v>
      </c>
      <c r="CA81" s="1">
        <v>1</v>
      </c>
      <c r="CB81" s="1" t="s">
        <v>104</v>
      </c>
      <c r="CC81" s="1">
        <v>1</v>
      </c>
      <c r="CD81" s="1" t="s">
        <v>104</v>
      </c>
      <c r="CE81" s="1" t="s">
        <v>104</v>
      </c>
      <c r="CF81" s="1" t="s">
        <v>104</v>
      </c>
      <c r="CG81" s="1" t="s">
        <v>104</v>
      </c>
      <c r="CH81" s="1" t="s">
        <v>104</v>
      </c>
      <c r="CJ81" s="1">
        <v>0</v>
      </c>
      <c r="CK81" s="1">
        <v>0</v>
      </c>
      <c r="CL81" s="1">
        <v>0</v>
      </c>
      <c r="CM81" s="1" t="s">
        <v>104</v>
      </c>
    </row>
    <row r="82" spans="1:91" ht="14.25" customHeight="1" x14ac:dyDescent="0.3">
      <c r="A82" s="1" t="s">
        <v>727</v>
      </c>
      <c r="B82" s="1" t="s">
        <v>123</v>
      </c>
      <c r="C82" s="1" t="s">
        <v>124</v>
      </c>
      <c r="D82" s="1" t="s">
        <v>728</v>
      </c>
      <c r="E82" s="1" t="s">
        <v>729</v>
      </c>
      <c r="F82" s="1" t="s">
        <v>95</v>
      </c>
      <c r="G82" s="1" t="s">
        <v>237</v>
      </c>
      <c r="H82" s="1">
        <v>0</v>
      </c>
      <c r="I82" s="1" t="s">
        <v>117</v>
      </c>
      <c r="L82" s="1" t="s">
        <v>417</v>
      </c>
      <c r="M82" s="1" t="s">
        <v>255</v>
      </c>
      <c r="N82" s="1">
        <v>0</v>
      </c>
      <c r="O82" s="1">
        <v>0</v>
      </c>
      <c r="P82" s="1" t="s">
        <v>211</v>
      </c>
      <c r="Q82" s="1" t="s">
        <v>184</v>
      </c>
      <c r="R82" s="1" t="s">
        <v>730</v>
      </c>
      <c r="S82" s="1" t="s">
        <v>103</v>
      </c>
      <c r="T82" s="1">
        <v>1</v>
      </c>
      <c r="U82" s="1">
        <v>0</v>
      </c>
      <c r="V82" s="1">
        <v>0</v>
      </c>
      <c r="W82" s="1">
        <v>0</v>
      </c>
      <c r="X82" s="1">
        <v>0</v>
      </c>
      <c r="Y82" s="1" t="s">
        <v>104</v>
      </c>
      <c r="Z82" s="1" t="s">
        <v>104</v>
      </c>
      <c r="AA82" s="1">
        <v>1</v>
      </c>
      <c r="AB82" s="1" t="s">
        <v>104</v>
      </c>
      <c r="AC82" s="1" t="s">
        <v>104</v>
      </c>
      <c r="AD82" s="1" t="s">
        <v>104</v>
      </c>
      <c r="AE82" s="1" t="s">
        <v>104</v>
      </c>
      <c r="AF82" s="1" t="s">
        <v>104</v>
      </c>
      <c r="AG82" s="1" t="s">
        <v>104</v>
      </c>
      <c r="AH82" s="1">
        <v>1</v>
      </c>
      <c r="AI82" s="1">
        <v>1</v>
      </c>
      <c r="AJ82" s="1">
        <v>1</v>
      </c>
      <c r="AK82" s="1">
        <v>1</v>
      </c>
      <c r="AL82" s="1" t="s">
        <v>104</v>
      </c>
      <c r="AM82" s="1">
        <v>1</v>
      </c>
      <c r="AO82" s="1">
        <v>1</v>
      </c>
      <c r="AP82" s="1" t="s">
        <v>731</v>
      </c>
      <c r="AQ82" s="1" t="s">
        <v>732</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1</v>
      </c>
      <c r="BI82" s="1">
        <v>0</v>
      </c>
      <c r="BJ82" s="1">
        <v>0</v>
      </c>
      <c r="BK82" s="1">
        <v>1</v>
      </c>
      <c r="BL82" s="1">
        <v>0</v>
      </c>
      <c r="BM82" s="1">
        <v>0</v>
      </c>
      <c r="BN82" s="1">
        <v>0</v>
      </c>
      <c r="BO82" s="1">
        <v>0</v>
      </c>
      <c r="BP82" s="1">
        <v>0</v>
      </c>
      <c r="BQ82" s="2" t="str">
        <f>HYPERLINK("http://www.d20pfsrd.com/magic/all-spells/c/command","Command")</f>
        <v>Command</v>
      </c>
      <c r="BR82" s="1">
        <v>81</v>
      </c>
      <c r="BS82" s="1" t="s">
        <v>104</v>
      </c>
      <c r="BU82" s="1" t="s">
        <v>733</v>
      </c>
      <c r="BV82" s="1" t="s">
        <v>734</v>
      </c>
      <c r="BX82" s="1">
        <v>1</v>
      </c>
      <c r="BY82" s="1" t="s">
        <v>104</v>
      </c>
      <c r="BZ82" s="1" t="s">
        <v>104</v>
      </c>
      <c r="CA82" s="1">
        <v>1</v>
      </c>
      <c r="CB82" s="1">
        <v>1</v>
      </c>
      <c r="CC82" s="1">
        <v>1</v>
      </c>
      <c r="CD82" s="1">
        <v>1</v>
      </c>
      <c r="CE82" s="1" t="s">
        <v>104</v>
      </c>
      <c r="CF82" s="1" t="s">
        <v>104</v>
      </c>
      <c r="CG82" s="1" t="s">
        <v>104</v>
      </c>
      <c r="CH82" s="1" t="s">
        <v>104</v>
      </c>
      <c r="CJ82" s="1">
        <v>0</v>
      </c>
      <c r="CK82" s="1">
        <v>0</v>
      </c>
      <c r="CL82" s="1">
        <v>0</v>
      </c>
      <c r="CM82" s="1" t="s">
        <v>104</v>
      </c>
    </row>
    <row r="83" spans="1:91" ht="14.25" customHeight="1" x14ac:dyDescent="0.3">
      <c r="A83" s="1" t="s">
        <v>735</v>
      </c>
      <c r="B83" s="1" t="s">
        <v>123</v>
      </c>
      <c r="C83" s="1" t="s">
        <v>124</v>
      </c>
      <c r="D83" s="1" t="s">
        <v>728</v>
      </c>
      <c r="E83" s="1" t="s">
        <v>736</v>
      </c>
      <c r="F83" s="1" t="s">
        <v>95</v>
      </c>
      <c r="G83" s="1" t="s">
        <v>237</v>
      </c>
      <c r="H83" s="1">
        <v>0</v>
      </c>
      <c r="I83" s="1" t="s">
        <v>117</v>
      </c>
      <c r="L83" s="1" t="s">
        <v>541</v>
      </c>
      <c r="M83" s="1" t="s">
        <v>111</v>
      </c>
      <c r="N83" s="1">
        <v>0</v>
      </c>
      <c r="O83" s="1">
        <v>0</v>
      </c>
      <c r="P83" s="1" t="s">
        <v>211</v>
      </c>
      <c r="Q83" s="1" t="s">
        <v>184</v>
      </c>
      <c r="R83" s="1" t="s">
        <v>737</v>
      </c>
      <c r="S83" s="1" t="s">
        <v>103</v>
      </c>
      <c r="T83" s="1">
        <v>1</v>
      </c>
      <c r="U83" s="1">
        <v>0</v>
      </c>
      <c r="V83" s="1">
        <v>0</v>
      </c>
      <c r="W83" s="1">
        <v>0</v>
      </c>
      <c r="X83" s="1">
        <v>0</v>
      </c>
      <c r="Y83" s="1" t="s">
        <v>104</v>
      </c>
      <c r="Z83" s="1" t="s">
        <v>104</v>
      </c>
      <c r="AA83" s="1">
        <v>5</v>
      </c>
      <c r="AB83" s="1" t="s">
        <v>104</v>
      </c>
      <c r="AC83" s="1" t="s">
        <v>104</v>
      </c>
      <c r="AD83" s="1" t="s">
        <v>104</v>
      </c>
      <c r="AE83" s="1" t="s">
        <v>104</v>
      </c>
      <c r="AF83" s="1" t="s">
        <v>104</v>
      </c>
      <c r="AG83" s="1" t="s">
        <v>104</v>
      </c>
      <c r="AH83" s="1" t="s">
        <v>104</v>
      </c>
      <c r="AI83" s="1">
        <v>5</v>
      </c>
      <c r="AJ83" s="1">
        <v>5</v>
      </c>
      <c r="AK83" s="1" t="s">
        <v>104</v>
      </c>
      <c r="AL83" s="1" t="s">
        <v>104</v>
      </c>
      <c r="AM83" s="1" t="s">
        <v>104</v>
      </c>
      <c r="AO83" s="1">
        <v>5</v>
      </c>
      <c r="AP83" s="1" t="s">
        <v>738</v>
      </c>
      <c r="AQ83" s="1" t="s">
        <v>739</v>
      </c>
      <c r="AR83" s="1">
        <v>0</v>
      </c>
      <c r="AS83" s="1">
        <v>0</v>
      </c>
      <c r="AT83" s="1">
        <v>0</v>
      </c>
      <c r="AU83" s="1">
        <v>0</v>
      </c>
      <c r="AV83" s="1">
        <v>0</v>
      </c>
      <c r="AW83" s="1">
        <v>0</v>
      </c>
      <c r="AX83" s="1">
        <v>0</v>
      </c>
      <c r="AY83" s="1">
        <v>0</v>
      </c>
      <c r="AZ83" s="1">
        <v>0</v>
      </c>
      <c r="BA83" s="1">
        <v>0</v>
      </c>
      <c r="BB83" s="1">
        <v>0</v>
      </c>
      <c r="BC83" s="1">
        <v>0</v>
      </c>
      <c r="BD83" s="1">
        <v>0</v>
      </c>
      <c r="BE83" s="1">
        <v>0</v>
      </c>
      <c r="BF83" s="1">
        <v>0</v>
      </c>
      <c r="BG83" s="1">
        <v>0</v>
      </c>
      <c r="BH83" s="1">
        <v>1</v>
      </c>
      <c r="BI83" s="1">
        <v>0</v>
      </c>
      <c r="BJ83" s="1">
        <v>0</v>
      </c>
      <c r="BK83" s="1">
        <v>1</v>
      </c>
      <c r="BL83" s="1">
        <v>0</v>
      </c>
      <c r="BM83" s="1">
        <v>0</v>
      </c>
      <c r="BN83" s="1">
        <v>0</v>
      </c>
      <c r="BO83" s="1">
        <v>0</v>
      </c>
      <c r="BP83" s="1">
        <v>0</v>
      </c>
      <c r="BQ83" s="2" t="str">
        <f>HYPERLINK("http://www.d20pfsrd.com/magic/all-spells/c/command","Command, Greater")</f>
        <v>Command, Greater</v>
      </c>
      <c r="BR83" s="1">
        <v>82</v>
      </c>
      <c r="BS83" s="1" t="s">
        <v>104</v>
      </c>
      <c r="BT83" s="1" t="s">
        <v>740</v>
      </c>
      <c r="BX83" s="1">
        <v>0</v>
      </c>
      <c r="BY83" s="1" t="s">
        <v>104</v>
      </c>
      <c r="BZ83" s="1" t="s">
        <v>104</v>
      </c>
      <c r="CA83" s="1">
        <v>5</v>
      </c>
      <c r="CB83" s="1">
        <v>4</v>
      </c>
      <c r="CC83" s="1">
        <v>4</v>
      </c>
      <c r="CD83" s="1">
        <v>5</v>
      </c>
      <c r="CE83" s="1" t="s">
        <v>104</v>
      </c>
      <c r="CF83" s="1" t="s">
        <v>104</v>
      </c>
      <c r="CG83" s="1" t="s">
        <v>104</v>
      </c>
      <c r="CH83" s="1" t="s">
        <v>104</v>
      </c>
      <c r="CJ83" s="1">
        <v>0</v>
      </c>
      <c r="CK83" s="1">
        <v>0</v>
      </c>
      <c r="CL83" s="1">
        <v>0</v>
      </c>
      <c r="CM83" s="1" t="s">
        <v>104</v>
      </c>
    </row>
    <row r="84" spans="1:91" ht="14.25" customHeight="1" x14ac:dyDescent="0.3">
      <c r="A84" s="1" t="s">
        <v>741</v>
      </c>
      <c r="B84" s="1" t="s">
        <v>137</v>
      </c>
      <c r="E84" s="1" t="s">
        <v>742</v>
      </c>
      <c r="F84" s="1" t="s">
        <v>95</v>
      </c>
      <c r="G84" s="1" t="s">
        <v>237</v>
      </c>
      <c r="H84" s="1">
        <v>0</v>
      </c>
      <c r="I84" s="1" t="s">
        <v>117</v>
      </c>
      <c r="L84" s="1" t="s">
        <v>743</v>
      </c>
      <c r="M84" s="1" t="s">
        <v>194</v>
      </c>
      <c r="N84" s="1">
        <v>0</v>
      </c>
      <c r="O84" s="1">
        <v>0</v>
      </c>
      <c r="P84" s="1" t="s">
        <v>211</v>
      </c>
      <c r="Q84" s="1" t="s">
        <v>184</v>
      </c>
      <c r="R84" s="1" t="s">
        <v>744</v>
      </c>
      <c r="S84" s="1" t="s">
        <v>103</v>
      </c>
      <c r="T84" s="1">
        <v>1</v>
      </c>
      <c r="U84" s="1">
        <v>0</v>
      </c>
      <c r="V84" s="1">
        <v>0</v>
      </c>
      <c r="W84" s="1">
        <v>0</v>
      </c>
      <c r="X84" s="1">
        <v>0</v>
      </c>
      <c r="Y84" s="1" t="s">
        <v>104</v>
      </c>
      <c r="Z84" s="1" t="s">
        <v>104</v>
      </c>
      <c r="AA84" s="1" t="s">
        <v>104</v>
      </c>
      <c r="AB84" s="1">
        <v>4</v>
      </c>
      <c r="AC84" s="1">
        <v>3</v>
      </c>
      <c r="AD84" s="1" t="s">
        <v>104</v>
      </c>
      <c r="AE84" s="1" t="s">
        <v>104</v>
      </c>
      <c r="AF84" s="1" t="s">
        <v>104</v>
      </c>
      <c r="AG84" s="1" t="s">
        <v>104</v>
      </c>
      <c r="AH84" s="1" t="s">
        <v>104</v>
      </c>
      <c r="AI84" s="1" t="s">
        <v>104</v>
      </c>
      <c r="AJ84" s="1" t="s">
        <v>104</v>
      </c>
      <c r="AK84" s="1" t="s">
        <v>104</v>
      </c>
      <c r="AL84" s="1" t="s">
        <v>104</v>
      </c>
      <c r="AM84" s="1" t="s">
        <v>104</v>
      </c>
      <c r="AO84" s="1">
        <v>4</v>
      </c>
      <c r="AP84" s="1" t="s">
        <v>745</v>
      </c>
      <c r="AQ84" s="1" t="s">
        <v>746</v>
      </c>
      <c r="AR84" s="1">
        <v>0</v>
      </c>
      <c r="AS84" s="1">
        <v>0</v>
      </c>
      <c r="AT84" s="1">
        <v>0</v>
      </c>
      <c r="AU84" s="1">
        <v>0</v>
      </c>
      <c r="AV84" s="1">
        <v>0</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2" t="str">
        <f>HYPERLINK("http://www.d20pfsrd.com/magic/all-spells/c/command-plants","Command Plants")</f>
        <v>Command Plants</v>
      </c>
      <c r="BR84" s="1">
        <v>83</v>
      </c>
      <c r="BS84" s="1" t="s">
        <v>104</v>
      </c>
      <c r="BT84" s="1" t="s">
        <v>747</v>
      </c>
      <c r="BX84" s="1">
        <v>0</v>
      </c>
      <c r="BY84" s="1" t="s">
        <v>104</v>
      </c>
      <c r="BZ84" s="1">
        <v>4</v>
      </c>
      <c r="CA84" s="1" t="s">
        <v>104</v>
      </c>
      <c r="CB84" s="1" t="s">
        <v>104</v>
      </c>
      <c r="CC84" s="1" t="s">
        <v>104</v>
      </c>
      <c r="CD84" s="1" t="s">
        <v>104</v>
      </c>
      <c r="CE84" s="1" t="s">
        <v>104</v>
      </c>
      <c r="CF84" s="1" t="s">
        <v>104</v>
      </c>
      <c r="CG84" s="1" t="s">
        <v>104</v>
      </c>
      <c r="CH84" s="1">
        <v>3</v>
      </c>
      <c r="CJ84" s="1">
        <v>0</v>
      </c>
      <c r="CK84" s="1">
        <v>0</v>
      </c>
      <c r="CL84" s="1">
        <v>0</v>
      </c>
      <c r="CM84" s="1" t="s">
        <v>104</v>
      </c>
    </row>
    <row r="85" spans="1:91" ht="14.25" customHeight="1" x14ac:dyDescent="0.3">
      <c r="A85" s="1" t="s">
        <v>748</v>
      </c>
      <c r="B85" s="1" t="s">
        <v>216</v>
      </c>
      <c r="E85" s="1" t="s">
        <v>749</v>
      </c>
      <c r="F85" s="1" t="s">
        <v>95</v>
      </c>
      <c r="G85" s="1" t="s">
        <v>750</v>
      </c>
      <c r="H85" s="1">
        <v>0</v>
      </c>
      <c r="I85" s="1" t="s">
        <v>117</v>
      </c>
      <c r="L85" s="1" t="s">
        <v>751</v>
      </c>
      <c r="M85" s="1" t="s">
        <v>194</v>
      </c>
      <c r="N85" s="1">
        <v>0</v>
      </c>
      <c r="O85" s="1">
        <v>0</v>
      </c>
      <c r="P85" s="1" t="s">
        <v>418</v>
      </c>
      <c r="Q85" s="1" t="s">
        <v>184</v>
      </c>
      <c r="R85" s="1" t="s">
        <v>752</v>
      </c>
      <c r="S85" s="1" t="s">
        <v>103</v>
      </c>
      <c r="T85" s="1">
        <v>1</v>
      </c>
      <c r="U85" s="1">
        <v>1</v>
      </c>
      <c r="V85" s="1">
        <v>1</v>
      </c>
      <c r="W85" s="1">
        <v>0</v>
      </c>
      <c r="X85" s="1">
        <v>0</v>
      </c>
      <c r="Y85" s="1">
        <v>2</v>
      </c>
      <c r="Z85" s="1">
        <v>2</v>
      </c>
      <c r="AA85" s="1" t="s">
        <v>104</v>
      </c>
      <c r="AB85" s="1" t="s">
        <v>104</v>
      </c>
      <c r="AC85" s="1" t="s">
        <v>104</v>
      </c>
      <c r="AD85" s="1" t="s">
        <v>104</v>
      </c>
      <c r="AE85" s="1" t="s">
        <v>104</v>
      </c>
      <c r="AF85" s="1" t="s">
        <v>104</v>
      </c>
      <c r="AG85" s="1" t="s">
        <v>104</v>
      </c>
      <c r="AH85" s="1" t="s">
        <v>104</v>
      </c>
      <c r="AI85" s="1" t="s">
        <v>104</v>
      </c>
      <c r="AJ85" s="1" t="s">
        <v>104</v>
      </c>
      <c r="AK85" s="1" t="s">
        <v>104</v>
      </c>
      <c r="AL85" s="1" t="s">
        <v>104</v>
      </c>
      <c r="AM85" s="1" t="s">
        <v>104</v>
      </c>
      <c r="AO85" s="1">
        <v>2</v>
      </c>
      <c r="AP85" s="1" t="s">
        <v>753</v>
      </c>
      <c r="AQ85" s="1" t="s">
        <v>754</v>
      </c>
      <c r="AR85" s="1">
        <v>0</v>
      </c>
      <c r="AS85" s="1">
        <v>0</v>
      </c>
      <c r="AT85" s="1">
        <v>0</v>
      </c>
      <c r="AU85" s="1">
        <v>0</v>
      </c>
      <c r="AV85" s="1">
        <v>0</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2" t="str">
        <f>HYPERLINK("http://www.d20pfsrd.com/magic/all-spells/c/command-undead","Command Undead")</f>
        <v>Command Undead</v>
      </c>
      <c r="BR85" s="1">
        <v>84</v>
      </c>
      <c r="BS85" s="1" t="s">
        <v>104</v>
      </c>
      <c r="BU85" s="1" t="s">
        <v>755</v>
      </c>
      <c r="BX85" s="1">
        <v>0</v>
      </c>
      <c r="BY85" s="1" t="s">
        <v>104</v>
      </c>
      <c r="BZ85" s="1" t="s">
        <v>104</v>
      </c>
      <c r="CA85" s="1" t="s">
        <v>104</v>
      </c>
      <c r="CB85" s="1" t="s">
        <v>104</v>
      </c>
      <c r="CC85" s="1" t="s">
        <v>104</v>
      </c>
      <c r="CD85" s="1" t="s">
        <v>104</v>
      </c>
      <c r="CE85" s="1" t="s">
        <v>104</v>
      </c>
      <c r="CF85" s="1" t="s">
        <v>104</v>
      </c>
      <c r="CG85" s="1" t="s">
        <v>104</v>
      </c>
      <c r="CH85" s="1" t="s">
        <v>104</v>
      </c>
      <c r="CJ85" s="1">
        <v>0</v>
      </c>
      <c r="CK85" s="1">
        <v>0</v>
      </c>
      <c r="CL85" s="1">
        <v>0</v>
      </c>
      <c r="CM85" s="1" t="s">
        <v>104</v>
      </c>
    </row>
    <row r="86" spans="1:91" ht="14.25" customHeight="1" x14ac:dyDescent="0.3">
      <c r="A86" s="1" t="s">
        <v>756</v>
      </c>
      <c r="B86" s="1" t="s">
        <v>172</v>
      </c>
      <c r="E86" s="1" t="s">
        <v>757</v>
      </c>
      <c r="F86" s="1" t="s">
        <v>287</v>
      </c>
      <c r="G86" s="1" t="s">
        <v>758</v>
      </c>
      <c r="H86" s="1">
        <v>1</v>
      </c>
      <c r="I86" s="1" t="s">
        <v>157</v>
      </c>
      <c r="L86" s="1" t="s">
        <v>158</v>
      </c>
      <c r="M86" s="1" t="s">
        <v>111</v>
      </c>
      <c r="N86" s="1">
        <v>0</v>
      </c>
      <c r="O86" s="1">
        <v>0</v>
      </c>
      <c r="R86" s="1" t="s">
        <v>759</v>
      </c>
      <c r="S86" s="1" t="s">
        <v>103</v>
      </c>
      <c r="T86" s="1">
        <v>1</v>
      </c>
      <c r="U86" s="1">
        <v>1</v>
      </c>
      <c r="V86" s="1">
        <v>1</v>
      </c>
      <c r="W86" s="1">
        <v>0</v>
      </c>
      <c r="X86" s="1">
        <v>1</v>
      </c>
      <c r="Y86" s="1" t="s">
        <v>104</v>
      </c>
      <c r="Z86" s="1" t="s">
        <v>104</v>
      </c>
      <c r="AA86" s="1">
        <v>5</v>
      </c>
      <c r="AB86" s="1" t="s">
        <v>104</v>
      </c>
      <c r="AC86" s="1" t="s">
        <v>104</v>
      </c>
      <c r="AD86" s="1" t="s">
        <v>104</v>
      </c>
      <c r="AE86" s="1" t="s">
        <v>104</v>
      </c>
      <c r="AF86" s="1" t="s">
        <v>104</v>
      </c>
      <c r="AG86" s="1" t="s">
        <v>104</v>
      </c>
      <c r="AH86" s="1" t="s">
        <v>104</v>
      </c>
      <c r="AI86" s="1">
        <v>5</v>
      </c>
      <c r="AJ86" s="1">
        <v>5</v>
      </c>
      <c r="AK86" s="1" t="s">
        <v>104</v>
      </c>
      <c r="AL86" s="1" t="s">
        <v>104</v>
      </c>
      <c r="AM86" s="1">
        <v>5</v>
      </c>
      <c r="AO86" s="1">
        <v>5</v>
      </c>
      <c r="AQ86" s="1" t="s">
        <v>760</v>
      </c>
      <c r="AR86" s="1">
        <v>0</v>
      </c>
      <c r="AS86" s="1">
        <v>0</v>
      </c>
      <c r="AT86" s="1">
        <v>0</v>
      </c>
      <c r="AU86" s="1">
        <v>0</v>
      </c>
      <c r="AV86" s="1">
        <v>0</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2" t="str">
        <f>HYPERLINK("http://www.d20pfsrd.com/magic/all-spells/c/commune","Commune")</f>
        <v>Commune</v>
      </c>
      <c r="BR86" s="1">
        <v>85</v>
      </c>
      <c r="BS86" s="1">
        <v>500</v>
      </c>
      <c r="BU86" s="1" t="s">
        <v>761</v>
      </c>
      <c r="BX86" s="1">
        <v>0</v>
      </c>
      <c r="BY86" s="1" t="s">
        <v>104</v>
      </c>
      <c r="BZ86" s="1">
        <v>5</v>
      </c>
      <c r="CA86" s="1" t="s">
        <v>104</v>
      </c>
      <c r="CB86" s="1" t="s">
        <v>104</v>
      </c>
      <c r="CC86" s="1" t="s">
        <v>104</v>
      </c>
      <c r="CD86" s="1">
        <v>5</v>
      </c>
      <c r="CE86" s="1" t="s">
        <v>104</v>
      </c>
      <c r="CF86" s="1" t="s">
        <v>104</v>
      </c>
      <c r="CG86" s="1" t="s">
        <v>104</v>
      </c>
      <c r="CH86" s="1" t="s">
        <v>104</v>
      </c>
      <c r="CJ86" s="1">
        <v>0</v>
      </c>
      <c r="CK86" s="1">
        <v>0</v>
      </c>
      <c r="CL86" s="1">
        <v>0</v>
      </c>
      <c r="CM86" s="1" t="s">
        <v>104</v>
      </c>
    </row>
    <row r="87" spans="1:91" ht="14.25" customHeight="1" x14ac:dyDescent="0.3">
      <c r="A87" s="1" t="s">
        <v>762</v>
      </c>
      <c r="B87" s="1" t="s">
        <v>172</v>
      </c>
      <c r="E87" s="1" t="s">
        <v>763</v>
      </c>
      <c r="F87" s="1" t="s">
        <v>287</v>
      </c>
      <c r="G87" s="1" t="s">
        <v>116</v>
      </c>
      <c r="H87" s="1">
        <v>0</v>
      </c>
      <c r="I87" s="1" t="s">
        <v>157</v>
      </c>
      <c r="L87" s="1" t="s">
        <v>158</v>
      </c>
      <c r="M87" s="1" t="s">
        <v>119</v>
      </c>
      <c r="N87" s="1">
        <v>0</v>
      </c>
      <c r="O87" s="1">
        <v>0</v>
      </c>
      <c r="R87" s="1" t="s">
        <v>764</v>
      </c>
      <c r="S87" s="1" t="s">
        <v>103</v>
      </c>
      <c r="T87" s="1">
        <v>1</v>
      </c>
      <c r="U87" s="1">
        <v>1</v>
      </c>
      <c r="V87" s="1">
        <v>0</v>
      </c>
      <c r="W87" s="1">
        <v>0</v>
      </c>
      <c r="X87" s="1">
        <v>0</v>
      </c>
      <c r="Y87" s="1" t="s">
        <v>104</v>
      </c>
      <c r="Z87" s="1" t="s">
        <v>104</v>
      </c>
      <c r="AA87" s="1" t="s">
        <v>104</v>
      </c>
      <c r="AB87" s="1">
        <v>5</v>
      </c>
      <c r="AC87" s="1">
        <v>4</v>
      </c>
      <c r="AD87" s="1" t="s">
        <v>104</v>
      </c>
      <c r="AE87" s="1" t="s">
        <v>104</v>
      </c>
      <c r="AF87" s="1" t="s">
        <v>104</v>
      </c>
      <c r="AG87" s="1" t="s">
        <v>104</v>
      </c>
      <c r="AH87" s="1" t="s">
        <v>104</v>
      </c>
      <c r="AI87" s="1" t="s">
        <v>104</v>
      </c>
      <c r="AJ87" s="1" t="s">
        <v>104</v>
      </c>
      <c r="AK87" s="1" t="s">
        <v>104</v>
      </c>
      <c r="AL87" s="1" t="s">
        <v>104</v>
      </c>
      <c r="AM87" s="1" t="s">
        <v>104</v>
      </c>
      <c r="AO87" s="1">
        <v>5</v>
      </c>
      <c r="AP87" s="1" t="s">
        <v>765</v>
      </c>
      <c r="AQ87" s="1" t="s">
        <v>766</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2" t="str">
        <f>HYPERLINK("http://www.d20pfsrd.com/magic/all-spells/c/commune-with-nature","Commune with Nature")</f>
        <v>Commune with Nature</v>
      </c>
      <c r="BR87" s="1">
        <v>86</v>
      </c>
      <c r="BS87" s="1" t="s">
        <v>104</v>
      </c>
      <c r="BX87" s="1">
        <v>0</v>
      </c>
      <c r="BY87" s="1" t="s">
        <v>104</v>
      </c>
      <c r="BZ87" s="1">
        <v>5</v>
      </c>
      <c r="CA87" s="1">
        <v>5</v>
      </c>
      <c r="CB87" s="1" t="s">
        <v>104</v>
      </c>
      <c r="CC87" s="1" t="s">
        <v>104</v>
      </c>
      <c r="CD87" s="1" t="s">
        <v>104</v>
      </c>
      <c r="CE87" s="1" t="s">
        <v>104</v>
      </c>
      <c r="CF87" s="1" t="s">
        <v>104</v>
      </c>
      <c r="CG87" s="1" t="s">
        <v>104</v>
      </c>
      <c r="CH87" s="1">
        <v>4</v>
      </c>
      <c r="CJ87" s="1">
        <v>0</v>
      </c>
      <c r="CK87" s="1">
        <v>0</v>
      </c>
      <c r="CL87" s="1">
        <v>0</v>
      </c>
      <c r="CM87" s="1" t="s">
        <v>104</v>
      </c>
    </row>
    <row r="88" spans="1:91" ht="14.25" customHeight="1" x14ac:dyDescent="0.3">
      <c r="A88" s="1" t="s">
        <v>767</v>
      </c>
      <c r="B88" s="1" t="s">
        <v>172</v>
      </c>
      <c r="E88" s="1" t="s">
        <v>768</v>
      </c>
      <c r="F88" s="1" t="s">
        <v>95</v>
      </c>
      <c r="G88" s="1" t="s">
        <v>769</v>
      </c>
      <c r="H88" s="1">
        <v>0</v>
      </c>
      <c r="I88" s="1" t="s">
        <v>157</v>
      </c>
      <c r="L88" s="1" t="s">
        <v>158</v>
      </c>
      <c r="M88" s="1" t="s">
        <v>140</v>
      </c>
      <c r="N88" s="1">
        <v>0</v>
      </c>
      <c r="O88" s="1">
        <v>0</v>
      </c>
      <c r="R88" s="1" t="s">
        <v>770</v>
      </c>
      <c r="S88" s="1" t="s">
        <v>103</v>
      </c>
      <c r="T88" s="1">
        <v>1</v>
      </c>
      <c r="U88" s="1">
        <v>1</v>
      </c>
      <c r="V88" s="1">
        <v>1</v>
      </c>
      <c r="W88" s="1">
        <v>0</v>
      </c>
      <c r="X88" s="1">
        <v>1</v>
      </c>
      <c r="Y88" s="1">
        <v>1</v>
      </c>
      <c r="Z88" s="1">
        <v>1</v>
      </c>
      <c r="AA88" s="1">
        <v>1</v>
      </c>
      <c r="AB88" s="1" t="s">
        <v>104</v>
      </c>
      <c r="AC88" s="1" t="s">
        <v>104</v>
      </c>
      <c r="AD88" s="1">
        <v>1</v>
      </c>
      <c r="AE88" s="1" t="s">
        <v>104</v>
      </c>
      <c r="AF88" s="1">
        <v>1</v>
      </c>
      <c r="AG88" s="1" t="s">
        <v>104</v>
      </c>
      <c r="AH88" s="1">
        <v>1</v>
      </c>
      <c r="AI88" s="1">
        <v>1</v>
      </c>
      <c r="AJ88" s="1">
        <v>1</v>
      </c>
      <c r="AK88" s="1" t="s">
        <v>104</v>
      </c>
      <c r="AL88" s="1" t="s">
        <v>104</v>
      </c>
      <c r="AM88" s="1">
        <v>1</v>
      </c>
      <c r="AO88" s="1">
        <v>1</v>
      </c>
      <c r="AP88" s="1" t="s">
        <v>771</v>
      </c>
      <c r="AQ88" s="1" t="s">
        <v>772</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2" t="str">
        <f>HYPERLINK("http://www.d20pfsrd.com/magic/all-spells/c/comprehend-languages","Comprehend Languages")</f>
        <v>Comprehend Languages</v>
      </c>
      <c r="BR88" s="1">
        <v>87</v>
      </c>
      <c r="BS88" s="1" t="s">
        <v>104</v>
      </c>
      <c r="BX88" s="1">
        <v>0</v>
      </c>
      <c r="BY88" s="1" t="s">
        <v>104</v>
      </c>
      <c r="BZ88" s="1">
        <v>1</v>
      </c>
      <c r="CA88" s="1">
        <v>1</v>
      </c>
      <c r="CB88" s="1">
        <v>1</v>
      </c>
      <c r="CC88" s="1">
        <v>1</v>
      </c>
      <c r="CD88" s="1">
        <v>1</v>
      </c>
      <c r="CE88" s="1">
        <v>1</v>
      </c>
      <c r="CF88" s="1" t="s">
        <v>104</v>
      </c>
      <c r="CG88" s="1" t="s">
        <v>104</v>
      </c>
      <c r="CH88" s="1" t="s">
        <v>104</v>
      </c>
      <c r="CJ88" s="1">
        <v>0</v>
      </c>
      <c r="CK88" s="1">
        <v>0</v>
      </c>
      <c r="CL88" s="1">
        <v>0</v>
      </c>
      <c r="CM88" s="1" t="s">
        <v>104</v>
      </c>
    </row>
    <row r="89" spans="1:91" ht="14.25" customHeight="1" x14ac:dyDescent="0.3">
      <c r="A89" s="1" t="s">
        <v>773</v>
      </c>
      <c r="B89" s="1" t="s">
        <v>434</v>
      </c>
      <c r="D89" s="1" t="s">
        <v>46</v>
      </c>
      <c r="E89" s="1" t="s">
        <v>774</v>
      </c>
      <c r="F89" s="1" t="s">
        <v>95</v>
      </c>
      <c r="G89" s="1" t="s">
        <v>775</v>
      </c>
      <c r="H89" s="1">
        <v>0</v>
      </c>
      <c r="I89" s="1" t="s">
        <v>776</v>
      </c>
      <c r="J89" s="1" t="s">
        <v>549</v>
      </c>
      <c r="M89" s="1" t="s">
        <v>119</v>
      </c>
      <c r="N89" s="1">
        <v>0</v>
      </c>
      <c r="O89" s="1">
        <v>0</v>
      </c>
      <c r="P89" s="1" t="s">
        <v>550</v>
      </c>
      <c r="Q89" s="1" t="s">
        <v>184</v>
      </c>
      <c r="R89" s="1" t="s">
        <v>777</v>
      </c>
      <c r="S89" s="1" t="s">
        <v>103</v>
      </c>
      <c r="T89" s="1">
        <v>1</v>
      </c>
      <c r="U89" s="1">
        <v>1</v>
      </c>
      <c r="V89" s="1">
        <v>1</v>
      </c>
      <c r="W89" s="1">
        <v>0</v>
      </c>
      <c r="X89" s="1">
        <v>0</v>
      </c>
      <c r="Y89" s="1">
        <v>5</v>
      </c>
      <c r="Z89" s="1">
        <v>5</v>
      </c>
      <c r="AA89" s="1" t="s">
        <v>104</v>
      </c>
      <c r="AB89" s="1" t="s">
        <v>104</v>
      </c>
      <c r="AC89" s="1" t="s">
        <v>104</v>
      </c>
      <c r="AD89" s="1" t="s">
        <v>104</v>
      </c>
      <c r="AE89" s="1" t="s">
        <v>104</v>
      </c>
      <c r="AF89" s="1" t="s">
        <v>104</v>
      </c>
      <c r="AG89" s="1" t="s">
        <v>104</v>
      </c>
      <c r="AH89" s="1">
        <v>6</v>
      </c>
      <c r="AI89" s="1" t="s">
        <v>104</v>
      </c>
      <c r="AJ89" s="1" t="s">
        <v>104</v>
      </c>
      <c r="AK89" s="1" t="s">
        <v>104</v>
      </c>
      <c r="AL89" s="1">
        <v>5</v>
      </c>
      <c r="AM89" s="1" t="s">
        <v>104</v>
      </c>
      <c r="AO89" s="1">
        <v>5</v>
      </c>
      <c r="AP89" s="1" t="s">
        <v>778</v>
      </c>
      <c r="AQ89" s="1" t="s">
        <v>779</v>
      </c>
      <c r="AR89" s="1">
        <v>0</v>
      </c>
      <c r="AS89" s="1">
        <v>0</v>
      </c>
      <c r="AT89" s="1">
        <v>0</v>
      </c>
      <c r="AU89" s="1">
        <v>1</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2" t="str">
        <f>HYPERLINK("http://www.d20pfsrd.com/magic/all-spells/c/cone-of-cold","Cone of Cold")</f>
        <v>Cone of Cold</v>
      </c>
      <c r="BR89" s="1">
        <v>88</v>
      </c>
      <c r="BS89" s="1" t="s">
        <v>104</v>
      </c>
      <c r="BT89" s="1" t="s">
        <v>780</v>
      </c>
      <c r="BU89" s="1" t="s">
        <v>781</v>
      </c>
      <c r="BX89" s="1">
        <v>0</v>
      </c>
      <c r="BY89" s="1" t="s">
        <v>104</v>
      </c>
      <c r="BZ89" s="1">
        <v>6</v>
      </c>
      <c r="CA89" s="1" t="s">
        <v>104</v>
      </c>
      <c r="CB89" s="1" t="s">
        <v>104</v>
      </c>
      <c r="CC89" s="1" t="s">
        <v>104</v>
      </c>
      <c r="CD89" s="1">
        <v>5</v>
      </c>
      <c r="CE89" s="1" t="s">
        <v>104</v>
      </c>
      <c r="CF89" s="1" t="s">
        <v>104</v>
      </c>
      <c r="CG89" s="1" t="s">
        <v>104</v>
      </c>
      <c r="CH89" s="1" t="s">
        <v>104</v>
      </c>
      <c r="CJ89" s="1">
        <v>0</v>
      </c>
      <c r="CK89" s="1">
        <v>0</v>
      </c>
      <c r="CL89" s="1">
        <v>0</v>
      </c>
      <c r="CM89" s="1" t="s">
        <v>104</v>
      </c>
    </row>
    <row r="90" spans="1:91" ht="14.25" customHeight="1" x14ac:dyDescent="0.3">
      <c r="A90" s="1" t="s">
        <v>782</v>
      </c>
      <c r="B90" s="1" t="s">
        <v>123</v>
      </c>
      <c r="C90" s="1" t="s">
        <v>124</v>
      </c>
      <c r="D90" s="1" t="s">
        <v>125</v>
      </c>
      <c r="E90" s="1" t="s">
        <v>783</v>
      </c>
      <c r="F90" s="1" t="s">
        <v>95</v>
      </c>
      <c r="G90" s="1" t="s">
        <v>784</v>
      </c>
      <c r="H90" s="1">
        <v>0</v>
      </c>
      <c r="I90" s="1" t="s">
        <v>109</v>
      </c>
      <c r="L90" s="1" t="s">
        <v>785</v>
      </c>
      <c r="M90" s="1" t="s">
        <v>111</v>
      </c>
      <c r="N90" s="1">
        <v>0</v>
      </c>
      <c r="O90" s="1">
        <v>0</v>
      </c>
      <c r="P90" s="1" t="s">
        <v>211</v>
      </c>
      <c r="Q90" s="1" t="s">
        <v>184</v>
      </c>
      <c r="R90" s="1" t="s">
        <v>786</v>
      </c>
      <c r="S90" s="1" t="s">
        <v>103</v>
      </c>
      <c r="T90" s="1">
        <v>1</v>
      </c>
      <c r="U90" s="1">
        <v>1</v>
      </c>
      <c r="V90" s="1">
        <v>1</v>
      </c>
      <c r="W90" s="1">
        <v>0</v>
      </c>
      <c r="X90" s="1">
        <v>1</v>
      </c>
      <c r="Y90" s="1">
        <v>4</v>
      </c>
      <c r="Z90" s="1">
        <v>4</v>
      </c>
      <c r="AA90" s="1" t="s">
        <v>104</v>
      </c>
      <c r="AB90" s="1" t="s">
        <v>104</v>
      </c>
      <c r="AC90" s="1" t="s">
        <v>104</v>
      </c>
      <c r="AD90" s="1">
        <v>3</v>
      </c>
      <c r="AE90" s="1" t="s">
        <v>104</v>
      </c>
      <c r="AF90" s="1" t="s">
        <v>104</v>
      </c>
      <c r="AG90" s="1" t="s">
        <v>104</v>
      </c>
      <c r="AH90" s="1">
        <v>4</v>
      </c>
      <c r="AI90" s="1" t="s">
        <v>104</v>
      </c>
      <c r="AJ90" s="1" t="s">
        <v>104</v>
      </c>
      <c r="AK90" s="1" t="s">
        <v>104</v>
      </c>
      <c r="AL90" s="1" t="s">
        <v>104</v>
      </c>
      <c r="AM90" s="1" t="s">
        <v>104</v>
      </c>
      <c r="AO90" s="1">
        <v>4</v>
      </c>
      <c r="AP90" s="1" t="s">
        <v>787</v>
      </c>
      <c r="AQ90" s="1" t="s">
        <v>788</v>
      </c>
      <c r="AR90" s="1">
        <v>0</v>
      </c>
      <c r="AS90" s="1">
        <v>0</v>
      </c>
      <c r="AT90" s="1">
        <v>0</v>
      </c>
      <c r="AU90" s="1">
        <v>0</v>
      </c>
      <c r="AV90" s="1">
        <v>0</v>
      </c>
      <c r="AW90" s="1">
        <v>0</v>
      </c>
      <c r="AX90" s="1">
        <v>0</v>
      </c>
      <c r="AY90" s="1">
        <v>0</v>
      </c>
      <c r="AZ90" s="1">
        <v>0</v>
      </c>
      <c r="BA90" s="1">
        <v>0</v>
      </c>
      <c r="BB90" s="1">
        <v>0</v>
      </c>
      <c r="BC90" s="1">
        <v>0</v>
      </c>
      <c r="BD90" s="1">
        <v>0</v>
      </c>
      <c r="BE90" s="1">
        <v>0</v>
      </c>
      <c r="BF90" s="1">
        <v>0</v>
      </c>
      <c r="BG90" s="1">
        <v>0</v>
      </c>
      <c r="BH90" s="1">
        <v>0</v>
      </c>
      <c r="BI90" s="1">
        <v>0</v>
      </c>
      <c r="BJ90" s="1">
        <v>0</v>
      </c>
      <c r="BK90" s="1">
        <v>1</v>
      </c>
      <c r="BL90" s="1">
        <v>0</v>
      </c>
      <c r="BM90" s="1">
        <v>0</v>
      </c>
      <c r="BN90" s="1">
        <v>0</v>
      </c>
      <c r="BO90" s="1">
        <v>0</v>
      </c>
      <c r="BP90" s="1">
        <v>0</v>
      </c>
      <c r="BQ90" s="2" t="str">
        <f>HYPERLINK("http://www.d20pfsrd.com/magic/all-spells/c/confusion","Confusion")</f>
        <v>Confusion</v>
      </c>
      <c r="BR90" s="1">
        <v>89</v>
      </c>
      <c r="BS90" s="1" t="s">
        <v>104</v>
      </c>
      <c r="BT90" s="1" t="s">
        <v>789</v>
      </c>
      <c r="BU90" s="1" t="s">
        <v>790</v>
      </c>
      <c r="BX90" s="1">
        <v>0</v>
      </c>
      <c r="BY90" s="1">
        <v>4</v>
      </c>
      <c r="BZ90" s="1" t="s">
        <v>104</v>
      </c>
      <c r="CA90" s="1">
        <v>4</v>
      </c>
      <c r="CB90" s="1" t="s">
        <v>104</v>
      </c>
      <c r="CC90" s="1">
        <v>3</v>
      </c>
      <c r="CD90" s="1">
        <v>4</v>
      </c>
      <c r="CE90" s="1">
        <v>4</v>
      </c>
      <c r="CF90" s="1" t="s">
        <v>104</v>
      </c>
      <c r="CG90" s="1" t="s">
        <v>104</v>
      </c>
      <c r="CH90" s="1" t="s">
        <v>104</v>
      </c>
      <c r="CJ90" s="1">
        <v>0</v>
      </c>
      <c r="CK90" s="1">
        <v>0</v>
      </c>
      <c r="CL90" s="1">
        <v>0</v>
      </c>
      <c r="CM90" s="1" t="s">
        <v>104</v>
      </c>
    </row>
    <row r="91" spans="1:91" ht="14.25" customHeight="1" x14ac:dyDescent="0.3">
      <c r="A91" s="1" t="s">
        <v>791</v>
      </c>
      <c r="B91" s="1" t="s">
        <v>123</v>
      </c>
      <c r="C91" s="1" t="s">
        <v>124</v>
      </c>
      <c r="D91" s="1" t="s">
        <v>125</v>
      </c>
      <c r="E91" s="1" t="s">
        <v>792</v>
      </c>
      <c r="F91" s="1" t="s">
        <v>95</v>
      </c>
      <c r="G91" s="1" t="s">
        <v>127</v>
      </c>
      <c r="H91" s="1">
        <v>0</v>
      </c>
      <c r="I91" s="1" t="s">
        <v>117</v>
      </c>
      <c r="L91" s="1" t="s">
        <v>417</v>
      </c>
      <c r="M91" s="1" t="s">
        <v>255</v>
      </c>
      <c r="N91" s="1">
        <v>0</v>
      </c>
      <c r="O91" s="1">
        <v>0</v>
      </c>
      <c r="P91" s="1" t="s">
        <v>211</v>
      </c>
      <c r="Q91" s="1" t="s">
        <v>184</v>
      </c>
      <c r="R91" s="1" t="s">
        <v>793</v>
      </c>
      <c r="S91" s="1" t="s">
        <v>103</v>
      </c>
      <c r="T91" s="1">
        <v>1</v>
      </c>
      <c r="U91" s="1">
        <v>1</v>
      </c>
      <c r="V91" s="1">
        <v>0</v>
      </c>
      <c r="W91" s="1">
        <v>0</v>
      </c>
      <c r="X91" s="1">
        <v>1</v>
      </c>
      <c r="Y91" s="1" t="s">
        <v>104</v>
      </c>
      <c r="Z91" s="1" t="s">
        <v>104</v>
      </c>
      <c r="AA91" s="1" t="s">
        <v>104</v>
      </c>
      <c r="AB91" s="1" t="s">
        <v>104</v>
      </c>
      <c r="AC91" s="1" t="s">
        <v>104</v>
      </c>
      <c r="AD91" s="1">
        <v>1</v>
      </c>
      <c r="AE91" s="1" t="s">
        <v>104</v>
      </c>
      <c r="AF91" s="1" t="s">
        <v>104</v>
      </c>
      <c r="AG91" s="1" t="s">
        <v>104</v>
      </c>
      <c r="AH91" s="1" t="s">
        <v>104</v>
      </c>
      <c r="AI91" s="1" t="s">
        <v>104</v>
      </c>
      <c r="AJ91" s="1" t="s">
        <v>104</v>
      </c>
      <c r="AK91" s="1" t="s">
        <v>104</v>
      </c>
      <c r="AL91" s="1" t="s">
        <v>104</v>
      </c>
      <c r="AM91" s="1" t="s">
        <v>104</v>
      </c>
      <c r="AO91" s="1">
        <v>1</v>
      </c>
      <c r="AP91" s="1" t="s">
        <v>794</v>
      </c>
      <c r="AQ91" s="1" t="s">
        <v>795</v>
      </c>
      <c r="AR91" s="1">
        <v>0</v>
      </c>
      <c r="AS91" s="1">
        <v>0</v>
      </c>
      <c r="AT91" s="1">
        <v>0</v>
      </c>
      <c r="AU91" s="1">
        <v>0</v>
      </c>
      <c r="AV91" s="1">
        <v>0</v>
      </c>
      <c r="AW91" s="1">
        <v>0</v>
      </c>
      <c r="AX91" s="1">
        <v>0</v>
      </c>
      <c r="AY91" s="1">
        <v>0</v>
      </c>
      <c r="AZ91" s="1">
        <v>0</v>
      </c>
      <c r="BA91" s="1">
        <v>0</v>
      </c>
      <c r="BB91" s="1">
        <v>0</v>
      </c>
      <c r="BC91" s="1">
        <v>0</v>
      </c>
      <c r="BD91" s="1">
        <v>0</v>
      </c>
      <c r="BE91" s="1">
        <v>0</v>
      </c>
      <c r="BF91" s="1">
        <v>0</v>
      </c>
      <c r="BG91" s="1">
        <v>0</v>
      </c>
      <c r="BH91" s="1">
        <v>0</v>
      </c>
      <c r="BI91" s="1">
        <v>0</v>
      </c>
      <c r="BJ91" s="1">
        <v>0</v>
      </c>
      <c r="BK91" s="1">
        <v>1</v>
      </c>
      <c r="BL91" s="1">
        <v>0</v>
      </c>
      <c r="BM91" s="1">
        <v>0</v>
      </c>
      <c r="BN91" s="1">
        <v>0</v>
      </c>
      <c r="BO91" s="1">
        <v>0</v>
      </c>
      <c r="BP91" s="1">
        <v>0</v>
      </c>
      <c r="BQ91" s="2" t="str">
        <f>HYPERLINK("http://www.d20pfsrd.com/magic/all-spells/c/confusion","Confusion, Lesser")</f>
        <v>Confusion, Lesser</v>
      </c>
      <c r="BR91" s="1">
        <v>90</v>
      </c>
      <c r="BS91" s="1" t="s">
        <v>104</v>
      </c>
      <c r="BT91" s="1" t="s">
        <v>796</v>
      </c>
      <c r="BX91" s="1">
        <v>0</v>
      </c>
      <c r="BY91" s="1" t="s">
        <v>104</v>
      </c>
      <c r="BZ91" s="1" t="s">
        <v>104</v>
      </c>
      <c r="CA91" s="1">
        <v>1</v>
      </c>
      <c r="CB91" s="1">
        <v>1</v>
      </c>
      <c r="CC91" s="1">
        <v>1</v>
      </c>
      <c r="CD91" s="1" t="s">
        <v>104</v>
      </c>
      <c r="CE91" s="1" t="s">
        <v>104</v>
      </c>
      <c r="CF91" s="1" t="s">
        <v>104</v>
      </c>
      <c r="CG91" s="1" t="s">
        <v>104</v>
      </c>
      <c r="CH91" s="1" t="s">
        <v>104</v>
      </c>
      <c r="CJ91" s="1">
        <v>0</v>
      </c>
      <c r="CK91" s="1">
        <v>0</v>
      </c>
      <c r="CL91" s="1">
        <v>0</v>
      </c>
      <c r="CM91" s="1" t="s">
        <v>104</v>
      </c>
    </row>
    <row r="92" spans="1:91" ht="14.25" customHeight="1" x14ac:dyDescent="0.3">
      <c r="A92" s="1" t="s">
        <v>797</v>
      </c>
      <c r="B92" s="1" t="s">
        <v>434</v>
      </c>
      <c r="D92" s="1" t="s">
        <v>58</v>
      </c>
      <c r="E92" s="1" t="s">
        <v>146</v>
      </c>
      <c r="F92" s="1" t="s">
        <v>95</v>
      </c>
      <c r="G92" s="1" t="s">
        <v>798</v>
      </c>
      <c r="H92" s="1">
        <v>1</v>
      </c>
      <c r="I92" s="1" t="s">
        <v>117</v>
      </c>
      <c r="J92" s="1" t="s">
        <v>799</v>
      </c>
      <c r="M92" s="1" t="s">
        <v>166</v>
      </c>
      <c r="N92" s="1">
        <v>0</v>
      </c>
      <c r="O92" s="1">
        <v>0</v>
      </c>
      <c r="P92" s="1" t="s">
        <v>100</v>
      </c>
      <c r="Q92" s="1" t="s">
        <v>101</v>
      </c>
      <c r="R92" s="1" t="s">
        <v>800</v>
      </c>
      <c r="S92" s="1" t="s">
        <v>103</v>
      </c>
      <c r="T92" s="1">
        <v>1</v>
      </c>
      <c r="U92" s="1">
        <v>1</v>
      </c>
      <c r="V92" s="1">
        <v>1</v>
      </c>
      <c r="W92" s="1">
        <v>0</v>
      </c>
      <c r="X92" s="1">
        <v>1</v>
      </c>
      <c r="Y92" s="1" t="s">
        <v>104</v>
      </c>
      <c r="Z92" s="1" t="s">
        <v>104</v>
      </c>
      <c r="AA92" s="1">
        <v>2</v>
      </c>
      <c r="AB92" s="1" t="s">
        <v>104</v>
      </c>
      <c r="AC92" s="1" t="s">
        <v>104</v>
      </c>
      <c r="AD92" s="1" t="s">
        <v>104</v>
      </c>
      <c r="AE92" s="1" t="s">
        <v>104</v>
      </c>
      <c r="AF92" s="1" t="s">
        <v>104</v>
      </c>
      <c r="AG92" s="1" t="s">
        <v>104</v>
      </c>
      <c r="AH92" s="1" t="s">
        <v>104</v>
      </c>
      <c r="AI92" s="1">
        <v>2</v>
      </c>
      <c r="AJ92" s="1">
        <v>2</v>
      </c>
      <c r="AK92" s="1" t="s">
        <v>104</v>
      </c>
      <c r="AL92" s="1" t="s">
        <v>104</v>
      </c>
      <c r="AM92" s="1" t="s">
        <v>104</v>
      </c>
      <c r="AO92" s="1">
        <v>2</v>
      </c>
      <c r="AQ92" s="1" t="s">
        <v>801</v>
      </c>
      <c r="AR92" s="1">
        <v>0</v>
      </c>
      <c r="AS92" s="1">
        <v>0</v>
      </c>
      <c r="AT92" s="1">
        <v>0</v>
      </c>
      <c r="AU92" s="1">
        <v>0</v>
      </c>
      <c r="AV92" s="1">
        <v>0</v>
      </c>
      <c r="AW92" s="1">
        <v>0</v>
      </c>
      <c r="AX92" s="1">
        <v>0</v>
      </c>
      <c r="AY92" s="1">
        <v>0</v>
      </c>
      <c r="AZ92" s="1">
        <v>0</v>
      </c>
      <c r="BA92" s="1">
        <v>0</v>
      </c>
      <c r="BB92" s="1">
        <v>0</v>
      </c>
      <c r="BC92" s="1">
        <v>0</v>
      </c>
      <c r="BD92" s="1">
        <v>0</v>
      </c>
      <c r="BE92" s="1">
        <v>0</v>
      </c>
      <c r="BF92" s="1">
        <v>0</v>
      </c>
      <c r="BG92" s="1">
        <v>1</v>
      </c>
      <c r="BH92" s="1">
        <v>0</v>
      </c>
      <c r="BI92" s="1">
        <v>0</v>
      </c>
      <c r="BJ92" s="1">
        <v>0</v>
      </c>
      <c r="BK92" s="1">
        <v>0</v>
      </c>
      <c r="BL92" s="1">
        <v>0</v>
      </c>
      <c r="BM92" s="1">
        <v>0</v>
      </c>
      <c r="BN92" s="1">
        <v>0</v>
      </c>
      <c r="BO92" s="1">
        <v>0</v>
      </c>
      <c r="BP92" s="1">
        <v>0</v>
      </c>
      <c r="BQ92" s="2" t="str">
        <f>HYPERLINK("http://www.d20pfsrd.com/magic/all-spells/c/consecrate","Consecrate")</f>
        <v>Consecrate</v>
      </c>
      <c r="BR92" s="1">
        <v>91</v>
      </c>
      <c r="BS92" s="1">
        <v>25</v>
      </c>
      <c r="BV92" s="1" t="s">
        <v>802</v>
      </c>
      <c r="BW92" s="1" t="s">
        <v>803</v>
      </c>
      <c r="BX92" s="1">
        <v>1</v>
      </c>
      <c r="BY92" s="1" t="s">
        <v>104</v>
      </c>
      <c r="BZ92" s="1" t="s">
        <v>104</v>
      </c>
      <c r="CA92" s="1" t="s">
        <v>104</v>
      </c>
      <c r="CB92" s="1" t="s">
        <v>104</v>
      </c>
      <c r="CC92" s="1" t="s">
        <v>104</v>
      </c>
      <c r="CD92" s="1" t="s">
        <v>104</v>
      </c>
      <c r="CE92" s="1" t="s">
        <v>104</v>
      </c>
      <c r="CF92" s="1" t="s">
        <v>104</v>
      </c>
      <c r="CG92" s="1" t="s">
        <v>104</v>
      </c>
      <c r="CH92" s="1" t="s">
        <v>104</v>
      </c>
      <c r="CJ92" s="1">
        <v>0</v>
      </c>
      <c r="CK92" s="1">
        <v>0</v>
      </c>
      <c r="CL92" s="1">
        <v>0</v>
      </c>
      <c r="CM92" s="1" t="s">
        <v>104</v>
      </c>
    </row>
    <row r="93" spans="1:91" ht="14.25" customHeight="1" x14ac:dyDescent="0.3">
      <c r="A93" s="1" t="s">
        <v>804</v>
      </c>
      <c r="B93" s="1" t="s">
        <v>172</v>
      </c>
      <c r="E93" s="1" t="s">
        <v>805</v>
      </c>
      <c r="F93" s="1" t="s">
        <v>287</v>
      </c>
      <c r="G93" s="1" t="s">
        <v>237</v>
      </c>
      <c r="H93" s="1">
        <v>0</v>
      </c>
      <c r="I93" s="1" t="s">
        <v>157</v>
      </c>
      <c r="L93" s="1" t="s">
        <v>158</v>
      </c>
      <c r="M93" s="1" t="s">
        <v>210</v>
      </c>
      <c r="N93" s="1">
        <v>0</v>
      </c>
      <c r="O93" s="1">
        <v>0</v>
      </c>
      <c r="R93" s="1" t="s">
        <v>806</v>
      </c>
      <c r="S93" s="1" t="s">
        <v>103</v>
      </c>
      <c r="T93" s="1">
        <v>1</v>
      </c>
      <c r="U93" s="1">
        <v>0</v>
      </c>
      <c r="V93" s="1">
        <v>0</v>
      </c>
      <c r="W93" s="1">
        <v>0</v>
      </c>
      <c r="X93" s="1">
        <v>0</v>
      </c>
      <c r="Y93" s="1">
        <v>5</v>
      </c>
      <c r="Z93" s="1">
        <v>5</v>
      </c>
      <c r="AA93" s="1" t="s">
        <v>104</v>
      </c>
      <c r="AB93" s="1" t="s">
        <v>104</v>
      </c>
      <c r="AC93" s="1" t="s">
        <v>104</v>
      </c>
      <c r="AD93" s="1" t="s">
        <v>104</v>
      </c>
      <c r="AE93" s="1" t="s">
        <v>104</v>
      </c>
      <c r="AF93" s="1">
        <v>5</v>
      </c>
      <c r="AG93" s="1">
        <v>4</v>
      </c>
      <c r="AH93" s="1">
        <v>5</v>
      </c>
      <c r="AI93" s="1" t="s">
        <v>104</v>
      </c>
      <c r="AJ93" s="1" t="s">
        <v>104</v>
      </c>
      <c r="AK93" s="1" t="s">
        <v>104</v>
      </c>
      <c r="AL93" s="1" t="s">
        <v>104</v>
      </c>
      <c r="AM93" s="1" t="s">
        <v>104</v>
      </c>
      <c r="AO93" s="1">
        <v>5</v>
      </c>
      <c r="AQ93" s="1" t="s">
        <v>807</v>
      </c>
      <c r="AR93" s="1">
        <v>0</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2" t="str">
        <f>HYPERLINK("http://www.d20pfsrd.com/magic/all-spells/c/contact-other-plane","Contact Other Plane")</f>
        <v>Contact Other Plane</v>
      </c>
      <c r="BR93" s="1">
        <v>92</v>
      </c>
      <c r="BS93" s="1" t="s">
        <v>104</v>
      </c>
      <c r="BT93" s="1" t="s">
        <v>808</v>
      </c>
      <c r="BU93" s="1" t="s">
        <v>809</v>
      </c>
      <c r="BX93" s="1">
        <v>0</v>
      </c>
      <c r="BY93" s="1" t="s">
        <v>104</v>
      </c>
      <c r="BZ93" s="1" t="s">
        <v>104</v>
      </c>
      <c r="CA93" s="1">
        <v>5</v>
      </c>
      <c r="CB93" s="1" t="s">
        <v>104</v>
      </c>
      <c r="CC93" s="1" t="s">
        <v>104</v>
      </c>
      <c r="CD93" s="1">
        <v>4</v>
      </c>
      <c r="CE93" s="1">
        <v>5</v>
      </c>
      <c r="CF93" s="1" t="s">
        <v>104</v>
      </c>
      <c r="CG93" s="1" t="s">
        <v>104</v>
      </c>
      <c r="CH93" s="1" t="s">
        <v>104</v>
      </c>
      <c r="CJ93" s="1">
        <v>0</v>
      </c>
      <c r="CK93" s="1">
        <v>0</v>
      </c>
      <c r="CL93" s="1">
        <v>0</v>
      </c>
      <c r="CM93" s="1">
        <v>5</v>
      </c>
    </row>
    <row r="94" spans="1:91" ht="14.25" customHeight="1" x14ac:dyDescent="0.3">
      <c r="A94" s="1" t="s">
        <v>810</v>
      </c>
      <c r="B94" s="1" t="s">
        <v>216</v>
      </c>
      <c r="D94" s="1" t="s">
        <v>54</v>
      </c>
      <c r="E94" s="1" t="s">
        <v>811</v>
      </c>
      <c r="F94" s="1" t="s">
        <v>95</v>
      </c>
      <c r="G94" s="1" t="s">
        <v>116</v>
      </c>
      <c r="H94" s="1">
        <v>0</v>
      </c>
      <c r="I94" s="1" t="s">
        <v>128</v>
      </c>
      <c r="L94" s="1" t="s">
        <v>129</v>
      </c>
      <c r="M94" s="1" t="s">
        <v>119</v>
      </c>
      <c r="N94" s="1">
        <v>0</v>
      </c>
      <c r="O94" s="1">
        <v>0</v>
      </c>
      <c r="P94" s="1" t="s">
        <v>183</v>
      </c>
      <c r="Q94" s="1" t="s">
        <v>184</v>
      </c>
      <c r="R94" s="1" t="s">
        <v>812</v>
      </c>
      <c r="S94" s="1" t="s">
        <v>103</v>
      </c>
      <c r="T94" s="1">
        <v>1</v>
      </c>
      <c r="U94" s="1">
        <v>1</v>
      </c>
      <c r="V94" s="1">
        <v>0</v>
      </c>
      <c r="W94" s="1">
        <v>0</v>
      </c>
      <c r="X94" s="1">
        <v>0</v>
      </c>
      <c r="Y94" s="1">
        <v>4</v>
      </c>
      <c r="Z94" s="1">
        <v>4</v>
      </c>
      <c r="AA94" s="1">
        <v>3</v>
      </c>
      <c r="AB94" s="1">
        <v>3</v>
      </c>
      <c r="AC94" s="1" t="s">
        <v>104</v>
      </c>
      <c r="AD94" s="1" t="s">
        <v>104</v>
      </c>
      <c r="AE94" s="1" t="s">
        <v>104</v>
      </c>
      <c r="AF94" s="1" t="s">
        <v>104</v>
      </c>
      <c r="AG94" s="1" t="s">
        <v>104</v>
      </c>
      <c r="AH94" s="1" t="s">
        <v>104</v>
      </c>
      <c r="AI94" s="1" t="s">
        <v>104</v>
      </c>
      <c r="AJ94" s="1">
        <v>3</v>
      </c>
      <c r="AK94" s="1">
        <v>3</v>
      </c>
      <c r="AL94" s="1" t="s">
        <v>104</v>
      </c>
      <c r="AM94" s="1">
        <v>3</v>
      </c>
      <c r="AO94" s="1">
        <v>4</v>
      </c>
      <c r="AP94" s="1" t="s">
        <v>813</v>
      </c>
      <c r="AQ94" s="1" t="s">
        <v>814</v>
      </c>
      <c r="AR94" s="1">
        <v>0</v>
      </c>
      <c r="AS94" s="1">
        <v>0</v>
      </c>
      <c r="AT94" s="1">
        <v>0</v>
      </c>
      <c r="AU94" s="1">
        <v>0</v>
      </c>
      <c r="AV94" s="1">
        <v>0</v>
      </c>
      <c r="AW94" s="1">
        <v>0</v>
      </c>
      <c r="AX94" s="1">
        <v>0</v>
      </c>
      <c r="AY94" s="1">
        <v>0</v>
      </c>
      <c r="AZ94" s="1">
        <v>0</v>
      </c>
      <c r="BA94" s="1">
        <v>0</v>
      </c>
      <c r="BB94" s="1">
        <v>0</v>
      </c>
      <c r="BC94" s="1">
        <v>1</v>
      </c>
      <c r="BD94" s="1">
        <v>0</v>
      </c>
      <c r="BE94" s="1">
        <v>0</v>
      </c>
      <c r="BF94" s="1">
        <v>0</v>
      </c>
      <c r="BG94" s="1">
        <v>0</v>
      </c>
      <c r="BH94" s="1">
        <v>0</v>
      </c>
      <c r="BI94" s="1">
        <v>0</v>
      </c>
      <c r="BJ94" s="1">
        <v>0</v>
      </c>
      <c r="BK94" s="1">
        <v>0</v>
      </c>
      <c r="BL94" s="1">
        <v>0</v>
      </c>
      <c r="BM94" s="1">
        <v>0</v>
      </c>
      <c r="BN94" s="1">
        <v>0</v>
      </c>
      <c r="BO94" s="1">
        <v>0</v>
      </c>
      <c r="BP94" s="1">
        <v>0</v>
      </c>
      <c r="BQ94" s="2" t="str">
        <f>HYPERLINK("http://www.d20pfsrd.com/magic/all-spells/c/contagion","Contagion")</f>
        <v>Contagion</v>
      </c>
      <c r="BR94" s="1">
        <v>93</v>
      </c>
      <c r="BS94" s="1" t="s">
        <v>104</v>
      </c>
      <c r="BT94" s="1" t="s">
        <v>815</v>
      </c>
      <c r="BU94" s="1" t="s">
        <v>816</v>
      </c>
      <c r="BV94" s="1" t="s">
        <v>817</v>
      </c>
      <c r="BW94" s="1" t="s">
        <v>818</v>
      </c>
      <c r="BX94" s="1">
        <v>1</v>
      </c>
      <c r="BY94" s="1">
        <v>4</v>
      </c>
      <c r="BZ94" s="1" t="s">
        <v>104</v>
      </c>
      <c r="CA94" s="1" t="s">
        <v>104</v>
      </c>
      <c r="CB94" s="1" t="s">
        <v>104</v>
      </c>
      <c r="CC94" s="1" t="s">
        <v>104</v>
      </c>
      <c r="CD94" s="1" t="s">
        <v>104</v>
      </c>
      <c r="CE94" s="1" t="s">
        <v>104</v>
      </c>
      <c r="CF94" s="1" t="s">
        <v>104</v>
      </c>
      <c r="CG94" s="1" t="s">
        <v>104</v>
      </c>
      <c r="CH94" s="1">
        <v>3</v>
      </c>
      <c r="CJ94" s="1">
        <v>0</v>
      </c>
      <c r="CK94" s="1">
        <v>0</v>
      </c>
      <c r="CL94" s="1">
        <v>0</v>
      </c>
      <c r="CM94" s="1" t="s">
        <v>104</v>
      </c>
    </row>
    <row r="95" spans="1:91" ht="14.25" customHeight="1" x14ac:dyDescent="0.3">
      <c r="A95" s="1" t="s">
        <v>819</v>
      </c>
      <c r="B95" s="1" t="s">
        <v>434</v>
      </c>
      <c r="E95" s="1" t="s">
        <v>820</v>
      </c>
      <c r="F95" s="1" t="s">
        <v>821</v>
      </c>
      <c r="G95" s="1" t="s">
        <v>822</v>
      </c>
      <c r="H95" s="1">
        <v>1</v>
      </c>
      <c r="I95" s="1" t="s">
        <v>157</v>
      </c>
      <c r="L95" s="1" t="s">
        <v>158</v>
      </c>
      <c r="M95" s="1" t="s">
        <v>823</v>
      </c>
      <c r="N95" s="1">
        <v>1</v>
      </c>
      <c r="O95" s="1">
        <v>0</v>
      </c>
      <c r="R95" s="1" t="s">
        <v>824</v>
      </c>
      <c r="S95" s="1" t="s">
        <v>103</v>
      </c>
      <c r="T95" s="1">
        <v>1</v>
      </c>
      <c r="U95" s="1">
        <v>1</v>
      </c>
      <c r="V95" s="1">
        <v>1</v>
      </c>
      <c r="W95" s="1">
        <v>0</v>
      </c>
      <c r="X95" s="1">
        <v>0</v>
      </c>
      <c r="Y95" s="1">
        <v>6</v>
      </c>
      <c r="Z95" s="1">
        <v>6</v>
      </c>
      <c r="AA95" s="1" t="s">
        <v>104</v>
      </c>
      <c r="AB95" s="1" t="s">
        <v>104</v>
      </c>
      <c r="AC95" s="1" t="s">
        <v>104</v>
      </c>
      <c r="AD95" s="1" t="s">
        <v>104</v>
      </c>
      <c r="AE95" s="1" t="s">
        <v>104</v>
      </c>
      <c r="AF95" s="1" t="s">
        <v>104</v>
      </c>
      <c r="AG95" s="1" t="s">
        <v>104</v>
      </c>
      <c r="AH95" s="1" t="s">
        <v>104</v>
      </c>
      <c r="AI95" s="1" t="s">
        <v>104</v>
      </c>
      <c r="AJ95" s="1" t="s">
        <v>104</v>
      </c>
      <c r="AK95" s="1" t="s">
        <v>104</v>
      </c>
      <c r="AL95" s="1" t="s">
        <v>104</v>
      </c>
      <c r="AM95" s="1" t="s">
        <v>104</v>
      </c>
      <c r="AO95" s="1">
        <v>6</v>
      </c>
      <c r="AQ95" s="1" t="s">
        <v>825</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2" t="str">
        <f>HYPERLINK("http://www.d20pfsrd.com/magic/all-spells/c/contingency","Contingency")</f>
        <v>Contingency</v>
      </c>
      <c r="BR95" s="1">
        <v>94</v>
      </c>
      <c r="BS95" s="1">
        <v>1500</v>
      </c>
      <c r="BV95" s="1" t="s">
        <v>826</v>
      </c>
      <c r="BW95" s="1" t="s">
        <v>827</v>
      </c>
      <c r="BX95" s="1">
        <v>1</v>
      </c>
      <c r="BY95" s="1" t="s">
        <v>104</v>
      </c>
      <c r="BZ95" s="1" t="s">
        <v>104</v>
      </c>
      <c r="CA95" s="1">
        <v>6</v>
      </c>
      <c r="CB95" s="1" t="s">
        <v>104</v>
      </c>
      <c r="CC95" s="1" t="s">
        <v>104</v>
      </c>
      <c r="CD95" s="1">
        <v>6</v>
      </c>
      <c r="CE95" s="1" t="s">
        <v>104</v>
      </c>
      <c r="CF95" s="1" t="s">
        <v>104</v>
      </c>
      <c r="CG95" s="1" t="s">
        <v>104</v>
      </c>
      <c r="CH95" s="1" t="s">
        <v>104</v>
      </c>
      <c r="CJ95" s="1">
        <v>0</v>
      </c>
      <c r="CK95" s="1">
        <v>0</v>
      </c>
      <c r="CL95" s="1">
        <v>0</v>
      </c>
      <c r="CM95" s="1" t="s">
        <v>104</v>
      </c>
    </row>
    <row r="96" spans="1:91" ht="14.25" customHeight="1" x14ac:dyDescent="0.3">
      <c r="A96" s="1" t="s">
        <v>828</v>
      </c>
      <c r="B96" s="1" t="s">
        <v>434</v>
      </c>
      <c r="D96" s="1" t="s">
        <v>61</v>
      </c>
      <c r="E96" s="1" t="s">
        <v>829</v>
      </c>
      <c r="F96" s="1" t="s">
        <v>95</v>
      </c>
      <c r="G96" s="1" t="s">
        <v>830</v>
      </c>
      <c r="H96" s="1">
        <v>1</v>
      </c>
      <c r="I96" s="1" t="s">
        <v>128</v>
      </c>
      <c r="L96" s="1" t="s">
        <v>831</v>
      </c>
      <c r="M96" s="1" t="s">
        <v>298</v>
      </c>
      <c r="N96" s="1">
        <v>0</v>
      </c>
      <c r="O96" s="1">
        <v>0</v>
      </c>
      <c r="P96" s="1" t="s">
        <v>100</v>
      </c>
      <c r="Q96" s="1" t="s">
        <v>101</v>
      </c>
      <c r="R96" s="1" t="s">
        <v>832</v>
      </c>
      <c r="S96" s="1" t="s">
        <v>103</v>
      </c>
      <c r="T96" s="1">
        <v>1</v>
      </c>
      <c r="U96" s="1">
        <v>1</v>
      </c>
      <c r="V96" s="1">
        <v>1</v>
      </c>
      <c r="W96" s="1">
        <v>0</v>
      </c>
      <c r="X96" s="1">
        <v>0</v>
      </c>
      <c r="Y96" s="1">
        <v>2</v>
      </c>
      <c r="Z96" s="1">
        <v>2</v>
      </c>
      <c r="AA96" s="1">
        <v>3</v>
      </c>
      <c r="AB96" s="1" t="s">
        <v>104</v>
      </c>
      <c r="AC96" s="1" t="s">
        <v>104</v>
      </c>
      <c r="AD96" s="1" t="s">
        <v>104</v>
      </c>
      <c r="AE96" s="1" t="s">
        <v>104</v>
      </c>
      <c r="AF96" s="1" t="s">
        <v>104</v>
      </c>
      <c r="AG96" s="1" t="s">
        <v>104</v>
      </c>
      <c r="AH96" s="1" t="s">
        <v>104</v>
      </c>
      <c r="AI96" s="1">
        <v>3</v>
      </c>
      <c r="AJ96" s="1">
        <v>3</v>
      </c>
      <c r="AK96" s="1" t="s">
        <v>104</v>
      </c>
      <c r="AL96" s="1" t="s">
        <v>104</v>
      </c>
      <c r="AM96" s="1">
        <v>3</v>
      </c>
      <c r="AO96" s="1">
        <v>2</v>
      </c>
      <c r="AP96" s="1" t="s">
        <v>833</v>
      </c>
      <c r="AQ96" s="1" t="s">
        <v>834</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1</v>
      </c>
      <c r="BK96" s="1">
        <v>0</v>
      </c>
      <c r="BL96" s="1">
        <v>0</v>
      </c>
      <c r="BM96" s="1">
        <v>0</v>
      </c>
      <c r="BN96" s="1">
        <v>0</v>
      </c>
      <c r="BO96" s="1">
        <v>0</v>
      </c>
      <c r="BP96" s="1">
        <v>0</v>
      </c>
      <c r="BQ96" s="2" t="str">
        <f>HYPERLINK("http://www.d20pfsrd.com/magic/all-spells/c/continual-flame","Continual Flame")</f>
        <v>Continual Flame</v>
      </c>
      <c r="BR96" s="1">
        <v>95</v>
      </c>
      <c r="BS96" s="1">
        <v>50</v>
      </c>
      <c r="BU96" s="1" t="s">
        <v>835</v>
      </c>
      <c r="BX96" s="1">
        <v>0</v>
      </c>
      <c r="BY96" s="1" t="s">
        <v>104</v>
      </c>
      <c r="BZ96" s="1" t="s">
        <v>104</v>
      </c>
      <c r="CA96" s="1">
        <v>3</v>
      </c>
      <c r="CB96" s="1" t="s">
        <v>104</v>
      </c>
      <c r="CC96" s="1" t="s">
        <v>104</v>
      </c>
      <c r="CD96" s="1">
        <v>2</v>
      </c>
      <c r="CE96" s="1" t="s">
        <v>104</v>
      </c>
      <c r="CF96" s="1" t="s">
        <v>104</v>
      </c>
      <c r="CG96" s="1" t="s">
        <v>104</v>
      </c>
      <c r="CH96" s="1" t="s">
        <v>104</v>
      </c>
      <c r="CJ96" s="1">
        <v>0</v>
      </c>
      <c r="CK96" s="1">
        <v>0</v>
      </c>
      <c r="CL96" s="1">
        <v>0</v>
      </c>
      <c r="CM96" s="1" t="s">
        <v>104</v>
      </c>
    </row>
    <row r="97" spans="1:91" ht="14.25" customHeight="1" x14ac:dyDescent="0.3">
      <c r="A97" s="1" t="s">
        <v>836</v>
      </c>
      <c r="B97" s="1" t="s">
        <v>137</v>
      </c>
      <c r="E97" s="1" t="s">
        <v>837</v>
      </c>
      <c r="F97" s="1" t="s">
        <v>95</v>
      </c>
      <c r="G97" s="1" t="s">
        <v>127</v>
      </c>
      <c r="H97" s="1">
        <v>0</v>
      </c>
      <c r="I97" s="1" t="s">
        <v>117</v>
      </c>
      <c r="L97" s="1" t="s">
        <v>743</v>
      </c>
      <c r="M97" s="1" t="s">
        <v>130</v>
      </c>
      <c r="N97" s="1">
        <v>0</v>
      </c>
      <c r="O97" s="1">
        <v>0</v>
      </c>
      <c r="P97" s="1" t="s">
        <v>211</v>
      </c>
      <c r="Q97" s="1" t="s">
        <v>101</v>
      </c>
      <c r="R97" s="1" t="s">
        <v>838</v>
      </c>
      <c r="S97" s="1" t="s">
        <v>103</v>
      </c>
      <c r="T97" s="1">
        <v>1</v>
      </c>
      <c r="U97" s="1">
        <v>1</v>
      </c>
      <c r="V97" s="1">
        <v>0</v>
      </c>
      <c r="W97" s="1">
        <v>0</v>
      </c>
      <c r="X97" s="1">
        <v>1</v>
      </c>
      <c r="Y97" s="1" t="s">
        <v>104</v>
      </c>
      <c r="Z97" s="1" t="s">
        <v>104</v>
      </c>
      <c r="AA97" s="1" t="s">
        <v>104</v>
      </c>
      <c r="AB97" s="1">
        <v>8</v>
      </c>
      <c r="AC97" s="1" t="s">
        <v>104</v>
      </c>
      <c r="AD97" s="1" t="s">
        <v>104</v>
      </c>
      <c r="AE97" s="1" t="s">
        <v>104</v>
      </c>
      <c r="AF97" s="1" t="s">
        <v>104</v>
      </c>
      <c r="AG97" s="1" t="s">
        <v>104</v>
      </c>
      <c r="AH97" s="1" t="s">
        <v>104</v>
      </c>
      <c r="AI97" s="1" t="s">
        <v>104</v>
      </c>
      <c r="AJ97" s="1" t="s">
        <v>104</v>
      </c>
      <c r="AK97" s="1" t="s">
        <v>104</v>
      </c>
      <c r="AL97" s="1" t="s">
        <v>104</v>
      </c>
      <c r="AM97" s="1" t="s">
        <v>104</v>
      </c>
      <c r="AO97" s="1">
        <v>8</v>
      </c>
      <c r="AP97" s="1" t="s">
        <v>839</v>
      </c>
      <c r="AQ97" s="1" t="s">
        <v>840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2" t="str">
        <f>HYPERLINK("http://www.d20pfsrd.com/magic/all-spells/c/control-plants","Control Plants")</f>
        <v>Control Plants</v>
      </c>
      <c r="BR97" s="1">
        <v>96</v>
      </c>
      <c r="BS97" s="1" t="s">
        <v>104</v>
      </c>
      <c r="BU97" s="1" t="s">
        <v>841</v>
      </c>
      <c r="BX97" s="1">
        <v>0</v>
      </c>
      <c r="BY97" s="1" t="s">
        <v>104</v>
      </c>
      <c r="BZ97" s="1" t="s">
        <v>104</v>
      </c>
      <c r="CA97" s="1" t="s">
        <v>104</v>
      </c>
      <c r="CB97" s="1" t="s">
        <v>104</v>
      </c>
      <c r="CC97" s="1" t="s">
        <v>104</v>
      </c>
      <c r="CD97" s="1" t="s">
        <v>104</v>
      </c>
      <c r="CE97" s="1" t="s">
        <v>104</v>
      </c>
      <c r="CF97" s="1" t="s">
        <v>104</v>
      </c>
      <c r="CG97" s="1" t="s">
        <v>104</v>
      </c>
      <c r="CH97" s="1" t="s">
        <v>104</v>
      </c>
      <c r="CJ97" s="1">
        <v>0</v>
      </c>
      <c r="CK97" s="1">
        <v>0</v>
      </c>
      <c r="CL97" s="1">
        <v>0</v>
      </c>
      <c r="CM97" s="1" t="s">
        <v>104</v>
      </c>
    </row>
    <row r="98" spans="1:91" ht="14.25" customHeight="1" x14ac:dyDescent="0.3">
      <c r="A98" s="1" t="s">
        <v>842</v>
      </c>
      <c r="B98" s="1" t="s">
        <v>216</v>
      </c>
      <c r="E98" s="1" t="s">
        <v>843</v>
      </c>
      <c r="F98" s="1" t="s">
        <v>95</v>
      </c>
      <c r="G98" s="1" t="s">
        <v>844</v>
      </c>
      <c r="H98" s="1">
        <v>0</v>
      </c>
      <c r="I98" s="1" t="s">
        <v>117</v>
      </c>
      <c r="L98" s="1" t="s">
        <v>845</v>
      </c>
      <c r="M98" s="1" t="s">
        <v>130</v>
      </c>
      <c r="N98" s="1">
        <v>0</v>
      </c>
      <c r="O98" s="1">
        <v>0</v>
      </c>
      <c r="P98" s="1" t="s">
        <v>211</v>
      </c>
      <c r="Q98" s="1" t="s">
        <v>184</v>
      </c>
      <c r="R98" s="1" t="s">
        <v>846</v>
      </c>
      <c r="S98" s="1" t="s">
        <v>103</v>
      </c>
      <c r="T98" s="1">
        <v>1</v>
      </c>
      <c r="U98" s="1">
        <v>1</v>
      </c>
      <c r="V98" s="1">
        <v>1</v>
      </c>
      <c r="W98" s="1">
        <v>0</v>
      </c>
      <c r="X98" s="1">
        <v>0</v>
      </c>
      <c r="Y98" s="1">
        <v>7</v>
      </c>
      <c r="Z98" s="1">
        <v>7</v>
      </c>
      <c r="AA98" s="1" t="s">
        <v>104</v>
      </c>
      <c r="AB98" s="1" t="s">
        <v>104</v>
      </c>
      <c r="AC98" s="1" t="s">
        <v>104</v>
      </c>
      <c r="AD98" s="1" t="s">
        <v>104</v>
      </c>
      <c r="AE98" s="1" t="s">
        <v>104</v>
      </c>
      <c r="AF98" s="1" t="s">
        <v>104</v>
      </c>
      <c r="AG98" s="1" t="s">
        <v>104</v>
      </c>
      <c r="AH98" s="1" t="s">
        <v>104</v>
      </c>
      <c r="AI98" s="1" t="s">
        <v>104</v>
      </c>
      <c r="AJ98" s="1" t="s">
        <v>104</v>
      </c>
      <c r="AK98" s="1" t="s">
        <v>104</v>
      </c>
      <c r="AL98" s="1" t="s">
        <v>104</v>
      </c>
      <c r="AM98" s="1" t="s">
        <v>104</v>
      </c>
      <c r="AO98" s="1">
        <v>7</v>
      </c>
      <c r="AQ98" s="1" t="s">
        <v>847</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2" t="str">
        <f>HYPERLINK("http://www.d20pfsrd.com/magic/all-spells/c/control-undead","Control Undead")</f>
        <v>Control Undead</v>
      </c>
      <c r="BR98" s="1">
        <v>97</v>
      </c>
      <c r="BS98" s="1" t="s">
        <v>104</v>
      </c>
      <c r="BT98" s="1" t="s">
        <v>848</v>
      </c>
      <c r="BU98" s="1" t="s">
        <v>849</v>
      </c>
      <c r="BX98" s="1">
        <v>0</v>
      </c>
      <c r="BY98" s="1" t="s">
        <v>104</v>
      </c>
      <c r="BZ98" s="1" t="s">
        <v>104</v>
      </c>
      <c r="CA98" s="1" t="s">
        <v>104</v>
      </c>
      <c r="CB98" s="1" t="s">
        <v>104</v>
      </c>
      <c r="CC98" s="1" t="s">
        <v>104</v>
      </c>
      <c r="CD98" s="1" t="s">
        <v>104</v>
      </c>
      <c r="CE98" s="1" t="s">
        <v>104</v>
      </c>
      <c r="CF98" s="1" t="s">
        <v>104</v>
      </c>
      <c r="CG98" s="1" t="s">
        <v>104</v>
      </c>
      <c r="CH98" s="1" t="s">
        <v>104</v>
      </c>
      <c r="CJ98" s="1">
        <v>0</v>
      </c>
      <c r="CK98" s="1">
        <v>0</v>
      </c>
      <c r="CL98" s="1">
        <v>0</v>
      </c>
      <c r="CM98" s="1" t="s">
        <v>104</v>
      </c>
    </row>
    <row r="99" spans="1:91" ht="14.25" customHeight="1" x14ac:dyDescent="0.3">
      <c r="A99" s="1" t="s">
        <v>850</v>
      </c>
      <c r="B99" s="1" t="s">
        <v>137</v>
      </c>
      <c r="D99" s="1" t="s">
        <v>67</v>
      </c>
      <c r="E99" s="1" t="s">
        <v>851</v>
      </c>
      <c r="F99" s="1" t="s">
        <v>95</v>
      </c>
      <c r="G99" s="1" t="s">
        <v>852</v>
      </c>
      <c r="H99" s="1">
        <v>0</v>
      </c>
      <c r="I99" s="1" t="s">
        <v>97</v>
      </c>
      <c r="J99" s="1" t="s">
        <v>853</v>
      </c>
      <c r="M99" s="1" t="s">
        <v>140</v>
      </c>
      <c r="N99" s="1">
        <v>1</v>
      </c>
      <c r="O99" s="1">
        <v>1</v>
      </c>
      <c r="P99" s="1" t="s">
        <v>195</v>
      </c>
      <c r="Q99" s="1" t="s">
        <v>101</v>
      </c>
      <c r="R99" s="1" t="s">
        <v>854</v>
      </c>
      <c r="S99" s="1" t="s">
        <v>103</v>
      </c>
      <c r="T99" s="1">
        <v>1</v>
      </c>
      <c r="U99" s="1">
        <v>1</v>
      </c>
      <c r="V99" s="1">
        <v>1</v>
      </c>
      <c r="W99" s="1">
        <v>0</v>
      </c>
      <c r="X99" s="1">
        <v>1</v>
      </c>
      <c r="Y99" s="1">
        <v>6</v>
      </c>
      <c r="Z99" s="1">
        <v>6</v>
      </c>
      <c r="AA99" s="1">
        <v>4</v>
      </c>
      <c r="AB99" s="1">
        <v>4</v>
      </c>
      <c r="AC99" s="1" t="s">
        <v>104</v>
      </c>
      <c r="AD99" s="1" t="s">
        <v>104</v>
      </c>
      <c r="AE99" s="1" t="s">
        <v>104</v>
      </c>
      <c r="AF99" s="1" t="s">
        <v>104</v>
      </c>
      <c r="AG99" s="1" t="s">
        <v>104</v>
      </c>
      <c r="AH99" s="1" t="s">
        <v>104</v>
      </c>
      <c r="AI99" s="1" t="s">
        <v>104</v>
      </c>
      <c r="AJ99" s="1">
        <v>4</v>
      </c>
      <c r="AK99" s="1" t="s">
        <v>104</v>
      </c>
      <c r="AL99" s="1" t="s">
        <v>104</v>
      </c>
      <c r="AM99" s="1" t="s">
        <v>104</v>
      </c>
      <c r="AO99" s="1">
        <v>6</v>
      </c>
      <c r="AP99" s="1" t="s">
        <v>855</v>
      </c>
      <c r="AQ99" s="1" t="s">
        <v>856</v>
      </c>
      <c r="AR99" s="1">
        <v>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1</v>
      </c>
      <c r="BQ99" s="2" t="str">
        <f>HYPERLINK("http://www.d20pfsrd.com/magic/all-spells/c/control-water","Control Water")</f>
        <v>Control Water</v>
      </c>
      <c r="BR99" s="1">
        <v>98</v>
      </c>
      <c r="BS99" s="1" t="s">
        <v>104</v>
      </c>
      <c r="BT99" s="1" t="s">
        <v>857</v>
      </c>
      <c r="BU99" s="1" t="s">
        <v>858</v>
      </c>
      <c r="BX99" s="1">
        <v>0</v>
      </c>
      <c r="BY99" s="1" t="s">
        <v>104</v>
      </c>
      <c r="BZ99" s="1">
        <v>4</v>
      </c>
      <c r="CA99" s="1" t="s">
        <v>104</v>
      </c>
      <c r="CB99" s="1" t="s">
        <v>104</v>
      </c>
      <c r="CC99" s="1" t="s">
        <v>104</v>
      </c>
      <c r="CD99" s="1" t="s">
        <v>104</v>
      </c>
      <c r="CE99" s="1" t="s">
        <v>104</v>
      </c>
      <c r="CF99" s="1" t="s">
        <v>104</v>
      </c>
      <c r="CG99" s="1" t="s">
        <v>104</v>
      </c>
      <c r="CH99" s="1">
        <v>4</v>
      </c>
      <c r="CJ99" s="1">
        <v>0</v>
      </c>
      <c r="CK99" s="1">
        <v>0</v>
      </c>
      <c r="CL99" s="1">
        <v>0</v>
      </c>
      <c r="CM99" s="1" t="s">
        <v>104</v>
      </c>
    </row>
    <row r="100" spans="1:91" ht="14.25" customHeight="1" x14ac:dyDescent="0.3">
      <c r="A100" s="1" t="s">
        <v>859</v>
      </c>
      <c r="B100" s="1" t="s">
        <v>137</v>
      </c>
      <c r="E100" s="1" t="s">
        <v>860</v>
      </c>
      <c r="F100" s="1" t="s">
        <v>861</v>
      </c>
      <c r="G100" s="1" t="s">
        <v>116</v>
      </c>
      <c r="H100" s="1">
        <v>0</v>
      </c>
      <c r="I100" s="1" t="s">
        <v>862</v>
      </c>
      <c r="J100" s="1" t="s">
        <v>863</v>
      </c>
      <c r="M100" s="1" t="s">
        <v>864</v>
      </c>
      <c r="N100" s="1">
        <v>0</v>
      </c>
      <c r="O100" s="1">
        <v>0</v>
      </c>
      <c r="P100" s="1" t="s">
        <v>100</v>
      </c>
      <c r="Q100" s="1" t="s">
        <v>101</v>
      </c>
      <c r="R100" s="1" t="s">
        <v>865</v>
      </c>
      <c r="S100" s="1" t="s">
        <v>103</v>
      </c>
      <c r="T100" s="1">
        <v>1</v>
      </c>
      <c r="U100" s="1">
        <v>1</v>
      </c>
      <c r="V100" s="1">
        <v>0</v>
      </c>
      <c r="W100" s="1">
        <v>0</v>
      </c>
      <c r="X100" s="1">
        <v>0</v>
      </c>
      <c r="Y100" s="1">
        <v>7</v>
      </c>
      <c r="Z100" s="1">
        <v>7</v>
      </c>
      <c r="AA100" s="1">
        <v>7</v>
      </c>
      <c r="AB100" s="1">
        <v>7</v>
      </c>
      <c r="AC100" s="1" t="s">
        <v>104</v>
      </c>
      <c r="AD100" s="1" t="s">
        <v>104</v>
      </c>
      <c r="AE100" s="1" t="s">
        <v>104</v>
      </c>
      <c r="AF100" s="1" t="s">
        <v>104</v>
      </c>
      <c r="AG100" s="1" t="s">
        <v>104</v>
      </c>
      <c r="AH100" s="1">
        <v>7</v>
      </c>
      <c r="AI100" s="1" t="s">
        <v>104</v>
      </c>
      <c r="AJ100" s="1">
        <v>7</v>
      </c>
      <c r="AK100" s="1" t="s">
        <v>104</v>
      </c>
      <c r="AL100" s="1" t="s">
        <v>104</v>
      </c>
      <c r="AM100" s="1" t="s">
        <v>104</v>
      </c>
      <c r="AO100" s="1">
        <v>7</v>
      </c>
      <c r="AP100" s="1" t="s">
        <v>866</v>
      </c>
      <c r="AQ100" s="1" t="s">
        <v>867</v>
      </c>
      <c r="AR100" s="1">
        <v>0</v>
      </c>
      <c r="AS100" s="1">
        <v>0</v>
      </c>
      <c r="AT100" s="1">
        <v>0</v>
      </c>
      <c r="AU100" s="1">
        <v>0</v>
      </c>
      <c r="AV100" s="1">
        <v>0</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2" t="str">
        <f>HYPERLINK("http://www.d20pfsrd.com/magic/all-spells/c/control-weather","Control Weather")</f>
        <v>Control Weather</v>
      </c>
      <c r="BR100" s="1">
        <v>99</v>
      </c>
      <c r="BS100" s="1" t="s">
        <v>104</v>
      </c>
      <c r="BT100" s="1" t="s">
        <v>868</v>
      </c>
      <c r="BU100" s="1" t="s">
        <v>869</v>
      </c>
      <c r="BX100" s="1">
        <v>0</v>
      </c>
      <c r="BY100" s="1" t="s">
        <v>104</v>
      </c>
      <c r="BZ100" s="1">
        <v>7</v>
      </c>
      <c r="CA100" s="1" t="s">
        <v>104</v>
      </c>
      <c r="CB100" s="1" t="s">
        <v>104</v>
      </c>
      <c r="CC100" s="1" t="s">
        <v>104</v>
      </c>
      <c r="CD100" s="1" t="s">
        <v>104</v>
      </c>
      <c r="CE100" s="1" t="s">
        <v>104</v>
      </c>
      <c r="CF100" s="1" t="s">
        <v>104</v>
      </c>
      <c r="CG100" s="1" t="s">
        <v>104</v>
      </c>
      <c r="CH100" s="1" t="s">
        <v>104</v>
      </c>
      <c r="CJ100" s="1">
        <v>0</v>
      </c>
      <c r="CK100" s="1">
        <v>0</v>
      </c>
      <c r="CL100" s="1">
        <v>0</v>
      </c>
      <c r="CM100" s="1" t="s">
        <v>104</v>
      </c>
    </row>
    <row r="101" spans="1:91" ht="14.25" customHeight="1" x14ac:dyDescent="0.3">
      <c r="A101" s="1" t="s">
        <v>870</v>
      </c>
      <c r="B101" s="1" t="s">
        <v>137</v>
      </c>
      <c r="D101" s="1" t="s">
        <v>44</v>
      </c>
      <c r="E101" s="1" t="s">
        <v>566</v>
      </c>
      <c r="F101" s="1" t="s">
        <v>95</v>
      </c>
      <c r="G101" s="1" t="s">
        <v>116</v>
      </c>
      <c r="H101" s="1">
        <v>0</v>
      </c>
      <c r="I101" s="1" t="s">
        <v>871</v>
      </c>
      <c r="J101" s="1" t="s">
        <v>872</v>
      </c>
      <c r="M101" s="1" t="s">
        <v>140</v>
      </c>
      <c r="N101" s="1">
        <v>0</v>
      </c>
      <c r="O101" s="1">
        <v>0</v>
      </c>
      <c r="P101" s="1" t="s">
        <v>183</v>
      </c>
      <c r="Q101" s="1" t="s">
        <v>101</v>
      </c>
      <c r="R101" s="1" t="s">
        <v>873</v>
      </c>
      <c r="S101" s="1" t="s">
        <v>103</v>
      </c>
      <c r="T101" s="1">
        <v>1</v>
      </c>
      <c r="U101" s="1">
        <v>1</v>
      </c>
      <c r="V101" s="1">
        <v>0</v>
      </c>
      <c r="W101" s="1">
        <v>0</v>
      </c>
      <c r="X101" s="1">
        <v>0</v>
      </c>
      <c r="Y101" s="1" t="s">
        <v>104</v>
      </c>
      <c r="Z101" s="1" t="s">
        <v>104</v>
      </c>
      <c r="AA101" s="1" t="s">
        <v>104</v>
      </c>
      <c r="AB101" s="1">
        <v>5</v>
      </c>
      <c r="AC101" s="1" t="s">
        <v>104</v>
      </c>
      <c r="AD101" s="1" t="s">
        <v>104</v>
      </c>
      <c r="AE101" s="1" t="s">
        <v>104</v>
      </c>
      <c r="AF101" s="1" t="s">
        <v>104</v>
      </c>
      <c r="AG101" s="1" t="s">
        <v>104</v>
      </c>
      <c r="AH101" s="1" t="s">
        <v>104</v>
      </c>
      <c r="AI101" s="1" t="s">
        <v>104</v>
      </c>
      <c r="AJ101" s="1" t="s">
        <v>104</v>
      </c>
      <c r="AK101" s="1" t="s">
        <v>104</v>
      </c>
      <c r="AL101" s="1" t="s">
        <v>104</v>
      </c>
      <c r="AM101" s="1" t="s">
        <v>104</v>
      </c>
      <c r="AO101" s="1">
        <v>5</v>
      </c>
      <c r="AP101" s="1" t="s">
        <v>874</v>
      </c>
      <c r="AQ101" s="1" t="s">
        <v>875</v>
      </c>
      <c r="AR101" s="1">
        <v>0</v>
      </c>
      <c r="AS101" s="1">
        <v>1</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2" t="str">
        <f>HYPERLINK("http://www.d20pfsrd.com/magic/all-spells/c/control-winds","Control Winds")</f>
        <v>Control Winds</v>
      </c>
      <c r="BR101" s="1">
        <v>100</v>
      </c>
      <c r="BS101" s="1" t="s">
        <v>104</v>
      </c>
      <c r="BX101" s="1">
        <v>0</v>
      </c>
      <c r="BY101" s="1" t="s">
        <v>104</v>
      </c>
      <c r="BZ101" s="1">
        <v>5</v>
      </c>
      <c r="CA101" s="1" t="s">
        <v>104</v>
      </c>
      <c r="CB101" s="1" t="s">
        <v>104</v>
      </c>
      <c r="CC101" s="1" t="s">
        <v>104</v>
      </c>
      <c r="CD101" s="1">
        <v>5</v>
      </c>
      <c r="CE101" s="1" t="s">
        <v>104</v>
      </c>
      <c r="CF101" s="1" t="s">
        <v>104</v>
      </c>
      <c r="CG101" s="1" t="s">
        <v>104</v>
      </c>
      <c r="CH101" s="1">
        <v>5</v>
      </c>
      <c r="CJ101" s="1">
        <v>0</v>
      </c>
      <c r="CK101" s="1">
        <v>0</v>
      </c>
      <c r="CL101" s="1">
        <v>0</v>
      </c>
      <c r="CM101" s="1" t="s">
        <v>104</v>
      </c>
    </row>
    <row r="102" spans="1:91" ht="14.25" customHeight="1" x14ac:dyDescent="0.3">
      <c r="A102" s="1" t="s">
        <v>876</v>
      </c>
      <c r="B102" s="1" t="s">
        <v>92</v>
      </c>
      <c r="C102" s="1" t="s">
        <v>93</v>
      </c>
      <c r="E102" s="1" t="s">
        <v>877</v>
      </c>
      <c r="F102" s="1" t="s">
        <v>287</v>
      </c>
      <c r="G102" s="1" t="s">
        <v>116</v>
      </c>
      <c r="H102" s="1">
        <v>0</v>
      </c>
      <c r="I102" s="1" t="s">
        <v>117</v>
      </c>
      <c r="K102" s="1" t="s">
        <v>878</v>
      </c>
      <c r="M102" s="1" t="s">
        <v>879</v>
      </c>
      <c r="N102" s="1">
        <v>0</v>
      </c>
      <c r="O102" s="1">
        <v>0</v>
      </c>
      <c r="P102" s="1" t="s">
        <v>100</v>
      </c>
      <c r="Q102" s="1" t="s">
        <v>101</v>
      </c>
      <c r="R102" s="1" t="s">
        <v>880</v>
      </c>
      <c r="S102" s="1" t="s">
        <v>103</v>
      </c>
      <c r="T102" s="1">
        <v>1</v>
      </c>
      <c r="U102" s="1">
        <v>1</v>
      </c>
      <c r="V102" s="1">
        <v>0</v>
      </c>
      <c r="W102" s="1">
        <v>0</v>
      </c>
      <c r="X102" s="1">
        <v>0</v>
      </c>
      <c r="Y102" s="1" t="s">
        <v>104</v>
      </c>
      <c r="Z102" s="1" t="s">
        <v>104</v>
      </c>
      <c r="AA102" s="1">
        <v>3</v>
      </c>
      <c r="AB102" s="1" t="s">
        <v>104</v>
      </c>
      <c r="AC102" s="1" t="s">
        <v>104</v>
      </c>
      <c r="AD102" s="1" t="s">
        <v>104</v>
      </c>
      <c r="AE102" s="1" t="s">
        <v>104</v>
      </c>
      <c r="AF102" s="1" t="s">
        <v>104</v>
      </c>
      <c r="AG102" s="1" t="s">
        <v>104</v>
      </c>
      <c r="AH102" s="1" t="s">
        <v>104</v>
      </c>
      <c r="AI102" s="1" t="s">
        <v>104</v>
      </c>
      <c r="AJ102" s="1">
        <v>3</v>
      </c>
      <c r="AK102" s="1" t="s">
        <v>104</v>
      </c>
      <c r="AL102" s="1" t="s">
        <v>104</v>
      </c>
      <c r="AM102" s="1" t="s">
        <v>104</v>
      </c>
      <c r="AO102" s="1">
        <v>3</v>
      </c>
      <c r="AP102" s="1" t="s">
        <v>881</v>
      </c>
      <c r="AQ102" s="1" t="s">
        <v>882</v>
      </c>
      <c r="AR102" s="1">
        <v>0</v>
      </c>
      <c r="AS102" s="1">
        <v>0</v>
      </c>
      <c r="AT102" s="1">
        <v>0</v>
      </c>
      <c r="AU102" s="1">
        <v>0</v>
      </c>
      <c r="AV102" s="1">
        <v>0</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2" t="str">
        <f>HYPERLINK("http://www.d20pfsrd.com/magic/all-spells/c/create-food-and-water","Create Food and Water")</f>
        <v>Create Food and Water</v>
      </c>
      <c r="BR102" s="1">
        <v>101</v>
      </c>
      <c r="BS102" s="1" t="s">
        <v>104</v>
      </c>
      <c r="BX102" s="1">
        <v>0</v>
      </c>
      <c r="BY102" s="1" t="s">
        <v>104</v>
      </c>
      <c r="BZ102" s="1">
        <v>3</v>
      </c>
      <c r="CA102" s="1" t="s">
        <v>104</v>
      </c>
      <c r="CB102" s="1" t="s">
        <v>104</v>
      </c>
      <c r="CC102" s="1" t="s">
        <v>104</v>
      </c>
      <c r="CD102" s="1">
        <v>3</v>
      </c>
      <c r="CE102" s="1" t="s">
        <v>104</v>
      </c>
      <c r="CF102" s="1" t="s">
        <v>104</v>
      </c>
      <c r="CG102" s="1" t="s">
        <v>104</v>
      </c>
      <c r="CH102" s="1" t="s">
        <v>104</v>
      </c>
      <c r="CJ102" s="1">
        <v>0</v>
      </c>
      <c r="CK102" s="1">
        <v>0</v>
      </c>
      <c r="CL102" s="1">
        <v>0</v>
      </c>
      <c r="CM102" s="1" t="s">
        <v>104</v>
      </c>
    </row>
    <row r="103" spans="1:91" ht="14.25" customHeight="1" x14ac:dyDescent="0.3">
      <c r="A103" s="1" t="s">
        <v>883</v>
      </c>
      <c r="B103" s="1" t="s">
        <v>216</v>
      </c>
      <c r="D103" s="1" t="s">
        <v>54</v>
      </c>
      <c r="E103" s="1" t="s">
        <v>884</v>
      </c>
      <c r="F103" s="1" t="s">
        <v>273</v>
      </c>
      <c r="G103" s="1" t="s">
        <v>885</v>
      </c>
      <c r="H103" s="1">
        <v>1</v>
      </c>
      <c r="I103" s="1" t="s">
        <v>117</v>
      </c>
      <c r="L103" s="1" t="s">
        <v>886</v>
      </c>
      <c r="M103" s="1" t="s">
        <v>119</v>
      </c>
      <c r="N103" s="1">
        <v>0</v>
      </c>
      <c r="O103" s="1">
        <v>0</v>
      </c>
      <c r="P103" s="1" t="s">
        <v>100</v>
      </c>
      <c r="Q103" s="1" t="s">
        <v>101</v>
      </c>
      <c r="R103" s="1" t="s">
        <v>887</v>
      </c>
      <c r="S103" s="1" t="s">
        <v>103</v>
      </c>
      <c r="T103" s="1">
        <v>1</v>
      </c>
      <c r="U103" s="1">
        <v>1</v>
      </c>
      <c r="V103" s="1">
        <v>1</v>
      </c>
      <c r="W103" s="1">
        <v>0</v>
      </c>
      <c r="X103" s="1">
        <v>0</v>
      </c>
      <c r="Y103" s="1">
        <v>6</v>
      </c>
      <c r="Z103" s="1">
        <v>6</v>
      </c>
      <c r="AA103" s="1">
        <v>6</v>
      </c>
      <c r="AB103" s="1" t="s">
        <v>104</v>
      </c>
      <c r="AC103" s="1" t="s">
        <v>104</v>
      </c>
      <c r="AD103" s="1" t="s">
        <v>104</v>
      </c>
      <c r="AE103" s="1" t="s">
        <v>104</v>
      </c>
      <c r="AF103" s="1" t="s">
        <v>104</v>
      </c>
      <c r="AG103" s="1" t="s">
        <v>104</v>
      </c>
      <c r="AH103" s="1" t="s">
        <v>104</v>
      </c>
      <c r="AI103" s="1" t="s">
        <v>104</v>
      </c>
      <c r="AJ103" s="1">
        <v>6</v>
      </c>
      <c r="AK103" s="1" t="s">
        <v>104</v>
      </c>
      <c r="AL103" s="1" t="s">
        <v>104</v>
      </c>
      <c r="AM103" s="1" t="s">
        <v>104</v>
      </c>
      <c r="AO103" s="1">
        <v>6</v>
      </c>
      <c r="AP103" s="1" t="s">
        <v>888</v>
      </c>
      <c r="AQ103" s="1" t="s">
        <v>889</v>
      </c>
      <c r="AR103" s="1">
        <v>0</v>
      </c>
      <c r="AS103" s="1">
        <v>0</v>
      </c>
      <c r="AT103" s="1">
        <v>0</v>
      </c>
      <c r="AU103" s="1">
        <v>0</v>
      </c>
      <c r="AV103" s="1">
        <v>0</v>
      </c>
      <c r="AW103" s="1">
        <v>0</v>
      </c>
      <c r="AX103" s="1">
        <v>0</v>
      </c>
      <c r="AY103" s="1">
        <v>0</v>
      </c>
      <c r="AZ103" s="1">
        <v>0</v>
      </c>
      <c r="BA103" s="1">
        <v>0</v>
      </c>
      <c r="BB103" s="1">
        <v>0</v>
      </c>
      <c r="BC103" s="1">
        <v>1</v>
      </c>
      <c r="BD103" s="1">
        <v>0</v>
      </c>
      <c r="BE103" s="1">
        <v>0</v>
      </c>
      <c r="BF103" s="1">
        <v>0</v>
      </c>
      <c r="BG103" s="1">
        <v>0</v>
      </c>
      <c r="BH103" s="1">
        <v>0</v>
      </c>
      <c r="BI103" s="1">
        <v>0</v>
      </c>
      <c r="BJ103" s="1">
        <v>0</v>
      </c>
      <c r="BK103" s="1">
        <v>0</v>
      </c>
      <c r="BL103" s="1">
        <v>0</v>
      </c>
      <c r="BM103" s="1">
        <v>0</v>
      </c>
      <c r="BN103" s="1">
        <v>0</v>
      </c>
      <c r="BO103" s="1">
        <v>0</v>
      </c>
      <c r="BP103" s="1">
        <v>0</v>
      </c>
      <c r="BQ103" s="2" t="str">
        <f>HYPERLINK("http://www.d20pfsrd.com/magic/all-spells/c/create-undead","Create Undead")</f>
        <v>Create Undead</v>
      </c>
      <c r="BR103" s="1">
        <v>102</v>
      </c>
      <c r="BS103" s="1">
        <v>50</v>
      </c>
      <c r="BU103" s="1" t="s">
        <v>890</v>
      </c>
      <c r="BX103" s="1">
        <v>0</v>
      </c>
      <c r="BY103" s="1" t="s">
        <v>104</v>
      </c>
      <c r="BZ103" s="1">
        <v>6</v>
      </c>
      <c r="CA103" s="1" t="s">
        <v>104</v>
      </c>
      <c r="CB103" s="1" t="s">
        <v>104</v>
      </c>
      <c r="CC103" s="1" t="s">
        <v>104</v>
      </c>
      <c r="CD103" s="1" t="s">
        <v>104</v>
      </c>
      <c r="CE103" s="1">
        <v>6</v>
      </c>
      <c r="CF103" s="1" t="s">
        <v>104</v>
      </c>
      <c r="CG103" s="1" t="s">
        <v>104</v>
      </c>
      <c r="CH103" s="1" t="s">
        <v>104</v>
      </c>
      <c r="CJ103" s="1">
        <v>0</v>
      </c>
      <c r="CK103" s="1">
        <v>0</v>
      </c>
      <c r="CL103" s="1">
        <v>0</v>
      </c>
      <c r="CM103" s="1" t="s">
        <v>104</v>
      </c>
    </row>
    <row r="104" spans="1:91" ht="14.25" customHeight="1" x14ac:dyDescent="0.3">
      <c r="A104" s="1" t="s">
        <v>891</v>
      </c>
      <c r="B104" s="1" t="s">
        <v>216</v>
      </c>
      <c r="D104" s="1" t="s">
        <v>54</v>
      </c>
      <c r="E104" s="1" t="s">
        <v>892</v>
      </c>
      <c r="F104" s="1" t="s">
        <v>273</v>
      </c>
      <c r="G104" s="1" t="s">
        <v>885</v>
      </c>
      <c r="H104" s="1">
        <v>1</v>
      </c>
      <c r="I104" s="1" t="s">
        <v>117</v>
      </c>
      <c r="L104" s="1" t="s">
        <v>886</v>
      </c>
      <c r="M104" s="1" t="s">
        <v>119</v>
      </c>
      <c r="N104" s="1">
        <v>0</v>
      </c>
      <c r="O104" s="1">
        <v>0</v>
      </c>
      <c r="P104" s="1" t="s">
        <v>100</v>
      </c>
      <c r="Q104" s="1" t="s">
        <v>101</v>
      </c>
      <c r="R104" s="1" t="s">
        <v>893</v>
      </c>
      <c r="S104" s="1" t="s">
        <v>103</v>
      </c>
      <c r="T104" s="1">
        <v>1</v>
      </c>
      <c r="U104" s="1">
        <v>1</v>
      </c>
      <c r="V104" s="1">
        <v>1</v>
      </c>
      <c r="W104" s="1">
        <v>0</v>
      </c>
      <c r="X104" s="1">
        <v>0</v>
      </c>
      <c r="Y104" s="1">
        <v>8</v>
      </c>
      <c r="Z104" s="1">
        <v>8</v>
      </c>
      <c r="AA104" s="1">
        <v>8</v>
      </c>
      <c r="AB104" s="1" t="s">
        <v>104</v>
      </c>
      <c r="AC104" s="1" t="s">
        <v>104</v>
      </c>
      <c r="AD104" s="1" t="s">
        <v>104</v>
      </c>
      <c r="AE104" s="1" t="s">
        <v>104</v>
      </c>
      <c r="AF104" s="1" t="s">
        <v>104</v>
      </c>
      <c r="AG104" s="1" t="s">
        <v>104</v>
      </c>
      <c r="AH104" s="1" t="s">
        <v>104</v>
      </c>
      <c r="AI104" s="1" t="s">
        <v>104</v>
      </c>
      <c r="AJ104" s="1">
        <v>8</v>
      </c>
      <c r="AK104" s="1" t="s">
        <v>104</v>
      </c>
      <c r="AL104" s="1" t="s">
        <v>104</v>
      </c>
      <c r="AM104" s="1" t="s">
        <v>104</v>
      </c>
      <c r="AO104" s="1">
        <v>8</v>
      </c>
      <c r="AP104" s="1" t="s">
        <v>894</v>
      </c>
      <c r="AQ104" s="1" t="s">
        <v>895</v>
      </c>
      <c r="AR104" s="1">
        <v>0</v>
      </c>
      <c r="AS104" s="1">
        <v>0</v>
      </c>
      <c r="AT104" s="1">
        <v>0</v>
      </c>
      <c r="AU104" s="1">
        <v>0</v>
      </c>
      <c r="AV104" s="1">
        <v>0</v>
      </c>
      <c r="AW104" s="1">
        <v>0</v>
      </c>
      <c r="AX104" s="1">
        <v>0</v>
      </c>
      <c r="AY104" s="1">
        <v>0</v>
      </c>
      <c r="AZ104" s="1">
        <v>0</v>
      </c>
      <c r="BA104" s="1">
        <v>0</v>
      </c>
      <c r="BB104" s="1">
        <v>0</v>
      </c>
      <c r="BC104" s="1">
        <v>1</v>
      </c>
      <c r="BD104" s="1">
        <v>0</v>
      </c>
      <c r="BE104" s="1">
        <v>0</v>
      </c>
      <c r="BF104" s="1">
        <v>0</v>
      </c>
      <c r="BG104" s="1">
        <v>0</v>
      </c>
      <c r="BH104" s="1">
        <v>0</v>
      </c>
      <c r="BI104" s="1">
        <v>0</v>
      </c>
      <c r="BJ104" s="1">
        <v>0</v>
      </c>
      <c r="BK104" s="1">
        <v>0</v>
      </c>
      <c r="BL104" s="1">
        <v>0</v>
      </c>
      <c r="BM104" s="1">
        <v>0</v>
      </c>
      <c r="BN104" s="1">
        <v>0</v>
      </c>
      <c r="BO104" s="1">
        <v>0</v>
      </c>
      <c r="BP104" s="1">
        <v>0</v>
      </c>
      <c r="BQ104" s="2" t="str">
        <f>HYPERLINK("http://www.d20pfsrd.com/magic/all-spells/c/create-undead","Create Greater Undead")</f>
        <v>Create Greater Undead</v>
      </c>
      <c r="BR104" s="1">
        <v>103</v>
      </c>
      <c r="BS104" s="1">
        <v>50</v>
      </c>
      <c r="BU104" s="1" t="s">
        <v>896</v>
      </c>
      <c r="BX104" s="1">
        <v>0</v>
      </c>
      <c r="BY104" s="1" t="s">
        <v>104</v>
      </c>
      <c r="BZ104" s="1">
        <v>8</v>
      </c>
      <c r="CA104" s="1" t="s">
        <v>104</v>
      </c>
      <c r="CB104" s="1" t="s">
        <v>104</v>
      </c>
      <c r="CC104" s="1" t="s">
        <v>104</v>
      </c>
      <c r="CD104" s="1" t="s">
        <v>104</v>
      </c>
      <c r="CE104" s="1" t="s">
        <v>104</v>
      </c>
      <c r="CF104" s="1" t="s">
        <v>104</v>
      </c>
      <c r="CG104" s="1" t="s">
        <v>104</v>
      </c>
      <c r="CH104" s="1" t="s">
        <v>104</v>
      </c>
      <c r="CJ104" s="1">
        <v>0</v>
      </c>
      <c r="CK104" s="1">
        <v>0</v>
      </c>
      <c r="CL104" s="1">
        <v>0</v>
      </c>
      <c r="CM104" s="1" t="s">
        <v>104</v>
      </c>
    </row>
    <row r="105" spans="1:91" ht="14.25" customHeight="1" x14ac:dyDescent="0.3">
      <c r="A105" s="1" t="s">
        <v>897</v>
      </c>
      <c r="B105" s="1" t="s">
        <v>92</v>
      </c>
      <c r="C105" s="1" t="s">
        <v>93</v>
      </c>
      <c r="D105" s="1" t="s">
        <v>67</v>
      </c>
      <c r="E105" s="1" t="s">
        <v>898</v>
      </c>
      <c r="F105" s="1" t="s">
        <v>95</v>
      </c>
      <c r="G105" s="1" t="s">
        <v>116</v>
      </c>
      <c r="H105" s="1">
        <v>0</v>
      </c>
      <c r="I105" s="1" t="s">
        <v>117</v>
      </c>
      <c r="K105" s="1" t="s">
        <v>899</v>
      </c>
      <c r="M105" s="1" t="s">
        <v>119</v>
      </c>
      <c r="N105" s="1">
        <v>0</v>
      </c>
      <c r="O105" s="1">
        <v>0</v>
      </c>
      <c r="P105" s="1" t="s">
        <v>100</v>
      </c>
      <c r="Q105" s="1" t="s">
        <v>101</v>
      </c>
      <c r="R105" s="1" t="s">
        <v>900</v>
      </c>
      <c r="S105" s="1" t="s">
        <v>103</v>
      </c>
      <c r="T105" s="1">
        <v>1</v>
      </c>
      <c r="U105" s="1">
        <v>1</v>
      </c>
      <c r="V105" s="1">
        <v>0</v>
      </c>
      <c r="W105" s="1">
        <v>0</v>
      </c>
      <c r="X105" s="1">
        <v>0</v>
      </c>
      <c r="Y105" s="1" t="s">
        <v>104</v>
      </c>
      <c r="Z105" s="1" t="s">
        <v>104</v>
      </c>
      <c r="AA105" s="1">
        <v>0</v>
      </c>
      <c r="AB105" s="1">
        <v>0</v>
      </c>
      <c r="AC105" s="1" t="s">
        <v>104</v>
      </c>
      <c r="AD105" s="1" t="s">
        <v>104</v>
      </c>
      <c r="AE105" s="1">
        <v>1</v>
      </c>
      <c r="AF105" s="1" t="s">
        <v>104</v>
      </c>
      <c r="AG105" s="1" t="s">
        <v>104</v>
      </c>
      <c r="AH105" s="1" t="s">
        <v>104</v>
      </c>
      <c r="AI105" s="1">
        <v>0</v>
      </c>
      <c r="AJ105" s="1">
        <v>0</v>
      </c>
      <c r="AK105" s="1" t="s">
        <v>104</v>
      </c>
      <c r="AL105" s="1" t="s">
        <v>104</v>
      </c>
      <c r="AM105" s="1">
        <v>0</v>
      </c>
      <c r="AO105" s="1">
        <v>0</v>
      </c>
      <c r="AQ105" s="1" t="s">
        <v>901</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1</v>
      </c>
      <c r="BQ105" s="2" t="str">
        <f>HYPERLINK("http://www.d20pfsrd.com/magic/all-spells/c/create-water","Create Water")</f>
        <v>Create Water</v>
      </c>
      <c r="BR105" s="1">
        <v>104</v>
      </c>
      <c r="BS105" s="1" t="s">
        <v>104</v>
      </c>
      <c r="BX105" s="1">
        <v>0</v>
      </c>
      <c r="BY105" s="1" t="s">
        <v>104</v>
      </c>
      <c r="BZ105" s="1">
        <v>0</v>
      </c>
      <c r="CA105" s="1" t="s">
        <v>104</v>
      </c>
      <c r="CB105" s="1" t="s">
        <v>104</v>
      </c>
      <c r="CC105" s="1" t="s">
        <v>104</v>
      </c>
      <c r="CD105" s="1">
        <v>0</v>
      </c>
      <c r="CE105" s="1" t="s">
        <v>104</v>
      </c>
      <c r="CF105" s="1" t="s">
        <v>104</v>
      </c>
      <c r="CG105" s="1" t="s">
        <v>104</v>
      </c>
      <c r="CH105" s="1">
        <v>0</v>
      </c>
      <c r="CJ105" s="1">
        <v>0</v>
      </c>
      <c r="CK105" s="1">
        <v>0</v>
      </c>
      <c r="CL105" s="1">
        <v>0</v>
      </c>
      <c r="CM105" s="1" t="s">
        <v>104</v>
      </c>
    </row>
    <row r="106" spans="1:91" ht="14.25" customHeight="1" x14ac:dyDescent="0.3">
      <c r="A106" s="1" t="s">
        <v>902</v>
      </c>
      <c r="B106" s="1" t="s">
        <v>92</v>
      </c>
      <c r="C106" s="1" t="s">
        <v>903</v>
      </c>
      <c r="E106" s="1" t="s">
        <v>904</v>
      </c>
      <c r="F106" s="1" t="s">
        <v>95</v>
      </c>
      <c r="G106" s="1" t="s">
        <v>116</v>
      </c>
      <c r="H106" s="1">
        <v>0</v>
      </c>
      <c r="I106" s="1" t="s">
        <v>905</v>
      </c>
      <c r="K106" s="1" t="s">
        <v>906</v>
      </c>
      <c r="M106" s="1" t="s">
        <v>111</v>
      </c>
      <c r="N106" s="1">
        <v>0</v>
      </c>
      <c r="O106" s="1">
        <v>0</v>
      </c>
      <c r="P106" s="1" t="s">
        <v>712</v>
      </c>
      <c r="Q106" s="1" t="s">
        <v>101</v>
      </c>
      <c r="R106" s="1" t="s">
        <v>907</v>
      </c>
      <c r="S106" s="1" t="s">
        <v>103</v>
      </c>
      <c r="T106" s="1">
        <v>1</v>
      </c>
      <c r="U106" s="1">
        <v>1</v>
      </c>
      <c r="V106" s="1">
        <v>0</v>
      </c>
      <c r="W106" s="1">
        <v>0</v>
      </c>
      <c r="X106" s="1">
        <v>0</v>
      </c>
      <c r="Y106" s="1" t="s">
        <v>104</v>
      </c>
      <c r="Z106" s="1" t="s">
        <v>104</v>
      </c>
      <c r="AA106" s="1" t="s">
        <v>104</v>
      </c>
      <c r="AB106" s="1">
        <v>7</v>
      </c>
      <c r="AC106" s="1" t="s">
        <v>104</v>
      </c>
      <c r="AD106" s="1" t="s">
        <v>104</v>
      </c>
      <c r="AE106" s="1" t="s">
        <v>104</v>
      </c>
      <c r="AF106" s="1" t="s">
        <v>104</v>
      </c>
      <c r="AG106" s="1">
        <v>5</v>
      </c>
      <c r="AH106" s="1" t="s">
        <v>104</v>
      </c>
      <c r="AI106" s="1" t="s">
        <v>104</v>
      </c>
      <c r="AJ106" s="1" t="s">
        <v>104</v>
      </c>
      <c r="AK106" s="1" t="s">
        <v>104</v>
      </c>
      <c r="AL106" s="1" t="s">
        <v>104</v>
      </c>
      <c r="AM106" s="1" t="s">
        <v>104</v>
      </c>
      <c r="AO106" s="1">
        <v>7</v>
      </c>
      <c r="AP106" s="1" t="s">
        <v>908</v>
      </c>
      <c r="AQ106" s="1" t="s">
        <v>909</v>
      </c>
      <c r="AR106" s="1">
        <v>0</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2" t="str">
        <f>HYPERLINK("http://www.d20pfsrd.com/magic/all-spells/c/creeping-doom","Creeping Doom")</f>
        <v>Creeping Doom</v>
      </c>
      <c r="BR106" s="1">
        <v>105</v>
      </c>
      <c r="BS106" s="1" t="s">
        <v>104</v>
      </c>
      <c r="BT106" s="1" t="s">
        <v>910</v>
      </c>
      <c r="BX106" s="1">
        <v>0</v>
      </c>
      <c r="BY106" s="1" t="s">
        <v>104</v>
      </c>
      <c r="BZ106" s="1">
        <v>7</v>
      </c>
      <c r="CA106" s="1" t="s">
        <v>104</v>
      </c>
      <c r="CB106" s="1" t="s">
        <v>104</v>
      </c>
      <c r="CC106" s="1" t="s">
        <v>104</v>
      </c>
      <c r="CD106" s="1" t="s">
        <v>104</v>
      </c>
      <c r="CE106" s="1" t="s">
        <v>104</v>
      </c>
      <c r="CF106" s="1" t="s">
        <v>104</v>
      </c>
      <c r="CG106" s="1" t="s">
        <v>104</v>
      </c>
      <c r="CH106" s="1" t="s">
        <v>104</v>
      </c>
      <c r="CJ106" s="1">
        <v>0</v>
      </c>
      <c r="CK106" s="1">
        <v>0</v>
      </c>
      <c r="CL106" s="1">
        <v>0</v>
      </c>
      <c r="CM106" s="1">
        <v>6</v>
      </c>
    </row>
    <row r="107" spans="1:91" ht="14.25" customHeight="1" x14ac:dyDescent="0.3">
      <c r="A107" s="1" t="s">
        <v>911</v>
      </c>
      <c r="B107" s="1" t="s">
        <v>123</v>
      </c>
      <c r="C107" s="1" t="s">
        <v>124</v>
      </c>
      <c r="D107" s="1" t="s">
        <v>271</v>
      </c>
      <c r="E107" s="1" t="s">
        <v>912</v>
      </c>
      <c r="F107" s="1" t="s">
        <v>95</v>
      </c>
      <c r="G107" s="1" t="s">
        <v>913</v>
      </c>
      <c r="H107" s="1">
        <v>0</v>
      </c>
      <c r="I107" s="1" t="s">
        <v>914</v>
      </c>
      <c r="J107" s="1" t="s">
        <v>549</v>
      </c>
      <c r="M107" s="1" t="s">
        <v>130</v>
      </c>
      <c r="N107" s="1">
        <v>0</v>
      </c>
      <c r="O107" s="1">
        <v>0</v>
      </c>
      <c r="P107" s="1" t="s">
        <v>211</v>
      </c>
      <c r="Q107" s="1" t="s">
        <v>184</v>
      </c>
      <c r="R107" s="1" t="s">
        <v>915</v>
      </c>
      <c r="S107" s="1" t="s">
        <v>103</v>
      </c>
      <c r="T107" s="1">
        <v>1</v>
      </c>
      <c r="U107" s="1">
        <v>1</v>
      </c>
      <c r="V107" s="1">
        <v>1</v>
      </c>
      <c r="W107" s="1">
        <v>0</v>
      </c>
      <c r="X107" s="1">
        <v>0</v>
      </c>
      <c r="Y107" s="1">
        <v>4</v>
      </c>
      <c r="Z107" s="1">
        <v>4</v>
      </c>
      <c r="AA107" s="1" t="s">
        <v>104</v>
      </c>
      <c r="AB107" s="1" t="s">
        <v>104</v>
      </c>
      <c r="AC107" s="1" t="s">
        <v>104</v>
      </c>
      <c r="AD107" s="1">
        <v>3</v>
      </c>
      <c r="AE107" s="1" t="s">
        <v>104</v>
      </c>
      <c r="AF107" s="1" t="s">
        <v>104</v>
      </c>
      <c r="AG107" s="1" t="s">
        <v>104</v>
      </c>
      <c r="AH107" s="1">
        <v>4</v>
      </c>
      <c r="AI107" s="1" t="s">
        <v>104</v>
      </c>
      <c r="AJ107" s="1" t="s">
        <v>104</v>
      </c>
      <c r="AK107" s="1" t="s">
        <v>104</v>
      </c>
      <c r="AL107" s="1" t="s">
        <v>104</v>
      </c>
      <c r="AM107" s="1" t="s">
        <v>104</v>
      </c>
      <c r="AO107" s="1">
        <v>4</v>
      </c>
      <c r="AP107" s="1" t="s">
        <v>916</v>
      </c>
      <c r="AQ107" s="1" t="s">
        <v>917</v>
      </c>
      <c r="AR107" s="1">
        <v>0</v>
      </c>
      <c r="AS107" s="1">
        <v>0</v>
      </c>
      <c r="AT107" s="1">
        <v>0</v>
      </c>
      <c r="AU107" s="1">
        <v>0</v>
      </c>
      <c r="AV107" s="1">
        <v>0</v>
      </c>
      <c r="AW107" s="1">
        <v>0</v>
      </c>
      <c r="AX107" s="1">
        <v>0</v>
      </c>
      <c r="AY107" s="1">
        <v>0</v>
      </c>
      <c r="AZ107" s="1">
        <v>0</v>
      </c>
      <c r="BA107" s="1">
        <v>0</v>
      </c>
      <c r="BB107" s="1">
        <v>1</v>
      </c>
      <c r="BC107" s="1">
        <v>0</v>
      </c>
      <c r="BD107" s="1">
        <v>0</v>
      </c>
      <c r="BE107" s="1">
        <v>0</v>
      </c>
      <c r="BF107" s="1">
        <v>0</v>
      </c>
      <c r="BG107" s="1">
        <v>0</v>
      </c>
      <c r="BH107" s="1">
        <v>0</v>
      </c>
      <c r="BI107" s="1">
        <v>0</v>
      </c>
      <c r="BJ107" s="1">
        <v>0</v>
      </c>
      <c r="BK107" s="1">
        <v>1</v>
      </c>
      <c r="BL107" s="1">
        <v>0</v>
      </c>
      <c r="BM107" s="1">
        <v>0</v>
      </c>
      <c r="BN107" s="1">
        <v>0</v>
      </c>
      <c r="BO107" s="1">
        <v>0</v>
      </c>
      <c r="BP107" s="1">
        <v>0</v>
      </c>
      <c r="BQ107" s="2" t="str">
        <f>HYPERLINK("http://www.d20pfsrd.com/magic/all-spells/c/crushing-despair","Crushing Despair")</f>
        <v>Crushing Despair</v>
      </c>
      <c r="BR107" s="1">
        <v>106</v>
      </c>
      <c r="BS107" s="1" t="s">
        <v>104</v>
      </c>
      <c r="BX107" s="1">
        <v>0</v>
      </c>
      <c r="BY107" s="1">
        <v>4</v>
      </c>
      <c r="BZ107" s="1" t="s">
        <v>104</v>
      </c>
      <c r="CA107" s="1">
        <v>4</v>
      </c>
      <c r="CB107" s="1" t="s">
        <v>104</v>
      </c>
      <c r="CC107" s="1">
        <v>3</v>
      </c>
      <c r="CD107" s="1" t="s">
        <v>104</v>
      </c>
      <c r="CE107" s="1">
        <v>4</v>
      </c>
      <c r="CF107" s="1" t="s">
        <v>104</v>
      </c>
      <c r="CG107" s="1" t="s">
        <v>104</v>
      </c>
      <c r="CH107" s="1" t="s">
        <v>104</v>
      </c>
      <c r="CJ107" s="1">
        <v>0</v>
      </c>
      <c r="CK107" s="1">
        <v>0</v>
      </c>
      <c r="CL107" s="1">
        <v>0</v>
      </c>
      <c r="CM107" s="1" t="s">
        <v>104</v>
      </c>
    </row>
    <row r="108" spans="1:91" ht="14.25" customHeight="1" x14ac:dyDescent="0.3">
      <c r="A108" s="1" t="s">
        <v>918</v>
      </c>
      <c r="B108" s="1" t="s">
        <v>434</v>
      </c>
      <c r="D108" s="1" t="s">
        <v>57</v>
      </c>
      <c r="E108" s="1" t="s">
        <v>919</v>
      </c>
      <c r="F108" s="1" t="s">
        <v>95</v>
      </c>
      <c r="G108" s="1" t="s">
        <v>920</v>
      </c>
      <c r="H108" s="1">
        <v>0</v>
      </c>
      <c r="I108" s="1" t="s">
        <v>109</v>
      </c>
      <c r="K108" s="1" t="s">
        <v>690</v>
      </c>
      <c r="M108" s="1" t="s">
        <v>111</v>
      </c>
      <c r="N108" s="1">
        <v>1</v>
      </c>
      <c r="O108" s="1">
        <v>0</v>
      </c>
      <c r="P108" s="1" t="s">
        <v>100</v>
      </c>
      <c r="Q108" s="1" t="s">
        <v>184</v>
      </c>
      <c r="R108" s="1" t="s">
        <v>921</v>
      </c>
      <c r="S108" s="1" t="s">
        <v>103</v>
      </c>
      <c r="T108" s="1">
        <v>1</v>
      </c>
      <c r="U108" s="1">
        <v>1</v>
      </c>
      <c r="V108" s="1">
        <v>0</v>
      </c>
      <c r="W108" s="1">
        <v>1</v>
      </c>
      <c r="X108" s="1">
        <v>0</v>
      </c>
      <c r="Y108" s="1">
        <v>9</v>
      </c>
      <c r="Z108" s="1">
        <v>9</v>
      </c>
      <c r="AA108" s="1" t="s">
        <v>104</v>
      </c>
      <c r="AB108" s="1" t="s">
        <v>104</v>
      </c>
      <c r="AC108" s="1" t="s">
        <v>104</v>
      </c>
      <c r="AD108" s="1" t="s">
        <v>104</v>
      </c>
      <c r="AE108" s="1" t="s">
        <v>104</v>
      </c>
      <c r="AF108" s="1" t="s">
        <v>104</v>
      </c>
      <c r="AG108" s="1" t="s">
        <v>104</v>
      </c>
      <c r="AH108" s="1" t="s">
        <v>104</v>
      </c>
      <c r="AI108" s="1" t="s">
        <v>104</v>
      </c>
      <c r="AJ108" s="1" t="s">
        <v>104</v>
      </c>
      <c r="AK108" s="1" t="s">
        <v>104</v>
      </c>
      <c r="AL108" s="1" t="s">
        <v>104</v>
      </c>
      <c r="AM108" s="1" t="s">
        <v>104</v>
      </c>
      <c r="AO108" s="1">
        <v>9</v>
      </c>
      <c r="AP108" s="1" t="s">
        <v>922</v>
      </c>
      <c r="AQ108" s="1" t="s">
        <v>923</v>
      </c>
      <c r="AR108" s="1">
        <v>0</v>
      </c>
      <c r="AS108" s="1">
        <v>0</v>
      </c>
      <c r="AT108" s="1">
        <v>0</v>
      </c>
      <c r="AU108" s="1">
        <v>0</v>
      </c>
      <c r="AV108" s="1">
        <v>0</v>
      </c>
      <c r="AW108" s="1">
        <v>0</v>
      </c>
      <c r="AX108" s="1">
        <v>0</v>
      </c>
      <c r="AY108" s="1">
        <v>0</v>
      </c>
      <c r="AZ108" s="1">
        <v>0</v>
      </c>
      <c r="BA108" s="1">
        <v>0</v>
      </c>
      <c r="BB108" s="1">
        <v>0</v>
      </c>
      <c r="BC108" s="1">
        <v>0</v>
      </c>
      <c r="BD108" s="1">
        <v>0</v>
      </c>
      <c r="BE108" s="1">
        <v>0</v>
      </c>
      <c r="BF108" s="1">
        <v>1</v>
      </c>
      <c r="BG108" s="1">
        <v>0</v>
      </c>
      <c r="BH108" s="1">
        <v>0</v>
      </c>
      <c r="BI108" s="1">
        <v>0</v>
      </c>
      <c r="BJ108" s="1">
        <v>0</v>
      </c>
      <c r="BK108" s="1">
        <v>0</v>
      </c>
      <c r="BL108" s="1">
        <v>0</v>
      </c>
      <c r="BM108" s="1">
        <v>0</v>
      </c>
      <c r="BN108" s="1">
        <v>0</v>
      </c>
      <c r="BO108" s="1">
        <v>0</v>
      </c>
      <c r="BP108" s="1">
        <v>0</v>
      </c>
      <c r="BQ108" s="2" t="str">
        <f>HYPERLINK("http://www.d20pfsrd.com/magic/all-spells/c/crushing-hand","Crushing Hand")</f>
        <v>Crushing Hand</v>
      </c>
      <c r="BR108" s="1">
        <v>107</v>
      </c>
      <c r="BS108" s="1" t="s">
        <v>104</v>
      </c>
      <c r="BX108" s="1">
        <v>0</v>
      </c>
      <c r="BY108" s="1" t="s">
        <v>104</v>
      </c>
      <c r="BZ108" s="1" t="s">
        <v>104</v>
      </c>
      <c r="CA108" s="1">
        <v>9</v>
      </c>
      <c r="CB108" s="1" t="s">
        <v>104</v>
      </c>
      <c r="CC108" s="1" t="s">
        <v>104</v>
      </c>
      <c r="CD108" s="1" t="s">
        <v>104</v>
      </c>
      <c r="CE108" s="1" t="s">
        <v>104</v>
      </c>
      <c r="CF108" s="1" t="s">
        <v>104</v>
      </c>
      <c r="CG108" s="1" t="s">
        <v>104</v>
      </c>
      <c r="CH108" s="1" t="s">
        <v>104</v>
      </c>
      <c r="CJ108" s="1">
        <v>0</v>
      </c>
      <c r="CK108" s="1">
        <v>0</v>
      </c>
      <c r="CL108" s="1">
        <v>0</v>
      </c>
      <c r="CM108" s="1" t="s">
        <v>104</v>
      </c>
    </row>
    <row r="109" spans="1:91" ht="14.25" customHeight="1" x14ac:dyDescent="0.3">
      <c r="A109" s="1" t="s">
        <v>924</v>
      </c>
      <c r="B109" s="1" t="s">
        <v>92</v>
      </c>
      <c r="C109" s="1" t="s">
        <v>523</v>
      </c>
      <c r="E109" s="1" t="s">
        <v>925</v>
      </c>
      <c r="F109" s="1" t="s">
        <v>95</v>
      </c>
      <c r="G109" s="1" t="s">
        <v>116</v>
      </c>
      <c r="H109" s="1">
        <v>0</v>
      </c>
      <c r="I109" s="1" t="s">
        <v>128</v>
      </c>
      <c r="L109" s="1" t="s">
        <v>374</v>
      </c>
      <c r="M109" s="1" t="s">
        <v>119</v>
      </c>
      <c r="N109" s="1">
        <v>0</v>
      </c>
      <c r="O109" s="1">
        <v>0</v>
      </c>
      <c r="P109" s="1" t="s">
        <v>926</v>
      </c>
      <c r="Q109" s="1" t="s">
        <v>927</v>
      </c>
      <c r="R109" s="1" t="s">
        <v>928</v>
      </c>
      <c r="S109" s="1" t="s">
        <v>103</v>
      </c>
      <c r="T109" s="1">
        <v>1</v>
      </c>
      <c r="U109" s="1">
        <v>1</v>
      </c>
      <c r="V109" s="1">
        <v>0</v>
      </c>
      <c r="W109" s="1">
        <v>0</v>
      </c>
      <c r="X109" s="1">
        <v>0</v>
      </c>
      <c r="Y109" s="1" t="s">
        <v>104</v>
      </c>
      <c r="Z109" s="1" t="s">
        <v>104</v>
      </c>
      <c r="AA109" s="1">
        <v>1</v>
      </c>
      <c r="AB109" s="1">
        <v>1</v>
      </c>
      <c r="AC109" s="1">
        <v>2</v>
      </c>
      <c r="AD109" s="1">
        <v>1</v>
      </c>
      <c r="AE109" s="1">
        <v>1</v>
      </c>
      <c r="AF109" s="1">
        <v>1</v>
      </c>
      <c r="AG109" s="1" t="s">
        <v>104</v>
      </c>
      <c r="AH109" s="1">
        <v>1</v>
      </c>
      <c r="AI109" s="1">
        <v>1</v>
      </c>
      <c r="AJ109" s="1">
        <v>1</v>
      </c>
      <c r="AK109" s="1" t="s">
        <v>104</v>
      </c>
      <c r="AL109" s="1" t="s">
        <v>104</v>
      </c>
      <c r="AM109" s="1">
        <v>1</v>
      </c>
      <c r="AO109" s="1">
        <v>1</v>
      </c>
      <c r="AP109" s="1" t="s">
        <v>929</v>
      </c>
      <c r="AQ109" s="1" t="s">
        <v>930</v>
      </c>
      <c r="AR109" s="1">
        <v>0</v>
      </c>
      <c r="AS109" s="1">
        <v>0</v>
      </c>
      <c r="AT109" s="1">
        <v>0</v>
      </c>
      <c r="AU109" s="1">
        <v>0</v>
      </c>
      <c r="AV109" s="1">
        <v>0</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2" t="str">
        <f>HYPERLINK("http://www.d20pfsrd.com/magic/all-spells/c/cure-light-wounds","Cure Light Wounds")</f>
        <v>Cure Light Wounds</v>
      </c>
      <c r="BR109" s="1">
        <v>108</v>
      </c>
      <c r="BS109" s="1" t="s">
        <v>104</v>
      </c>
      <c r="BV109" s="1" t="s">
        <v>931</v>
      </c>
      <c r="BX109" s="1">
        <v>1</v>
      </c>
      <c r="BY109" s="1" t="s">
        <v>104</v>
      </c>
      <c r="BZ109" s="1">
        <v>1</v>
      </c>
      <c r="CA109" s="1" t="s">
        <v>104</v>
      </c>
      <c r="CB109" s="1" t="s">
        <v>104</v>
      </c>
      <c r="CC109" s="1" t="s">
        <v>104</v>
      </c>
      <c r="CD109" s="1">
        <v>1</v>
      </c>
      <c r="CE109" s="1">
        <v>1</v>
      </c>
      <c r="CF109" s="1" t="s">
        <v>104</v>
      </c>
      <c r="CG109" s="1" t="s">
        <v>104</v>
      </c>
      <c r="CH109" s="1">
        <v>1</v>
      </c>
      <c r="CJ109" s="1">
        <v>0</v>
      </c>
      <c r="CK109" s="1">
        <v>0</v>
      </c>
      <c r="CL109" s="1">
        <v>0</v>
      </c>
      <c r="CM109" s="1" t="s">
        <v>104</v>
      </c>
    </row>
    <row r="110" spans="1:91" ht="14.25" customHeight="1" x14ac:dyDescent="0.3">
      <c r="A110" s="1" t="s">
        <v>932</v>
      </c>
      <c r="B110" s="1" t="s">
        <v>92</v>
      </c>
      <c r="C110" s="1" t="s">
        <v>523</v>
      </c>
      <c r="E110" s="1" t="s">
        <v>933</v>
      </c>
      <c r="F110" s="1" t="s">
        <v>95</v>
      </c>
      <c r="G110" s="1" t="s">
        <v>116</v>
      </c>
      <c r="H110" s="1">
        <v>0</v>
      </c>
      <c r="I110" s="1" t="s">
        <v>128</v>
      </c>
      <c r="L110" s="1" t="s">
        <v>374</v>
      </c>
      <c r="M110" s="1" t="s">
        <v>119</v>
      </c>
      <c r="N110" s="1">
        <v>0</v>
      </c>
      <c r="O110" s="1">
        <v>0</v>
      </c>
      <c r="P110" s="1" t="s">
        <v>926</v>
      </c>
      <c r="Q110" s="1" t="s">
        <v>927</v>
      </c>
      <c r="R110" s="1" t="s">
        <v>934</v>
      </c>
      <c r="S110" s="1" t="s">
        <v>103</v>
      </c>
      <c r="T110" s="1">
        <v>1</v>
      </c>
      <c r="U110" s="1">
        <v>1</v>
      </c>
      <c r="V110" s="1">
        <v>0</v>
      </c>
      <c r="W110" s="1">
        <v>0</v>
      </c>
      <c r="X110" s="1">
        <v>0</v>
      </c>
      <c r="Y110" s="1" t="s">
        <v>104</v>
      </c>
      <c r="Z110" s="1" t="s">
        <v>104</v>
      </c>
      <c r="AA110" s="1">
        <v>4</v>
      </c>
      <c r="AB110" s="1">
        <v>5</v>
      </c>
      <c r="AC110" s="1" t="s">
        <v>104</v>
      </c>
      <c r="AD110" s="1">
        <v>4</v>
      </c>
      <c r="AE110" s="1" t="s">
        <v>104</v>
      </c>
      <c r="AF110" s="1">
        <v>4</v>
      </c>
      <c r="AG110" s="1" t="s">
        <v>104</v>
      </c>
      <c r="AH110" s="1">
        <v>5</v>
      </c>
      <c r="AI110" s="1">
        <v>4</v>
      </c>
      <c r="AJ110" s="1">
        <v>4</v>
      </c>
      <c r="AK110" s="1" t="s">
        <v>104</v>
      </c>
      <c r="AL110" s="1" t="s">
        <v>104</v>
      </c>
      <c r="AM110" s="1">
        <v>4</v>
      </c>
      <c r="AO110" s="1">
        <v>4</v>
      </c>
      <c r="AP110" s="1" t="s">
        <v>935</v>
      </c>
      <c r="AQ110" s="1" t="s">
        <v>936</v>
      </c>
      <c r="AR110" s="1">
        <v>0</v>
      </c>
      <c r="AS110" s="1">
        <v>0</v>
      </c>
      <c r="AT110" s="1">
        <v>0</v>
      </c>
      <c r="AU110" s="1">
        <v>0</v>
      </c>
      <c r="AV110" s="1">
        <v>0</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2" t="str">
        <f>HYPERLINK("http://www.d20pfsrd.com/magic/all-spells/c/cure-critical-wounds","Cure Critical Wounds")</f>
        <v>Cure Critical Wounds</v>
      </c>
      <c r="BR110" s="1">
        <v>109</v>
      </c>
      <c r="BS110" s="1" t="s">
        <v>104</v>
      </c>
      <c r="BV110" s="1" t="s">
        <v>937</v>
      </c>
      <c r="BX110" s="1">
        <v>1</v>
      </c>
      <c r="BY110" s="1" t="s">
        <v>104</v>
      </c>
      <c r="BZ110" s="1">
        <v>4</v>
      </c>
      <c r="CA110" s="1" t="s">
        <v>104</v>
      </c>
      <c r="CB110" s="1" t="s">
        <v>104</v>
      </c>
      <c r="CC110" s="1" t="s">
        <v>104</v>
      </c>
      <c r="CD110" s="1">
        <v>4</v>
      </c>
      <c r="CE110" s="1">
        <v>4</v>
      </c>
      <c r="CF110" s="1" t="s">
        <v>104</v>
      </c>
      <c r="CG110" s="1" t="s">
        <v>104</v>
      </c>
      <c r="CH110" s="1">
        <v>5</v>
      </c>
      <c r="CJ110" s="1">
        <v>0</v>
      </c>
      <c r="CK110" s="1">
        <v>0</v>
      </c>
      <c r="CL110" s="1">
        <v>0</v>
      </c>
      <c r="CM110" s="1" t="s">
        <v>104</v>
      </c>
    </row>
    <row r="111" spans="1:91" ht="14.25" customHeight="1" x14ac:dyDescent="0.3">
      <c r="A111" s="1" t="s">
        <v>938</v>
      </c>
      <c r="B111" s="1" t="s">
        <v>92</v>
      </c>
      <c r="C111" s="1" t="s">
        <v>523</v>
      </c>
      <c r="E111" s="1" t="s">
        <v>939</v>
      </c>
      <c r="F111" s="1" t="s">
        <v>95</v>
      </c>
      <c r="G111" s="1" t="s">
        <v>116</v>
      </c>
      <c r="H111" s="1">
        <v>0</v>
      </c>
      <c r="I111" s="1" t="s">
        <v>117</v>
      </c>
      <c r="L111" s="1" t="s">
        <v>541</v>
      </c>
      <c r="M111" s="1" t="s">
        <v>119</v>
      </c>
      <c r="N111" s="1">
        <v>0</v>
      </c>
      <c r="O111" s="1">
        <v>0</v>
      </c>
      <c r="P111" s="1" t="s">
        <v>940</v>
      </c>
      <c r="Q111" s="1" t="s">
        <v>941</v>
      </c>
      <c r="R111" s="1" t="s">
        <v>942</v>
      </c>
      <c r="S111" s="1" t="s">
        <v>103</v>
      </c>
      <c r="T111" s="1">
        <v>1</v>
      </c>
      <c r="U111" s="1">
        <v>1</v>
      </c>
      <c r="V111" s="1">
        <v>0</v>
      </c>
      <c r="W111" s="1">
        <v>0</v>
      </c>
      <c r="X111" s="1">
        <v>0</v>
      </c>
      <c r="Y111" s="1" t="s">
        <v>104</v>
      </c>
      <c r="Z111" s="1" t="s">
        <v>104</v>
      </c>
      <c r="AA111" s="1">
        <v>5</v>
      </c>
      <c r="AB111" s="1">
        <v>6</v>
      </c>
      <c r="AC111" s="1" t="s">
        <v>104</v>
      </c>
      <c r="AD111" s="1">
        <v>5</v>
      </c>
      <c r="AE111" s="1" t="s">
        <v>104</v>
      </c>
      <c r="AF111" s="1" t="s">
        <v>104</v>
      </c>
      <c r="AG111" s="1" t="s">
        <v>104</v>
      </c>
      <c r="AH111" s="1">
        <v>6</v>
      </c>
      <c r="AI111" s="1">
        <v>5</v>
      </c>
      <c r="AJ111" s="1">
        <v>5</v>
      </c>
      <c r="AK111" s="1" t="s">
        <v>104</v>
      </c>
      <c r="AL111" s="1" t="s">
        <v>104</v>
      </c>
      <c r="AM111" s="1" t="s">
        <v>104</v>
      </c>
      <c r="AO111" s="1">
        <v>5</v>
      </c>
      <c r="AQ111" s="1" t="s">
        <v>943</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2" t="str">
        <f>HYPERLINK("http://www.d20pfsrd.com/magic/all-spells/c/cure-light-wounds","Cure Light Wounds, Mass")</f>
        <v>Cure Light Wounds, Mass</v>
      </c>
      <c r="BR111" s="1">
        <v>110</v>
      </c>
      <c r="BS111" s="1" t="s">
        <v>104</v>
      </c>
      <c r="BX111" s="1">
        <v>0</v>
      </c>
      <c r="BY111" s="1" t="s">
        <v>104</v>
      </c>
      <c r="BZ111" s="1">
        <v>5</v>
      </c>
      <c r="CA111" s="1" t="s">
        <v>104</v>
      </c>
      <c r="CB111" s="1" t="s">
        <v>104</v>
      </c>
      <c r="CC111" s="1" t="s">
        <v>104</v>
      </c>
      <c r="CD111" s="1">
        <v>5</v>
      </c>
      <c r="CE111" s="1" t="s">
        <v>104</v>
      </c>
      <c r="CF111" s="1" t="s">
        <v>104</v>
      </c>
      <c r="CG111" s="1" t="s">
        <v>104</v>
      </c>
      <c r="CH111" s="1">
        <v>6</v>
      </c>
      <c r="CJ111" s="1">
        <v>0</v>
      </c>
      <c r="CK111" s="1">
        <v>0</v>
      </c>
      <c r="CL111" s="1">
        <v>0</v>
      </c>
      <c r="CM111" s="1" t="s">
        <v>104</v>
      </c>
    </row>
    <row r="112" spans="1:91" ht="14.25" customHeight="1" x14ac:dyDescent="0.3">
      <c r="A112" s="1" t="s">
        <v>944</v>
      </c>
      <c r="B112" s="1" t="s">
        <v>92</v>
      </c>
      <c r="C112" s="1" t="s">
        <v>523</v>
      </c>
      <c r="E112" s="1" t="s">
        <v>945</v>
      </c>
      <c r="F112" s="1" t="s">
        <v>95</v>
      </c>
      <c r="G112" s="1" t="s">
        <v>116</v>
      </c>
      <c r="H112" s="1">
        <v>0</v>
      </c>
      <c r="I112" s="1" t="s">
        <v>117</v>
      </c>
      <c r="L112" s="1" t="s">
        <v>541</v>
      </c>
      <c r="M112" s="1" t="s">
        <v>119</v>
      </c>
      <c r="N112" s="1">
        <v>0</v>
      </c>
      <c r="O112" s="1">
        <v>0</v>
      </c>
      <c r="P112" s="1" t="s">
        <v>940</v>
      </c>
      <c r="Q112" s="1" t="s">
        <v>941</v>
      </c>
      <c r="R112" s="1" t="s">
        <v>946</v>
      </c>
      <c r="S112" s="1" t="s">
        <v>103</v>
      </c>
      <c r="T112" s="1">
        <v>1</v>
      </c>
      <c r="U112" s="1">
        <v>1</v>
      </c>
      <c r="V112" s="1">
        <v>0</v>
      </c>
      <c r="W112" s="1">
        <v>0</v>
      </c>
      <c r="X112" s="1">
        <v>0</v>
      </c>
      <c r="Y112" s="1" t="s">
        <v>104</v>
      </c>
      <c r="Z112" s="1" t="s">
        <v>104</v>
      </c>
      <c r="AA112" s="1">
        <v>8</v>
      </c>
      <c r="AB112" s="1">
        <v>9</v>
      </c>
      <c r="AC112" s="1" t="s">
        <v>104</v>
      </c>
      <c r="AD112" s="1" t="s">
        <v>104</v>
      </c>
      <c r="AE112" s="1" t="s">
        <v>104</v>
      </c>
      <c r="AF112" s="1" t="s">
        <v>104</v>
      </c>
      <c r="AG112" s="1" t="s">
        <v>104</v>
      </c>
      <c r="AH112" s="1">
        <v>9</v>
      </c>
      <c r="AI112" s="1" t="s">
        <v>104</v>
      </c>
      <c r="AJ112" s="1">
        <v>8</v>
      </c>
      <c r="AK112" s="1" t="s">
        <v>104</v>
      </c>
      <c r="AL112" s="1" t="s">
        <v>104</v>
      </c>
      <c r="AM112" s="1" t="s">
        <v>104</v>
      </c>
      <c r="AO112" s="1">
        <v>8</v>
      </c>
      <c r="AP112" s="1" t="s">
        <v>947</v>
      </c>
      <c r="AQ112" s="1" t="s">
        <v>948</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2" t="str">
        <f>HYPERLINK("http://www.d20pfsrd.com/magic/all-spells/c/cure-critical-wounds","Cure Critical Wounds, Mass")</f>
        <v>Cure Critical Wounds, Mass</v>
      </c>
      <c r="BR112" s="1">
        <v>111</v>
      </c>
      <c r="BS112" s="1" t="s">
        <v>104</v>
      </c>
      <c r="BU112" s="1" t="s">
        <v>949</v>
      </c>
      <c r="BX112" s="1">
        <v>0</v>
      </c>
      <c r="BY112" s="1" t="s">
        <v>104</v>
      </c>
      <c r="BZ112" s="1">
        <v>8</v>
      </c>
      <c r="CA112" s="1" t="s">
        <v>104</v>
      </c>
      <c r="CB112" s="1" t="s">
        <v>104</v>
      </c>
      <c r="CC112" s="1" t="s">
        <v>104</v>
      </c>
      <c r="CD112" s="1" t="s">
        <v>104</v>
      </c>
      <c r="CE112" s="1" t="s">
        <v>104</v>
      </c>
      <c r="CF112" s="1" t="s">
        <v>104</v>
      </c>
      <c r="CG112" s="1" t="s">
        <v>104</v>
      </c>
      <c r="CH112" s="1" t="s">
        <v>104</v>
      </c>
      <c r="CJ112" s="1">
        <v>0</v>
      </c>
      <c r="CK112" s="1">
        <v>0</v>
      </c>
      <c r="CL112" s="1">
        <v>0</v>
      </c>
      <c r="CM112" s="1" t="s">
        <v>104</v>
      </c>
    </row>
    <row r="113" spans="1:91" ht="14.25" customHeight="1" x14ac:dyDescent="0.3">
      <c r="A113" s="1" t="s">
        <v>950</v>
      </c>
      <c r="B113" s="1" t="s">
        <v>92</v>
      </c>
      <c r="C113" s="1" t="s">
        <v>523</v>
      </c>
      <c r="E113" s="1" t="s">
        <v>951</v>
      </c>
      <c r="F113" s="1" t="s">
        <v>95</v>
      </c>
      <c r="G113" s="1" t="s">
        <v>116</v>
      </c>
      <c r="H113" s="1">
        <v>0</v>
      </c>
      <c r="I113" s="1" t="s">
        <v>128</v>
      </c>
      <c r="L113" s="1" t="s">
        <v>374</v>
      </c>
      <c r="M113" s="1" t="s">
        <v>119</v>
      </c>
      <c r="N113" s="1">
        <v>0</v>
      </c>
      <c r="O113" s="1">
        <v>0</v>
      </c>
      <c r="P113" s="1" t="s">
        <v>926</v>
      </c>
      <c r="Q113" s="1" t="s">
        <v>927</v>
      </c>
      <c r="R113" s="1" t="s">
        <v>952</v>
      </c>
      <c r="S113" s="1" t="s">
        <v>103</v>
      </c>
      <c r="T113" s="1">
        <v>1</v>
      </c>
      <c r="U113" s="1">
        <v>1</v>
      </c>
      <c r="V113" s="1">
        <v>0</v>
      </c>
      <c r="W113" s="1">
        <v>0</v>
      </c>
      <c r="X113" s="1">
        <v>0</v>
      </c>
      <c r="Y113" s="1" t="s">
        <v>104</v>
      </c>
      <c r="Z113" s="1" t="s">
        <v>104</v>
      </c>
      <c r="AA113" s="1">
        <v>2</v>
      </c>
      <c r="AB113" s="1">
        <v>3</v>
      </c>
      <c r="AC113" s="1">
        <v>3</v>
      </c>
      <c r="AD113" s="1">
        <v>2</v>
      </c>
      <c r="AE113" s="1">
        <v>3</v>
      </c>
      <c r="AF113" s="1">
        <v>2</v>
      </c>
      <c r="AG113" s="1" t="s">
        <v>104</v>
      </c>
      <c r="AH113" s="1">
        <v>2</v>
      </c>
      <c r="AI113" s="1">
        <v>2</v>
      </c>
      <c r="AJ113" s="1">
        <v>2</v>
      </c>
      <c r="AK113" s="1" t="s">
        <v>104</v>
      </c>
      <c r="AL113" s="1" t="s">
        <v>104</v>
      </c>
      <c r="AM113" s="1">
        <v>2</v>
      </c>
      <c r="AO113" s="1">
        <v>2</v>
      </c>
      <c r="AP113" s="1" t="s">
        <v>953</v>
      </c>
      <c r="AQ113" s="1" t="s">
        <v>954</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2" t="str">
        <f>HYPERLINK("http://www.d20pfsrd.com/magic/all-spells/c/cure-moderate-wounds","Cure Moderate Wounds")</f>
        <v>Cure Moderate Wounds</v>
      </c>
      <c r="BR113" s="1">
        <v>112</v>
      </c>
      <c r="BS113" s="1" t="s">
        <v>104</v>
      </c>
      <c r="BV113" s="1" t="s">
        <v>955</v>
      </c>
      <c r="BX113" s="1">
        <v>1</v>
      </c>
      <c r="BY113" s="1" t="s">
        <v>104</v>
      </c>
      <c r="BZ113" s="1">
        <v>2</v>
      </c>
      <c r="CA113" s="1" t="s">
        <v>104</v>
      </c>
      <c r="CB113" s="1" t="s">
        <v>104</v>
      </c>
      <c r="CC113" s="1" t="s">
        <v>104</v>
      </c>
      <c r="CD113" s="1">
        <v>2</v>
      </c>
      <c r="CE113" s="1">
        <v>2</v>
      </c>
      <c r="CF113" s="1" t="s">
        <v>104</v>
      </c>
      <c r="CG113" s="1" t="s">
        <v>104</v>
      </c>
      <c r="CH113" s="1">
        <v>3</v>
      </c>
      <c r="CJ113" s="1">
        <v>0</v>
      </c>
      <c r="CK113" s="1">
        <v>0</v>
      </c>
      <c r="CL113" s="1">
        <v>0</v>
      </c>
      <c r="CM113" s="1" t="s">
        <v>104</v>
      </c>
    </row>
    <row r="114" spans="1:91" ht="14.25" customHeight="1" x14ac:dyDescent="0.3">
      <c r="A114" s="1" t="s">
        <v>956</v>
      </c>
      <c r="B114" s="1" t="s">
        <v>92</v>
      </c>
      <c r="C114" s="1" t="s">
        <v>523</v>
      </c>
      <c r="E114" s="1" t="s">
        <v>957</v>
      </c>
      <c r="F114" s="1" t="s">
        <v>95</v>
      </c>
      <c r="G114" s="1" t="s">
        <v>116</v>
      </c>
      <c r="H114" s="1">
        <v>0</v>
      </c>
      <c r="I114" s="1" t="s">
        <v>117</v>
      </c>
      <c r="L114" s="1" t="s">
        <v>541</v>
      </c>
      <c r="M114" s="1" t="s">
        <v>119</v>
      </c>
      <c r="N114" s="1">
        <v>0</v>
      </c>
      <c r="O114" s="1">
        <v>0</v>
      </c>
      <c r="P114" s="1" t="s">
        <v>940</v>
      </c>
      <c r="Q114" s="1" t="s">
        <v>941</v>
      </c>
      <c r="R114" s="1" t="s">
        <v>958</v>
      </c>
      <c r="S114" s="1" t="s">
        <v>103</v>
      </c>
      <c r="T114" s="1">
        <v>1</v>
      </c>
      <c r="U114" s="1">
        <v>1</v>
      </c>
      <c r="V114" s="1">
        <v>0</v>
      </c>
      <c r="W114" s="1">
        <v>0</v>
      </c>
      <c r="X114" s="1">
        <v>0</v>
      </c>
      <c r="Y114" s="1" t="s">
        <v>104</v>
      </c>
      <c r="Z114" s="1" t="s">
        <v>104</v>
      </c>
      <c r="AA114" s="1">
        <v>6</v>
      </c>
      <c r="AB114" s="1">
        <v>7</v>
      </c>
      <c r="AC114" s="1" t="s">
        <v>104</v>
      </c>
      <c r="AD114" s="1">
        <v>6</v>
      </c>
      <c r="AE114" s="1" t="s">
        <v>104</v>
      </c>
      <c r="AF114" s="1" t="s">
        <v>104</v>
      </c>
      <c r="AG114" s="1" t="s">
        <v>104</v>
      </c>
      <c r="AH114" s="1">
        <v>7</v>
      </c>
      <c r="AI114" s="1">
        <v>6</v>
      </c>
      <c r="AJ114" s="1">
        <v>6</v>
      </c>
      <c r="AK114" s="1" t="s">
        <v>104</v>
      </c>
      <c r="AL114" s="1" t="s">
        <v>104</v>
      </c>
      <c r="AM114" s="1" t="s">
        <v>104</v>
      </c>
      <c r="AO114" s="1">
        <v>6</v>
      </c>
      <c r="AQ114" s="1" t="s">
        <v>959</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2" t="str">
        <f>HYPERLINK("http://www.d20pfsrd.com/magic/all-spells/c/cure-moderate-wounds","Cure Moderate Wounds, Mass")</f>
        <v>Cure Moderate Wounds, Mass</v>
      </c>
      <c r="BR114" s="1">
        <v>113</v>
      </c>
      <c r="BS114" s="1" t="s">
        <v>104</v>
      </c>
      <c r="BX114" s="1">
        <v>0</v>
      </c>
      <c r="BY114" s="1" t="s">
        <v>104</v>
      </c>
      <c r="BZ114" s="1">
        <v>6</v>
      </c>
      <c r="CA114" s="1" t="s">
        <v>104</v>
      </c>
      <c r="CB114" s="1" t="s">
        <v>104</v>
      </c>
      <c r="CC114" s="1" t="s">
        <v>104</v>
      </c>
      <c r="CD114" s="1">
        <v>6</v>
      </c>
      <c r="CE114" s="1" t="s">
        <v>104</v>
      </c>
      <c r="CF114" s="1" t="s">
        <v>104</v>
      </c>
      <c r="CG114" s="1" t="s">
        <v>104</v>
      </c>
      <c r="CH114" s="1" t="s">
        <v>104</v>
      </c>
      <c r="CJ114" s="1">
        <v>0</v>
      </c>
      <c r="CK114" s="1">
        <v>0</v>
      </c>
      <c r="CL114" s="1">
        <v>0</v>
      </c>
      <c r="CM114" s="1" t="s">
        <v>104</v>
      </c>
    </row>
    <row r="115" spans="1:91" ht="14.25" customHeight="1" x14ac:dyDescent="0.3">
      <c r="A115" s="1" t="s">
        <v>960</v>
      </c>
      <c r="B115" s="1" t="s">
        <v>92</v>
      </c>
      <c r="C115" s="1" t="s">
        <v>523</v>
      </c>
      <c r="E115" s="1" t="s">
        <v>961</v>
      </c>
      <c r="F115" s="1" t="s">
        <v>95</v>
      </c>
      <c r="G115" s="1" t="s">
        <v>116</v>
      </c>
      <c r="H115" s="1">
        <v>0</v>
      </c>
      <c r="I115" s="1" t="s">
        <v>128</v>
      </c>
      <c r="L115" s="1" t="s">
        <v>374</v>
      </c>
      <c r="M115" s="1" t="s">
        <v>119</v>
      </c>
      <c r="N115" s="1">
        <v>0</v>
      </c>
      <c r="O115" s="1">
        <v>0</v>
      </c>
      <c r="P115" s="1" t="s">
        <v>926</v>
      </c>
      <c r="Q115" s="1" t="s">
        <v>927</v>
      </c>
      <c r="R115" s="1" t="s">
        <v>962</v>
      </c>
      <c r="S115" s="1" t="s">
        <v>103</v>
      </c>
      <c r="T115" s="1">
        <v>1</v>
      </c>
      <c r="U115" s="1">
        <v>1</v>
      </c>
      <c r="V115" s="1">
        <v>0</v>
      </c>
      <c r="W115" s="1">
        <v>0</v>
      </c>
      <c r="X115" s="1">
        <v>0</v>
      </c>
      <c r="Y115" s="1" t="s">
        <v>104</v>
      </c>
      <c r="Z115" s="1" t="s">
        <v>104</v>
      </c>
      <c r="AA115" s="1">
        <v>3</v>
      </c>
      <c r="AB115" s="1">
        <v>4</v>
      </c>
      <c r="AC115" s="1">
        <v>4</v>
      </c>
      <c r="AD115" s="1">
        <v>3</v>
      </c>
      <c r="AE115" s="1">
        <v>4</v>
      </c>
      <c r="AF115" s="1">
        <v>3</v>
      </c>
      <c r="AG115" s="1" t="s">
        <v>104</v>
      </c>
      <c r="AH115" s="1">
        <v>4</v>
      </c>
      <c r="AI115" s="1">
        <v>3</v>
      </c>
      <c r="AJ115" s="1">
        <v>3</v>
      </c>
      <c r="AK115" s="1" t="s">
        <v>104</v>
      </c>
      <c r="AL115" s="1" t="s">
        <v>104</v>
      </c>
      <c r="AM115" s="1">
        <v>3</v>
      </c>
      <c r="AO115" s="1">
        <v>3</v>
      </c>
      <c r="AP115" s="1" t="s">
        <v>963</v>
      </c>
      <c r="AQ115" s="1" t="s">
        <v>964</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2" t="str">
        <f>HYPERLINK("http://www.d20pfsrd.com/magic/all-spells/c/cure-serious-wounds","Cure Serious Wounds")</f>
        <v>Cure Serious Wounds</v>
      </c>
      <c r="BR115" s="1">
        <v>114</v>
      </c>
      <c r="BS115" s="1" t="s">
        <v>104</v>
      </c>
      <c r="BV115" s="1" t="s">
        <v>965</v>
      </c>
      <c r="BX115" s="1">
        <v>1</v>
      </c>
      <c r="BY115" s="1" t="s">
        <v>104</v>
      </c>
      <c r="BZ115" s="1">
        <v>3</v>
      </c>
      <c r="CA115" s="1" t="s">
        <v>104</v>
      </c>
      <c r="CB115" s="1" t="s">
        <v>104</v>
      </c>
      <c r="CC115" s="1" t="s">
        <v>104</v>
      </c>
      <c r="CD115" s="1">
        <v>3</v>
      </c>
      <c r="CE115" s="1">
        <v>3</v>
      </c>
      <c r="CF115" s="1" t="s">
        <v>104</v>
      </c>
      <c r="CG115" s="1" t="s">
        <v>104</v>
      </c>
      <c r="CH115" s="1">
        <v>4</v>
      </c>
      <c r="CJ115" s="1">
        <v>0</v>
      </c>
      <c r="CK115" s="1">
        <v>0</v>
      </c>
      <c r="CL115" s="1">
        <v>0</v>
      </c>
      <c r="CM115" s="1" t="s">
        <v>104</v>
      </c>
    </row>
    <row r="116" spans="1:91" ht="14.25" customHeight="1" x14ac:dyDescent="0.3">
      <c r="A116" s="1" t="s">
        <v>966</v>
      </c>
      <c r="B116" s="1" t="s">
        <v>92</v>
      </c>
      <c r="C116" s="1" t="s">
        <v>523</v>
      </c>
      <c r="E116" s="1" t="s">
        <v>967</v>
      </c>
      <c r="F116" s="1" t="s">
        <v>95</v>
      </c>
      <c r="G116" s="1" t="s">
        <v>116</v>
      </c>
      <c r="H116" s="1">
        <v>0</v>
      </c>
      <c r="I116" s="1" t="s">
        <v>117</v>
      </c>
      <c r="L116" s="1" t="s">
        <v>541</v>
      </c>
      <c r="M116" s="1" t="s">
        <v>119</v>
      </c>
      <c r="N116" s="1">
        <v>0</v>
      </c>
      <c r="O116" s="1">
        <v>0</v>
      </c>
      <c r="P116" s="1" t="s">
        <v>940</v>
      </c>
      <c r="Q116" s="1" t="s">
        <v>941</v>
      </c>
      <c r="R116" s="1" t="s">
        <v>968</v>
      </c>
      <c r="S116" s="1" t="s">
        <v>103</v>
      </c>
      <c r="T116" s="1">
        <v>1</v>
      </c>
      <c r="U116" s="1">
        <v>1</v>
      </c>
      <c r="V116" s="1">
        <v>0</v>
      </c>
      <c r="W116" s="1">
        <v>0</v>
      </c>
      <c r="X116" s="1">
        <v>0</v>
      </c>
      <c r="Y116" s="1" t="s">
        <v>104</v>
      </c>
      <c r="Z116" s="1" t="s">
        <v>104</v>
      </c>
      <c r="AA116" s="1">
        <v>7</v>
      </c>
      <c r="AB116" s="1">
        <v>8</v>
      </c>
      <c r="AC116" s="1" t="s">
        <v>104</v>
      </c>
      <c r="AD116" s="1" t="s">
        <v>104</v>
      </c>
      <c r="AE116" s="1" t="s">
        <v>104</v>
      </c>
      <c r="AF116" s="1" t="s">
        <v>104</v>
      </c>
      <c r="AG116" s="1" t="s">
        <v>104</v>
      </c>
      <c r="AH116" s="1">
        <v>8</v>
      </c>
      <c r="AI116" s="1" t="s">
        <v>104</v>
      </c>
      <c r="AJ116" s="1">
        <v>7</v>
      </c>
      <c r="AK116" s="1" t="s">
        <v>104</v>
      </c>
      <c r="AL116" s="1" t="s">
        <v>104</v>
      </c>
      <c r="AM116" s="1" t="s">
        <v>104</v>
      </c>
      <c r="AO116" s="1">
        <v>7</v>
      </c>
      <c r="AQ116" s="1" t="s">
        <v>969</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2" t="str">
        <f>HYPERLINK("http://www.d20pfsrd.com/magic/all-spells/c/cure-serious-wounds","Cure Serious Wounds, Mass")</f>
        <v>Cure Serious Wounds, Mass</v>
      </c>
      <c r="BR116" s="1">
        <v>115</v>
      </c>
      <c r="BS116" s="1" t="s">
        <v>104</v>
      </c>
      <c r="BX116" s="1">
        <v>0</v>
      </c>
      <c r="BY116" s="1" t="s">
        <v>104</v>
      </c>
      <c r="BZ116" s="1">
        <v>7</v>
      </c>
      <c r="CA116" s="1" t="s">
        <v>104</v>
      </c>
      <c r="CB116" s="1" t="s">
        <v>104</v>
      </c>
      <c r="CC116" s="1" t="s">
        <v>104</v>
      </c>
      <c r="CD116" s="1" t="s">
        <v>104</v>
      </c>
      <c r="CE116" s="1" t="s">
        <v>104</v>
      </c>
      <c r="CF116" s="1" t="s">
        <v>104</v>
      </c>
      <c r="CG116" s="1" t="s">
        <v>104</v>
      </c>
      <c r="CH116" s="1" t="s">
        <v>104</v>
      </c>
      <c r="CJ116" s="1">
        <v>0</v>
      </c>
      <c r="CK116" s="1">
        <v>0</v>
      </c>
      <c r="CL116" s="1">
        <v>0</v>
      </c>
      <c r="CM116" s="1" t="s">
        <v>104</v>
      </c>
    </row>
    <row r="117" spans="1:91" ht="14.25" customHeight="1" x14ac:dyDescent="0.3">
      <c r="A117" s="1" t="s">
        <v>970</v>
      </c>
      <c r="B117" s="1" t="s">
        <v>216</v>
      </c>
      <c r="D117" s="1" t="s">
        <v>54</v>
      </c>
      <c r="E117" s="1" t="s">
        <v>971</v>
      </c>
      <c r="F117" s="1" t="s">
        <v>191</v>
      </c>
      <c r="G117" s="1" t="s">
        <v>972</v>
      </c>
      <c r="H117" s="1">
        <v>1</v>
      </c>
      <c r="I117" s="1" t="s">
        <v>128</v>
      </c>
      <c r="L117" s="1" t="s">
        <v>470</v>
      </c>
      <c r="M117" s="1" t="s">
        <v>119</v>
      </c>
      <c r="N117" s="1">
        <v>0</v>
      </c>
      <c r="O117" s="1">
        <v>0</v>
      </c>
      <c r="P117" s="1" t="s">
        <v>471</v>
      </c>
      <c r="Q117" s="1" t="s">
        <v>472</v>
      </c>
      <c r="R117" s="1" t="s">
        <v>973</v>
      </c>
      <c r="S117" s="1" t="s">
        <v>103</v>
      </c>
      <c r="T117" s="1">
        <v>1</v>
      </c>
      <c r="U117" s="1">
        <v>1</v>
      </c>
      <c r="V117" s="1">
        <v>1</v>
      </c>
      <c r="W117" s="1">
        <v>0</v>
      </c>
      <c r="X117" s="1">
        <v>0</v>
      </c>
      <c r="Y117" s="1" t="s">
        <v>104</v>
      </c>
      <c r="Z117" s="1" t="s">
        <v>104</v>
      </c>
      <c r="AA117" s="1">
        <v>1</v>
      </c>
      <c r="AB117" s="1" t="s">
        <v>104</v>
      </c>
      <c r="AC117" s="1" t="s">
        <v>104</v>
      </c>
      <c r="AD117" s="1" t="s">
        <v>104</v>
      </c>
      <c r="AE117" s="1" t="s">
        <v>104</v>
      </c>
      <c r="AF117" s="1" t="s">
        <v>104</v>
      </c>
      <c r="AG117" s="1" t="s">
        <v>104</v>
      </c>
      <c r="AH117" s="1" t="s">
        <v>104</v>
      </c>
      <c r="AI117" s="1">
        <v>1</v>
      </c>
      <c r="AJ117" s="1">
        <v>1</v>
      </c>
      <c r="AK117" s="1">
        <v>1</v>
      </c>
      <c r="AL117" s="1" t="s">
        <v>104</v>
      </c>
      <c r="AM117" s="1" t="s">
        <v>104</v>
      </c>
      <c r="AO117" s="1">
        <v>1</v>
      </c>
      <c r="AQ117" s="1" t="s">
        <v>974</v>
      </c>
      <c r="AR117" s="1">
        <v>0</v>
      </c>
      <c r="AS117" s="1">
        <v>0</v>
      </c>
      <c r="AT117" s="1">
        <v>0</v>
      </c>
      <c r="AU117" s="1">
        <v>0</v>
      </c>
      <c r="AV117" s="1">
        <v>0</v>
      </c>
      <c r="AW117" s="1">
        <v>0</v>
      </c>
      <c r="AX117" s="1">
        <v>0</v>
      </c>
      <c r="AY117" s="1">
        <v>0</v>
      </c>
      <c r="AZ117" s="1">
        <v>0</v>
      </c>
      <c r="BA117" s="1">
        <v>0</v>
      </c>
      <c r="BB117" s="1">
        <v>0</v>
      </c>
      <c r="BC117" s="1">
        <v>1</v>
      </c>
      <c r="BD117" s="1">
        <v>0</v>
      </c>
      <c r="BE117" s="1">
        <v>0</v>
      </c>
      <c r="BF117" s="1">
        <v>0</v>
      </c>
      <c r="BG117" s="1">
        <v>0</v>
      </c>
      <c r="BH117" s="1">
        <v>0</v>
      </c>
      <c r="BI117" s="1">
        <v>0</v>
      </c>
      <c r="BJ117" s="1">
        <v>0</v>
      </c>
      <c r="BK117" s="1">
        <v>0</v>
      </c>
      <c r="BL117" s="1">
        <v>0</v>
      </c>
      <c r="BM117" s="1">
        <v>0</v>
      </c>
      <c r="BN117" s="1">
        <v>0</v>
      </c>
      <c r="BO117" s="1">
        <v>0</v>
      </c>
      <c r="BP117" s="1">
        <v>0</v>
      </c>
      <c r="BQ117" s="2" t="str">
        <f>HYPERLINK("http://www.d20pfsrd.com/magic/all-spells/c/curse-water","Curse Water")</f>
        <v>Curse Water</v>
      </c>
      <c r="BR117" s="1">
        <v>116</v>
      </c>
      <c r="BS117" s="1">
        <v>25</v>
      </c>
      <c r="BU117" s="1" t="s">
        <v>476</v>
      </c>
      <c r="BX117" s="1">
        <v>0</v>
      </c>
      <c r="BY117" s="1" t="s">
        <v>104</v>
      </c>
      <c r="BZ117" s="1" t="s">
        <v>104</v>
      </c>
      <c r="CA117" s="1" t="s">
        <v>104</v>
      </c>
      <c r="CB117" s="1" t="s">
        <v>104</v>
      </c>
      <c r="CC117" s="1" t="s">
        <v>104</v>
      </c>
      <c r="CD117" s="1" t="s">
        <v>104</v>
      </c>
      <c r="CE117" s="1" t="s">
        <v>104</v>
      </c>
      <c r="CF117" s="1" t="s">
        <v>104</v>
      </c>
      <c r="CG117" s="1" t="s">
        <v>104</v>
      </c>
      <c r="CH117" s="1" t="s">
        <v>104</v>
      </c>
      <c r="CJ117" s="1">
        <v>0</v>
      </c>
      <c r="CK117" s="1">
        <v>0</v>
      </c>
      <c r="CL117" s="1">
        <v>0</v>
      </c>
      <c r="CM117" s="1" t="s">
        <v>104</v>
      </c>
    </row>
    <row r="118" spans="1:91" ht="14.25" customHeight="1" x14ac:dyDescent="0.3">
      <c r="A118" s="1" t="s">
        <v>975</v>
      </c>
      <c r="B118" s="1" t="s">
        <v>434</v>
      </c>
      <c r="D118" s="1" t="s">
        <v>61</v>
      </c>
      <c r="E118" s="1" t="s">
        <v>976</v>
      </c>
      <c r="F118" s="1" t="s">
        <v>95</v>
      </c>
      <c r="G118" s="1" t="s">
        <v>116</v>
      </c>
      <c r="H118" s="1">
        <v>0</v>
      </c>
      <c r="I118" s="1" t="s">
        <v>109</v>
      </c>
      <c r="K118" s="1" t="s">
        <v>977</v>
      </c>
      <c r="M118" s="1" t="s">
        <v>191</v>
      </c>
      <c r="N118" s="1">
        <v>1</v>
      </c>
      <c r="O118" s="1">
        <v>0</v>
      </c>
      <c r="P118" s="1" t="s">
        <v>100</v>
      </c>
      <c r="Q118" s="1" t="s">
        <v>101</v>
      </c>
      <c r="R118" s="1" t="s">
        <v>978</v>
      </c>
      <c r="S118" s="1" t="s">
        <v>103</v>
      </c>
      <c r="T118" s="1">
        <v>1</v>
      </c>
      <c r="U118" s="1">
        <v>1</v>
      </c>
      <c r="V118" s="1">
        <v>0</v>
      </c>
      <c r="W118" s="1">
        <v>0</v>
      </c>
      <c r="X118" s="1">
        <v>0</v>
      </c>
      <c r="Y118" s="1">
        <v>0</v>
      </c>
      <c r="Z118" s="1">
        <v>0</v>
      </c>
      <c r="AA118" s="1" t="s">
        <v>104</v>
      </c>
      <c r="AB118" s="1" t="s">
        <v>104</v>
      </c>
      <c r="AC118" s="1" t="s">
        <v>104</v>
      </c>
      <c r="AD118" s="1">
        <v>0</v>
      </c>
      <c r="AE118" s="1" t="s">
        <v>104</v>
      </c>
      <c r="AF118" s="1" t="s">
        <v>104</v>
      </c>
      <c r="AG118" s="1" t="s">
        <v>104</v>
      </c>
      <c r="AH118" s="1">
        <v>0</v>
      </c>
      <c r="AI118" s="1" t="s">
        <v>104</v>
      </c>
      <c r="AJ118" s="1" t="s">
        <v>104</v>
      </c>
      <c r="AK118" s="1" t="s">
        <v>104</v>
      </c>
      <c r="AL118" s="1">
        <v>0</v>
      </c>
      <c r="AM118" s="1" t="s">
        <v>104</v>
      </c>
      <c r="AO118" s="1">
        <v>0</v>
      </c>
      <c r="AQ118" s="1" t="s">
        <v>979</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1</v>
      </c>
      <c r="BK118" s="1">
        <v>0</v>
      </c>
      <c r="BL118" s="1">
        <v>0</v>
      </c>
      <c r="BM118" s="1">
        <v>0</v>
      </c>
      <c r="BN118" s="1">
        <v>0</v>
      </c>
      <c r="BO118" s="1">
        <v>0</v>
      </c>
      <c r="BP118" s="1">
        <v>0</v>
      </c>
      <c r="BQ118" s="2" t="str">
        <f>HYPERLINK("http://www.d20pfsrd.com/magic/all-spells/d/dancing-lights","Dancing Lights")</f>
        <v>Dancing Lights</v>
      </c>
      <c r="BR118" s="1">
        <v>117</v>
      </c>
      <c r="BS118" s="1" t="s">
        <v>104</v>
      </c>
      <c r="BX118" s="1">
        <v>0</v>
      </c>
      <c r="BY118" s="1" t="s">
        <v>104</v>
      </c>
      <c r="BZ118" s="1">
        <v>0</v>
      </c>
      <c r="CA118" s="1">
        <v>0</v>
      </c>
      <c r="CB118" s="1">
        <v>0</v>
      </c>
      <c r="CC118" s="1">
        <v>0</v>
      </c>
      <c r="CD118" s="1">
        <v>0</v>
      </c>
      <c r="CE118" s="1" t="s">
        <v>104</v>
      </c>
      <c r="CF118" s="1" t="s">
        <v>104</v>
      </c>
      <c r="CG118" s="1" t="s">
        <v>104</v>
      </c>
      <c r="CH118" s="1" t="s">
        <v>104</v>
      </c>
      <c r="CJ118" s="1">
        <v>0</v>
      </c>
      <c r="CK118" s="1">
        <v>0</v>
      </c>
      <c r="CL118" s="1">
        <v>0</v>
      </c>
      <c r="CM118" s="1" t="s">
        <v>104</v>
      </c>
    </row>
    <row r="119" spans="1:91" ht="14.25" customHeight="1" x14ac:dyDescent="0.3">
      <c r="A119" s="1" t="s">
        <v>980</v>
      </c>
      <c r="B119" s="1" t="s">
        <v>434</v>
      </c>
      <c r="D119" s="1" t="s">
        <v>48</v>
      </c>
      <c r="E119" s="1" t="s">
        <v>981</v>
      </c>
      <c r="F119" s="1" t="s">
        <v>95</v>
      </c>
      <c r="G119" s="1" t="s">
        <v>982</v>
      </c>
      <c r="H119" s="1">
        <v>0</v>
      </c>
      <c r="I119" s="1" t="s">
        <v>128</v>
      </c>
      <c r="L119" s="1" t="s">
        <v>983</v>
      </c>
      <c r="M119" s="1" t="s">
        <v>437</v>
      </c>
      <c r="N119" s="1">
        <v>1</v>
      </c>
      <c r="O119" s="1">
        <v>0</v>
      </c>
      <c r="P119" s="1" t="s">
        <v>100</v>
      </c>
      <c r="Q119" s="1" t="s">
        <v>101</v>
      </c>
      <c r="R119" s="1" t="s">
        <v>984</v>
      </c>
      <c r="S119" s="1" t="s">
        <v>103</v>
      </c>
      <c r="T119" s="1">
        <v>1</v>
      </c>
      <c r="U119" s="1">
        <v>0</v>
      </c>
      <c r="V119" s="1">
        <v>1</v>
      </c>
      <c r="W119" s="1">
        <v>0</v>
      </c>
      <c r="X119" s="1">
        <v>1</v>
      </c>
      <c r="Y119" s="1">
        <v>2</v>
      </c>
      <c r="Z119" s="1">
        <v>2</v>
      </c>
      <c r="AA119" s="1">
        <v>2</v>
      </c>
      <c r="AB119" s="1" t="s">
        <v>104</v>
      </c>
      <c r="AC119" s="1" t="s">
        <v>104</v>
      </c>
      <c r="AD119" s="1">
        <v>2</v>
      </c>
      <c r="AE119" s="1" t="s">
        <v>104</v>
      </c>
      <c r="AF119" s="1" t="s">
        <v>104</v>
      </c>
      <c r="AG119" s="1" t="s">
        <v>104</v>
      </c>
      <c r="AH119" s="1" t="s">
        <v>104</v>
      </c>
      <c r="AI119" s="1">
        <v>2</v>
      </c>
      <c r="AJ119" s="1">
        <v>2</v>
      </c>
      <c r="AK119" s="1">
        <v>2</v>
      </c>
      <c r="AL119" s="1">
        <v>2</v>
      </c>
      <c r="AM119" s="1">
        <v>2</v>
      </c>
      <c r="AO119" s="1">
        <v>2</v>
      </c>
      <c r="AQ119" s="1" t="s">
        <v>985</v>
      </c>
      <c r="AR119" s="1">
        <v>0</v>
      </c>
      <c r="AS119" s="1">
        <v>0</v>
      </c>
      <c r="AT119" s="1">
        <v>0</v>
      </c>
      <c r="AU119" s="1">
        <v>0</v>
      </c>
      <c r="AV119" s="1">
        <v>0</v>
      </c>
      <c r="AW119" s="1">
        <v>1</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2" t="str">
        <f>HYPERLINK("http://www.d20pfsrd.com/magic/all-spells/d/darkness","Darkness")</f>
        <v>Darkness</v>
      </c>
      <c r="BR119" s="1">
        <v>118</v>
      </c>
      <c r="BS119" s="1" t="s">
        <v>104</v>
      </c>
      <c r="BU119" s="1" t="s">
        <v>986</v>
      </c>
      <c r="BV119" s="1" t="s">
        <v>987</v>
      </c>
      <c r="BX119" s="1">
        <v>1</v>
      </c>
      <c r="BY119" s="1" t="s">
        <v>104</v>
      </c>
      <c r="BZ119" s="1">
        <v>2</v>
      </c>
      <c r="CA119" s="1" t="s">
        <v>104</v>
      </c>
      <c r="CB119" s="1" t="s">
        <v>104</v>
      </c>
      <c r="CC119" s="1" t="s">
        <v>104</v>
      </c>
      <c r="CD119" s="1">
        <v>2</v>
      </c>
      <c r="CE119" s="1" t="s">
        <v>104</v>
      </c>
      <c r="CF119" s="1" t="s">
        <v>104</v>
      </c>
      <c r="CG119" s="1" t="s">
        <v>104</v>
      </c>
      <c r="CH119" s="1" t="s">
        <v>104</v>
      </c>
      <c r="CJ119" s="1">
        <v>0</v>
      </c>
      <c r="CK119" s="1">
        <v>0</v>
      </c>
      <c r="CL119" s="1">
        <v>0</v>
      </c>
      <c r="CM119" s="1" t="s">
        <v>104</v>
      </c>
    </row>
    <row r="120" spans="1:91" ht="14.25" customHeight="1" x14ac:dyDescent="0.3">
      <c r="A120" s="1" t="s">
        <v>988</v>
      </c>
      <c r="B120" s="1" t="s">
        <v>137</v>
      </c>
      <c r="E120" s="1" t="s">
        <v>989</v>
      </c>
      <c r="F120" s="1" t="s">
        <v>95</v>
      </c>
      <c r="G120" s="1" t="s">
        <v>990</v>
      </c>
      <c r="H120" s="1">
        <v>0</v>
      </c>
      <c r="I120" s="1" t="s">
        <v>128</v>
      </c>
      <c r="L120" s="1" t="s">
        <v>374</v>
      </c>
      <c r="M120" s="1" t="s">
        <v>201</v>
      </c>
      <c r="N120" s="1">
        <v>0</v>
      </c>
      <c r="O120" s="1">
        <v>0</v>
      </c>
      <c r="P120" s="1" t="s">
        <v>375</v>
      </c>
      <c r="Q120" s="1" t="s">
        <v>131</v>
      </c>
      <c r="R120" s="1" t="s">
        <v>991</v>
      </c>
      <c r="S120" s="1" t="s">
        <v>103</v>
      </c>
      <c r="T120" s="1">
        <v>1</v>
      </c>
      <c r="U120" s="1">
        <v>1</v>
      </c>
      <c r="V120" s="1">
        <v>1</v>
      </c>
      <c r="W120" s="1">
        <v>0</v>
      </c>
      <c r="X120" s="1">
        <v>0</v>
      </c>
      <c r="Y120" s="1">
        <v>2</v>
      </c>
      <c r="Z120" s="1">
        <v>2</v>
      </c>
      <c r="AA120" s="1" t="s">
        <v>104</v>
      </c>
      <c r="AB120" s="1" t="s">
        <v>104</v>
      </c>
      <c r="AC120" s="1">
        <v>3</v>
      </c>
      <c r="AD120" s="1" t="s">
        <v>104</v>
      </c>
      <c r="AE120" s="1" t="s">
        <v>104</v>
      </c>
      <c r="AF120" s="1">
        <v>2</v>
      </c>
      <c r="AG120" s="1" t="s">
        <v>104</v>
      </c>
      <c r="AH120" s="1" t="s">
        <v>104</v>
      </c>
      <c r="AI120" s="1" t="s">
        <v>104</v>
      </c>
      <c r="AJ120" s="1" t="s">
        <v>104</v>
      </c>
      <c r="AK120" s="1">
        <v>2</v>
      </c>
      <c r="AL120" s="1" t="s">
        <v>104</v>
      </c>
      <c r="AM120" s="1" t="s">
        <v>104</v>
      </c>
      <c r="AO120" s="1">
        <v>2</v>
      </c>
      <c r="AP120" s="1" t="s">
        <v>992</v>
      </c>
      <c r="AQ120" s="1" t="s">
        <v>993</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2" t="str">
        <f>HYPERLINK("http://www.d20pfsrd.com/magic/all-spells/d/darkvision","Darkvision")</f>
        <v>Darkvision</v>
      </c>
      <c r="BR120" s="1">
        <v>119</v>
      </c>
      <c r="BS120" s="1" t="s">
        <v>104</v>
      </c>
      <c r="BT120" s="1" t="s">
        <v>994</v>
      </c>
      <c r="BU120" s="1" t="s">
        <v>995</v>
      </c>
      <c r="BX120" s="1">
        <v>0</v>
      </c>
      <c r="BY120" s="1" t="s">
        <v>104</v>
      </c>
      <c r="BZ120" s="1" t="s">
        <v>104</v>
      </c>
      <c r="CA120" s="1">
        <v>2</v>
      </c>
      <c r="CB120" s="1">
        <v>2</v>
      </c>
      <c r="CC120" s="1" t="s">
        <v>104</v>
      </c>
      <c r="CD120" s="1">
        <v>2</v>
      </c>
      <c r="CE120" s="1" t="s">
        <v>104</v>
      </c>
      <c r="CF120" s="1" t="s">
        <v>104</v>
      </c>
      <c r="CG120" s="1" t="s">
        <v>104</v>
      </c>
      <c r="CH120" s="1">
        <v>3</v>
      </c>
      <c r="CJ120" s="1">
        <v>0</v>
      </c>
      <c r="CK120" s="1">
        <v>0</v>
      </c>
      <c r="CL120" s="1">
        <v>0</v>
      </c>
      <c r="CM120" s="1" t="s">
        <v>104</v>
      </c>
    </row>
    <row r="121" spans="1:91" ht="14.25" customHeight="1" x14ac:dyDescent="0.3">
      <c r="A121" s="1" t="s">
        <v>996</v>
      </c>
      <c r="B121" s="1" t="s">
        <v>434</v>
      </c>
      <c r="D121" s="1" t="s">
        <v>61</v>
      </c>
      <c r="E121" s="1" t="s">
        <v>997</v>
      </c>
      <c r="F121" s="1" t="s">
        <v>95</v>
      </c>
      <c r="G121" s="1" t="s">
        <v>116</v>
      </c>
      <c r="H121" s="1">
        <v>0</v>
      </c>
      <c r="I121" s="1" t="s">
        <v>128</v>
      </c>
      <c r="L121" s="1" t="s">
        <v>983</v>
      </c>
      <c r="M121" s="1" t="s">
        <v>265</v>
      </c>
      <c r="N121" s="1">
        <v>1</v>
      </c>
      <c r="O121" s="1">
        <v>0</v>
      </c>
      <c r="P121" s="1" t="s">
        <v>100</v>
      </c>
      <c r="Q121" s="1" t="s">
        <v>101</v>
      </c>
      <c r="R121" s="1" t="s">
        <v>998</v>
      </c>
      <c r="S121" s="1" t="s">
        <v>103</v>
      </c>
      <c r="T121" s="1">
        <v>1</v>
      </c>
      <c r="U121" s="1">
        <v>1</v>
      </c>
      <c r="V121" s="1">
        <v>0</v>
      </c>
      <c r="W121" s="1">
        <v>0</v>
      </c>
      <c r="X121" s="1">
        <v>0</v>
      </c>
      <c r="Y121" s="1">
        <v>3</v>
      </c>
      <c r="Z121" s="1">
        <v>3</v>
      </c>
      <c r="AA121" s="1">
        <v>3</v>
      </c>
      <c r="AB121" s="1">
        <v>3</v>
      </c>
      <c r="AC121" s="1" t="s">
        <v>104</v>
      </c>
      <c r="AD121" s="1">
        <v>3</v>
      </c>
      <c r="AE121" s="1">
        <v>3</v>
      </c>
      <c r="AF121" s="1" t="s">
        <v>104</v>
      </c>
      <c r="AG121" s="1" t="s">
        <v>104</v>
      </c>
      <c r="AH121" s="1" t="s">
        <v>104</v>
      </c>
      <c r="AI121" s="1">
        <v>3</v>
      </c>
      <c r="AJ121" s="1">
        <v>3</v>
      </c>
      <c r="AK121" s="1" t="s">
        <v>104</v>
      </c>
      <c r="AL121" s="1">
        <v>3</v>
      </c>
      <c r="AM121" s="1">
        <v>3</v>
      </c>
      <c r="AO121" s="1">
        <v>3</v>
      </c>
      <c r="AP121" s="1" t="s">
        <v>999</v>
      </c>
      <c r="AQ121" s="1" t="s">
        <v>1000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1</v>
      </c>
      <c r="BK121" s="1">
        <v>0</v>
      </c>
      <c r="BL121" s="1">
        <v>0</v>
      </c>
      <c r="BM121" s="1">
        <v>0</v>
      </c>
      <c r="BN121" s="1">
        <v>0</v>
      </c>
      <c r="BO121" s="1">
        <v>0</v>
      </c>
      <c r="BP121" s="1">
        <v>0</v>
      </c>
      <c r="BQ121" s="2" t="str">
        <f>HYPERLINK("http://www.d20pfsrd.com/magic/all-spells/d/daylight","Daylight")</f>
        <v>Daylight</v>
      </c>
      <c r="BR121" s="1">
        <v>120</v>
      </c>
      <c r="BS121" s="1" t="s">
        <v>104</v>
      </c>
      <c r="BU121" s="1" t="s">
        <v>1001</v>
      </c>
      <c r="BV121" s="1" t="s">
        <v>1002</v>
      </c>
      <c r="BX121" s="1">
        <v>1</v>
      </c>
      <c r="BY121" s="1" t="s">
        <v>104</v>
      </c>
      <c r="BZ121" s="1">
        <v>3</v>
      </c>
      <c r="CA121" s="1" t="s">
        <v>104</v>
      </c>
      <c r="CB121" s="1" t="s">
        <v>104</v>
      </c>
      <c r="CC121" s="1" t="s">
        <v>104</v>
      </c>
      <c r="CD121" s="1">
        <v>3</v>
      </c>
      <c r="CE121" s="1" t="s">
        <v>104</v>
      </c>
      <c r="CF121" s="1" t="s">
        <v>104</v>
      </c>
      <c r="CG121" s="1" t="s">
        <v>104</v>
      </c>
      <c r="CH121" s="1">
        <v>3</v>
      </c>
      <c r="CJ121" s="1">
        <v>0</v>
      </c>
      <c r="CK121" s="1">
        <v>0</v>
      </c>
      <c r="CL121" s="1">
        <v>0</v>
      </c>
      <c r="CM121" s="1" t="s">
        <v>104</v>
      </c>
    </row>
    <row r="122" spans="1:91" ht="14.25" customHeight="1" x14ac:dyDescent="0.3">
      <c r="A122" s="1" t="s">
        <v>1003</v>
      </c>
      <c r="B122" s="1" t="s">
        <v>123</v>
      </c>
      <c r="C122" s="1" t="s">
        <v>124</v>
      </c>
      <c r="D122" s="1" t="s">
        <v>125</v>
      </c>
      <c r="E122" s="1" t="s">
        <v>1004</v>
      </c>
      <c r="F122" s="1" t="s">
        <v>95</v>
      </c>
      <c r="G122" s="1" t="s">
        <v>1005</v>
      </c>
      <c r="H122" s="1">
        <v>0</v>
      </c>
      <c r="I122" s="1" t="s">
        <v>117</v>
      </c>
      <c r="L122" s="1" t="s">
        <v>1006</v>
      </c>
      <c r="M122" s="1" t="s">
        <v>255</v>
      </c>
      <c r="N122" s="1">
        <v>0</v>
      </c>
      <c r="O122" s="1">
        <v>0</v>
      </c>
      <c r="P122" s="1" t="s">
        <v>211</v>
      </c>
      <c r="Q122" s="1" t="s">
        <v>184</v>
      </c>
      <c r="R122" s="1" t="s">
        <v>1007</v>
      </c>
      <c r="S122" s="1" t="s">
        <v>103</v>
      </c>
      <c r="T122" s="1">
        <v>1</v>
      </c>
      <c r="U122" s="1">
        <v>1</v>
      </c>
      <c r="V122" s="1">
        <v>1</v>
      </c>
      <c r="W122" s="1">
        <v>0</v>
      </c>
      <c r="X122" s="1">
        <v>0</v>
      </c>
      <c r="Y122" s="1">
        <v>0</v>
      </c>
      <c r="Z122" s="1">
        <v>0</v>
      </c>
      <c r="AA122" s="1" t="s">
        <v>104</v>
      </c>
      <c r="AB122" s="1" t="s">
        <v>104</v>
      </c>
      <c r="AC122" s="1" t="s">
        <v>104</v>
      </c>
      <c r="AD122" s="1">
        <v>0</v>
      </c>
      <c r="AE122" s="1" t="s">
        <v>104</v>
      </c>
      <c r="AF122" s="1" t="s">
        <v>104</v>
      </c>
      <c r="AG122" s="1">
        <v>0</v>
      </c>
      <c r="AH122" s="1">
        <v>0</v>
      </c>
      <c r="AI122" s="1">
        <v>0</v>
      </c>
      <c r="AJ122" s="1" t="s">
        <v>104</v>
      </c>
      <c r="AK122" s="1" t="s">
        <v>104</v>
      </c>
      <c r="AL122" s="1">
        <v>0</v>
      </c>
      <c r="AM122" s="1" t="s">
        <v>104</v>
      </c>
      <c r="AO122" s="1">
        <v>0</v>
      </c>
      <c r="AQ122" s="1" t="s">
        <v>1008</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1</v>
      </c>
      <c r="BL122" s="1">
        <v>0</v>
      </c>
      <c r="BM122" s="1">
        <v>0</v>
      </c>
      <c r="BN122" s="1">
        <v>0</v>
      </c>
      <c r="BO122" s="1">
        <v>0</v>
      </c>
      <c r="BP122" s="1">
        <v>0</v>
      </c>
      <c r="BQ122" s="2" t="str">
        <f>HYPERLINK("http://www.d20pfsrd.com/magic/all-spells/d/daze","Daze")</f>
        <v>Daze</v>
      </c>
      <c r="BR122" s="1">
        <v>121</v>
      </c>
      <c r="BS122" s="1" t="s">
        <v>104</v>
      </c>
      <c r="BX122" s="1">
        <v>0</v>
      </c>
      <c r="BY122" s="1" t="s">
        <v>104</v>
      </c>
      <c r="BZ122" s="1">
        <v>0</v>
      </c>
      <c r="CA122" s="1">
        <v>0</v>
      </c>
      <c r="CB122" s="1">
        <v>0</v>
      </c>
      <c r="CC122" s="1">
        <v>0</v>
      </c>
      <c r="CD122" s="1">
        <v>0</v>
      </c>
      <c r="CE122" s="1">
        <v>0</v>
      </c>
      <c r="CF122" s="1" t="s">
        <v>104</v>
      </c>
      <c r="CG122" s="1" t="s">
        <v>104</v>
      </c>
      <c r="CH122" s="1" t="s">
        <v>104</v>
      </c>
      <c r="CJ122" s="1">
        <v>0</v>
      </c>
      <c r="CK122" s="1">
        <v>0</v>
      </c>
      <c r="CL122" s="1">
        <v>0</v>
      </c>
      <c r="CM122" s="1">
        <v>0</v>
      </c>
    </row>
    <row r="123" spans="1:91" ht="14.25" customHeight="1" x14ac:dyDescent="0.3">
      <c r="A123" s="1" t="s">
        <v>1009</v>
      </c>
      <c r="B123" s="1" t="s">
        <v>123</v>
      </c>
      <c r="C123" s="1" t="s">
        <v>124</v>
      </c>
      <c r="D123" s="1" t="s">
        <v>125</v>
      </c>
      <c r="E123" s="1" t="s">
        <v>1010</v>
      </c>
      <c r="F123" s="1" t="s">
        <v>95</v>
      </c>
      <c r="G123" s="1" t="s">
        <v>1005</v>
      </c>
      <c r="H123" s="1">
        <v>0</v>
      </c>
      <c r="I123" s="1" t="s">
        <v>109</v>
      </c>
      <c r="L123" s="1" t="s">
        <v>1011</v>
      </c>
      <c r="M123" s="1" t="s">
        <v>255</v>
      </c>
      <c r="N123" s="1">
        <v>0</v>
      </c>
      <c r="O123" s="1">
        <v>0</v>
      </c>
      <c r="P123" s="1" t="s">
        <v>211</v>
      </c>
      <c r="Q123" s="1" t="s">
        <v>184</v>
      </c>
      <c r="R123" s="1" t="s">
        <v>1012</v>
      </c>
      <c r="S123" s="1" t="s">
        <v>103</v>
      </c>
      <c r="T123" s="1">
        <v>1</v>
      </c>
      <c r="U123" s="1">
        <v>1</v>
      </c>
      <c r="V123" s="1">
        <v>1</v>
      </c>
      <c r="W123" s="1">
        <v>0</v>
      </c>
      <c r="X123" s="1">
        <v>0</v>
      </c>
      <c r="Y123" s="1">
        <v>2</v>
      </c>
      <c r="Z123" s="1">
        <v>2</v>
      </c>
      <c r="AA123" s="1" t="s">
        <v>104</v>
      </c>
      <c r="AB123" s="1" t="s">
        <v>104</v>
      </c>
      <c r="AC123" s="1" t="s">
        <v>104</v>
      </c>
      <c r="AD123" s="1">
        <v>2</v>
      </c>
      <c r="AE123" s="1" t="s">
        <v>104</v>
      </c>
      <c r="AF123" s="1" t="s">
        <v>104</v>
      </c>
      <c r="AG123" s="1">
        <v>1</v>
      </c>
      <c r="AH123" s="1">
        <v>2</v>
      </c>
      <c r="AI123" s="1" t="s">
        <v>104</v>
      </c>
      <c r="AJ123" s="1" t="s">
        <v>104</v>
      </c>
      <c r="AK123" s="1" t="s">
        <v>104</v>
      </c>
      <c r="AL123" s="1" t="s">
        <v>104</v>
      </c>
      <c r="AM123" s="1" t="s">
        <v>104</v>
      </c>
      <c r="AO123" s="1">
        <v>2</v>
      </c>
      <c r="AQ123" s="1" t="s">
        <v>1013</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1</v>
      </c>
      <c r="BL123" s="1">
        <v>0</v>
      </c>
      <c r="BM123" s="1">
        <v>0</v>
      </c>
      <c r="BN123" s="1">
        <v>0</v>
      </c>
      <c r="BO123" s="1">
        <v>0</v>
      </c>
      <c r="BP123" s="1">
        <v>0</v>
      </c>
      <c r="BQ123" s="2" t="str">
        <f>HYPERLINK("http://www.d20pfsrd.com/magic/all-spells/d/daze-monster","Daze Monster")</f>
        <v>Daze Monster</v>
      </c>
      <c r="BR123" s="1">
        <v>122</v>
      </c>
      <c r="BS123" s="1" t="s">
        <v>104</v>
      </c>
      <c r="BX123" s="1">
        <v>0</v>
      </c>
      <c r="BY123" s="1">
        <v>2</v>
      </c>
      <c r="BZ123" s="1" t="s">
        <v>104</v>
      </c>
      <c r="CA123" s="1">
        <v>2</v>
      </c>
      <c r="CB123" s="1">
        <v>2</v>
      </c>
      <c r="CC123" s="1">
        <v>2</v>
      </c>
      <c r="CD123" s="1">
        <v>2</v>
      </c>
      <c r="CE123" s="1" t="s">
        <v>104</v>
      </c>
      <c r="CF123" s="1" t="s">
        <v>104</v>
      </c>
      <c r="CG123" s="1" t="s">
        <v>104</v>
      </c>
      <c r="CH123" s="1" t="s">
        <v>104</v>
      </c>
      <c r="CJ123" s="1">
        <v>0</v>
      </c>
      <c r="CK123" s="1">
        <v>0</v>
      </c>
      <c r="CL123" s="1">
        <v>0</v>
      </c>
      <c r="CM123" s="1">
        <v>1</v>
      </c>
    </row>
    <row r="124" spans="1:91" ht="14.25" customHeight="1" x14ac:dyDescent="0.3">
      <c r="A124" s="1" t="s">
        <v>1014</v>
      </c>
      <c r="B124" s="1" t="s">
        <v>216</v>
      </c>
      <c r="D124" s="1" t="s">
        <v>1015</v>
      </c>
      <c r="E124" s="1" t="s">
        <v>1016</v>
      </c>
      <c r="F124" s="1" t="s">
        <v>95</v>
      </c>
      <c r="G124" s="1" t="s">
        <v>116</v>
      </c>
      <c r="H124" s="1">
        <v>0</v>
      </c>
      <c r="I124" s="1" t="s">
        <v>128</v>
      </c>
      <c r="L124" s="1" t="s">
        <v>129</v>
      </c>
      <c r="M124" s="1" t="s">
        <v>1017</v>
      </c>
      <c r="N124" s="1">
        <v>0</v>
      </c>
      <c r="O124" s="1">
        <v>0</v>
      </c>
      <c r="P124" s="1" t="s">
        <v>211</v>
      </c>
      <c r="Q124" s="1" t="s">
        <v>184</v>
      </c>
      <c r="R124" s="1" t="s">
        <v>1018</v>
      </c>
      <c r="S124" s="1" t="s">
        <v>103</v>
      </c>
      <c r="T124" s="1">
        <v>1</v>
      </c>
      <c r="U124" s="1">
        <v>1</v>
      </c>
      <c r="V124" s="1">
        <v>0</v>
      </c>
      <c r="W124" s="1">
        <v>0</v>
      </c>
      <c r="X124" s="1">
        <v>0</v>
      </c>
      <c r="Y124" s="1" t="s">
        <v>104</v>
      </c>
      <c r="Z124" s="1" t="s">
        <v>104</v>
      </c>
      <c r="AA124" s="1">
        <v>2</v>
      </c>
      <c r="AB124" s="1" t="s">
        <v>104</v>
      </c>
      <c r="AC124" s="1" t="s">
        <v>104</v>
      </c>
      <c r="AD124" s="1" t="s">
        <v>104</v>
      </c>
      <c r="AE124" s="1" t="s">
        <v>104</v>
      </c>
      <c r="AF124" s="1" t="s">
        <v>104</v>
      </c>
      <c r="AG124" s="1" t="s">
        <v>104</v>
      </c>
      <c r="AH124" s="1">
        <v>2</v>
      </c>
      <c r="AI124" s="1">
        <v>2</v>
      </c>
      <c r="AJ124" s="1">
        <v>2</v>
      </c>
      <c r="AK124" s="1">
        <v>1</v>
      </c>
      <c r="AL124" s="1" t="s">
        <v>104</v>
      </c>
      <c r="AM124" s="1" t="s">
        <v>104</v>
      </c>
      <c r="AO124" s="1">
        <v>2</v>
      </c>
      <c r="AP124" s="1" t="s">
        <v>1019</v>
      </c>
      <c r="AQ124" s="1" t="s">
        <v>1020</v>
      </c>
      <c r="AR124" s="1">
        <v>0</v>
      </c>
      <c r="AS124" s="1">
        <v>0</v>
      </c>
      <c r="AT124" s="1">
        <v>0</v>
      </c>
      <c r="AU124" s="1">
        <v>0</v>
      </c>
      <c r="AV124" s="1">
        <v>0</v>
      </c>
      <c r="AW124" s="1">
        <v>0</v>
      </c>
      <c r="AX124" s="1">
        <v>1</v>
      </c>
      <c r="AY124" s="1">
        <v>0</v>
      </c>
      <c r="AZ124" s="1">
        <v>0</v>
      </c>
      <c r="BA124" s="1">
        <v>0</v>
      </c>
      <c r="BB124" s="1">
        <v>0</v>
      </c>
      <c r="BC124" s="1">
        <v>1</v>
      </c>
      <c r="BD124" s="1">
        <v>0</v>
      </c>
      <c r="BE124" s="1">
        <v>0</v>
      </c>
      <c r="BF124" s="1">
        <v>0</v>
      </c>
      <c r="BG124" s="1">
        <v>0</v>
      </c>
      <c r="BH124" s="1">
        <v>0</v>
      </c>
      <c r="BI124" s="1">
        <v>0</v>
      </c>
      <c r="BJ124" s="1">
        <v>0</v>
      </c>
      <c r="BK124" s="1">
        <v>0</v>
      </c>
      <c r="BL124" s="1">
        <v>0</v>
      </c>
      <c r="BM124" s="1">
        <v>0</v>
      </c>
      <c r="BN124" s="1">
        <v>0</v>
      </c>
      <c r="BO124" s="1">
        <v>0</v>
      </c>
      <c r="BP124" s="1">
        <v>0</v>
      </c>
      <c r="BQ124" s="2" t="str">
        <f>HYPERLINK("http://www.d20pfsrd.com/magic/all-spells/d/death-knell","Death Knell")</f>
        <v>Death Knell</v>
      </c>
      <c r="BR124" s="1">
        <v>123</v>
      </c>
      <c r="BS124" s="1" t="s">
        <v>104</v>
      </c>
      <c r="BV124" s="1" t="s">
        <v>1021</v>
      </c>
      <c r="BW124" s="1" t="s">
        <v>1022</v>
      </c>
      <c r="BX124" s="1">
        <v>1</v>
      </c>
      <c r="BY124" s="1" t="s">
        <v>104</v>
      </c>
      <c r="BZ124" s="1" t="s">
        <v>104</v>
      </c>
      <c r="CA124" s="1" t="s">
        <v>104</v>
      </c>
      <c r="CB124" s="1" t="s">
        <v>104</v>
      </c>
      <c r="CC124" s="1" t="s">
        <v>104</v>
      </c>
      <c r="CD124" s="1" t="s">
        <v>104</v>
      </c>
      <c r="CE124" s="1">
        <v>2</v>
      </c>
      <c r="CF124" s="1" t="s">
        <v>104</v>
      </c>
      <c r="CG124" s="1" t="s">
        <v>104</v>
      </c>
      <c r="CH124" s="1" t="s">
        <v>104</v>
      </c>
      <c r="CJ124" s="1">
        <v>0</v>
      </c>
      <c r="CK124" s="1">
        <v>0</v>
      </c>
      <c r="CL124" s="1">
        <v>0</v>
      </c>
      <c r="CM124" s="1" t="s">
        <v>104</v>
      </c>
    </row>
    <row r="125" spans="1:91" ht="14.25" customHeight="1" x14ac:dyDescent="0.3">
      <c r="A125" s="1" t="s">
        <v>1023</v>
      </c>
      <c r="B125" s="1" t="s">
        <v>216</v>
      </c>
      <c r="E125" s="1" t="s">
        <v>1024</v>
      </c>
      <c r="F125" s="1" t="s">
        <v>95</v>
      </c>
      <c r="G125" s="1" t="s">
        <v>127</v>
      </c>
      <c r="H125" s="1">
        <v>0</v>
      </c>
      <c r="I125" s="1" t="s">
        <v>128</v>
      </c>
      <c r="L125" s="1" t="s">
        <v>129</v>
      </c>
      <c r="M125" s="1" t="s">
        <v>130</v>
      </c>
      <c r="N125" s="1">
        <v>0</v>
      </c>
      <c r="O125" s="1">
        <v>0</v>
      </c>
      <c r="P125" s="1" t="s">
        <v>375</v>
      </c>
      <c r="Q125" s="1" t="s">
        <v>131</v>
      </c>
      <c r="R125" s="1" t="s">
        <v>1025</v>
      </c>
      <c r="S125" s="1" t="s">
        <v>103</v>
      </c>
      <c r="T125" s="1">
        <v>1</v>
      </c>
      <c r="U125" s="1">
        <v>1</v>
      </c>
      <c r="V125" s="1">
        <v>0</v>
      </c>
      <c r="W125" s="1">
        <v>0</v>
      </c>
      <c r="X125" s="1">
        <v>1</v>
      </c>
      <c r="Y125" s="1" t="s">
        <v>104</v>
      </c>
      <c r="Z125" s="1" t="s">
        <v>104</v>
      </c>
      <c r="AA125" s="1">
        <v>4</v>
      </c>
      <c r="AB125" s="1">
        <v>5</v>
      </c>
      <c r="AC125" s="1" t="s">
        <v>104</v>
      </c>
      <c r="AD125" s="1" t="s">
        <v>104</v>
      </c>
      <c r="AE125" s="1">
        <v>4</v>
      </c>
      <c r="AF125" s="1">
        <v>4</v>
      </c>
      <c r="AG125" s="1" t="s">
        <v>104</v>
      </c>
      <c r="AH125" s="1">
        <v>4</v>
      </c>
      <c r="AI125" s="1">
        <v>4</v>
      </c>
      <c r="AJ125" s="1">
        <v>4</v>
      </c>
      <c r="AK125" s="1" t="s">
        <v>104</v>
      </c>
      <c r="AL125" s="1" t="s">
        <v>104</v>
      </c>
      <c r="AM125" s="1" t="s">
        <v>104</v>
      </c>
      <c r="AO125" s="1">
        <v>4</v>
      </c>
      <c r="AP125" s="1" t="s">
        <v>1026</v>
      </c>
      <c r="AQ125" s="1" t="s">
        <v>1027</v>
      </c>
      <c r="AR125" s="1">
        <v>0</v>
      </c>
      <c r="AS125" s="1">
        <v>0</v>
      </c>
      <c r="AT125" s="1">
        <v>0</v>
      </c>
      <c r="AU125" s="1">
        <v>0</v>
      </c>
      <c r="AV125" s="1">
        <v>0</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2" t="str">
        <f>HYPERLINK("http://www.d20pfsrd.com/magic/all-spells/d/death-ward","Death Ward")</f>
        <v>Death Ward</v>
      </c>
      <c r="BR125" s="1">
        <v>124</v>
      </c>
      <c r="BS125" s="1" t="s">
        <v>104</v>
      </c>
      <c r="BX125" s="1">
        <v>0</v>
      </c>
      <c r="BY125" s="1" t="s">
        <v>104</v>
      </c>
      <c r="BZ125" s="1" t="s">
        <v>104</v>
      </c>
      <c r="CA125" s="1" t="s">
        <v>104</v>
      </c>
      <c r="CB125" s="1">
        <v>4</v>
      </c>
      <c r="CC125" s="1" t="s">
        <v>104</v>
      </c>
      <c r="CD125" s="1">
        <v>4</v>
      </c>
      <c r="CE125" s="1">
        <v>4</v>
      </c>
      <c r="CF125" s="1" t="s">
        <v>104</v>
      </c>
      <c r="CG125" s="1" t="s">
        <v>104</v>
      </c>
      <c r="CH125" s="1">
        <v>5</v>
      </c>
      <c r="CJ125" s="1">
        <v>0</v>
      </c>
      <c r="CK125" s="1">
        <v>0</v>
      </c>
      <c r="CL125" s="1">
        <v>0</v>
      </c>
      <c r="CM125" s="1" t="s">
        <v>104</v>
      </c>
    </row>
    <row r="126" spans="1:91" ht="14.25" customHeight="1" x14ac:dyDescent="0.3">
      <c r="A126" s="1" t="s">
        <v>1028</v>
      </c>
      <c r="B126" s="1" t="s">
        <v>216</v>
      </c>
      <c r="E126" s="1" t="s">
        <v>1029</v>
      </c>
      <c r="F126" s="1" t="s">
        <v>95</v>
      </c>
      <c r="G126" s="1" t="s">
        <v>116</v>
      </c>
      <c r="H126" s="1">
        <v>0</v>
      </c>
      <c r="I126" s="1" t="s">
        <v>914</v>
      </c>
      <c r="J126" s="1" t="s">
        <v>1030</v>
      </c>
      <c r="M126" s="1" t="s">
        <v>140</v>
      </c>
      <c r="N126" s="1">
        <v>0</v>
      </c>
      <c r="O126" s="1">
        <v>0</v>
      </c>
      <c r="P126" s="1" t="s">
        <v>100</v>
      </c>
      <c r="Q126" s="1" t="s">
        <v>101</v>
      </c>
      <c r="R126" s="1" t="s">
        <v>1031</v>
      </c>
      <c r="S126" s="1" t="s">
        <v>103</v>
      </c>
      <c r="T126" s="1">
        <v>1</v>
      </c>
      <c r="U126" s="1">
        <v>1</v>
      </c>
      <c r="V126" s="1">
        <v>0</v>
      </c>
      <c r="W126" s="1">
        <v>0</v>
      </c>
      <c r="X126" s="1">
        <v>0</v>
      </c>
      <c r="Y126" s="1" t="s">
        <v>104</v>
      </c>
      <c r="Z126" s="1" t="s">
        <v>104</v>
      </c>
      <c r="AA126" s="1">
        <v>1</v>
      </c>
      <c r="AB126" s="1" t="s">
        <v>104</v>
      </c>
      <c r="AC126" s="1" t="s">
        <v>104</v>
      </c>
      <c r="AD126" s="1" t="s">
        <v>104</v>
      </c>
      <c r="AE126" s="1" t="s">
        <v>104</v>
      </c>
      <c r="AF126" s="1" t="s">
        <v>104</v>
      </c>
      <c r="AG126" s="1" t="s">
        <v>104</v>
      </c>
      <c r="AH126" s="1" t="s">
        <v>104</v>
      </c>
      <c r="AI126" s="1" t="s">
        <v>104</v>
      </c>
      <c r="AJ126" s="1">
        <v>1</v>
      </c>
      <c r="AK126" s="1" t="s">
        <v>104</v>
      </c>
      <c r="AL126" s="1" t="s">
        <v>104</v>
      </c>
      <c r="AM126" s="1" t="s">
        <v>104</v>
      </c>
      <c r="AO126" s="1">
        <v>1</v>
      </c>
      <c r="AP126" s="1" t="s">
        <v>1032</v>
      </c>
      <c r="AQ126" s="1" t="s">
        <v>1033</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2" t="str">
        <f>HYPERLINK("http://www.d20pfsrd.com/magic/all-spells/d/deathwatch","Deathwatch")</f>
        <v>Deathwatch</v>
      </c>
      <c r="BR126" s="1">
        <v>125</v>
      </c>
      <c r="BS126" s="1" t="s">
        <v>104</v>
      </c>
      <c r="BU126" s="1" t="s">
        <v>1019</v>
      </c>
      <c r="BX126" s="1">
        <v>0</v>
      </c>
      <c r="BY126" s="1" t="s">
        <v>104</v>
      </c>
      <c r="BZ126" s="1" t="s">
        <v>104</v>
      </c>
      <c r="CA126" s="1" t="s">
        <v>104</v>
      </c>
      <c r="CB126" s="1">
        <v>1</v>
      </c>
      <c r="CC126" s="1" t="s">
        <v>104</v>
      </c>
      <c r="CD126" s="1" t="s">
        <v>104</v>
      </c>
      <c r="CE126" s="1">
        <v>1</v>
      </c>
      <c r="CF126" s="1" t="s">
        <v>104</v>
      </c>
      <c r="CG126" s="1" t="s">
        <v>104</v>
      </c>
      <c r="CH126" s="1" t="s">
        <v>104</v>
      </c>
      <c r="CJ126" s="1">
        <v>0</v>
      </c>
      <c r="CK126" s="1">
        <v>0</v>
      </c>
      <c r="CL126" s="1">
        <v>0</v>
      </c>
      <c r="CM126" s="1" t="s">
        <v>104</v>
      </c>
    </row>
    <row r="127" spans="1:91" ht="14.25" customHeight="1" x14ac:dyDescent="0.3">
      <c r="A127" s="1" t="s">
        <v>1034</v>
      </c>
      <c r="B127" s="1" t="s">
        <v>434</v>
      </c>
      <c r="D127" s="1" t="s">
        <v>48</v>
      </c>
      <c r="E127" s="1" t="s">
        <v>877</v>
      </c>
      <c r="F127" s="1" t="s">
        <v>95</v>
      </c>
      <c r="G127" s="1" t="s">
        <v>982</v>
      </c>
      <c r="H127" s="1">
        <v>0</v>
      </c>
      <c r="I127" s="1" t="s">
        <v>128</v>
      </c>
      <c r="L127" s="1" t="s">
        <v>983</v>
      </c>
      <c r="M127" s="1" t="s">
        <v>265</v>
      </c>
      <c r="N127" s="1">
        <v>1</v>
      </c>
      <c r="O127" s="1">
        <v>0</v>
      </c>
      <c r="P127" s="1" t="s">
        <v>100</v>
      </c>
      <c r="Q127" s="1" t="s">
        <v>101</v>
      </c>
      <c r="R127" s="1" t="s">
        <v>1035</v>
      </c>
      <c r="S127" s="1" t="s">
        <v>103</v>
      </c>
      <c r="T127" s="1">
        <v>1</v>
      </c>
      <c r="U127" s="1">
        <v>0</v>
      </c>
      <c r="V127" s="1">
        <v>1</v>
      </c>
      <c r="W127" s="1">
        <v>0</v>
      </c>
      <c r="X127" s="1">
        <v>1</v>
      </c>
      <c r="Y127" s="1" t="s">
        <v>104</v>
      </c>
      <c r="Z127" s="1" t="s">
        <v>104</v>
      </c>
      <c r="AA127" s="1">
        <v>3</v>
      </c>
      <c r="AB127" s="1" t="s">
        <v>104</v>
      </c>
      <c r="AC127" s="1" t="s">
        <v>104</v>
      </c>
      <c r="AD127" s="1" t="s">
        <v>104</v>
      </c>
      <c r="AE127" s="1" t="s">
        <v>104</v>
      </c>
      <c r="AF127" s="1" t="s">
        <v>104</v>
      </c>
      <c r="AG127" s="1" t="s">
        <v>104</v>
      </c>
      <c r="AH127" s="1" t="s">
        <v>104</v>
      </c>
      <c r="AI127" s="1" t="s">
        <v>104</v>
      </c>
      <c r="AJ127" s="1">
        <v>3</v>
      </c>
      <c r="AK127" s="1" t="s">
        <v>104</v>
      </c>
      <c r="AL127" s="1" t="s">
        <v>104</v>
      </c>
      <c r="AM127" s="1">
        <v>3</v>
      </c>
      <c r="AO127" s="1">
        <v>3</v>
      </c>
      <c r="AP127" s="1" t="s">
        <v>1036</v>
      </c>
      <c r="AQ127" s="1" t="s">
        <v>1037</v>
      </c>
      <c r="AR127" s="1">
        <v>0</v>
      </c>
      <c r="AS127" s="1">
        <v>0</v>
      </c>
      <c r="AT127" s="1">
        <v>0</v>
      </c>
      <c r="AU127" s="1">
        <v>0</v>
      </c>
      <c r="AV127" s="1">
        <v>0</v>
      </c>
      <c r="AW127" s="1">
        <v>1</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2" t="str">
        <f>HYPERLINK("http://www.d20pfsrd.com/magic/all-spells/d/deeper-darkness","Deeper Darkness")</f>
        <v>Deeper Darkness</v>
      </c>
      <c r="BR127" s="1">
        <v>126</v>
      </c>
      <c r="BS127" s="1" t="s">
        <v>104</v>
      </c>
      <c r="BT127" s="1" t="s">
        <v>1038</v>
      </c>
      <c r="BU127" s="1" t="s">
        <v>1039</v>
      </c>
      <c r="BX127" s="1">
        <v>0</v>
      </c>
      <c r="BY127" s="1" t="s">
        <v>104</v>
      </c>
      <c r="BZ127" s="1">
        <v>3</v>
      </c>
      <c r="CA127" s="1" t="s">
        <v>104</v>
      </c>
      <c r="CB127" s="1" t="s">
        <v>104</v>
      </c>
      <c r="CC127" s="1" t="s">
        <v>104</v>
      </c>
      <c r="CD127" s="1">
        <v>3</v>
      </c>
      <c r="CE127" s="1" t="s">
        <v>104</v>
      </c>
      <c r="CF127" s="1" t="s">
        <v>104</v>
      </c>
      <c r="CG127" s="1" t="s">
        <v>104</v>
      </c>
      <c r="CH127" s="1" t="s">
        <v>104</v>
      </c>
      <c r="CJ127" s="1">
        <v>0</v>
      </c>
      <c r="CK127" s="1">
        <v>0</v>
      </c>
      <c r="CL127" s="1">
        <v>0</v>
      </c>
      <c r="CM127" s="1" t="s">
        <v>104</v>
      </c>
    </row>
    <row r="128" spans="1:91" ht="14.25" customHeight="1" x14ac:dyDescent="0.3">
      <c r="A128" s="1" t="s">
        <v>1040</v>
      </c>
      <c r="B128" s="1" t="s">
        <v>123</v>
      </c>
      <c r="C128" s="1" t="s">
        <v>124</v>
      </c>
      <c r="D128" s="1" t="s">
        <v>125</v>
      </c>
      <c r="E128" s="1" t="s">
        <v>1041</v>
      </c>
      <c r="F128" s="1" t="s">
        <v>255</v>
      </c>
      <c r="G128" s="1" t="s">
        <v>1042</v>
      </c>
      <c r="H128" s="1">
        <v>0</v>
      </c>
      <c r="I128" s="1" t="s">
        <v>117</v>
      </c>
      <c r="J128" s="1" t="s">
        <v>1043</v>
      </c>
      <c r="M128" s="1" t="s">
        <v>130</v>
      </c>
      <c r="N128" s="1">
        <v>0</v>
      </c>
      <c r="O128" s="1">
        <v>0</v>
      </c>
      <c r="P128" s="1" t="s">
        <v>211</v>
      </c>
      <c r="Q128" s="1" t="s">
        <v>184</v>
      </c>
      <c r="R128" s="1" t="s">
        <v>1044</v>
      </c>
      <c r="S128" s="1" t="s">
        <v>103</v>
      </c>
      <c r="T128" s="1">
        <v>1</v>
      </c>
      <c r="U128" s="1">
        <v>1</v>
      </c>
      <c r="V128" s="1">
        <v>1</v>
      </c>
      <c r="W128" s="1">
        <v>0</v>
      </c>
      <c r="X128" s="1">
        <v>0</v>
      </c>
      <c r="Y128" s="1">
        <v>3</v>
      </c>
      <c r="Z128" s="1">
        <v>3</v>
      </c>
      <c r="AA128" s="1" t="s">
        <v>104</v>
      </c>
      <c r="AB128" s="1" t="s">
        <v>104</v>
      </c>
      <c r="AC128" s="1" t="s">
        <v>104</v>
      </c>
      <c r="AD128" s="1">
        <v>3</v>
      </c>
      <c r="AE128" s="1" t="s">
        <v>104</v>
      </c>
      <c r="AF128" s="1" t="s">
        <v>104</v>
      </c>
      <c r="AG128" s="1" t="s">
        <v>104</v>
      </c>
      <c r="AH128" s="1">
        <v>3</v>
      </c>
      <c r="AI128" s="1" t="s">
        <v>104</v>
      </c>
      <c r="AJ128" s="1" t="s">
        <v>104</v>
      </c>
      <c r="AK128" s="1" t="s">
        <v>104</v>
      </c>
      <c r="AL128" s="1" t="s">
        <v>104</v>
      </c>
      <c r="AM128" s="1" t="s">
        <v>104</v>
      </c>
      <c r="AO128" s="1">
        <v>3</v>
      </c>
      <c r="AQ128" s="1" t="s">
        <v>1045</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0</v>
      </c>
      <c r="BI128" s="1">
        <v>0</v>
      </c>
      <c r="BJ128" s="1">
        <v>0</v>
      </c>
      <c r="BK128" s="1">
        <v>1</v>
      </c>
      <c r="BL128" s="1">
        <v>0</v>
      </c>
      <c r="BM128" s="1">
        <v>0</v>
      </c>
      <c r="BN128" s="1">
        <v>0</v>
      </c>
      <c r="BO128" s="1">
        <v>0</v>
      </c>
      <c r="BP128" s="1">
        <v>0</v>
      </c>
      <c r="BQ128" s="2" t="str">
        <f>HYPERLINK("http://www.d20pfsrd.com/magic/all-spells/d/deep-slumber","Deep Slumber")</f>
        <v>Deep Slumber</v>
      </c>
      <c r="BR128" s="1">
        <v>127</v>
      </c>
      <c r="BS128" s="1" t="s">
        <v>104</v>
      </c>
      <c r="BT128" s="1" t="s">
        <v>1046</v>
      </c>
      <c r="BV128" s="1" t="s">
        <v>1047</v>
      </c>
      <c r="BW128" s="1" t="s">
        <v>1048</v>
      </c>
      <c r="BX128" s="1">
        <v>1</v>
      </c>
      <c r="BY128" s="1" t="s">
        <v>104</v>
      </c>
      <c r="BZ128" s="1">
        <v>3</v>
      </c>
      <c r="CA128" s="1">
        <v>3</v>
      </c>
      <c r="CB128" s="1" t="s">
        <v>104</v>
      </c>
      <c r="CC128" s="1">
        <v>3</v>
      </c>
      <c r="CD128" s="1">
        <v>3</v>
      </c>
      <c r="CE128" s="1" t="s">
        <v>104</v>
      </c>
      <c r="CF128" s="1" t="s">
        <v>104</v>
      </c>
      <c r="CG128" s="1" t="s">
        <v>104</v>
      </c>
      <c r="CH128" s="1" t="s">
        <v>104</v>
      </c>
      <c r="CJ128" s="1">
        <v>0</v>
      </c>
      <c r="CK128" s="1">
        <v>0</v>
      </c>
      <c r="CL128" s="1">
        <v>0</v>
      </c>
      <c r="CM128" s="1" t="s">
        <v>104</v>
      </c>
    </row>
    <row r="129" spans="1:91" ht="14.25" customHeight="1" x14ac:dyDescent="0.3">
      <c r="A129" s="1" t="s">
        <v>1049</v>
      </c>
      <c r="B129" s="1" t="s">
        <v>434</v>
      </c>
      <c r="D129" s="1" t="s">
        <v>56</v>
      </c>
      <c r="E129" s="1" t="s">
        <v>843</v>
      </c>
      <c r="F129" s="1" t="s">
        <v>95</v>
      </c>
      <c r="G129" s="1" t="s">
        <v>1050</v>
      </c>
      <c r="H129" s="1">
        <v>0</v>
      </c>
      <c r="I129" s="1" t="s">
        <v>97</v>
      </c>
      <c r="J129" s="1" t="s">
        <v>425</v>
      </c>
      <c r="M129" s="1" t="s">
        <v>1051</v>
      </c>
      <c r="N129" s="1">
        <v>0</v>
      </c>
      <c r="O129" s="1">
        <v>0</v>
      </c>
      <c r="P129" s="1" t="s">
        <v>550</v>
      </c>
      <c r="Q129" s="1" t="s">
        <v>184</v>
      </c>
      <c r="R129" s="1" t="s">
        <v>1052</v>
      </c>
      <c r="S129" s="1" t="s">
        <v>103</v>
      </c>
      <c r="T129" s="1">
        <v>1</v>
      </c>
      <c r="U129" s="1">
        <v>1</v>
      </c>
      <c r="V129" s="1">
        <v>1</v>
      </c>
      <c r="W129" s="1">
        <v>0</v>
      </c>
      <c r="X129" s="1">
        <v>0</v>
      </c>
      <c r="Y129" s="1">
        <v>7</v>
      </c>
      <c r="Z129" s="1">
        <v>7</v>
      </c>
      <c r="AA129" s="1" t="s">
        <v>104</v>
      </c>
      <c r="AB129" s="1" t="s">
        <v>104</v>
      </c>
      <c r="AC129" s="1" t="s">
        <v>104</v>
      </c>
      <c r="AD129" s="1" t="s">
        <v>104</v>
      </c>
      <c r="AE129" s="1" t="s">
        <v>104</v>
      </c>
      <c r="AF129" s="1" t="s">
        <v>104</v>
      </c>
      <c r="AG129" s="1" t="s">
        <v>104</v>
      </c>
      <c r="AH129" s="1" t="s">
        <v>104</v>
      </c>
      <c r="AI129" s="1" t="s">
        <v>104</v>
      </c>
      <c r="AJ129" s="1" t="s">
        <v>104</v>
      </c>
      <c r="AK129" s="1" t="s">
        <v>104</v>
      </c>
      <c r="AL129" s="1" t="s">
        <v>104</v>
      </c>
      <c r="AM129" s="1" t="s">
        <v>104</v>
      </c>
      <c r="AO129" s="1">
        <v>7</v>
      </c>
      <c r="AP129" s="1" t="s">
        <v>1053</v>
      </c>
      <c r="AQ129" s="1" t="s">
        <v>1054</v>
      </c>
      <c r="AR129" s="1">
        <v>0</v>
      </c>
      <c r="AS129" s="1">
        <v>0</v>
      </c>
      <c r="AT129" s="1">
        <v>0</v>
      </c>
      <c r="AU129" s="1">
        <v>0</v>
      </c>
      <c r="AV129" s="1">
        <v>0</v>
      </c>
      <c r="AW129" s="1">
        <v>0</v>
      </c>
      <c r="AX129" s="1">
        <v>0</v>
      </c>
      <c r="AY129" s="1">
        <v>0</v>
      </c>
      <c r="AZ129" s="1">
        <v>0</v>
      </c>
      <c r="BA129" s="1">
        <v>0</v>
      </c>
      <c r="BB129" s="1">
        <v>0</v>
      </c>
      <c r="BC129" s="1">
        <v>0</v>
      </c>
      <c r="BD129" s="1">
        <v>0</v>
      </c>
      <c r="BE129" s="1">
        <v>1</v>
      </c>
      <c r="BF129" s="1">
        <v>0</v>
      </c>
      <c r="BG129" s="1">
        <v>0</v>
      </c>
      <c r="BH129" s="1">
        <v>0</v>
      </c>
      <c r="BI129" s="1">
        <v>0</v>
      </c>
      <c r="BJ129" s="1">
        <v>0</v>
      </c>
      <c r="BK129" s="1">
        <v>0</v>
      </c>
      <c r="BL129" s="1">
        <v>0</v>
      </c>
      <c r="BM129" s="1">
        <v>0</v>
      </c>
      <c r="BN129" s="1">
        <v>0</v>
      </c>
      <c r="BO129" s="1">
        <v>0</v>
      </c>
      <c r="BP129" s="1">
        <v>0</v>
      </c>
      <c r="BQ129" s="2" t="str">
        <f>HYPERLINK("http://www.d20pfsrd.com/magic/all-spells/d/delayed-blast-fireball","Delayed Blast Fireball")</f>
        <v>Delayed Blast Fireball</v>
      </c>
      <c r="BR129" s="1">
        <v>128</v>
      </c>
      <c r="BS129" s="1" t="s">
        <v>104</v>
      </c>
      <c r="BT129" s="1" t="s">
        <v>1055</v>
      </c>
      <c r="BX129" s="1">
        <v>0</v>
      </c>
      <c r="BY129" s="1" t="s">
        <v>104</v>
      </c>
      <c r="BZ129" s="1" t="s">
        <v>104</v>
      </c>
      <c r="CA129" s="1" t="s">
        <v>104</v>
      </c>
      <c r="CB129" s="1" t="s">
        <v>104</v>
      </c>
      <c r="CC129" s="1" t="s">
        <v>104</v>
      </c>
      <c r="CD129" s="1" t="s">
        <v>104</v>
      </c>
      <c r="CE129" s="1" t="s">
        <v>104</v>
      </c>
      <c r="CF129" s="1" t="s">
        <v>104</v>
      </c>
      <c r="CG129" s="1" t="s">
        <v>104</v>
      </c>
      <c r="CH129" s="1" t="s">
        <v>104</v>
      </c>
      <c r="CJ129" s="1">
        <v>0</v>
      </c>
      <c r="CK129" s="1">
        <v>0</v>
      </c>
      <c r="CL129" s="1">
        <v>0</v>
      </c>
      <c r="CM129" s="1" t="s">
        <v>104</v>
      </c>
    </row>
    <row r="130" spans="1:91" ht="14.25" customHeight="1" x14ac:dyDescent="0.3">
      <c r="A130" s="1" t="s">
        <v>1056</v>
      </c>
      <c r="B130" s="1" t="s">
        <v>92</v>
      </c>
      <c r="C130" s="1" t="s">
        <v>523</v>
      </c>
      <c r="E130" s="1" t="s">
        <v>1057</v>
      </c>
      <c r="F130" s="1" t="s">
        <v>95</v>
      </c>
      <c r="G130" s="1" t="s">
        <v>127</v>
      </c>
      <c r="H130" s="1">
        <v>0</v>
      </c>
      <c r="I130" s="1" t="s">
        <v>128</v>
      </c>
      <c r="L130" s="1" t="s">
        <v>374</v>
      </c>
      <c r="M130" s="1" t="s">
        <v>201</v>
      </c>
      <c r="N130" s="1">
        <v>0</v>
      </c>
      <c r="O130" s="1">
        <v>0</v>
      </c>
      <c r="P130" s="1" t="s">
        <v>1058</v>
      </c>
      <c r="Q130" s="1" t="s">
        <v>131</v>
      </c>
      <c r="R130" s="1" t="s">
        <v>1059</v>
      </c>
      <c r="S130" s="1" t="s">
        <v>103</v>
      </c>
      <c r="T130" s="1">
        <v>1</v>
      </c>
      <c r="U130" s="1">
        <v>1</v>
      </c>
      <c r="V130" s="1">
        <v>0</v>
      </c>
      <c r="W130" s="1">
        <v>0</v>
      </c>
      <c r="X130" s="1">
        <v>1</v>
      </c>
      <c r="Y130" s="1" t="s">
        <v>104</v>
      </c>
      <c r="Z130" s="1" t="s">
        <v>104</v>
      </c>
      <c r="AA130" s="1">
        <v>2</v>
      </c>
      <c r="AB130" s="1">
        <v>2</v>
      </c>
      <c r="AC130" s="1">
        <v>1</v>
      </c>
      <c r="AD130" s="1">
        <v>2</v>
      </c>
      <c r="AE130" s="1">
        <v>2</v>
      </c>
      <c r="AF130" s="1">
        <v>2</v>
      </c>
      <c r="AG130" s="1" t="s">
        <v>104</v>
      </c>
      <c r="AH130" s="1">
        <v>2</v>
      </c>
      <c r="AI130" s="1">
        <v>2</v>
      </c>
      <c r="AJ130" s="1">
        <v>2</v>
      </c>
      <c r="AK130" s="1" t="s">
        <v>104</v>
      </c>
      <c r="AL130" s="1" t="s">
        <v>104</v>
      </c>
      <c r="AM130" s="1">
        <v>2</v>
      </c>
      <c r="AO130" s="1">
        <v>2</v>
      </c>
      <c r="AQ130" s="1" t="s">
        <v>1060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2" t="str">
        <f>HYPERLINK("http://www.d20pfsrd.com/magic/all-spells/d/delay-poison","Delay Poison")</f>
        <v>Delay Poison</v>
      </c>
      <c r="BR130" s="1">
        <v>129</v>
      </c>
      <c r="BS130" s="1" t="s">
        <v>104</v>
      </c>
      <c r="BT130" s="1" t="s">
        <v>1061</v>
      </c>
      <c r="BX130" s="1">
        <v>0</v>
      </c>
      <c r="BY130" s="1" t="s">
        <v>104</v>
      </c>
      <c r="BZ130" s="1">
        <v>2</v>
      </c>
      <c r="CA130" s="1" t="s">
        <v>104</v>
      </c>
      <c r="CB130" s="1" t="s">
        <v>104</v>
      </c>
      <c r="CC130" s="1">
        <v>2</v>
      </c>
      <c r="CD130" s="1">
        <v>2</v>
      </c>
      <c r="CE130" s="1" t="s">
        <v>104</v>
      </c>
      <c r="CF130" s="1" t="s">
        <v>104</v>
      </c>
      <c r="CG130" s="1" t="s">
        <v>104</v>
      </c>
      <c r="CH130" s="1">
        <v>1</v>
      </c>
      <c r="CJ130" s="1">
        <v>0</v>
      </c>
      <c r="CK130" s="1">
        <v>0</v>
      </c>
      <c r="CL130" s="1">
        <v>0</v>
      </c>
      <c r="CM130" s="1" t="s">
        <v>104</v>
      </c>
    </row>
    <row r="131" spans="1:91" ht="14.25" customHeight="1" x14ac:dyDescent="0.3">
      <c r="A131" s="1" t="s">
        <v>1062</v>
      </c>
      <c r="B131" s="1" t="s">
        <v>123</v>
      </c>
      <c r="C131" s="1" t="s">
        <v>124</v>
      </c>
      <c r="D131" s="1" t="s">
        <v>125</v>
      </c>
      <c r="E131" s="1" t="s">
        <v>1063</v>
      </c>
      <c r="F131" s="1" t="s">
        <v>287</v>
      </c>
      <c r="G131" s="1" t="s">
        <v>1064</v>
      </c>
      <c r="H131" s="1">
        <v>0</v>
      </c>
      <c r="I131" s="1" t="s">
        <v>145</v>
      </c>
      <c r="L131" s="1" t="s">
        <v>1065</v>
      </c>
      <c r="M131" s="1" t="s">
        <v>1066</v>
      </c>
      <c r="N131" s="1">
        <v>0</v>
      </c>
      <c r="O131" s="1">
        <v>0</v>
      </c>
      <c r="P131" s="1" t="s">
        <v>276</v>
      </c>
      <c r="Q131" s="1" t="s">
        <v>184</v>
      </c>
      <c r="R131" s="1" t="s">
        <v>1067</v>
      </c>
      <c r="S131" s="1" t="s">
        <v>103</v>
      </c>
      <c r="T131" s="1">
        <v>1</v>
      </c>
      <c r="U131" s="1">
        <v>1</v>
      </c>
      <c r="V131" s="1">
        <v>1</v>
      </c>
      <c r="W131" s="1">
        <v>0</v>
      </c>
      <c r="X131" s="1">
        <v>1</v>
      </c>
      <c r="Y131" s="1">
        <v>8</v>
      </c>
      <c r="Z131" s="1">
        <v>8</v>
      </c>
      <c r="AA131" s="1" t="s">
        <v>104</v>
      </c>
      <c r="AB131" s="1" t="s">
        <v>104</v>
      </c>
      <c r="AC131" s="1" t="s">
        <v>104</v>
      </c>
      <c r="AD131" s="1" t="s">
        <v>104</v>
      </c>
      <c r="AE131" s="1" t="s">
        <v>104</v>
      </c>
      <c r="AF131" s="1" t="s">
        <v>104</v>
      </c>
      <c r="AG131" s="1" t="s">
        <v>104</v>
      </c>
      <c r="AH131" s="1">
        <v>8</v>
      </c>
      <c r="AI131" s="1" t="s">
        <v>104</v>
      </c>
      <c r="AJ131" s="1" t="s">
        <v>104</v>
      </c>
      <c r="AK131" s="1" t="s">
        <v>104</v>
      </c>
      <c r="AL131" s="1" t="s">
        <v>104</v>
      </c>
      <c r="AM131" s="1" t="s">
        <v>104</v>
      </c>
      <c r="AO131" s="1">
        <v>8</v>
      </c>
      <c r="AP131" s="1" t="s">
        <v>1068</v>
      </c>
      <c r="AQ131" s="1" t="s">
        <v>1069</v>
      </c>
      <c r="AR131" s="1">
        <v>0</v>
      </c>
      <c r="AS131" s="1">
        <v>0</v>
      </c>
      <c r="AT131" s="1">
        <v>0</v>
      </c>
      <c r="AU131" s="1">
        <v>0</v>
      </c>
      <c r="AV131" s="1">
        <v>0</v>
      </c>
      <c r="AW131" s="1">
        <v>0</v>
      </c>
      <c r="AX131" s="1">
        <v>0</v>
      </c>
      <c r="AY131" s="1">
        <v>0</v>
      </c>
      <c r="AZ131" s="1">
        <v>0</v>
      </c>
      <c r="BA131" s="1">
        <v>0</v>
      </c>
      <c r="BB131" s="1">
        <v>0</v>
      </c>
      <c r="BC131" s="1">
        <v>0</v>
      </c>
      <c r="BD131" s="1">
        <v>0</v>
      </c>
      <c r="BE131" s="1">
        <v>0</v>
      </c>
      <c r="BF131" s="1">
        <v>0</v>
      </c>
      <c r="BG131" s="1">
        <v>0</v>
      </c>
      <c r="BH131" s="1">
        <v>0</v>
      </c>
      <c r="BI131" s="1">
        <v>0</v>
      </c>
      <c r="BJ131" s="1">
        <v>0</v>
      </c>
      <c r="BK131" s="1">
        <v>1</v>
      </c>
      <c r="BL131" s="1">
        <v>0</v>
      </c>
      <c r="BM131" s="1">
        <v>0</v>
      </c>
      <c r="BN131" s="1">
        <v>0</v>
      </c>
      <c r="BO131" s="1">
        <v>0</v>
      </c>
      <c r="BP131" s="1">
        <v>0</v>
      </c>
      <c r="BQ131" s="2" t="str">
        <f>HYPERLINK("http://www.d20pfsrd.com/magic/all-spells/d/demand","Demand")</f>
        <v>Demand</v>
      </c>
      <c r="BR131" s="1">
        <v>130</v>
      </c>
      <c r="BS131" s="1" t="s">
        <v>104</v>
      </c>
      <c r="BU131" s="1" t="s">
        <v>1070</v>
      </c>
      <c r="BX131" s="1">
        <v>0</v>
      </c>
      <c r="BY131" s="1" t="s">
        <v>104</v>
      </c>
      <c r="BZ131" s="1" t="s">
        <v>104</v>
      </c>
      <c r="CA131" s="1">
        <v>8</v>
      </c>
      <c r="CB131" s="1" t="s">
        <v>104</v>
      </c>
      <c r="CC131" s="1">
        <v>6</v>
      </c>
      <c r="CD131" s="1" t="s">
        <v>104</v>
      </c>
      <c r="CE131" s="1" t="s">
        <v>104</v>
      </c>
      <c r="CF131" s="1" t="s">
        <v>104</v>
      </c>
      <c r="CG131" s="1" t="s">
        <v>104</v>
      </c>
      <c r="CH131" s="1" t="s">
        <v>104</v>
      </c>
      <c r="CJ131" s="1">
        <v>0</v>
      </c>
      <c r="CK131" s="1">
        <v>0</v>
      </c>
      <c r="CL131" s="1">
        <v>0</v>
      </c>
      <c r="CM131" s="1" t="s">
        <v>104</v>
      </c>
    </row>
    <row r="132" spans="1:91" ht="14.25" customHeight="1" x14ac:dyDescent="0.3">
      <c r="A132" s="1" t="s">
        <v>1071</v>
      </c>
      <c r="B132" s="1" t="s">
        <v>434</v>
      </c>
      <c r="D132" s="1" t="s">
        <v>54</v>
      </c>
      <c r="E132" s="1" t="s">
        <v>1072</v>
      </c>
      <c r="F132" s="1" t="s">
        <v>95</v>
      </c>
      <c r="G132" s="1" t="s">
        <v>1073</v>
      </c>
      <c r="H132" s="1">
        <v>1</v>
      </c>
      <c r="I132" s="1" t="s">
        <v>117</v>
      </c>
      <c r="J132" s="1" t="s">
        <v>799</v>
      </c>
      <c r="M132" s="1" t="s">
        <v>166</v>
      </c>
      <c r="N132" s="1">
        <v>0</v>
      </c>
      <c r="O132" s="1">
        <v>0</v>
      </c>
      <c r="P132" s="1" t="s">
        <v>100</v>
      </c>
      <c r="Q132" s="1" t="s">
        <v>184</v>
      </c>
      <c r="R132" s="1" t="s">
        <v>1074</v>
      </c>
      <c r="S132" s="1" t="s">
        <v>103</v>
      </c>
      <c r="T132" s="1">
        <v>1</v>
      </c>
      <c r="U132" s="1">
        <v>1</v>
      </c>
      <c r="V132" s="1">
        <v>1</v>
      </c>
      <c r="W132" s="1">
        <v>0</v>
      </c>
      <c r="X132" s="1">
        <v>1</v>
      </c>
      <c r="Y132" s="1" t="s">
        <v>104</v>
      </c>
      <c r="Z132" s="1" t="s">
        <v>104</v>
      </c>
      <c r="AA132" s="1">
        <v>2</v>
      </c>
      <c r="AB132" s="1" t="s">
        <v>104</v>
      </c>
      <c r="AC132" s="1" t="s">
        <v>104</v>
      </c>
      <c r="AD132" s="1" t="s">
        <v>104</v>
      </c>
      <c r="AE132" s="1" t="s">
        <v>104</v>
      </c>
      <c r="AF132" s="1" t="s">
        <v>104</v>
      </c>
      <c r="AG132" s="1" t="s">
        <v>104</v>
      </c>
      <c r="AH132" s="1" t="s">
        <v>104</v>
      </c>
      <c r="AI132" s="1">
        <v>2</v>
      </c>
      <c r="AJ132" s="1">
        <v>2</v>
      </c>
      <c r="AK132" s="1">
        <v>2</v>
      </c>
      <c r="AL132" s="1" t="s">
        <v>104</v>
      </c>
      <c r="AM132" s="1" t="s">
        <v>104</v>
      </c>
      <c r="AO132" s="1">
        <v>2</v>
      </c>
      <c r="AQ132" s="1" t="s">
        <v>1075</v>
      </c>
      <c r="AR132" s="1">
        <v>0</v>
      </c>
      <c r="AS132" s="1">
        <v>0</v>
      </c>
      <c r="AT132" s="1">
        <v>0</v>
      </c>
      <c r="AU132" s="1">
        <v>0</v>
      </c>
      <c r="AV132" s="1">
        <v>0</v>
      </c>
      <c r="AW132" s="1">
        <v>0</v>
      </c>
      <c r="AX132" s="1">
        <v>0</v>
      </c>
      <c r="AY132" s="1">
        <v>0</v>
      </c>
      <c r="AZ132" s="1">
        <v>0</v>
      </c>
      <c r="BA132" s="1">
        <v>0</v>
      </c>
      <c r="BB132" s="1">
        <v>0</v>
      </c>
      <c r="BC132" s="1">
        <v>1</v>
      </c>
      <c r="BD132" s="1">
        <v>0</v>
      </c>
      <c r="BE132" s="1">
        <v>0</v>
      </c>
      <c r="BF132" s="1">
        <v>0</v>
      </c>
      <c r="BG132" s="1">
        <v>0</v>
      </c>
      <c r="BH132" s="1">
        <v>0</v>
      </c>
      <c r="BI132" s="1">
        <v>0</v>
      </c>
      <c r="BJ132" s="1">
        <v>0</v>
      </c>
      <c r="BK132" s="1">
        <v>0</v>
      </c>
      <c r="BL132" s="1">
        <v>0</v>
      </c>
      <c r="BM132" s="1">
        <v>0</v>
      </c>
      <c r="BN132" s="1">
        <v>0</v>
      </c>
      <c r="BO132" s="1">
        <v>0</v>
      </c>
      <c r="BP132" s="1">
        <v>0</v>
      </c>
      <c r="BQ132" s="2" t="str">
        <f>HYPERLINK("http://www.d20pfsrd.com/magic/all-spells/d/desecrate","Desecrate")</f>
        <v>Desecrate</v>
      </c>
      <c r="BR132" s="1">
        <v>131</v>
      </c>
      <c r="BS132" s="1">
        <v>25</v>
      </c>
      <c r="BV132" s="1" t="s">
        <v>1076</v>
      </c>
      <c r="BX132" s="1">
        <v>1</v>
      </c>
      <c r="BY132" s="1" t="s">
        <v>104</v>
      </c>
      <c r="BZ132" s="1" t="s">
        <v>104</v>
      </c>
      <c r="CA132" s="1" t="s">
        <v>104</v>
      </c>
      <c r="CB132" s="1" t="s">
        <v>104</v>
      </c>
      <c r="CC132" s="1" t="s">
        <v>104</v>
      </c>
      <c r="CD132" s="1" t="s">
        <v>104</v>
      </c>
      <c r="CE132" s="1" t="s">
        <v>104</v>
      </c>
      <c r="CF132" s="1" t="s">
        <v>104</v>
      </c>
      <c r="CG132" s="1" t="s">
        <v>104</v>
      </c>
      <c r="CH132" s="1" t="s">
        <v>104</v>
      </c>
      <c r="CJ132" s="1">
        <v>0</v>
      </c>
      <c r="CK132" s="1">
        <v>0</v>
      </c>
      <c r="CL132" s="1">
        <v>0</v>
      </c>
      <c r="CM132" s="1" t="s">
        <v>104</v>
      </c>
    </row>
    <row r="133" spans="1:91" ht="14.25" customHeight="1" x14ac:dyDescent="0.3">
      <c r="A133" s="1" t="s">
        <v>1077</v>
      </c>
      <c r="B133" s="1" t="s">
        <v>216</v>
      </c>
      <c r="D133" s="1" t="s">
        <v>49</v>
      </c>
      <c r="E133" s="1" t="s">
        <v>1078</v>
      </c>
      <c r="F133" s="1" t="s">
        <v>95</v>
      </c>
      <c r="G133" s="1" t="s">
        <v>1079</v>
      </c>
      <c r="H133" s="1">
        <v>1</v>
      </c>
      <c r="I133" s="1" t="s">
        <v>117</v>
      </c>
      <c r="L133" s="1" t="s">
        <v>1065</v>
      </c>
      <c r="M133" s="1" t="s">
        <v>119</v>
      </c>
      <c r="N133" s="1">
        <v>0</v>
      </c>
      <c r="O133" s="1">
        <v>0</v>
      </c>
      <c r="P133" s="1" t="s">
        <v>1080</v>
      </c>
      <c r="Q133" s="1" t="s">
        <v>184</v>
      </c>
      <c r="R133" s="1" t="s">
        <v>1081</v>
      </c>
      <c r="S133" s="1" t="s">
        <v>103</v>
      </c>
      <c r="T133" s="1">
        <v>1</v>
      </c>
      <c r="U133" s="1">
        <v>1</v>
      </c>
      <c r="V133" s="1">
        <v>0</v>
      </c>
      <c r="W133" s="1">
        <v>1</v>
      </c>
      <c r="X133" s="1">
        <v>0</v>
      </c>
      <c r="Y133" s="1" t="s">
        <v>104</v>
      </c>
      <c r="Z133" s="1" t="s">
        <v>104</v>
      </c>
      <c r="AA133" s="1">
        <v>7</v>
      </c>
      <c r="AB133" s="1" t="s">
        <v>104</v>
      </c>
      <c r="AC133" s="1" t="s">
        <v>104</v>
      </c>
      <c r="AD133" s="1" t="s">
        <v>104</v>
      </c>
      <c r="AE133" s="1" t="s">
        <v>104</v>
      </c>
      <c r="AF133" s="1" t="s">
        <v>104</v>
      </c>
      <c r="AG133" s="1" t="s">
        <v>104</v>
      </c>
      <c r="AH133" s="1">
        <v>8</v>
      </c>
      <c r="AI133" s="1" t="s">
        <v>104</v>
      </c>
      <c r="AJ133" s="1">
        <v>7</v>
      </c>
      <c r="AK133" s="1" t="s">
        <v>104</v>
      </c>
      <c r="AL133" s="1" t="s">
        <v>104</v>
      </c>
      <c r="AM133" s="1" t="s">
        <v>104</v>
      </c>
      <c r="AO133" s="1">
        <v>7</v>
      </c>
      <c r="AP133" s="1" t="s">
        <v>1082</v>
      </c>
      <c r="AQ133" s="1" t="s">
        <v>1083</v>
      </c>
      <c r="AR133" s="1">
        <v>0</v>
      </c>
      <c r="AS133" s="1">
        <v>0</v>
      </c>
      <c r="AT133" s="1">
        <v>0</v>
      </c>
      <c r="AU133" s="1">
        <v>0</v>
      </c>
      <c r="AV133" s="1">
        <v>0</v>
      </c>
      <c r="AW133" s="1">
        <v>0</v>
      </c>
      <c r="AX133" s="1">
        <v>1</v>
      </c>
      <c r="AY133" s="1">
        <v>0</v>
      </c>
      <c r="AZ133" s="1">
        <v>0</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2" t="str">
        <f>HYPERLINK("http://www.d20pfsrd.com/magic/all-spells/d/destruction","Destruction")</f>
        <v>Destruction</v>
      </c>
      <c r="BR133" s="1">
        <v>132</v>
      </c>
      <c r="BS133" s="1">
        <v>500</v>
      </c>
      <c r="BX133" s="1">
        <v>0</v>
      </c>
      <c r="BY133" s="1" t="s">
        <v>104</v>
      </c>
      <c r="BZ133" s="1">
        <v>8</v>
      </c>
      <c r="CA133" s="1" t="s">
        <v>104</v>
      </c>
      <c r="CB133" s="1" t="s">
        <v>104</v>
      </c>
      <c r="CC133" s="1" t="s">
        <v>104</v>
      </c>
      <c r="CD133" s="1" t="s">
        <v>104</v>
      </c>
      <c r="CE133" s="1" t="s">
        <v>104</v>
      </c>
      <c r="CF133" s="1" t="s">
        <v>104</v>
      </c>
      <c r="CG133" s="1" t="s">
        <v>104</v>
      </c>
      <c r="CH133" s="1" t="s">
        <v>104</v>
      </c>
      <c r="CJ133" s="1">
        <v>0</v>
      </c>
      <c r="CK133" s="1">
        <v>0</v>
      </c>
      <c r="CL133" s="1">
        <v>0</v>
      </c>
      <c r="CM133" s="1" t="s">
        <v>104</v>
      </c>
    </row>
    <row r="134" spans="1:91" ht="14.25" customHeight="1" x14ac:dyDescent="0.3">
      <c r="A134" s="1" t="s">
        <v>1084</v>
      </c>
      <c r="B134" s="1" t="s">
        <v>172</v>
      </c>
      <c r="E134" s="1" t="s">
        <v>573</v>
      </c>
      <c r="F134" s="1" t="s">
        <v>95</v>
      </c>
      <c r="G134" s="1" t="s">
        <v>116</v>
      </c>
      <c r="H134" s="1">
        <v>0</v>
      </c>
      <c r="I134" s="1" t="s">
        <v>97</v>
      </c>
      <c r="J134" s="1" t="s">
        <v>1030</v>
      </c>
      <c r="M134" s="1" t="s">
        <v>1085</v>
      </c>
      <c r="N134" s="1">
        <v>1</v>
      </c>
      <c r="O134" s="1">
        <v>0</v>
      </c>
      <c r="P134" s="1" t="s">
        <v>100</v>
      </c>
      <c r="Q134" s="1" t="s">
        <v>101</v>
      </c>
      <c r="R134" s="1" t="s">
        <v>1086</v>
      </c>
      <c r="S134" s="1" t="s">
        <v>103</v>
      </c>
      <c r="T134" s="1">
        <v>1</v>
      </c>
      <c r="U134" s="1">
        <v>1</v>
      </c>
      <c r="V134" s="1">
        <v>0</v>
      </c>
      <c r="W134" s="1">
        <v>0</v>
      </c>
      <c r="X134" s="1">
        <v>0</v>
      </c>
      <c r="Y134" s="1" t="s">
        <v>104</v>
      </c>
      <c r="Z134" s="1" t="s">
        <v>104</v>
      </c>
      <c r="AA134" s="1" t="s">
        <v>104</v>
      </c>
      <c r="AB134" s="1">
        <v>1</v>
      </c>
      <c r="AC134" s="1">
        <v>1</v>
      </c>
      <c r="AD134" s="1" t="s">
        <v>104</v>
      </c>
      <c r="AE134" s="1" t="s">
        <v>104</v>
      </c>
      <c r="AF134" s="1" t="s">
        <v>104</v>
      </c>
      <c r="AG134" s="1" t="s">
        <v>104</v>
      </c>
      <c r="AH134" s="1" t="s">
        <v>104</v>
      </c>
      <c r="AI134" s="1" t="s">
        <v>104</v>
      </c>
      <c r="AJ134" s="1" t="s">
        <v>104</v>
      </c>
      <c r="AK134" s="1" t="s">
        <v>104</v>
      </c>
      <c r="AL134" s="1" t="s">
        <v>104</v>
      </c>
      <c r="AM134" s="1" t="s">
        <v>104</v>
      </c>
      <c r="AO134" s="1">
        <v>1</v>
      </c>
      <c r="AQ134" s="1" t="s">
        <v>1087</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2" t="str">
        <f>HYPERLINK("http://www.d20pfsrd.com/magic/all-spells/d/detect-animals-or-plants","Detect Animals or Plants")</f>
        <v>Detect Animals or Plants</v>
      </c>
      <c r="BR134" s="1">
        <v>133</v>
      </c>
      <c r="BS134" s="1" t="s">
        <v>104</v>
      </c>
      <c r="BX134" s="1">
        <v>0</v>
      </c>
      <c r="BY134" s="1" t="s">
        <v>104</v>
      </c>
      <c r="BZ134" s="1">
        <v>1</v>
      </c>
      <c r="CA134" s="1">
        <v>1</v>
      </c>
      <c r="CB134" s="1" t="s">
        <v>104</v>
      </c>
      <c r="CC134" s="1" t="s">
        <v>104</v>
      </c>
      <c r="CD134" s="1" t="s">
        <v>104</v>
      </c>
      <c r="CE134" s="1" t="s">
        <v>104</v>
      </c>
      <c r="CF134" s="1" t="s">
        <v>104</v>
      </c>
      <c r="CG134" s="1" t="s">
        <v>104</v>
      </c>
      <c r="CH134" s="1">
        <v>1</v>
      </c>
      <c r="CJ134" s="1">
        <v>0</v>
      </c>
      <c r="CK134" s="1">
        <v>0</v>
      </c>
      <c r="CL134" s="1">
        <v>0</v>
      </c>
      <c r="CM134" s="1" t="s">
        <v>104</v>
      </c>
    </row>
    <row r="135" spans="1:91" ht="14.25" customHeight="1" x14ac:dyDescent="0.3">
      <c r="A135" s="1" t="s">
        <v>1088</v>
      </c>
      <c r="B135" s="1" t="s">
        <v>172</v>
      </c>
      <c r="E135" s="1" t="s">
        <v>1089</v>
      </c>
      <c r="F135" s="1" t="s">
        <v>95</v>
      </c>
      <c r="G135" s="1" t="s">
        <v>127</v>
      </c>
      <c r="H135" s="1">
        <v>0</v>
      </c>
      <c r="I135" s="1" t="s">
        <v>776</v>
      </c>
      <c r="J135" s="1" t="s">
        <v>1030</v>
      </c>
      <c r="M135" s="1" t="s">
        <v>1090</v>
      </c>
      <c r="N135" s="1">
        <v>1</v>
      </c>
      <c r="O135" s="1">
        <v>0</v>
      </c>
      <c r="P135" s="1" t="s">
        <v>100</v>
      </c>
      <c r="Q135" s="1" t="s">
        <v>101</v>
      </c>
      <c r="R135" s="1" t="s">
        <v>1091</v>
      </c>
      <c r="S135" s="1" t="s">
        <v>103</v>
      </c>
      <c r="T135" s="1">
        <v>1</v>
      </c>
      <c r="U135" s="1">
        <v>1</v>
      </c>
      <c r="V135" s="1">
        <v>0</v>
      </c>
      <c r="W135" s="1">
        <v>0</v>
      </c>
      <c r="X135" s="1">
        <v>1</v>
      </c>
      <c r="Y135" s="1" t="s">
        <v>104</v>
      </c>
      <c r="Z135" s="1" t="s">
        <v>104</v>
      </c>
      <c r="AA135" s="1">
        <v>1</v>
      </c>
      <c r="AB135" s="1" t="s">
        <v>104</v>
      </c>
      <c r="AC135" s="1" t="s">
        <v>104</v>
      </c>
      <c r="AD135" s="1" t="s">
        <v>104</v>
      </c>
      <c r="AE135" s="1" t="s">
        <v>104</v>
      </c>
      <c r="AF135" s="1" t="s">
        <v>104</v>
      </c>
      <c r="AG135" s="1" t="s">
        <v>104</v>
      </c>
      <c r="AH135" s="1" t="s">
        <v>104</v>
      </c>
      <c r="AI135" s="1">
        <v>1</v>
      </c>
      <c r="AJ135" s="1">
        <v>1</v>
      </c>
      <c r="AK135" s="1" t="s">
        <v>104</v>
      </c>
      <c r="AL135" s="1" t="s">
        <v>104</v>
      </c>
      <c r="AM135" s="1">
        <v>1</v>
      </c>
      <c r="AO135" s="1">
        <v>1</v>
      </c>
      <c r="AQ135" s="1" t="s">
        <v>1092</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2" t="str">
        <f>HYPERLINK("http://www.d20pfsrd.com/magic/all-spells/d/detect-chaos","Detect Chaos")</f>
        <v>Detect Chaos</v>
      </c>
      <c r="BR135" s="1">
        <v>134</v>
      </c>
      <c r="BS135" s="1" t="s">
        <v>104</v>
      </c>
      <c r="BX135" s="1">
        <v>0</v>
      </c>
      <c r="BY135" s="1" t="s">
        <v>104</v>
      </c>
      <c r="BZ135" s="1">
        <v>1</v>
      </c>
      <c r="CA135" s="1" t="s">
        <v>104</v>
      </c>
      <c r="CB135" s="1" t="s">
        <v>104</v>
      </c>
      <c r="CC135" s="1" t="s">
        <v>104</v>
      </c>
      <c r="CD135" s="1" t="s">
        <v>104</v>
      </c>
      <c r="CE135" s="1">
        <v>1</v>
      </c>
      <c r="CF135" s="1" t="s">
        <v>104</v>
      </c>
      <c r="CG135" s="1" t="s">
        <v>104</v>
      </c>
      <c r="CH135" s="1" t="s">
        <v>104</v>
      </c>
      <c r="CJ135" s="1">
        <v>0</v>
      </c>
      <c r="CK135" s="1">
        <v>0</v>
      </c>
      <c r="CL135" s="1">
        <v>0</v>
      </c>
      <c r="CM135" s="1" t="s">
        <v>104</v>
      </c>
    </row>
    <row r="136" spans="1:91" ht="14.25" customHeight="1" x14ac:dyDescent="0.3">
      <c r="A136" s="1" t="s">
        <v>1093</v>
      </c>
      <c r="B136" s="1" t="s">
        <v>172</v>
      </c>
      <c r="E136" s="1" t="s">
        <v>1089</v>
      </c>
      <c r="F136" s="1" t="s">
        <v>95</v>
      </c>
      <c r="G136" s="1" t="s">
        <v>127</v>
      </c>
      <c r="H136" s="1">
        <v>0</v>
      </c>
      <c r="I136" s="1" t="s">
        <v>776</v>
      </c>
      <c r="J136" s="1" t="s">
        <v>1030</v>
      </c>
      <c r="M136" s="1" t="s">
        <v>1090</v>
      </c>
      <c r="N136" s="1">
        <v>1</v>
      </c>
      <c r="O136" s="1">
        <v>0</v>
      </c>
      <c r="P136" s="1" t="s">
        <v>100</v>
      </c>
      <c r="Q136" s="1" t="s">
        <v>101</v>
      </c>
      <c r="R136" s="1" t="s">
        <v>1094</v>
      </c>
      <c r="S136" s="1" t="s">
        <v>103</v>
      </c>
      <c r="T136" s="1">
        <v>1</v>
      </c>
      <c r="U136" s="1">
        <v>1</v>
      </c>
      <c r="V136" s="1">
        <v>0</v>
      </c>
      <c r="W136" s="1">
        <v>0</v>
      </c>
      <c r="X136" s="1">
        <v>1</v>
      </c>
      <c r="Y136" s="1" t="s">
        <v>104</v>
      </c>
      <c r="Z136" s="1" t="s">
        <v>104</v>
      </c>
      <c r="AA136" s="1">
        <v>1</v>
      </c>
      <c r="AB136" s="1" t="s">
        <v>104</v>
      </c>
      <c r="AC136" s="1" t="s">
        <v>104</v>
      </c>
      <c r="AD136" s="1" t="s">
        <v>104</v>
      </c>
      <c r="AE136" s="1" t="s">
        <v>104</v>
      </c>
      <c r="AF136" s="1" t="s">
        <v>104</v>
      </c>
      <c r="AG136" s="1" t="s">
        <v>104</v>
      </c>
      <c r="AH136" s="1" t="s">
        <v>104</v>
      </c>
      <c r="AI136" s="1">
        <v>1</v>
      </c>
      <c r="AJ136" s="1">
        <v>1</v>
      </c>
      <c r="AK136" s="1" t="s">
        <v>104</v>
      </c>
      <c r="AL136" s="1" t="s">
        <v>104</v>
      </c>
      <c r="AM136" s="1">
        <v>1</v>
      </c>
      <c r="AO136" s="1">
        <v>1</v>
      </c>
      <c r="AQ136" s="1" t="s">
        <v>1092</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2" t="str">
        <f>HYPERLINK("http://www.d20pfsrd.com/magic/all-spells/d/detect-evil","Detect Evil")</f>
        <v>Detect Evil</v>
      </c>
      <c r="BR136" s="1">
        <v>135</v>
      </c>
      <c r="BS136" s="1" t="s">
        <v>104</v>
      </c>
      <c r="BX136" s="1">
        <v>0</v>
      </c>
      <c r="BY136" s="1" t="s">
        <v>104</v>
      </c>
      <c r="BZ136" s="1">
        <v>1</v>
      </c>
      <c r="CA136" s="1" t="s">
        <v>104</v>
      </c>
      <c r="CB136" s="1" t="s">
        <v>104</v>
      </c>
      <c r="CC136" s="1" t="s">
        <v>104</v>
      </c>
      <c r="CD136" s="1" t="s">
        <v>104</v>
      </c>
      <c r="CE136" s="1">
        <v>1</v>
      </c>
      <c r="CF136" s="1" t="s">
        <v>104</v>
      </c>
      <c r="CG136" s="1" t="s">
        <v>104</v>
      </c>
      <c r="CH136" s="1" t="s">
        <v>104</v>
      </c>
      <c r="CJ136" s="1">
        <v>0</v>
      </c>
      <c r="CK136" s="1">
        <v>0</v>
      </c>
      <c r="CL136" s="1">
        <v>0</v>
      </c>
      <c r="CM136" s="1" t="s">
        <v>104</v>
      </c>
    </row>
    <row r="137" spans="1:91" ht="14.25" customHeight="1" x14ac:dyDescent="0.3">
      <c r="A137" s="1" t="s">
        <v>1095</v>
      </c>
      <c r="B137" s="1" t="s">
        <v>172</v>
      </c>
      <c r="E137" s="1" t="s">
        <v>1089</v>
      </c>
      <c r="F137" s="1" t="s">
        <v>95</v>
      </c>
      <c r="G137" s="1" t="s">
        <v>127</v>
      </c>
      <c r="H137" s="1">
        <v>0</v>
      </c>
      <c r="I137" s="1" t="s">
        <v>776</v>
      </c>
      <c r="J137" s="1" t="s">
        <v>1030</v>
      </c>
      <c r="M137" s="1" t="s">
        <v>1090</v>
      </c>
      <c r="N137" s="1">
        <v>1</v>
      </c>
      <c r="O137" s="1">
        <v>0</v>
      </c>
      <c r="P137" s="1" t="s">
        <v>100</v>
      </c>
      <c r="Q137" s="1" t="s">
        <v>101</v>
      </c>
      <c r="R137" s="1" t="s">
        <v>1096</v>
      </c>
      <c r="S137" s="1" t="s">
        <v>103</v>
      </c>
      <c r="T137" s="1">
        <v>1</v>
      </c>
      <c r="U137" s="1">
        <v>1</v>
      </c>
      <c r="V137" s="1">
        <v>0</v>
      </c>
      <c r="W137" s="1">
        <v>0</v>
      </c>
      <c r="X137" s="1">
        <v>1</v>
      </c>
      <c r="Y137" s="1" t="s">
        <v>104</v>
      </c>
      <c r="Z137" s="1" t="s">
        <v>104</v>
      </c>
      <c r="AA137" s="1">
        <v>1</v>
      </c>
      <c r="AB137" s="1" t="s">
        <v>104</v>
      </c>
      <c r="AC137" s="1" t="s">
        <v>104</v>
      </c>
      <c r="AD137" s="1" t="s">
        <v>104</v>
      </c>
      <c r="AE137" s="1" t="s">
        <v>104</v>
      </c>
      <c r="AF137" s="1" t="s">
        <v>104</v>
      </c>
      <c r="AG137" s="1" t="s">
        <v>104</v>
      </c>
      <c r="AH137" s="1" t="s">
        <v>104</v>
      </c>
      <c r="AI137" s="1">
        <v>1</v>
      </c>
      <c r="AJ137" s="1">
        <v>1</v>
      </c>
      <c r="AK137" s="1" t="s">
        <v>104</v>
      </c>
      <c r="AL137" s="1" t="s">
        <v>104</v>
      </c>
      <c r="AM137" s="1">
        <v>1</v>
      </c>
      <c r="AO137" s="1">
        <v>1</v>
      </c>
      <c r="AQ137" s="1" t="s">
        <v>1092</v>
      </c>
      <c r="AR137" s="1">
        <v>0</v>
      </c>
      <c r="AS137" s="1">
        <v>0</v>
      </c>
      <c r="AT137" s="1">
        <v>0</v>
      </c>
      <c r="AU137" s="1">
        <v>0</v>
      </c>
      <c r="AV137" s="1">
        <v>0</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2" t="str">
        <f>HYPERLINK("http://www.d20pfsrd.com/magic/all-spells/d/detect-good","Detect Good")</f>
        <v>Detect Good</v>
      </c>
      <c r="BR137" s="1">
        <v>136</v>
      </c>
      <c r="BS137" s="1" t="s">
        <v>104</v>
      </c>
      <c r="BX137" s="1">
        <v>0</v>
      </c>
      <c r="BY137" s="1" t="s">
        <v>104</v>
      </c>
      <c r="BZ137" s="1">
        <v>1</v>
      </c>
      <c r="CA137" s="1" t="s">
        <v>104</v>
      </c>
      <c r="CB137" s="1" t="s">
        <v>104</v>
      </c>
      <c r="CC137" s="1" t="s">
        <v>104</v>
      </c>
      <c r="CD137" s="1" t="s">
        <v>104</v>
      </c>
      <c r="CE137" s="1">
        <v>1</v>
      </c>
      <c r="CF137" s="1" t="s">
        <v>104</v>
      </c>
      <c r="CG137" s="1" t="s">
        <v>104</v>
      </c>
      <c r="CH137" s="1" t="s">
        <v>104</v>
      </c>
      <c r="CJ137" s="1">
        <v>0</v>
      </c>
      <c r="CK137" s="1">
        <v>0</v>
      </c>
      <c r="CL137" s="1">
        <v>0</v>
      </c>
      <c r="CM137" s="1" t="s">
        <v>104</v>
      </c>
    </row>
    <row r="138" spans="1:91" ht="14.25" customHeight="1" x14ac:dyDescent="0.3">
      <c r="A138" s="1" t="s">
        <v>1097</v>
      </c>
      <c r="B138" s="1" t="s">
        <v>172</v>
      </c>
      <c r="E138" s="1" t="s">
        <v>1089</v>
      </c>
      <c r="F138" s="1" t="s">
        <v>95</v>
      </c>
      <c r="G138" s="1" t="s">
        <v>127</v>
      </c>
      <c r="H138" s="1">
        <v>0</v>
      </c>
      <c r="I138" s="1" t="s">
        <v>776</v>
      </c>
      <c r="J138" s="1" t="s">
        <v>1030</v>
      </c>
      <c r="M138" s="1" t="s">
        <v>1090</v>
      </c>
      <c r="N138" s="1">
        <v>1</v>
      </c>
      <c r="O138" s="1">
        <v>0</v>
      </c>
      <c r="P138" s="1" t="s">
        <v>100</v>
      </c>
      <c r="Q138" s="1" t="s">
        <v>101</v>
      </c>
      <c r="R138" s="1" t="s">
        <v>1098</v>
      </c>
      <c r="S138" s="1" t="s">
        <v>103</v>
      </c>
      <c r="T138" s="1">
        <v>1</v>
      </c>
      <c r="U138" s="1">
        <v>1</v>
      </c>
      <c r="V138" s="1">
        <v>0</v>
      </c>
      <c r="W138" s="1">
        <v>0</v>
      </c>
      <c r="X138" s="1">
        <v>1</v>
      </c>
      <c r="Y138" s="1" t="s">
        <v>104</v>
      </c>
      <c r="Z138" s="1" t="s">
        <v>104</v>
      </c>
      <c r="AA138" s="1">
        <v>1</v>
      </c>
      <c r="AB138" s="1" t="s">
        <v>104</v>
      </c>
      <c r="AC138" s="1" t="s">
        <v>104</v>
      </c>
      <c r="AD138" s="1" t="s">
        <v>104</v>
      </c>
      <c r="AE138" s="1" t="s">
        <v>104</v>
      </c>
      <c r="AF138" s="1" t="s">
        <v>104</v>
      </c>
      <c r="AG138" s="1" t="s">
        <v>104</v>
      </c>
      <c r="AH138" s="1" t="s">
        <v>104</v>
      </c>
      <c r="AI138" s="1">
        <v>1</v>
      </c>
      <c r="AJ138" s="1">
        <v>1</v>
      </c>
      <c r="AK138" s="1" t="s">
        <v>104</v>
      </c>
      <c r="AL138" s="1" t="s">
        <v>104</v>
      </c>
      <c r="AM138" s="1">
        <v>1</v>
      </c>
      <c r="AO138" s="1">
        <v>1</v>
      </c>
      <c r="AQ138" s="1" t="s">
        <v>1092</v>
      </c>
      <c r="AR138" s="1">
        <v>0</v>
      </c>
      <c r="AS138" s="1">
        <v>0</v>
      </c>
      <c r="AT138" s="1">
        <v>0</v>
      </c>
      <c r="AU138" s="1">
        <v>0</v>
      </c>
      <c r="AV138" s="1">
        <v>0</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2" t="str">
        <f>HYPERLINK("http://www.d20pfsrd.com/magic/all-spells/d/detect-law","Detect Law")</f>
        <v>Detect Law</v>
      </c>
      <c r="BR138" s="1">
        <v>137</v>
      </c>
      <c r="BS138" s="1" t="s">
        <v>104</v>
      </c>
      <c r="BX138" s="1">
        <v>0</v>
      </c>
      <c r="BY138" s="1" t="s">
        <v>104</v>
      </c>
      <c r="BZ138" s="1">
        <v>1</v>
      </c>
      <c r="CA138" s="1" t="s">
        <v>104</v>
      </c>
      <c r="CB138" s="1" t="s">
        <v>104</v>
      </c>
      <c r="CC138" s="1" t="s">
        <v>104</v>
      </c>
      <c r="CD138" s="1" t="s">
        <v>104</v>
      </c>
      <c r="CE138" s="1">
        <v>1</v>
      </c>
      <c r="CF138" s="1" t="s">
        <v>104</v>
      </c>
      <c r="CG138" s="1" t="s">
        <v>104</v>
      </c>
      <c r="CH138" s="1" t="s">
        <v>104</v>
      </c>
      <c r="CJ138" s="1">
        <v>0</v>
      </c>
      <c r="CK138" s="1">
        <v>0</v>
      </c>
      <c r="CL138" s="1">
        <v>0</v>
      </c>
      <c r="CM138" s="1" t="s">
        <v>104</v>
      </c>
    </row>
    <row r="139" spans="1:91" ht="14.25" customHeight="1" x14ac:dyDescent="0.3">
      <c r="A139" s="1" t="s">
        <v>1099</v>
      </c>
      <c r="B139" s="1" t="s">
        <v>172</v>
      </c>
      <c r="E139" s="1" t="s">
        <v>1100</v>
      </c>
      <c r="F139" s="1" t="s">
        <v>95</v>
      </c>
      <c r="G139" s="1" t="s">
        <v>116</v>
      </c>
      <c r="H139" s="1">
        <v>0</v>
      </c>
      <c r="I139" s="1" t="s">
        <v>776</v>
      </c>
      <c r="J139" s="1" t="s">
        <v>1030</v>
      </c>
      <c r="M139" s="1" t="s">
        <v>1101</v>
      </c>
      <c r="N139" s="1">
        <v>1</v>
      </c>
      <c r="O139" s="1">
        <v>0</v>
      </c>
      <c r="P139" s="1" t="s">
        <v>100</v>
      </c>
      <c r="Q139" s="1" t="s">
        <v>101</v>
      </c>
      <c r="R139" s="1" t="s">
        <v>1102</v>
      </c>
      <c r="S139" s="1" t="s">
        <v>103</v>
      </c>
      <c r="T139" s="1">
        <v>1</v>
      </c>
      <c r="U139" s="1">
        <v>1</v>
      </c>
      <c r="V139" s="1">
        <v>0</v>
      </c>
      <c r="W139" s="1">
        <v>0</v>
      </c>
      <c r="X139" s="1">
        <v>0</v>
      </c>
      <c r="Y139" s="1">
        <v>0</v>
      </c>
      <c r="Z139" s="1">
        <v>0</v>
      </c>
      <c r="AA139" s="1">
        <v>0</v>
      </c>
      <c r="AB139" s="1">
        <v>0</v>
      </c>
      <c r="AC139" s="1" t="s">
        <v>104</v>
      </c>
      <c r="AD139" s="1">
        <v>0</v>
      </c>
      <c r="AE139" s="1" t="s">
        <v>104</v>
      </c>
      <c r="AF139" s="1" t="s">
        <v>104</v>
      </c>
      <c r="AG139" s="1">
        <v>0</v>
      </c>
      <c r="AH139" s="1">
        <v>0</v>
      </c>
      <c r="AI139" s="1">
        <v>0</v>
      </c>
      <c r="AJ139" s="1">
        <v>0</v>
      </c>
      <c r="AK139" s="1" t="s">
        <v>104</v>
      </c>
      <c r="AL139" s="1">
        <v>0</v>
      </c>
      <c r="AM139" s="1">
        <v>0</v>
      </c>
      <c r="AO139" s="1">
        <v>0</v>
      </c>
      <c r="AQ139" s="1" t="s">
        <v>1103</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2" t="str">
        <f>HYPERLINK("http://www.d20pfsrd.com/magic/all-spells/d/detect-magic","Detect Magic")</f>
        <v>Detect Magic</v>
      </c>
      <c r="BR139" s="1">
        <v>138</v>
      </c>
      <c r="BS139" s="1" t="s">
        <v>104</v>
      </c>
      <c r="BX139" s="1">
        <v>0</v>
      </c>
      <c r="BY139" s="1" t="s">
        <v>104</v>
      </c>
      <c r="BZ139" s="1">
        <v>0</v>
      </c>
      <c r="CA139" s="1">
        <v>0</v>
      </c>
      <c r="CB139" s="1">
        <v>0</v>
      </c>
      <c r="CC139" s="1">
        <v>0</v>
      </c>
      <c r="CD139" s="1">
        <v>0</v>
      </c>
      <c r="CE139" s="1">
        <v>0</v>
      </c>
      <c r="CF139" s="1" t="s">
        <v>104</v>
      </c>
      <c r="CG139" s="1" t="s">
        <v>104</v>
      </c>
      <c r="CH139" s="1">
        <v>0</v>
      </c>
      <c r="CJ139" s="1">
        <v>0</v>
      </c>
      <c r="CK139" s="1">
        <v>0</v>
      </c>
      <c r="CL139" s="1">
        <v>0</v>
      </c>
      <c r="CM139" s="1">
        <v>0</v>
      </c>
    </row>
    <row r="140" spans="1:91" ht="14.25" customHeight="1" x14ac:dyDescent="0.3">
      <c r="A140" s="1" t="s">
        <v>1104</v>
      </c>
      <c r="B140" s="1" t="s">
        <v>172</v>
      </c>
      <c r="E140" s="1" t="s">
        <v>1105</v>
      </c>
      <c r="F140" s="1" t="s">
        <v>95</v>
      </c>
      <c r="G140" s="1" t="s">
        <v>116</v>
      </c>
      <c r="H140" s="1">
        <v>0</v>
      </c>
      <c r="I140" s="1" t="s">
        <v>117</v>
      </c>
      <c r="J140" s="1" t="s">
        <v>1106</v>
      </c>
      <c r="L140" s="1" t="s">
        <v>1106</v>
      </c>
      <c r="M140" s="1" t="s">
        <v>119</v>
      </c>
      <c r="N140" s="1">
        <v>0</v>
      </c>
      <c r="O140" s="1">
        <v>0</v>
      </c>
      <c r="P140" s="1" t="s">
        <v>100</v>
      </c>
      <c r="Q140" s="1" t="s">
        <v>101</v>
      </c>
      <c r="R140" s="1" t="s">
        <v>1107</v>
      </c>
      <c r="S140" s="1" t="s">
        <v>103</v>
      </c>
      <c r="T140" s="1">
        <v>1</v>
      </c>
      <c r="U140" s="1">
        <v>1</v>
      </c>
      <c r="V140" s="1">
        <v>0</v>
      </c>
      <c r="W140" s="1">
        <v>0</v>
      </c>
      <c r="X140" s="1">
        <v>0</v>
      </c>
      <c r="Y140" s="1">
        <v>0</v>
      </c>
      <c r="Z140" s="1">
        <v>0</v>
      </c>
      <c r="AA140" s="1">
        <v>0</v>
      </c>
      <c r="AB140" s="1">
        <v>0</v>
      </c>
      <c r="AC140" s="1">
        <v>1</v>
      </c>
      <c r="AD140" s="1" t="s">
        <v>104</v>
      </c>
      <c r="AE140" s="1">
        <v>1</v>
      </c>
      <c r="AF140" s="1" t="s">
        <v>104</v>
      </c>
      <c r="AG140" s="1" t="s">
        <v>104</v>
      </c>
      <c r="AH140" s="1" t="s">
        <v>104</v>
      </c>
      <c r="AI140" s="1">
        <v>0</v>
      </c>
      <c r="AJ140" s="1">
        <v>0</v>
      </c>
      <c r="AK140" s="1" t="s">
        <v>104</v>
      </c>
      <c r="AL140" s="1" t="s">
        <v>104</v>
      </c>
      <c r="AM140" s="1" t="s">
        <v>104</v>
      </c>
      <c r="AO140" s="1">
        <v>0</v>
      </c>
      <c r="AQ140" s="1" t="s">
        <v>1108</v>
      </c>
      <c r="AR140" s="1">
        <v>0</v>
      </c>
      <c r="AS140" s="1">
        <v>0</v>
      </c>
      <c r="AT140" s="1">
        <v>0</v>
      </c>
      <c r="AU140" s="1">
        <v>0</v>
      </c>
      <c r="AV140" s="1">
        <v>0</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2" t="str">
        <f>HYPERLINK("http://www.d20pfsrd.com/magic/all-spells/d/detect-poison","Detect Poison")</f>
        <v>Detect Poison</v>
      </c>
      <c r="BR140" s="1">
        <v>139</v>
      </c>
      <c r="BS140" s="1" t="s">
        <v>104</v>
      </c>
      <c r="BX140" s="1">
        <v>0</v>
      </c>
      <c r="BY140" s="1" t="s">
        <v>104</v>
      </c>
      <c r="BZ140" s="1">
        <v>0</v>
      </c>
      <c r="CA140" s="1">
        <v>0</v>
      </c>
      <c r="CB140" s="1" t="s">
        <v>104</v>
      </c>
      <c r="CC140" s="1">
        <v>0</v>
      </c>
      <c r="CD140" s="1">
        <v>0</v>
      </c>
      <c r="CE140" s="1" t="s">
        <v>104</v>
      </c>
      <c r="CF140" s="1" t="s">
        <v>104</v>
      </c>
      <c r="CG140" s="1" t="s">
        <v>104</v>
      </c>
      <c r="CH140" s="1">
        <v>0</v>
      </c>
      <c r="CJ140" s="1">
        <v>0</v>
      </c>
      <c r="CK140" s="1">
        <v>0</v>
      </c>
      <c r="CL140" s="1">
        <v>0</v>
      </c>
      <c r="CM140" s="1" t="s">
        <v>104</v>
      </c>
    </row>
    <row r="141" spans="1:91" ht="14.25" customHeight="1" x14ac:dyDescent="0.3">
      <c r="A141" s="1" t="s">
        <v>1109</v>
      </c>
      <c r="B141" s="1" t="s">
        <v>172</v>
      </c>
      <c r="E141" s="1" t="s">
        <v>1110</v>
      </c>
      <c r="F141" s="1" t="s">
        <v>95</v>
      </c>
      <c r="G141" s="1" t="s">
        <v>1111</v>
      </c>
      <c r="H141" s="1">
        <v>0</v>
      </c>
      <c r="I141" s="1" t="s">
        <v>448</v>
      </c>
      <c r="J141" s="1" t="s">
        <v>1112</v>
      </c>
      <c r="M141" s="1" t="s">
        <v>341</v>
      </c>
      <c r="N141" s="1">
        <v>0</v>
      </c>
      <c r="O141" s="1">
        <v>0</v>
      </c>
      <c r="P141" s="1" t="s">
        <v>100</v>
      </c>
      <c r="Q141" s="1" t="s">
        <v>101</v>
      </c>
      <c r="R141" s="1" t="s">
        <v>1113</v>
      </c>
      <c r="S141" s="1" t="s">
        <v>103</v>
      </c>
      <c r="T141" s="1">
        <v>1</v>
      </c>
      <c r="U141" s="1">
        <v>1</v>
      </c>
      <c r="V141" s="1">
        <v>1</v>
      </c>
      <c r="W141" s="1">
        <v>0</v>
      </c>
      <c r="X141" s="1">
        <v>0</v>
      </c>
      <c r="Y141" s="1">
        <v>4</v>
      </c>
      <c r="Z141" s="1">
        <v>4</v>
      </c>
      <c r="AA141" s="1" t="s">
        <v>104</v>
      </c>
      <c r="AB141" s="1" t="s">
        <v>104</v>
      </c>
      <c r="AC141" s="1" t="s">
        <v>104</v>
      </c>
      <c r="AD141" s="1">
        <v>4</v>
      </c>
      <c r="AE141" s="1" t="s">
        <v>104</v>
      </c>
      <c r="AF141" s="1" t="s">
        <v>104</v>
      </c>
      <c r="AG141" s="1" t="s">
        <v>104</v>
      </c>
      <c r="AH141" s="1">
        <v>4</v>
      </c>
      <c r="AI141" s="1">
        <v>4</v>
      </c>
      <c r="AJ141" s="1" t="s">
        <v>104</v>
      </c>
      <c r="AK141" s="1" t="s">
        <v>104</v>
      </c>
      <c r="AL141" s="1" t="s">
        <v>104</v>
      </c>
      <c r="AM141" s="1" t="s">
        <v>104</v>
      </c>
      <c r="AO141" s="1">
        <v>4</v>
      </c>
      <c r="AP141" s="1" t="s">
        <v>1114</v>
      </c>
      <c r="AQ141" s="1" t="s">
        <v>1115</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2" t="str">
        <f>HYPERLINK("http://www.d20pfsrd.com/magic/all-spells/d/detect-scrying","Detect Scrying")</f>
        <v>Detect Scrying</v>
      </c>
      <c r="BR141" s="1">
        <v>140</v>
      </c>
      <c r="BS141" s="1" t="s">
        <v>104</v>
      </c>
      <c r="BT141" s="1" t="s">
        <v>1116</v>
      </c>
      <c r="BX141" s="1">
        <v>0</v>
      </c>
      <c r="BY141" s="1" t="s">
        <v>104</v>
      </c>
      <c r="BZ141" s="1">
        <v>4</v>
      </c>
      <c r="CA141" s="1">
        <v>4</v>
      </c>
      <c r="CB141" s="1">
        <v>3</v>
      </c>
      <c r="CC141" s="1">
        <v>4</v>
      </c>
      <c r="CD141" s="1">
        <v>4</v>
      </c>
      <c r="CE141" s="1">
        <v>4</v>
      </c>
      <c r="CF141" s="1" t="s">
        <v>104</v>
      </c>
      <c r="CG141" s="1" t="s">
        <v>104</v>
      </c>
      <c r="CH141" s="1" t="s">
        <v>104</v>
      </c>
      <c r="CJ141" s="1">
        <v>0</v>
      </c>
      <c r="CK141" s="1">
        <v>0</v>
      </c>
      <c r="CL141" s="1">
        <v>0</v>
      </c>
      <c r="CM141" s="1" t="s">
        <v>104</v>
      </c>
    </row>
    <row r="142" spans="1:91" ht="14.25" customHeight="1" x14ac:dyDescent="0.3">
      <c r="A142" s="1" t="s">
        <v>1117</v>
      </c>
      <c r="B142" s="1" t="s">
        <v>172</v>
      </c>
      <c r="E142" s="1" t="s">
        <v>1118</v>
      </c>
      <c r="F142" s="1" t="s">
        <v>95</v>
      </c>
      <c r="G142" s="1" t="s">
        <v>116</v>
      </c>
      <c r="H142" s="1">
        <v>0</v>
      </c>
      <c r="I142" s="1" t="s">
        <v>776</v>
      </c>
      <c r="J142" s="1" t="s">
        <v>1030</v>
      </c>
      <c r="M142" s="1" t="s">
        <v>1101</v>
      </c>
      <c r="N142" s="1">
        <v>1</v>
      </c>
      <c r="O142" s="1">
        <v>0</v>
      </c>
      <c r="P142" s="1" t="s">
        <v>100</v>
      </c>
      <c r="Q142" s="1" t="s">
        <v>101</v>
      </c>
      <c r="R142" s="1" t="s">
        <v>1119</v>
      </c>
      <c r="S142" s="1" t="s">
        <v>103</v>
      </c>
      <c r="T142" s="1">
        <v>1</v>
      </c>
      <c r="U142" s="1">
        <v>1</v>
      </c>
      <c r="V142" s="1">
        <v>0</v>
      </c>
      <c r="W142" s="1">
        <v>0</v>
      </c>
      <c r="X142" s="1">
        <v>0</v>
      </c>
      <c r="Y142" s="1">
        <v>1</v>
      </c>
      <c r="Z142" s="1">
        <v>1</v>
      </c>
      <c r="AA142" s="1" t="s">
        <v>104</v>
      </c>
      <c r="AB142" s="1" t="s">
        <v>104</v>
      </c>
      <c r="AC142" s="1" t="s">
        <v>104</v>
      </c>
      <c r="AD142" s="1">
        <v>1</v>
      </c>
      <c r="AE142" s="1" t="s">
        <v>104</v>
      </c>
      <c r="AF142" s="1">
        <v>1</v>
      </c>
      <c r="AG142" s="1" t="s">
        <v>104</v>
      </c>
      <c r="AH142" s="1">
        <v>1</v>
      </c>
      <c r="AI142" s="1" t="s">
        <v>104</v>
      </c>
      <c r="AJ142" s="1" t="s">
        <v>104</v>
      </c>
      <c r="AK142" s="1" t="s">
        <v>104</v>
      </c>
      <c r="AL142" s="1" t="s">
        <v>104</v>
      </c>
      <c r="AM142" s="1" t="s">
        <v>104</v>
      </c>
      <c r="AO142" s="1">
        <v>1</v>
      </c>
      <c r="AP142" s="1" t="s">
        <v>1120</v>
      </c>
      <c r="AQ142" s="1" t="s">
        <v>1121</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2" t="str">
        <f>HYPERLINK("http://www.d20pfsrd.com/magic/all-spells/d/detect-secret-doors","Detect Secret Doors")</f>
        <v>Detect Secret Doors</v>
      </c>
      <c r="BR142" s="1">
        <v>141</v>
      </c>
      <c r="BS142" s="1" t="s">
        <v>104</v>
      </c>
      <c r="BX142" s="1">
        <v>0</v>
      </c>
      <c r="BY142" s="1" t="s">
        <v>104</v>
      </c>
      <c r="BZ142" s="1" t="s">
        <v>104</v>
      </c>
      <c r="CA142" s="1">
        <v>1</v>
      </c>
      <c r="CB142" s="1" t="s">
        <v>104</v>
      </c>
      <c r="CC142" s="1">
        <v>1</v>
      </c>
      <c r="CD142" s="1">
        <v>1</v>
      </c>
      <c r="CE142" s="1" t="s">
        <v>104</v>
      </c>
      <c r="CF142" s="1" t="s">
        <v>104</v>
      </c>
      <c r="CG142" s="1" t="s">
        <v>104</v>
      </c>
      <c r="CH142" s="1" t="s">
        <v>104</v>
      </c>
      <c r="CJ142" s="1">
        <v>0</v>
      </c>
      <c r="CK142" s="1">
        <v>0</v>
      </c>
      <c r="CL142" s="1">
        <v>0</v>
      </c>
      <c r="CM142" s="1" t="s">
        <v>104</v>
      </c>
    </row>
    <row r="143" spans="1:91" ht="14.25" customHeight="1" x14ac:dyDescent="0.3">
      <c r="A143" s="1" t="s">
        <v>1122</v>
      </c>
      <c r="B143" s="1" t="s">
        <v>172</v>
      </c>
      <c r="E143" s="1" t="s">
        <v>1123</v>
      </c>
      <c r="F143" s="1" t="s">
        <v>95</v>
      </c>
      <c r="G143" s="1" t="s">
        <v>116</v>
      </c>
      <c r="H143" s="1">
        <v>0</v>
      </c>
      <c r="I143" s="1" t="s">
        <v>776</v>
      </c>
      <c r="J143" s="1" t="s">
        <v>1030</v>
      </c>
      <c r="M143" s="1" t="s">
        <v>1085</v>
      </c>
      <c r="N143" s="1">
        <v>1</v>
      </c>
      <c r="O143" s="1">
        <v>0</v>
      </c>
      <c r="P143" s="1" t="s">
        <v>100</v>
      </c>
      <c r="Q143" s="1" t="s">
        <v>101</v>
      </c>
      <c r="R143" s="1" t="s">
        <v>1124</v>
      </c>
      <c r="S143" s="1" t="s">
        <v>103</v>
      </c>
      <c r="T143" s="1">
        <v>1</v>
      </c>
      <c r="U143" s="1">
        <v>1</v>
      </c>
      <c r="V143" s="1">
        <v>0</v>
      </c>
      <c r="W143" s="1">
        <v>0</v>
      </c>
      <c r="X143" s="1">
        <v>0</v>
      </c>
      <c r="Y143" s="1" t="s">
        <v>104</v>
      </c>
      <c r="Z143" s="1" t="s">
        <v>104</v>
      </c>
      <c r="AA143" s="1" t="s">
        <v>104</v>
      </c>
      <c r="AB143" s="1">
        <v>1</v>
      </c>
      <c r="AC143" s="1">
        <v>1</v>
      </c>
      <c r="AD143" s="1" t="s">
        <v>104</v>
      </c>
      <c r="AE143" s="1" t="s">
        <v>104</v>
      </c>
      <c r="AF143" s="1" t="s">
        <v>104</v>
      </c>
      <c r="AG143" s="1" t="s">
        <v>104</v>
      </c>
      <c r="AH143" s="1" t="s">
        <v>104</v>
      </c>
      <c r="AI143" s="1" t="s">
        <v>104</v>
      </c>
      <c r="AJ143" s="1" t="s">
        <v>104</v>
      </c>
      <c r="AK143" s="1" t="s">
        <v>104</v>
      </c>
      <c r="AL143" s="1" t="s">
        <v>104</v>
      </c>
      <c r="AM143" s="1" t="s">
        <v>104</v>
      </c>
      <c r="AO143" s="1">
        <v>1</v>
      </c>
      <c r="AQ143" s="1" t="s">
        <v>1125</v>
      </c>
      <c r="AR143" s="1">
        <v>0</v>
      </c>
      <c r="AS143" s="1">
        <v>0</v>
      </c>
      <c r="AT143" s="1">
        <v>0</v>
      </c>
      <c r="AU143" s="1">
        <v>0</v>
      </c>
      <c r="AV143" s="1">
        <v>0</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2" t="str">
        <f>HYPERLINK("http://www.d20pfsrd.com/magic/all-spells/d/detect-snares-and-pits","Detect Snares and Pits")</f>
        <v>Detect Snares and Pits</v>
      </c>
      <c r="BR143" s="1">
        <v>142</v>
      </c>
      <c r="BS143" s="1" t="s">
        <v>104</v>
      </c>
      <c r="BX143" s="1">
        <v>0</v>
      </c>
      <c r="BY143" s="1" t="s">
        <v>104</v>
      </c>
      <c r="BZ143" s="1" t="s">
        <v>104</v>
      </c>
      <c r="CA143" s="1" t="s">
        <v>104</v>
      </c>
      <c r="CB143" s="1" t="s">
        <v>104</v>
      </c>
      <c r="CC143" s="1" t="s">
        <v>104</v>
      </c>
      <c r="CD143" s="1">
        <v>1</v>
      </c>
      <c r="CE143" s="1" t="s">
        <v>104</v>
      </c>
      <c r="CF143" s="1" t="s">
        <v>104</v>
      </c>
      <c r="CG143" s="1" t="s">
        <v>104</v>
      </c>
      <c r="CH143" s="1">
        <v>1</v>
      </c>
      <c r="CJ143" s="1">
        <v>0</v>
      </c>
      <c r="CK143" s="1">
        <v>0</v>
      </c>
      <c r="CL143" s="1">
        <v>0</v>
      </c>
      <c r="CM143" s="1" t="s">
        <v>104</v>
      </c>
    </row>
    <row r="144" spans="1:91" ht="14.25" customHeight="1" x14ac:dyDescent="0.3">
      <c r="A144" s="1" t="s">
        <v>1126</v>
      </c>
      <c r="B144" s="1" t="s">
        <v>172</v>
      </c>
      <c r="D144" s="1" t="s">
        <v>125</v>
      </c>
      <c r="E144" s="1" t="s">
        <v>1127</v>
      </c>
      <c r="F144" s="1" t="s">
        <v>95</v>
      </c>
      <c r="G144" s="1" t="s">
        <v>1128</v>
      </c>
      <c r="H144" s="1">
        <v>0</v>
      </c>
      <c r="I144" s="1" t="s">
        <v>776</v>
      </c>
      <c r="J144" s="1" t="s">
        <v>1030</v>
      </c>
      <c r="M144" s="1" t="s">
        <v>1101</v>
      </c>
      <c r="N144" s="1">
        <v>1</v>
      </c>
      <c r="O144" s="1">
        <v>0</v>
      </c>
      <c r="P144" s="1" t="s">
        <v>418</v>
      </c>
      <c r="Q144" s="1" t="s">
        <v>101</v>
      </c>
      <c r="R144" s="1" t="s">
        <v>1129</v>
      </c>
      <c r="S144" s="1" t="s">
        <v>103</v>
      </c>
      <c r="T144" s="1">
        <v>1</v>
      </c>
      <c r="U144" s="1">
        <v>1</v>
      </c>
      <c r="V144" s="1">
        <v>0</v>
      </c>
      <c r="W144" s="1">
        <v>0</v>
      </c>
      <c r="X144" s="1">
        <v>1</v>
      </c>
      <c r="Y144" s="1">
        <v>2</v>
      </c>
      <c r="Z144" s="1">
        <v>2</v>
      </c>
      <c r="AA144" s="1" t="s">
        <v>104</v>
      </c>
      <c r="AB144" s="1" t="s">
        <v>104</v>
      </c>
      <c r="AC144" s="1" t="s">
        <v>104</v>
      </c>
      <c r="AD144" s="1">
        <v>2</v>
      </c>
      <c r="AE144" s="1" t="s">
        <v>104</v>
      </c>
      <c r="AF144" s="1">
        <v>2</v>
      </c>
      <c r="AG144" s="1">
        <v>2</v>
      </c>
      <c r="AH144" s="1">
        <v>2</v>
      </c>
      <c r="AI144" s="1">
        <v>2</v>
      </c>
      <c r="AJ144" s="1" t="s">
        <v>104</v>
      </c>
      <c r="AK144" s="1" t="s">
        <v>104</v>
      </c>
      <c r="AL144" s="1" t="s">
        <v>104</v>
      </c>
      <c r="AM144" s="1" t="s">
        <v>104</v>
      </c>
      <c r="AO144" s="1">
        <v>2</v>
      </c>
      <c r="AP144" s="1" t="s">
        <v>1130</v>
      </c>
      <c r="AQ144" s="1" t="s">
        <v>1131</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1</v>
      </c>
      <c r="BL144" s="1">
        <v>0</v>
      </c>
      <c r="BM144" s="1">
        <v>0</v>
      </c>
      <c r="BN144" s="1">
        <v>0</v>
      </c>
      <c r="BO144" s="1">
        <v>0</v>
      </c>
      <c r="BP144" s="1">
        <v>0</v>
      </c>
      <c r="BQ144" s="2" t="str">
        <f>HYPERLINK("http://www.d20pfsrd.com/magic/all-spells/d/detect-thoughts","Detect Thoughts")</f>
        <v>Detect Thoughts</v>
      </c>
      <c r="BR144" s="1">
        <v>143</v>
      </c>
      <c r="BS144" s="1" t="s">
        <v>104</v>
      </c>
      <c r="BX144" s="1">
        <v>0</v>
      </c>
      <c r="BY144" s="1" t="s">
        <v>104</v>
      </c>
      <c r="BZ144" s="1" t="s">
        <v>104</v>
      </c>
      <c r="CA144" s="1">
        <v>1</v>
      </c>
      <c r="CB144" s="1">
        <v>2</v>
      </c>
      <c r="CC144" s="1">
        <v>2</v>
      </c>
      <c r="CD144" s="1" t="s">
        <v>104</v>
      </c>
      <c r="CE144" s="1">
        <v>2</v>
      </c>
      <c r="CF144" s="1" t="s">
        <v>104</v>
      </c>
      <c r="CG144" s="1" t="s">
        <v>104</v>
      </c>
      <c r="CH144" s="1" t="s">
        <v>104</v>
      </c>
      <c r="CJ144" s="1">
        <v>0</v>
      </c>
      <c r="CK144" s="1">
        <v>0</v>
      </c>
      <c r="CL144" s="1">
        <v>0</v>
      </c>
      <c r="CM144" s="1">
        <v>2</v>
      </c>
    </row>
    <row r="145" spans="1:91" ht="14.25" customHeight="1" x14ac:dyDescent="0.3">
      <c r="A145" s="1" t="s">
        <v>1132</v>
      </c>
      <c r="B145" s="1" t="s">
        <v>172</v>
      </c>
      <c r="E145" s="1" t="s">
        <v>1133</v>
      </c>
      <c r="F145" s="1" t="s">
        <v>95</v>
      </c>
      <c r="G145" s="1" t="s">
        <v>1134</v>
      </c>
      <c r="H145" s="1">
        <v>0</v>
      </c>
      <c r="I145" s="1" t="s">
        <v>776</v>
      </c>
      <c r="J145" s="1" t="s">
        <v>1030</v>
      </c>
      <c r="M145" s="1" t="s">
        <v>1135</v>
      </c>
      <c r="N145" s="1">
        <v>1</v>
      </c>
      <c r="O145" s="1">
        <v>0</v>
      </c>
      <c r="P145" s="1" t="s">
        <v>100</v>
      </c>
      <c r="Q145" s="1" t="s">
        <v>101</v>
      </c>
      <c r="R145" s="1" t="s">
        <v>1136</v>
      </c>
      <c r="S145" s="1" t="s">
        <v>103</v>
      </c>
      <c r="T145" s="1">
        <v>1</v>
      </c>
      <c r="U145" s="1">
        <v>1</v>
      </c>
      <c r="V145" s="1">
        <v>1</v>
      </c>
      <c r="W145" s="1">
        <v>0</v>
      </c>
      <c r="X145" s="1">
        <v>1</v>
      </c>
      <c r="Y145" s="1">
        <v>1</v>
      </c>
      <c r="Z145" s="1">
        <v>1</v>
      </c>
      <c r="AA145" s="1">
        <v>1</v>
      </c>
      <c r="AB145" s="1" t="s">
        <v>104</v>
      </c>
      <c r="AC145" s="1" t="s">
        <v>104</v>
      </c>
      <c r="AD145" s="1" t="s">
        <v>104</v>
      </c>
      <c r="AE145" s="1">
        <v>1</v>
      </c>
      <c r="AF145" s="1">
        <v>1</v>
      </c>
      <c r="AG145" s="1" t="s">
        <v>104</v>
      </c>
      <c r="AH145" s="1" t="s">
        <v>104</v>
      </c>
      <c r="AI145" s="1">
        <v>1</v>
      </c>
      <c r="AJ145" s="1">
        <v>1</v>
      </c>
      <c r="AK145" s="1" t="s">
        <v>104</v>
      </c>
      <c r="AL145" s="1" t="s">
        <v>104</v>
      </c>
      <c r="AM145" s="1" t="s">
        <v>104</v>
      </c>
      <c r="AO145" s="1">
        <v>1</v>
      </c>
      <c r="AQ145" s="1" t="s">
        <v>1137</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2" t="str">
        <f>HYPERLINK("http://www.d20pfsrd.com/magic/all-spells/d/detect-undead","Detect Undead")</f>
        <v>Detect Undead</v>
      </c>
      <c r="BR145" s="1">
        <v>144</v>
      </c>
      <c r="BS145" s="1" t="s">
        <v>104</v>
      </c>
      <c r="BU145" s="1" t="s">
        <v>1138</v>
      </c>
      <c r="BX145" s="1">
        <v>0</v>
      </c>
      <c r="BY145" s="1" t="s">
        <v>104</v>
      </c>
      <c r="BZ145" s="1">
        <v>1</v>
      </c>
      <c r="CA145" s="1">
        <v>1</v>
      </c>
      <c r="CB145" s="1">
        <v>1</v>
      </c>
      <c r="CC145" s="1">
        <v>1</v>
      </c>
      <c r="CD145" s="1" t="s">
        <v>104</v>
      </c>
      <c r="CE145" s="1">
        <v>1</v>
      </c>
      <c r="CF145" s="1" t="s">
        <v>104</v>
      </c>
      <c r="CG145" s="1" t="s">
        <v>104</v>
      </c>
      <c r="CH145" s="1" t="s">
        <v>104</v>
      </c>
      <c r="CJ145" s="1">
        <v>0</v>
      </c>
      <c r="CK145" s="1">
        <v>0</v>
      </c>
      <c r="CL145" s="1">
        <v>0</v>
      </c>
      <c r="CM145" s="1" t="s">
        <v>104</v>
      </c>
    </row>
    <row r="146" spans="1:91" ht="14.25" customHeight="1" x14ac:dyDescent="0.3">
      <c r="A146" s="1" t="s">
        <v>1139</v>
      </c>
      <c r="B146" s="1" t="s">
        <v>434</v>
      </c>
      <c r="D146" s="1" t="s">
        <v>1140</v>
      </c>
      <c r="E146" s="1" t="s">
        <v>447</v>
      </c>
      <c r="F146" s="1" t="s">
        <v>95</v>
      </c>
      <c r="G146" s="1" t="s">
        <v>237</v>
      </c>
      <c r="H146" s="1">
        <v>0</v>
      </c>
      <c r="I146" s="1" t="s">
        <v>448</v>
      </c>
      <c r="J146" s="1" t="s">
        <v>1141</v>
      </c>
      <c r="M146" s="1" t="s">
        <v>119</v>
      </c>
      <c r="N146" s="1">
        <v>0</v>
      </c>
      <c r="O146" s="1">
        <v>0</v>
      </c>
      <c r="P146" s="1" t="s">
        <v>176</v>
      </c>
      <c r="Q146" s="1" t="s">
        <v>184</v>
      </c>
      <c r="R146" s="1" t="s">
        <v>1142</v>
      </c>
      <c r="S146" s="1" t="s">
        <v>103</v>
      </c>
      <c r="T146" s="1">
        <v>1</v>
      </c>
      <c r="U146" s="1">
        <v>0</v>
      </c>
      <c r="V146" s="1">
        <v>0</v>
      </c>
      <c r="W146" s="1">
        <v>0</v>
      </c>
      <c r="X146" s="1">
        <v>0</v>
      </c>
      <c r="Y146" s="1" t="s">
        <v>104</v>
      </c>
      <c r="Z146" s="1" t="s">
        <v>104</v>
      </c>
      <c r="AA146" s="1">
        <v>7</v>
      </c>
      <c r="AB146" s="1" t="s">
        <v>104</v>
      </c>
      <c r="AC146" s="1" t="s">
        <v>104</v>
      </c>
      <c r="AD146" s="1" t="s">
        <v>104</v>
      </c>
      <c r="AE146" s="1" t="s">
        <v>104</v>
      </c>
      <c r="AF146" s="1" t="s">
        <v>104</v>
      </c>
      <c r="AG146" s="1" t="s">
        <v>104</v>
      </c>
      <c r="AH146" s="1" t="s">
        <v>104</v>
      </c>
      <c r="AI146" s="1">
        <v>6</v>
      </c>
      <c r="AJ146" s="1">
        <v>7</v>
      </c>
      <c r="AK146" s="1" t="s">
        <v>104</v>
      </c>
      <c r="AL146" s="1" t="s">
        <v>104</v>
      </c>
      <c r="AM146" s="1" t="s">
        <v>104</v>
      </c>
      <c r="AO146" s="1">
        <v>7</v>
      </c>
      <c r="AP146" s="1" t="s">
        <v>1143</v>
      </c>
      <c r="AQ146" s="1" t="s">
        <v>1144</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1</v>
      </c>
      <c r="BJ146" s="1">
        <v>0</v>
      </c>
      <c r="BK146" s="1">
        <v>0</v>
      </c>
      <c r="BL146" s="1">
        <v>0</v>
      </c>
      <c r="BM146" s="1">
        <v>0</v>
      </c>
      <c r="BN146" s="1">
        <v>0</v>
      </c>
      <c r="BO146" s="1">
        <v>1</v>
      </c>
      <c r="BP146" s="1">
        <v>0</v>
      </c>
      <c r="BQ146" s="2" t="str">
        <f>HYPERLINK("http://www.d20pfsrd.com/magic/all-spells/d/dictum","Dictum")</f>
        <v>Dictum</v>
      </c>
      <c r="BR146" s="1">
        <v>145</v>
      </c>
      <c r="BS146" s="1" t="s">
        <v>104</v>
      </c>
      <c r="BV146" s="1" t="s">
        <v>1145</v>
      </c>
      <c r="BX146" s="1">
        <v>1</v>
      </c>
      <c r="BY146" s="1" t="s">
        <v>104</v>
      </c>
      <c r="BZ146" s="1" t="s">
        <v>104</v>
      </c>
      <c r="CA146" s="1" t="s">
        <v>104</v>
      </c>
      <c r="CB146" s="1" t="s">
        <v>104</v>
      </c>
      <c r="CC146" s="1" t="s">
        <v>104</v>
      </c>
      <c r="CD146" s="1" t="s">
        <v>104</v>
      </c>
      <c r="CE146" s="1" t="s">
        <v>104</v>
      </c>
      <c r="CF146" s="1" t="s">
        <v>104</v>
      </c>
      <c r="CG146" s="1" t="s">
        <v>104</v>
      </c>
      <c r="CH146" s="1" t="s">
        <v>104</v>
      </c>
      <c r="CJ146" s="1">
        <v>0</v>
      </c>
      <c r="CK146" s="1">
        <v>0</v>
      </c>
      <c r="CL146" s="1">
        <v>0</v>
      </c>
      <c r="CM146" s="1" t="s">
        <v>104</v>
      </c>
    </row>
    <row r="147" spans="1:91" ht="14.25" customHeight="1" x14ac:dyDescent="0.3">
      <c r="A147" s="1" t="s">
        <v>1146</v>
      </c>
      <c r="B147" s="1" t="s">
        <v>162</v>
      </c>
      <c r="E147" s="1" t="s">
        <v>1147</v>
      </c>
      <c r="F147" s="1" t="s">
        <v>95</v>
      </c>
      <c r="G147" s="1" t="s">
        <v>116</v>
      </c>
      <c r="H147" s="1">
        <v>0</v>
      </c>
      <c r="I147" s="1" t="s">
        <v>109</v>
      </c>
      <c r="K147" s="1" t="s">
        <v>1148</v>
      </c>
      <c r="M147" s="1" t="s">
        <v>130</v>
      </c>
      <c r="N147" s="1">
        <v>0</v>
      </c>
      <c r="O147" s="1">
        <v>0</v>
      </c>
      <c r="P147" s="1" t="s">
        <v>100</v>
      </c>
      <c r="Q147" s="1" t="s">
        <v>472</v>
      </c>
      <c r="R147" s="1" t="s">
        <v>1149</v>
      </c>
      <c r="S147" s="1" t="s">
        <v>103</v>
      </c>
      <c r="T147" s="1">
        <v>1</v>
      </c>
      <c r="U147" s="1">
        <v>1</v>
      </c>
      <c r="V147" s="1">
        <v>0</v>
      </c>
      <c r="W147" s="1">
        <v>0</v>
      </c>
      <c r="X147" s="1">
        <v>0</v>
      </c>
      <c r="Y147" s="1">
        <v>4</v>
      </c>
      <c r="Z147" s="1">
        <v>4</v>
      </c>
      <c r="AA147" s="1">
        <v>4</v>
      </c>
      <c r="AB147" s="1" t="s">
        <v>104</v>
      </c>
      <c r="AC147" s="1" t="s">
        <v>104</v>
      </c>
      <c r="AD147" s="1" t="s">
        <v>104</v>
      </c>
      <c r="AE147" s="1" t="s">
        <v>104</v>
      </c>
      <c r="AF147" s="1" t="s">
        <v>104</v>
      </c>
      <c r="AG147" s="1">
        <v>3</v>
      </c>
      <c r="AH147" s="1" t="s">
        <v>104</v>
      </c>
      <c r="AI147" s="1">
        <v>3</v>
      </c>
      <c r="AJ147" s="1">
        <v>4</v>
      </c>
      <c r="AK147" s="1" t="s">
        <v>104</v>
      </c>
      <c r="AL147" s="1" t="s">
        <v>104</v>
      </c>
      <c r="AM147" s="1" t="s">
        <v>104</v>
      </c>
      <c r="AO147" s="1">
        <v>4</v>
      </c>
      <c r="AP147" s="1" t="s">
        <v>1150</v>
      </c>
      <c r="AQ147" s="1" t="s">
        <v>1151</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2" t="str">
        <f>HYPERLINK("http://www.d20pfsrd.com/magic/all-spells/d/dimensional-anchor","Dimensional Anchor")</f>
        <v>Dimensional Anchor</v>
      </c>
      <c r="BR147" s="1">
        <v>146</v>
      </c>
      <c r="BS147" s="1" t="s">
        <v>104</v>
      </c>
      <c r="BU147" s="1" t="s">
        <v>1152</v>
      </c>
      <c r="BX147" s="1">
        <v>0</v>
      </c>
      <c r="BY147" s="1" t="s">
        <v>104</v>
      </c>
      <c r="BZ147" s="1" t="s">
        <v>104</v>
      </c>
      <c r="CA147" s="1">
        <v>4</v>
      </c>
      <c r="CB147" s="1">
        <v>3</v>
      </c>
      <c r="CC147" s="1" t="s">
        <v>104</v>
      </c>
      <c r="CD147" s="1">
        <v>4</v>
      </c>
      <c r="CE147" s="1">
        <v>4</v>
      </c>
      <c r="CF147" s="1" t="s">
        <v>104</v>
      </c>
      <c r="CG147" s="1" t="s">
        <v>104</v>
      </c>
      <c r="CH147" s="1" t="s">
        <v>104</v>
      </c>
      <c r="CJ147" s="1">
        <v>0</v>
      </c>
      <c r="CK147" s="1">
        <v>0</v>
      </c>
      <c r="CL147" s="1">
        <v>0</v>
      </c>
      <c r="CM147" s="1">
        <v>4</v>
      </c>
    </row>
    <row r="148" spans="1:91" ht="14.25" customHeight="1" x14ac:dyDescent="0.3">
      <c r="A148" s="1" t="s">
        <v>1153</v>
      </c>
      <c r="B148" s="1" t="s">
        <v>162</v>
      </c>
      <c r="E148" s="1" t="s">
        <v>1154</v>
      </c>
      <c r="F148" s="1" t="s">
        <v>95</v>
      </c>
      <c r="G148" s="1" t="s">
        <v>116</v>
      </c>
      <c r="H148" s="1">
        <v>0</v>
      </c>
      <c r="I148" s="1" t="s">
        <v>109</v>
      </c>
      <c r="J148" s="1" t="s">
        <v>165</v>
      </c>
      <c r="M148" s="1" t="s">
        <v>194</v>
      </c>
      <c r="N148" s="1">
        <v>0</v>
      </c>
      <c r="O148" s="1">
        <v>0</v>
      </c>
      <c r="P148" s="1" t="s">
        <v>100</v>
      </c>
      <c r="Q148" s="1" t="s">
        <v>184</v>
      </c>
      <c r="R148" s="1" t="s">
        <v>1155</v>
      </c>
      <c r="S148" s="1" t="s">
        <v>103</v>
      </c>
      <c r="T148" s="1">
        <v>1</v>
      </c>
      <c r="U148" s="1">
        <v>1</v>
      </c>
      <c r="V148" s="1">
        <v>0</v>
      </c>
      <c r="W148" s="1">
        <v>0</v>
      </c>
      <c r="X148" s="1">
        <v>0</v>
      </c>
      <c r="Y148" s="1">
        <v>8</v>
      </c>
      <c r="Z148" s="1">
        <v>8</v>
      </c>
      <c r="AA148" s="1">
        <v>8</v>
      </c>
      <c r="AB148" s="1" t="s">
        <v>104</v>
      </c>
      <c r="AC148" s="1" t="s">
        <v>104</v>
      </c>
      <c r="AD148" s="1" t="s">
        <v>104</v>
      </c>
      <c r="AE148" s="1" t="s">
        <v>104</v>
      </c>
      <c r="AF148" s="1" t="s">
        <v>104</v>
      </c>
      <c r="AG148" s="1">
        <v>6</v>
      </c>
      <c r="AH148" s="1" t="s">
        <v>104</v>
      </c>
      <c r="AI148" s="1" t="s">
        <v>104</v>
      </c>
      <c r="AJ148" s="1">
        <v>8</v>
      </c>
      <c r="AK148" s="1" t="s">
        <v>104</v>
      </c>
      <c r="AL148" s="1" t="s">
        <v>104</v>
      </c>
      <c r="AM148" s="1" t="s">
        <v>104</v>
      </c>
      <c r="AO148" s="1">
        <v>8</v>
      </c>
      <c r="AQ148" s="1" t="s">
        <v>1156</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2" t="str">
        <f>HYPERLINK("http://www.d20pfsrd.com/magic/all-spells/d/dimensional-lock","Dimensional Lock")</f>
        <v>Dimensional Lock</v>
      </c>
      <c r="BR148" s="1">
        <v>147</v>
      </c>
      <c r="BS148" s="1" t="s">
        <v>104</v>
      </c>
      <c r="BT148" s="1" t="s">
        <v>1157</v>
      </c>
      <c r="BU148" s="1" t="s">
        <v>1158</v>
      </c>
      <c r="BX148" s="1">
        <v>0</v>
      </c>
      <c r="BY148" s="1" t="s">
        <v>104</v>
      </c>
      <c r="BZ148" s="1" t="s">
        <v>104</v>
      </c>
      <c r="CA148" s="1">
        <v>8</v>
      </c>
      <c r="CB148" s="1" t="s">
        <v>104</v>
      </c>
      <c r="CC148" s="1" t="s">
        <v>104</v>
      </c>
      <c r="CD148" s="1" t="s">
        <v>104</v>
      </c>
      <c r="CE148" s="1" t="s">
        <v>104</v>
      </c>
      <c r="CF148" s="1" t="s">
        <v>104</v>
      </c>
      <c r="CG148" s="1" t="s">
        <v>104</v>
      </c>
      <c r="CH148" s="1" t="s">
        <v>104</v>
      </c>
      <c r="CJ148" s="1">
        <v>0</v>
      </c>
      <c r="CK148" s="1">
        <v>0</v>
      </c>
      <c r="CL148" s="1">
        <v>0</v>
      </c>
      <c r="CM148" s="1">
        <v>6</v>
      </c>
    </row>
    <row r="149" spans="1:91" ht="14.25" customHeight="1" x14ac:dyDescent="0.3">
      <c r="A149" s="1" t="s">
        <v>1159</v>
      </c>
      <c r="B149" s="1" t="s">
        <v>92</v>
      </c>
      <c r="C149" s="1" t="s">
        <v>1160</v>
      </c>
      <c r="E149" s="1" t="s">
        <v>1161</v>
      </c>
      <c r="F149" s="1" t="s">
        <v>95</v>
      </c>
      <c r="G149" s="1" t="s">
        <v>237</v>
      </c>
      <c r="H149" s="1">
        <v>0</v>
      </c>
      <c r="I149" s="1" t="s">
        <v>97</v>
      </c>
      <c r="L149" s="1" t="s">
        <v>1162</v>
      </c>
      <c r="M149" s="1" t="s">
        <v>119</v>
      </c>
      <c r="N149" s="1">
        <v>0</v>
      </c>
      <c r="O149" s="1">
        <v>0</v>
      </c>
      <c r="P149" s="1" t="s">
        <v>1163</v>
      </c>
      <c r="Q149" s="1" t="s">
        <v>1164</v>
      </c>
      <c r="R149" s="1" t="s">
        <v>1165</v>
      </c>
      <c r="S149" s="1" t="s">
        <v>103</v>
      </c>
      <c r="T149" s="1">
        <v>1</v>
      </c>
      <c r="U149" s="1">
        <v>0</v>
      </c>
      <c r="V149" s="1">
        <v>0</v>
      </c>
      <c r="W149" s="1">
        <v>0</v>
      </c>
      <c r="X149" s="1">
        <v>0</v>
      </c>
      <c r="Y149" s="1">
        <v>4</v>
      </c>
      <c r="Z149" s="1">
        <v>4</v>
      </c>
      <c r="AA149" s="1" t="s">
        <v>104</v>
      </c>
      <c r="AB149" s="1" t="s">
        <v>104</v>
      </c>
      <c r="AC149" s="1" t="s">
        <v>104</v>
      </c>
      <c r="AD149" s="1">
        <v>4</v>
      </c>
      <c r="AE149" s="1" t="s">
        <v>104</v>
      </c>
      <c r="AF149" s="1" t="s">
        <v>104</v>
      </c>
      <c r="AG149" s="1">
        <v>3</v>
      </c>
      <c r="AH149" s="1">
        <v>4</v>
      </c>
      <c r="AI149" s="1" t="s">
        <v>104</v>
      </c>
      <c r="AJ149" s="1" t="s">
        <v>104</v>
      </c>
      <c r="AK149" s="1" t="s">
        <v>104</v>
      </c>
      <c r="AL149" s="1">
        <v>4</v>
      </c>
      <c r="AM149" s="1" t="s">
        <v>104</v>
      </c>
      <c r="AO149" s="1">
        <v>4</v>
      </c>
      <c r="AP149" s="1" t="s">
        <v>1166</v>
      </c>
      <c r="AQ149" s="1" t="s">
        <v>1167</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2" t="str">
        <f>HYPERLINK("http://www.d20pfsrd.com/magic/all-spells/d/dimension-door","Dimension Door")</f>
        <v>Dimension Door</v>
      </c>
      <c r="BR149" s="1">
        <v>148</v>
      </c>
      <c r="BS149" s="1" t="s">
        <v>104</v>
      </c>
      <c r="BT149" s="1" t="s">
        <v>1168</v>
      </c>
      <c r="BX149" s="1">
        <v>0</v>
      </c>
      <c r="BY149" s="1" t="s">
        <v>104</v>
      </c>
      <c r="BZ149" s="1" t="s">
        <v>104</v>
      </c>
      <c r="CA149" s="1">
        <v>4</v>
      </c>
      <c r="CB149" s="1">
        <v>3</v>
      </c>
      <c r="CC149" s="1">
        <v>4</v>
      </c>
      <c r="CD149" s="1">
        <v>4</v>
      </c>
      <c r="CE149" s="1">
        <v>4</v>
      </c>
      <c r="CF149" s="1" t="s">
        <v>104</v>
      </c>
      <c r="CG149" s="1" t="s">
        <v>104</v>
      </c>
      <c r="CH149" s="1" t="s">
        <v>104</v>
      </c>
      <c r="CJ149" s="1">
        <v>0</v>
      </c>
      <c r="CK149" s="1">
        <v>0</v>
      </c>
      <c r="CL149" s="1">
        <v>0</v>
      </c>
      <c r="CM149" s="1">
        <v>4</v>
      </c>
    </row>
    <row r="150" spans="1:91" ht="14.25" customHeight="1" x14ac:dyDescent="0.3">
      <c r="A150" s="1" t="s">
        <v>1169</v>
      </c>
      <c r="B150" s="1" t="s">
        <v>137</v>
      </c>
      <c r="E150" s="1" t="s">
        <v>1170</v>
      </c>
      <c r="F150" s="1" t="s">
        <v>95</v>
      </c>
      <c r="G150" s="1" t="s">
        <v>127</v>
      </c>
      <c r="H150" s="1">
        <v>0</v>
      </c>
      <c r="I150" s="1" t="s">
        <v>145</v>
      </c>
      <c r="J150" s="1" t="s">
        <v>145</v>
      </c>
      <c r="L150" s="1" t="s">
        <v>145</v>
      </c>
      <c r="M150" s="1" t="s">
        <v>119</v>
      </c>
      <c r="N150" s="1">
        <v>0</v>
      </c>
      <c r="O150" s="1">
        <v>0</v>
      </c>
      <c r="P150" s="1" t="s">
        <v>100</v>
      </c>
      <c r="Q150" s="1" t="s">
        <v>101</v>
      </c>
      <c r="R150" s="1" t="s">
        <v>1171</v>
      </c>
      <c r="S150" s="1" t="s">
        <v>103</v>
      </c>
      <c r="T150" s="1">
        <v>1</v>
      </c>
      <c r="U150" s="1">
        <v>1</v>
      </c>
      <c r="V150" s="1">
        <v>0</v>
      </c>
      <c r="W150" s="1">
        <v>0</v>
      </c>
      <c r="X150" s="1">
        <v>1</v>
      </c>
      <c r="Y150" s="1" t="s">
        <v>104</v>
      </c>
      <c r="Z150" s="1" t="s">
        <v>104</v>
      </c>
      <c r="AA150" s="1" t="s">
        <v>104</v>
      </c>
      <c r="AB150" s="1">
        <v>3</v>
      </c>
      <c r="AC150" s="1">
        <v>3</v>
      </c>
      <c r="AD150" s="1" t="s">
        <v>104</v>
      </c>
      <c r="AE150" s="1" t="s">
        <v>104</v>
      </c>
      <c r="AF150" s="1" t="s">
        <v>104</v>
      </c>
      <c r="AG150" s="1" t="s">
        <v>104</v>
      </c>
      <c r="AH150" s="1" t="s">
        <v>104</v>
      </c>
      <c r="AI150" s="1" t="s">
        <v>104</v>
      </c>
      <c r="AJ150" s="1" t="s">
        <v>104</v>
      </c>
      <c r="AK150" s="1" t="s">
        <v>104</v>
      </c>
      <c r="AL150" s="1" t="s">
        <v>104</v>
      </c>
      <c r="AM150" s="1" t="s">
        <v>104</v>
      </c>
      <c r="AO150" s="1">
        <v>3</v>
      </c>
      <c r="AQ150" s="1" t="s">
        <v>1172</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2" t="str">
        <f>HYPERLINK("http://www.d20pfsrd.com/magic/all-spells/d/diminish-plants","Diminish Plants")</f>
        <v>Diminish Plants</v>
      </c>
      <c r="BR150" s="1">
        <v>149</v>
      </c>
      <c r="BS150" s="1" t="s">
        <v>104</v>
      </c>
      <c r="BX150" s="1">
        <v>0</v>
      </c>
      <c r="BY150" s="1" t="s">
        <v>104</v>
      </c>
      <c r="BZ150" s="1" t="s">
        <v>104</v>
      </c>
      <c r="CA150" s="1" t="s">
        <v>104</v>
      </c>
      <c r="CB150" s="1" t="s">
        <v>104</v>
      </c>
      <c r="CC150" s="1" t="s">
        <v>104</v>
      </c>
      <c r="CD150" s="1" t="s">
        <v>104</v>
      </c>
      <c r="CE150" s="1" t="s">
        <v>104</v>
      </c>
      <c r="CF150" s="1" t="s">
        <v>104</v>
      </c>
      <c r="CG150" s="1" t="s">
        <v>104</v>
      </c>
      <c r="CH150" s="1">
        <v>3</v>
      </c>
      <c r="CJ150" s="1">
        <v>0</v>
      </c>
      <c r="CK150" s="1">
        <v>0</v>
      </c>
      <c r="CL150" s="1">
        <v>0</v>
      </c>
      <c r="CM150" s="1" t="s">
        <v>104</v>
      </c>
    </row>
    <row r="151" spans="1:91" ht="14.25" customHeight="1" x14ac:dyDescent="0.3">
      <c r="A151" s="1" t="s">
        <v>1173</v>
      </c>
      <c r="B151" s="1" t="s">
        <v>172</v>
      </c>
      <c r="E151" s="1" t="s">
        <v>1174</v>
      </c>
      <c r="F151" s="1" t="s">
        <v>95</v>
      </c>
      <c r="G151" s="1" t="s">
        <v>127</v>
      </c>
      <c r="H151" s="1">
        <v>0</v>
      </c>
      <c r="I151" s="1" t="s">
        <v>117</v>
      </c>
      <c r="L151" s="1" t="s">
        <v>541</v>
      </c>
      <c r="M151" s="1" t="s">
        <v>581</v>
      </c>
      <c r="N151" s="1">
        <v>0</v>
      </c>
      <c r="O151" s="1">
        <v>0</v>
      </c>
      <c r="P151" s="1" t="s">
        <v>211</v>
      </c>
      <c r="Q151" s="1" t="s">
        <v>101</v>
      </c>
      <c r="R151" s="1" t="s">
        <v>1175</v>
      </c>
      <c r="S151" s="1" t="s">
        <v>103</v>
      </c>
      <c r="T151" s="1">
        <v>1</v>
      </c>
      <c r="U151" s="1">
        <v>1</v>
      </c>
      <c r="V151" s="1">
        <v>0</v>
      </c>
      <c r="W151" s="1">
        <v>0</v>
      </c>
      <c r="X151" s="1">
        <v>1</v>
      </c>
      <c r="Y151" s="1" t="s">
        <v>104</v>
      </c>
      <c r="Z151" s="1" t="s">
        <v>104</v>
      </c>
      <c r="AA151" s="1">
        <v>4</v>
      </c>
      <c r="AB151" s="1" t="s">
        <v>104</v>
      </c>
      <c r="AC151" s="1" t="s">
        <v>104</v>
      </c>
      <c r="AD151" s="1" t="s">
        <v>104</v>
      </c>
      <c r="AE151" s="1">
        <v>3</v>
      </c>
      <c r="AF151" s="1">
        <v>4</v>
      </c>
      <c r="AG151" s="1" t="s">
        <v>104</v>
      </c>
      <c r="AH151" s="1">
        <v>4</v>
      </c>
      <c r="AI151" s="1">
        <v>4</v>
      </c>
      <c r="AJ151" s="1">
        <v>4</v>
      </c>
      <c r="AK151" s="1" t="s">
        <v>104</v>
      </c>
      <c r="AL151" s="1" t="s">
        <v>104</v>
      </c>
      <c r="AM151" s="1" t="s">
        <v>104</v>
      </c>
      <c r="AO151" s="1">
        <v>4</v>
      </c>
      <c r="AP151" s="1" t="s">
        <v>1176</v>
      </c>
      <c r="AQ151" s="1" t="s">
        <v>1177</v>
      </c>
      <c r="AR151" s="1">
        <v>0</v>
      </c>
      <c r="AS151" s="1">
        <v>0</v>
      </c>
      <c r="AT151" s="1">
        <v>0</v>
      </c>
      <c r="AU151" s="1">
        <v>0</v>
      </c>
      <c r="AV151" s="1">
        <v>0</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2" t="str">
        <f>HYPERLINK("http://www.d20pfsrd.com/magic/all-spells/d/discern-lies","Discern Lies")</f>
        <v>Discern Lies</v>
      </c>
      <c r="BR151" s="1">
        <v>150</v>
      </c>
      <c r="BS151" s="1" t="s">
        <v>104</v>
      </c>
      <c r="BX151" s="1">
        <v>0</v>
      </c>
      <c r="BY151" s="1" t="s">
        <v>104</v>
      </c>
      <c r="BZ151" s="1" t="s">
        <v>104</v>
      </c>
      <c r="CA151" s="1">
        <v>4</v>
      </c>
      <c r="CB151" s="1">
        <v>3</v>
      </c>
      <c r="CC151" s="1" t="s">
        <v>104</v>
      </c>
      <c r="CD151" s="1" t="s">
        <v>104</v>
      </c>
      <c r="CE151" s="1" t="s">
        <v>104</v>
      </c>
      <c r="CF151" s="1" t="s">
        <v>104</v>
      </c>
      <c r="CG151" s="1" t="s">
        <v>104</v>
      </c>
      <c r="CH151" s="1" t="s">
        <v>104</v>
      </c>
      <c r="CJ151" s="1">
        <v>0</v>
      </c>
      <c r="CK151" s="1">
        <v>0</v>
      </c>
      <c r="CL151" s="1">
        <v>0</v>
      </c>
      <c r="CM151" s="1" t="s">
        <v>104</v>
      </c>
    </row>
    <row r="152" spans="1:91" ht="14.25" customHeight="1" x14ac:dyDescent="0.3">
      <c r="A152" s="1" t="s">
        <v>1178</v>
      </c>
      <c r="B152" s="1" t="s">
        <v>172</v>
      </c>
      <c r="E152" s="1" t="s">
        <v>1179</v>
      </c>
      <c r="F152" s="1" t="s">
        <v>287</v>
      </c>
      <c r="G152" s="1" t="s">
        <v>127</v>
      </c>
      <c r="H152" s="1">
        <v>0</v>
      </c>
      <c r="I152" s="1" t="s">
        <v>289</v>
      </c>
      <c r="L152" s="1" t="s">
        <v>1180</v>
      </c>
      <c r="M152" s="1" t="s">
        <v>119</v>
      </c>
      <c r="N152" s="1">
        <v>0</v>
      </c>
      <c r="O152" s="1">
        <v>0</v>
      </c>
      <c r="P152" s="1" t="s">
        <v>100</v>
      </c>
      <c r="Q152" s="1" t="s">
        <v>101</v>
      </c>
      <c r="R152" s="1" t="s">
        <v>1181</v>
      </c>
      <c r="S152" s="1" t="s">
        <v>103</v>
      </c>
      <c r="T152" s="1">
        <v>1</v>
      </c>
      <c r="U152" s="1">
        <v>1</v>
      </c>
      <c r="V152" s="1">
        <v>0</v>
      </c>
      <c r="W152" s="1">
        <v>0</v>
      </c>
      <c r="X152" s="1">
        <v>1</v>
      </c>
      <c r="Y152" s="1">
        <v>8</v>
      </c>
      <c r="Z152" s="1">
        <v>8</v>
      </c>
      <c r="AA152" s="1">
        <v>8</v>
      </c>
      <c r="AB152" s="1" t="s">
        <v>104</v>
      </c>
      <c r="AC152" s="1" t="s">
        <v>104</v>
      </c>
      <c r="AD152" s="1" t="s">
        <v>104</v>
      </c>
      <c r="AE152" s="1" t="s">
        <v>104</v>
      </c>
      <c r="AF152" s="1" t="s">
        <v>104</v>
      </c>
      <c r="AG152" s="1">
        <v>6</v>
      </c>
      <c r="AH152" s="1">
        <v>8</v>
      </c>
      <c r="AI152" s="1" t="s">
        <v>104</v>
      </c>
      <c r="AJ152" s="1">
        <v>8</v>
      </c>
      <c r="AK152" s="1" t="s">
        <v>104</v>
      </c>
      <c r="AL152" s="1" t="s">
        <v>104</v>
      </c>
      <c r="AM152" s="1" t="s">
        <v>104</v>
      </c>
      <c r="AO152" s="1">
        <v>8</v>
      </c>
      <c r="AP152" s="1" t="s">
        <v>1182</v>
      </c>
      <c r="AQ152" s="1" t="s">
        <v>1183</v>
      </c>
      <c r="AR152" s="1">
        <v>0</v>
      </c>
      <c r="AS152" s="1">
        <v>0</v>
      </c>
      <c r="AT152" s="1">
        <v>0</v>
      </c>
      <c r="AU152" s="1">
        <v>0</v>
      </c>
      <c r="AV152" s="1">
        <v>0</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2" t="str">
        <f>HYPERLINK("http://www.d20pfsrd.com/magic/all-spells/d/discern-location","Discern Location")</f>
        <v>Discern Location</v>
      </c>
      <c r="BR152" s="1">
        <v>151</v>
      </c>
      <c r="BS152" s="1" t="s">
        <v>104</v>
      </c>
      <c r="BX152" s="1">
        <v>0</v>
      </c>
      <c r="BY152" s="1" t="s">
        <v>104</v>
      </c>
      <c r="BZ152" s="1">
        <v>8</v>
      </c>
      <c r="CA152" s="1">
        <v>8</v>
      </c>
      <c r="CB152" s="1" t="s">
        <v>104</v>
      </c>
      <c r="CC152" s="1" t="s">
        <v>104</v>
      </c>
      <c r="CD152" s="1" t="s">
        <v>104</v>
      </c>
      <c r="CE152" s="1" t="s">
        <v>104</v>
      </c>
      <c r="CF152" s="1" t="s">
        <v>104</v>
      </c>
      <c r="CG152" s="1" t="s">
        <v>104</v>
      </c>
      <c r="CH152" s="1" t="s">
        <v>104</v>
      </c>
      <c r="CJ152" s="1">
        <v>0</v>
      </c>
      <c r="CK152" s="1">
        <v>0</v>
      </c>
      <c r="CL152" s="1">
        <v>0</v>
      </c>
      <c r="CM152" s="1">
        <v>6</v>
      </c>
    </row>
    <row r="153" spans="1:91" ht="14.25" customHeight="1" x14ac:dyDescent="0.3">
      <c r="A153" s="1" t="s">
        <v>1184</v>
      </c>
      <c r="B153" s="1" t="s">
        <v>507</v>
      </c>
      <c r="C153" s="1" t="s">
        <v>508</v>
      </c>
      <c r="E153" s="1" t="s">
        <v>1185</v>
      </c>
      <c r="F153" s="1" t="s">
        <v>95</v>
      </c>
      <c r="G153" s="1" t="s">
        <v>116</v>
      </c>
      <c r="H153" s="1">
        <v>0</v>
      </c>
      <c r="I153" s="1" t="s">
        <v>157</v>
      </c>
      <c r="L153" s="1" t="s">
        <v>158</v>
      </c>
      <c r="M153" s="1" t="s">
        <v>140</v>
      </c>
      <c r="N153" s="1">
        <v>1</v>
      </c>
      <c r="O153" s="1">
        <v>0</v>
      </c>
      <c r="R153" s="1" t="s">
        <v>1186</v>
      </c>
      <c r="S153" s="1" t="s">
        <v>103</v>
      </c>
      <c r="T153" s="1">
        <v>1</v>
      </c>
      <c r="U153" s="1">
        <v>1</v>
      </c>
      <c r="V153" s="1">
        <v>0</v>
      </c>
      <c r="W153" s="1">
        <v>0</v>
      </c>
      <c r="X153" s="1">
        <v>0</v>
      </c>
      <c r="Y153" s="1">
        <v>1</v>
      </c>
      <c r="Z153" s="1">
        <v>1</v>
      </c>
      <c r="AA153" s="1" t="s">
        <v>104</v>
      </c>
      <c r="AB153" s="1" t="s">
        <v>104</v>
      </c>
      <c r="AC153" s="1" t="s">
        <v>104</v>
      </c>
      <c r="AD153" s="1">
        <v>1</v>
      </c>
      <c r="AE153" s="1" t="s">
        <v>104</v>
      </c>
      <c r="AF153" s="1">
        <v>1</v>
      </c>
      <c r="AG153" s="1" t="s">
        <v>104</v>
      </c>
      <c r="AH153" s="1" t="s">
        <v>104</v>
      </c>
      <c r="AI153" s="1">
        <v>1</v>
      </c>
      <c r="AJ153" s="1" t="s">
        <v>104</v>
      </c>
      <c r="AK153" s="1">
        <v>1</v>
      </c>
      <c r="AL153" s="1" t="s">
        <v>104</v>
      </c>
      <c r="AM153" s="1" t="s">
        <v>104</v>
      </c>
      <c r="AO153" s="1">
        <v>1</v>
      </c>
      <c r="AP153" s="1" t="s">
        <v>1187</v>
      </c>
      <c r="AQ153" s="1" t="s">
        <v>1188</v>
      </c>
      <c r="AR153" s="1">
        <v>0</v>
      </c>
      <c r="AS153" s="1">
        <v>0</v>
      </c>
      <c r="AT153" s="1">
        <v>0</v>
      </c>
      <c r="AU153" s="1">
        <v>0</v>
      </c>
      <c r="AV153" s="1">
        <v>0</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2" t="str">
        <f>HYPERLINK("http://www.d20pfsrd.com/magic/all-spells/d/disguise-self","Disguise Self")</f>
        <v>Disguise Self</v>
      </c>
      <c r="BR153" s="1">
        <v>152</v>
      </c>
      <c r="BS153" s="1" t="s">
        <v>104</v>
      </c>
      <c r="BT153" s="1" t="s">
        <v>1189</v>
      </c>
      <c r="BX153" s="1">
        <v>0</v>
      </c>
      <c r="BY153" s="1" t="s">
        <v>104</v>
      </c>
      <c r="BZ153" s="1" t="s">
        <v>104</v>
      </c>
      <c r="CA153" s="1">
        <v>1</v>
      </c>
      <c r="CB153" s="1">
        <v>1</v>
      </c>
      <c r="CC153" s="1">
        <v>1</v>
      </c>
      <c r="CD153" s="1">
        <v>1</v>
      </c>
      <c r="CE153" s="1" t="s">
        <v>104</v>
      </c>
      <c r="CF153" s="1" t="s">
        <v>104</v>
      </c>
      <c r="CG153" s="1" t="s">
        <v>104</v>
      </c>
      <c r="CH153" s="1" t="s">
        <v>104</v>
      </c>
      <c r="CJ153" s="1">
        <v>0</v>
      </c>
      <c r="CK153" s="1">
        <v>0</v>
      </c>
      <c r="CL153" s="1">
        <v>0</v>
      </c>
      <c r="CM153" s="1" t="s">
        <v>104</v>
      </c>
    </row>
    <row r="154" spans="1:91" ht="14.25" customHeight="1" x14ac:dyDescent="0.3">
      <c r="A154" s="1" t="s">
        <v>1190</v>
      </c>
      <c r="B154" s="1" t="s">
        <v>137</v>
      </c>
      <c r="E154" s="1" t="s">
        <v>1191</v>
      </c>
      <c r="F154" s="1" t="s">
        <v>95</v>
      </c>
      <c r="G154" s="1" t="s">
        <v>1192</v>
      </c>
      <c r="H154" s="1">
        <v>0</v>
      </c>
      <c r="I154" s="1" t="s">
        <v>109</v>
      </c>
      <c r="K154" s="1" t="s">
        <v>1148</v>
      </c>
      <c r="M154" s="1" t="s">
        <v>119</v>
      </c>
      <c r="N154" s="1">
        <v>0</v>
      </c>
      <c r="O154" s="1">
        <v>0</v>
      </c>
      <c r="P154" s="1" t="s">
        <v>1193</v>
      </c>
      <c r="Q154" s="1" t="s">
        <v>184</v>
      </c>
      <c r="R154" s="1" t="s">
        <v>1194</v>
      </c>
      <c r="S154" s="1" t="s">
        <v>103</v>
      </c>
      <c r="T154" s="1">
        <v>1</v>
      </c>
      <c r="U154" s="1">
        <v>1</v>
      </c>
      <c r="V154" s="1">
        <v>1</v>
      </c>
      <c r="W154" s="1">
        <v>0</v>
      </c>
      <c r="X154" s="1">
        <v>1</v>
      </c>
      <c r="Y154" s="1">
        <v>6</v>
      </c>
      <c r="Z154" s="1">
        <v>6</v>
      </c>
      <c r="AA154" s="1" t="s">
        <v>104</v>
      </c>
      <c r="AB154" s="1" t="s">
        <v>104</v>
      </c>
      <c r="AC154" s="1" t="s">
        <v>104</v>
      </c>
      <c r="AD154" s="1" t="s">
        <v>104</v>
      </c>
      <c r="AE154" s="1" t="s">
        <v>104</v>
      </c>
      <c r="AF154" s="1" t="s">
        <v>104</v>
      </c>
      <c r="AG154" s="1" t="s">
        <v>104</v>
      </c>
      <c r="AH154" s="1" t="s">
        <v>104</v>
      </c>
      <c r="AI154" s="1" t="s">
        <v>104</v>
      </c>
      <c r="AJ154" s="1" t="s">
        <v>104</v>
      </c>
      <c r="AK154" s="1" t="s">
        <v>104</v>
      </c>
      <c r="AL154" s="1">
        <v>6</v>
      </c>
      <c r="AM154" s="1" t="s">
        <v>104</v>
      </c>
      <c r="AO154" s="1">
        <v>6</v>
      </c>
      <c r="AP154" s="1" t="s">
        <v>1195</v>
      </c>
      <c r="AQ154" s="1" t="s">
        <v>1196</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2" t="str">
        <f>HYPERLINK("http://www.d20pfsrd.com/magic/all-spells/d/disintegrate","Disintegrate")</f>
        <v>Disintegrate</v>
      </c>
      <c r="BR154" s="1">
        <v>153</v>
      </c>
      <c r="BS154" s="1" t="s">
        <v>104</v>
      </c>
      <c r="BT154" s="1" t="s">
        <v>1197</v>
      </c>
      <c r="BU154" s="1" t="s">
        <v>1198</v>
      </c>
      <c r="BV154" s="1" t="s">
        <v>1199</v>
      </c>
      <c r="BW154" s="1" t="s">
        <v>1200</v>
      </c>
      <c r="BX154" s="1">
        <v>1</v>
      </c>
      <c r="BY154" s="1" t="s">
        <v>104</v>
      </c>
      <c r="BZ154" s="1" t="s">
        <v>104</v>
      </c>
      <c r="CA154" s="1">
        <v>6</v>
      </c>
      <c r="CB154" s="1" t="s">
        <v>104</v>
      </c>
      <c r="CC154" s="1" t="s">
        <v>104</v>
      </c>
      <c r="CD154" s="1">
        <v>6</v>
      </c>
      <c r="CE154" s="1">
        <v>6</v>
      </c>
      <c r="CF154" s="1" t="s">
        <v>104</v>
      </c>
      <c r="CG154" s="1" t="s">
        <v>104</v>
      </c>
      <c r="CH154" s="1" t="s">
        <v>104</v>
      </c>
      <c r="CJ154" s="1">
        <v>0</v>
      </c>
      <c r="CK154" s="1">
        <v>0</v>
      </c>
      <c r="CL154" s="1">
        <v>0</v>
      </c>
      <c r="CM154" s="1" t="s">
        <v>104</v>
      </c>
    </row>
    <row r="155" spans="1:91" ht="14.25" customHeight="1" x14ac:dyDescent="0.3">
      <c r="A155" s="1" t="s">
        <v>1201</v>
      </c>
      <c r="B155" s="1" t="s">
        <v>162</v>
      </c>
      <c r="E155" s="1" t="s">
        <v>1202</v>
      </c>
      <c r="F155" s="1" t="s">
        <v>95</v>
      </c>
      <c r="G155" s="1" t="s">
        <v>127</v>
      </c>
      <c r="H155" s="1">
        <v>0</v>
      </c>
      <c r="I155" s="1" t="s">
        <v>117</v>
      </c>
      <c r="L155" s="1" t="s">
        <v>1203</v>
      </c>
      <c r="M155" s="1" t="s">
        <v>119</v>
      </c>
      <c r="N155" s="1">
        <v>0</v>
      </c>
      <c r="O155" s="1">
        <v>0</v>
      </c>
      <c r="P155" s="1" t="s">
        <v>418</v>
      </c>
      <c r="Q155" s="1" t="s">
        <v>184</v>
      </c>
      <c r="R155" s="1" t="s">
        <v>1204</v>
      </c>
      <c r="S155" s="1" t="s">
        <v>103</v>
      </c>
      <c r="T155" s="1">
        <v>1</v>
      </c>
      <c r="U155" s="1">
        <v>1</v>
      </c>
      <c r="V155" s="1">
        <v>0</v>
      </c>
      <c r="W155" s="1">
        <v>0</v>
      </c>
      <c r="X155" s="1">
        <v>1</v>
      </c>
      <c r="Y155" s="1">
        <v>5</v>
      </c>
      <c r="Z155" s="1">
        <v>5</v>
      </c>
      <c r="AA155" s="1">
        <v>4</v>
      </c>
      <c r="AB155" s="1" t="s">
        <v>104</v>
      </c>
      <c r="AC155" s="1" t="s">
        <v>104</v>
      </c>
      <c r="AD155" s="1" t="s">
        <v>104</v>
      </c>
      <c r="AE155" s="1" t="s">
        <v>104</v>
      </c>
      <c r="AF155" s="1" t="s">
        <v>104</v>
      </c>
      <c r="AG155" s="1">
        <v>4</v>
      </c>
      <c r="AH155" s="1" t="s">
        <v>104</v>
      </c>
      <c r="AI155" s="1">
        <v>4</v>
      </c>
      <c r="AJ155" s="1">
        <v>4</v>
      </c>
      <c r="AK155" s="1" t="s">
        <v>104</v>
      </c>
      <c r="AL155" s="1" t="s">
        <v>104</v>
      </c>
      <c r="AM155" s="1" t="s">
        <v>104</v>
      </c>
      <c r="AO155" s="1">
        <v>5</v>
      </c>
      <c r="AQ155" s="1" t="s">
        <v>1205</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2" t="str">
        <f>HYPERLINK("http://www.d20pfsrd.com/magic/all-spells/d/dismissal","Dismissal")</f>
        <v>Dismissal</v>
      </c>
      <c r="BR155" s="1">
        <v>154</v>
      </c>
      <c r="BS155" s="1" t="s">
        <v>104</v>
      </c>
      <c r="BT155" s="1" t="s">
        <v>1206</v>
      </c>
      <c r="BU155" s="1" t="s">
        <v>1207</v>
      </c>
      <c r="BX155" s="1">
        <v>0</v>
      </c>
      <c r="BY155" s="1" t="s">
        <v>104</v>
      </c>
      <c r="BZ155" s="1">
        <v>4</v>
      </c>
      <c r="CA155" s="1">
        <v>5</v>
      </c>
      <c r="CB155" s="1">
        <v>4</v>
      </c>
      <c r="CC155" s="1" t="s">
        <v>104</v>
      </c>
      <c r="CD155" s="1">
        <v>4</v>
      </c>
      <c r="CE155" s="1">
        <v>5</v>
      </c>
      <c r="CF155" s="1" t="s">
        <v>104</v>
      </c>
      <c r="CG155" s="1" t="s">
        <v>104</v>
      </c>
      <c r="CH155" s="1" t="s">
        <v>104</v>
      </c>
      <c r="CJ155" s="1">
        <v>0</v>
      </c>
      <c r="CK155" s="1">
        <v>0</v>
      </c>
      <c r="CL155" s="1">
        <v>0</v>
      </c>
      <c r="CM155" s="1">
        <v>5</v>
      </c>
    </row>
    <row r="156" spans="1:91" ht="14.25" customHeight="1" x14ac:dyDescent="0.3">
      <c r="A156" s="1" t="s">
        <v>1208</v>
      </c>
      <c r="B156" s="1" t="s">
        <v>162</v>
      </c>
      <c r="D156" s="1" t="s">
        <v>60</v>
      </c>
      <c r="E156" s="1" t="s">
        <v>1209</v>
      </c>
      <c r="F156" s="1" t="s">
        <v>95</v>
      </c>
      <c r="G156" s="1" t="s">
        <v>127</v>
      </c>
      <c r="H156" s="1">
        <v>0</v>
      </c>
      <c r="I156" s="1" t="s">
        <v>128</v>
      </c>
      <c r="L156" s="1" t="s">
        <v>1210</v>
      </c>
      <c r="M156" s="1" t="s">
        <v>1211</v>
      </c>
      <c r="N156" s="1">
        <v>0</v>
      </c>
      <c r="O156" s="1">
        <v>0</v>
      </c>
      <c r="P156" s="1" t="s">
        <v>145</v>
      </c>
      <c r="Q156" s="1" t="s">
        <v>145</v>
      </c>
      <c r="R156" s="1" t="s">
        <v>1212</v>
      </c>
      <c r="S156" s="1" t="s">
        <v>103</v>
      </c>
      <c r="T156" s="1">
        <v>1</v>
      </c>
      <c r="U156" s="1">
        <v>1</v>
      </c>
      <c r="V156" s="1">
        <v>0</v>
      </c>
      <c r="W156" s="1">
        <v>0</v>
      </c>
      <c r="X156" s="1">
        <v>1</v>
      </c>
      <c r="Y156" s="1" t="s">
        <v>104</v>
      </c>
      <c r="Z156" s="1" t="s">
        <v>104</v>
      </c>
      <c r="AA156" s="1">
        <v>5</v>
      </c>
      <c r="AB156" s="1" t="s">
        <v>104</v>
      </c>
      <c r="AC156" s="1" t="s">
        <v>104</v>
      </c>
      <c r="AD156" s="1" t="s">
        <v>104</v>
      </c>
      <c r="AE156" s="1">
        <v>4</v>
      </c>
      <c r="AF156" s="1" t="s">
        <v>104</v>
      </c>
      <c r="AG156" s="1" t="s">
        <v>104</v>
      </c>
      <c r="AH156" s="1" t="s">
        <v>104</v>
      </c>
      <c r="AI156" s="1">
        <v>5</v>
      </c>
      <c r="AJ156" s="1">
        <v>5</v>
      </c>
      <c r="AK156" s="1" t="s">
        <v>104</v>
      </c>
      <c r="AL156" s="1" t="s">
        <v>104</v>
      </c>
      <c r="AM156" s="1" t="s">
        <v>104</v>
      </c>
      <c r="AO156" s="1">
        <v>5</v>
      </c>
      <c r="AP156" s="1" t="s">
        <v>1213</v>
      </c>
      <c r="AQ156" s="1" t="s">
        <v>1214</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1</v>
      </c>
      <c r="BJ156" s="1">
        <v>0</v>
      </c>
      <c r="BK156" s="1">
        <v>0</v>
      </c>
      <c r="BL156" s="1">
        <v>0</v>
      </c>
      <c r="BM156" s="1">
        <v>0</v>
      </c>
      <c r="BN156" s="1">
        <v>0</v>
      </c>
      <c r="BO156" s="1">
        <v>0</v>
      </c>
      <c r="BP156" s="1">
        <v>0</v>
      </c>
      <c r="BQ156" s="2" t="str">
        <f>HYPERLINK("http://www.d20pfsrd.com/magic/all-spells/d/dispel-chaos","Dispel Chaos")</f>
        <v>Dispel Chaos</v>
      </c>
      <c r="BR156" s="1">
        <v>155</v>
      </c>
      <c r="BS156" s="1" t="s">
        <v>104</v>
      </c>
      <c r="BX156" s="1">
        <v>0</v>
      </c>
      <c r="BY156" s="1" t="s">
        <v>104</v>
      </c>
      <c r="BZ156" s="1">
        <v>5</v>
      </c>
      <c r="CA156" s="1" t="s">
        <v>104</v>
      </c>
      <c r="CB156" s="1" t="s">
        <v>104</v>
      </c>
      <c r="CC156" s="1" t="s">
        <v>104</v>
      </c>
      <c r="CD156" s="1" t="s">
        <v>104</v>
      </c>
      <c r="CE156" s="1" t="s">
        <v>104</v>
      </c>
      <c r="CF156" s="1" t="s">
        <v>104</v>
      </c>
      <c r="CG156" s="1" t="s">
        <v>104</v>
      </c>
      <c r="CH156" s="1" t="s">
        <v>104</v>
      </c>
      <c r="CJ156" s="1">
        <v>0</v>
      </c>
      <c r="CK156" s="1">
        <v>0</v>
      </c>
      <c r="CL156" s="1">
        <v>0</v>
      </c>
      <c r="CM156" s="1" t="s">
        <v>104</v>
      </c>
    </row>
    <row r="157" spans="1:91" ht="14.25" customHeight="1" x14ac:dyDescent="0.3">
      <c r="A157" s="1" t="s">
        <v>1215</v>
      </c>
      <c r="B157" s="1" t="s">
        <v>162</v>
      </c>
      <c r="D157" s="1" t="s">
        <v>58</v>
      </c>
      <c r="E157" s="1" t="s">
        <v>1209</v>
      </c>
      <c r="F157" s="1" t="s">
        <v>95</v>
      </c>
      <c r="G157" s="1" t="s">
        <v>127</v>
      </c>
      <c r="H157" s="1">
        <v>0</v>
      </c>
      <c r="I157" s="1" t="s">
        <v>128</v>
      </c>
      <c r="L157" s="1" t="s">
        <v>1216</v>
      </c>
      <c r="M157" s="1" t="s">
        <v>1211</v>
      </c>
      <c r="N157" s="1">
        <v>0</v>
      </c>
      <c r="O157" s="1">
        <v>0</v>
      </c>
      <c r="P157" s="1" t="s">
        <v>145</v>
      </c>
      <c r="Q157" s="1" t="s">
        <v>145</v>
      </c>
      <c r="R157" s="1" t="s">
        <v>1217</v>
      </c>
      <c r="S157" s="1" t="s">
        <v>103</v>
      </c>
      <c r="T157" s="1">
        <v>1</v>
      </c>
      <c r="U157" s="1">
        <v>1</v>
      </c>
      <c r="V157" s="1">
        <v>0</v>
      </c>
      <c r="W157" s="1">
        <v>0</v>
      </c>
      <c r="X157" s="1">
        <v>1</v>
      </c>
      <c r="Y157" s="1" t="s">
        <v>104</v>
      </c>
      <c r="Z157" s="1" t="s">
        <v>104</v>
      </c>
      <c r="AA157" s="1">
        <v>5</v>
      </c>
      <c r="AB157" s="1" t="s">
        <v>104</v>
      </c>
      <c r="AC157" s="1" t="s">
        <v>104</v>
      </c>
      <c r="AD157" s="1" t="s">
        <v>104</v>
      </c>
      <c r="AE157" s="1">
        <v>4</v>
      </c>
      <c r="AF157" s="1" t="s">
        <v>104</v>
      </c>
      <c r="AG157" s="1" t="s">
        <v>104</v>
      </c>
      <c r="AH157" s="1" t="s">
        <v>104</v>
      </c>
      <c r="AI157" s="1">
        <v>5</v>
      </c>
      <c r="AJ157" s="1">
        <v>5</v>
      </c>
      <c r="AK157" s="1" t="s">
        <v>104</v>
      </c>
      <c r="AL157" s="1" t="s">
        <v>104</v>
      </c>
      <c r="AM157" s="1" t="s">
        <v>104</v>
      </c>
      <c r="AO157" s="1">
        <v>5</v>
      </c>
      <c r="AP157" s="1" t="s">
        <v>1218</v>
      </c>
      <c r="AQ157" s="1" t="s">
        <v>1219</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1</v>
      </c>
      <c r="BH157" s="1">
        <v>0</v>
      </c>
      <c r="BI157" s="1">
        <v>0</v>
      </c>
      <c r="BJ157" s="1">
        <v>0</v>
      </c>
      <c r="BK157" s="1">
        <v>0</v>
      </c>
      <c r="BL157" s="1">
        <v>0</v>
      </c>
      <c r="BM157" s="1">
        <v>0</v>
      </c>
      <c r="BN157" s="1">
        <v>0</v>
      </c>
      <c r="BO157" s="1">
        <v>0</v>
      </c>
      <c r="BP157" s="1">
        <v>0</v>
      </c>
      <c r="BQ157" s="2" t="str">
        <f>HYPERLINK("http://www.d20pfsrd.com/magic/all-spells/d/dispel-evil","Dispel Evil")</f>
        <v>Dispel Evil</v>
      </c>
      <c r="BR157" s="1">
        <v>156</v>
      </c>
      <c r="BS157" s="1" t="s">
        <v>104</v>
      </c>
      <c r="BX157" s="1">
        <v>0</v>
      </c>
      <c r="BY157" s="1" t="s">
        <v>104</v>
      </c>
      <c r="BZ157" s="1">
        <v>5</v>
      </c>
      <c r="CA157" s="1" t="s">
        <v>104</v>
      </c>
      <c r="CB157" s="1" t="s">
        <v>104</v>
      </c>
      <c r="CC157" s="1" t="s">
        <v>104</v>
      </c>
      <c r="CD157" s="1" t="s">
        <v>104</v>
      </c>
      <c r="CE157" s="1" t="s">
        <v>104</v>
      </c>
      <c r="CF157" s="1" t="s">
        <v>104</v>
      </c>
      <c r="CG157" s="1" t="s">
        <v>104</v>
      </c>
      <c r="CH157" s="1" t="s">
        <v>104</v>
      </c>
      <c r="CJ157" s="1">
        <v>0</v>
      </c>
      <c r="CK157" s="1">
        <v>0</v>
      </c>
      <c r="CL157" s="1">
        <v>0</v>
      </c>
      <c r="CM157" s="1" t="s">
        <v>104</v>
      </c>
    </row>
    <row r="158" spans="1:91" ht="14.25" customHeight="1" x14ac:dyDescent="0.3">
      <c r="A158" s="1" t="s">
        <v>1220</v>
      </c>
      <c r="B158" s="1" t="s">
        <v>162</v>
      </c>
      <c r="D158" s="1" t="s">
        <v>54</v>
      </c>
      <c r="E158" s="1" t="s">
        <v>1221</v>
      </c>
      <c r="F158" s="1" t="s">
        <v>95</v>
      </c>
      <c r="G158" s="1" t="s">
        <v>127</v>
      </c>
      <c r="H158" s="1">
        <v>0</v>
      </c>
      <c r="I158" s="1" t="s">
        <v>128</v>
      </c>
      <c r="L158" s="1" t="s">
        <v>1222</v>
      </c>
      <c r="M158" s="1" t="s">
        <v>1211</v>
      </c>
      <c r="N158" s="1">
        <v>0</v>
      </c>
      <c r="O158" s="1">
        <v>0</v>
      </c>
      <c r="P158" s="1" t="s">
        <v>145</v>
      </c>
      <c r="Q158" s="1" t="s">
        <v>145</v>
      </c>
      <c r="R158" s="1" t="s">
        <v>1223</v>
      </c>
      <c r="S158" s="1" t="s">
        <v>103</v>
      </c>
      <c r="T158" s="1">
        <v>1</v>
      </c>
      <c r="U158" s="1">
        <v>1</v>
      </c>
      <c r="V158" s="1">
        <v>0</v>
      </c>
      <c r="W158" s="1">
        <v>0</v>
      </c>
      <c r="X158" s="1">
        <v>1</v>
      </c>
      <c r="Y158" s="1" t="s">
        <v>104</v>
      </c>
      <c r="Z158" s="1" t="s">
        <v>104</v>
      </c>
      <c r="AA158" s="1">
        <v>5</v>
      </c>
      <c r="AB158" s="1" t="s">
        <v>104</v>
      </c>
      <c r="AC158" s="1" t="s">
        <v>104</v>
      </c>
      <c r="AD158" s="1" t="s">
        <v>104</v>
      </c>
      <c r="AE158" s="1" t="s">
        <v>104</v>
      </c>
      <c r="AF158" s="1" t="s">
        <v>104</v>
      </c>
      <c r="AG158" s="1" t="s">
        <v>104</v>
      </c>
      <c r="AH158" s="1" t="s">
        <v>104</v>
      </c>
      <c r="AI158" s="1">
        <v>5</v>
      </c>
      <c r="AJ158" s="1">
        <v>5</v>
      </c>
      <c r="AK158" s="1">
        <v>4</v>
      </c>
      <c r="AL158" s="1" t="s">
        <v>104</v>
      </c>
      <c r="AM158" s="1" t="s">
        <v>104</v>
      </c>
      <c r="AO158" s="1">
        <v>5</v>
      </c>
      <c r="AP158" s="1" t="s">
        <v>1224</v>
      </c>
      <c r="AQ158" s="1" t="s">
        <v>1225</v>
      </c>
      <c r="AR158" s="1">
        <v>0</v>
      </c>
      <c r="AS158" s="1">
        <v>0</v>
      </c>
      <c r="AT158" s="1">
        <v>0</v>
      </c>
      <c r="AU158" s="1">
        <v>0</v>
      </c>
      <c r="AV158" s="1">
        <v>0</v>
      </c>
      <c r="AW158" s="1">
        <v>0</v>
      </c>
      <c r="AX158" s="1">
        <v>0</v>
      </c>
      <c r="AY158" s="1">
        <v>0</v>
      </c>
      <c r="AZ158" s="1">
        <v>0</v>
      </c>
      <c r="BA158" s="1">
        <v>0</v>
      </c>
      <c r="BB158" s="1">
        <v>0</v>
      </c>
      <c r="BC158" s="1">
        <v>1</v>
      </c>
      <c r="BD158" s="1">
        <v>0</v>
      </c>
      <c r="BE158" s="1">
        <v>0</v>
      </c>
      <c r="BF158" s="1">
        <v>0</v>
      </c>
      <c r="BG158" s="1">
        <v>0</v>
      </c>
      <c r="BH158" s="1">
        <v>0</v>
      </c>
      <c r="BI158" s="1">
        <v>0</v>
      </c>
      <c r="BJ158" s="1">
        <v>0</v>
      </c>
      <c r="BK158" s="1">
        <v>0</v>
      </c>
      <c r="BL158" s="1">
        <v>0</v>
      </c>
      <c r="BM158" s="1">
        <v>0</v>
      </c>
      <c r="BN158" s="1">
        <v>0</v>
      </c>
      <c r="BO158" s="1">
        <v>0</v>
      </c>
      <c r="BP158" s="1">
        <v>0</v>
      </c>
      <c r="BQ158" s="2" t="str">
        <f>HYPERLINK("http://www.d20pfsrd.com/magic/all-spells/d/dispel-good","Dispel Good")</f>
        <v>Dispel Good</v>
      </c>
      <c r="BR158" s="1">
        <v>157</v>
      </c>
      <c r="BS158" s="1" t="s">
        <v>104</v>
      </c>
      <c r="BX158" s="1">
        <v>0</v>
      </c>
      <c r="BY158" s="1" t="s">
        <v>104</v>
      </c>
      <c r="BZ158" s="1">
        <v>5</v>
      </c>
      <c r="CA158" s="1" t="s">
        <v>104</v>
      </c>
      <c r="CB158" s="1" t="s">
        <v>104</v>
      </c>
      <c r="CC158" s="1" t="s">
        <v>104</v>
      </c>
      <c r="CD158" s="1" t="s">
        <v>104</v>
      </c>
      <c r="CE158" s="1" t="s">
        <v>104</v>
      </c>
      <c r="CF158" s="1" t="s">
        <v>104</v>
      </c>
      <c r="CG158" s="1" t="s">
        <v>104</v>
      </c>
      <c r="CH158" s="1" t="s">
        <v>104</v>
      </c>
      <c r="CJ158" s="1">
        <v>0</v>
      </c>
      <c r="CK158" s="1">
        <v>0</v>
      </c>
      <c r="CL158" s="1">
        <v>0</v>
      </c>
      <c r="CM158" s="1" t="s">
        <v>104</v>
      </c>
    </row>
    <row r="159" spans="1:91" ht="14.25" customHeight="1" x14ac:dyDescent="0.3">
      <c r="A159" s="1" t="s">
        <v>1226</v>
      </c>
      <c r="B159" s="1" t="s">
        <v>162</v>
      </c>
      <c r="D159" s="1" t="s">
        <v>45</v>
      </c>
      <c r="E159" s="1" t="s">
        <v>1221</v>
      </c>
      <c r="F159" s="1" t="s">
        <v>95</v>
      </c>
      <c r="G159" s="1" t="s">
        <v>127</v>
      </c>
      <c r="H159" s="1">
        <v>0</v>
      </c>
      <c r="I159" s="1" t="s">
        <v>128</v>
      </c>
      <c r="L159" s="1" t="s">
        <v>1227</v>
      </c>
      <c r="M159" s="1" t="s">
        <v>1211</v>
      </c>
      <c r="N159" s="1">
        <v>0</v>
      </c>
      <c r="O159" s="1">
        <v>0</v>
      </c>
      <c r="P159" s="1" t="s">
        <v>145</v>
      </c>
      <c r="Q159" s="1" t="s">
        <v>145</v>
      </c>
      <c r="R159" s="1" t="s">
        <v>1228</v>
      </c>
      <c r="S159" s="1" t="s">
        <v>103</v>
      </c>
      <c r="T159" s="1">
        <v>1</v>
      </c>
      <c r="U159" s="1">
        <v>1</v>
      </c>
      <c r="V159" s="1">
        <v>0</v>
      </c>
      <c r="W159" s="1">
        <v>0</v>
      </c>
      <c r="X159" s="1">
        <v>1</v>
      </c>
      <c r="Y159" s="1" t="s">
        <v>104</v>
      </c>
      <c r="Z159" s="1" t="s">
        <v>104</v>
      </c>
      <c r="AA159" s="1">
        <v>5</v>
      </c>
      <c r="AB159" s="1" t="s">
        <v>104</v>
      </c>
      <c r="AC159" s="1" t="s">
        <v>104</v>
      </c>
      <c r="AD159" s="1" t="s">
        <v>104</v>
      </c>
      <c r="AE159" s="1" t="s">
        <v>104</v>
      </c>
      <c r="AF159" s="1" t="s">
        <v>104</v>
      </c>
      <c r="AG159" s="1" t="s">
        <v>104</v>
      </c>
      <c r="AH159" s="1" t="s">
        <v>104</v>
      </c>
      <c r="AI159" s="1">
        <v>5</v>
      </c>
      <c r="AJ159" s="1">
        <v>5</v>
      </c>
      <c r="AK159" s="1">
        <v>4</v>
      </c>
      <c r="AL159" s="1" t="s">
        <v>104</v>
      </c>
      <c r="AM159" s="1" t="s">
        <v>104</v>
      </c>
      <c r="AO159" s="1">
        <v>5</v>
      </c>
      <c r="AP159" s="1" t="s">
        <v>1229</v>
      </c>
      <c r="AQ159" s="1" t="s">
        <v>1230</v>
      </c>
      <c r="AR159" s="1">
        <v>0</v>
      </c>
      <c r="AS159" s="1">
        <v>0</v>
      </c>
      <c r="AT159" s="1">
        <v>1</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2" t="str">
        <f>HYPERLINK("http://www.d20pfsrd.com/magic/all-spells/d/dispel-law","Dispel Law")</f>
        <v>Dispel Law</v>
      </c>
      <c r="BR159" s="1">
        <v>158</v>
      </c>
      <c r="BS159" s="1" t="s">
        <v>104</v>
      </c>
      <c r="BX159" s="1">
        <v>0</v>
      </c>
      <c r="BY159" s="1" t="s">
        <v>104</v>
      </c>
      <c r="BZ159" s="1">
        <v>5</v>
      </c>
      <c r="CA159" s="1" t="s">
        <v>104</v>
      </c>
      <c r="CB159" s="1" t="s">
        <v>104</v>
      </c>
      <c r="CC159" s="1" t="s">
        <v>104</v>
      </c>
      <c r="CD159" s="1" t="s">
        <v>104</v>
      </c>
      <c r="CE159" s="1" t="s">
        <v>104</v>
      </c>
      <c r="CF159" s="1" t="s">
        <v>104</v>
      </c>
      <c r="CG159" s="1" t="s">
        <v>104</v>
      </c>
      <c r="CH159" s="1" t="s">
        <v>104</v>
      </c>
      <c r="CJ159" s="1">
        <v>0</v>
      </c>
      <c r="CK159" s="1">
        <v>0</v>
      </c>
      <c r="CL159" s="1">
        <v>0</v>
      </c>
      <c r="CM159" s="1" t="s">
        <v>104</v>
      </c>
    </row>
    <row r="160" spans="1:91" ht="14.25" customHeight="1" x14ac:dyDescent="0.3">
      <c r="A160" s="1" t="s">
        <v>1231</v>
      </c>
      <c r="B160" s="1" t="s">
        <v>162</v>
      </c>
      <c r="E160" s="1" t="s">
        <v>1232</v>
      </c>
      <c r="F160" s="1" t="s">
        <v>95</v>
      </c>
      <c r="G160" s="1" t="s">
        <v>116</v>
      </c>
      <c r="H160" s="1">
        <v>0</v>
      </c>
      <c r="I160" s="1" t="s">
        <v>109</v>
      </c>
      <c r="J160" s="1" t="s">
        <v>1233</v>
      </c>
      <c r="L160" s="1" t="s">
        <v>1233</v>
      </c>
      <c r="M160" s="1" t="s">
        <v>119</v>
      </c>
      <c r="N160" s="1">
        <v>0</v>
      </c>
      <c r="O160" s="1">
        <v>0</v>
      </c>
      <c r="P160" s="1" t="s">
        <v>100</v>
      </c>
      <c r="Q160" s="1" t="s">
        <v>101</v>
      </c>
      <c r="R160" s="1" t="s">
        <v>1234</v>
      </c>
      <c r="S160" s="1" t="s">
        <v>103</v>
      </c>
      <c r="T160" s="1">
        <v>1</v>
      </c>
      <c r="U160" s="1">
        <v>1</v>
      </c>
      <c r="V160" s="1">
        <v>0</v>
      </c>
      <c r="W160" s="1">
        <v>0</v>
      </c>
      <c r="X160" s="1">
        <v>0</v>
      </c>
      <c r="Y160" s="1">
        <v>3</v>
      </c>
      <c r="Z160" s="1">
        <v>3</v>
      </c>
      <c r="AA160" s="1">
        <v>3</v>
      </c>
      <c r="AB160" s="1">
        <v>4</v>
      </c>
      <c r="AC160" s="1" t="s">
        <v>104</v>
      </c>
      <c r="AD160" s="1">
        <v>3</v>
      </c>
      <c r="AE160" s="1">
        <v>3</v>
      </c>
      <c r="AF160" s="1" t="s">
        <v>104</v>
      </c>
      <c r="AG160" s="1">
        <v>3</v>
      </c>
      <c r="AH160" s="1">
        <v>3</v>
      </c>
      <c r="AI160" s="1">
        <v>3</v>
      </c>
      <c r="AJ160" s="1">
        <v>3</v>
      </c>
      <c r="AK160" s="1">
        <v>3</v>
      </c>
      <c r="AL160" s="1">
        <v>3</v>
      </c>
      <c r="AM160" s="1" t="s">
        <v>104</v>
      </c>
      <c r="AO160" s="1">
        <v>3</v>
      </c>
      <c r="AP160" s="1" t="s">
        <v>1235</v>
      </c>
      <c r="AQ160" s="1" t="s">
        <v>1236</v>
      </c>
      <c r="AR160" s="1">
        <v>0</v>
      </c>
      <c r="AS160" s="1">
        <v>0</v>
      </c>
      <c r="AT160" s="1">
        <v>0</v>
      </c>
      <c r="AU160" s="1">
        <v>0</v>
      </c>
      <c r="AV160" s="1">
        <v>0</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2" t="str">
        <f>HYPERLINK("http://www.d20pfsrd.com/magic/all-spells/d/dispel-magic","Dispel Magic")</f>
        <v>Dispel Magic</v>
      </c>
      <c r="BR160" s="1">
        <v>159</v>
      </c>
      <c r="BS160" s="1" t="s">
        <v>104</v>
      </c>
      <c r="BT160" s="1" t="s">
        <v>1237</v>
      </c>
      <c r="BV160" s="1" t="s">
        <v>1238</v>
      </c>
      <c r="BX160" s="1">
        <v>1</v>
      </c>
      <c r="BY160" s="1" t="s">
        <v>104</v>
      </c>
      <c r="BZ160" s="1">
        <v>3</v>
      </c>
      <c r="CA160" s="1">
        <v>3</v>
      </c>
      <c r="CB160" s="1">
        <v>3</v>
      </c>
      <c r="CC160" s="1">
        <v>3</v>
      </c>
      <c r="CD160" s="1">
        <v>3</v>
      </c>
      <c r="CE160" s="1">
        <v>3</v>
      </c>
      <c r="CF160" s="1" t="s">
        <v>104</v>
      </c>
      <c r="CG160" s="1" t="s">
        <v>104</v>
      </c>
      <c r="CH160" s="1">
        <v>4</v>
      </c>
      <c r="CJ160" s="1">
        <v>0</v>
      </c>
      <c r="CK160" s="1">
        <v>0</v>
      </c>
      <c r="CL160" s="1">
        <v>0</v>
      </c>
      <c r="CM160" s="1">
        <v>3</v>
      </c>
    </row>
    <row r="161" spans="1:91" ht="14.25" customHeight="1" x14ac:dyDescent="0.3">
      <c r="A161" s="1" t="s">
        <v>1239</v>
      </c>
      <c r="B161" s="1" t="s">
        <v>162</v>
      </c>
      <c r="E161" s="1" t="s">
        <v>1240</v>
      </c>
      <c r="F161" s="1" t="s">
        <v>95</v>
      </c>
      <c r="G161" s="1" t="s">
        <v>116</v>
      </c>
      <c r="H161" s="1">
        <v>0</v>
      </c>
      <c r="I161" s="1" t="s">
        <v>109</v>
      </c>
      <c r="J161" s="1" t="s">
        <v>627</v>
      </c>
      <c r="L161" s="1" t="s">
        <v>1233</v>
      </c>
      <c r="M161" s="1" t="s">
        <v>119</v>
      </c>
      <c r="N161" s="1">
        <v>0</v>
      </c>
      <c r="O161" s="1">
        <v>0</v>
      </c>
      <c r="P161" s="1" t="s">
        <v>100</v>
      </c>
      <c r="Q161" s="1" t="s">
        <v>101</v>
      </c>
      <c r="R161" s="1" t="s">
        <v>1241</v>
      </c>
      <c r="S161" s="1" t="s">
        <v>103</v>
      </c>
      <c r="T161" s="1">
        <v>1</v>
      </c>
      <c r="U161" s="1">
        <v>1</v>
      </c>
      <c r="V161" s="1">
        <v>0</v>
      </c>
      <c r="W161" s="1">
        <v>0</v>
      </c>
      <c r="X161" s="1">
        <v>0</v>
      </c>
      <c r="Y161" s="1">
        <v>6</v>
      </c>
      <c r="Z161" s="1">
        <v>6</v>
      </c>
      <c r="AA161" s="1">
        <v>6</v>
      </c>
      <c r="AB161" s="1">
        <v>6</v>
      </c>
      <c r="AC161" s="1" t="s">
        <v>104</v>
      </c>
      <c r="AD161" s="1">
        <v>5</v>
      </c>
      <c r="AE161" s="1" t="s">
        <v>104</v>
      </c>
      <c r="AF161" s="1" t="s">
        <v>104</v>
      </c>
      <c r="AG161" s="1">
        <v>5</v>
      </c>
      <c r="AH161" s="1">
        <v>6</v>
      </c>
      <c r="AI161" s="1">
        <v>6</v>
      </c>
      <c r="AJ161" s="1">
        <v>6</v>
      </c>
      <c r="AK161" s="1" t="s">
        <v>104</v>
      </c>
      <c r="AL161" s="1">
        <v>6</v>
      </c>
      <c r="AM161" s="1" t="s">
        <v>104</v>
      </c>
      <c r="AO161" s="1">
        <v>6</v>
      </c>
      <c r="AP161" s="1" t="s">
        <v>1242</v>
      </c>
      <c r="AQ161" s="1" t="s">
        <v>1243</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2" t="str">
        <f>HYPERLINK("http://www.d20pfsrd.com/magic/all-spells/d/dispel-magic#TOC-Dispel-Magic-Greater","Dispel Magic, Greater")</f>
        <v>Dispel Magic, Greater</v>
      </c>
      <c r="BR161" s="1">
        <v>160</v>
      </c>
      <c r="BS161" s="1" t="s">
        <v>104</v>
      </c>
      <c r="BT161" s="1" t="s">
        <v>1244</v>
      </c>
      <c r="BX161" s="1">
        <v>0</v>
      </c>
      <c r="BY161" s="1" t="s">
        <v>104</v>
      </c>
      <c r="BZ161" s="1">
        <v>6</v>
      </c>
      <c r="CA161" s="1">
        <v>6</v>
      </c>
      <c r="CB161" s="1" t="s">
        <v>104</v>
      </c>
      <c r="CC161" s="1" t="s">
        <v>104</v>
      </c>
      <c r="CD161" s="1">
        <v>5</v>
      </c>
      <c r="CE161" s="1">
        <v>6</v>
      </c>
      <c r="CF161" s="1" t="s">
        <v>104</v>
      </c>
      <c r="CG161" s="1" t="s">
        <v>104</v>
      </c>
      <c r="CH161" s="1">
        <v>6</v>
      </c>
      <c r="CJ161" s="1">
        <v>0</v>
      </c>
      <c r="CK161" s="1">
        <v>0</v>
      </c>
      <c r="CL161" s="1">
        <v>0</v>
      </c>
      <c r="CM161" s="1">
        <v>5</v>
      </c>
    </row>
    <row r="162" spans="1:91" ht="14.25" customHeight="1" x14ac:dyDescent="0.3">
      <c r="A162" s="1" t="s">
        <v>1245</v>
      </c>
      <c r="B162" s="1" t="s">
        <v>507</v>
      </c>
      <c r="C162" s="1" t="s">
        <v>508</v>
      </c>
      <c r="E162" s="1" t="s">
        <v>1246</v>
      </c>
      <c r="F162" s="1" t="s">
        <v>95</v>
      </c>
      <c r="G162" s="1" t="s">
        <v>1247</v>
      </c>
      <c r="H162" s="1">
        <v>0</v>
      </c>
      <c r="I162" s="1" t="s">
        <v>128</v>
      </c>
      <c r="L162" s="1" t="s">
        <v>374</v>
      </c>
      <c r="M162" s="1" t="s">
        <v>111</v>
      </c>
      <c r="N162" s="1">
        <v>1</v>
      </c>
      <c r="O162" s="1">
        <v>0</v>
      </c>
      <c r="P162" s="1" t="s">
        <v>375</v>
      </c>
      <c r="Q162" s="1" t="s">
        <v>131</v>
      </c>
      <c r="R162" s="1" t="s">
        <v>1248</v>
      </c>
      <c r="S162" s="1" t="s">
        <v>103</v>
      </c>
      <c r="T162" s="1">
        <v>1</v>
      </c>
      <c r="U162" s="1">
        <v>0</v>
      </c>
      <c r="V162" s="1">
        <v>1</v>
      </c>
      <c r="W162" s="1">
        <v>0</v>
      </c>
      <c r="X162" s="1">
        <v>0</v>
      </c>
      <c r="Y162" s="1">
        <v>3</v>
      </c>
      <c r="Z162" s="1">
        <v>3</v>
      </c>
      <c r="AA162" s="1" t="s">
        <v>104</v>
      </c>
      <c r="AB162" s="1" t="s">
        <v>104</v>
      </c>
      <c r="AC162" s="1" t="s">
        <v>104</v>
      </c>
      <c r="AD162" s="1">
        <v>3</v>
      </c>
      <c r="AE162" s="1" t="s">
        <v>104</v>
      </c>
      <c r="AF162" s="1">
        <v>3</v>
      </c>
      <c r="AG162" s="1">
        <v>3</v>
      </c>
      <c r="AH162" s="1" t="s">
        <v>104</v>
      </c>
      <c r="AI162" s="1" t="s">
        <v>104</v>
      </c>
      <c r="AJ162" s="1" t="s">
        <v>104</v>
      </c>
      <c r="AK162" s="1" t="s">
        <v>104</v>
      </c>
      <c r="AL162" s="1">
        <v>3</v>
      </c>
      <c r="AM162" s="1" t="s">
        <v>104</v>
      </c>
      <c r="AO162" s="1">
        <v>3</v>
      </c>
      <c r="AP162" s="1" t="s">
        <v>1249</v>
      </c>
      <c r="AQ162" s="1" t="s">
        <v>1250</v>
      </c>
      <c r="AR162" s="1">
        <v>0</v>
      </c>
      <c r="AS162" s="1">
        <v>0</v>
      </c>
      <c r="AT162" s="1">
        <v>0</v>
      </c>
      <c r="AU162" s="1">
        <v>0</v>
      </c>
      <c r="AV162" s="1">
        <v>0</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2" t="str">
        <f>HYPERLINK("http://www.d20pfsrd.com/magic/all-spells/d/displacement","Displacement")</f>
        <v>Displacement</v>
      </c>
      <c r="BR162" s="1">
        <v>161</v>
      </c>
      <c r="BS162" s="1" t="s">
        <v>104</v>
      </c>
      <c r="BT162" s="1" t="s">
        <v>1251</v>
      </c>
      <c r="BX162" s="1">
        <v>0</v>
      </c>
      <c r="BY162" s="1" t="s">
        <v>104</v>
      </c>
      <c r="BZ162" s="1" t="s">
        <v>104</v>
      </c>
      <c r="CA162" s="1">
        <v>3</v>
      </c>
      <c r="CB162" s="1">
        <v>3</v>
      </c>
      <c r="CC162" s="1">
        <v>3</v>
      </c>
      <c r="CD162" s="1">
        <v>3</v>
      </c>
      <c r="CE162" s="1">
        <v>3</v>
      </c>
      <c r="CF162" s="1" t="s">
        <v>104</v>
      </c>
      <c r="CG162" s="1" t="s">
        <v>104</v>
      </c>
      <c r="CH162" s="1" t="s">
        <v>104</v>
      </c>
      <c r="CJ162" s="1">
        <v>0</v>
      </c>
      <c r="CK162" s="1">
        <v>0</v>
      </c>
      <c r="CL162" s="1">
        <v>0</v>
      </c>
      <c r="CM162" s="1">
        <v>3</v>
      </c>
    </row>
    <row r="163" spans="1:91" ht="14.25" customHeight="1" x14ac:dyDescent="0.3">
      <c r="A163" s="1" t="s">
        <v>1252</v>
      </c>
      <c r="B163" s="1" t="s">
        <v>137</v>
      </c>
      <c r="E163" s="1" t="s">
        <v>1253</v>
      </c>
      <c r="F163" s="1" t="s">
        <v>95</v>
      </c>
      <c r="G163" s="1" t="s">
        <v>116</v>
      </c>
      <c r="H163" s="1">
        <v>0</v>
      </c>
      <c r="I163" s="1" t="s">
        <v>128</v>
      </c>
      <c r="L163" s="1" t="s">
        <v>1254</v>
      </c>
      <c r="M163" s="1" t="s">
        <v>111</v>
      </c>
      <c r="N163" s="1">
        <v>0</v>
      </c>
      <c r="O163" s="1">
        <v>0</v>
      </c>
      <c r="P163" s="1" t="s">
        <v>1255</v>
      </c>
      <c r="Q163" s="1" t="s">
        <v>149</v>
      </c>
      <c r="R163" s="1" t="s">
        <v>1256</v>
      </c>
      <c r="S163" s="1" t="s">
        <v>103</v>
      </c>
      <c r="T163" s="1">
        <v>1</v>
      </c>
      <c r="U163" s="1">
        <v>1</v>
      </c>
      <c r="V163" s="1">
        <v>0</v>
      </c>
      <c r="W163" s="1">
        <v>0</v>
      </c>
      <c r="X163" s="1">
        <v>0</v>
      </c>
      <c r="Y163" s="1" t="s">
        <v>104</v>
      </c>
      <c r="Z163" s="1" t="s">
        <v>104</v>
      </c>
      <c r="AA163" s="1">
        <v>5</v>
      </c>
      <c r="AB163" s="1" t="s">
        <v>104</v>
      </c>
      <c r="AC163" s="1" t="s">
        <v>104</v>
      </c>
      <c r="AD163" s="1" t="s">
        <v>104</v>
      </c>
      <c r="AE163" s="1" t="s">
        <v>104</v>
      </c>
      <c r="AF163" s="1" t="s">
        <v>104</v>
      </c>
      <c r="AG163" s="1" t="s">
        <v>104</v>
      </c>
      <c r="AH163" s="1" t="s">
        <v>104</v>
      </c>
      <c r="AI163" s="1">
        <v>5</v>
      </c>
      <c r="AJ163" s="1">
        <v>5</v>
      </c>
      <c r="AK163" s="1" t="s">
        <v>104</v>
      </c>
      <c r="AL163" s="1" t="s">
        <v>104</v>
      </c>
      <c r="AM163" s="1" t="s">
        <v>104</v>
      </c>
      <c r="AO163" s="1">
        <v>5</v>
      </c>
      <c r="AQ163" s="1" t="s">
        <v>1257</v>
      </c>
      <c r="AR163" s="1">
        <v>0</v>
      </c>
      <c r="AS163" s="1">
        <v>0</v>
      </c>
      <c r="AT163" s="1">
        <v>0</v>
      </c>
      <c r="AU163" s="1">
        <v>0</v>
      </c>
      <c r="AV163" s="1">
        <v>0</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2" t="str">
        <f>HYPERLINK("http://www.d20pfsrd.com/magic/all-spells/d/disrupting-weapon","Disrupting Weapon")</f>
        <v>Disrupting Weapon</v>
      </c>
      <c r="BR163" s="1">
        <v>162</v>
      </c>
      <c r="BS163" s="1" t="s">
        <v>104</v>
      </c>
      <c r="BX163" s="1">
        <v>0</v>
      </c>
      <c r="BY163" s="1" t="s">
        <v>104</v>
      </c>
      <c r="BZ163" s="1" t="s">
        <v>104</v>
      </c>
      <c r="CA163" s="1" t="s">
        <v>104</v>
      </c>
      <c r="CB163" s="1" t="s">
        <v>104</v>
      </c>
      <c r="CC163" s="1" t="s">
        <v>104</v>
      </c>
      <c r="CD163" s="1" t="s">
        <v>104</v>
      </c>
      <c r="CE163" s="1">
        <v>5</v>
      </c>
      <c r="CF163" s="1" t="s">
        <v>104</v>
      </c>
      <c r="CG163" s="1" t="s">
        <v>104</v>
      </c>
      <c r="CH163" s="1" t="s">
        <v>104</v>
      </c>
      <c r="CJ163" s="1">
        <v>0</v>
      </c>
      <c r="CK163" s="1">
        <v>0</v>
      </c>
      <c r="CL163" s="1">
        <v>0</v>
      </c>
      <c r="CM163" s="1" t="s">
        <v>104</v>
      </c>
    </row>
    <row r="164" spans="1:91" ht="14.25" customHeight="1" x14ac:dyDescent="0.3">
      <c r="A164" s="1" t="s">
        <v>1258</v>
      </c>
      <c r="B164" s="1" t="s">
        <v>216</v>
      </c>
      <c r="E164" s="1" t="s">
        <v>1259</v>
      </c>
      <c r="F164" s="1" t="s">
        <v>95</v>
      </c>
      <c r="G164" s="1" t="s">
        <v>116</v>
      </c>
      <c r="H164" s="1">
        <v>0</v>
      </c>
      <c r="I164" s="1" t="s">
        <v>117</v>
      </c>
      <c r="K164" s="1" t="s">
        <v>1148</v>
      </c>
      <c r="M164" s="1" t="s">
        <v>119</v>
      </c>
      <c r="N164" s="1">
        <v>0</v>
      </c>
      <c r="O164" s="1">
        <v>0</v>
      </c>
      <c r="P164" s="1" t="s">
        <v>100</v>
      </c>
      <c r="Q164" s="1" t="s">
        <v>184</v>
      </c>
      <c r="R164" s="1" t="s">
        <v>1260</v>
      </c>
      <c r="S164" s="1" t="s">
        <v>103</v>
      </c>
      <c r="T164" s="1">
        <v>1</v>
      </c>
      <c r="U164" s="1">
        <v>1</v>
      </c>
      <c r="V164" s="1">
        <v>0</v>
      </c>
      <c r="W164" s="1">
        <v>0</v>
      </c>
      <c r="X164" s="1">
        <v>0</v>
      </c>
      <c r="Y164" s="1">
        <v>0</v>
      </c>
      <c r="Z164" s="1">
        <v>0</v>
      </c>
      <c r="AA164" s="1" t="s">
        <v>104</v>
      </c>
      <c r="AB164" s="1" t="s">
        <v>104</v>
      </c>
      <c r="AC164" s="1" t="s">
        <v>104</v>
      </c>
      <c r="AD164" s="1" t="s">
        <v>104</v>
      </c>
      <c r="AE164" s="1" t="s">
        <v>104</v>
      </c>
      <c r="AF164" s="1" t="s">
        <v>104</v>
      </c>
      <c r="AG164" s="1" t="s">
        <v>104</v>
      </c>
      <c r="AH164" s="1" t="s">
        <v>104</v>
      </c>
      <c r="AI164" s="1">
        <v>0</v>
      </c>
      <c r="AJ164" s="1" t="s">
        <v>104</v>
      </c>
      <c r="AK164" s="1" t="s">
        <v>104</v>
      </c>
      <c r="AL164" s="1">
        <v>0</v>
      </c>
      <c r="AM164" s="1" t="s">
        <v>104</v>
      </c>
      <c r="AO164" s="1">
        <v>0</v>
      </c>
      <c r="AQ164" s="1" t="s">
        <v>1261</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2" t="str">
        <f>HYPERLINK("http://www.d20pfsrd.com/magic/all-spells/d/disrupt-undead","Disrupt Undead")</f>
        <v>Disrupt Undead</v>
      </c>
      <c r="BR164" s="1">
        <v>163</v>
      </c>
      <c r="BS164" s="1" t="s">
        <v>104</v>
      </c>
      <c r="BX164" s="1">
        <v>0</v>
      </c>
      <c r="BY164" s="1" t="s">
        <v>104</v>
      </c>
      <c r="BZ164" s="1" t="s">
        <v>104</v>
      </c>
      <c r="CA164" s="1" t="s">
        <v>104</v>
      </c>
      <c r="CB164" s="1" t="s">
        <v>104</v>
      </c>
      <c r="CC164" s="1" t="s">
        <v>104</v>
      </c>
      <c r="CD164" s="1" t="s">
        <v>104</v>
      </c>
      <c r="CE164" s="1" t="s">
        <v>104</v>
      </c>
      <c r="CF164" s="1" t="s">
        <v>104</v>
      </c>
      <c r="CG164" s="1" t="s">
        <v>104</v>
      </c>
      <c r="CH164" s="1" t="s">
        <v>104</v>
      </c>
      <c r="CJ164" s="1">
        <v>0</v>
      </c>
      <c r="CK164" s="1">
        <v>0</v>
      </c>
      <c r="CL164" s="1">
        <v>0</v>
      </c>
      <c r="CM164" s="1" t="s">
        <v>104</v>
      </c>
    </row>
    <row r="165" spans="1:91" ht="14.25" customHeight="1" x14ac:dyDescent="0.3">
      <c r="A165" s="1" t="s">
        <v>1262</v>
      </c>
      <c r="B165" s="1" t="s">
        <v>172</v>
      </c>
      <c r="E165" s="1" t="s">
        <v>1263</v>
      </c>
      <c r="F165" s="1" t="s">
        <v>287</v>
      </c>
      <c r="G165" s="1" t="s">
        <v>1264</v>
      </c>
      <c r="H165" s="1">
        <v>1</v>
      </c>
      <c r="I165" s="1" t="s">
        <v>157</v>
      </c>
      <c r="L165" s="1" t="s">
        <v>158</v>
      </c>
      <c r="M165" s="1" t="s">
        <v>119</v>
      </c>
      <c r="N165" s="1">
        <v>0</v>
      </c>
      <c r="O165" s="1">
        <v>0</v>
      </c>
      <c r="R165" s="1" t="s">
        <v>1265</v>
      </c>
      <c r="S165" s="1" t="s">
        <v>103</v>
      </c>
      <c r="T165" s="1">
        <v>1</v>
      </c>
      <c r="U165" s="1">
        <v>1</v>
      </c>
      <c r="V165" s="1">
        <v>1</v>
      </c>
      <c r="W165" s="1">
        <v>0</v>
      </c>
      <c r="X165" s="1">
        <v>0</v>
      </c>
      <c r="Y165" s="1" t="s">
        <v>104</v>
      </c>
      <c r="Z165" s="1" t="s">
        <v>104</v>
      </c>
      <c r="AA165" s="1">
        <v>4</v>
      </c>
      <c r="AB165" s="1" t="s">
        <v>104</v>
      </c>
      <c r="AC165" s="1" t="s">
        <v>104</v>
      </c>
      <c r="AD165" s="1" t="s">
        <v>104</v>
      </c>
      <c r="AE165" s="1" t="s">
        <v>104</v>
      </c>
      <c r="AF165" s="1" t="s">
        <v>104</v>
      </c>
      <c r="AG165" s="1" t="s">
        <v>104</v>
      </c>
      <c r="AH165" s="1">
        <v>4</v>
      </c>
      <c r="AI165" s="1">
        <v>4</v>
      </c>
      <c r="AJ165" s="1">
        <v>4</v>
      </c>
      <c r="AK165" s="1" t="s">
        <v>104</v>
      </c>
      <c r="AL165" s="1" t="s">
        <v>104</v>
      </c>
      <c r="AM165" s="1" t="s">
        <v>104</v>
      </c>
      <c r="AO165" s="1">
        <v>4</v>
      </c>
      <c r="AP165" s="1" t="s">
        <v>1266</v>
      </c>
      <c r="AQ165" s="1" t="s">
        <v>1267</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2" t="str">
        <f>HYPERLINK("http://www.d20pfsrd.com/magic/all-spells/d/divination","Divination")</f>
        <v>Divination</v>
      </c>
      <c r="BR165" s="1">
        <v>164</v>
      </c>
      <c r="BS165" s="1">
        <v>25</v>
      </c>
      <c r="BT165" s="1" t="s">
        <v>1268</v>
      </c>
      <c r="BU165" s="1" t="s">
        <v>1269</v>
      </c>
      <c r="BX165" s="1">
        <v>0</v>
      </c>
      <c r="BY165" s="1" t="s">
        <v>104</v>
      </c>
      <c r="BZ165" s="1">
        <v>4</v>
      </c>
      <c r="CA165" s="1">
        <v>4</v>
      </c>
      <c r="CB165" s="1">
        <v>3</v>
      </c>
      <c r="CC165" s="1" t="s">
        <v>104</v>
      </c>
      <c r="CD165" s="1" t="s">
        <v>104</v>
      </c>
      <c r="CE165" s="1">
        <v>4</v>
      </c>
      <c r="CF165" s="1" t="s">
        <v>104</v>
      </c>
      <c r="CG165" s="1" t="s">
        <v>104</v>
      </c>
      <c r="CH165" s="1" t="s">
        <v>104</v>
      </c>
      <c r="CJ165" s="1">
        <v>0</v>
      </c>
      <c r="CK165" s="1">
        <v>0</v>
      </c>
      <c r="CL165" s="1">
        <v>0</v>
      </c>
      <c r="CM165" s="1" t="s">
        <v>104</v>
      </c>
    </row>
    <row r="166" spans="1:91" ht="14.25" customHeight="1" x14ac:dyDescent="0.3">
      <c r="A166" s="1" t="s">
        <v>1270</v>
      </c>
      <c r="B166" s="1" t="s">
        <v>434</v>
      </c>
      <c r="E166" s="1" t="s">
        <v>468</v>
      </c>
      <c r="F166" s="1" t="s">
        <v>95</v>
      </c>
      <c r="G166" s="1" t="s">
        <v>127</v>
      </c>
      <c r="H166" s="1">
        <v>0</v>
      </c>
      <c r="I166" s="1" t="s">
        <v>157</v>
      </c>
      <c r="L166" s="1" t="s">
        <v>158</v>
      </c>
      <c r="M166" s="1" t="s">
        <v>191</v>
      </c>
      <c r="N166" s="1">
        <v>0</v>
      </c>
      <c r="O166" s="1">
        <v>0</v>
      </c>
      <c r="R166" s="1" t="s">
        <v>1271</v>
      </c>
      <c r="S166" s="1" t="s">
        <v>103</v>
      </c>
      <c r="T166" s="1">
        <v>1</v>
      </c>
      <c r="U166" s="1">
        <v>1</v>
      </c>
      <c r="V166" s="1">
        <v>0</v>
      </c>
      <c r="W166" s="1">
        <v>0</v>
      </c>
      <c r="X166" s="1">
        <v>1</v>
      </c>
      <c r="Y166" s="1" t="s">
        <v>104</v>
      </c>
      <c r="Z166" s="1" t="s">
        <v>104</v>
      </c>
      <c r="AA166" s="1">
        <v>1</v>
      </c>
      <c r="AB166" s="1" t="s">
        <v>104</v>
      </c>
      <c r="AC166" s="1" t="s">
        <v>104</v>
      </c>
      <c r="AD166" s="1" t="s">
        <v>104</v>
      </c>
      <c r="AE166" s="1">
        <v>1</v>
      </c>
      <c r="AF166" s="1" t="s">
        <v>104</v>
      </c>
      <c r="AG166" s="1" t="s">
        <v>104</v>
      </c>
      <c r="AH166" s="1" t="s">
        <v>104</v>
      </c>
      <c r="AI166" s="1">
        <v>1</v>
      </c>
      <c r="AJ166" s="1">
        <v>1</v>
      </c>
      <c r="AK166" s="1" t="s">
        <v>104</v>
      </c>
      <c r="AL166" s="1" t="s">
        <v>104</v>
      </c>
      <c r="AM166" s="1" t="s">
        <v>104</v>
      </c>
      <c r="AO166" s="1">
        <v>1</v>
      </c>
      <c r="AP166" s="1" t="s">
        <v>1272</v>
      </c>
      <c r="AQ166" s="1" t="s">
        <v>1273</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2" t="str">
        <f>HYPERLINK("http://www.d20pfsrd.com/magic/all-spells/d/divine-favor","Divine Favor")</f>
        <v>Divine Favor</v>
      </c>
      <c r="BR166" s="1">
        <v>165</v>
      </c>
      <c r="BS166" s="1" t="s">
        <v>104</v>
      </c>
      <c r="BU166" s="1" t="s">
        <v>1274</v>
      </c>
      <c r="BV166" s="1" t="s">
        <v>1275</v>
      </c>
      <c r="BX166" s="1">
        <v>1</v>
      </c>
      <c r="BY166" s="1" t="s">
        <v>104</v>
      </c>
      <c r="BZ166" s="1" t="s">
        <v>104</v>
      </c>
      <c r="CA166" s="1" t="s">
        <v>104</v>
      </c>
      <c r="CB166" s="1" t="s">
        <v>104</v>
      </c>
      <c r="CC166" s="1" t="s">
        <v>104</v>
      </c>
      <c r="CD166" s="1" t="s">
        <v>104</v>
      </c>
      <c r="CE166" s="1" t="s">
        <v>104</v>
      </c>
      <c r="CF166" s="1" t="s">
        <v>104</v>
      </c>
      <c r="CG166" s="1" t="s">
        <v>104</v>
      </c>
      <c r="CH166" s="1" t="s">
        <v>104</v>
      </c>
      <c r="CJ166" s="1">
        <v>0</v>
      </c>
      <c r="CK166" s="1">
        <v>0</v>
      </c>
      <c r="CL166" s="1">
        <v>0</v>
      </c>
      <c r="CM166" s="1" t="s">
        <v>104</v>
      </c>
    </row>
    <row r="167" spans="1:91" ht="14.25" customHeight="1" x14ac:dyDescent="0.3">
      <c r="A167" s="1" t="s">
        <v>1276</v>
      </c>
      <c r="B167" s="1" t="s">
        <v>434</v>
      </c>
      <c r="E167" s="1" t="s">
        <v>1277</v>
      </c>
      <c r="F167" s="1" t="s">
        <v>95</v>
      </c>
      <c r="G167" s="1" t="s">
        <v>127</v>
      </c>
      <c r="H167" s="1">
        <v>0</v>
      </c>
      <c r="I167" s="1" t="s">
        <v>157</v>
      </c>
      <c r="L167" s="1" t="s">
        <v>158</v>
      </c>
      <c r="M167" s="1" t="s">
        <v>111</v>
      </c>
      <c r="N167" s="1">
        <v>0</v>
      </c>
      <c r="O167" s="1">
        <v>0</v>
      </c>
      <c r="R167" s="1" t="s">
        <v>1278</v>
      </c>
      <c r="S167" s="1" t="s">
        <v>103</v>
      </c>
      <c r="T167" s="1">
        <v>1</v>
      </c>
      <c r="U167" s="1">
        <v>1</v>
      </c>
      <c r="V167" s="1">
        <v>0</v>
      </c>
      <c r="W167" s="1">
        <v>0</v>
      </c>
      <c r="X167" s="1">
        <v>1</v>
      </c>
      <c r="Y167" s="1" t="s">
        <v>104</v>
      </c>
      <c r="Z167" s="1" t="s">
        <v>104</v>
      </c>
      <c r="AA167" s="1">
        <v>4</v>
      </c>
      <c r="AB167" s="1" t="s">
        <v>104</v>
      </c>
      <c r="AC167" s="1" t="s">
        <v>104</v>
      </c>
      <c r="AD167" s="1" t="s">
        <v>104</v>
      </c>
      <c r="AE167" s="1" t="s">
        <v>104</v>
      </c>
      <c r="AF167" s="1" t="s">
        <v>104</v>
      </c>
      <c r="AG167" s="1" t="s">
        <v>104</v>
      </c>
      <c r="AH167" s="1" t="s">
        <v>104</v>
      </c>
      <c r="AI167" s="1">
        <v>4</v>
      </c>
      <c r="AJ167" s="1">
        <v>4</v>
      </c>
      <c r="AK167" s="1" t="s">
        <v>104</v>
      </c>
      <c r="AL167" s="1" t="s">
        <v>104</v>
      </c>
      <c r="AM167" s="1" t="s">
        <v>104</v>
      </c>
      <c r="AO167" s="1">
        <v>4</v>
      </c>
      <c r="AP167" s="1" t="s">
        <v>1279</v>
      </c>
      <c r="AQ167" s="1" t="s">
        <v>1280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2" t="str">
        <f>HYPERLINK("http://www.d20pfsrd.com/magic/all-spells/d/divine-power","Divine Power")</f>
        <v>Divine Power</v>
      </c>
      <c r="BR167" s="1">
        <v>166</v>
      </c>
      <c r="BS167" s="1" t="s">
        <v>104</v>
      </c>
      <c r="BU167" s="1" t="s">
        <v>692</v>
      </c>
      <c r="BX167" s="1">
        <v>0</v>
      </c>
      <c r="BY167" s="1" t="s">
        <v>104</v>
      </c>
      <c r="BZ167" s="1">
        <v>4</v>
      </c>
      <c r="CA167" s="1" t="s">
        <v>104</v>
      </c>
      <c r="CB167" s="1" t="s">
        <v>104</v>
      </c>
      <c r="CC167" s="1" t="s">
        <v>104</v>
      </c>
      <c r="CD167" s="1" t="s">
        <v>104</v>
      </c>
      <c r="CE167" s="1" t="s">
        <v>104</v>
      </c>
      <c r="CF167" s="1" t="s">
        <v>104</v>
      </c>
      <c r="CG167" s="1" t="s">
        <v>104</v>
      </c>
      <c r="CH167" s="1" t="s">
        <v>104</v>
      </c>
      <c r="CJ167" s="1">
        <v>0</v>
      </c>
      <c r="CK167" s="1">
        <v>0</v>
      </c>
      <c r="CL167" s="1">
        <v>0</v>
      </c>
      <c r="CM167" s="1" t="s">
        <v>104</v>
      </c>
    </row>
    <row r="168" spans="1:91" ht="14.25" customHeight="1" x14ac:dyDescent="0.3">
      <c r="A168" s="1" t="s">
        <v>1281</v>
      </c>
      <c r="B168" s="1" t="s">
        <v>123</v>
      </c>
      <c r="C168" s="1" t="s">
        <v>124</v>
      </c>
      <c r="D168" s="1" t="s">
        <v>125</v>
      </c>
      <c r="E168" s="1" t="s">
        <v>1282</v>
      </c>
      <c r="F168" s="1" t="s">
        <v>255</v>
      </c>
      <c r="G168" s="1" t="s">
        <v>116</v>
      </c>
      <c r="H168" s="1">
        <v>0</v>
      </c>
      <c r="I168" s="1" t="s">
        <v>117</v>
      </c>
      <c r="L168" s="1" t="s">
        <v>643</v>
      </c>
      <c r="M168" s="1" t="s">
        <v>111</v>
      </c>
      <c r="N168" s="1">
        <v>0</v>
      </c>
      <c r="O168" s="1">
        <v>0</v>
      </c>
      <c r="P168" s="1" t="s">
        <v>211</v>
      </c>
      <c r="Q168" s="1" t="s">
        <v>184</v>
      </c>
      <c r="R168" s="1" t="s">
        <v>1283</v>
      </c>
      <c r="S168" s="1" t="s">
        <v>103</v>
      </c>
      <c r="T168" s="1">
        <v>1</v>
      </c>
      <c r="U168" s="1">
        <v>1</v>
      </c>
      <c r="V168" s="1">
        <v>0</v>
      </c>
      <c r="W168" s="1">
        <v>0</v>
      </c>
      <c r="X168" s="1">
        <v>0</v>
      </c>
      <c r="Y168" s="1" t="s">
        <v>104</v>
      </c>
      <c r="Z168" s="1" t="s">
        <v>104</v>
      </c>
      <c r="AA168" s="1" t="s">
        <v>104</v>
      </c>
      <c r="AB168" s="1">
        <v>3</v>
      </c>
      <c r="AC168" s="1" t="s">
        <v>104</v>
      </c>
      <c r="AD168" s="1" t="s">
        <v>104</v>
      </c>
      <c r="AE168" s="1" t="s">
        <v>104</v>
      </c>
      <c r="AF168" s="1" t="s">
        <v>104</v>
      </c>
      <c r="AG168" s="1" t="s">
        <v>104</v>
      </c>
      <c r="AH168" s="1" t="s">
        <v>104</v>
      </c>
      <c r="AI168" s="1" t="s">
        <v>104</v>
      </c>
      <c r="AJ168" s="1" t="s">
        <v>104</v>
      </c>
      <c r="AK168" s="1" t="s">
        <v>104</v>
      </c>
      <c r="AL168" s="1" t="s">
        <v>104</v>
      </c>
      <c r="AM168" s="1" t="s">
        <v>104</v>
      </c>
      <c r="AO168" s="1">
        <v>3</v>
      </c>
      <c r="AP168" s="1" t="s">
        <v>1284</v>
      </c>
      <c r="AQ168" s="1" t="s">
        <v>1285</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1</v>
      </c>
      <c r="BL168" s="1">
        <v>0</v>
      </c>
      <c r="BM168" s="1">
        <v>0</v>
      </c>
      <c r="BN168" s="1">
        <v>0</v>
      </c>
      <c r="BO168" s="1">
        <v>0</v>
      </c>
      <c r="BP168" s="1">
        <v>0</v>
      </c>
      <c r="BQ168" s="2" t="str">
        <f>HYPERLINK("http://www.d20pfsrd.com/magic/all-spells/d/dominate-animal","Dominate Animal")</f>
        <v>Dominate Animal</v>
      </c>
      <c r="BR168" s="1">
        <v>167</v>
      </c>
      <c r="BS168" s="1" t="s">
        <v>104</v>
      </c>
      <c r="BU168" s="1" t="s">
        <v>1286</v>
      </c>
      <c r="BX168" s="1">
        <v>0</v>
      </c>
      <c r="BY168" s="1" t="s">
        <v>104</v>
      </c>
      <c r="BZ168" s="1">
        <v>3</v>
      </c>
      <c r="CA168" s="1">
        <v>4</v>
      </c>
      <c r="CB168" s="1" t="s">
        <v>104</v>
      </c>
      <c r="CC168" s="1">
        <v>3</v>
      </c>
      <c r="CD168" s="1" t="s">
        <v>104</v>
      </c>
      <c r="CE168" s="1" t="s">
        <v>104</v>
      </c>
      <c r="CF168" s="1" t="s">
        <v>104</v>
      </c>
      <c r="CG168" s="1" t="s">
        <v>104</v>
      </c>
      <c r="CH168" s="1">
        <v>3</v>
      </c>
      <c r="CJ168" s="1">
        <v>0</v>
      </c>
      <c r="CK168" s="1">
        <v>0</v>
      </c>
      <c r="CL168" s="1">
        <v>0</v>
      </c>
      <c r="CM168" s="1" t="s">
        <v>104</v>
      </c>
    </row>
    <row r="169" spans="1:91" ht="14.25" customHeight="1" x14ac:dyDescent="0.3">
      <c r="A169" s="1" t="s">
        <v>1287</v>
      </c>
      <c r="B169" s="1" t="s">
        <v>123</v>
      </c>
      <c r="C169" s="1" t="s">
        <v>124</v>
      </c>
      <c r="D169" s="1" t="s">
        <v>125</v>
      </c>
      <c r="E169" s="1" t="s">
        <v>1288</v>
      </c>
      <c r="F169" s="1" t="s">
        <v>255</v>
      </c>
      <c r="G169" s="1" t="s">
        <v>116</v>
      </c>
      <c r="H169" s="1">
        <v>0</v>
      </c>
      <c r="I169" s="1" t="s">
        <v>117</v>
      </c>
      <c r="L169" s="1" t="s">
        <v>1065</v>
      </c>
      <c r="M169" s="1" t="s">
        <v>194</v>
      </c>
      <c r="N169" s="1">
        <v>0</v>
      </c>
      <c r="O169" s="1">
        <v>0</v>
      </c>
      <c r="P169" s="1" t="s">
        <v>211</v>
      </c>
      <c r="Q169" s="1" t="s">
        <v>184</v>
      </c>
      <c r="R169" s="1" t="s">
        <v>1289</v>
      </c>
      <c r="S169" s="1" t="s">
        <v>103</v>
      </c>
      <c r="T169" s="1">
        <v>1</v>
      </c>
      <c r="U169" s="1">
        <v>1</v>
      </c>
      <c r="V169" s="1">
        <v>0</v>
      </c>
      <c r="W169" s="1">
        <v>0</v>
      </c>
      <c r="X169" s="1">
        <v>0</v>
      </c>
      <c r="Y169" s="1">
        <v>9</v>
      </c>
      <c r="Z169" s="1">
        <v>9</v>
      </c>
      <c r="AA169" s="1" t="s">
        <v>104</v>
      </c>
      <c r="AB169" s="1" t="s">
        <v>104</v>
      </c>
      <c r="AC169" s="1" t="s">
        <v>104</v>
      </c>
      <c r="AD169" s="1" t="s">
        <v>104</v>
      </c>
      <c r="AE169" s="1" t="s">
        <v>104</v>
      </c>
      <c r="AF169" s="1" t="s">
        <v>104</v>
      </c>
      <c r="AG169" s="1">
        <v>6</v>
      </c>
      <c r="AH169" s="1">
        <v>9</v>
      </c>
      <c r="AI169" s="1" t="s">
        <v>104</v>
      </c>
      <c r="AJ169" s="1" t="s">
        <v>104</v>
      </c>
      <c r="AK169" s="1" t="s">
        <v>104</v>
      </c>
      <c r="AL169" s="1" t="s">
        <v>104</v>
      </c>
      <c r="AM169" s="1" t="s">
        <v>104</v>
      </c>
      <c r="AO169" s="1">
        <v>9</v>
      </c>
      <c r="AP169" s="1" t="s">
        <v>1290</v>
      </c>
      <c r="AQ169" s="1" t="s">
        <v>1291</v>
      </c>
      <c r="AR169" s="1">
        <v>0</v>
      </c>
      <c r="AS169" s="1">
        <v>0</v>
      </c>
      <c r="AT169" s="1">
        <v>0</v>
      </c>
      <c r="AU169" s="1">
        <v>0</v>
      </c>
      <c r="AV169" s="1">
        <v>0</v>
      </c>
      <c r="AW169" s="1">
        <v>0</v>
      </c>
      <c r="AX169" s="1">
        <v>0</v>
      </c>
      <c r="AY169" s="1">
        <v>0</v>
      </c>
      <c r="AZ169" s="1">
        <v>0</v>
      </c>
      <c r="BA169" s="1">
        <v>0</v>
      </c>
      <c r="BB169" s="1">
        <v>0</v>
      </c>
      <c r="BC169" s="1">
        <v>0</v>
      </c>
      <c r="BD169" s="1">
        <v>0</v>
      </c>
      <c r="BE169" s="1">
        <v>0</v>
      </c>
      <c r="BF169" s="1">
        <v>0</v>
      </c>
      <c r="BG169" s="1">
        <v>0</v>
      </c>
      <c r="BH169" s="1">
        <v>0</v>
      </c>
      <c r="BI169" s="1">
        <v>0</v>
      </c>
      <c r="BJ169" s="1">
        <v>0</v>
      </c>
      <c r="BK169" s="1">
        <v>1</v>
      </c>
      <c r="BL169" s="1">
        <v>0</v>
      </c>
      <c r="BM169" s="1">
        <v>0</v>
      </c>
      <c r="BN169" s="1">
        <v>0</v>
      </c>
      <c r="BO169" s="1">
        <v>0</v>
      </c>
      <c r="BP169" s="1">
        <v>0</v>
      </c>
      <c r="BQ169" s="2" t="str">
        <f>HYPERLINK("http://www.d20pfsrd.com/magic/all-spells/d/dominate-monster","Dominate Monster")</f>
        <v>Dominate Monster</v>
      </c>
      <c r="BR169" s="1">
        <v>168</v>
      </c>
      <c r="BS169" s="1" t="s">
        <v>104</v>
      </c>
      <c r="BT169" s="1" t="s">
        <v>1292</v>
      </c>
      <c r="BU169" s="1" t="s">
        <v>1293</v>
      </c>
      <c r="BX169" s="1">
        <v>0</v>
      </c>
      <c r="BY169" s="1" t="s">
        <v>104</v>
      </c>
      <c r="BZ169" s="1" t="s">
        <v>104</v>
      </c>
      <c r="CA169" s="1">
        <v>9</v>
      </c>
      <c r="CB169" s="1" t="s">
        <v>104</v>
      </c>
      <c r="CC169" s="1" t="s">
        <v>104</v>
      </c>
      <c r="CD169" s="1" t="s">
        <v>104</v>
      </c>
      <c r="CE169" s="1" t="s">
        <v>104</v>
      </c>
      <c r="CF169" s="1" t="s">
        <v>104</v>
      </c>
      <c r="CG169" s="1" t="s">
        <v>104</v>
      </c>
      <c r="CH169" s="1" t="s">
        <v>104</v>
      </c>
      <c r="CJ169" s="1">
        <v>0</v>
      </c>
      <c r="CK169" s="1">
        <v>0</v>
      </c>
      <c r="CL169" s="1">
        <v>0</v>
      </c>
      <c r="CM169" s="1">
        <v>6</v>
      </c>
    </row>
    <row r="170" spans="1:91" ht="14.25" customHeight="1" x14ac:dyDescent="0.3">
      <c r="A170" s="1" t="s">
        <v>1294</v>
      </c>
      <c r="B170" s="1" t="s">
        <v>123</v>
      </c>
      <c r="C170" s="1" t="s">
        <v>124</v>
      </c>
      <c r="D170" s="1" t="s">
        <v>125</v>
      </c>
      <c r="E170" s="1" t="s">
        <v>1295</v>
      </c>
      <c r="F170" s="1" t="s">
        <v>255</v>
      </c>
      <c r="G170" s="1" t="s">
        <v>116</v>
      </c>
      <c r="H170" s="1">
        <v>0</v>
      </c>
      <c r="I170" s="1" t="s">
        <v>117</v>
      </c>
      <c r="L170" s="1" t="s">
        <v>1296</v>
      </c>
      <c r="M170" s="1" t="s">
        <v>194</v>
      </c>
      <c r="N170" s="1">
        <v>0</v>
      </c>
      <c r="O170" s="1">
        <v>0</v>
      </c>
      <c r="P170" s="1" t="s">
        <v>211</v>
      </c>
      <c r="Q170" s="1" t="s">
        <v>184</v>
      </c>
      <c r="R170" s="1" t="s">
        <v>1297</v>
      </c>
      <c r="S170" s="1" t="s">
        <v>103</v>
      </c>
      <c r="T170" s="1">
        <v>1</v>
      </c>
      <c r="U170" s="1">
        <v>1</v>
      </c>
      <c r="V170" s="1">
        <v>0</v>
      </c>
      <c r="W170" s="1">
        <v>0</v>
      </c>
      <c r="X170" s="1">
        <v>0</v>
      </c>
      <c r="Y170" s="1">
        <v>5</v>
      </c>
      <c r="Z170" s="1">
        <v>5</v>
      </c>
      <c r="AA170" s="1" t="s">
        <v>104</v>
      </c>
      <c r="AB170" s="1" t="s">
        <v>104</v>
      </c>
      <c r="AC170" s="1" t="s">
        <v>104</v>
      </c>
      <c r="AD170" s="1">
        <v>4</v>
      </c>
      <c r="AE170" s="1" t="s">
        <v>104</v>
      </c>
      <c r="AF170" s="1" t="s">
        <v>104</v>
      </c>
      <c r="AG170" s="1" t="s">
        <v>104</v>
      </c>
      <c r="AH170" s="1">
        <v>5</v>
      </c>
      <c r="AI170" s="1" t="s">
        <v>104</v>
      </c>
      <c r="AJ170" s="1" t="s">
        <v>104</v>
      </c>
      <c r="AK170" s="1" t="s">
        <v>104</v>
      </c>
      <c r="AL170" s="1" t="s">
        <v>104</v>
      </c>
      <c r="AM170" s="1" t="s">
        <v>104</v>
      </c>
      <c r="AO170" s="1">
        <v>5</v>
      </c>
      <c r="AP170" s="1" t="s">
        <v>1298</v>
      </c>
      <c r="AQ170" s="1" t="s">
        <v>1299</v>
      </c>
      <c r="AR170" s="1">
        <v>0</v>
      </c>
      <c r="AS170" s="1">
        <v>0</v>
      </c>
      <c r="AT170" s="1">
        <v>0</v>
      </c>
      <c r="AU170" s="1">
        <v>0</v>
      </c>
      <c r="AV170" s="1">
        <v>0</v>
      </c>
      <c r="AW170" s="1">
        <v>0</v>
      </c>
      <c r="AX170" s="1">
        <v>0</v>
      </c>
      <c r="AY170" s="1">
        <v>0</v>
      </c>
      <c r="AZ170" s="1">
        <v>0</v>
      </c>
      <c r="BA170" s="1">
        <v>0</v>
      </c>
      <c r="BB170" s="1">
        <v>0</v>
      </c>
      <c r="BC170" s="1">
        <v>0</v>
      </c>
      <c r="BD170" s="1">
        <v>0</v>
      </c>
      <c r="BE170" s="1">
        <v>0</v>
      </c>
      <c r="BF170" s="1">
        <v>0</v>
      </c>
      <c r="BG170" s="1">
        <v>0</v>
      </c>
      <c r="BH170" s="1">
        <v>0</v>
      </c>
      <c r="BI170" s="1">
        <v>0</v>
      </c>
      <c r="BJ170" s="1">
        <v>0</v>
      </c>
      <c r="BK170" s="1">
        <v>1</v>
      </c>
      <c r="BL170" s="1">
        <v>0</v>
      </c>
      <c r="BM170" s="1">
        <v>0</v>
      </c>
      <c r="BN170" s="1">
        <v>0</v>
      </c>
      <c r="BO170" s="1">
        <v>0</v>
      </c>
      <c r="BP170" s="1">
        <v>0</v>
      </c>
      <c r="BQ170" s="2" t="str">
        <f>HYPERLINK("http://www.d20pfsrd.com/magic/all-spells/d/dominate-person","Dominate Person")</f>
        <v>Dominate Person</v>
      </c>
      <c r="BR170" s="1">
        <v>169</v>
      </c>
      <c r="BS170" s="1" t="s">
        <v>104</v>
      </c>
      <c r="BT170" s="1" t="s">
        <v>1300</v>
      </c>
      <c r="BU170" s="1" t="s">
        <v>1301</v>
      </c>
      <c r="BX170" s="1">
        <v>0</v>
      </c>
      <c r="BY170" s="1" t="s">
        <v>104</v>
      </c>
      <c r="BZ170" s="1">
        <v>5</v>
      </c>
      <c r="CA170" s="1">
        <v>5</v>
      </c>
      <c r="CB170" s="1" t="s">
        <v>104</v>
      </c>
      <c r="CC170" s="1">
        <v>4</v>
      </c>
      <c r="CD170" s="1">
        <v>5</v>
      </c>
      <c r="CE170" s="1">
        <v>5</v>
      </c>
      <c r="CF170" s="1" t="s">
        <v>104</v>
      </c>
      <c r="CG170" s="1" t="s">
        <v>104</v>
      </c>
      <c r="CH170" s="1" t="s">
        <v>104</v>
      </c>
      <c r="CJ170" s="1">
        <v>0</v>
      </c>
      <c r="CK170" s="1">
        <v>0</v>
      </c>
      <c r="CL170" s="1">
        <v>0</v>
      </c>
      <c r="CM170" s="1" t="s">
        <v>104</v>
      </c>
    </row>
    <row r="171" spans="1:91" ht="14.25" customHeight="1" x14ac:dyDescent="0.3">
      <c r="A171" s="1" t="s">
        <v>1302</v>
      </c>
      <c r="B171" s="1" t="s">
        <v>216</v>
      </c>
      <c r="D171" s="1" t="s">
        <v>599</v>
      </c>
      <c r="E171" s="1" t="s">
        <v>1303</v>
      </c>
      <c r="F171" s="1" t="s">
        <v>95</v>
      </c>
      <c r="G171" s="1" t="s">
        <v>127</v>
      </c>
      <c r="H171" s="1">
        <v>0</v>
      </c>
      <c r="I171" s="1" t="s">
        <v>109</v>
      </c>
      <c r="L171" s="1" t="s">
        <v>417</v>
      </c>
      <c r="M171" s="1" t="s">
        <v>130</v>
      </c>
      <c r="N171" s="1">
        <v>0</v>
      </c>
      <c r="O171" s="1">
        <v>0</v>
      </c>
      <c r="P171" s="1" t="s">
        <v>211</v>
      </c>
      <c r="Q171" s="1" t="s">
        <v>184</v>
      </c>
      <c r="R171" s="1" t="s">
        <v>1304</v>
      </c>
      <c r="S171" s="1" t="s">
        <v>103</v>
      </c>
      <c r="T171" s="1">
        <v>1</v>
      </c>
      <c r="U171" s="1">
        <v>1</v>
      </c>
      <c r="V171" s="1">
        <v>0</v>
      </c>
      <c r="W171" s="1">
        <v>0</v>
      </c>
      <c r="X171" s="1">
        <v>1</v>
      </c>
      <c r="Y171" s="1" t="s">
        <v>104</v>
      </c>
      <c r="Z171" s="1" t="s">
        <v>104</v>
      </c>
      <c r="AA171" s="1">
        <v>1</v>
      </c>
      <c r="AB171" s="1" t="s">
        <v>104</v>
      </c>
      <c r="AC171" s="1" t="s">
        <v>104</v>
      </c>
      <c r="AD171" s="1" t="s">
        <v>104</v>
      </c>
      <c r="AE171" s="1" t="s">
        <v>104</v>
      </c>
      <c r="AF171" s="1" t="s">
        <v>104</v>
      </c>
      <c r="AG171" s="1" t="s">
        <v>104</v>
      </c>
      <c r="AH171" s="1" t="s">
        <v>104</v>
      </c>
      <c r="AI171" s="1">
        <v>1</v>
      </c>
      <c r="AJ171" s="1">
        <v>1</v>
      </c>
      <c r="AK171" s="1">
        <v>1</v>
      </c>
      <c r="AL171" s="1" t="s">
        <v>104</v>
      </c>
      <c r="AM171" s="1" t="s">
        <v>104</v>
      </c>
      <c r="AO171" s="1">
        <v>1</v>
      </c>
      <c r="AP171" s="1" t="s">
        <v>1305</v>
      </c>
      <c r="AQ171" s="1" t="s">
        <v>1306</v>
      </c>
      <c r="AR171" s="1">
        <v>0</v>
      </c>
      <c r="AS171" s="1">
        <v>0</v>
      </c>
      <c r="AT171" s="1">
        <v>0</v>
      </c>
      <c r="AU171" s="1">
        <v>0</v>
      </c>
      <c r="AV171" s="1">
        <v>0</v>
      </c>
      <c r="AW171" s="1">
        <v>0</v>
      </c>
      <c r="AX171" s="1">
        <v>0</v>
      </c>
      <c r="AY171" s="1">
        <v>0</v>
      </c>
      <c r="AZ171" s="1">
        <v>0</v>
      </c>
      <c r="BA171" s="1">
        <v>0</v>
      </c>
      <c r="BB171" s="1">
        <v>1</v>
      </c>
      <c r="BC171" s="1">
        <v>0</v>
      </c>
      <c r="BD171" s="1">
        <v>1</v>
      </c>
      <c r="BE171" s="1">
        <v>0</v>
      </c>
      <c r="BF171" s="1">
        <v>0</v>
      </c>
      <c r="BG171" s="1">
        <v>0</v>
      </c>
      <c r="BH171" s="1">
        <v>0</v>
      </c>
      <c r="BI171" s="1">
        <v>0</v>
      </c>
      <c r="BJ171" s="1">
        <v>0</v>
      </c>
      <c r="BK171" s="1">
        <v>1</v>
      </c>
      <c r="BL171" s="1">
        <v>0</v>
      </c>
      <c r="BM171" s="1">
        <v>0</v>
      </c>
      <c r="BN171" s="1">
        <v>0</v>
      </c>
      <c r="BO171" s="1">
        <v>0</v>
      </c>
      <c r="BP171" s="1">
        <v>0</v>
      </c>
      <c r="BQ171" s="2" t="str">
        <f>HYPERLINK("http://www.d20pfsrd.com/magic/all-spells/d/doom","Doom")</f>
        <v>Doom</v>
      </c>
      <c r="BR171" s="1">
        <v>170</v>
      </c>
      <c r="BS171" s="1" t="s">
        <v>104</v>
      </c>
      <c r="BX171" s="1">
        <v>0</v>
      </c>
      <c r="BY171" s="1" t="s">
        <v>104</v>
      </c>
      <c r="BZ171" s="1">
        <v>1</v>
      </c>
      <c r="CA171" s="1" t="s">
        <v>104</v>
      </c>
      <c r="CB171" s="1" t="s">
        <v>104</v>
      </c>
      <c r="CC171" s="1">
        <v>1</v>
      </c>
      <c r="CD171" s="1" t="s">
        <v>104</v>
      </c>
      <c r="CE171" s="1">
        <v>1</v>
      </c>
      <c r="CF171" s="1" t="s">
        <v>104</v>
      </c>
      <c r="CG171" s="1" t="s">
        <v>104</v>
      </c>
      <c r="CH171" s="1" t="s">
        <v>104</v>
      </c>
      <c r="CJ171" s="1">
        <v>0</v>
      </c>
      <c r="CK171" s="1">
        <v>0</v>
      </c>
      <c r="CL171" s="1">
        <v>0</v>
      </c>
      <c r="CM171" s="1" t="s">
        <v>104</v>
      </c>
    </row>
    <row r="172" spans="1:91" ht="14.25" customHeight="1" x14ac:dyDescent="0.3">
      <c r="A172" s="1" t="s">
        <v>1307</v>
      </c>
      <c r="B172" s="1" t="s">
        <v>507</v>
      </c>
      <c r="C172" s="1" t="s">
        <v>1308</v>
      </c>
      <c r="D172" s="1" t="s">
        <v>125</v>
      </c>
      <c r="E172" s="1" t="s">
        <v>1309</v>
      </c>
      <c r="F172" s="1" t="s">
        <v>191</v>
      </c>
      <c r="G172" s="1" t="s">
        <v>116</v>
      </c>
      <c r="H172" s="1">
        <v>0</v>
      </c>
      <c r="I172" s="1" t="s">
        <v>289</v>
      </c>
      <c r="L172" s="1" t="s">
        <v>1310</v>
      </c>
      <c r="M172" s="1" t="s">
        <v>145</v>
      </c>
      <c r="N172" s="1">
        <v>0</v>
      </c>
      <c r="O172" s="1">
        <v>0</v>
      </c>
      <c r="P172" s="1" t="s">
        <v>100</v>
      </c>
      <c r="Q172" s="1" t="s">
        <v>184</v>
      </c>
      <c r="R172" s="1" t="s">
        <v>1311</v>
      </c>
      <c r="S172" s="1" t="s">
        <v>103</v>
      </c>
      <c r="T172" s="1">
        <v>1</v>
      </c>
      <c r="U172" s="1">
        <v>1</v>
      </c>
      <c r="V172" s="1">
        <v>0</v>
      </c>
      <c r="W172" s="1">
        <v>0</v>
      </c>
      <c r="X172" s="1">
        <v>0</v>
      </c>
      <c r="Y172" s="1">
        <v>5</v>
      </c>
      <c r="Z172" s="1">
        <v>5</v>
      </c>
      <c r="AA172" s="1" t="s">
        <v>104</v>
      </c>
      <c r="AB172" s="1" t="s">
        <v>104</v>
      </c>
      <c r="AC172" s="1" t="s">
        <v>104</v>
      </c>
      <c r="AD172" s="1">
        <v>5</v>
      </c>
      <c r="AE172" s="1" t="s">
        <v>104</v>
      </c>
      <c r="AF172" s="1">
        <v>5</v>
      </c>
      <c r="AG172" s="1" t="s">
        <v>104</v>
      </c>
      <c r="AH172" s="1" t="s">
        <v>104</v>
      </c>
      <c r="AI172" s="1" t="s">
        <v>104</v>
      </c>
      <c r="AJ172" s="1" t="s">
        <v>104</v>
      </c>
      <c r="AK172" s="1" t="s">
        <v>104</v>
      </c>
      <c r="AL172" s="1" t="s">
        <v>104</v>
      </c>
      <c r="AM172" s="1" t="s">
        <v>104</v>
      </c>
      <c r="AO172" s="1">
        <v>5</v>
      </c>
      <c r="AP172" s="1" t="s">
        <v>1312</v>
      </c>
      <c r="AQ172" s="1" t="s">
        <v>1313</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1</v>
      </c>
      <c r="BL172" s="1">
        <v>0</v>
      </c>
      <c r="BM172" s="1">
        <v>0</v>
      </c>
      <c r="BN172" s="1">
        <v>0</v>
      </c>
      <c r="BO172" s="1">
        <v>0</v>
      </c>
      <c r="BP172" s="1">
        <v>0</v>
      </c>
      <c r="BQ172" s="2" t="str">
        <f>HYPERLINK("http://www.d20pfsrd.com/magic/all-spells/d/dream","Dream")</f>
        <v>Dream</v>
      </c>
      <c r="BR172" s="1">
        <v>171</v>
      </c>
      <c r="BS172" s="1" t="s">
        <v>104</v>
      </c>
      <c r="BT172" s="1" t="s">
        <v>1314</v>
      </c>
      <c r="BU172" s="1" t="s">
        <v>1315</v>
      </c>
      <c r="BV172" s="1" t="s">
        <v>1316</v>
      </c>
      <c r="BX172" s="1">
        <v>1</v>
      </c>
      <c r="BY172" s="1" t="s">
        <v>104</v>
      </c>
      <c r="BZ172" s="1" t="s">
        <v>104</v>
      </c>
      <c r="CA172" s="1">
        <v>4</v>
      </c>
      <c r="CB172" s="1">
        <v>3</v>
      </c>
      <c r="CC172" s="1">
        <v>4</v>
      </c>
      <c r="CD172" s="1" t="s">
        <v>104</v>
      </c>
      <c r="CE172" s="1">
        <v>5</v>
      </c>
      <c r="CF172" s="1" t="s">
        <v>104</v>
      </c>
      <c r="CG172" s="1" t="s">
        <v>104</v>
      </c>
      <c r="CH172" s="1" t="s">
        <v>104</v>
      </c>
      <c r="CJ172" s="1">
        <v>0</v>
      </c>
      <c r="CK172" s="1">
        <v>0</v>
      </c>
      <c r="CL172" s="1">
        <v>0</v>
      </c>
      <c r="CM172" s="1" t="s">
        <v>104</v>
      </c>
    </row>
    <row r="173" spans="1:91" ht="14.25" customHeight="1" x14ac:dyDescent="0.3">
      <c r="A173" s="1" t="s">
        <v>1317</v>
      </c>
      <c r="B173" s="1" t="s">
        <v>137</v>
      </c>
      <c r="E173" s="1" t="s">
        <v>1318</v>
      </c>
      <c r="F173" s="1" t="s">
        <v>95</v>
      </c>
      <c r="G173" s="1" t="s">
        <v>1319</v>
      </c>
      <c r="H173" s="1">
        <v>0</v>
      </c>
      <c r="I173" s="1" t="s">
        <v>128</v>
      </c>
      <c r="L173" s="1" t="s">
        <v>374</v>
      </c>
      <c r="M173" s="1" t="s">
        <v>130</v>
      </c>
      <c r="N173" s="1">
        <v>0</v>
      </c>
      <c r="O173" s="1">
        <v>0</v>
      </c>
      <c r="P173" s="1" t="s">
        <v>375</v>
      </c>
      <c r="Q173" s="1" t="s">
        <v>184</v>
      </c>
      <c r="R173" s="1" t="s">
        <v>1320</v>
      </c>
      <c r="S173" s="1" t="s">
        <v>103</v>
      </c>
      <c r="T173" s="1">
        <v>1</v>
      </c>
      <c r="U173" s="1">
        <v>1</v>
      </c>
      <c r="V173" s="1">
        <v>1</v>
      </c>
      <c r="W173" s="1">
        <v>0</v>
      </c>
      <c r="X173" s="1">
        <v>1</v>
      </c>
      <c r="Y173" s="1">
        <v>2</v>
      </c>
      <c r="Z173" s="1">
        <v>2</v>
      </c>
      <c r="AA173" s="1">
        <v>2</v>
      </c>
      <c r="AB173" s="1" t="s">
        <v>104</v>
      </c>
      <c r="AC173" s="1" t="s">
        <v>104</v>
      </c>
      <c r="AD173" s="1">
        <v>2</v>
      </c>
      <c r="AE173" s="1">
        <v>2</v>
      </c>
      <c r="AF173" s="1">
        <v>2</v>
      </c>
      <c r="AG173" s="1">
        <v>2</v>
      </c>
      <c r="AH173" s="1" t="s">
        <v>104</v>
      </c>
      <c r="AI173" s="1" t="s">
        <v>104</v>
      </c>
      <c r="AJ173" s="1">
        <v>2</v>
      </c>
      <c r="AK173" s="1">
        <v>2</v>
      </c>
      <c r="AL173" s="1" t="s">
        <v>104</v>
      </c>
      <c r="AM173" s="1" t="s">
        <v>104</v>
      </c>
      <c r="AO173" s="1">
        <v>2</v>
      </c>
      <c r="AQ173" s="1" t="s">
        <v>1321</v>
      </c>
      <c r="AR173" s="1">
        <v>0</v>
      </c>
      <c r="AS173" s="1">
        <v>0</v>
      </c>
      <c r="AT173" s="1">
        <v>0</v>
      </c>
      <c r="AU173" s="1">
        <v>0</v>
      </c>
      <c r="AV173" s="1">
        <v>0</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0</v>
      </c>
      <c r="BP173" s="1">
        <v>0</v>
      </c>
      <c r="BQ173" s="2" t="str">
        <f>HYPERLINK("http://www.d20pfsrd.com/magic/all-spells/e/eagle-s-splendor","Eagle's Splendor")</f>
        <v>Eagle's Splendor</v>
      </c>
      <c r="BR173" s="1">
        <v>172</v>
      </c>
      <c r="BS173" s="1" t="s">
        <v>104</v>
      </c>
      <c r="BT173" s="1" t="s">
        <v>1322</v>
      </c>
      <c r="BX173" s="1">
        <v>0</v>
      </c>
      <c r="BY173" s="1">
        <v>2</v>
      </c>
      <c r="BZ173" s="1">
        <v>2</v>
      </c>
      <c r="CA173" s="1">
        <v>2</v>
      </c>
      <c r="CB173" s="1">
        <v>2</v>
      </c>
      <c r="CC173" s="1">
        <v>2</v>
      </c>
      <c r="CD173" s="1" t="s">
        <v>104</v>
      </c>
      <c r="CE173" s="1" t="s">
        <v>104</v>
      </c>
      <c r="CF173" s="1" t="s">
        <v>104</v>
      </c>
      <c r="CG173" s="1" t="s">
        <v>104</v>
      </c>
      <c r="CH173" s="1" t="s">
        <v>104</v>
      </c>
      <c r="CJ173" s="1">
        <v>0</v>
      </c>
      <c r="CK173" s="1">
        <v>0</v>
      </c>
      <c r="CL173" s="1">
        <v>0</v>
      </c>
      <c r="CM173" s="1">
        <v>2</v>
      </c>
    </row>
    <row r="174" spans="1:91" ht="14.25" customHeight="1" x14ac:dyDescent="0.3">
      <c r="A174" s="1" t="s">
        <v>1323</v>
      </c>
      <c r="B174" s="1" t="s">
        <v>137</v>
      </c>
      <c r="E174" s="1" t="s">
        <v>1324</v>
      </c>
      <c r="F174" s="1" t="s">
        <v>95</v>
      </c>
      <c r="G174" s="1" t="s">
        <v>1319</v>
      </c>
      <c r="H174" s="1">
        <v>0</v>
      </c>
      <c r="I174" s="1" t="s">
        <v>117</v>
      </c>
      <c r="L174" s="1" t="s">
        <v>1325</v>
      </c>
      <c r="M174" s="1" t="s">
        <v>130</v>
      </c>
      <c r="N174" s="1">
        <v>0</v>
      </c>
      <c r="O174" s="1">
        <v>0</v>
      </c>
      <c r="P174" s="1" t="s">
        <v>375</v>
      </c>
      <c r="Q174" s="1" t="s">
        <v>184</v>
      </c>
      <c r="R174" s="1" t="s">
        <v>1326</v>
      </c>
      <c r="S174" s="1" t="s">
        <v>103</v>
      </c>
      <c r="T174" s="1">
        <v>1</v>
      </c>
      <c r="U174" s="1">
        <v>1</v>
      </c>
      <c r="V174" s="1">
        <v>1</v>
      </c>
      <c r="W174" s="1">
        <v>0</v>
      </c>
      <c r="X174" s="1">
        <v>1</v>
      </c>
      <c r="Y174" s="1">
        <v>6</v>
      </c>
      <c r="Z174" s="1">
        <v>6</v>
      </c>
      <c r="AA174" s="1">
        <v>6</v>
      </c>
      <c r="AB174" s="1" t="s">
        <v>104</v>
      </c>
      <c r="AC174" s="1" t="s">
        <v>104</v>
      </c>
      <c r="AD174" s="1">
        <v>6</v>
      </c>
      <c r="AE174" s="1" t="s">
        <v>104</v>
      </c>
      <c r="AF174" s="1" t="s">
        <v>104</v>
      </c>
      <c r="AG174" s="1">
        <v>4</v>
      </c>
      <c r="AH174" s="1" t="s">
        <v>104</v>
      </c>
      <c r="AI174" s="1" t="s">
        <v>104</v>
      </c>
      <c r="AJ174" s="1">
        <v>6</v>
      </c>
      <c r="AK174" s="1" t="s">
        <v>104</v>
      </c>
      <c r="AL174" s="1" t="s">
        <v>104</v>
      </c>
      <c r="AM174" s="1" t="s">
        <v>104</v>
      </c>
      <c r="AO174" s="1">
        <v>6</v>
      </c>
      <c r="AQ174" s="1" t="s">
        <v>1327</v>
      </c>
      <c r="AR174" s="1">
        <v>0</v>
      </c>
      <c r="AS174" s="1">
        <v>0</v>
      </c>
      <c r="AT174" s="1">
        <v>0</v>
      </c>
      <c r="AU174" s="1">
        <v>0</v>
      </c>
      <c r="AV174" s="1">
        <v>0</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2" t="str">
        <f>HYPERLINK("http://www.d20pfsrd.com/magic/all-spells/e/eagle-s-splendor","Eagle's Splendor, Mass")</f>
        <v>Eagle's Splendor, Mass</v>
      </c>
      <c r="BR174" s="1">
        <v>173</v>
      </c>
      <c r="BS174" s="1" t="s">
        <v>104</v>
      </c>
      <c r="BX174" s="1">
        <v>0</v>
      </c>
      <c r="BY174" s="1" t="s">
        <v>104</v>
      </c>
      <c r="BZ174" s="1">
        <v>6</v>
      </c>
      <c r="CA174" s="1">
        <v>6</v>
      </c>
      <c r="CB174" s="1" t="s">
        <v>104</v>
      </c>
      <c r="CC174" s="1" t="s">
        <v>104</v>
      </c>
      <c r="CD174" s="1" t="s">
        <v>104</v>
      </c>
      <c r="CE174" s="1" t="s">
        <v>104</v>
      </c>
      <c r="CF174" s="1" t="s">
        <v>104</v>
      </c>
      <c r="CG174" s="1" t="s">
        <v>104</v>
      </c>
      <c r="CH174" s="1" t="s">
        <v>104</v>
      </c>
      <c r="CJ174" s="1">
        <v>0</v>
      </c>
      <c r="CK174" s="1">
        <v>0</v>
      </c>
      <c r="CL174" s="1">
        <v>0</v>
      </c>
      <c r="CM174" s="1">
        <v>6</v>
      </c>
    </row>
    <row r="175" spans="1:91" ht="14.25" customHeight="1" x14ac:dyDescent="0.3">
      <c r="A175" s="1" t="s">
        <v>1328</v>
      </c>
      <c r="B175" s="1" t="s">
        <v>434</v>
      </c>
      <c r="D175" s="1" t="s">
        <v>51</v>
      </c>
      <c r="E175" s="1" t="s">
        <v>1329</v>
      </c>
      <c r="F175" s="1" t="s">
        <v>95</v>
      </c>
      <c r="G175" s="1" t="s">
        <v>127</v>
      </c>
      <c r="H175" s="1">
        <v>0</v>
      </c>
      <c r="I175" s="1" t="s">
        <v>97</v>
      </c>
      <c r="J175" s="1" t="s">
        <v>1330</v>
      </c>
      <c r="M175" s="1" t="s">
        <v>255</v>
      </c>
      <c r="N175" s="1">
        <v>0</v>
      </c>
      <c r="O175" s="1">
        <v>1</v>
      </c>
      <c r="P175" s="1" t="s">
        <v>145</v>
      </c>
      <c r="Q175" s="1" t="s">
        <v>101</v>
      </c>
      <c r="R175" s="1" t="s">
        <v>1331</v>
      </c>
      <c r="S175" s="1" t="s">
        <v>103</v>
      </c>
      <c r="T175" s="1">
        <v>1</v>
      </c>
      <c r="U175" s="1">
        <v>1</v>
      </c>
      <c r="V175" s="1">
        <v>0</v>
      </c>
      <c r="W175" s="1">
        <v>0</v>
      </c>
      <c r="X175" s="1">
        <v>1</v>
      </c>
      <c r="Y175" s="1" t="s">
        <v>104</v>
      </c>
      <c r="Z175" s="1" t="s">
        <v>104</v>
      </c>
      <c r="AA175" s="1">
        <v>8</v>
      </c>
      <c r="AB175" s="1">
        <v>8</v>
      </c>
      <c r="AC175" s="1" t="s">
        <v>104</v>
      </c>
      <c r="AD175" s="1" t="s">
        <v>104</v>
      </c>
      <c r="AE175" s="1" t="s">
        <v>104</v>
      </c>
      <c r="AF175" s="1" t="s">
        <v>104</v>
      </c>
      <c r="AG175" s="1" t="s">
        <v>104</v>
      </c>
      <c r="AH175" s="1" t="s">
        <v>104</v>
      </c>
      <c r="AI175" s="1" t="s">
        <v>104</v>
      </c>
      <c r="AJ175" s="1">
        <v>8</v>
      </c>
      <c r="AK175" s="1" t="s">
        <v>104</v>
      </c>
      <c r="AL175" s="1" t="s">
        <v>104</v>
      </c>
      <c r="AM175" s="1" t="s">
        <v>104</v>
      </c>
      <c r="AO175" s="1">
        <v>8</v>
      </c>
      <c r="AP175" s="1" t="s">
        <v>1332</v>
      </c>
      <c r="AQ175" s="1" t="s">
        <v>1333</v>
      </c>
      <c r="AR175" s="1">
        <v>0</v>
      </c>
      <c r="AS175" s="1">
        <v>0</v>
      </c>
      <c r="AT175" s="1">
        <v>0</v>
      </c>
      <c r="AU175" s="1">
        <v>0</v>
      </c>
      <c r="AV175" s="1">
        <v>0</v>
      </c>
      <c r="AW175" s="1">
        <v>0</v>
      </c>
      <c r="AX175" s="1">
        <v>0</v>
      </c>
      <c r="AY175" s="1">
        <v>0</v>
      </c>
      <c r="AZ175" s="1">
        <v>1</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2" t="str">
        <f>HYPERLINK("http://www.d20pfsrd.com/magic/all-spells/e/earthquake","Earthquake")</f>
        <v>Earthquake</v>
      </c>
      <c r="BR175" s="1">
        <v>174</v>
      </c>
      <c r="BS175" s="1" t="s">
        <v>104</v>
      </c>
      <c r="BT175" s="1" t="s">
        <v>1334</v>
      </c>
      <c r="BV175" s="1" t="s">
        <v>1335</v>
      </c>
      <c r="BW175" s="1" t="s">
        <v>1336</v>
      </c>
      <c r="BX175" s="1">
        <v>1</v>
      </c>
      <c r="BY175" s="1" t="s">
        <v>104</v>
      </c>
      <c r="BZ175" s="1">
        <v>8</v>
      </c>
      <c r="CA175" s="1">
        <v>8</v>
      </c>
      <c r="CB175" s="1" t="s">
        <v>104</v>
      </c>
      <c r="CC175" s="1" t="s">
        <v>104</v>
      </c>
      <c r="CD175" s="1" t="s">
        <v>104</v>
      </c>
      <c r="CE175" s="1" t="s">
        <v>104</v>
      </c>
      <c r="CF175" s="1" t="s">
        <v>104</v>
      </c>
      <c r="CG175" s="1" t="s">
        <v>104</v>
      </c>
      <c r="CH175" s="1" t="s">
        <v>104</v>
      </c>
      <c r="CJ175" s="1">
        <v>0</v>
      </c>
      <c r="CK175" s="1">
        <v>0</v>
      </c>
      <c r="CL175" s="1">
        <v>0</v>
      </c>
      <c r="CM175" s="1" t="s">
        <v>104</v>
      </c>
    </row>
    <row r="176" spans="1:91" ht="14.25" customHeight="1" x14ac:dyDescent="0.3">
      <c r="A176" s="1" t="s">
        <v>1337</v>
      </c>
      <c r="B176" s="1" t="s">
        <v>137</v>
      </c>
      <c r="C176" s="1" t="s">
        <v>154</v>
      </c>
      <c r="E176" s="1" t="s">
        <v>392</v>
      </c>
      <c r="F176" s="1" t="s">
        <v>95</v>
      </c>
      <c r="G176" s="1" t="s">
        <v>1338</v>
      </c>
      <c r="H176" s="1">
        <v>0</v>
      </c>
      <c r="I176" s="1" t="s">
        <v>157</v>
      </c>
      <c r="L176" s="1" t="s">
        <v>158</v>
      </c>
      <c r="M176" s="1" t="s">
        <v>1339</v>
      </c>
      <c r="N176" s="1">
        <v>1</v>
      </c>
      <c r="O176" s="1">
        <v>0</v>
      </c>
      <c r="R176" s="1" t="s">
        <v>1340</v>
      </c>
      <c r="S176" s="1" t="s">
        <v>103</v>
      </c>
      <c r="T176" s="1">
        <v>1</v>
      </c>
      <c r="U176" s="1">
        <v>1</v>
      </c>
      <c r="V176" s="1">
        <v>1</v>
      </c>
      <c r="W176" s="1">
        <v>0</v>
      </c>
      <c r="X176" s="1">
        <v>0</v>
      </c>
      <c r="Y176" s="1">
        <v>4</v>
      </c>
      <c r="Z176" s="1">
        <v>4</v>
      </c>
      <c r="AA176" s="1" t="s">
        <v>104</v>
      </c>
      <c r="AB176" s="1" t="s">
        <v>104</v>
      </c>
      <c r="AC176" s="1" t="s">
        <v>104</v>
      </c>
      <c r="AD176" s="1" t="s">
        <v>104</v>
      </c>
      <c r="AE176" s="1" t="s">
        <v>104</v>
      </c>
      <c r="AF176" s="1">
        <v>4</v>
      </c>
      <c r="AG176" s="1" t="s">
        <v>104</v>
      </c>
      <c r="AH176" s="1" t="s">
        <v>104</v>
      </c>
      <c r="AI176" s="1" t="s">
        <v>104</v>
      </c>
      <c r="AJ176" s="1" t="s">
        <v>104</v>
      </c>
      <c r="AK176" s="1" t="s">
        <v>104</v>
      </c>
      <c r="AL176" s="1">
        <v>4</v>
      </c>
      <c r="AM176" s="1" t="s">
        <v>104</v>
      </c>
      <c r="AO176" s="1">
        <v>4</v>
      </c>
      <c r="AQ176" s="1" t="s">
        <v>1341</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2" t="str">
        <f>HYPERLINK("http://www.d20pfsrd.com/magic/all-spells/e/elemental-body-i","Elemental Body I")</f>
        <v>Elemental Body I</v>
      </c>
      <c r="BR176" s="1">
        <v>175</v>
      </c>
      <c r="BS176" s="1" t="s">
        <v>104</v>
      </c>
      <c r="BT176" s="1" t="s">
        <v>1342</v>
      </c>
      <c r="BX176" s="1">
        <v>0</v>
      </c>
      <c r="BY176" s="1">
        <v>4</v>
      </c>
      <c r="BZ176" s="1" t="s">
        <v>104</v>
      </c>
      <c r="CA176" s="1" t="s">
        <v>104</v>
      </c>
      <c r="CB176" s="1" t="s">
        <v>104</v>
      </c>
      <c r="CC176" s="1" t="s">
        <v>104</v>
      </c>
      <c r="CD176" s="1" t="s">
        <v>104</v>
      </c>
      <c r="CE176" s="1" t="s">
        <v>104</v>
      </c>
      <c r="CF176" s="1" t="s">
        <v>104</v>
      </c>
      <c r="CG176" s="1" t="s">
        <v>104</v>
      </c>
      <c r="CH176" s="1" t="s">
        <v>104</v>
      </c>
      <c r="CJ176" s="1">
        <v>0</v>
      </c>
      <c r="CK176" s="1">
        <v>0</v>
      </c>
      <c r="CL176" s="1">
        <v>0</v>
      </c>
      <c r="CM176" s="1" t="s">
        <v>104</v>
      </c>
    </row>
    <row r="177" spans="1:91" ht="14.25" customHeight="1" x14ac:dyDescent="0.3">
      <c r="A177" s="1" t="s">
        <v>1343</v>
      </c>
      <c r="B177" s="1" t="s">
        <v>137</v>
      </c>
      <c r="C177" s="1" t="s">
        <v>154</v>
      </c>
      <c r="E177" s="1" t="s">
        <v>397</v>
      </c>
      <c r="F177" s="1" t="s">
        <v>95</v>
      </c>
      <c r="G177" s="1" t="s">
        <v>1338</v>
      </c>
      <c r="H177" s="1">
        <v>0</v>
      </c>
      <c r="I177" s="1" t="s">
        <v>157</v>
      </c>
      <c r="L177" s="1" t="s">
        <v>158</v>
      </c>
      <c r="M177" s="1" t="s">
        <v>1339</v>
      </c>
      <c r="N177" s="1">
        <v>1</v>
      </c>
      <c r="O177" s="1">
        <v>0</v>
      </c>
      <c r="R177" s="1" t="s">
        <v>1344</v>
      </c>
      <c r="S177" s="1" t="s">
        <v>103</v>
      </c>
      <c r="T177" s="1">
        <v>1</v>
      </c>
      <c r="U177" s="1">
        <v>1</v>
      </c>
      <c r="V177" s="1">
        <v>1</v>
      </c>
      <c r="W177" s="1">
        <v>0</v>
      </c>
      <c r="X177" s="1">
        <v>0</v>
      </c>
      <c r="Y177" s="1">
        <v>5</v>
      </c>
      <c r="Z177" s="1">
        <v>5</v>
      </c>
      <c r="AA177" s="1" t="s">
        <v>104</v>
      </c>
      <c r="AB177" s="1" t="s">
        <v>104</v>
      </c>
      <c r="AC177" s="1" t="s">
        <v>104</v>
      </c>
      <c r="AD177" s="1" t="s">
        <v>104</v>
      </c>
      <c r="AE177" s="1" t="s">
        <v>104</v>
      </c>
      <c r="AF177" s="1">
        <v>5</v>
      </c>
      <c r="AG177" s="1" t="s">
        <v>104</v>
      </c>
      <c r="AH177" s="1" t="s">
        <v>104</v>
      </c>
      <c r="AI177" s="1" t="s">
        <v>104</v>
      </c>
      <c r="AJ177" s="1" t="s">
        <v>104</v>
      </c>
      <c r="AK177" s="1" t="s">
        <v>104</v>
      </c>
      <c r="AL177" s="1">
        <v>5</v>
      </c>
      <c r="AM177" s="1" t="s">
        <v>104</v>
      </c>
      <c r="AO177" s="1">
        <v>5</v>
      </c>
      <c r="AP177" s="1" t="s">
        <v>1345</v>
      </c>
      <c r="AQ177" s="1" t="s">
        <v>1346</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2" t="str">
        <f>HYPERLINK("http://www.d20pfsrd.com/magic/all-spells/e/elemental-body-i#TOC-Elemental-Body-II","Elemental Body II")</f>
        <v>Elemental Body II</v>
      </c>
      <c r="BR177" s="1">
        <v>176</v>
      </c>
      <c r="BS177" s="1" t="s">
        <v>104</v>
      </c>
      <c r="BT177" s="1" t="s">
        <v>1347</v>
      </c>
      <c r="BX177" s="1">
        <v>0</v>
      </c>
      <c r="BY177" s="1" t="s">
        <v>104</v>
      </c>
      <c r="BZ177" s="1" t="s">
        <v>104</v>
      </c>
      <c r="CA177" s="1" t="s">
        <v>104</v>
      </c>
      <c r="CB177" s="1" t="s">
        <v>104</v>
      </c>
      <c r="CC177" s="1" t="s">
        <v>104</v>
      </c>
      <c r="CD177" s="1" t="s">
        <v>104</v>
      </c>
      <c r="CE177" s="1" t="s">
        <v>104</v>
      </c>
      <c r="CF177" s="1" t="s">
        <v>104</v>
      </c>
      <c r="CG177" s="1" t="s">
        <v>104</v>
      </c>
      <c r="CH177" s="1" t="s">
        <v>104</v>
      </c>
      <c r="CJ177" s="1">
        <v>0</v>
      </c>
      <c r="CK177" s="1">
        <v>0</v>
      </c>
      <c r="CL177" s="1">
        <v>0</v>
      </c>
      <c r="CM177" s="1" t="s">
        <v>104</v>
      </c>
    </row>
    <row r="178" spans="1:91" ht="14.25" customHeight="1" x14ac:dyDescent="0.3">
      <c r="A178" s="1" t="s">
        <v>1348</v>
      </c>
      <c r="B178" s="1" t="s">
        <v>137</v>
      </c>
      <c r="C178" s="1" t="s">
        <v>154</v>
      </c>
      <c r="E178" s="1" t="s">
        <v>403</v>
      </c>
      <c r="F178" s="1" t="s">
        <v>95</v>
      </c>
      <c r="G178" s="1" t="s">
        <v>1338</v>
      </c>
      <c r="H178" s="1">
        <v>0</v>
      </c>
      <c r="I178" s="1" t="s">
        <v>157</v>
      </c>
      <c r="L178" s="1" t="s">
        <v>158</v>
      </c>
      <c r="M178" s="1" t="s">
        <v>1339</v>
      </c>
      <c r="N178" s="1">
        <v>1</v>
      </c>
      <c r="O178" s="1">
        <v>0</v>
      </c>
      <c r="R178" s="1" t="s">
        <v>1349</v>
      </c>
      <c r="S178" s="1" t="s">
        <v>103</v>
      </c>
      <c r="T178" s="1">
        <v>1</v>
      </c>
      <c r="U178" s="1">
        <v>1</v>
      </c>
      <c r="V178" s="1">
        <v>1</v>
      </c>
      <c r="W178" s="1">
        <v>0</v>
      </c>
      <c r="X178" s="1">
        <v>0</v>
      </c>
      <c r="Y178" s="1">
        <v>6</v>
      </c>
      <c r="Z178" s="1">
        <v>6</v>
      </c>
      <c r="AA178" s="1" t="s">
        <v>104</v>
      </c>
      <c r="AB178" s="1" t="s">
        <v>104</v>
      </c>
      <c r="AC178" s="1" t="s">
        <v>104</v>
      </c>
      <c r="AD178" s="1" t="s">
        <v>104</v>
      </c>
      <c r="AE178" s="1" t="s">
        <v>104</v>
      </c>
      <c r="AF178" s="1">
        <v>6</v>
      </c>
      <c r="AG178" s="1" t="s">
        <v>104</v>
      </c>
      <c r="AH178" s="1" t="s">
        <v>104</v>
      </c>
      <c r="AI178" s="1" t="s">
        <v>104</v>
      </c>
      <c r="AJ178" s="1" t="s">
        <v>104</v>
      </c>
      <c r="AK178" s="1" t="s">
        <v>104</v>
      </c>
      <c r="AL178" s="1">
        <v>6</v>
      </c>
      <c r="AM178" s="1" t="s">
        <v>104</v>
      </c>
      <c r="AO178" s="1">
        <v>6</v>
      </c>
      <c r="AQ178" s="1" t="s">
        <v>1350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2" t="str">
        <f>HYPERLINK("http://www.d20pfsrd.com/magic/all-spells/e/elemental-body-i#TOC-Elemental-Body-III","Elemental Body III")</f>
        <v>Elemental Body III</v>
      </c>
      <c r="BR178" s="1">
        <v>177</v>
      </c>
      <c r="BS178" s="1" t="s">
        <v>104</v>
      </c>
      <c r="BT178" s="1" t="s">
        <v>1351</v>
      </c>
      <c r="BU178" s="1" t="s">
        <v>1352</v>
      </c>
      <c r="BX178" s="1">
        <v>0</v>
      </c>
      <c r="BY178" s="1" t="s">
        <v>104</v>
      </c>
      <c r="BZ178" s="1" t="s">
        <v>104</v>
      </c>
      <c r="CA178" s="1" t="s">
        <v>104</v>
      </c>
      <c r="CB178" s="1" t="s">
        <v>104</v>
      </c>
      <c r="CC178" s="1" t="s">
        <v>104</v>
      </c>
      <c r="CD178" s="1" t="s">
        <v>104</v>
      </c>
      <c r="CE178" s="1" t="s">
        <v>104</v>
      </c>
      <c r="CF178" s="1" t="s">
        <v>104</v>
      </c>
      <c r="CG178" s="1" t="s">
        <v>104</v>
      </c>
      <c r="CH178" s="1" t="s">
        <v>104</v>
      </c>
      <c r="CJ178" s="1">
        <v>0</v>
      </c>
      <c r="CK178" s="1">
        <v>0</v>
      </c>
      <c r="CL178" s="1">
        <v>0</v>
      </c>
      <c r="CM178" s="1" t="s">
        <v>104</v>
      </c>
    </row>
    <row r="179" spans="1:91" ht="14.25" customHeight="1" x14ac:dyDescent="0.3">
      <c r="A179" s="1" t="s">
        <v>1353</v>
      </c>
      <c r="B179" s="1" t="s">
        <v>137</v>
      </c>
      <c r="C179" s="1" t="s">
        <v>154</v>
      </c>
      <c r="E179" s="1" t="s">
        <v>843</v>
      </c>
      <c r="F179" s="1" t="s">
        <v>95</v>
      </c>
      <c r="G179" s="1" t="s">
        <v>1338</v>
      </c>
      <c r="H179" s="1">
        <v>0</v>
      </c>
      <c r="I179" s="1" t="s">
        <v>157</v>
      </c>
      <c r="L179" s="1" t="s">
        <v>158</v>
      </c>
      <c r="M179" s="1" t="s">
        <v>1339</v>
      </c>
      <c r="N179" s="1">
        <v>1</v>
      </c>
      <c r="O179" s="1">
        <v>0</v>
      </c>
      <c r="R179" s="1" t="s">
        <v>1354</v>
      </c>
      <c r="S179" s="1" t="s">
        <v>103</v>
      </c>
      <c r="T179" s="1">
        <v>1</v>
      </c>
      <c r="U179" s="1">
        <v>1</v>
      </c>
      <c r="V179" s="1">
        <v>1</v>
      </c>
      <c r="W179" s="1">
        <v>0</v>
      </c>
      <c r="X179" s="1">
        <v>0</v>
      </c>
      <c r="Y179" s="1">
        <v>7</v>
      </c>
      <c r="Z179" s="1">
        <v>7</v>
      </c>
      <c r="AA179" s="1" t="s">
        <v>104</v>
      </c>
      <c r="AB179" s="1" t="s">
        <v>104</v>
      </c>
      <c r="AC179" s="1" t="s">
        <v>104</v>
      </c>
      <c r="AD179" s="1" t="s">
        <v>104</v>
      </c>
      <c r="AE179" s="1" t="s">
        <v>104</v>
      </c>
      <c r="AF179" s="1" t="s">
        <v>104</v>
      </c>
      <c r="AG179" s="1" t="s">
        <v>104</v>
      </c>
      <c r="AH179" s="1" t="s">
        <v>104</v>
      </c>
      <c r="AI179" s="1" t="s">
        <v>104</v>
      </c>
      <c r="AJ179" s="1" t="s">
        <v>104</v>
      </c>
      <c r="AK179" s="1" t="s">
        <v>104</v>
      </c>
      <c r="AL179" s="1" t="s">
        <v>104</v>
      </c>
      <c r="AM179" s="1" t="s">
        <v>104</v>
      </c>
      <c r="AO179" s="1">
        <v>7</v>
      </c>
      <c r="AP179" s="1" t="s">
        <v>1355</v>
      </c>
      <c r="AQ179" s="1" t="s">
        <v>1356</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2" t="str">
        <f>HYPERLINK("http://www.d20pfsrd.com/magic/all-spells/e/elemental-body-i#TOC-Elemental-Body-IV","Elemental Body IV")</f>
        <v>Elemental Body IV</v>
      </c>
      <c r="BR179" s="1">
        <v>178</v>
      </c>
      <c r="BS179" s="1" t="s">
        <v>104</v>
      </c>
      <c r="BT179" s="1" t="s">
        <v>1357</v>
      </c>
      <c r="BU179" s="1" t="s">
        <v>1358</v>
      </c>
      <c r="BX179" s="1">
        <v>0</v>
      </c>
      <c r="BY179" s="1" t="s">
        <v>104</v>
      </c>
      <c r="BZ179" s="1" t="s">
        <v>104</v>
      </c>
      <c r="CA179" s="1" t="s">
        <v>104</v>
      </c>
      <c r="CB179" s="1" t="s">
        <v>104</v>
      </c>
      <c r="CC179" s="1" t="s">
        <v>104</v>
      </c>
      <c r="CD179" s="1" t="s">
        <v>104</v>
      </c>
      <c r="CE179" s="1" t="s">
        <v>104</v>
      </c>
      <c r="CF179" s="1" t="s">
        <v>104</v>
      </c>
      <c r="CG179" s="1" t="s">
        <v>104</v>
      </c>
      <c r="CH179" s="1" t="s">
        <v>104</v>
      </c>
      <c r="CJ179" s="1">
        <v>0</v>
      </c>
      <c r="CK179" s="1">
        <v>0</v>
      </c>
      <c r="CL179" s="1">
        <v>0</v>
      </c>
      <c r="CM179" s="1" t="s">
        <v>104</v>
      </c>
    </row>
    <row r="180" spans="1:91" ht="14.25" customHeight="1" x14ac:dyDescent="0.3">
      <c r="A180" s="1" t="s">
        <v>1359</v>
      </c>
      <c r="B180" s="1" t="s">
        <v>92</v>
      </c>
      <c r="C180" s="1" t="s">
        <v>903</v>
      </c>
      <c r="D180" s="1" t="s">
        <v>145</v>
      </c>
      <c r="E180" s="1" t="s">
        <v>1360</v>
      </c>
      <c r="F180" s="1" t="s">
        <v>287</v>
      </c>
      <c r="G180" s="1" t="s">
        <v>116</v>
      </c>
      <c r="H180" s="1">
        <v>0</v>
      </c>
      <c r="I180" s="1" t="s">
        <v>109</v>
      </c>
      <c r="K180" s="1" t="s">
        <v>1361</v>
      </c>
      <c r="M180" s="1" t="s">
        <v>140</v>
      </c>
      <c r="N180" s="1">
        <v>1</v>
      </c>
      <c r="O180" s="1">
        <v>0</v>
      </c>
      <c r="P180" s="1" t="s">
        <v>100</v>
      </c>
      <c r="Q180" s="1" t="s">
        <v>101</v>
      </c>
      <c r="R180" s="1" t="s">
        <v>1362</v>
      </c>
      <c r="S180" s="1" t="s">
        <v>103</v>
      </c>
      <c r="T180" s="1">
        <v>1</v>
      </c>
      <c r="U180" s="1">
        <v>1</v>
      </c>
      <c r="V180" s="1">
        <v>0</v>
      </c>
      <c r="W180" s="1">
        <v>0</v>
      </c>
      <c r="X180" s="1">
        <v>0</v>
      </c>
      <c r="Y180" s="1" t="s">
        <v>104</v>
      </c>
      <c r="Z180" s="1" t="s">
        <v>104</v>
      </c>
      <c r="AA180" s="1" t="s">
        <v>104</v>
      </c>
      <c r="AB180" s="1">
        <v>9</v>
      </c>
      <c r="AC180" s="1" t="s">
        <v>104</v>
      </c>
      <c r="AD180" s="1" t="s">
        <v>104</v>
      </c>
      <c r="AE180" s="1" t="s">
        <v>104</v>
      </c>
      <c r="AF180" s="1" t="s">
        <v>104</v>
      </c>
      <c r="AG180" s="1" t="s">
        <v>104</v>
      </c>
      <c r="AH180" s="1">
        <v>9</v>
      </c>
      <c r="AI180" s="1" t="s">
        <v>104</v>
      </c>
      <c r="AJ180" s="1" t="s">
        <v>104</v>
      </c>
      <c r="AK180" s="1" t="s">
        <v>104</v>
      </c>
      <c r="AL180" s="1" t="s">
        <v>104</v>
      </c>
      <c r="AM180" s="1" t="s">
        <v>104</v>
      </c>
      <c r="AO180" s="1">
        <v>9</v>
      </c>
      <c r="AP180" s="1" t="s">
        <v>1363</v>
      </c>
      <c r="AQ180" s="1" t="s">
        <v>1364</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2" t="str">
        <f>HYPERLINK("http://www.d20pfsrd.com/magic/all-spells/e/elemental-swarm","Elemental Swarm")</f>
        <v>Elemental Swarm</v>
      </c>
      <c r="BR180" s="1">
        <v>179</v>
      </c>
      <c r="BS180" s="1" t="s">
        <v>104</v>
      </c>
      <c r="BT180" s="1" t="s">
        <v>1365</v>
      </c>
      <c r="BX180" s="1">
        <v>0</v>
      </c>
      <c r="BY180" s="1" t="s">
        <v>104</v>
      </c>
      <c r="BZ180" s="1">
        <v>9</v>
      </c>
      <c r="CA180" s="1" t="s">
        <v>104</v>
      </c>
      <c r="CB180" s="1" t="s">
        <v>104</v>
      </c>
      <c r="CC180" s="1" t="s">
        <v>104</v>
      </c>
      <c r="CD180" s="1" t="s">
        <v>104</v>
      </c>
      <c r="CE180" s="1" t="s">
        <v>104</v>
      </c>
      <c r="CF180" s="1" t="s">
        <v>104</v>
      </c>
      <c r="CG180" s="1" t="s">
        <v>104</v>
      </c>
      <c r="CH180" s="1" t="s">
        <v>104</v>
      </c>
      <c r="CJ180" s="1">
        <v>0</v>
      </c>
      <c r="CK180" s="1">
        <v>0</v>
      </c>
      <c r="CL180" s="1">
        <v>0</v>
      </c>
      <c r="CM180" s="1" t="s">
        <v>104</v>
      </c>
    </row>
    <row r="181" spans="1:91" ht="14.25" customHeight="1" x14ac:dyDescent="0.3">
      <c r="A181" s="1" t="s">
        <v>1366</v>
      </c>
      <c r="B181" s="1" t="s">
        <v>162</v>
      </c>
      <c r="E181" s="1" t="s">
        <v>1367</v>
      </c>
      <c r="F181" s="1" t="s">
        <v>95</v>
      </c>
      <c r="G181" s="1" t="s">
        <v>116</v>
      </c>
      <c r="H181" s="1">
        <v>0</v>
      </c>
      <c r="I181" s="1" t="s">
        <v>128</v>
      </c>
      <c r="L181" s="1" t="s">
        <v>374</v>
      </c>
      <c r="M181" s="1" t="s">
        <v>341</v>
      </c>
      <c r="N181" s="1">
        <v>0</v>
      </c>
      <c r="O181" s="1">
        <v>0</v>
      </c>
      <c r="P181" s="1" t="s">
        <v>375</v>
      </c>
      <c r="Q181" s="1" t="s">
        <v>131</v>
      </c>
      <c r="R181" s="1" t="s">
        <v>1368</v>
      </c>
      <c r="S181" s="1" t="s">
        <v>103</v>
      </c>
      <c r="T181" s="1">
        <v>1</v>
      </c>
      <c r="U181" s="1">
        <v>1</v>
      </c>
      <c r="V181" s="1">
        <v>0</v>
      </c>
      <c r="W181" s="1">
        <v>0</v>
      </c>
      <c r="X181" s="1">
        <v>0</v>
      </c>
      <c r="Y181" s="1">
        <v>1</v>
      </c>
      <c r="Z181" s="1">
        <v>1</v>
      </c>
      <c r="AA181" s="1">
        <v>1</v>
      </c>
      <c r="AB181" s="1">
        <v>1</v>
      </c>
      <c r="AC181" s="1">
        <v>1</v>
      </c>
      <c r="AD181" s="1" t="s">
        <v>104</v>
      </c>
      <c r="AE181" s="1">
        <v>1</v>
      </c>
      <c r="AF181" s="1">
        <v>1</v>
      </c>
      <c r="AG181" s="1">
        <v>1</v>
      </c>
      <c r="AH181" s="1" t="s">
        <v>104</v>
      </c>
      <c r="AI181" s="1" t="s">
        <v>104</v>
      </c>
      <c r="AJ181" s="1">
        <v>1</v>
      </c>
      <c r="AK181" s="1" t="s">
        <v>104</v>
      </c>
      <c r="AL181" s="1" t="s">
        <v>104</v>
      </c>
      <c r="AM181" s="1">
        <v>1</v>
      </c>
      <c r="AO181" s="1">
        <v>1</v>
      </c>
      <c r="AP181" s="1" t="s">
        <v>1369</v>
      </c>
      <c r="AQ181" s="1" t="s">
        <v>1370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2" t="str">
        <f>HYPERLINK("http://www.d20pfsrd.com/magic/all-spells/e/endure-elements","Endure Elements")</f>
        <v>Endure Elements</v>
      </c>
      <c r="BR181" s="1">
        <v>180</v>
      </c>
      <c r="BS181" s="1" t="s">
        <v>104</v>
      </c>
      <c r="BT181" s="1" t="s">
        <v>1371</v>
      </c>
      <c r="BU181" s="1" t="s">
        <v>1372</v>
      </c>
      <c r="BV181" s="1" t="s">
        <v>1373</v>
      </c>
      <c r="BX181" s="1">
        <v>1</v>
      </c>
      <c r="BY181" s="1">
        <v>1</v>
      </c>
      <c r="BZ181" s="1">
        <v>1</v>
      </c>
      <c r="CA181" s="1">
        <v>1</v>
      </c>
      <c r="CB181" s="1" t="s">
        <v>104</v>
      </c>
      <c r="CC181" s="1" t="s">
        <v>104</v>
      </c>
      <c r="CD181" s="1" t="s">
        <v>104</v>
      </c>
      <c r="CE181" s="1">
        <v>1</v>
      </c>
      <c r="CF181" s="1" t="s">
        <v>104</v>
      </c>
      <c r="CG181" s="1" t="s">
        <v>104</v>
      </c>
      <c r="CH181" s="1">
        <v>1</v>
      </c>
      <c r="CJ181" s="1">
        <v>0</v>
      </c>
      <c r="CK181" s="1">
        <v>0</v>
      </c>
      <c r="CL181" s="1">
        <v>0</v>
      </c>
      <c r="CM181" s="1">
        <v>1</v>
      </c>
    </row>
    <row r="182" spans="1:91" ht="14.25" customHeight="1" x14ac:dyDescent="0.3">
      <c r="A182" s="1" t="s">
        <v>1374</v>
      </c>
      <c r="B182" s="1" t="s">
        <v>216</v>
      </c>
      <c r="E182" s="1" t="s">
        <v>1375</v>
      </c>
      <c r="F182" s="1" t="s">
        <v>95</v>
      </c>
      <c r="G182" s="1" t="s">
        <v>116</v>
      </c>
      <c r="H182" s="1">
        <v>0</v>
      </c>
      <c r="I182" s="1" t="s">
        <v>117</v>
      </c>
      <c r="K182" s="1" t="s">
        <v>1376</v>
      </c>
      <c r="M182" s="1" t="s">
        <v>119</v>
      </c>
      <c r="N182" s="1">
        <v>0</v>
      </c>
      <c r="O182" s="1">
        <v>0</v>
      </c>
      <c r="P182" s="1" t="s">
        <v>1377</v>
      </c>
      <c r="Q182" s="1" t="s">
        <v>184</v>
      </c>
      <c r="R182" s="1" t="s">
        <v>1378</v>
      </c>
      <c r="S182" s="1" t="s">
        <v>103</v>
      </c>
      <c r="T182" s="1">
        <v>1</v>
      </c>
      <c r="U182" s="1">
        <v>1</v>
      </c>
      <c r="V182" s="1">
        <v>0</v>
      </c>
      <c r="W182" s="1">
        <v>0</v>
      </c>
      <c r="X182" s="1">
        <v>0</v>
      </c>
      <c r="Y182" s="1">
        <v>9</v>
      </c>
      <c r="Z182" s="1">
        <v>9</v>
      </c>
      <c r="AA182" s="1">
        <v>9</v>
      </c>
      <c r="AB182" s="1" t="s">
        <v>104</v>
      </c>
      <c r="AC182" s="1" t="s">
        <v>104</v>
      </c>
      <c r="AD182" s="1" t="s">
        <v>104</v>
      </c>
      <c r="AE182" s="1" t="s">
        <v>104</v>
      </c>
      <c r="AF182" s="1" t="s">
        <v>104</v>
      </c>
      <c r="AG182" s="1" t="s">
        <v>104</v>
      </c>
      <c r="AH182" s="1" t="s">
        <v>104</v>
      </c>
      <c r="AI182" s="1" t="s">
        <v>104</v>
      </c>
      <c r="AJ182" s="1">
        <v>9</v>
      </c>
      <c r="AK182" s="1" t="s">
        <v>104</v>
      </c>
      <c r="AL182" s="1" t="s">
        <v>104</v>
      </c>
      <c r="AM182" s="1" t="s">
        <v>104</v>
      </c>
      <c r="AO182" s="1">
        <v>9</v>
      </c>
      <c r="AP182" s="1" t="s">
        <v>1379</v>
      </c>
      <c r="AQ182" s="1" t="s">
        <v>1380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2" t="str">
        <f>HYPERLINK("http://www.d20pfsrd.com/magic/all-spells/e/energy-drain","Energy Drain")</f>
        <v>Energy Drain</v>
      </c>
      <c r="BR182" s="1">
        <v>181</v>
      </c>
      <c r="BS182" s="1" t="s">
        <v>104</v>
      </c>
      <c r="BT182" s="1" t="s">
        <v>1381</v>
      </c>
      <c r="BU182" s="1" t="s">
        <v>1382</v>
      </c>
      <c r="BX182" s="1">
        <v>0</v>
      </c>
      <c r="BY182" s="1" t="s">
        <v>104</v>
      </c>
      <c r="BZ182" s="1">
        <v>9</v>
      </c>
      <c r="CA182" s="1" t="s">
        <v>104</v>
      </c>
      <c r="CB182" s="1" t="s">
        <v>104</v>
      </c>
      <c r="CC182" s="1" t="s">
        <v>104</v>
      </c>
      <c r="CD182" s="1" t="s">
        <v>104</v>
      </c>
      <c r="CE182" s="1" t="s">
        <v>104</v>
      </c>
      <c r="CF182" s="1" t="s">
        <v>104</v>
      </c>
      <c r="CG182" s="1" t="s">
        <v>104</v>
      </c>
      <c r="CH182" s="1" t="s">
        <v>104</v>
      </c>
      <c r="CJ182" s="1">
        <v>0</v>
      </c>
      <c r="CK182" s="1">
        <v>0</v>
      </c>
      <c r="CL182" s="1">
        <v>0</v>
      </c>
      <c r="CM182" s="1" t="s">
        <v>104</v>
      </c>
    </row>
    <row r="183" spans="1:91" ht="14.25" customHeight="1" x14ac:dyDescent="0.3">
      <c r="A183" s="1" t="s">
        <v>1383</v>
      </c>
      <c r="B183" s="1" t="s">
        <v>216</v>
      </c>
      <c r="E183" s="1" t="s">
        <v>1384</v>
      </c>
      <c r="F183" s="1" t="s">
        <v>95</v>
      </c>
      <c r="G183" s="1" t="s">
        <v>116</v>
      </c>
      <c r="H183" s="1">
        <v>0</v>
      </c>
      <c r="I183" s="1" t="s">
        <v>117</v>
      </c>
      <c r="K183" s="1" t="s">
        <v>1376</v>
      </c>
      <c r="M183" s="1" t="s">
        <v>119</v>
      </c>
      <c r="N183" s="1">
        <v>0</v>
      </c>
      <c r="O183" s="1">
        <v>0</v>
      </c>
      <c r="P183" s="1" t="s">
        <v>100</v>
      </c>
      <c r="Q183" s="1" t="s">
        <v>184</v>
      </c>
      <c r="R183" s="1" t="s">
        <v>1385</v>
      </c>
      <c r="S183" s="1" t="s">
        <v>103</v>
      </c>
      <c r="T183" s="1">
        <v>1</v>
      </c>
      <c r="U183" s="1">
        <v>1</v>
      </c>
      <c r="V183" s="1">
        <v>0</v>
      </c>
      <c r="W183" s="1">
        <v>0</v>
      </c>
      <c r="X183" s="1">
        <v>0</v>
      </c>
      <c r="Y183" s="1">
        <v>4</v>
      </c>
      <c r="Z183" s="1">
        <v>4</v>
      </c>
      <c r="AA183" s="1" t="s">
        <v>104</v>
      </c>
      <c r="AB183" s="1" t="s">
        <v>104</v>
      </c>
      <c r="AC183" s="1" t="s">
        <v>104</v>
      </c>
      <c r="AD183" s="1" t="s">
        <v>104</v>
      </c>
      <c r="AE183" s="1" t="s">
        <v>104</v>
      </c>
      <c r="AF183" s="1" t="s">
        <v>104</v>
      </c>
      <c r="AG183" s="1" t="s">
        <v>104</v>
      </c>
      <c r="AH183" s="1">
        <v>4</v>
      </c>
      <c r="AI183" s="1" t="s">
        <v>104</v>
      </c>
      <c r="AJ183" s="1" t="s">
        <v>104</v>
      </c>
      <c r="AK183" s="1" t="s">
        <v>104</v>
      </c>
      <c r="AL183" s="1" t="s">
        <v>104</v>
      </c>
      <c r="AM183" s="1" t="s">
        <v>104</v>
      </c>
      <c r="AO183" s="1">
        <v>4</v>
      </c>
      <c r="AP183" s="1" t="s">
        <v>1386</v>
      </c>
      <c r="AQ183" s="1" t="s">
        <v>1387</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2" t="str">
        <f>HYPERLINK("http://www.d20pfsrd.com/magic/all-spells/e/enervation","Enervation")</f>
        <v>Enervation</v>
      </c>
      <c r="BR183" s="1">
        <v>182</v>
      </c>
      <c r="BS183" s="1" t="s">
        <v>104</v>
      </c>
      <c r="BV183" s="1" t="s">
        <v>1388</v>
      </c>
      <c r="BW183" s="1" t="s">
        <v>1389</v>
      </c>
      <c r="BX183" s="1">
        <v>1</v>
      </c>
      <c r="BY183" s="1">
        <v>4</v>
      </c>
      <c r="BZ183" s="1" t="s">
        <v>104</v>
      </c>
      <c r="CA183" s="1" t="s">
        <v>104</v>
      </c>
      <c r="CB183" s="1" t="s">
        <v>104</v>
      </c>
      <c r="CC183" s="1">
        <v>4</v>
      </c>
      <c r="CD183" s="1" t="s">
        <v>104</v>
      </c>
      <c r="CE183" s="1">
        <v>4</v>
      </c>
      <c r="CF183" s="1" t="s">
        <v>104</v>
      </c>
      <c r="CG183" s="1" t="s">
        <v>104</v>
      </c>
      <c r="CH183" s="1" t="s">
        <v>104</v>
      </c>
      <c r="CJ183" s="1">
        <v>0</v>
      </c>
      <c r="CK183" s="1">
        <v>0</v>
      </c>
      <c r="CL183" s="1">
        <v>0</v>
      </c>
      <c r="CM183" s="1" t="s">
        <v>104</v>
      </c>
    </row>
    <row r="184" spans="1:91" ht="14.25" customHeight="1" x14ac:dyDescent="0.3">
      <c r="A184" s="1" t="s">
        <v>1390</v>
      </c>
      <c r="B184" s="1" t="s">
        <v>137</v>
      </c>
      <c r="E184" s="1" t="s">
        <v>1391</v>
      </c>
      <c r="F184" s="1" t="s">
        <v>255</v>
      </c>
      <c r="G184" s="1" t="s">
        <v>1392</v>
      </c>
      <c r="H184" s="1">
        <v>0</v>
      </c>
      <c r="I184" s="1" t="s">
        <v>117</v>
      </c>
      <c r="L184" s="1" t="s">
        <v>637</v>
      </c>
      <c r="M184" s="1" t="s">
        <v>437</v>
      </c>
      <c r="N184" s="1">
        <v>1</v>
      </c>
      <c r="O184" s="1">
        <v>0</v>
      </c>
      <c r="P184" s="1" t="s">
        <v>183</v>
      </c>
      <c r="Q184" s="1" t="s">
        <v>184</v>
      </c>
      <c r="R184" s="1" t="s">
        <v>1393</v>
      </c>
      <c r="S184" s="1" t="s">
        <v>103</v>
      </c>
      <c r="T184" s="1">
        <v>1</v>
      </c>
      <c r="U184" s="1">
        <v>1</v>
      </c>
      <c r="V184" s="1">
        <v>1</v>
      </c>
      <c r="W184" s="1">
        <v>0</v>
      </c>
      <c r="X184" s="1">
        <v>0</v>
      </c>
      <c r="Y184" s="1">
        <v>1</v>
      </c>
      <c r="Z184" s="1">
        <v>1</v>
      </c>
      <c r="AA184" s="1" t="s">
        <v>104</v>
      </c>
      <c r="AB184" s="1" t="s">
        <v>104</v>
      </c>
      <c r="AC184" s="1" t="s">
        <v>104</v>
      </c>
      <c r="AD184" s="1" t="s">
        <v>104</v>
      </c>
      <c r="AE184" s="1" t="s">
        <v>104</v>
      </c>
      <c r="AF184" s="1">
        <v>1</v>
      </c>
      <c r="AG184" s="1">
        <v>1</v>
      </c>
      <c r="AH184" s="1">
        <v>1</v>
      </c>
      <c r="AI184" s="1" t="s">
        <v>104</v>
      </c>
      <c r="AJ184" s="1" t="s">
        <v>104</v>
      </c>
      <c r="AK184" s="1" t="s">
        <v>104</v>
      </c>
      <c r="AL184" s="1">
        <v>1</v>
      </c>
      <c r="AM184" s="1" t="s">
        <v>104</v>
      </c>
      <c r="AO184" s="1">
        <v>1</v>
      </c>
      <c r="AP184" s="1" t="s">
        <v>1394</v>
      </c>
      <c r="AQ184" s="1" t="s">
        <v>1395</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2" t="str">
        <f>HYPERLINK("http://www.d20pfsrd.com/magic/all-spells/e/enlarge-person","Enlarge Person")</f>
        <v>Enlarge Person</v>
      </c>
      <c r="BR184" s="1">
        <v>183</v>
      </c>
      <c r="BS184" s="1" t="s">
        <v>104</v>
      </c>
      <c r="BT184" s="1" t="s">
        <v>1396</v>
      </c>
      <c r="BV184" s="1" t="s">
        <v>1397</v>
      </c>
      <c r="BX184" s="1">
        <v>1</v>
      </c>
      <c r="BY184" s="1">
        <v>1</v>
      </c>
      <c r="BZ184" s="1" t="s">
        <v>104</v>
      </c>
      <c r="CA184" s="1">
        <v>1</v>
      </c>
      <c r="CB184" s="1">
        <v>1</v>
      </c>
      <c r="CC184" s="1" t="s">
        <v>104</v>
      </c>
      <c r="CD184" s="1">
        <v>1</v>
      </c>
      <c r="CE184" s="1" t="s">
        <v>104</v>
      </c>
      <c r="CF184" s="1" t="s">
        <v>104</v>
      </c>
      <c r="CG184" s="1" t="s">
        <v>104</v>
      </c>
      <c r="CH184" s="1" t="s">
        <v>104</v>
      </c>
      <c r="CJ184" s="1">
        <v>0</v>
      </c>
      <c r="CK184" s="1">
        <v>0</v>
      </c>
      <c r="CL184" s="1">
        <v>0</v>
      </c>
      <c r="CM184" s="1">
        <v>1</v>
      </c>
    </row>
    <row r="185" spans="1:91" ht="14.25" customHeight="1" x14ac:dyDescent="0.3">
      <c r="A185" s="1" t="s">
        <v>1398</v>
      </c>
      <c r="B185" s="1" t="s">
        <v>137</v>
      </c>
      <c r="E185" s="1" t="s">
        <v>1399</v>
      </c>
      <c r="F185" s="1" t="s">
        <v>255</v>
      </c>
      <c r="G185" s="1" t="s">
        <v>1392</v>
      </c>
      <c r="H185" s="1">
        <v>0</v>
      </c>
      <c r="I185" s="1" t="s">
        <v>117</v>
      </c>
      <c r="L185" s="1" t="s">
        <v>1400</v>
      </c>
      <c r="M185" s="1" t="s">
        <v>130</v>
      </c>
      <c r="N185" s="1">
        <v>1</v>
      </c>
      <c r="O185" s="1">
        <v>0</v>
      </c>
      <c r="P185" s="1" t="s">
        <v>183</v>
      </c>
      <c r="Q185" s="1" t="s">
        <v>184</v>
      </c>
      <c r="R185" s="1" t="s">
        <v>1401</v>
      </c>
      <c r="S185" s="1" t="s">
        <v>103</v>
      </c>
      <c r="T185" s="1">
        <v>1</v>
      </c>
      <c r="U185" s="1">
        <v>1</v>
      </c>
      <c r="V185" s="1">
        <v>1</v>
      </c>
      <c r="W185" s="1">
        <v>0</v>
      </c>
      <c r="X185" s="1">
        <v>0</v>
      </c>
      <c r="Y185" s="1">
        <v>4</v>
      </c>
      <c r="Z185" s="1">
        <v>4</v>
      </c>
      <c r="AA185" s="1" t="s">
        <v>104</v>
      </c>
      <c r="AB185" s="1" t="s">
        <v>104</v>
      </c>
      <c r="AC185" s="1" t="s">
        <v>104</v>
      </c>
      <c r="AD185" s="1" t="s">
        <v>104</v>
      </c>
      <c r="AE185" s="1" t="s">
        <v>104</v>
      </c>
      <c r="AF185" s="1" t="s">
        <v>104</v>
      </c>
      <c r="AG185" s="1">
        <v>3</v>
      </c>
      <c r="AH185" s="1" t="s">
        <v>104</v>
      </c>
      <c r="AI185" s="1" t="s">
        <v>104</v>
      </c>
      <c r="AJ185" s="1" t="s">
        <v>104</v>
      </c>
      <c r="AK185" s="1" t="s">
        <v>104</v>
      </c>
      <c r="AL185" s="1" t="s">
        <v>104</v>
      </c>
      <c r="AM185" s="1" t="s">
        <v>104</v>
      </c>
      <c r="AO185" s="1">
        <v>4</v>
      </c>
      <c r="AQ185" s="1" t="s">
        <v>1402</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2" t="str">
        <f>HYPERLINK("http://www.d20pfsrd.com/magic/all-spells/e/enlarge-person","Enlarge Person, Mass")</f>
        <v>Enlarge Person, Mass</v>
      </c>
      <c r="BR185" s="1">
        <v>184</v>
      </c>
      <c r="BS185" s="1" t="s">
        <v>104</v>
      </c>
      <c r="BX185" s="1">
        <v>0</v>
      </c>
      <c r="BY185" s="1">
        <v>4</v>
      </c>
      <c r="BZ185" s="1" t="s">
        <v>104</v>
      </c>
      <c r="CA185" s="1">
        <v>4</v>
      </c>
      <c r="CB185" s="1" t="s">
        <v>104</v>
      </c>
      <c r="CC185" s="1" t="s">
        <v>104</v>
      </c>
      <c r="CD185" s="1" t="s">
        <v>104</v>
      </c>
      <c r="CE185" s="1" t="s">
        <v>104</v>
      </c>
      <c r="CF185" s="1" t="s">
        <v>104</v>
      </c>
      <c r="CG185" s="1" t="s">
        <v>104</v>
      </c>
      <c r="CH185" s="1" t="s">
        <v>104</v>
      </c>
      <c r="CJ185" s="1">
        <v>0</v>
      </c>
      <c r="CK185" s="1">
        <v>0</v>
      </c>
      <c r="CL185" s="1">
        <v>0</v>
      </c>
      <c r="CM185" s="1">
        <v>4</v>
      </c>
    </row>
    <row r="186" spans="1:91" ht="14.25" customHeight="1" x14ac:dyDescent="0.3">
      <c r="A186" s="1" t="s">
        <v>1403</v>
      </c>
      <c r="B186" s="1" t="s">
        <v>137</v>
      </c>
      <c r="E186" s="1" t="s">
        <v>1404</v>
      </c>
      <c r="F186" s="1" t="s">
        <v>95</v>
      </c>
      <c r="G186" s="1" t="s">
        <v>127</v>
      </c>
      <c r="H186" s="1">
        <v>0</v>
      </c>
      <c r="I186" s="1" t="s">
        <v>97</v>
      </c>
      <c r="J186" s="1" t="s">
        <v>1405</v>
      </c>
      <c r="M186" s="1" t="s">
        <v>437</v>
      </c>
      <c r="N186" s="1">
        <v>1</v>
      </c>
      <c r="O186" s="1">
        <v>0</v>
      </c>
      <c r="P186" s="1" t="s">
        <v>1406</v>
      </c>
      <c r="Q186" s="1" t="s">
        <v>101</v>
      </c>
      <c r="R186" s="1" t="s">
        <v>1407</v>
      </c>
      <c r="S186" s="1" t="s">
        <v>103</v>
      </c>
      <c r="T186" s="1">
        <v>1</v>
      </c>
      <c r="U186" s="1">
        <v>1</v>
      </c>
      <c r="V186" s="1">
        <v>0</v>
      </c>
      <c r="W186" s="1">
        <v>0</v>
      </c>
      <c r="X186" s="1">
        <v>1</v>
      </c>
      <c r="Y186" s="1" t="s">
        <v>104</v>
      </c>
      <c r="Z186" s="1" t="s">
        <v>104</v>
      </c>
      <c r="AA186" s="1" t="s">
        <v>104</v>
      </c>
      <c r="AB186" s="1">
        <v>1</v>
      </c>
      <c r="AC186" s="1">
        <v>1</v>
      </c>
      <c r="AD186" s="1" t="s">
        <v>104</v>
      </c>
      <c r="AE186" s="1" t="s">
        <v>104</v>
      </c>
      <c r="AF186" s="1" t="s">
        <v>104</v>
      </c>
      <c r="AG186" s="1" t="s">
        <v>104</v>
      </c>
      <c r="AH186" s="1" t="s">
        <v>104</v>
      </c>
      <c r="AI186" s="1" t="s">
        <v>104</v>
      </c>
      <c r="AJ186" s="1" t="s">
        <v>104</v>
      </c>
      <c r="AK186" s="1" t="s">
        <v>104</v>
      </c>
      <c r="AL186" s="1" t="s">
        <v>104</v>
      </c>
      <c r="AM186" s="1" t="s">
        <v>104</v>
      </c>
      <c r="AO186" s="1">
        <v>1</v>
      </c>
      <c r="AP186" s="1" t="s">
        <v>1408</v>
      </c>
      <c r="AQ186" s="1" t="s">
        <v>1409</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2" t="str">
        <f>HYPERLINK("http://www.d20pfsrd.com/magic/all-spells/e/entangle","Entangle")</f>
        <v>Entangle</v>
      </c>
      <c r="BR186" s="1">
        <v>185</v>
      </c>
      <c r="BS186" s="1" t="s">
        <v>104</v>
      </c>
      <c r="BT186" s="1" t="s">
        <v>1410</v>
      </c>
      <c r="BU186" s="1" t="s">
        <v>1411</v>
      </c>
      <c r="BV186" s="1" t="s">
        <v>1412</v>
      </c>
      <c r="BX186" s="1">
        <v>1</v>
      </c>
      <c r="BY186" s="1" t="s">
        <v>104</v>
      </c>
      <c r="BZ186" s="1">
        <v>1</v>
      </c>
      <c r="CA186" s="1" t="s">
        <v>104</v>
      </c>
      <c r="CB186" s="1" t="s">
        <v>104</v>
      </c>
      <c r="CC186" s="1" t="s">
        <v>104</v>
      </c>
      <c r="CD186" s="1" t="s">
        <v>104</v>
      </c>
      <c r="CE186" s="1" t="s">
        <v>104</v>
      </c>
      <c r="CF186" s="1" t="s">
        <v>104</v>
      </c>
      <c r="CG186" s="1" t="s">
        <v>104</v>
      </c>
      <c r="CH186" s="1">
        <v>1</v>
      </c>
      <c r="CJ186" s="1">
        <v>0</v>
      </c>
      <c r="CK186" s="1">
        <v>0</v>
      </c>
      <c r="CL186" s="1">
        <v>0</v>
      </c>
      <c r="CM186" s="1" t="s">
        <v>104</v>
      </c>
    </row>
    <row r="187" spans="1:91" ht="14.25" customHeight="1" x14ac:dyDescent="0.3">
      <c r="A187" s="1" t="s">
        <v>1413</v>
      </c>
      <c r="B187" s="1" t="s">
        <v>123</v>
      </c>
      <c r="C187" s="1" t="s">
        <v>635</v>
      </c>
      <c r="D187" s="1" t="s">
        <v>1414</v>
      </c>
      <c r="E187" s="1" t="s">
        <v>1415</v>
      </c>
      <c r="F187" s="1" t="s">
        <v>255</v>
      </c>
      <c r="G187" s="1" t="s">
        <v>116</v>
      </c>
      <c r="H187" s="1">
        <v>0</v>
      </c>
      <c r="I187" s="1" t="s">
        <v>109</v>
      </c>
      <c r="L187" s="1" t="s">
        <v>1416</v>
      </c>
      <c r="M187" s="1" t="s">
        <v>1417</v>
      </c>
      <c r="N187" s="1">
        <v>0</v>
      </c>
      <c r="O187" s="1">
        <v>0</v>
      </c>
      <c r="P187" s="1" t="s">
        <v>418</v>
      </c>
      <c r="Q187" s="1" t="s">
        <v>184</v>
      </c>
      <c r="R187" s="1" t="s">
        <v>1418</v>
      </c>
      <c r="S187" s="1" t="s">
        <v>103</v>
      </c>
      <c r="T187" s="1">
        <v>1</v>
      </c>
      <c r="U187" s="1">
        <v>1</v>
      </c>
      <c r="V187" s="1">
        <v>0</v>
      </c>
      <c r="W187" s="1">
        <v>0</v>
      </c>
      <c r="X187" s="1">
        <v>0</v>
      </c>
      <c r="Y187" s="1" t="s">
        <v>104</v>
      </c>
      <c r="Z187" s="1" t="s">
        <v>104</v>
      </c>
      <c r="AA187" s="1">
        <v>2</v>
      </c>
      <c r="AB187" s="1" t="s">
        <v>104</v>
      </c>
      <c r="AC187" s="1" t="s">
        <v>104</v>
      </c>
      <c r="AD187" s="1">
        <v>2</v>
      </c>
      <c r="AE187" s="1" t="s">
        <v>104</v>
      </c>
      <c r="AF187" s="1" t="s">
        <v>104</v>
      </c>
      <c r="AG187" s="1" t="s">
        <v>104</v>
      </c>
      <c r="AH187" s="1">
        <v>2</v>
      </c>
      <c r="AI187" s="1">
        <v>2</v>
      </c>
      <c r="AJ187" s="1">
        <v>2</v>
      </c>
      <c r="AK187" s="1" t="s">
        <v>104</v>
      </c>
      <c r="AL187" s="1" t="s">
        <v>104</v>
      </c>
      <c r="AM187" s="1" t="s">
        <v>104</v>
      </c>
      <c r="AO187" s="1">
        <v>2</v>
      </c>
      <c r="AP187" s="1" t="s">
        <v>1419</v>
      </c>
      <c r="AQ187" s="1" t="s">
        <v>1420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1</v>
      </c>
      <c r="BI187" s="1">
        <v>0</v>
      </c>
      <c r="BJ187" s="1">
        <v>0</v>
      </c>
      <c r="BK187" s="1">
        <v>1</v>
      </c>
      <c r="BL187" s="1">
        <v>0</v>
      </c>
      <c r="BM187" s="1">
        <v>0</v>
      </c>
      <c r="BN187" s="1">
        <v>0</v>
      </c>
      <c r="BO187" s="1">
        <v>1</v>
      </c>
      <c r="BP187" s="1">
        <v>0</v>
      </c>
      <c r="BQ187" s="2" t="str">
        <f>HYPERLINK("http://www.d20pfsrd.com/magic/all-spells/e/enthrall","Enthrall")</f>
        <v>Enthrall</v>
      </c>
      <c r="BR187" s="1">
        <v>186</v>
      </c>
      <c r="BS187" s="1" t="s">
        <v>104</v>
      </c>
      <c r="BX187" s="1">
        <v>0</v>
      </c>
      <c r="BY187" s="1" t="s">
        <v>104</v>
      </c>
      <c r="BZ187" s="1">
        <v>2</v>
      </c>
      <c r="CA187" s="1">
        <v>2</v>
      </c>
      <c r="CB187" s="1" t="s">
        <v>104</v>
      </c>
      <c r="CC187" s="1">
        <v>2</v>
      </c>
      <c r="CD187" s="1" t="s">
        <v>104</v>
      </c>
      <c r="CE187" s="1" t="s">
        <v>104</v>
      </c>
      <c r="CF187" s="1" t="s">
        <v>104</v>
      </c>
      <c r="CG187" s="1" t="s">
        <v>104</v>
      </c>
      <c r="CH187" s="1" t="s">
        <v>104</v>
      </c>
      <c r="CJ187" s="1">
        <v>0</v>
      </c>
      <c r="CK187" s="1">
        <v>0</v>
      </c>
      <c r="CL187" s="1">
        <v>0</v>
      </c>
      <c r="CM187" s="1" t="s">
        <v>104</v>
      </c>
    </row>
    <row r="188" spans="1:91" ht="14.25" customHeight="1" x14ac:dyDescent="0.3">
      <c r="A188" s="1" t="s">
        <v>1421</v>
      </c>
      <c r="B188" s="1" t="s">
        <v>162</v>
      </c>
      <c r="E188" s="1" t="s">
        <v>1422</v>
      </c>
      <c r="F188" s="1" t="s">
        <v>95</v>
      </c>
      <c r="G188" s="1" t="s">
        <v>116</v>
      </c>
      <c r="H188" s="1">
        <v>0</v>
      </c>
      <c r="I188" s="1" t="s">
        <v>157</v>
      </c>
      <c r="L188" s="1" t="s">
        <v>158</v>
      </c>
      <c r="M188" s="1" t="s">
        <v>437</v>
      </c>
      <c r="N188" s="1">
        <v>1</v>
      </c>
      <c r="O188" s="1">
        <v>0</v>
      </c>
      <c r="R188" s="1" t="s">
        <v>1423</v>
      </c>
      <c r="S188" s="1" t="s">
        <v>103</v>
      </c>
      <c r="T188" s="1">
        <v>1</v>
      </c>
      <c r="U188" s="1">
        <v>1</v>
      </c>
      <c r="V188" s="1">
        <v>0</v>
      </c>
      <c r="W188" s="1">
        <v>0</v>
      </c>
      <c r="X188" s="1">
        <v>0</v>
      </c>
      <c r="Y188" s="1" t="s">
        <v>104</v>
      </c>
      <c r="Z188" s="1" t="s">
        <v>104</v>
      </c>
      <c r="AA188" s="1">
        <v>1</v>
      </c>
      <c r="AB188" s="1" t="s">
        <v>104</v>
      </c>
      <c r="AC188" s="1" t="s">
        <v>104</v>
      </c>
      <c r="AD188" s="1" t="s">
        <v>104</v>
      </c>
      <c r="AE188" s="1" t="s">
        <v>104</v>
      </c>
      <c r="AF188" s="1" t="s">
        <v>104</v>
      </c>
      <c r="AG188" s="1" t="s">
        <v>104</v>
      </c>
      <c r="AH188" s="1" t="s">
        <v>104</v>
      </c>
      <c r="AI188" s="1" t="s">
        <v>104</v>
      </c>
      <c r="AJ188" s="1">
        <v>1</v>
      </c>
      <c r="AK188" s="1" t="s">
        <v>104</v>
      </c>
      <c r="AL188" s="1" t="s">
        <v>104</v>
      </c>
      <c r="AM188" s="1" t="s">
        <v>104</v>
      </c>
      <c r="AO188" s="1">
        <v>1</v>
      </c>
      <c r="AP188" s="1" t="s">
        <v>1424</v>
      </c>
      <c r="AQ188" s="1" t="s">
        <v>1425</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2" t="str">
        <f>HYPERLINK("http://www.d20pfsrd.com/magic/all-spells/e/entropic-shield","Entropic Shield")</f>
        <v>Entropic Shield</v>
      </c>
      <c r="BR188" s="1">
        <v>187</v>
      </c>
      <c r="BS188" s="1" t="s">
        <v>104</v>
      </c>
      <c r="BT188" s="1" t="s">
        <v>1249</v>
      </c>
      <c r="BV188" s="1" t="s">
        <v>1426</v>
      </c>
      <c r="BX188" s="1">
        <v>1</v>
      </c>
      <c r="BY188" s="1" t="s">
        <v>104</v>
      </c>
      <c r="BZ188" s="1" t="s">
        <v>104</v>
      </c>
      <c r="CA188" s="1">
        <v>1</v>
      </c>
      <c r="CB188" s="1" t="s">
        <v>104</v>
      </c>
      <c r="CC188" s="1" t="s">
        <v>104</v>
      </c>
      <c r="CD188" s="1" t="s">
        <v>104</v>
      </c>
      <c r="CE188" s="1" t="s">
        <v>104</v>
      </c>
      <c r="CF188" s="1" t="s">
        <v>104</v>
      </c>
      <c r="CG188" s="1" t="s">
        <v>104</v>
      </c>
      <c r="CH188" s="1" t="s">
        <v>104</v>
      </c>
      <c r="CJ188" s="1">
        <v>0</v>
      </c>
      <c r="CK188" s="1">
        <v>0</v>
      </c>
      <c r="CL188" s="1">
        <v>0</v>
      </c>
      <c r="CM188" s="1" t="s">
        <v>104</v>
      </c>
    </row>
    <row r="189" spans="1:91" ht="14.25" customHeight="1" x14ac:dyDescent="0.3">
      <c r="A189" s="1" t="s">
        <v>1427</v>
      </c>
      <c r="B189" s="1" t="s">
        <v>137</v>
      </c>
      <c r="E189" s="1" t="s">
        <v>1428</v>
      </c>
      <c r="F189" s="1" t="s">
        <v>95</v>
      </c>
      <c r="G189" s="1" t="s">
        <v>116</v>
      </c>
      <c r="H189" s="1">
        <v>0</v>
      </c>
      <c r="I189" s="1" t="s">
        <v>117</v>
      </c>
      <c r="L189" s="1" t="s">
        <v>1429</v>
      </c>
      <c r="M189" s="1" t="s">
        <v>119</v>
      </c>
      <c r="N189" s="1">
        <v>0</v>
      </c>
      <c r="O189" s="1">
        <v>0</v>
      </c>
      <c r="P189" s="1" t="s">
        <v>145</v>
      </c>
      <c r="Q189" s="1" t="s">
        <v>101</v>
      </c>
      <c r="R189" s="1" t="s">
        <v>1430</v>
      </c>
      <c r="S189" s="1" t="s">
        <v>103</v>
      </c>
      <c r="T189" s="1">
        <v>1</v>
      </c>
      <c r="U189" s="1">
        <v>1</v>
      </c>
      <c r="V189" s="1">
        <v>0</v>
      </c>
      <c r="W189" s="1">
        <v>0</v>
      </c>
      <c r="X189" s="1">
        <v>0</v>
      </c>
      <c r="Y189" s="1">
        <v>1</v>
      </c>
      <c r="Z189" s="1">
        <v>1</v>
      </c>
      <c r="AA189" s="1" t="s">
        <v>104</v>
      </c>
      <c r="AB189" s="1" t="s">
        <v>104</v>
      </c>
      <c r="AC189" s="1" t="s">
        <v>104</v>
      </c>
      <c r="AD189" s="1">
        <v>1</v>
      </c>
      <c r="AE189" s="1" t="s">
        <v>104</v>
      </c>
      <c r="AF189" s="1" t="s">
        <v>104</v>
      </c>
      <c r="AG189" s="1" t="s">
        <v>104</v>
      </c>
      <c r="AH189" s="1" t="s">
        <v>104</v>
      </c>
      <c r="AI189" s="1" t="s">
        <v>104</v>
      </c>
      <c r="AJ189" s="1" t="s">
        <v>104</v>
      </c>
      <c r="AK189" s="1" t="s">
        <v>104</v>
      </c>
      <c r="AL189" s="1" t="s">
        <v>104</v>
      </c>
      <c r="AM189" s="1" t="s">
        <v>104</v>
      </c>
      <c r="AO189" s="1">
        <v>1</v>
      </c>
      <c r="AP189" s="1" t="s">
        <v>1431</v>
      </c>
      <c r="AQ189" s="1" t="s">
        <v>1432</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2" t="str">
        <f>HYPERLINK("http://www.d20pfsrd.com/magic/all-spells/e/erase","Erase")</f>
        <v>Erase</v>
      </c>
      <c r="BR189" s="1">
        <v>188</v>
      </c>
      <c r="BS189" s="1" t="s">
        <v>104</v>
      </c>
      <c r="BX189" s="1">
        <v>0</v>
      </c>
      <c r="BY189" s="1" t="s">
        <v>104</v>
      </c>
      <c r="BZ189" s="1" t="s">
        <v>104</v>
      </c>
      <c r="CA189" s="1">
        <v>1</v>
      </c>
      <c r="CB189" s="1" t="s">
        <v>104</v>
      </c>
      <c r="CC189" s="1" t="s">
        <v>104</v>
      </c>
      <c r="CD189" s="1">
        <v>1</v>
      </c>
      <c r="CE189" s="1" t="s">
        <v>104</v>
      </c>
      <c r="CF189" s="1" t="s">
        <v>104</v>
      </c>
      <c r="CG189" s="1" t="s">
        <v>104</v>
      </c>
      <c r="CH189" s="1" t="s">
        <v>104</v>
      </c>
      <c r="CJ189" s="1">
        <v>0</v>
      </c>
      <c r="CK189" s="1">
        <v>0</v>
      </c>
      <c r="CL189" s="1">
        <v>0</v>
      </c>
      <c r="CM189" s="1" t="s">
        <v>104</v>
      </c>
    </row>
    <row r="190" spans="1:91" ht="14.25" customHeight="1" x14ac:dyDescent="0.3">
      <c r="A190" s="1" t="s">
        <v>1433</v>
      </c>
      <c r="B190" s="1" t="s">
        <v>137</v>
      </c>
      <c r="E190" s="1" t="s">
        <v>1434</v>
      </c>
      <c r="F190" s="1" t="s">
        <v>95</v>
      </c>
      <c r="G190" s="1" t="s">
        <v>116</v>
      </c>
      <c r="H190" s="1">
        <v>0</v>
      </c>
      <c r="I190" s="1" t="s">
        <v>157</v>
      </c>
      <c r="L190" s="1" t="s">
        <v>158</v>
      </c>
      <c r="M190" s="1" t="s">
        <v>426</v>
      </c>
      <c r="N190" s="1">
        <v>1</v>
      </c>
      <c r="O190" s="1">
        <v>0</v>
      </c>
      <c r="R190" s="1" t="s">
        <v>1435</v>
      </c>
      <c r="S190" s="1" t="s">
        <v>103</v>
      </c>
      <c r="T190" s="1">
        <v>1</v>
      </c>
      <c r="U190" s="1">
        <v>1</v>
      </c>
      <c r="V190" s="1">
        <v>0</v>
      </c>
      <c r="W190" s="1">
        <v>0</v>
      </c>
      <c r="X190" s="1">
        <v>0</v>
      </c>
      <c r="Y190" s="1">
        <v>7</v>
      </c>
      <c r="Z190" s="1">
        <v>7</v>
      </c>
      <c r="AA190" s="1">
        <v>7</v>
      </c>
      <c r="AB190" s="1" t="s">
        <v>104</v>
      </c>
      <c r="AC190" s="1" t="s">
        <v>104</v>
      </c>
      <c r="AD190" s="1" t="s">
        <v>104</v>
      </c>
      <c r="AE190" s="1" t="s">
        <v>104</v>
      </c>
      <c r="AF190" s="1" t="s">
        <v>104</v>
      </c>
      <c r="AG190" s="1">
        <v>5</v>
      </c>
      <c r="AH190" s="1" t="s">
        <v>104</v>
      </c>
      <c r="AI190" s="1" t="s">
        <v>104</v>
      </c>
      <c r="AJ190" s="1">
        <v>7</v>
      </c>
      <c r="AK190" s="1" t="s">
        <v>104</v>
      </c>
      <c r="AL190" s="1" t="s">
        <v>104</v>
      </c>
      <c r="AM190" s="1" t="s">
        <v>104</v>
      </c>
      <c r="AO190" s="1">
        <v>7</v>
      </c>
      <c r="AP190" s="1" t="s">
        <v>1436</v>
      </c>
      <c r="AQ190" s="1" t="s">
        <v>1437</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2" t="str">
        <f>HYPERLINK("http://www.d20pfsrd.com/magic/all-spells/e/ethereal-jaunt","Ethereal Jaunt")</f>
        <v>Ethereal Jaunt</v>
      </c>
      <c r="BR190" s="1">
        <v>189</v>
      </c>
      <c r="BS190" s="1" t="s">
        <v>104</v>
      </c>
      <c r="BT190" s="1" t="s">
        <v>1438</v>
      </c>
      <c r="BU190" s="1" t="s">
        <v>1439</v>
      </c>
      <c r="BX190" s="1">
        <v>0</v>
      </c>
      <c r="BY190" s="1" t="s">
        <v>104</v>
      </c>
      <c r="BZ190" s="1" t="s">
        <v>104</v>
      </c>
      <c r="CA190" s="1">
        <v>6</v>
      </c>
      <c r="CB190" s="1" t="s">
        <v>104</v>
      </c>
      <c r="CC190" s="1" t="s">
        <v>104</v>
      </c>
      <c r="CD190" s="1" t="s">
        <v>104</v>
      </c>
      <c r="CE190" s="1" t="s">
        <v>104</v>
      </c>
      <c r="CF190" s="1" t="s">
        <v>104</v>
      </c>
      <c r="CG190" s="1" t="s">
        <v>104</v>
      </c>
      <c r="CH190" s="1" t="s">
        <v>104</v>
      </c>
      <c r="CJ190" s="1">
        <v>0</v>
      </c>
      <c r="CK190" s="1">
        <v>0</v>
      </c>
      <c r="CL190" s="1">
        <v>0</v>
      </c>
      <c r="CM190" s="1">
        <v>6</v>
      </c>
    </row>
    <row r="191" spans="1:91" ht="14.25" customHeight="1" x14ac:dyDescent="0.3">
      <c r="A191" s="1" t="s">
        <v>1440</v>
      </c>
      <c r="B191" s="1" t="s">
        <v>137</v>
      </c>
      <c r="E191" s="1" t="s">
        <v>1441</v>
      </c>
      <c r="F191" s="1" t="s">
        <v>95</v>
      </c>
      <c r="G191" s="1" t="s">
        <v>116</v>
      </c>
      <c r="H191" s="1">
        <v>0</v>
      </c>
      <c r="I191" s="1" t="s">
        <v>1442</v>
      </c>
      <c r="L191" s="1" t="s">
        <v>1443</v>
      </c>
      <c r="M191" s="1" t="s">
        <v>130</v>
      </c>
      <c r="N191" s="1">
        <v>1</v>
      </c>
      <c r="O191" s="1">
        <v>0</v>
      </c>
      <c r="Q191" s="1" t="s">
        <v>184</v>
      </c>
      <c r="R191" s="1" t="s">
        <v>1444</v>
      </c>
      <c r="S191" s="1" t="s">
        <v>103</v>
      </c>
      <c r="T191" s="1">
        <v>1</v>
      </c>
      <c r="U191" s="1">
        <v>1</v>
      </c>
      <c r="V191" s="1">
        <v>0</v>
      </c>
      <c r="W191" s="1">
        <v>0</v>
      </c>
      <c r="X191" s="1">
        <v>0</v>
      </c>
      <c r="Y191" s="1">
        <v>9</v>
      </c>
      <c r="Z191" s="1">
        <v>9</v>
      </c>
      <c r="AA191" s="1">
        <v>9</v>
      </c>
      <c r="AB191" s="1" t="s">
        <v>104</v>
      </c>
      <c r="AC191" s="1" t="s">
        <v>104</v>
      </c>
      <c r="AD191" s="1" t="s">
        <v>104</v>
      </c>
      <c r="AE191" s="1" t="s">
        <v>104</v>
      </c>
      <c r="AF191" s="1" t="s">
        <v>104</v>
      </c>
      <c r="AG191" s="1" t="s">
        <v>104</v>
      </c>
      <c r="AH191" s="1" t="s">
        <v>104</v>
      </c>
      <c r="AI191" s="1" t="s">
        <v>104</v>
      </c>
      <c r="AJ191" s="1">
        <v>9</v>
      </c>
      <c r="AK191" s="1" t="s">
        <v>104</v>
      </c>
      <c r="AL191" s="1" t="s">
        <v>104</v>
      </c>
      <c r="AM191" s="1" t="s">
        <v>104</v>
      </c>
      <c r="AO191" s="1">
        <v>9</v>
      </c>
      <c r="AQ191" s="1" t="s">
        <v>1445</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2" t="str">
        <f>HYPERLINK("http://www.d20pfsrd.com/magic/all-spells/e/etherealness","Etherealness")</f>
        <v>Etherealness</v>
      </c>
      <c r="BR191" s="1">
        <v>190</v>
      </c>
      <c r="BS191" s="1" t="s">
        <v>104</v>
      </c>
      <c r="BT191" s="1" t="s">
        <v>1446</v>
      </c>
      <c r="BU191" s="1" t="s">
        <v>1447</v>
      </c>
      <c r="BX191" s="1">
        <v>0</v>
      </c>
      <c r="BY191" s="1" t="s">
        <v>104</v>
      </c>
      <c r="BZ191" s="1">
        <v>9</v>
      </c>
      <c r="CA191" s="1">
        <v>8</v>
      </c>
      <c r="CB191" s="1" t="s">
        <v>104</v>
      </c>
      <c r="CC191" s="1" t="s">
        <v>104</v>
      </c>
      <c r="CD191" s="1" t="s">
        <v>104</v>
      </c>
      <c r="CE191" s="1" t="s">
        <v>104</v>
      </c>
      <c r="CF191" s="1" t="s">
        <v>104</v>
      </c>
      <c r="CG191" s="1" t="s">
        <v>104</v>
      </c>
      <c r="CH191" s="1" t="s">
        <v>104</v>
      </c>
      <c r="CJ191" s="1">
        <v>0</v>
      </c>
      <c r="CK191" s="1">
        <v>0</v>
      </c>
      <c r="CL191" s="1">
        <v>0</v>
      </c>
      <c r="CM191" s="1" t="s">
        <v>104</v>
      </c>
    </row>
    <row r="192" spans="1:91" ht="14.25" customHeight="1" x14ac:dyDescent="0.3">
      <c r="A192" s="1" t="s">
        <v>1448</v>
      </c>
      <c r="B192" s="1" t="s">
        <v>137</v>
      </c>
      <c r="E192" s="1" t="s">
        <v>1449</v>
      </c>
      <c r="F192" s="1" t="s">
        <v>95</v>
      </c>
      <c r="G192" s="1" t="s">
        <v>116</v>
      </c>
      <c r="H192" s="1">
        <v>0</v>
      </c>
      <c r="I192" s="1" t="s">
        <v>157</v>
      </c>
      <c r="L192" s="1" t="s">
        <v>158</v>
      </c>
      <c r="M192" s="1" t="s">
        <v>437</v>
      </c>
      <c r="N192" s="1">
        <v>1</v>
      </c>
      <c r="O192" s="1">
        <v>0</v>
      </c>
      <c r="R192" s="1" t="s">
        <v>1450</v>
      </c>
      <c r="S192" s="1" t="s">
        <v>103</v>
      </c>
      <c r="T192" s="1">
        <v>1</v>
      </c>
      <c r="U192" s="1">
        <v>1</v>
      </c>
      <c r="V192" s="1">
        <v>0</v>
      </c>
      <c r="W192" s="1">
        <v>0</v>
      </c>
      <c r="X192" s="1">
        <v>0</v>
      </c>
      <c r="Y192" s="1">
        <v>1</v>
      </c>
      <c r="Z192" s="1">
        <v>1</v>
      </c>
      <c r="AA192" s="1" t="s">
        <v>104</v>
      </c>
      <c r="AB192" s="1" t="s">
        <v>104</v>
      </c>
      <c r="AC192" s="1" t="s">
        <v>104</v>
      </c>
      <c r="AD192" s="1">
        <v>1</v>
      </c>
      <c r="AE192" s="1" t="s">
        <v>104</v>
      </c>
      <c r="AF192" s="1">
        <v>1</v>
      </c>
      <c r="AG192" s="1">
        <v>1</v>
      </c>
      <c r="AH192" s="1" t="s">
        <v>104</v>
      </c>
      <c r="AI192" s="1">
        <v>1</v>
      </c>
      <c r="AJ192" s="1" t="s">
        <v>104</v>
      </c>
      <c r="AK192" s="1" t="s">
        <v>104</v>
      </c>
      <c r="AL192" s="1">
        <v>1</v>
      </c>
      <c r="AM192" s="1" t="s">
        <v>104</v>
      </c>
      <c r="AO192" s="1">
        <v>1</v>
      </c>
      <c r="AP192" s="1" t="s">
        <v>1451</v>
      </c>
      <c r="AQ192" s="1" t="s">
        <v>1452</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2" t="str">
        <f>HYPERLINK("http://www.d20pfsrd.com/magic/all-spells/e/expeditious-retreat","Expeditious Retreat")</f>
        <v>Expeditious Retreat</v>
      </c>
      <c r="BR192" s="1">
        <v>191</v>
      </c>
      <c r="BS192" s="1" t="s">
        <v>104</v>
      </c>
      <c r="BV192" s="1" t="s">
        <v>1453</v>
      </c>
      <c r="BX192" s="1">
        <v>1</v>
      </c>
      <c r="BY192" s="1">
        <v>1</v>
      </c>
      <c r="BZ192" s="1" t="s">
        <v>104</v>
      </c>
      <c r="CA192" s="1">
        <v>1</v>
      </c>
      <c r="CB192" s="1">
        <v>1</v>
      </c>
      <c r="CC192" s="1">
        <v>1</v>
      </c>
      <c r="CD192" s="1">
        <v>1</v>
      </c>
      <c r="CE192" s="1">
        <v>1</v>
      </c>
      <c r="CF192" s="1" t="s">
        <v>104</v>
      </c>
      <c r="CG192" s="1" t="s">
        <v>104</v>
      </c>
      <c r="CH192" s="1" t="s">
        <v>104</v>
      </c>
      <c r="CJ192" s="1">
        <v>0</v>
      </c>
      <c r="CK192" s="1">
        <v>0</v>
      </c>
      <c r="CL192" s="1">
        <v>0</v>
      </c>
      <c r="CM192" s="1">
        <v>1</v>
      </c>
    </row>
    <row r="193" spans="1:91" ht="14.25" customHeight="1" x14ac:dyDescent="0.3">
      <c r="A193" s="1" t="s">
        <v>1454</v>
      </c>
      <c r="B193" s="1" t="s">
        <v>162</v>
      </c>
      <c r="D193" s="1" t="s">
        <v>57</v>
      </c>
      <c r="E193" s="1" t="s">
        <v>1455</v>
      </c>
      <c r="F193" s="1" t="s">
        <v>95</v>
      </c>
      <c r="G193" s="1" t="s">
        <v>116</v>
      </c>
      <c r="H193" s="1">
        <v>0</v>
      </c>
      <c r="I193" s="1" t="s">
        <v>128</v>
      </c>
      <c r="L193" s="1" t="s">
        <v>1456</v>
      </c>
      <c r="M193" s="1" t="s">
        <v>1457</v>
      </c>
      <c r="N193" s="1">
        <v>1</v>
      </c>
      <c r="O193" s="1">
        <v>0</v>
      </c>
      <c r="P193" s="1" t="s">
        <v>145</v>
      </c>
      <c r="Q193" s="1" t="s">
        <v>184</v>
      </c>
      <c r="R193" s="1" t="s">
        <v>1458</v>
      </c>
      <c r="S193" s="1" t="s">
        <v>103</v>
      </c>
      <c r="T193" s="1">
        <v>1</v>
      </c>
      <c r="U193" s="1">
        <v>1</v>
      </c>
      <c r="V193" s="1">
        <v>0</v>
      </c>
      <c r="W193" s="1">
        <v>0</v>
      </c>
      <c r="X193" s="1">
        <v>0</v>
      </c>
      <c r="Y193" s="1">
        <v>3</v>
      </c>
      <c r="Z193" s="1">
        <v>3</v>
      </c>
      <c r="AA193" s="1" t="s">
        <v>104</v>
      </c>
      <c r="AB193" s="1" t="s">
        <v>104</v>
      </c>
      <c r="AC193" s="1" t="s">
        <v>104</v>
      </c>
      <c r="AD193" s="1" t="s">
        <v>104</v>
      </c>
      <c r="AE193" s="1" t="s">
        <v>104</v>
      </c>
      <c r="AF193" s="1" t="s">
        <v>104</v>
      </c>
      <c r="AG193" s="1" t="s">
        <v>104</v>
      </c>
      <c r="AH193" s="1" t="s">
        <v>104</v>
      </c>
      <c r="AI193" s="1" t="s">
        <v>104</v>
      </c>
      <c r="AJ193" s="1" t="s">
        <v>104</v>
      </c>
      <c r="AK193" s="1" t="s">
        <v>104</v>
      </c>
      <c r="AL193" s="1" t="s">
        <v>104</v>
      </c>
      <c r="AM193" s="1" t="s">
        <v>104</v>
      </c>
      <c r="AO193" s="1">
        <v>3</v>
      </c>
      <c r="AP193" s="1" t="s">
        <v>1459</v>
      </c>
      <c r="AQ193" s="1" t="s">
        <v>1460</v>
      </c>
      <c r="AR193" s="1">
        <v>0</v>
      </c>
      <c r="AS193" s="1">
        <v>0</v>
      </c>
      <c r="AT193" s="1">
        <v>0</v>
      </c>
      <c r="AU193" s="1">
        <v>0</v>
      </c>
      <c r="AV193" s="1">
        <v>0</v>
      </c>
      <c r="AW193" s="1">
        <v>0</v>
      </c>
      <c r="AX193" s="1">
        <v>0</v>
      </c>
      <c r="AY193" s="1">
        <v>0</v>
      </c>
      <c r="AZ193" s="1">
        <v>0</v>
      </c>
      <c r="BA193" s="1">
        <v>0</v>
      </c>
      <c r="BB193" s="1">
        <v>0</v>
      </c>
      <c r="BC193" s="1">
        <v>0</v>
      </c>
      <c r="BD193" s="1">
        <v>0</v>
      </c>
      <c r="BE193" s="1">
        <v>0</v>
      </c>
      <c r="BF193" s="1">
        <v>1</v>
      </c>
      <c r="BG193" s="1">
        <v>0</v>
      </c>
      <c r="BH193" s="1">
        <v>0</v>
      </c>
      <c r="BI193" s="1">
        <v>0</v>
      </c>
      <c r="BJ193" s="1">
        <v>0</v>
      </c>
      <c r="BK193" s="1">
        <v>0</v>
      </c>
      <c r="BL193" s="1">
        <v>0</v>
      </c>
      <c r="BM193" s="1">
        <v>0</v>
      </c>
      <c r="BN193" s="1">
        <v>0</v>
      </c>
      <c r="BO193" s="1">
        <v>0</v>
      </c>
      <c r="BP193" s="1">
        <v>0</v>
      </c>
      <c r="BQ193" s="2" t="str">
        <f>HYPERLINK("http://www.d20pfsrd.com/magic/all-spells/e/explosive-runes","Explosive Runes")</f>
        <v>Explosive Runes</v>
      </c>
      <c r="BR193" s="1">
        <v>192</v>
      </c>
      <c r="BS193" s="1" t="s">
        <v>104</v>
      </c>
      <c r="BT193" s="1" t="s">
        <v>1461</v>
      </c>
      <c r="BX193" s="1">
        <v>0</v>
      </c>
      <c r="BY193" s="1" t="s">
        <v>104</v>
      </c>
      <c r="BZ193" s="1" t="s">
        <v>104</v>
      </c>
      <c r="CA193" s="1" t="s">
        <v>104</v>
      </c>
      <c r="CB193" s="1" t="s">
        <v>104</v>
      </c>
      <c r="CC193" s="1" t="s">
        <v>104</v>
      </c>
      <c r="CD193" s="1">
        <v>3</v>
      </c>
      <c r="CE193" s="1" t="s">
        <v>104</v>
      </c>
      <c r="CF193" s="1" t="s">
        <v>104</v>
      </c>
      <c r="CG193" s="1" t="s">
        <v>104</v>
      </c>
      <c r="CH193" s="1" t="s">
        <v>104</v>
      </c>
      <c r="CJ193" s="1">
        <v>0</v>
      </c>
      <c r="CK193" s="1">
        <v>0</v>
      </c>
      <c r="CL193" s="1">
        <v>0</v>
      </c>
      <c r="CM193" s="1" t="s">
        <v>104</v>
      </c>
    </row>
    <row r="194" spans="1:91" ht="14.25" customHeight="1" x14ac:dyDescent="0.3">
      <c r="A194" s="1" t="s">
        <v>1462</v>
      </c>
      <c r="B194" s="1" t="s">
        <v>216</v>
      </c>
      <c r="D194" s="1" t="s">
        <v>1463</v>
      </c>
      <c r="E194" s="1" t="s">
        <v>1464</v>
      </c>
      <c r="F194" s="1" t="s">
        <v>95</v>
      </c>
      <c r="G194" s="1" t="s">
        <v>116</v>
      </c>
      <c r="H194" s="1">
        <v>0</v>
      </c>
      <c r="I194" s="1" t="s">
        <v>117</v>
      </c>
      <c r="L194" s="1" t="s">
        <v>417</v>
      </c>
      <c r="M194" s="1" t="s">
        <v>111</v>
      </c>
      <c r="N194" s="1">
        <v>0</v>
      </c>
      <c r="O194" s="1">
        <v>0</v>
      </c>
      <c r="P194" s="1" t="s">
        <v>183</v>
      </c>
      <c r="Q194" s="1" t="s">
        <v>184</v>
      </c>
      <c r="R194" s="1" t="s">
        <v>1465</v>
      </c>
      <c r="S194" s="1" t="s">
        <v>103</v>
      </c>
      <c r="T194" s="1">
        <v>1</v>
      </c>
      <c r="U194" s="1">
        <v>1</v>
      </c>
      <c r="V194" s="1">
        <v>0</v>
      </c>
      <c r="W194" s="1">
        <v>0</v>
      </c>
      <c r="X194" s="1">
        <v>0</v>
      </c>
      <c r="Y194" s="1">
        <v>6</v>
      </c>
      <c r="Z194" s="1">
        <v>6</v>
      </c>
      <c r="AA194" s="1" t="s">
        <v>104</v>
      </c>
      <c r="AB194" s="1" t="s">
        <v>104</v>
      </c>
      <c r="AC194" s="1" t="s">
        <v>104</v>
      </c>
      <c r="AD194" s="1">
        <v>6</v>
      </c>
      <c r="AE194" s="1" t="s">
        <v>104</v>
      </c>
      <c r="AF194" s="1">
        <v>6</v>
      </c>
      <c r="AG194" s="1" t="s">
        <v>104</v>
      </c>
      <c r="AH194" s="1">
        <v>6</v>
      </c>
      <c r="AI194" s="1" t="s">
        <v>104</v>
      </c>
      <c r="AJ194" s="1" t="s">
        <v>104</v>
      </c>
      <c r="AK194" s="1" t="s">
        <v>104</v>
      </c>
      <c r="AL194" s="1" t="s">
        <v>104</v>
      </c>
      <c r="AM194" s="1" t="s">
        <v>104</v>
      </c>
      <c r="AO194" s="1">
        <v>6</v>
      </c>
      <c r="AP194" s="1" t="s">
        <v>1466</v>
      </c>
      <c r="AQ194" s="1" t="s">
        <v>1467</v>
      </c>
      <c r="AR194" s="1">
        <v>0</v>
      </c>
      <c r="AS194" s="1">
        <v>0</v>
      </c>
      <c r="AT194" s="1">
        <v>0</v>
      </c>
      <c r="AU194" s="1">
        <v>0</v>
      </c>
      <c r="AV194" s="1">
        <v>0</v>
      </c>
      <c r="AW194" s="1">
        <v>0</v>
      </c>
      <c r="AX194" s="1">
        <v>0</v>
      </c>
      <c r="AY194" s="1">
        <v>0</v>
      </c>
      <c r="AZ194" s="1">
        <v>0</v>
      </c>
      <c r="BA194" s="1">
        <v>0</v>
      </c>
      <c r="BB194" s="1">
        <v>1</v>
      </c>
      <c r="BC194" s="1">
        <v>0</v>
      </c>
      <c r="BD194" s="1">
        <v>0</v>
      </c>
      <c r="BE194" s="1">
        <v>0</v>
      </c>
      <c r="BF194" s="1">
        <v>0</v>
      </c>
      <c r="BG194" s="1">
        <v>0</v>
      </c>
      <c r="BH194" s="1">
        <v>0</v>
      </c>
      <c r="BI194" s="1">
        <v>0</v>
      </c>
      <c r="BJ194" s="1">
        <v>0</v>
      </c>
      <c r="BK194" s="1">
        <v>0</v>
      </c>
      <c r="BL194" s="1">
        <v>1</v>
      </c>
      <c r="BM194" s="1">
        <v>0</v>
      </c>
      <c r="BN194" s="1">
        <v>0</v>
      </c>
      <c r="BO194" s="1">
        <v>0</v>
      </c>
      <c r="BP194" s="1">
        <v>0</v>
      </c>
      <c r="BQ194" s="2" t="str">
        <f>HYPERLINK("http://www.d20pfsrd.com/magic/all-spells/e/eyebite","Eyebite")</f>
        <v>Eyebite</v>
      </c>
      <c r="BR194" s="1">
        <v>193</v>
      </c>
      <c r="BS194" s="1" t="s">
        <v>104</v>
      </c>
      <c r="BT194" s="1" t="s">
        <v>1468</v>
      </c>
      <c r="BX194" s="1">
        <v>0</v>
      </c>
      <c r="BY194" s="1" t="s">
        <v>104</v>
      </c>
      <c r="BZ194" s="1" t="s">
        <v>104</v>
      </c>
      <c r="CA194" s="1" t="s">
        <v>104</v>
      </c>
      <c r="CB194" s="1" t="s">
        <v>104</v>
      </c>
      <c r="CC194" s="1">
        <v>6</v>
      </c>
      <c r="CD194" s="1" t="s">
        <v>104</v>
      </c>
      <c r="CE194" s="1">
        <v>6</v>
      </c>
      <c r="CF194" s="1" t="s">
        <v>104</v>
      </c>
      <c r="CG194" s="1" t="s">
        <v>104</v>
      </c>
      <c r="CH194" s="1" t="s">
        <v>104</v>
      </c>
      <c r="CJ194" s="1">
        <v>0</v>
      </c>
      <c r="CK194" s="1">
        <v>0</v>
      </c>
      <c r="CL194" s="1">
        <v>0</v>
      </c>
      <c r="CM194" s="1" t="s">
        <v>104</v>
      </c>
    </row>
    <row r="195" spans="1:91" ht="14.25" customHeight="1" x14ac:dyDescent="0.3">
      <c r="A195" s="1" t="s">
        <v>1469</v>
      </c>
      <c r="B195" s="1" t="s">
        <v>137</v>
      </c>
      <c r="E195" s="1" t="s">
        <v>1470</v>
      </c>
      <c r="F195" s="1" t="s">
        <v>145</v>
      </c>
      <c r="G195" s="1" t="s">
        <v>1471</v>
      </c>
      <c r="H195" s="1">
        <v>0</v>
      </c>
      <c r="I195" s="1" t="s">
        <v>117</v>
      </c>
      <c r="L195" s="1" t="s">
        <v>1472</v>
      </c>
      <c r="M195" s="1" t="s">
        <v>119</v>
      </c>
      <c r="N195" s="1">
        <v>0</v>
      </c>
      <c r="O195" s="1">
        <v>0</v>
      </c>
      <c r="P195" s="1" t="s">
        <v>100</v>
      </c>
      <c r="Q195" s="1" t="s">
        <v>101</v>
      </c>
      <c r="R195" s="1" t="s">
        <v>1473</v>
      </c>
      <c r="S195" s="1" t="s">
        <v>103</v>
      </c>
      <c r="T195" s="1">
        <v>1</v>
      </c>
      <c r="U195" s="1">
        <v>1</v>
      </c>
      <c r="V195" s="1">
        <v>1</v>
      </c>
      <c r="W195" s="1">
        <v>0</v>
      </c>
      <c r="X195" s="1">
        <v>0</v>
      </c>
      <c r="Y195" s="1">
        <v>5</v>
      </c>
      <c r="Z195" s="1">
        <v>5</v>
      </c>
      <c r="AA195" s="1" t="s">
        <v>104</v>
      </c>
      <c r="AB195" s="1" t="s">
        <v>104</v>
      </c>
      <c r="AC195" s="1" t="s">
        <v>104</v>
      </c>
      <c r="AD195" s="1" t="s">
        <v>104</v>
      </c>
      <c r="AE195" s="1" t="s">
        <v>104</v>
      </c>
      <c r="AF195" s="1" t="s">
        <v>104</v>
      </c>
      <c r="AG195" s="1" t="s">
        <v>104</v>
      </c>
      <c r="AH195" s="1" t="s">
        <v>104</v>
      </c>
      <c r="AI195" s="1" t="s">
        <v>104</v>
      </c>
      <c r="AJ195" s="1" t="s">
        <v>104</v>
      </c>
      <c r="AK195" s="1" t="s">
        <v>104</v>
      </c>
      <c r="AL195" s="1" t="s">
        <v>104</v>
      </c>
      <c r="AM195" s="1" t="s">
        <v>104</v>
      </c>
      <c r="AO195" s="1">
        <v>5</v>
      </c>
      <c r="AP195" s="1" t="s">
        <v>1474</v>
      </c>
      <c r="AQ195" s="1" t="s">
        <v>1475</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2" t="str">
        <f>HYPERLINK("http://www.d20pfsrd.com/magic/all-spells/f/fabricate","Fabricate")</f>
        <v>Fabricate</v>
      </c>
      <c r="BR195" s="1">
        <v>194</v>
      </c>
      <c r="BS195" s="1" t="s">
        <v>104</v>
      </c>
      <c r="BT195" s="1" t="s">
        <v>1476</v>
      </c>
      <c r="BX195" s="1">
        <v>0</v>
      </c>
      <c r="BY195" s="1" t="s">
        <v>104</v>
      </c>
      <c r="BZ195" s="1" t="s">
        <v>104</v>
      </c>
      <c r="CA195" s="1">
        <v>5</v>
      </c>
      <c r="CB195" s="1" t="s">
        <v>104</v>
      </c>
      <c r="CC195" s="1" t="s">
        <v>104</v>
      </c>
      <c r="CD195" s="1">
        <v>5</v>
      </c>
      <c r="CE195" s="1" t="s">
        <v>104</v>
      </c>
      <c r="CF195" s="1" t="s">
        <v>104</v>
      </c>
      <c r="CG195" s="1" t="s">
        <v>104</v>
      </c>
      <c r="CH195" s="1" t="s">
        <v>104</v>
      </c>
      <c r="CJ195" s="1">
        <v>0</v>
      </c>
      <c r="CK195" s="1">
        <v>0</v>
      </c>
      <c r="CL195" s="1">
        <v>0</v>
      </c>
      <c r="CM195" s="1" t="s">
        <v>104</v>
      </c>
    </row>
    <row r="196" spans="1:91" ht="14.25" customHeight="1" x14ac:dyDescent="0.3">
      <c r="A196" s="1" t="s">
        <v>1477</v>
      </c>
      <c r="B196" s="1" t="s">
        <v>434</v>
      </c>
      <c r="D196" s="1" t="s">
        <v>61</v>
      </c>
      <c r="E196" s="1" t="s">
        <v>1478</v>
      </c>
      <c r="F196" s="1" t="s">
        <v>95</v>
      </c>
      <c r="G196" s="1" t="s">
        <v>127</v>
      </c>
      <c r="H196" s="1">
        <v>0</v>
      </c>
      <c r="I196" s="1" t="s">
        <v>97</v>
      </c>
      <c r="J196" s="1" t="s">
        <v>1479</v>
      </c>
      <c r="M196" s="1" t="s">
        <v>437</v>
      </c>
      <c r="N196" s="1">
        <v>1</v>
      </c>
      <c r="O196" s="1">
        <v>0</v>
      </c>
      <c r="P196" s="1" t="s">
        <v>100</v>
      </c>
      <c r="Q196" s="1" t="s">
        <v>184</v>
      </c>
      <c r="R196" s="1" t="s">
        <v>1480</v>
      </c>
      <c r="S196" s="1" t="s">
        <v>103</v>
      </c>
      <c r="T196" s="1">
        <v>1</v>
      </c>
      <c r="U196" s="1">
        <v>1</v>
      </c>
      <c r="V196" s="1">
        <v>0</v>
      </c>
      <c r="W196" s="1">
        <v>0</v>
      </c>
      <c r="X196" s="1">
        <v>1</v>
      </c>
      <c r="Y196" s="1" t="s">
        <v>104</v>
      </c>
      <c r="Z196" s="1" t="s">
        <v>104</v>
      </c>
      <c r="AA196" s="1" t="s">
        <v>104</v>
      </c>
      <c r="AB196" s="1">
        <v>1</v>
      </c>
      <c r="AC196" s="1" t="s">
        <v>104</v>
      </c>
      <c r="AD196" s="1" t="s">
        <v>104</v>
      </c>
      <c r="AE196" s="1" t="s">
        <v>104</v>
      </c>
      <c r="AF196" s="1" t="s">
        <v>104</v>
      </c>
      <c r="AG196" s="1" t="s">
        <v>104</v>
      </c>
      <c r="AH196" s="1" t="s">
        <v>104</v>
      </c>
      <c r="AI196" s="1" t="s">
        <v>104</v>
      </c>
      <c r="AJ196" s="1" t="s">
        <v>104</v>
      </c>
      <c r="AK196" s="1" t="s">
        <v>104</v>
      </c>
      <c r="AL196" s="1" t="s">
        <v>104</v>
      </c>
      <c r="AM196" s="1" t="s">
        <v>104</v>
      </c>
      <c r="AO196" s="1">
        <v>1</v>
      </c>
      <c r="AP196" s="1" t="s">
        <v>1481</v>
      </c>
      <c r="AQ196" s="1" t="s">
        <v>1482</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1</v>
      </c>
      <c r="BK196" s="1">
        <v>0</v>
      </c>
      <c r="BL196" s="1">
        <v>0</v>
      </c>
      <c r="BM196" s="1">
        <v>0</v>
      </c>
      <c r="BN196" s="1">
        <v>0</v>
      </c>
      <c r="BO196" s="1">
        <v>0</v>
      </c>
      <c r="BP196" s="1">
        <v>0</v>
      </c>
      <c r="BQ196" s="2" t="str">
        <f>HYPERLINK("http://www.d20pfsrd.com/magic/all-spells/f/faerie-fire","Faerie Fire")</f>
        <v>Faerie Fire</v>
      </c>
      <c r="BR196" s="1">
        <v>195</v>
      </c>
      <c r="BS196" s="1" t="s">
        <v>104</v>
      </c>
      <c r="BU196" s="1" t="s">
        <v>1483</v>
      </c>
      <c r="BV196" s="1" t="s">
        <v>1484</v>
      </c>
      <c r="BW196" s="1" t="s">
        <v>1485</v>
      </c>
      <c r="BX196" s="1">
        <v>1</v>
      </c>
      <c r="BY196" s="1" t="s">
        <v>104</v>
      </c>
      <c r="BZ196" s="1" t="s">
        <v>104</v>
      </c>
      <c r="CA196" s="1" t="s">
        <v>104</v>
      </c>
      <c r="CB196" s="1" t="s">
        <v>104</v>
      </c>
      <c r="CC196" s="1">
        <v>1</v>
      </c>
      <c r="CD196" s="1" t="s">
        <v>104</v>
      </c>
      <c r="CE196" s="1" t="s">
        <v>104</v>
      </c>
      <c r="CF196" s="1" t="s">
        <v>104</v>
      </c>
      <c r="CG196" s="1" t="s">
        <v>104</v>
      </c>
      <c r="CH196" s="1">
        <v>1</v>
      </c>
      <c r="CJ196" s="1">
        <v>0</v>
      </c>
      <c r="CK196" s="1">
        <v>0</v>
      </c>
      <c r="CL196" s="1">
        <v>0</v>
      </c>
      <c r="CM196" s="1" t="s">
        <v>104</v>
      </c>
    </row>
    <row r="197" spans="1:91" ht="14.25" customHeight="1" x14ac:dyDescent="0.3">
      <c r="A197" s="1" t="s">
        <v>1486</v>
      </c>
      <c r="B197" s="1" t="s">
        <v>216</v>
      </c>
      <c r="E197" s="1" t="s">
        <v>1487</v>
      </c>
      <c r="F197" s="1" t="s">
        <v>95</v>
      </c>
      <c r="G197" s="1" t="s">
        <v>1488</v>
      </c>
      <c r="H197" s="1">
        <v>0</v>
      </c>
      <c r="I197" s="1" t="s">
        <v>157</v>
      </c>
      <c r="L197" s="1" t="s">
        <v>158</v>
      </c>
      <c r="M197" s="1" t="s">
        <v>1489</v>
      </c>
      <c r="N197" s="1">
        <v>0</v>
      </c>
      <c r="O197" s="1">
        <v>0</v>
      </c>
      <c r="R197" s="1" t="s">
        <v>1490</v>
      </c>
      <c r="S197" s="1" t="s">
        <v>103</v>
      </c>
      <c r="T197" s="1">
        <v>1</v>
      </c>
      <c r="U197" s="1">
        <v>1</v>
      </c>
      <c r="V197" s="1">
        <v>1</v>
      </c>
      <c r="W197" s="1">
        <v>0</v>
      </c>
      <c r="X197" s="1">
        <v>0</v>
      </c>
      <c r="Y197" s="1">
        <v>2</v>
      </c>
      <c r="Z197" s="1">
        <v>2</v>
      </c>
      <c r="AA197" s="1" t="s">
        <v>104</v>
      </c>
      <c r="AB197" s="1" t="s">
        <v>104</v>
      </c>
      <c r="AC197" s="1" t="s">
        <v>104</v>
      </c>
      <c r="AD197" s="1" t="s">
        <v>104</v>
      </c>
      <c r="AE197" s="1" t="s">
        <v>104</v>
      </c>
      <c r="AF197" s="1">
        <v>2</v>
      </c>
      <c r="AG197" s="1" t="s">
        <v>104</v>
      </c>
      <c r="AH197" s="1">
        <v>2</v>
      </c>
      <c r="AI197" s="1" t="s">
        <v>104</v>
      </c>
      <c r="AJ197" s="1" t="s">
        <v>104</v>
      </c>
      <c r="AK197" s="1" t="s">
        <v>104</v>
      </c>
      <c r="AL197" s="1" t="s">
        <v>104</v>
      </c>
      <c r="AM197" s="1" t="s">
        <v>104</v>
      </c>
      <c r="AO197" s="1">
        <v>2</v>
      </c>
      <c r="AQ197" s="1" t="s">
        <v>1491</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2" t="str">
        <f>HYPERLINK("http://www.d20pfsrd.com/magic/all-spells/f/false-life","False Life")</f>
        <v>False Life</v>
      </c>
      <c r="BR197" s="1">
        <v>196</v>
      </c>
      <c r="BS197" s="1" t="s">
        <v>104</v>
      </c>
      <c r="BT197" s="1" t="s">
        <v>1492</v>
      </c>
      <c r="BX197" s="1">
        <v>0</v>
      </c>
      <c r="BY197" s="1">
        <v>2</v>
      </c>
      <c r="BZ197" s="1">
        <v>2</v>
      </c>
      <c r="CA197" s="1">
        <v>2</v>
      </c>
      <c r="CB197" s="1">
        <v>2</v>
      </c>
      <c r="CC197" s="1">
        <v>2</v>
      </c>
      <c r="CD197" s="1">
        <v>2</v>
      </c>
      <c r="CE197" s="1">
        <v>2</v>
      </c>
      <c r="CF197" s="1" t="s">
        <v>104</v>
      </c>
      <c r="CG197" s="1" t="s">
        <v>104</v>
      </c>
      <c r="CH197" s="1" t="s">
        <v>104</v>
      </c>
      <c r="CJ197" s="1">
        <v>0</v>
      </c>
      <c r="CK197" s="1">
        <v>0</v>
      </c>
      <c r="CL197" s="1">
        <v>0</v>
      </c>
      <c r="CM197" s="1" t="s">
        <v>104</v>
      </c>
    </row>
    <row r="198" spans="1:91" ht="14.25" customHeight="1" x14ac:dyDescent="0.3">
      <c r="A198" s="1" t="s">
        <v>1493</v>
      </c>
      <c r="B198" s="1" t="s">
        <v>507</v>
      </c>
      <c r="C198" s="1" t="s">
        <v>508</v>
      </c>
      <c r="E198" s="1" t="s">
        <v>1494</v>
      </c>
      <c r="F198" s="1" t="s">
        <v>95</v>
      </c>
      <c r="G198" s="1" t="s">
        <v>1495</v>
      </c>
      <c r="H198" s="1">
        <v>1</v>
      </c>
      <c r="I198" s="1" t="s">
        <v>128</v>
      </c>
      <c r="J198" s="1" t="s">
        <v>1496</v>
      </c>
      <c r="M198" s="1" t="s">
        <v>201</v>
      </c>
      <c r="N198" s="1">
        <v>1</v>
      </c>
      <c r="O198" s="1">
        <v>0</v>
      </c>
      <c r="P198" s="1" t="s">
        <v>100</v>
      </c>
      <c r="Q198" s="1" t="s">
        <v>101</v>
      </c>
      <c r="R198" s="1" t="s">
        <v>1497</v>
      </c>
      <c r="S198" s="1" t="s">
        <v>103</v>
      </c>
      <c r="T198" s="1">
        <v>1</v>
      </c>
      <c r="U198" s="1">
        <v>1</v>
      </c>
      <c r="V198" s="1">
        <v>1</v>
      </c>
      <c r="W198" s="1">
        <v>0</v>
      </c>
      <c r="X198" s="1">
        <v>0</v>
      </c>
      <c r="Y198" s="1">
        <v>5</v>
      </c>
      <c r="Z198" s="1">
        <v>5</v>
      </c>
      <c r="AA198" s="1" t="s">
        <v>104</v>
      </c>
      <c r="AB198" s="1" t="s">
        <v>104</v>
      </c>
      <c r="AC198" s="1" t="s">
        <v>104</v>
      </c>
      <c r="AD198" s="1">
        <v>5</v>
      </c>
      <c r="AE198" s="1" t="s">
        <v>104</v>
      </c>
      <c r="AF198" s="1" t="s">
        <v>104</v>
      </c>
      <c r="AG198" s="1" t="s">
        <v>104</v>
      </c>
      <c r="AH198" s="1" t="s">
        <v>104</v>
      </c>
      <c r="AI198" s="1" t="s">
        <v>104</v>
      </c>
      <c r="AJ198" s="1" t="s">
        <v>104</v>
      </c>
      <c r="AK198" s="1" t="s">
        <v>104</v>
      </c>
      <c r="AL198" s="1" t="s">
        <v>104</v>
      </c>
      <c r="AM198" s="1" t="s">
        <v>104</v>
      </c>
      <c r="AO198" s="1">
        <v>5</v>
      </c>
      <c r="AP198" s="1" t="s">
        <v>1498</v>
      </c>
      <c r="AQ198" s="1" t="s">
        <v>1499</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2" t="str">
        <f>HYPERLINK("http://www.d20pfsrd.com/magic/all-spells/f/false-vision","False Vision")</f>
        <v>False Vision</v>
      </c>
      <c r="BR198" s="1">
        <v>197</v>
      </c>
      <c r="BS198" s="1">
        <v>250</v>
      </c>
      <c r="BX198" s="1">
        <v>0</v>
      </c>
      <c r="BY198" s="1" t="s">
        <v>104</v>
      </c>
      <c r="BZ198" s="1" t="s">
        <v>104</v>
      </c>
      <c r="CA198" s="1">
        <v>5</v>
      </c>
      <c r="CB198" s="1">
        <v>4</v>
      </c>
      <c r="CC198" s="1">
        <v>5</v>
      </c>
      <c r="CD198" s="1">
        <v>5</v>
      </c>
      <c r="CE198" s="1">
        <v>5</v>
      </c>
      <c r="CF198" s="1" t="s">
        <v>104</v>
      </c>
      <c r="CG198" s="1" t="s">
        <v>104</v>
      </c>
      <c r="CH198" s="1" t="s">
        <v>104</v>
      </c>
      <c r="CJ198" s="1">
        <v>0</v>
      </c>
      <c r="CK198" s="1">
        <v>0</v>
      </c>
      <c r="CL198" s="1">
        <v>0</v>
      </c>
      <c r="CM198" s="1" t="s">
        <v>104</v>
      </c>
    </row>
    <row r="199" spans="1:91" ht="14.25" customHeight="1" x14ac:dyDescent="0.3">
      <c r="A199" s="1" t="s">
        <v>1500</v>
      </c>
      <c r="B199" s="1" t="s">
        <v>137</v>
      </c>
      <c r="E199" s="1" t="s">
        <v>1501</v>
      </c>
      <c r="F199" s="1" t="s">
        <v>1502</v>
      </c>
      <c r="G199" s="1" t="s">
        <v>237</v>
      </c>
      <c r="H199" s="1">
        <v>0</v>
      </c>
      <c r="I199" s="1" t="s">
        <v>117</v>
      </c>
      <c r="L199" s="1" t="s">
        <v>1503</v>
      </c>
      <c r="M199" s="1" t="s">
        <v>1504</v>
      </c>
      <c r="N199" s="1">
        <v>0</v>
      </c>
      <c r="O199" s="1">
        <v>0</v>
      </c>
      <c r="P199" s="1" t="s">
        <v>1505</v>
      </c>
      <c r="Q199" s="1" t="s">
        <v>472</v>
      </c>
      <c r="R199" s="1" t="s">
        <v>1506</v>
      </c>
      <c r="S199" s="1" t="s">
        <v>103</v>
      </c>
      <c r="T199" s="1">
        <v>1</v>
      </c>
      <c r="U199" s="1">
        <v>0</v>
      </c>
      <c r="V199" s="1">
        <v>0</v>
      </c>
      <c r="W199" s="1">
        <v>0</v>
      </c>
      <c r="X199" s="1">
        <v>0</v>
      </c>
      <c r="Y199" s="1">
        <v>1</v>
      </c>
      <c r="Z199" s="1">
        <v>1</v>
      </c>
      <c r="AA199" s="1" t="s">
        <v>104</v>
      </c>
      <c r="AB199" s="1" t="s">
        <v>104</v>
      </c>
      <c r="AC199" s="1" t="s">
        <v>104</v>
      </c>
      <c r="AD199" s="1">
        <v>1</v>
      </c>
      <c r="AE199" s="1" t="s">
        <v>104</v>
      </c>
      <c r="AF199" s="1" t="s">
        <v>104</v>
      </c>
      <c r="AG199" s="1">
        <v>1</v>
      </c>
      <c r="AH199" s="1" t="s">
        <v>104</v>
      </c>
      <c r="AI199" s="1" t="s">
        <v>104</v>
      </c>
      <c r="AJ199" s="1" t="s">
        <v>104</v>
      </c>
      <c r="AK199" s="1" t="s">
        <v>104</v>
      </c>
      <c r="AL199" s="1">
        <v>1</v>
      </c>
      <c r="AM199" s="1" t="s">
        <v>104</v>
      </c>
      <c r="AO199" s="1">
        <v>1</v>
      </c>
      <c r="AP199" s="1" t="s">
        <v>1507</v>
      </c>
      <c r="AQ199" s="1" t="s">
        <v>1508</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2" t="str">
        <f>HYPERLINK("http://www.d20pfsrd.com/magic/all-spells/f/feather-fall","Feather Fall")</f>
        <v>Feather Fall</v>
      </c>
      <c r="BR199" s="1">
        <v>198</v>
      </c>
      <c r="BS199" s="1" t="s">
        <v>104</v>
      </c>
      <c r="BV199" s="1" t="s">
        <v>1509</v>
      </c>
      <c r="BW199" s="1" t="s">
        <v>1510</v>
      </c>
      <c r="BX199" s="1">
        <v>1</v>
      </c>
      <c r="BY199" s="1">
        <v>1</v>
      </c>
      <c r="BZ199" s="1" t="s">
        <v>104</v>
      </c>
      <c r="CA199" s="1">
        <v>1</v>
      </c>
      <c r="CB199" s="1" t="s">
        <v>104</v>
      </c>
      <c r="CC199" s="1" t="s">
        <v>104</v>
      </c>
      <c r="CD199" s="1">
        <v>1</v>
      </c>
      <c r="CE199" s="1">
        <v>1</v>
      </c>
      <c r="CF199" s="1" t="s">
        <v>104</v>
      </c>
      <c r="CG199" s="1" t="s">
        <v>104</v>
      </c>
      <c r="CH199" s="1" t="s">
        <v>104</v>
      </c>
      <c r="CJ199" s="1">
        <v>0</v>
      </c>
      <c r="CK199" s="1">
        <v>0</v>
      </c>
      <c r="CL199" s="1">
        <v>0</v>
      </c>
      <c r="CM199" s="1">
        <v>1</v>
      </c>
    </row>
    <row r="200" spans="1:91" ht="14.25" customHeight="1" x14ac:dyDescent="0.3">
      <c r="A200" s="1" t="s">
        <v>1511</v>
      </c>
      <c r="B200" s="1" t="s">
        <v>123</v>
      </c>
      <c r="C200" s="1" t="s">
        <v>124</v>
      </c>
      <c r="D200" s="1" t="s">
        <v>125</v>
      </c>
      <c r="E200" s="1" t="s">
        <v>1512</v>
      </c>
      <c r="F200" s="1" t="s">
        <v>95</v>
      </c>
      <c r="G200" s="1" t="s">
        <v>1513</v>
      </c>
      <c r="H200" s="1">
        <v>0</v>
      </c>
      <c r="I200" s="1" t="s">
        <v>109</v>
      </c>
      <c r="L200" s="1" t="s">
        <v>1065</v>
      </c>
      <c r="M200" s="1" t="s">
        <v>119</v>
      </c>
      <c r="N200" s="1">
        <v>0</v>
      </c>
      <c r="O200" s="1">
        <v>0</v>
      </c>
      <c r="P200" s="1" t="s">
        <v>418</v>
      </c>
      <c r="Q200" s="1" t="s">
        <v>184</v>
      </c>
      <c r="R200" s="1" t="s">
        <v>1514</v>
      </c>
      <c r="S200" s="1" t="s">
        <v>103</v>
      </c>
      <c r="T200" s="1">
        <v>1</v>
      </c>
      <c r="U200" s="1">
        <v>1</v>
      </c>
      <c r="V200" s="1">
        <v>1</v>
      </c>
      <c r="W200" s="1">
        <v>0</v>
      </c>
      <c r="X200" s="1">
        <v>0</v>
      </c>
      <c r="Y200" s="1">
        <v>5</v>
      </c>
      <c r="Z200" s="1">
        <v>5</v>
      </c>
      <c r="AA200" s="1" t="s">
        <v>104</v>
      </c>
      <c r="AB200" s="1" t="s">
        <v>104</v>
      </c>
      <c r="AC200" s="1" t="s">
        <v>104</v>
      </c>
      <c r="AD200" s="1" t="s">
        <v>104</v>
      </c>
      <c r="AE200" s="1" t="s">
        <v>104</v>
      </c>
      <c r="AF200" s="1" t="s">
        <v>104</v>
      </c>
      <c r="AG200" s="1" t="s">
        <v>104</v>
      </c>
      <c r="AH200" s="1">
        <v>5</v>
      </c>
      <c r="AI200" s="1" t="s">
        <v>104</v>
      </c>
      <c r="AJ200" s="1" t="s">
        <v>104</v>
      </c>
      <c r="AK200" s="1" t="s">
        <v>104</v>
      </c>
      <c r="AL200" s="1" t="s">
        <v>104</v>
      </c>
      <c r="AM200" s="1" t="s">
        <v>104</v>
      </c>
      <c r="AO200" s="1">
        <v>5</v>
      </c>
      <c r="AQ200" s="1" t="s">
        <v>1515</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1</v>
      </c>
      <c r="BL200" s="1">
        <v>0</v>
      </c>
      <c r="BM200" s="1">
        <v>0</v>
      </c>
      <c r="BN200" s="1">
        <v>0</v>
      </c>
      <c r="BO200" s="1">
        <v>0</v>
      </c>
      <c r="BP200" s="1">
        <v>0</v>
      </c>
      <c r="BQ200" s="2" t="str">
        <f>HYPERLINK("http://www.d20pfsrd.com/magic/all-spells/f/feeblemind","Feeblemind")</f>
        <v>Feeblemind</v>
      </c>
      <c r="BR200" s="1">
        <v>199</v>
      </c>
      <c r="BS200" s="1" t="s">
        <v>104</v>
      </c>
      <c r="BT200" s="1" t="s">
        <v>1516</v>
      </c>
      <c r="BX200" s="1">
        <v>0</v>
      </c>
      <c r="BY200" s="1" t="s">
        <v>104</v>
      </c>
      <c r="BZ200" s="1" t="s">
        <v>104</v>
      </c>
      <c r="CA200" s="1">
        <v>5</v>
      </c>
      <c r="CB200" s="1">
        <v>4</v>
      </c>
      <c r="CC200" s="1">
        <v>5</v>
      </c>
      <c r="CD200" s="1" t="s">
        <v>104</v>
      </c>
      <c r="CE200" s="1">
        <v>5</v>
      </c>
      <c r="CF200" s="1" t="s">
        <v>104</v>
      </c>
      <c r="CG200" s="1" t="s">
        <v>104</v>
      </c>
      <c r="CH200" s="1" t="s">
        <v>104</v>
      </c>
      <c r="CJ200" s="1">
        <v>0</v>
      </c>
      <c r="CK200" s="1">
        <v>0</v>
      </c>
      <c r="CL200" s="1">
        <v>0</v>
      </c>
      <c r="CM200" s="1" t="s">
        <v>104</v>
      </c>
    </row>
    <row r="201" spans="1:91" ht="14.25" customHeight="1" x14ac:dyDescent="0.3">
      <c r="A201" s="1" t="s">
        <v>1517</v>
      </c>
      <c r="B201" s="1" t="s">
        <v>172</v>
      </c>
      <c r="E201" s="1" t="s">
        <v>1518</v>
      </c>
      <c r="F201" s="1" t="s">
        <v>1519</v>
      </c>
      <c r="G201" s="1" t="s">
        <v>1520</v>
      </c>
      <c r="H201" s="1">
        <v>0</v>
      </c>
      <c r="I201" s="1" t="s">
        <v>1521</v>
      </c>
      <c r="L201" s="1" t="s">
        <v>1522</v>
      </c>
      <c r="M201" s="1" t="s">
        <v>140</v>
      </c>
      <c r="N201" s="1">
        <v>0</v>
      </c>
      <c r="O201" s="1">
        <v>0</v>
      </c>
      <c r="P201" s="1" t="s">
        <v>1523</v>
      </c>
      <c r="Q201" s="1" t="s">
        <v>1524</v>
      </c>
      <c r="R201" s="1" t="s">
        <v>1525</v>
      </c>
      <c r="S201" s="1" t="s">
        <v>103</v>
      </c>
      <c r="T201" s="1">
        <v>1</v>
      </c>
      <c r="U201" s="1">
        <v>1</v>
      </c>
      <c r="V201" s="1">
        <v>0</v>
      </c>
      <c r="W201" s="1">
        <v>1</v>
      </c>
      <c r="X201" s="1">
        <v>0</v>
      </c>
      <c r="Y201" s="1" t="s">
        <v>104</v>
      </c>
      <c r="Z201" s="1" t="s">
        <v>104</v>
      </c>
      <c r="AA201" s="1">
        <v>6</v>
      </c>
      <c r="AB201" s="1">
        <v>6</v>
      </c>
      <c r="AC201" s="1" t="s">
        <v>104</v>
      </c>
      <c r="AD201" s="1">
        <v>6</v>
      </c>
      <c r="AE201" s="1" t="s">
        <v>104</v>
      </c>
      <c r="AF201" s="1" t="s">
        <v>104</v>
      </c>
      <c r="AG201" s="1" t="s">
        <v>104</v>
      </c>
      <c r="AH201" s="1">
        <v>6</v>
      </c>
      <c r="AI201" s="1">
        <v>6</v>
      </c>
      <c r="AJ201" s="1">
        <v>6</v>
      </c>
      <c r="AK201" s="1" t="s">
        <v>104</v>
      </c>
      <c r="AL201" s="1" t="s">
        <v>104</v>
      </c>
      <c r="AM201" s="1" t="s">
        <v>104</v>
      </c>
      <c r="AO201" s="1">
        <v>6</v>
      </c>
      <c r="AP201" s="1" t="s">
        <v>1526</v>
      </c>
      <c r="AQ201" s="1" t="s">
        <v>1527</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2" t="str">
        <f>HYPERLINK("http://www.d20pfsrd.com/magic/all-spells/f/find-the-path","Find the Path")</f>
        <v>Find the Path</v>
      </c>
      <c r="BR201" s="1">
        <v>200</v>
      </c>
      <c r="BS201" s="1" t="s">
        <v>104</v>
      </c>
      <c r="BX201" s="1">
        <v>0</v>
      </c>
      <c r="BY201" s="1" t="s">
        <v>104</v>
      </c>
      <c r="BZ201" s="1">
        <v>6</v>
      </c>
      <c r="CA201" s="1">
        <v>6</v>
      </c>
      <c r="CB201" s="1" t="s">
        <v>104</v>
      </c>
      <c r="CC201" s="1" t="s">
        <v>104</v>
      </c>
      <c r="CD201" s="1">
        <v>6</v>
      </c>
      <c r="CE201" s="1">
        <v>6</v>
      </c>
      <c r="CF201" s="1" t="s">
        <v>104</v>
      </c>
      <c r="CG201" s="1" t="s">
        <v>104</v>
      </c>
      <c r="CH201" s="1">
        <v>6</v>
      </c>
      <c r="CJ201" s="1">
        <v>0</v>
      </c>
      <c r="CK201" s="1">
        <v>0</v>
      </c>
      <c r="CL201" s="1">
        <v>0</v>
      </c>
      <c r="CM201" s="1" t="s">
        <v>104</v>
      </c>
    </row>
    <row r="202" spans="1:91" ht="14.25" customHeight="1" x14ac:dyDescent="0.3">
      <c r="A202" s="1" t="s">
        <v>1528</v>
      </c>
      <c r="B202" s="1" t="s">
        <v>172</v>
      </c>
      <c r="E202" s="1" t="s">
        <v>1529</v>
      </c>
      <c r="F202" s="1" t="s">
        <v>95</v>
      </c>
      <c r="G202" s="1" t="s">
        <v>116</v>
      </c>
      <c r="H202" s="1">
        <v>0</v>
      </c>
      <c r="I202" s="1" t="s">
        <v>157</v>
      </c>
      <c r="L202" s="1" t="s">
        <v>158</v>
      </c>
      <c r="M202" s="1" t="s">
        <v>130</v>
      </c>
      <c r="N202" s="1">
        <v>0</v>
      </c>
      <c r="O202" s="1">
        <v>0</v>
      </c>
      <c r="R202" s="1" t="s">
        <v>1530</v>
      </c>
      <c r="S202" s="1" t="s">
        <v>103</v>
      </c>
      <c r="T202" s="1">
        <v>1</v>
      </c>
      <c r="U202" s="1">
        <v>1</v>
      </c>
      <c r="V202" s="1">
        <v>0</v>
      </c>
      <c r="W202" s="1">
        <v>0</v>
      </c>
      <c r="X202" s="1">
        <v>0</v>
      </c>
      <c r="Y202" s="1" t="s">
        <v>104</v>
      </c>
      <c r="Z202" s="1" t="s">
        <v>104</v>
      </c>
      <c r="AA202" s="1">
        <v>2</v>
      </c>
      <c r="AB202" s="1" t="s">
        <v>104</v>
      </c>
      <c r="AC202" s="1" t="s">
        <v>104</v>
      </c>
      <c r="AD202" s="1" t="s">
        <v>104</v>
      </c>
      <c r="AE202" s="1" t="s">
        <v>104</v>
      </c>
      <c r="AF202" s="1" t="s">
        <v>104</v>
      </c>
      <c r="AG202" s="1" t="s">
        <v>104</v>
      </c>
      <c r="AH202" s="1">
        <v>2</v>
      </c>
      <c r="AI202" s="1">
        <v>2</v>
      </c>
      <c r="AJ202" s="1">
        <v>2</v>
      </c>
      <c r="AK202" s="1" t="s">
        <v>104</v>
      </c>
      <c r="AL202" s="1" t="s">
        <v>104</v>
      </c>
      <c r="AM202" s="1" t="s">
        <v>104</v>
      </c>
      <c r="AO202" s="1">
        <v>2</v>
      </c>
      <c r="AQ202" s="1" t="s">
        <v>1531</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2" t="str">
        <f>HYPERLINK("http://www.d20pfsrd.com/magic/all-spells/f/find-traps","Find Traps")</f>
        <v>Find Traps</v>
      </c>
      <c r="BR202" s="1">
        <v>201</v>
      </c>
      <c r="BS202" s="1" t="s">
        <v>104</v>
      </c>
      <c r="BX202" s="1">
        <v>0</v>
      </c>
      <c r="BY202" s="1" t="s">
        <v>104</v>
      </c>
      <c r="BZ202" s="1" t="s">
        <v>104</v>
      </c>
      <c r="CA202" s="1">
        <v>2</v>
      </c>
      <c r="CB202" s="1">
        <v>2</v>
      </c>
      <c r="CC202" s="1" t="s">
        <v>104</v>
      </c>
      <c r="CD202" s="1">
        <v>2</v>
      </c>
      <c r="CE202" s="1" t="s">
        <v>104</v>
      </c>
      <c r="CF202" s="1" t="s">
        <v>104</v>
      </c>
      <c r="CG202" s="1" t="s">
        <v>104</v>
      </c>
      <c r="CH202" s="1" t="s">
        <v>104</v>
      </c>
      <c r="CJ202" s="1">
        <v>0</v>
      </c>
      <c r="CK202" s="1">
        <v>0</v>
      </c>
      <c r="CL202" s="1">
        <v>0</v>
      </c>
      <c r="CM202" s="1" t="s">
        <v>104</v>
      </c>
    </row>
    <row r="203" spans="1:91" ht="14.25" customHeight="1" x14ac:dyDescent="0.3">
      <c r="A203" s="1" t="s">
        <v>1532</v>
      </c>
      <c r="B203" s="1" t="s">
        <v>216</v>
      </c>
      <c r="D203" s="1" t="s">
        <v>49</v>
      </c>
      <c r="E203" s="1" t="s">
        <v>1533</v>
      </c>
      <c r="F203" s="1" t="s">
        <v>95</v>
      </c>
      <c r="G203" s="1" t="s">
        <v>116</v>
      </c>
      <c r="H203" s="1">
        <v>0</v>
      </c>
      <c r="I203" s="1" t="s">
        <v>117</v>
      </c>
      <c r="L203" s="1" t="s">
        <v>1065</v>
      </c>
      <c r="M203" s="1" t="s">
        <v>119</v>
      </c>
      <c r="N203" s="1">
        <v>0</v>
      </c>
      <c r="O203" s="1">
        <v>0</v>
      </c>
      <c r="P203" s="1" t="s">
        <v>1080</v>
      </c>
      <c r="Q203" s="1" t="s">
        <v>184</v>
      </c>
      <c r="R203" s="1" t="s">
        <v>1534</v>
      </c>
      <c r="S203" s="1" t="s">
        <v>103</v>
      </c>
      <c r="T203" s="1">
        <v>1</v>
      </c>
      <c r="U203" s="1">
        <v>1</v>
      </c>
      <c r="V203" s="1">
        <v>0</v>
      </c>
      <c r="W203" s="1">
        <v>0</v>
      </c>
      <c r="X203" s="1">
        <v>0</v>
      </c>
      <c r="Y203" s="1">
        <v>7</v>
      </c>
      <c r="Z203" s="1">
        <v>7</v>
      </c>
      <c r="AA203" s="1" t="s">
        <v>104</v>
      </c>
      <c r="AB203" s="1">
        <v>8</v>
      </c>
      <c r="AC203" s="1" t="s">
        <v>104</v>
      </c>
      <c r="AD203" s="1" t="s">
        <v>104</v>
      </c>
      <c r="AE203" s="1" t="s">
        <v>104</v>
      </c>
      <c r="AF203" s="1" t="s">
        <v>104</v>
      </c>
      <c r="AG203" s="1" t="s">
        <v>104</v>
      </c>
      <c r="AH203" s="1" t="s">
        <v>104</v>
      </c>
      <c r="AI203" s="1" t="s">
        <v>104</v>
      </c>
      <c r="AJ203" s="1" t="s">
        <v>104</v>
      </c>
      <c r="AK203" s="1" t="s">
        <v>104</v>
      </c>
      <c r="AL203" s="1" t="s">
        <v>104</v>
      </c>
      <c r="AM203" s="1" t="s">
        <v>104</v>
      </c>
      <c r="AO203" s="1">
        <v>7</v>
      </c>
      <c r="AQ203" s="1" t="s">
        <v>1535</v>
      </c>
      <c r="AR203" s="1">
        <v>0</v>
      </c>
      <c r="AS203" s="1">
        <v>0</v>
      </c>
      <c r="AT203" s="1">
        <v>0</v>
      </c>
      <c r="AU203" s="1">
        <v>0</v>
      </c>
      <c r="AV203" s="1">
        <v>0</v>
      </c>
      <c r="AW203" s="1">
        <v>0</v>
      </c>
      <c r="AX203" s="1">
        <v>1</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2" t="str">
        <f>HYPERLINK("http://www.d20pfsrd.com/magic/all-spells/f/finger-of-death","Finger of Death")</f>
        <v>Finger of Death</v>
      </c>
      <c r="BR203" s="1">
        <v>202</v>
      </c>
      <c r="BS203" s="1" t="s">
        <v>104</v>
      </c>
      <c r="BT203" s="1" t="s">
        <v>1536</v>
      </c>
      <c r="BU203" s="1" t="s">
        <v>1537</v>
      </c>
      <c r="BV203" s="1" t="s">
        <v>1538</v>
      </c>
      <c r="BX203" s="1">
        <v>1</v>
      </c>
      <c r="BY203" s="1" t="s">
        <v>104</v>
      </c>
      <c r="BZ203" s="1" t="s">
        <v>104</v>
      </c>
      <c r="CA203" s="1">
        <v>7</v>
      </c>
      <c r="CB203" s="1" t="s">
        <v>104</v>
      </c>
      <c r="CC203" s="1" t="s">
        <v>104</v>
      </c>
      <c r="CD203" s="1" t="s">
        <v>104</v>
      </c>
      <c r="CE203" s="1" t="s">
        <v>104</v>
      </c>
      <c r="CF203" s="1" t="s">
        <v>104</v>
      </c>
      <c r="CG203" s="1" t="s">
        <v>104</v>
      </c>
      <c r="CH203" s="1" t="s">
        <v>104</v>
      </c>
      <c r="CJ203" s="1">
        <v>0</v>
      </c>
      <c r="CK203" s="1">
        <v>0</v>
      </c>
      <c r="CL203" s="1">
        <v>0</v>
      </c>
      <c r="CM203" s="1" t="s">
        <v>104</v>
      </c>
    </row>
    <row r="204" spans="1:91" ht="14.25" customHeight="1" x14ac:dyDescent="0.3">
      <c r="A204" s="1" t="s">
        <v>1539</v>
      </c>
      <c r="B204" s="1" t="s">
        <v>434</v>
      </c>
      <c r="D204" s="1" t="s">
        <v>1540</v>
      </c>
      <c r="E204" s="1" t="s">
        <v>1541</v>
      </c>
      <c r="F204" s="1" t="s">
        <v>95</v>
      </c>
      <c r="G204" s="1" t="s">
        <v>1542</v>
      </c>
      <c r="H204" s="1">
        <v>0</v>
      </c>
      <c r="I204" s="1" t="s">
        <v>157</v>
      </c>
      <c r="L204" s="1" t="s">
        <v>158</v>
      </c>
      <c r="M204" s="1" t="s">
        <v>426</v>
      </c>
      <c r="N204" s="1">
        <v>1</v>
      </c>
      <c r="O204" s="1">
        <v>0</v>
      </c>
      <c r="R204" s="1" t="s">
        <v>1543</v>
      </c>
      <c r="S204" s="1" t="s">
        <v>103</v>
      </c>
      <c r="T204" s="1">
        <v>1</v>
      </c>
      <c r="U204" s="1">
        <v>1</v>
      </c>
      <c r="V204" s="1">
        <v>1</v>
      </c>
      <c r="W204" s="1">
        <v>0</v>
      </c>
      <c r="X204" s="1">
        <v>0</v>
      </c>
      <c r="Y204" s="1">
        <v>4</v>
      </c>
      <c r="Z204" s="1">
        <v>4</v>
      </c>
      <c r="AA204" s="1" t="s">
        <v>104</v>
      </c>
      <c r="AB204" s="1" t="s">
        <v>104</v>
      </c>
      <c r="AC204" s="1" t="s">
        <v>104</v>
      </c>
      <c r="AD204" s="1" t="s">
        <v>104</v>
      </c>
      <c r="AE204" s="1" t="s">
        <v>104</v>
      </c>
      <c r="AF204" s="1">
        <v>4</v>
      </c>
      <c r="AG204" s="1">
        <v>3</v>
      </c>
      <c r="AH204" s="1" t="s">
        <v>104</v>
      </c>
      <c r="AI204" s="1" t="s">
        <v>104</v>
      </c>
      <c r="AJ204" s="1" t="s">
        <v>104</v>
      </c>
      <c r="AK204" s="1" t="s">
        <v>104</v>
      </c>
      <c r="AL204" s="1">
        <v>4</v>
      </c>
      <c r="AM204" s="1" t="s">
        <v>104</v>
      </c>
      <c r="AO204" s="1">
        <v>4</v>
      </c>
      <c r="AP204" s="1" t="s">
        <v>1544</v>
      </c>
      <c r="AQ204" s="1" t="s">
        <v>1545</v>
      </c>
      <c r="AR204" s="1">
        <v>0</v>
      </c>
      <c r="AS204" s="1">
        <v>0</v>
      </c>
      <c r="AT204" s="1">
        <v>0</v>
      </c>
      <c r="AU204" s="1">
        <v>1</v>
      </c>
      <c r="AV204" s="1">
        <v>0</v>
      </c>
      <c r="AW204" s="1">
        <v>0</v>
      </c>
      <c r="AX204" s="1">
        <v>0</v>
      </c>
      <c r="AY204" s="1">
        <v>0</v>
      </c>
      <c r="AZ204" s="1">
        <v>0</v>
      </c>
      <c r="BA204" s="1">
        <v>0</v>
      </c>
      <c r="BB204" s="1">
        <v>0</v>
      </c>
      <c r="BC204" s="1">
        <v>0</v>
      </c>
      <c r="BD204" s="1">
        <v>0</v>
      </c>
      <c r="BE204" s="1">
        <v>1</v>
      </c>
      <c r="BF204" s="1">
        <v>0</v>
      </c>
      <c r="BG204" s="1">
        <v>0</v>
      </c>
      <c r="BH204" s="1">
        <v>0</v>
      </c>
      <c r="BI204" s="1">
        <v>0</v>
      </c>
      <c r="BJ204" s="1">
        <v>0</v>
      </c>
      <c r="BK204" s="1">
        <v>0</v>
      </c>
      <c r="BL204" s="1">
        <v>0</v>
      </c>
      <c r="BM204" s="1">
        <v>0</v>
      </c>
      <c r="BN204" s="1">
        <v>0</v>
      </c>
      <c r="BO204" s="1">
        <v>0</v>
      </c>
      <c r="BP204" s="1">
        <v>0</v>
      </c>
      <c r="BQ204" s="2" t="str">
        <f>HYPERLINK("http://www.d20pfsrd.com/magic/all-spells/f/fire-shield","Fire Shield")</f>
        <v>Fire Shield</v>
      </c>
      <c r="BR204" s="1">
        <v>203</v>
      </c>
      <c r="BS204" s="1" t="s">
        <v>104</v>
      </c>
      <c r="BV204" s="1" t="s">
        <v>1546</v>
      </c>
      <c r="BX204" s="1">
        <v>1</v>
      </c>
      <c r="BY204" s="1">
        <v>4</v>
      </c>
      <c r="BZ204" s="1" t="s">
        <v>104</v>
      </c>
      <c r="CA204" s="1" t="s">
        <v>104</v>
      </c>
      <c r="CB204" s="1" t="s">
        <v>104</v>
      </c>
      <c r="CC204" s="1" t="s">
        <v>104</v>
      </c>
      <c r="CD204" s="1">
        <v>4</v>
      </c>
      <c r="CE204" s="1" t="s">
        <v>104</v>
      </c>
      <c r="CF204" s="1" t="s">
        <v>104</v>
      </c>
      <c r="CG204" s="1" t="s">
        <v>104</v>
      </c>
      <c r="CH204" s="1" t="s">
        <v>104</v>
      </c>
      <c r="CJ204" s="1">
        <v>0</v>
      </c>
      <c r="CK204" s="1">
        <v>0</v>
      </c>
      <c r="CL204" s="1">
        <v>0</v>
      </c>
      <c r="CM204" s="1">
        <v>4</v>
      </c>
    </row>
    <row r="205" spans="1:91" ht="14.25" customHeight="1" x14ac:dyDescent="0.3">
      <c r="A205" s="1" t="s">
        <v>1547</v>
      </c>
      <c r="B205" s="1" t="s">
        <v>92</v>
      </c>
      <c r="C205" s="1" t="s">
        <v>93</v>
      </c>
      <c r="D205" s="1" t="s">
        <v>56</v>
      </c>
      <c r="E205" s="1" t="s">
        <v>1548</v>
      </c>
      <c r="F205" s="1" t="s">
        <v>95</v>
      </c>
      <c r="G205" s="1" t="s">
        <v>1549</v>
      </c>
      <c r="H205" s="1">
        <v>0</v>
      </c>
      <c r="I205" s="1" t="s">
        <v>128</v>
      </c>
      <c r="L205" s="1" t="s">
        <v>1550</v>
      </c>
      <c r="M205" s="1" t="s">
        <v>1551</v>
      </c>
      <c r="N205" s="1">
        <v>0</v>
      </c>
      <c r="O205" s="1">
        <v>0</v>
      </c>
      <c r="P205" s="1" t="s">
        <v>1552</v>
      </c>
      <c r="Q205" s="1" t="s">
        <v>101</v>
      </c>
      <c r="R205" s="1" t="s">
        <v>1553</v>
      </c>
      <c r="S205" s="1" t="s">
        <v>103</v>
      </c>
      <c r="T205" s="1">
        <v>1</v>
      </c>
      <c r="U205" s="1">
        <v>1</v>
      </c>
      <c r="V205" s="1">
        <v>1</v>
      </c>
      <c r="W205" s="1">
        <v>0</v>
      </c>
      <c r="X205" s="1">
        <v>0</v>
      </c>
      <c r="Y205" s="1" t="s">
        <v>104</v>
      </c>
      <c r="Z205" s="1" t="s">
        <v>104</v>
      </c>
      <c r="AA205" s="1" t="s">
        <v>104</v>
      </c>
      <c r="AB205" s="1">
        <v>6</v>
      </c>
      <c r="AC205" s="1" t="s">
        <v>104</v>
      </c>
      <c r="AD205" s="1" t="s">
        <v>104</v>
      </c>
      <c r="AE205" s="1" t="s">
        <v>104</v>
      </c>
      <c r="AF205" s="1" t="s">
        <v>104</v>
      </c>
      <c r="AG205" s="1" t="s">
        <v>104</v>
      </c>
      <c r="AH205" s="1" t="s">
        <v>104</v>
      </c>
      <c r="AI205" s="1" t="s">
        <v>104</v>
      </c>
      <c r="AJ205" s="1" t="s">
        <v>104</v>
      </c>
      <c r="AK205" s="1" t="s">
        <v>104</v>
      </c>
      <c r="AL205" s="1" t="s">
        <v>104</v>
      </c>
      <c r="AM205" s="1" t="s">
        <v>104</v>
      </c>
      <c r="AO205" s="1">
        <v>6</v>
      </c>
      <c r="AP205" s="1" t="s">
        <v>1554</v>
      </c>
      <c r="AQ205" s="1" t="s">
        <v>1555</v>
      </c>
      <c r="AR205" s="1">
        <v>0</v>
      </c>
      <c r="AS205" s="1">
        <v>0</v>
      </c>
      <c r="AT205" s="1">
        <v>0</v>
      </c>
      <c r="AU205" s="1">
        <v>0</v>
      </c>
      <c r="AV205" s="1">
        <v>0</v>
      </c>
      <c r="AW205" s="1">
        <v>0</v>
      </c>
      <c r="AX205" s="1">
        <v>0</v>
      </c>
      <c r="AY205" s="1">
        <v>0</v>
      </c>
      <c r="AZ205" s="1">
        <v>0</v>
      </c>
      <c r="BA205" s="1">
        <v>0</v>
      </c>
      <c r="BB205" s="1">
        <v>0</v>
      </c>
      <c r="BC205" s="1">
        <v>0</v>
      </c>
      <c r="BD205" s="1">
        <v>0</v>
      </c>
      <c r="BE205" s="1">
        <v>1</v>
      </c>
      <c r="BF205" s="1">
        <v>0</v>
      </c>
      <c r="BG205" s="1">
        <v>0</v>
      </c>
      <c r="BH205" s="1">
        <v>0</v>
      </c>
      <c r="BI205" s="1">
        <v>0</v>
      </c>
      <c r="BJ205" s="1">
        <v>0</v>
      </c>
      <c r="BK205" s="1">
        <v>0</v>
      </c>
      <c r="BL205" s="1">
        <v>0</v>
      </c>
      <c r="BM205" s="1">
        <v>0</v>
      </c>
      <c r="BN205" s="1">
        <v>0</v>
      </c>
      <c r="BO205" s="1">
        <v>0</v>
      </c>
      <c r="BP205" s="1">
        <v>0</v>
      </c>
      <c r="BQ205" s="2" t="str">
        <f>HYPERLINK("http://www.d20pfsrd.com/magic/all-spells/f/fire-seeds","Fire Seeds")</f>
        <v>Fire Seeds</v>
      </c>
      <c r="BR205" s="1">
        <v>204</v>
      </c>
      <c r="BS205" s="1" t="s">
        <v>104</v>
      </c>
      <c r="BV205" s="1" t="s">
        <v>1556</v>
      </c>
      <c r="BX205" s="1">
        <v>1</v>
      </c>
      <c r="BY205" s="1" t="s">
        <v>104</v>
      </c>
      <c r="BZ205" s="1">
        <v>6</v>
      </c>
      <c r="CA205" s="1" t="s">
        <v>104</v>
      </c>
      <c r="CB205" s="1" t="s">
        <v>104</v>
      </c>
      <c r="CC205" s="1" t="s">
        <v>104</v>
      </c>
      <c r="CD205" s="1" t="s">
        <v>104</v>
      </c>
      <c r="CE205" s="1" t="s">
        <v>104</v>
      </c>
      <c r="CF205" s="1" t="s">
        <v>104</v>
      </c>
      <c r="CG205" s="1" t="s">
        <v>104</v>
      </c>
      <c r="CH205" s="1">
        <v>6</v>
      </c>
      <c r="CJ205" s="1">
        <v>0</v>
      </c>
      <c r="CK205" s="1">
        <v>0</v>
      </c>
      <c r="CL205" s="1">
        <v>0</v>
      </c>
      <c r="CM205" s="1" t="s">
        <v>104</v>
      </c>
    </row>
    <row r="206" spans="1:91" ht="14.25" customHeight="1" x14ac:dyDescent="0.3">
      <c r="A206" s="1" t="s">
        <v>1557</v>
      </c>
      <c r="B206" s="1" t="s">
        <v>434</v>
      </c>
      <c r="D206" s="1" t="s">
        <v>56</v>
      </c>
      <c r="E206" s="1" t="s">
        <v>1558</v>
      </c>
      <c r="F206" s="1" t="s">
        <v>95</v>
      </c>
      <c r="G206" s="1" t="s">
        <v>116</v>
      </c>
      <c r="H206" s="1">
        <v>0</v>
      </c>
      <c r="I206" s="1" t="s">
        <v>109</v>
      </c>
      <c r="J206" s="1" t="s">
        <v>1559</v>
      </c>
      <c r="M206" s="1" t="s">
        <v>119</v>
      </c>
      <c r="N206" s="1">
        <v>0</v>
      </c>
      <c r="O206" s="1">
        <v>1</v>
      </c>
      <c r="P206" s="1" t="s">
        <v>550</v>
      </c>
      <c r="Q206" s="1" t="s">
        <v>184</v>
      </c>
      <c r="R206" s="1" t="s">
        <v>1560</v>
      </c>
      <c r="S206" s="1" t="s">
        <v>103</v>
      </c>
      <c r="T206" s="1">
        <v>1</v>
      </c>
      <c r="U206" s="1">
        <v>1</v>
      </c>
      <c r="V206" s="1">
        <v>0</v>
      </c>
      <c r="W206" s="1">
        <v>0</v>
      </c>
      <c r="X206" s="1">
        <v>0</v>
      </c>
      <c r="Y206" s="1" t="s">
        <v>104</v>
      </c>
      <c r="Z206" s="1" t="s">
        <v>104</v>
      </c>
      <c r="AA206" s="1">
        <v>8</v>
      </c>
      <c r="AB206" s="1">
        <v>7</v>
      </c>
      <c r="AC206" s="1" t="s">
        <v>104</v>
      </c>
      <c r="AD206" s="1" t="s">
        <v>104</v>
      </c>
      <c r="AE206" s="1" t="s">
        <v>104</v>
      </c>
      <c r="AF206" s="1" t="s">
        <v>104</v>
      </c>
      <c r="AG206" s="1" t="s">
        <v>104</v>
      </c>
      <c r="AH206" s="1" t="s">
        <v>104</v>
      </c>
      <c r="AI206" s="1" t="s">
        <v>104</v>
      </c>
      <c r="AJ206" s="1">
        <v>8</v>
      </c>
      <c r="AK206" s="1" t="s">
        <v>104</v>
      </c>
      <c r="AL206" s="1" t="s">
        <v>104</v>
      </c>
      <c r="AM206" s="1" t="s">
        <v>104</v>
      </c>
      <c r="AO206" s="1">
        <v>8</v>
      </c>
      <c r="AQ206" s="1" t="s">
        <v>1561</v>
      </c>
      <c r="AR206" s="1">
        <v>0</v>
      </c>
      <c r="AS206" s="1">
        <v>0</v>
      </c>
      <c r="AT206" s="1">
        <v>0</v>
      </c>
      <c r="AU206" s="1">
        <v>0</v>
      </c>
      <c r="AV206" s="1">
        <v>0</v>
      </c>
      <c r="AW206" s="1">
        <v>0</v>
      </c>
      <c r="AX206" s="1">
        <v>0</v>
      </c>
      <c r="AY206" s="1">
        <v>0</v>
      </c>
      <c r="AZ206" s="1">
        <v>0</v>
      </c>
      <c r="BA206" s="1">
        <v>0</v>
      </c>
      <c r="BB206" s="1">
        <v>0</v>
      </c>
      <c r="BC206" s="1">
        <v>0</v>
      </c>
      <c r="BD206" s="1">
        <v>0</v>
      </c>
      <c r="BE206" s="1">
        <v>1</v>
      </c>
      <c r="BF206" s="1">
        <v>0</v>
      </c>
      <c r="BG206" s="1">
        <v>0</v>
      </c>
      <c r="BH206" s="1">
        <v>0</v>
      </c>
      <c r="BI206" s="1">
        <v>0</v>
      </c>
      <c r="BJ206" s="1">
        <v>0</v>
      </c>
      <c r="BK206" s="1">
        <v>0</v>
      </c>
      <c r="BL206" s="1">
        <v>0</v>
      </c>
      <c r="BM206" s="1">
        <v>0</v>
      </c>
      <c r="BN206" s="1">
        <v>0</v>
      </c>
      <c r="BO206" s="1">
        <v>0</v>
      </c>
      <c r="BP206" s="1">
        <v>0</v>
      </c>
      <c r="BQ206" s="2" t="str">
        <f>HYPERLINK("http://www.d20pfsrd.com/magic/all-spells/f/fire-storm","Fire Storm")</f>
        <v>Fire Storm</v>
      </c>
      <c r="BR206" s="1">
        <v>205</v>
      </c>
      <c r="BS206" s="1" t="s">
        <v>104</v>
      </c>
      <c r="BU206" s="1" t="s">
        <v>1562</v>
      </c>
      <c r="BV206" s="1" t="s">
        <v>1563</v>
      </c>
      <c r="BW206" s="1" t="s">
        <v>1564</v>
      </c>
      <c r="BX206" s="1">
        <v>1</v>
      </c>
      <c r="BY206" s="1" t="s">
        <v>104</v>
      </c>
      <c r="BZ206" s="1">
        <v>8</v>
      </c>
      <c r="CA206" s="1" t="s">
        <v>104</v>
      </c>
      <c r="CB206" s="1" t="s">
        <v>104</v>
      </c>
      <c r="CC206" s="1" t="s">
        <v>104</v>
      </c>
      <c r="CD206" s="1" t="s">
        <v>104</v>
      </c>
      <c r="CE206" s="1" t="s">
        <v>104</v>
      </c>
      <c r="CF206" s="1" t="s">
        <v>104</v>
      </c>
      <c r="CG206" s="1" t="s">
        <v>104</v>
      </c>
      <c r="CH206" s="1" t="s">
        <v>104</v>
      </c>
      <c r="CJ206" s="1">
        <v>0</v>
      </c>
      <c r="CK206" s="1">
        <v>0</v>
      </c>
      <c r="CL206" s="1">
        <v>0</v>
      </c>
      <c r="CM206" s="1" t="s">
        <v>104</v>
      </c>
    </row>
    <row r="207" spans="1:91" ht="14.25" customHeight="1" x14ac:dyDescent="0.3">
      <c r="A207" s="1" t="s">
        <v>1565</v>
      </c>
      <c r="B207" s="1" t="s">
        <v>162</v>
      </c>
      <c r="D207" s="1" t="s">
        <v>56</v>
      </c>
      <c r="E207" s="1" t="s">
        <v>1566</v>
      </c>
      <c r="F207" s="1" t="s">
        <v>287</v>
      </c>
      <c r="G207" s="1" t="s">
        <v>296</v>
      </c>
      <c r="H207" s="1">
        <v>1</v>
      </c>
      <c r="I207" s="1" t="s">
        <v>128</v>
      </c>
      <c r="L207" s="1" t="s">
        <v>983</v>
      </c>
      <c r="M207" s="1" t="s">
        <v>1567</v>
      </c>
      <c r="N207" s="1">
        <v>1</v>
      </c>
      <c r="O207" s="1">
        <v>0</v>
      </c>
      <c r="P207" s="1" t="s">
        <v>1568</v>
      </c>
      <c r="Q207" s="1" t="s">
        <v>184</v>
      </c>
      <c r="R207" s="1" t="s">
        <v>1569</v>
      </c>
      <c r="S207" s="1" t="s">
        <v>103</v>
      </c>
      <c r="T207" s="1">
        <v>1</v>
      </c>
      <c r="U207" s="1">
        <v>1</v>
      </c>
      <c r="V207" s="1">
        <v>1</v>
      </c>
      <c r="W207" s="1">
        <v>0</v>
      </c>
      <c r="X207" s="1">
        <v>0</v>
      </c>
      <c r="Y207" s="1">
        <v>4</v>
      </c>
      <c r="Z207" s="1">
        <v>4</v>
      </c>
      <c r="AA207" s="1" t="s">
        <v>104</v>
      </c>
      <c r="AB207" s="1">
        <v>2</v>
      </c>
      <c r="AC207" s="1" t="s">
        <v>104</v>
      </c>
      <c r="AD207" s="1" t="s">
        <v>104</v>
      </c>
      <c r="AE207" s="1" t="s">
        <v>104</v>
      </c>
      <c r="AF207" s="1" t="s">
        <v>104</v>
      </c>
      <c r="AG207" s="1" t="s">
        <v>104</v>
      </c>
      <c r="AH207" s="1" t="s">
        <v>104</v>
      </c>
      <c r="AI207" s="1" t="s">
        <v>104</v>
      </c>
      <c r="AJ207" s="1" t="s">
        <v>104</v>
      </c>
      <c r="AK207" s="1" t="s">
        <v>104</v>
      </c>
      <c r="AL207" s="1" t="s">
        <v>104</v>
      </c>
      <c r="AM207" s="1" t="s">
        <v>104</v>
      </c>
      <c r="AO207" s="1">
        <v>4</v>
      </c>
      <c r="AQ207" s="1" t="s">
        <v>1570</v>
      </c>
      <c r="AR207" s="1">
        <v>0</v>
      </c>
      <c r="AS207" s="1">
        <v>0</v>
      </c>
      <c r="AT207" s="1">
        <v>0</v>
      </c>
      <c r="AU207" s="1">
        <v>0</v>
      </c>
      <c r="AV207" s="1">
        <v>0</v>
      </c>
      <c r="AW207" s="1">
        <v>0</v>
      </c>
      <c r="AX207" s="1">
        <v>0</v>
      </c>
      <c r="AY207" s="1">
        <v>0</v>
      </c>
      <c r="AZ207" s="1">
        <v>0</v>
      </c>
      <c r="BA207" s="1">
        <v>0</v>
      </c>
      <c r="BB207" s="1">
        <v>0</v>
      </c>
      <c r="BC207" s="1">
        <v>0</v>
      </c>
      <c r="BD207" s="1">
        <v>0</v>
      </c>
      <c r="BE207" s="1">
        <v>1</v>
      </c>
      <c r="BF207" s="1">
        <v>0</v>
      </c>
      <c r="BG207" s="1">
        <v>0</v>
      </c>
      <c r="BH207" s="1">
        <v>0</v>
      </c>
      <c r="BI207" s="1">
        <v>0</v>
      </c>
      <c r="BJ207" s="1">
        <v>0</v>
      </c>
      <c r="BK207" s="1">
        <v>0</v>
      </c>
      <c r="BL207" s="1">
        <v>0</v>
      </c>
      <c r="BM207" s="1">
        <v>0</v>
      </c>
      <c r="BN207" s="1">
        <v>0</v>
      </c>
      <c r="BO207" s="1">
        <v>0</v>
      </c>
      <c r="BP207" s="1">
        <v>0</v>
      </c>
      <c r="BQ207" s="2" t="str">
        <f>HYPERLINK("http://www.d20pfsrd.com/magic/all-spells/f/fire-trap","Fire Trap")</f>
        <v>Fire Trap</v>
      </c>
      <c r="BR207" s="1">
        <v>206</v>
      </c>
      <c r="BS207" s="1">
        <v>25</v>
      </c>
      <c r="BX207" s="1">
        <v>0</v>
      </c>
      <c r="BY207" s="1" t="s">
        <v>104</v>
      </c>
      <c r="BZ207" s="1" t="s">
        <v>104</v>
      </c>
      <c r="CA207" s="1" t="s">
        <v>104</v>
      </c>
      <c r="CB207" s="1" t="s">
        <v>104</v>
      </c>
      <c r="CC207" s="1" t="s">
        <v>104</v>
      </c>
      <c r="CD207" s="1">
        <v>4</v>
      </c>
      <c r="CE207" s="1" t="s">
        <v>104</v>
      </c>
      <c r="CF207" s="1" t="s">
        <v>104</v>
      </c>
      <c r="CG207" s="1" t="s">
        <v>104</v>
      </c>
      <c r="CH207" s="1">
        <v>2</v>
      </c>
      <c r="CJ207" s="1">
        <v>0</v>
      </c>
      <c r="CK207" s="1">
        <v>0</v>
      </c>
      <c r="CL207" s="1">
        <v>0</v>
      </c>
      <c r="CM207" s="1" t="s">
        <v>104</v>
      </c>
    </row>
    <row r="208" spans="1:91" ht="14.25" customHeight="1" x14ac:dyDescent="0.3">
      <c r="A208" s="1" t="s">
        <v>1571</v>
      </c>
      <c r="B208" s="1" t="s">
        <v>434</v>
      </c>
      <c r="D208" s="1" t="s">
        <v>56</v>
      </c>
      <c r="E208" s="1" t="s">
        <v>1572</v>
      </c>
      <c r="F208" s="1" t="s">
        <v>95</v>
      </c>
      <c r="G208" s="1" t="s">
        <v>1050</v>
      </c>
      <c r="H208" s="1">
        <v>0</v>
      </c>
      <c r="I208" s="1" t="s">
        <v>97</v>
      </c>
      <c r="J208" s="1" t="s">
        <v>425</v>
      </c>
      <c r="M208" s="1" t="s">
        <v>119</v>
      </c>
      <c r="N208" s="1">
        <v>0</v>
      </c>
      <c r="O208" s="1">
        <v>0</v>
      </c>
      <c r="P208" s="1" t="s">
        <v>550</v>
      </c>
      <c r="Q208" s="1" t="s">
        <v>184</v>
      </c>
      <c r="R208" s="1" t="s">
        <v>1573</v>
      </c>
      <c r="S208" s="1" t="s">
        <v>103</v>
      </c>
      <c r="T208" s="1">
        <v>1</v>
      </c>
      <c r="U208" s="1">
        <v>1</v>
      </c>
      <c r="V208" s="1">
        <v>1</v>
      </c>
      <c r="W208" s="1">
        <v>0</v>
      </c>
      <c r="X208" s="1">
        <v>0</v>
      </c>
      <c r="Y208" s="1">
        <v>3</v>
      </c>
      <c r="Z208" s="1">
        <v>3</v>
      </c>
      <c r="AA208" s="1" t="s">
        <v>104</v>
      </c>
      <c r="AB208" s="1" t="s">
        <v>104</v>
      </c>
      <c r="AC208" s="1" t="s">
        <v>104</v>
      </c>
      <c r="AD208" s="1" t="s">
        <v>104</v>
      </c>
      <c r="AE208" s="1" t="s">
        <v>104</v>
      </c>
      <c r="AF208" s="1" t="s">
        <v>104</v>
      </c>
      <c r="AG208" s="1" t="s">
        <v>104</v>
      </c>
      <c r="AH208" s="1" t="s">
        <v>104</v>
      </c>
      <c r="AI208" s="1" t="s">
        <v>104</v>
      </c>
      <c r="AJ208" s="1" t="s">
        <v>104</v>
      </c>
      <c r="AK208" s="1" t="s">
        <v>104</v>
      </c>
      <c r="AL208" s="1">
        <v>3</v>
      </c>
      <c r="AM208" s="1" t="s">
        <v>104</v>
      </c>
      <c r="AO208" s="1">
        <v>3</v>
      </c>
      <c r="AP208" s="1" t="s">
        <v>1574</v>
      </c>
      <c r="AQ208" s="1" t="s">
        <v>1575</v>
      </c>
      <c r="AR208" s="1">
        <v>0</v>
      </c>
      <c r="AS208" s="1">
        <v>0</v>
      </c>
      <c r="AT208" s="1">
        <v>0</v>
      </c>
      <c r="AU208" s="1">
        <v>0</v>
      </c>
      <c r="AV208" s="1">
        <v>0</v>
      </c>
      <c r="AW208" s="1">
        <v>0</v>
      </c>
      <c r="AX208" s="1">
        <v>0</v>
      </c>
      <c r="AY208" s="1">
        <v>0</v>
      </c>
      <c r="AZ208" s="1">
        <v>0</v>
      </c>
      <c r="BA208" s="1">
        <v>0</v>
      </c>
      <c r="BB208" s="1">
        <v>0</v>
      </c>
      <c r="BC208" s="1">
        <v>0</v>
      </c>
      <c r="BD208" s="1">
        <v>0</v>
      </c>
      <c r="BE208" s="1">
        <v>1</v>
      </c>
      <c r="BF208" s="1">
        <v>0</v>
      </c>
      <c r="BG208" s="1">
        <v>0</v>
      </c>
      <c r="BH208" s="1">
        <v>0</v>
      </c>
      <c r="BI208" s="1">
        <v>0</v>
      </c>
      <c r="BJ208" s="1">
        <v>0</v>
      </c>
      <c r="BK208" s="1">
        <v>0</v>
      </c>
      <c r="BL208" s="1">
        <v>0</v>
      </c>
      <c r="BM208" s="1">
        <v>0</v>
      </c>
      <c r="BN208" s="1">
        <v>0</v>
      </c>
      <c r="BO208" s="1">
        <v>0</v>
      </c>
      <c r="BP208" s="1">
        <v>0</v>
      </c>
      <c r="BQ208" s="2" t="str">
        <f>HYPERLINK("http://www.d20pfsrd.com/magic/all-spells/f/fireball","Fireball")</f>
        <v>Fireball</v>
      </c>
      <c r="BR208" s="1">
        <v>207</v>
      </c>
      <c r="BS208" s="1" t="s">
        <v>104</v>
      </c>
      <c r="BT208" s="1" t="s">
        <v>1576</v>
      </c>
      <c r="BU208" s="1" t="s">
        <v>1577</v>
      </c>
      <c r="BV208" s="1" t="s">
        <v>1578</v>
      </c>
      <c r="BW208" s="1" t="s">
        <v>1579</v>
      </c>
      <c r="BX208" s="1">
        <v>1</v>
      </c>
      <c r="BY208" s="1">
        <v>3</v>
      </c>
      <c r="BZ208" s="1" t="s">
        <v>104</v>
      </c>
      <c r="CA208" s="1" t="s">
        <v>104</v>
      </c>
      <c r="CB208" s="1" t="s">
        <v>104</v>
      </c>
      <c r="CC208" s="1" t="s">
        <v>104</v>
      </c>
      <c r="CD208" s="1">
        <v>3</v>
      </c>
      <c r="CE208" s="1" t="s">
        <v>104</v>
      </c>
      <c r="CF208" s="1" t="s">
        <v>104</v>
      </c>
      <c r="CG208" s="1" t="s">
        <v>104</v>
      </c>
      <c r="CH208" s="1" t="s">
        <v>104</v>
      </c>
      <c r="CJ208" s="1">
        <v>0</v>
      </c>
      <c r="CK208" s="1">
        <v>0</v>
      </c>
      <c r="CL208" s="1">
        <v>0</v>
      </c>
      <c r="CM208" s="1" t="s">
        <v>104</v>
      </c>
    </row>
    <row r="209" spans="1:91" ht="14.25" customHeight="1" x14ac:dyDescent="0.3">
      <c r="A209" s="1" t="s">
        <v>1580</v>
      </c>
      <c r="B209" s="1" t="s">
        <v>137</v>
      </c>
      <c r="D209" s="1" t="s">
        <v>56</v>
      </c>
      <c r="E209" s="1" t="s">
        <v>1572</v>
      </c>
      <c r="F209" s="1" t="s">
        <v>95</v>
      </c>
      <c r="G209" s="1" t="s">
        <v>1581</v>
      </c>
      <c r="H209" s="1">
        <v>0</v>
      </c>
      <c r="I209" s="1" t="s">
        <v>117</v>
      </c>
      <c r="L209" s="1" t="s">
        <v>1582</v>
      </c>
      <c r="M209" s="1" t="s">
        <v>140</v>
      </c>
      <c r="N209" s="1">
        <v>0</v>
      </c>
      <c r="O209" s="1">
        <v>0</v>
      </c>
      <c r="P209" s="1" t="s">
        <v>100</v>
      </c>
      <c r="Q209" s="1" t="s">
        <v>101</v>
      </c>
      <c r="R209" s="1" t="s">
        <v>1583</v>
      </c>
      <c r="S209" s="1" t="s">
        <v>103</v>
      </c>
      <c r="T209" s="1">
        <v>1</v>
      </c>
      <c r="U209" s="1">
        <v>1</v>
      </c>
      <c r="V209" s="1">
        <v>1</v>
      </c>
      <c r="W209" s="1">
        <v>0</v>
      </c>
      <c r="X209" s="1">
        <v>0</v>
      </c>
      <c r="Y209" s="1">
        <v>3</v>
      </c>
      <c r="Z209" s="1">
        <v>3</v>
      </c>
      <c r="AA209" s="1" t="s">
        <v>104</v>
      </c>
      <c r="AB209" s="1" t="s">
        <v>104</v>
      </c>
      <c r="AC209" s="1" t="s">
        <v>104</v>
      </c>
      <c r="AD209" s="1" t="s">
        <v>104</v>
      </c>
      <c r="AE209" s="1" t="s">
        <v>104</v>
      </c>
      <c r="AF209" s="1" t="s">
        <v>104</v>
      </c>
      <c r="AG209" s="1" t="s">
        <v>104</v>
      </c>
      <c r="AH209" s="1" t="s">
        <v>104</v>
      </c>
      <c r="AI209" s="1" t="s">
        <v>104</v>
      </c>
      <c r="AJ209" s="1" t="s">
        <v>104</v>
      </c>
      <c r="AK209" s="1" t="s">
        <v>104</v>
      </c>
      <c r="AL209" s="1">
        <v>3</v>
      </c>
      <c r="AM209" s="1" t="s">
        <v>104</v>
      </c>
      <c r="AO209" s="1">
        <v>3</v>
      </c>
      <c r="AQ209" s="1" t="s">
        <v>1584</v>
      </c>
      <c r="AR209" s="1">
        <v>0</v>
      </c>
      <c r="AS209" s="1">
        <v>0</v>
      </c>
      <c r="AT209" s="1">
        <v>0</v>
      </c>
      <c r="AU209" s="1">
        <v>0</v>
      </c>
      <c r="AV209" s="1">
        <v>0</v>
      </c>
      <c r="AW209" s="1">
        <v>0</v>
      </c>
      <c r="AX209" s="1">
        <v>0</v>
      </c>
      <c r="AY209" s="1">
        <v>0</v>
      </c>
      <c r="AZ209" s="1">
        <v>0</v>
      </c>
      <c r="BA209" s="1">
        <v>0</v>
      </c>
      <c r="BB209" s="1">
        <v>0</v>
      </c>
      <c r="BC209" s="1">
        <v>0</v>
      </c>
      <c r="BD209" s="1">
        <v>0</v>
      </c>
      <c r="BE209" s="1">
        <v>1</v>
      </c>
      <c r="BF209" s="1">
        <v>0</v>
      </c>
      <c r="BG209" s="1">
        <v>0</v>
      </c>
      <c r="BH209" s="1">
        <v>0</v>
      </c>
      <c r="BI209" s="1">
        <v>0</v>
      </c>
      <c r="BJ209" s="1">
        <v>0</v>
      </c>
      <c r="BK209" s="1">
        <v>0</v>
      </c>
      <c r="BL209" s="1">
        <v>0</v>
      </c>
      <c r="BM209" s="1">
        <v>0</v>
      </c>
      <c r="BN209" s="1">
        <v>0</v>
      </c>
      <c r="BO209" s="1">
        <v>0</v>
      </c>
      <c r="BP209" s="1">
        <v>0</v>
      </c>
      <c r="BQ209" s="2" t="str">
        <f>HYPERLINK("http://www.d20pfsrd.com/magic/all-spells/f/flame-arrow","Flame Arrow")</f>
        <v>Flame Arrow</v>
      </c>
      <c r="BR209" s="1">
        <v>208</v>
      </c>
      <c r="BS209" s="1" t="s">
        <v>104</v>
      </c>
      <c r="BX209" s="1">
        <v>0</v>
      </c>
      <c r="BY209" s="1">
        <v>3</v>
      </c>
      <c r="BZ209" s="1" t="s">
        <v>104</v>
      </c>
      <c r="CA209" s="1" t="s">
        <v>104</v>
      </c>
      <c r="CB209" s="1" t="s">
        <v>104</v>
      </c>
      <c r="CC209" s="1" t="s">
        <v>104</v>
      </c>
      <c r="CD209" s="1">
        <v>3</v>
      </c>
      <c r="CE209" s="1" t="s">
        <v>104</v>
      </c>
      <c r="CF209" s="1" t="s">
        <v>104</v>
      </c>
      <c r="CG209" s="1" t="s">
        <v>104</v>
      </c>
      <c r="CH209" s="1" t="s">
        <v>104</v>
      </c>
      <c r="CJ209" s="1">
        <v>0</v>
      </c>
      <c r="CK209" s="1">
        <v>0</v>
      </c>
      <c r="CL209" s="1">
        <v>0</v>
      </c>
      <c r="CM209" s="1" t="s">
        <v>104</v>
      </c>
    </row>
    <row r="210" spans="1:91" ht="14.25" customHeight="1" x14ac:dyDescent="0.3">
      <c r="A210" s="1" t="s">
        <v>1585</v>
      </c>
      <c r="B210" s="1" t="s">
        <v>434</v>
      </c>
      <c r="D210" s="1" t="s">
        <v>56</v>
      </c>
      <c r="E210" s="1" t="s">
        <v>1586</v>
      </c>
      <c r="F210" s="1" t="s">
        <v>95</v>
      </c>
      <c r="G210" s="1" t="s">
        <v>127</v>
      </c>
      <c r="H210" s="1">
        <v>0</v>
      </c>
      <c r="I210" s="1" t="s">
        <v>705</v>
      </c>
      <c r="K210" s="1" t="s">
        <v>1587</v>
      </c>
      <c r="M210" s="1" t="s">
        <v>437</v>
      </c>
      <c r="N210" s="1">
        <v>1</v>
      </c>
      <c r="O210" s="1">
        <v>0</v>
      </c>
      <c r="P210" s="1" t="s">
        <v>100</v>
      </c>
      <c r="Q210" s="1" t="s">
        <v>184</v>
      </c>
      <c r="R210" s="1" t="s">
        <v>1588</v>
      </c>
      <c r="S210" s="1" t="s">
        <v>103</v>
      </c>
      <c r="T210" s="1">
        <v>1</v>
      </c>
      <c r="U210" s="1">
        <v>1</v>
      </c>
      <c r="V210" s="1">
        <v>0</v>
      </c>
      <c r="W210" s="1">
        <v>0</v>
      </c>
      <c r="X210" s="1">
        <v>1</v>
      </c>
      <c r="Y210" s="1" t="s">
        <v>104</v>
      </c>
      <c r="Z210" s="1" t="s">
        <v>104</v>
      </c>
      <c r="AA210" s="1" t="s">
        <v>104</v>
      </c>
      <c r="AB210" s="1">
        <v>2</v>
      </c>
      <c r="AC210" s="1" t="s">
        <v>104</v>
      </c>
      <c r="AD210" s="1" t="s">
        <v>104</v>
      </c>
      <c r="AE210" s="1" t="s">
        <v>104</v>
      </c>
      <c r="AF210" s="1" t="s">
        <v>104</v>
      </c>
      <c r="AG210" s="1" t="s">
        <v>104</v>
      </c>
      <c r="AH210" s="1" t="s">
        <v>104</v>
      </c>
      <c r="AI210" s="1" t="s">
        <v>104</v>
      </c>
      <c r="AJ210" s="1" t="s">
        <v>104</v>
      </c>
      <c r="AK210" s="1" t="s">
        <v>104</v>
      </c>
      <c r="AL210" s="1" t="s">
        <v>104</v>
      </c>
      <c r="AM210" s="1" t="s">
        <v>104</v>
      </c>
      <c r="AO210" s="1">
        <v>2</v>
      </c>
      <c r="AQ210" s="1" t="s">
        <v>1589</v>
      </c>
      <c r="AR210" s="1">
        <v>0</v>
      </c>
      <c r="AS210" s="1">
        <v>0</v>
      </c>
      <c r="AT210" s="1">
        <v>0</v>
      </c>
      <c r="AU210" s="1">
        <v>0</v>
      </c>
      <c r="AV210" s="1">
        <v>0</v>
      </c>
      <c r="AW210" s="1">
        <v>0</v>
      </c>
      <c r="AX210" s="1">
        <v>0</v>
      </c>
      <c r="AY210" s="1">
        <v>0</v>
      </c>
      <c r="AZ210" s="1">
        <v>0</v>
      </c>
      <c r="BA210" s="1">
        <v>0</v>
      </c>
      <c r="BB210" s="1">
        <v>0</v>
      </c>
      <c r="BC210" s="1">
        <v>0</v>
      </c>
      <c r="BD210" s="1">
        <v>0</v>
      </c>
      <c r="BE210" s="1">
        <v>1</v>
      </c>
      <c r="BF210" s="1">
        <v>0</v>
      </c>
      <c r="BG210" s="1">
        <v>0</v>
      </c>
      <c r="BH210" s="1">
        <v>0</v>
      </c>
      <c r="BI210" s="1">
        <v>0</v>
      </c>
      <c r="BJ210" s="1">
        <v>0</v>
      </c>
      <c r="BK210" s="1">
        <v>0</v>
      </c>
      <c r="BL210" s="1">
        <v>0</v>
      </c>
      <c r="BM210" s="1">
        <v>0</v>
      </c>
      <c r="BN210" s="1">
        <v>0</v>
      </c>
      <c r="BO210" s="1">
        <v>0</v>
      </c>
      <c r="BP210" s="1">
        <v>0</v>
      </c>
      <c r="BQ210" s="2" t="str">
        <f>HYPERLINK("http://www.d20pfsrd.com/magic/all-spells/f/flame-blade","Flame Blade")</f>
        <v>Flame Blade</v>
      </c>
      <c r="BR210" s="1">
        <v>209</v>
      </c>
      <c r="BS210" s="1" t="s">
        <v>104</v>
      </c>
      <c r="BV210" s="1" t="s">
        <v>1590</v>
      </c>
      <c r="BW210" s="1" t="s">
        <v>1591</v>
      </c>
      <c r="BX210" s="1">
        <v>1</v>
      </c>
      <c r="BY210" s="1" t="s">
        <v>104</v>
      </c>
      <c r="BZ210" s="1">
        <v>2</v>
      </c>
      <c r="CA210" s="1" t="s">
        <v>104</v>
      </c>
      <c r="CB210" s="1" t="s">
        <v>104</v>
      </c>
      <c r="CC210" s="1" t="s">
        <v>104</v>
      </c>
      <c r="CD210" s="1" t="s">
        <v>104</v>
      </c>
      <c r="CE210" s="1" t="s">
        <v>104</v>
      </c>
      <c r="CF210" s="1" t="s">
        <v>104</v>
      </c>
      <c r="CG210" s="1" t="s">
        <v>104</v>
      </c>
      <c r="CH210" s="1">
        <v>2</v>
      </c>
      <c r="CJ210" s="1">
        <v>0</v>
      </c>
      <c r="CK210" s="1">
        <v>0</v>
      </c>
      <c r="CL210" s="1">
        <v>0</v>
      </c>
      <c r="CM210" s="1" t="s">
        <v>104</v>
      </c>
    </row>
    <row r="211" spans="1:91" ht="14.25" customHeight="1" x14ac:dyDescent="0.3">
      <c r="A211" s="1" t="s">
        <v>1592</v>
      </c>
      <c r="B211" s="1" t="s">
        <v>434</v>
      </c>
      <c r="D211" s="1" t="s">
        <v>56</v>
      </c>
      <c r="E211" s="1" t="s">
        <v>1593</v>
      </c>
      <c r="F211" s="1" t="s">
        <v>95</v>
      </c>
      <c r="G211" s="1" t="s">
        <v>127</v>
      </c>
      <c r="H211" s="1">
        <v>0</v>
      </c>
      <c r="I211" s="1" t="s">
        <v>109</v>
      </c>
      <c r="J211" s="1" t="s">
        <v>1594</v>
      </c>
      <c r="M211" s="1" t="s">
        <v>119</v>
      </c>
      <c r="N211" s="1">
        <v>0</v>
      </c>
      <c r="O211" s="1">
        <v>0</v>
      </c>
      <c r="P211" s="1" t="s">
        <v>550</v>
      </c>
      <c r="Q211" s="1" t="s">
        <v>184</v>
      </c>
      <c r="R211" s="1" t="s">
        <v>1595</v>
      </c>
      <c r="S211" s="1" t="s">
        <v>103</v>
      </c>
      <c r="T211" s="1">
        <v>1</v>
      </c>
      <c r="U211" s="1">
        <v>1</v>
      </c>
      <c r="V211" s="1">
        <v>0</v>
      </c>
      <c r="W211" s="1">
        <v>0</v>
      </c>
      <c r="X211" s="1">
        <v>1</v>
      </c>
      <c r="Y211" s="1" t="s">
        <v>104</v>
      </c>
      <c r="Z211" s="1" t="s">
        <v>104</v>
      </c>
      <c r="AA211" s="1">
        <v>5</v>
      </c>
      <c r="AB211" s="1">
        <v>4</v>
      </c>
      <c r="AC211" s="1" t="s">
        <v>104</v>
      </c>
      <c r="AD211" s="1" t="s">
        <v>104</v>
      </c>
      <c r="AE211" s="1" t="s">
        <v>104</v>
      </c>
      <c r="AF211" s="1" t="s">
        <v>104</v>
      </c>
      <c r="AG211" s="1" t="s">
        <v>104</v>
      </c>
      <c r="AH211" s="1" t="s">
        <v>104</v>
      </c>
      <c r="AI211" s="1">
        <v>5</v>
      </c>
      <c r="AJ211" s="1">
        <v>5</v>
      </c>
      <c r="AK211" s="1" t="s">
        <v>104</v>
      </c>
      <c r="AL211" s="1" t="s">
        <v>104</v>
      </c>
      <c r="AM211" s="1" t="s">
        <v>104</v>
      </c>
      <c r="AO211" s="1">
        <v>5</v>
      </c>
      <c r="AP211" s="1" t="s">
        <v>1596</v>
      </c>
      <c r="AQ211" s="1" t="s">
        <v>1597</v>
      </c>
      <c r="AR211" s="1">
        <v>0</v>
      </c>
      <c r="AS211" s="1">
        <v>0</v>
      </c>
      <c r="AT211" s="1">
        <v>0</v>
      </c>
      <c r="AU211" s="1">
        <v>0</v>
      </c>
      <c r="AV211" s="1">
        <v>0</v>
      </c>
      <c r="AW211" s="1">
        <v>0</v>
      </c>
      <c r="AX211" s="1">
        <v>0</v>
      </c>
      <c r="AY211" s="1">
        <v>0</v>
      </c>
      <c r="AZ211" s="1">
        <v>0</v>
      </c>
      <c r="BA211" s="1">
        <v>0</v>
      </c>
      <c r="BB211" s="1">
        <v>0</v>
      </c>
      <c r="BC211" s="1">
        <v>0</v>
      </c>
      <c r="BD211" s="1">
        <v>0</v>
      </c>
      <c r="BE211" s="1">
        <v>1</v>
      </c>
      <c r="BF211" s="1">
        <v>0</v>
      </c>
      <c r="BG211" s="1">
        <v>0</v>
      </c>
      <c r="BH211" s="1">
        <v>0</v>
      </c>
      <c r="BI211" s="1">
        <v>0</v>
      </c>
      <c r="BJ211" s="1">
        <v>0</v>
      </c>
      <c r="BK211" s="1">
        <v>0</v>
      </c>
      <c r="BL211" s="1">
        <v>0</v>
      </c>
      <c r="BM211" s="1">
        <v>0</v>
      </c>
      <c r="BN211" s="1">
        <v>0</v>
      </c>
      <c r="BO211" s="1">
        <v>0</v>
      </c>
      <c r="BP211" s="1">
        <v>0</v>
      </c>
      <c r="BQ211" s="2" t="str">
        <f>HYPERLINK("http://www.d20pfsrd.com/magic/all-spells/f/flame-strike","Flame Strike")</f>
        <v>Flame Strike</v>
      </c>
      <c r="BR211" s="1">
        <v>210</v>
      </c>
      <c r="BS211" s="1" t="s">
        <v>104</v>
      </c>
      <c r="BT211" s="1" t="s">
        <v>1598</v>
      </c>
      <c r="BU211" s="1" t="s">
        <v>1599</v>
      </c>
      <c r="BV211" s="1" t="s">
        <v>1600</v>
      </c>
      <c r="BX211" s="1">
        <v>1</v>
      </c>
      <c r="BY211" s="1" t="s">
        <v>104</v>
      </c>
      <c r="BZ211" s="1">
        <v>5</v>
      </c>
      <c r="CA211" s="1" t="s">
        <v>104</v>
      </c>
      <c r="CB211" s="1" t="s">
        <v>104</v>
      </c>
      <c r="CC211" s="1" t="s">
        <v>104</v>
      </c>
      <c r="CD211" s="1" t="s">
        <v>104</v>
      </c>
      <c r="CE211" s="1" t="s">
        <v>104</v>
      </c>
      <c r="CF211" s="1" t="s">
        <v>104</v>
      </c>
      <c r="CG211" s="1" t="s">
        <v>104</v>
      </c>
      <c r="CH211" s="1">
        <v>4</v>
      </c>
      <c r="CJ211" s="1">
        <v>0</v>
      </c>
      <c r="CK211" s="1">
        <v>0</v>
      </c>
      <c r="CL211" s="1">
        <v>0</v>
      </c>
      <c r="CM211" s="1" t="s">
        <v>104</v>
      </c>
    </row>
    <row r="212" spans="1:91" ht="14.25" customHeight="1" x14ac:dyDescent="0.3">
      <c r="A212" s="1" t="s">
        <v>1601</v>
      </c>
      <c r="B212" s="1" t="s">
        <v>434</v>
      </c>
      <c r="D212" s="1" t="s">
        <v>56</v>
      </c>
      <c r="E212" s="1" t="s">
        <v>1602</v>
      </c>
      <c r="F212" s="1" t="s">
        <v>95</v>
      </c>
      <c r="G212" s="1" t="s">
        <v>1603</v>
      </c>
      <c r="H212" s="1">
        <v>0</v>
      </c>
      <c r="I212" s="1" t="s">
        <v>109</v>
      </c>
      <c r="K212" s="1" t="s">
        <v>1604</v>
      </c>
      <c r="M212" s="1" t="s">
        <v>111</v>
      </c>
      <c r="N212" s="1">
        <v>0</v>
      </c>
      <c r="O212" s="1">
        <v>0</v>
      </c>
      <c r="P212" s="1" t="s">
        <v>1605</v>
      </c>
      <c r="Q212" s="1" t="s">
        <v>184</v>
      </c>
      <c r="R212" s="1" t="s">
        <v>1606</v>
      </c>
      <c r="S212" s="1" t="s">
        <v>103</v>
      </c>
      <c r="T212" s="1">
        <v>1</v>
      </c>
      <c r="U212" s="1">
        <v>1</v>
      </c>
      <c r="V212" s="1">
        <v>1</v>
      </c>
      <c r="W212" s="1">
        <v>0</v>
      </c>
      <c r="X212" s="1">
        <v>1</v>
      </c>
      <c r="Y212" s="1">
        <v>2</v>
      </c>
      <c r="Z212" s="1">
        <v>2</v>
      </c>
      <c r="AA212" s="1" t="s">
        <v>104</v>
      </c>
      <c r="AB212" s="1">
        <v>2</v>
      </c>
      <c r="AC212" s="1" t="s">
        <v>104</v>
      </c>
      <c r="AD212" s="1" t="s">
        <v>104</v>
      </c>
      <c r="AE212" s="1" t="s">
        <v>104</v>
      </c>
      <c r="AF212" s="1" t="s">
        <v>104</v>
      </c>
      <c r="AG212" s="1" t="s">
        <v>104</v>
      </c>
      <c r="AH212" s="1" t="s">
        <v>104</v>
      </c>
      <c r="AI212" s="1" t="s">
        <v>104</v>
      </c>
      <c r="AJ212" s="1" t="s">
        <v>104</v>
      </c>
      <c r="AK212" s="1" t="s">
        <v>104</v>
      </c>
      <c r="AL212" s="1">
        <v>2</v>
      </c>
      <c r="AM212" s="1" t="s">
        <v>104</v>
      </c>
      <c r="AO212" s="1">
        <v>2</v>
      </c>
      <c r="AP212" s="1" t="s">
        <v>1607</v>
      </c>
      <c r="AQ212" s="1" t="s">
        <v>1608</v>
      </c>
      <c r="AR212" s="1">
        <v>0</v>
      </c>
      <c r="AS212" s="1">
        <v>0</v>
      </c>
      <c r="AT212" s="1">
        <v>0</v>
      </c>
      <c r="AU212" s="1">
        <v>0</v>
      </c>
      <c r="AV212" s="1">
        <v>0</v>
      </c>
      <c r="AW212" s="1">
        <v>0</v>
      </c>
      <c r="AX212" s="1">
        <v>0</v>
      </c>
      <c r="AY212" s="1">
        <v>0</v>
      </c>
      <c r="AZ212" s="1">
        <v>0</v>
      </c>
      <c r="BA212" s="1">
        <v>0</v>
      </c>
      <c r="BB212" s="1">
        <v>0</v>
      </c>
      <c r="BC212" s="1">
        <v>0</v>
      </c>
      <c r="BD212" s="1">
        <v>0</v>
      </c>
      <c r="BE212" s="1">
        <v>1</v>
      </c>
      <c r="BF212" s="1">
        <v>0</v>
      </c>
      <c r="BG212" s="1">
        <v>0</v>
      </c>
      <c r="BH212" s="1">
        <v>0</v>
      </c>
      <c r="BI212" s="1">
        <v>0</v>
      </c>
      <c r="BJ212" s="1">
        <v>0</v>
      </c>
      <c r="BK212" s="1">
        <v>0</v>
      </c>
      <c r="BL212" s="1">
        <v>0</v>
      </c>
      <c r="BM212" s="1">
        <v>0</v>
      </c>
      <c r="BN212" s="1">
        <v>0</v>
      </c>
      <c r="BO212" s="1">
        <v>0</v>
      </c>
      <c r="BP212" s="1">
        <v>0</v>
      </c>
      <c r="BQ212" s="2" t="str">
        <f>HYPERLINK("http://www.d20pfsrd.com/magic/all-spells/f/flaming-sphere","Flaming Sphere")</f>
        <v>Flaming Sphere</v>
      </c>
      <c r="BR212" s="1">
        <v>211</v>
      </c>
      <c r="BS212" s="1" t="s">
        <v>104</v>
      </c>
      <c r="BU212" s="1" t="s">
        <v>1609</v>
      </c>
      <c r="BX212" s="1">
        <v>0</v>
      </c>
      <c r="BY212" s="1">
        <v>2</v>
      </c>
      <c r="BZ212" s="1" t="s">
        <v>104</v>
      </c>
      <c r="CA212" s="1" t="s">
        <v>104</v>
      </c>
      <c r="CB212" s="1" t="s">
        <v>104</v>
      </c>
      <c r="CC212" s="1" t="s">
        <v>104</v>
      </c>
      <c r="CD212" s="1">
        <v>2</v>
      </c>
      <c r="CE212" s="1" t="s">
        <v>104</v>
      </c>
      <c r="CF212" s="1" t="s">
        <v>104</v>
      </c>
      <c r="CG212" s="1" t="s">
        <v>104</v>
      </c>
      <c r="CH212" s="1">
        <v>2</v>
      </c>
      <c r="CJ212" s="1">
        <v>0</v>
      </c>
      <c r="CK212" s="1">
        <v>0</v>
      </c>
      <c r="CL212" s="1">
        <v>0</v>
      </c>
      <c r="CM212" s="1" t="s">
        <v>104</v>
      </c>
    </row>
    <row r="213" spans="1:91" ht="14.25" customHeight="1" x14ac:dyDescent="0.3">
      <c r="A213" s="1" t="s">
        <v>1610</v>
      </c>
      <c r="B213" s="1" t="s">
        <v>434</v>
      </c>
      <c r="D213" s="1" t="s">
        <v>61</v>
      </c>
      <c r="E213" s="1" t="s">
        <v>1611</v>
      </c>
      <c r="F213" s="1" t="s">
        <v>95</v>
      </c>
      <c r="G213" s="1" t="s">
        <v>237</v>
      </c>
      <c r="H213" s="1">
        <v>0</v>
      </c>
      <c r="I213" s="1" t="s">
        <v>117</v>
      </c>
      <c r="K213" s="1" t="s">
        <v>1612</v>
      </c>
      <c r="M213" s="1" t="s">
        <v>119</v>
      </c>
      <c r="N213" s="1">
        <v>0</v>
      </c>
      <c r="O213" s="1">
        <v>0</v>
      </c>
      <c r="P213" s="1" t="s">
        <v>183</v>
      </c>
      <c r="Q213" s="1" t="s">
        <v>184</v>
      </c>
      <c r="R213" s="1" t="s">
        <v>1613</v>
      </c>
      <c r="S213" s="1" t="s">
        <v>103</v>
      </c>
      <c r="T213" s="1">
        <v>1</v>
      </c>
      <c r="U213" s="1">
        <v>0</v>
      </c>
      <c r="V213" s="1">
        <v>0</v>
      </c>
      <c r="W213" s="1">
        <v>0</v>
      </c>
      <c r="X213" s="1">
        <v>0</v>
      </c>
      <c r="Y213" s="1">
        <v>0</v>
      </c>
      <c r="Z213" s="1">
        <v>0</v>
      </c>
      <c r="AA213" s="1" t="s">
        <v>104</v>
      </c>
      <c r="AB213" s="1">
        <v>0</v>
      </c>
      <c r="AC213" s="1" t="s">
        <v>104</v>
      </c>
      <c r="AD213" s="1">
        <v>0</v>
      </c>
      <c r="AE213" s="1" t="s">
        <v>104</v>
      </c>
      <c r="AF213" s="1" t="s">
        <v>104</v>
      </c>
      <c r="AG213" s="1" t="s">
        <v>104</v>
      </c>
      <c r="AH213" s="1" t="s">
        <v>104</v>
      </c>
      <c r="AI213" s="1" t="s">
        <v>104</v>
      </c>
      <c r="AJ213" s="1" t="s">
        <v>104</v>
      </c>
      <c r="AK213" s="1" t="s">
        <v>104</v>
      </c>
      <c r="AL213" s="1">
        <v>0</v>
      </c>
      <c r="AM213" s="1" t="s">
        <v>104</v>
      </c>
      <c r="AO213" s="1">
        <v>0</v>
      </c>
      <c r="AQ213" s="1" t="s">
        <v>1614</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0</v>
      </c>
      <c r="BH213" s="1">
        <v>0</v>
      </c>
      <c r="BI213" s="1">
        <v>0</v>
      </c>
      <c r="BJ213" s="1">
        <v>1</v>
      </c>
      <c r="BK213" s="1">
        <v>0</v>
      </c>
      <c r="BL213" s="1">
        <v>0</v>
      </c>
      <c r="BM213" s="1">
        <v>0</v>
      </c>
      <c r="BN213" s="1">
        <v>0</v>
      </c>
      <c r="BO213" s="1">
        <v>0</v>
      </c>
      <c r="BP213" s="1">
        <v>0</v>
      </c>
      <c r="BQ213" s="2" t="str">
        <f>HYPERLINK("http://www.d20pfsrd.com/magic/all-spells/f/flare","Flare")</f>
        <v>Flare</v>
      </c>
      <c r="BR213" s="1">
        <v>212</v>
      </c>
      <c r="BS213" s="1" t="s">
        <v>104</v>
      </c>
      <c r="BX213" s="1">
        <v>0</v>
      </c>
      <c r="BY213" s="1" t="s">
        <v>104</v>
      </c>
      <c r="BZ213" s="1" t="s">
        <v>104</v>
      </c>
      <c r="CA213" s="1">
        <v>0</v>
      </c>
      <c r="CB213" s="1">
        <v>0</v>
      </c>
      <c r="CC213" s="1">
        <v>0</v>
      </c>
      <c r="CD213" s="1">
        <v>0</v>
      </c>
      <c r="CE213" s="1" t="s">
        <v>104</v>
      </c>
      <c r="CF213" s="1" t="s">
        <v>104</v>
      </c>
      <c r="CG213" s="1" t="s">
        <v>104</v>
      </c>
      <c r="CH213" s="1">
        <v>0</v>
      </c>
      <c r="CJ213" s="1">
        <v>0</v>
      </c>
      <c r="CK213" s="1">
        <v>0</v>
      </c>
      <c r="CL213" s="1">
        <v>0</v>
      </c>
      <c r="CM213" s="1" t="s">
        <v>104</v>
      </c>
    </row>
    <row r="214" spans="1:91" ht="14.25" customHeight="1" x14ac:dyDescent="0.3">
      <c r="A214" s="1" t="s">
        <v>1615</v>
      </c>
      <c r="B214" s="1" t="s">
        <v>137</v>
      </c>
      <c r="E214" s="1" t="s">
        <v>1616</v>
      </c>
      <c r="F214" s="1" t="s">
        <v>95</v>
      </c>
      <c r="G214" s="1" t="s">
        <v>1617</v>
      </c>
      <c r="H214" s="1">
        <v>0</v>
      </c>
      <c r="I214" s="1" t="s">
        <v>109</v>
      </c>
      <c r="L214" s="1" t="s">
        <v>1065</v>
      </c>
      <c r="M214" s="1" t="s">
        <v>119</v>
      </c>
      <c r="N214" s="1">
        <v>0</v>
      </c>
      <c r="O214" s="1">
        <v>0</v>
      </c>
      <c r="P214" s="1" t="s">
        <v>183</v>
      </c>
      <c r="Q214" s="1" t="s">
        <v>184</v>
      </c>
      <c r="R214" s="1" t="s">
        <v>1618</v>
      </c>
      <c r="S214" s="1" t="s">
        <v>103</v>
      </c>
      <c r="T214" s="1">
        <v>1</v>
      </c>
      <c r="U214" s="1">
        <v>1</v>
      </c>
      <c r="V214" s="1">
        <v>1</v>
      </c>
      <c r="W214" s="1">
        <v>0</v>
      </c>
      <c r="X214" s="1">
        <v>0</v>
      </c>
      <c r="Y214" s="1">
        <v>6</v>
      </c>
      <c r="Z214" s="1">
        <v>6</v>
      </c>
      <c r="AA214" s="1" t="s">
        <v>104</v>
      </c>
      <c r="AB214" s="1" t="s">
        <v>104</v>
      </c>
      <c r="AC214" s="1" t="s">
        <v>104</v>
      </c>
      <c r="AD214" s="1" t="s">
        <v>104</v>
      </c>
      <c r="AE214" s="1" t="s">
        <v>104</v>
      </c>
      <c r="AF214" s="1" t="s">
        <v>104</v>
      </c>
      <c r="AG214" s="1" t="s">
        <v>104</v>
      </c>
      <c r="AH214" s="1">
        <v>6</v>
      </c>
      <c r="AI214" s="1" t="s">
        <v>104</v>
      </c>
      <c r="AJ214" s="1" t="s">
        <v>104</v>
      </c>
      <c r="AK214" s="1" t="s">
        <v>104</v>
      </c>
      <c r="AL214" s="1">
        <v>6</v>
      </c>
      <c r="AM214" s="1" t="s">
        <v>104</v>
      </c>
      <c r="AO214" s="1">
        <v>6</v>
      </c>
      <c r="AQ214" s="1" t="s">
        <v>1619</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2" t="str">
        <f>HYPERLINK("http://www.d20pfsrd.com/magic/all-spells/f/flesh-to-stone","Flesh to Stone")</f>
        <v>Flesh to Stone</v>
      </c>
      <c r="BR214" s="1">
        <v>213</v>
      </c>
      <c r="BS214" s="1" t="s">
        <v>104</v>
      </c>
      <c r="BU214" s="1" t="s">
        <v>1620</v>
      </c>
      <c r="BX214" s="1">
        <v>0</v>
      </c>
      <c r="BY214" s="1" t="s">
        <v>104</v>
      </c>
      <c r="BZ214" s="1">
        <v>6</v>
      </c>
      <c r="CA214" s="1" t="s">
        <v>104</v>
      </c>
      <c r="CB214" s="1" t="s">
        <v>104</v>
      </c>
      <c r="CC214" s="1" t="s">
        <v>104</v>
      </c>
      <c r="CD214" s="1" t="s">
        <v>104</v>
      </c>
      <c r="CE214" s="1" t="s">
        <v>104</v>
      </c>
      <c r="CF214" s="1" t="s">
        <v>104</v>
      </c>
      <c r="CG214" s="1" t="s">
        <v>104</v>
      </c>
      <c r="CH214" s="1" t="s">
        <v>104</v>
      </c>
      <c r="CJ214" s="1">
        <v>0</v>
      </c>
      <c r="CK214" s="1">
        <v>0</v>
      </c>
      <c r="CL214" s="1">
        <v>0</v>
      </c>
      <c r="CM214" s="1" t="s">
        <v>104</v>
      </c>
    </row>
    <row r="215" spans="1:91" ht="14.25" customHeight="1" x14ac:dyDescent="0.3">
      <c r="A215" s="1" t="s">
        <v>1621</v>
      </c>
      <c r="B215" s="1" t="s">
        <v>434</v>
      </c>
      <c r="D215" s="1" t="s">
        <v>57</v>
      </c>
      <c r="E215" s="1" t="s">
        <v>1622</v>
      </c>
      <c r="F215" s="1" t="s">
        <v>95</v>
      </c>
      <c r="G215" s="1" t="s">
        <v>1623</v>
      </c>
      <c r="H215" s="1">
        <v>0</v>
      </c>
      <c r="I215" s="1" t="s">
        <v>117</v>
      </c>
      <c r="K215" s="1" t="s">
        <v>1624</v>
      </c>
      <c r="M215" s="1" t="s">
        <v>201</v>
      </c>
      <c r="N215" s="1">
        <v>0</v>
      </c>
      <c r="O215" s="1">
        <v>0</v>
      </c>
      <c r="P215" s="1" t="s">
        <v>100</v>
      </c>
      <c r="Q215" s="1" t="s">
        <v>101</v>
      </c>
      <c r="R215" s="1" t="s">
        <v>1625</v>
      </c>
      <c r="S215" s="1" t="s">
        <v>103</v>
      </c>
      <c r="T215" s="1">
        <v>1</v>
      </c>
      <c r="U215" s="1">
        <v>1</v>
      </c>
      <c r="V215" s="1">
        <v>1</v>
      </c>
      <c r="W215" s="1">
        <v>0</v>
      </c>
      <c r="X215" s="1">
        <v>0</v>
      </c>
      <c r="Y215" s="1">
        <v>1</v>
      </c>
      <c r="Z215" s="1">
        <v>1</v>
      </c>
      <c r="AA215" s="1" t="s">
        <v>104</v>
      </c>
      <c r="AB215" s="1" t="s">
        <v>104</v>
      </c>
      <c r="AC215" s="1" t="s">
        <v>104</v>
      </c>
      <c r="AD215" s="1" t="s">
        <v>104</v>
      </c>
      <c r="AE215" s="1" t="s">
        <v>104</v>
      </c>
      <c r="AF215" s="1" t="s">
        <v>104</v>
      </c>
      <c r="AG215" s="1" t="s">
        <v>104</v>
      </c>
      <c r="AH215" s="1" t="s">
        <v>104</v>
      </c>
      <c r="AI215" s="1" t="s">
        <v>104</v>
      </c>
      <c r="AJ215" s="1" t="s">
        <v>104</v>
      </c>
      <c r="AK215" s="1" t="s">
        <v>104</v>
      </c>
      <c r="AL215" s="1">
        <v>1</v>
      </c>
      <c r="AM215" s="1" t="s">
        <v>104</v>
      </c>
      <c r="AO215" s="1">
        <v>1</v>
      </c>
      <c r="AP215" s="1" t="s">
        <v>1626</v>
      </c>
      <c r="AQ215" s="1" t="s">
        <v>1627</v>
      </c>
      <c r="AR215" s="1">
        <v>0</v>
      </c>
      <c r="AS215" s="1">
        <v>0</v>
      </c>
      <c r="AT215" s="1">
        <v>0</v>
      </c>
      <c r="AU215" s="1">
        <v>0</v>
      </c>
      <c r="AV215" s="1">
        <v>0</v>
      </c>
      <c r="AW215" s="1">
        <v>0</v>
      </c>
      <c r="AX215" s="1">
        <v>0</v>
      </c>
      <c r="AY215" s="1">
        <v>0</v>
      </c>
      <c r="AZ215" s="1">
        <v>0</v>
      </c>
      <c r="BA215" s="1">
        <v>0</v>
      </c>
      <c r="BB215" s="1">
        <v>0</v>
      </c>
      <c r="BC215" s="1">
        <v>0</v>
      </c>
      <c r="BD215" s="1">
        <v>0</v>
      </c>
      <c r="BE215" s="1">
        <v>0</v>
      </c>
      <c r="BF215" s="1">
        <v>1</v>
      </c>
      <c r="BG215" s="1">
        <v>0</v>
      </c>
      <c r="BH215" s="1">
        <v>0</v>
      </c>
      <c r="BI215" s="1">
        <v>0</v>
      </c>
      <c r="BJ215" s="1">
        <v>0</v>
      </c>
      <c r="BK215" s="1">
        <v>0</v>
      </c>
      <c r="BL215" s="1">
        <v>0</v>
      </c>
      <c r="BM215" s="1">
        <v>0</v>
      </c>
      <c r="BN215" s="1">
        <v>0</v>
      </c>
      <c r="BO215" s="1">
        <v>0</v>
      </c>
      <c r="BP215" s="1">
        <v>0</v>
      </c>
      <c r="BQ215" s="2" t="str">
        <f>HYPERLINK("http://www.d20pfsrd.com/magic/all-spells/f/floating-disk","Floating Disk")</f>
        <v>Floating Disk</v>
      </c>
      <c r="BR215" s="1">
        <v>214</v>
      </c>
      <c r="BS215" s="1" t="s">
        <v>104</v>
      </c>
      <c r="BX215" s="1">
        <v>0</v>
      </c>
      <c r="BY215" s="1" t="s">
        <v>104</v>
      </c>
      <c r="BZ215" s="1" t="s">
        <v>104</v>
      </c>
      <c r="CA215" s="1">
        <v>1</v>
      </c>
      <c r="CB215" s="1" t="s">
        <v>104</v>
      </c>
      <c r="CC215" s="1" t="s">
        <v>104</v>
      </c>
      <c r="CD215" s="1">
        <v>1</v>
      </c>
      <c r="CE215" s="1" t="s">
        <v>104</v>
      </c>
      <c r="CF215" s="1" t="s">
        <v>104</v>
      </c>
      <c r="CG215" s="1" t="s">
        <v>104</v>
      </c>
      <c r="CH215" s="1" t="s">
        <v>104</v>
      </c>
      <c r="CJ215" s="1">
        <v>0</v>
      </c>
      <c r="CK215" s="1">
        <v>0</v>
      </c>
      <c r="CL215" s="1">
        <v>0</v>
      </c>
      <c r="CM215" s="1" t="s">
        <v>104</v>
      </c>
    </row>
    <row r="216" spans="1:91" ht="14.25" customHeight="1" x14ac:dyDescent="0.3">
      <c r="A216" s="1" t="s">
        <v>1628</v>
      </c>
      <c r="B216" s="1" t="s">
        <v>137</v>
      </c>
      <c r="E216" s="1" t="s">
        <v>1629</v>
      </c>
      <c r="F216" s="1" t="s">
        <v>95</v>
      </c>
      <c r="G216" s="1" t="s">
        <v>1630</v>
      </c>
      <c r="H216" s="1">
        <v>0</v>
      </c>
      <c r="I216" s="1" t="s">
        <v>128</v>
      </c>
      <c r="L216" s="1" t="s">
        <v>374</v>
      </c>
      <c r="M216" s="1" t="s">
        <v>130</v>
      </c>
      <c r="N216" s="1">
        <v>0</v>
      </c>
      <c r="O216" s="1">
        <v>0</v>
      </c>
      <c r="P216" s="1" t="s">
        <v>375</v>
      </c>
      <c r="Q216" s="1" t="s">
        <v>131</v>
      </c>
      <c r="R216" s="1" t="s">
        <v>1631</v>
      </c>
      <c r="S216" s="1" t="s">
        <v>103</v>
      </c>
      <c r="T216" s="1">
        <v>1</v>
      </c>
      <c r="U216" s="1">
        <v>1</v>
      </c>
      <c r="V216" s="1">
        <v>0</v>
      </c>
      <c r="W216" s="1">
        <v>0</v>
      </c>
      <c r="X216" s="1">
        <v>0</v>
      </c>
      <c r="Y216" s="1">
        <v>3</v>
      </c>
      <c r="Z216" s="1">
        <v>3</v>
      </c>
      <c r="AA216" s="1" t="s">
        <v>104</v>
      </c>
      <c r="AB216" s="1" t="s">
        <v>104</v>
      </c>
      <c r="AC216" s="1" t="s">
        <v>104</v>
      </c>
      <c r="AD216" s="1" t="s">
        <v>104</v>
      </c>
      <c r="AE216" s="1" t="s">
        <v>104</v>
      </c>
      <c r="AF216" s="1">
        <v>3</v>
      </c>
      <c r="AG216" s="1">
        <v>3</v>
      </c>
      <c r="AH216" s="1">
        <v>3</v>
      </c>
      <c r="AI216" s="1" t="s">
        <v>104</v>
      </c>
      <c r="AJ216" s="1" t="s">
        <v>104</v>
      </c>
      <c r="AK216" s="1" t="s">
        <v>104</v>
      </c>
      <c r="AL216" s="1">
        <v>3</v>
      </c>
      <c r="AM216" s="1" t="s">
        <v>104</v>
      </c>
      <c r="AO216" s="1">
        <v>3</v>
      </c>
      <c r="AP216" s="1" t="s">
        <v>1632</v>
      </c>
      <c r="AQ216" s="1" t="s">
        <v>1633</v>
      </c>
      <c r="AR216" s="1">
        <v>0</v>
      </c>
      <c r="AS216" s="1">
        <v>0</v>
      </c>
      <c r="AT216" s="1">
        <v>0</v>
      </c>
      <c r="AU216" s="1">
        <v>0</v>
      </c>
      <c r="AV216" s="1">
        <v>0</v>
      </c>
      <c r="AW216" s="1">
        <v>0</v>
      </c>
      <c r="AX216" s="1">
        <v>0</v>
      </c>
      <c r="AY216" s="1">
        <v>0</v>
      </c>
      <c r="AZ216" s="1">
        <v>0</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2" t="str">
        <f>HYPERLINK("http://www.d20pfsrd.com/magic/all-spells/f/fly","Fly")</f>
        <v>Fly</v>
      </c>
      <c r="BR216" s="1">
        <v>215</v>
      </c>
      <c r="BS216" s="1" t="s">
        <v>104</v>
      </c>
      <c r="BT216" s="1" t="s">
        <v>1634</v>
      </c>
      <c r="BV216" s="1" t="s">
        <v>1635</v>
      </c>
      <c r="BW216" s="1" t="s">
        <v>1636</v>
      </c>
      <c r="BX216" s="1">
        <v>1</v>
      </c>
      <c r="BY216" s="1">
        <v>3</v>
      </c>
      <c r="BZ216" s="1">
        <v>3</v>
      </c>
      <c r="CA216" s="1">
        <v>3</v>
      </c>
      <c r="CB216" s="1">
        <v>3</v>
      </c>
      <c r="CC216" s="1" t="s">
        <v>104</v>
      </c>
      <c r="CD216" s="1">
        <v>3</v>
      </c>
      <c r="CE216" s="1">
        <v>3</v>
      </c>
      <c r="CF216" s="1" t="s">
        <v>104</v>
      </c>
      <c r="CG216" s="1" t="s">
        <v>104</v>
      </c>
      <c r="CH216" s="1" t="s">
        <v>104</v>
      </c>
      <c r="CJ216" s="1">
        <v>0</v>
      </c>
      <c r="CK216" s="1">
        <v>0</v>
      </c>
      <c r="CL216" s="1">
        <v>0</v>
      </c>
      <c r="CM216" s="1">
        <v>3</v>
      </c>
    </row>
    <row r="217" spans="1:91" ht="14.25" customHeight="1" x14ac:dyDescent="0.3">
      <c r="A217" s="1" t="s">
        <v>1637</v>
      </c>
      <c r="B217" s="1" t="s">
        <v>92</v>
      </c>
      <c r="C217" s="1" t="s">
        <v>93</v>
      </c>
      <c r="E217" s="1" t="s">
        <v>1638</v>
      </c>
      <c r="F217" s="1" t="s">
        <v>95</v>
      </c>
      <c r="G217" s="1" t="s">
        <v>116</v>
      </c>
      <c r="H217" s="1">
        <v>0</v>
      </c>
      <c r="I217" s="1" t="s">
        <v>1639</v>
      </c>
      <c r="K217" s="1" t="s">
        <v>1640</v>
      </c>
      <c r="M217" s="1" t="s">
        <v>140</v>
      </c>
      <c r="N217" s="1">
        <v>0</v>
      </c>
      <c r="O217" s="1">
        <v>0</v>
      </c>
      <c r="P217" s="1" t="s">
        <v>100</v>
      </c>
      <c r="Q217" s="1" t="s">
        <v>101</v>
      </c>
      <c r="R217" s="1" t="s">
        <v>1641</v>
      </c>
      <c r="S217" s="1" t="s">
        <v>103</v>
      </c>
      <c r="T217" s="1">
        <v>1</v>
      </c>
      <c r="U217" s="1">
        <v>1</v>
      </c>
      <c r="V217" s="1">
        <v>0</v>
      </c>
      <c r="W217" s="1">
        <v>0</v>
      </c>
      <c r="X217" s="1">
        <v>0</v>
      </c>
      <c r="Y217" s="1">
        <v>2</v>
      </c>
      <c r="Z217" s="1">
        <v>2</v>
      </c>
      <c r="AA217" s="1" t="s">
        <v>104</v>
      </c>
      <c r="AB217" s="1">
        <v>2</v>
      </c>
      <c r="AC217" s="1" t="s">
        <v>104</v>
      </c>
      <c r="AD217" s="1" t="s">
        <v>104</v>
      </c>
      <c r="AE217" s="1" t="s">
        <v>104</v>
      </c>
      <c r="AF217" s="1" t="s">
        <v>104</v>
      </c>
      <c r="AG217" s="1" t="s">
        <v>104</v>
      </c>
      <c r="AH217" s="1">
        <v>2</v>
      </c>
      <c r="AI217" s="1" t="s">
        <v>104</v>
      </c>
      <c r="AJ217" s="1" t="s">
        <v>104</v>
      </c>
      <c r="AK217" s="1" t="s">
        <v>104</v>
      </c>
      <c r="AL217" s="1">
        <v>2</v>
      </c>
      <c r="AM217" s="1" t="s">
        <v>104</v>
      </c>
      <c r="AO217" s="1">
        <v>2</v>
      </c>
      <c r="AP217" s="1" t="s">
        <v>1642</v>
      </c>
      <c r="AQ217" s="1" t="s">
        <v>1643</v>
      </c>
      <c r="AR217" s="1">
        <v>0</v>
      </c>
      <c r="AS217" s="1">
        <v>0</v>
      </c>
      <c r="AT217" s="1">
        <v>0</v>
      </c>
      <c r="AU217" s="1">
        <v>0</v>
      </c>
      <c r="AV217" s="1">
        <v>0</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0</v>
      </c>
      <c r="BO217" s="1">
        <v>0</v>
      </c>
      <c r="BP217" s="1">
        <v>0</v>
      </c>
      <c r="BQ217" s="2" t="str">
        <f>HYPERLINK("http://www.d20pfsrd.com/magic/all-spells/f/fog-cloud","Fog Cloud")</f>
        <v>Fog Cloud</v>
      </c>
      <c r="BR217" s="1">
        <v>216</v>
      </c>
      <c r="BS217" s="1" t="s">
        <v>104</v>
      </c>
      <c r="BU217" s="1" t="s">
        <v>1644</v>
      </c>
      <c r="BV217" s="1" t="s">
        <v>1645</v>
      </c>
      <c r="BW217" s="1" t="s">
        <v>1646</v>
      </c>
      <c r="BX217" s="1">
        <v>1</v>
      </c>
      <c r="BY217" s="1" t="s">
        <v>104</v>
      </c>
      <c r="BZ217" s="1">
        <v>2</v>
      </c>
      <c r="CA217" s="1" t="s">
        <v>104</v>
      </c>
      <c r="CB217" s="1" t="s">
        <v>104</v>
      </c>
      <c r="CC217" s="1" t="s">
        <v>104</v>
      </c>
      <c r="CD217" s="1" t="s">
        <v>104</v>
      </c>
      <c r="CE217" s="1" t="s">
        <v>104</v>
      </c>
      <c r="CF217" s="1" t="s">
        <v>104</v>
      </c>
      <c r="CG217" s="1" t="s">
        <v>104</v>
      </c>
      <c r="CH217" s="1">
        <v>2</v>
      </c>
      <c r="CJ217" s="1">
        <v>0</v>
      </c>
      <c r="CK217" s="1">
        <v>0</v>
      </c>
      <c r="CL217" s="1">
        <v>0</v>
      </c>
      <c r="CM217" s="1">
        <v>2</v>
      </c>
    </row>
    <row r="218" spans="1:91" ht="14.25" customHeight="1" x14ac:dyDescent="0.3">
      <c r="A218" s="1" t="s">
        <v>1647</v>
      </c>
      <c r="B218" s="1" t="s">
        <v>162</v>
      </c>
      <c r="E218" s="1" t="s">
        <v>1648</v>
      </c>
      <c r="F218" s="1" t="s">
        <v>1649</v>
      </c>
      <c r="G218" s="1" t="s">
        <v>1650</v>
      </c>
      <c r="H218" s="1">
        <v>1</v>
      </c>
      <c r="I218" s="1" t="s">
        <v>109</v>
      </c>
      <c r="J218" s="1" t="s">
        <v>1651</v>
      </c>
      <c r="M218" s="1" t="s">
        <v>298</v>
      </c>
      <c r="N218" s="1">
        <v>0</v>
      </c>
      <c r="O218" s="1">
        <v>1</v>
      </c>
      <c r="P218" s="1" t="s">
        <v>145</v>
      </c>
      <c r="Q218" s="1" t="s">
        <v>184</v>
      </c>
      <c r="R218" s="1" t="s">
        <v>1652</v>
      </c>
      <c r="S218" s="1" t="s">
        <v>103</v>
      </c>
      <c r="T218" s="1">
        <v>1</v>
      </c>
      <c r="U218" s="1">
        <v>1</v>
      </c>
      <c r="V218" s="1">
        <v>1</v>
      </c>
      <c r="W218" s="1">
        <v>0</v>
      </c>
      <c r="X218" s="1">
        <v>1</v>
      </c>
      <c r="Y218" s="1" t="s">
        <v>104</v>
      </c>
      <c r="Z218" s="1" t="s">
        <v>104</v>
      </c>
      <c r="AA218" s="1">
        <v>6</v>
      </c>
      <c r="AB218" s="1" t="s">
        <v>104</v>
      </c>
      <c r="AC218" s="1" t="s">
        <v>104</v>
      </c>
      <c r="AD218" s="1" t="s">
        <v>104</v>
      </c>
      <c r="AE218" s="1" t="s">
        <v>104</v>
      </c>
      <c r="AF218" s="1" t="s">
        <v>104</v>
      </c>
      <c r="AG218" s="1" t="s">
        <v>104</v>
      </c>
      <c r="AH218" s="1" t="s">
        <v>104</v>
      </c>
      <c r="AI218" s="1">
        <v>6</v>
      </c>
      <c r="AJ218" s="1">
        <v>6</v>
      </c>
      <c r="AK218" s="1" t="s">
        <v>104</v>
      </c>
      <c r="AL218" s="1" t="s">
        <v>104</v>
      </c>
      <c r="AM218" s="1" t="s">
        <v>104</v>
      </c>
      <c r="AO218" s="1">
        <v>6</v>
      </c>
      <c r="AQ218" s="1" t="s">
        <v>1653</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2" t="str">
        <f>HYPERLINK("http://www.d20pfsrd.com/magic/all-spells/f/forbiddance","Forbiddance")</f>
        <v>Forbiddance</v>
      </c>
      <c r="BR218" s="1">
        <v>217</v>
      </c>
      <c r="BS218" s="1">
        <v>1500</v>
      </c>
      <c r="BX218" s="1">
        <v>0</v>
      </c>
      <c r="BY218" s="1" t="s">
        <v>104</v>
      </c>
      <c r="BZ218" s="1" t="s">
        <v>104</v>
      </c>
      <c r="CA218" s="1" t="s">
        <v>104</v>
      </c>
      <c r="CB218" s="1" t="s">
        <v>104</v>
      </c>
      <c r="CC218" s="1" t="s">
        <v>104</v>
      </c>
      <c r="CD218" s="1">
        <v>6</v>
      </c>
      <c r="CE218" s="1" t="s">
        <v>104</v>
      </c>
      <c r="CF218" s="1" t="s">
        <v>104</v>
      </c>
      <c r="CG218" s="1" t="s">
        <v>104</v>
      </c>
      <c r="CH218" s="1" t="s">
        <v>104</v>
      </c>
      <c r="CJ218" s="1">
        <v>0</v>
      </c>
      <c r="CK218" s="1">
        <v>0</v>
      </c>
      <c r="CL218" s="1">
        <v>0</v>
      </c>
      <c r="CM218" s="1" t="s">
        <v>104</v>
      </c>
    </row>
    <row r="219" spans="1:91" ht="14.25" customHeight="1" x14ac:dyDescent="0.3">
      <c r="A219" s="1" t="s">
        <v>1654</v>
      </c>
      <c r="B219" s="1" t="s">
        <v>434</v>
      </c>
      <c r="D219" s="1" t="s">
        <v>57</v>
      </c>
      <c r="E219" s="1" t="s">
        <v>1655</v>
      </c>
      <c r="F219" s="1" t="s">
        <v>95</v>
      </c>
      <c r="G219" s="1" t="s">
        <v>1656</v>
      </c>
      <c r="H219" s="1">
        <v>1</v>
      </c>
      <c r="I219" s="1" t="s">
        <v>117</v>
      </c>
      <c r="J219" s="1" t="s">
        <v>1657</v>
      </c>
      <c r="M219" s="1" t="s">
        <v>111</v>
      </c>
      <c r="N219" s="1">
        <v>1</v>
      </c>
      <c r="O219" s="1">
        <v>0</v>
      </c>
      <c r="P219" s="1" t="s">
        <v>1605</v>
      </c>
      <c r="Q219" s="1" t="s">
        <v>101</v>
      </c>
      <c r="R219" s="1" t="s">
        <v>1658</v>
      </c>
      <c r="S219" s="1" t="s">
        <v>103</v>
      </c>
      <c r="T219" s="1">
        <v>1</v>
      </c>
      <c r="U219" s="1">
        <v>1</v>
      </c>
      <c r="V219" s="1">
        <v>1</v>
      </c>
      <c r="W219" s="1">
        <v>0</v>
      </c>
      <c r="X219" s="1">
        <v>0</v>
      </c>
      <c r="Y219" s="1">
        <v>7</v>
      </c>
      <c r="Z219" s="1">
        <v>7</v>
      </c>
      <c r="AA219" s="1" t="s">
        <v>104</v>
      </c>
      <c r="AB219" s="1" t="s">
        <v>104</v>
      </c>
      <c r="AC219" s="1" t="s">
        <v>104</v>
      </c>
      <c r="AD219" s="1" t="s">
        <v>104</v>
      </c>
      <c r="AE219" s="1" t="s">
        <v>104</v>
      </c>
      <c r="AF219" s="1" t="s">
        <v>104</v>
      </c>
      <c r="AG219" s="1" t="s">
        <v>104</v>
      </c>
      <c r="AH219" s="1" t="s">
        <v>104</v>
      </c>
      <c r="AI219" s="1" t="s">
        <v>104</v>
      </c>
      <c r="AJ219" s="1" t="s">
        <v>104</v>
      </c>
      <c r="AK219" s="1" t="s">
        <v>104</v>
      </c>
      <c r="AL219" s="1" t="s">
        <v>104</v>
      </c>
      <c r="AM219" s="1" t="s">
        <v>104</v>
      </c>
      <c r="AO219" s="1">
        <v>7</v>
      </c>
      <c r="AQ219" s="1" t="s">
        <v>1659</v>
      </c>
      <c r="AR219" s="1">
        <v>0</v>
      </c>
      <c r="AS219" s="1">
        <v>0</v>
      </c>
      <c r="AT219" s="1">
        <v>0</v>
      </c>
      <c r="AU219" s="1">
        <v>0</v>
      </c>
      <c r="AV219" s="1">
        <v>0</v>
      </c>
      <c r="AW219" s="1">
        <v>0</v>
      </c>
      <c r="AX219" s="1">
        <v>0</v>
      </c>
      <c r="AY219" s="1">
        <v>0</v>
      </c>
      <c r="AZ219" s="1">
        <v>0</v>
      </c>
      <c r="BA219" s="1">
        <v>0</v>
      </c>
      <c r="BB219" s="1">
        <v>0</v>
      </c>
      <c r="BC219" s="1">
        <v>0</v>
      </c>
      <c r="BD219" s="1">
        <v>0</v>
      </c>
      <c r="BE219" s="1">
        <v>0</v>
      </c>
      <c r="BF219" s="1">
        <v>1</v>
      </c>
      <c r="BG219" s="1">
        <v>0</v>
      </c>
      <c r="BH219" s="1">
        <v>0</v>
      </c>
      <c r="BI219" s="1">
        <v>0</v>
      </c>
      <c r="BJ219" s="1">
        <v>0</v>
      </c>
      <c r="BK219" s="1">
        <v>0</v>
      </c>
      <c r="BL219" s="1">
        <v>0</v>
      </c>
      <c r="BM219" s="1">
        <v>0</v>
      </c>
      <c r="BN219" s="1">
        <v>0</v>
      </c>
      <c r="BO219" s="1">
        <v>0</v>
      </c>
      <c r="BP219" s="1">
        <v>0</v>
      </c>
      <c r="BQ219" s="2" t="str">
        <f>HYPERLINK("http://www.d20pfsrd.com/magic/all-spells/f/forcecage","Forcecage")</f>
        <v>Forcecage</v>
      </c>
      <c r="BR219" s="1">
        <v>218</v>
      </c>
      <c r="BS219" s="1">
        <v>500</v>
      </c>
      <c r="BU219" s="1" t="s">
        <v>1660</v>
      </c>
      <c r="BX219" s="1">
        <v>0</v>
      </c>
      <c r="BY219" s="1" t="s">
        <v>104</v>
      </c>
      <c r="BZ219" s="1" t="s">
        <v>104</v>
      </c>
      <c r="CA219" s="1">
        <v>7</v>
      </c>
      <c r="CB219" s="1" t="s">
        <v>104</v>
      </c>
      <c r="CC219" s="1" t="s">
        <v>104</v>
      </c>
      <c r="CD219" s="1" t="s">
        <v>104</v>
      </c>
      <c r="CE219" s="1" t="s">
        <v>104</v>
      </c>
      <c r="CF219" s="1" t="s">
        <v>104</v>
      </c>
      <c r="CG219" s="1" t="s">
        <v>104</v>
      </c>
      <c r="CH219" s="1" t="s">
        <v>104</v>
      </c>
      <c r="CJ219" s="1">
        <v>0</v>
      </c>
      <c r="CK219" s="1">
        <v>0</v>
      </c>
      <c r="CL219" s="1">
        <v>0</v>
      </c>
      <c r="CM219" s="1" t="s">
        <v>104</v>
      </c>
    </row>
    <row r="220" spans="1:91" ht="14.25" customHeight="1" x14ac:dyDescent="0.3">
      <c r="A220" s="1" t="s">
        <v>1661</v>
      </c>
      <c r="B220" s="1" t="s">
        <v>434</v>
      </c>
      <c r="D220" s="1" t="s">
        <v>57</v>
      </c>
      <c r="E220" s="1" t="s">
        <v>1662</v>
      </c>
      <c r="F220" s="1" t="s">
        <v>95</v>
      </c>
      <c r="G220" s="1" t="s">
        <v>920</v>
      </c>
      <c r="H220" s="1">
        <v>0</v>
      </c>
      <c r="I220" s="1" t="s">
        <v>109</v>
      </c>
      <c r="K220" s="1" t="s">
        <v>690</v>
      </c>
      <c r="M220" s="1" t="s">
        <v>111</v>
      </c>
      <c r="N220" s="1">
        <v>1</v>
      </c>
      <c r="O220" s="1">
        <v>0</v>
      </c>
      <c r="P220" s="1" t="s">
        <v>100</v>
      </c>
      <c r="Q220" s="1" t="s">
        <v>184</v>
      </c>
      <c r="R220" s="1" t="s">
        <v>1663</v>
      </c>
      <c r="S220" s="1" t="s">
        <v>103</v>
      </c>
      <c r="T220" s="1">
        <v>1</v>
      </c>
      <c r="U220" s="1">
        <v>1</v>
      </c>
      <c r="V220" s="1">
        <v>0</v>
      </c>
      <c r="W220" s="1">
        <v>1</v>
      </c>
      <c r="X220" s="1">
        <v>0</v>
      </c>
      <c r="Y220" s="1">
        <v>6</v>
      </c>
      <c r="Z220" s="1">
        <v>6</v>
      </c>
      <c r="AA220" s="1" t="s">
        <v>104</v>
      </c>
      <c r="AB220" s="1" t="s">
        <v>104</v>
      </c>
      <c r="AC220" s="1" t="s">
        <v>104</v>
      </c>
      <c r="AD220" s="1" t="s">
        <v>104</v>
      </c>
      <c r="AE220" s="1" t="s">
        <v>104</v>
      </c>
      <c r="AF220" s="1" t="s">
        <v>104</v>
      </c>
      <c r="AG220" s="1" t="s">
        <v>104</v>
      </c>
      <c r="AH220" s="1" t="s">
        <v>104</v>
      </c>
      <c r="AI220" s="1" t="s">
        <v>104</v>
      </c>
      <c r="AJ220" s="1" t="s">
        <v>104</v>
      </c>
      <c r="AK220" s="1" t="s">
        <v>104</v>
      </c>
      <c r="AL220" s="1">
        <v>6</v>
      </c>
      <c r="AM220" s="1" t="s">
        <v>104</v>
      </c>
      <c r="AO220" s="1">
        <v>6</v>
      </c>
      <c r="AQ220" s="1" t="s">
        <v>1664</v>
      </c>
      <c r="AR220" s="1">
        <v>0</v>
      </c>
      <c r="AS220" s="1">
        <v>0</v>
      </c>
      <c r="AT220" s="1">
        <v>0</v>
      </c>
      <c r="AU220" s="1">
        <v>0</v>
      </c>
      <c r="AV220" s="1">
        <v>0</v>
      </c>
      <c r="AW220" s="1">
        <v>0</v>
      </c>
      <c r="AX220" s="1">
        <v>0</v>
      </c>
      <c r="AY220" s="1">
        <v>0</v>
      </c>
      <c r="AZ220" s="1">
        <v>0</v>
      </c>
      <c r="BA220" s="1">
        <v>0</v>
      </c>
      <c r="BB220" s="1">
        <v>0</v>
      </c>
      <c r="BC220" s="1">
        <v>0</v>
      </c>
      <c r="BD220" s="1">
        <v>0</v>
      </c>
      <c r="BE220" s="1">
        <v>0</v>
      </c>
      <c r="BF220" s="1">
        <v>1</v>
      </c>
      <c r="BG220" s="1">
        <v>0</v>
      </c>
      <c r="BH220" s="1">
        <v>0</v>
      </c>
      <c r="BI220" s="1">
        <v>0</v>
      </c>
      <c r="BJ220" s="1">
        <v>0</v>
      </c>
      <c r="BK220" s="1">
        <v>0</v>
      </c>
      <c r="BL220" s="1">
        <v>0</v>
      </c>
      <c r="BM220" s="1">
        <v>0</v>
      </c>
      <c r="BN220" s="1">
        <v>0</v>
      </c>
      <c r="BO220" s="1">
        <v>0</v>
      </c>
      <c r="BP220" s="1">
        <v>0</v>
      </c>
      <c r="BQ220" s="2" t="str">
        <f>HYPERLINK("http://www.d20pfsrd.com/magic/all-spells/f/forceful-hand","Forceful Hand")</f>
        <v>Forceful Hand</v>
      </c>
      <c r="BR220" s="1">
        <v>219</v>
      </c>
      <c r="BS220" s="1" t="s">
        <v>104</v>
      </c>
      <c r="BX220" s="1">
        <v>0</v>
      </c>
      <c r="BY220" s="1" t="s">
        <v>104</v>
      </c>
      <c r="BZ220" s="1" t="s">
        <v>104</v>
      </c>
      <c r="CA220" s="1">
        <v>6</v>
      </c>
      <c r="CB220" s="1" t="s">
        <v>104</v>
      </c>
      <c r="CC220" s="1" t="s">
        <v>104</v>
      </c>
      <c r="CD220" s="1">
        <v>6</v>
      </c>
      <c r="CE220" s="1" t="s">
        <v>104</v>
      </c>
      <c r="CF220" s="1" t="s">
        <v>104</v>
      </c>
      <c r="CG220" s="1" t="s">
        <v>104</v>
      </c>
      <c r="CH220" s="1" t="s">
        <v>104</v>
      </c>
      <c r="CJ220" s="1">
        <v>0</v>
      </c>
      <c r="CK220" s="1">
        <v>0</v>
      </c>
      <c r="CL220" s="1">
        <v>0</v>
      </c>
      <c r="CM220" s="1" t="s">
        <v>104</v>
      </c>
    </row>
    <row r="221" spans="1:91" ht="14.25" customHeight="1" x14ac:dyDescent="0.3">
      <c r="A221" s="1" t="s">
        <v>1665</v>
      </c>
      <c r="B221" s="1" t="s">
        <v>172</v>
      </c>
      <c r="E221" s="1" t="s">
        <v>1666</v>
      </c>
      <c r="F221" s="1" t="s">
        <v>95</v>
      </c>
      <c r="G221" s="1" t="s">
        <v>1667</v>
      </c>
      <c r="H221" s="1">
        <v>0</v>
      </c>
      <c r="I221" s="1" t="s">
        <v>1521</v>
      </c>
      <c r="L221" s="1" t="s">
        <v>145</v>
      </c>
      <c r="M221" s="1" t="s">
        <v>140</v>
      </c>
      <c r="N221" s="1">
        <v>0</v>
      </c>
      <c r="O221" s="1">
        <v>0</v>
      </c>
      <c r="P221" s="1" t="s">
        <v>1523</v>
      </c>
      <c r="Q221" s="1" t="s">
        <v>1524</v>
      </c>
      <c r="R221" s="1" t="s">
        <v>1668</v>
      </c>
      <c r="S221" s="1" t="s">
        <v>103</v>
      </c>
      <c r="T221" s="1">
        <v>1</v>
      </c>
      <c r="U221" s="1">
        <v>1</v>
      </c>
      <c r="V221" s="1">
        <v>1</v>
      </c>
      <c r="W221" s="1">
        <v>0</v>
      </c>
      <c r="X221" s="1">
        <v>1</v>
      </c>
      <c r="Y221" s="1">
        <v>9</v>
      </c>
      <c r="Z221" s="1">
        <v>9</v>
      </c>
      <c r="AA221" s="1" t="s">
        <v>104</v>
      </c>
      <c r="AB221" s="1">
        <v>9</v>
      </c>
      <c r="AC221" s="1" t="s">
        <v>104</v>
      </c>
      <c r="AD221" s="1" t="s">
        <v>104</v>
      </c>
      <c r="AE221" s="1" t="s">
        <v>104</v>
      </c>
      <c r="AF221" s="1" t="s">
        <v>104</v>
      </c>
      <c r="AG221" s="1" t="s">
        <v>104</v>
      </c>
      <c r="AH221" s="1">
        <v>9</v>
      </c>
      <c r="AI221" s="1" t="s">
        <v>104</v>
      </c>
      <c r="AJ221" s="1" t="s">
        <v>104</v>
      </c>
      <c r="AK221" s="1" t="s">
        <v>104</v>
      </c>
      <c r="AL221" s="1" t="s">
        <v>104</v>
      </c>
      <c r="AM221" s="1" t="s">
        <v>104</v>
      </c>
      <c r="AO221" s="1">
        <v>9</v>
      </c>
      <c r="AP221" s="1" t="s">
        <v>1669</v>
      </c>
      <c r="AQ221" s="1" t="s">
        <v>1670</v>
      </c>
      <c r="AR221" s="1">
        <v>0</v>
      </c>
      <c r="AS221" s="1">
        <v>0</v>
      </c>
      <c r="AT221" s="1">
        <v>0</v>
      </c>
      <c r="AU221" s="1">
        <v>0</v>
      </c>
      <c r="AV221" s="1">
        <v>0</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2" t="str">
        <f>HYPERLINK("http://www.d20pfsrd.com/magic/all-spells/f/foresight","Foresight")</f>
        <v>Foresight</v>
      </c>
      <c r="BR221" s="1">
        <v>220</v>
      </c>
      <c r="BS221" s="1" t="s">
        <v>104</v>
      </c>
      <c r="BT221" s="1" t="s">
        <v>1671</v>
      </c>
      <c r="BU221" s="1" t="s">
        <v>1672</v>
      </c>
      <c r="BV221" s="1" t="s">
        <v>1673</v>
      </c>
      <c r="BX221" s="1">
        <v>1</v>
      </c>
      <c r="BY221" s="1" t="s">
        <v>104</v>
      </c>
      <c r="BZ221" s="1">
        <v>9</v>
      </c>
      <c r="CA221" s="1">
        <v>9</v>
      </c>
      <c r="CB221" s="1" t="s">
        <v>104</v>
      </c>
      <c r="CC221" s="1" t="s">
        <v>104</v>
      </c>
      <c r="CD221" s="1" t="s">
        <v>104</v>
      </c>
      <c r="CE221" s="1" t="s">
        <v>104</v>
      </c>
      <c r="CF221" s="1" t="s">
        <v>104</v>
      </c>
      <c r="CG221" s="1" t="s">
        <v>104</v>
      </c>
      <c r="CH221" s="1" t="s">
        <v>104</v>
      </c>
      <c r="CJ221" s="1">
        <v>0</v>
      </c>
      <c r="CK221" s="1">
        <v>0</v>
      </c>
      <c r="CL221" s="1">
        <v>0</v>
      </c>
      <c r="CM221" s="1" t="s">
        <v>104</v>
      </c>
    </row>
    <row r="222" spans="1:91" ht="14.25" customHeight="1" x14ac:dyDescent="0.3">
      <c r="A222" s="1" t="s">
        <v>1674</v>
      </c>
      <c r="B222" s="1" t="s">
        <v>137</v>
      </c>
      <c r="C222" s="1" t="s">
        <v>154</v>
      </c>
      <c r="E222" s="1" t="s">
        <v>403</v>
      </c>
      <c r="F222" s="1" t="s">
        <v>95</v>
      </c>
      <c r="G222" s="1" t="s">
        <v>1675</v>
      </c>
      <c r="H222" s="1">
        <v>0</v>
      </c>
      <c r="I222" s="1" t="s">
        <v>157</v>
      </c>
      <c r="L222" s="1" t="s">
        <v>158</v>
      </c>
      <c r="M222" s="1" t="s">
        <v>130</v>
      </c>
      <c r="N222" s="1">
        <v>1</v>
      </c>
      <c r="O222" s="1">
        <v>0</v>
      </c>
      <c r="P222" s="1" t="s">
        <v>1676</v>
      </c>
      <c r="Q222" s="1" t="s">
        <v>101</v>
      </c>
      <c r="R222" s="1" t="s">
        <v>1677</v>
      </c>
      <c r="S222" s="1" t="s">
        <v>103</v>
      </c>
      <c r="T222" s="1">
        <v>1</v>
      </c>
      <c r="U222" s="1">
        <v>1</v>
      </c>
      <c r="V222" s="1">
        <v>1</v>
      </c>
      <c r="W222" s="1">
        <v>0</v>
      </c>
      <c r="X222" s="1">
        <v>0</v>
      </c>
      <c r="Y222" s="1">
        <v>6</v>
      </c>
      <c r="Z222" s="1">
        <v>6</v>
      </c>
      <c r="AA222" s="1" t="s">
        <v>104</v>
      </c>
      <c r="AB222" s="1" t="s">
        <v>104</v>
      </c>
      <c r="AC222" s="1" t="s">
        <v>104</v>
      </c>
      <c r="AD222" s="1" t="s">
        <v>104</v>
      </c>
      <c r="AE222" s="1" t="s">
        <v>104</v>
      </c>
      <c r="AF222" s="1">
        <v>6</v>
      </c>
      <c r="AG222" s="1" t="s">
        <v>104</v>
      </c>
      <c r="AH222" s="1" t="s">
        <v>104</v>
      </c>
      <c r="AI222" s="1" t="s">
        <v>104</v>
      </c>
      <c r="AJ222" s="1" t="s">
        <v>104</v>
      </c>
      <c r="AK222" s="1" t="s">
        <v>104</v>
      </c>
      <c r="AL222" s="1">
        <v>6</v>
      </c>
      <c r="AM222" s="1" t="s">
        <v>104</v>
      </c>
      <c r="AO222" s="1">
        <v>6</v>
      </c>
      <c r="AP222" s="1" t="s">
        <v>1678</v>
      </c>
      <c r="AQ222" s="1" t="s">
        <v>1679</v>
      </c>
      <c r="AR222" s="1">
        <v>0</v>
      </c>
      <c r="AS222" s="1">
        <v>0</v>
      </c>
      <c r="AT222" s="1">
        <v>0</v>
      </c>
      <c r="AU222" s="1">
        <v>0</v>
      </c>
      <c r="AV222" s="1">
        <v>0</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0</v>
      </c>
      <c r="BM222" s="1">
        <v>0</v>
      </c>
      <c r="BN222" s="1">
        <v>0</v>
      </c>
      <c r="BO222" s="1">
        <v>0</v>
      </c>
      <c r="BP222" s="1">
        <v>0</v>
      </c>
      <c r="BQ222" s="2" t="str">
        <f>HYPERLINK("http://www.d20pfsrd.com/magic/all-spells/f/form-of-the-dragon-i","Form of the Dragon I")</f>
        <v>Form of the Dragon I</v>
      </c>
      <c r="BR222" s="1">
        <v>221</v>
      </c>
      <c r="BS222" s="1" t="s">
        <v>104</v>
      </c>
      <c r="BT222" s="1" t="s">
        <v>1680</v>
      </c>
      <c r="BU222" s="1" t="s">
        <v>1681</v>
      </c>
      <c r="BX222" s="1">
        <v>0</v>
      </c>
      <c r="BY222" s="1" t="s">
        <v>104</v>
      </c>
      <c r="BZ222" s="1" t="s">
        <v>104</v>
      </c>
      <c r="CA222" s="1" t="s">
        <v>104</v>
      </c>
      <c r="CB222" s="1" t="s">
        <v>104</v>
      </c>
      <c r="CC222" s="1" t="s">
        <v>104</v>
      </c>
      <c r="CD222" s="1" t="s">
        <v>104</v>
      </c>
      <c r="CE222" s="1" t="s">
        <v>104</v>
      </c>
      <c r="CF222" s="1" t="s">
        <v>104</v>
      </c>
      <c r="CG222" s="1" t="s">
        <v>104</v>
      </c>
      <c r="CH222" s="1" t="s">
        <v>104</v>
      </c>
      <c r="CJ222" s="1">
        <v>0</v>
      </c>
      <c r="CK222" s="1">
        <v>0</v>
      </c>
      <c r="CL222" s="1">
        <v>0</v>
      </c>
      <c r="CM222" s="1" t="s">
        <v>104</v>
      </c>
    </row>
    <row r="223" spans="1:91" ht="14.25" customHeight="1" x14ac:dyDescent="0.3">
      <c r="A223" s="1" t="s">
        <v>1682</v>
      </c>
      <c r="B223" s="1" t="s">
        <v>137</v>
      </c>
      <c r="C223" s="1" t="s">
        <v>154</v>
      </c>
      <c r="E223" s="1" t="s">
        <v>843</v>
      </c>
      <c r="F223" s="1" t="s">
        <v>95</v>
      </c>
      <c r="G223" s="1" t="s">
        <v>1675</v>
      </c>
      <c r="H223" s="1">
        <v>0</v>
      </c>
      <c r="I223" s="1" t="s">
        <v>157</v>
      </c>
      <c r="L223" s="1" t="s">
        <v>158</v>
      </c>
      <c r="M223" s="1" t="s">
        <v>130</v>
      </c>
      <c r="N223" s="1">
        <v>1</v>
      </c>
      <c r="O223" s="1">
        <v>0</v>
      </c>
      <c r="P223" s="1" t="s">
        <v>1676</v>
      </c>
      <c r="Q223" s="1" t="s">
        <v>101</v>
      </c>
      <c r="R223" s="1" t="s">
        <v>1683</v>
      </c>
      <c r="S223" s="1" t="s">
        <v>103</v>
      </c>
      <c r="T223" s="1">
        <v>1</v>
      </c>
      <c r="U223" s="1">
        <v>1</v>
      </c>
      <c r="V223" s="1">
        <v>1</v>
      </c>
      <c r="W223" s="1">
        <v>0</v>
      </c>
      <c r="X223" s="1">
        <v>0</v>
      </c>
      <c r="Y223" s="1">
        <v>7</v>
      </c>
      <c r="Z223" s="1">
        <v>7</v>
      </c>
      <c r="AA223" s="1" t="s">
        <v>104</v>
      </c>
      <c r="AB223" s="1" t="s">
        <v>104</v>
      </c>
      <c r="AC223" s="1" t="s">
        <v>104</v>
      </c>
      <c r="AD223" s="1" t="s">
        <v>104</v>
      </c>
      <c r="AE223" s="1" t="s">
        <v>104</v>
      </c>
      <c r="AF223" s="1" t="s">
        <v>104</v>
      </c>
      <c r="AG223" s="1" t="s">
        <v>104</v>
      </c>
      <c r="AH223" s="1" t="s">
        <v>104</v>
      </c>
      <c r="AI223" s="1" t="s">
        <v>104</v>
      </c>
      <c r="AJ223" s="1" t="s">
        <v>104</v>
      </c>
      <c r="AK223" s="1" t="s">
        <v>104</v>
      </c>
      <c r="AL223" s="1" t="s">
        <v>104</v>
      </c>
      <c r="AM223" s="1" t="s">
        <v>104</v>
      </c>
      <c r="AO223" s="1">
        <v>7</v>
      </c>
      <c r="AQ223" s="1" t="s">
        <v>1684</v>
      </c>
      <c r="AR223" s="1">
        <v>0</v>
      </c>
      <c r="AS223" s="1">
        <v>0</v>
      </c>
      <c r="AT223" s="1">
        <v>0</v>
      </c>
      <c r="AU223" s="1">
        <v>0</v>
      </c>
      <c r="AV223" s="1">
        <v>0</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2" t="str">
        <f>HYPERLINK("http://www.d20pfsrd.com/magic/all-spells/f/form-of-the-dragon-i#TOC-Form-of-the-Dragon-II","Form of the Dragon II")</f>
        <v>Form of the Dragon II</v>
      </c>
      <c r="BR223" s="1">
        <v>222</v>
      </c>
      <c r="BS223" s="1" t="s">
        <v>104</v>
      </c>
      <c r="BT223" s="1" t="s">
        <v>1685</v>
      </c>
      <c r="BU223" s="1" t="s">
        <v>1686</v>
      </c>
      <c r="BX223" s="1">
        <v>0</v>
      </c>
      <c r="BY223" s="1" t="s">
        <v>104</v>
      </c>
      <c r="BZ223" s="1" t="s">
        <v>104</v>
      </c>
      <c r="CA223" s="1" t="s">
        <v>104</v>
      </c>
      <c r="CB223" s="1" t="s">
        <v>104</v>
      </c>
      <c r="CC223" s="1" t="s">
        <v>104</v>
      </c>
      <c r="CD223" s="1" t="s">
        <v>104</v>
      </c>
      <c r="CE223" s="1" t="s">
        <v>104</v>
      </c>
      <c r="CF223" s="1" t="s">
        <v>104</v>
      </c>
      <c r="CG223" s="1" t="s">
        <v>104</v>
      </c>
      <c r="CH223" s="1" t="s">
        <v>104</v>
      </c>
      <c r="CJ223" s="1">
        <v>0</v>
      </c>
      <c r="CK223" s="1">
        <v>0</v>
      </c>
      <c r="CL223" s="1">
        <v>0</v>
      </c>
      <c r="CM223" s="1" t="s">
        <v>104</v>
      </c>
    </row>
    <row r="224" spans="1:91" ht="14.25" customHeight="1" x14ac:dyDescent="0.3">
      <c r="A224" s="1" t="s">
        <v>1687</v>
      </c>
      <c r="B224" s="1" t="s">
        <v>137</v>
      </c>
      <c r="C224" s="1" t="s">
        <v>154</v>
      </c>
      <c r="E224" s="1" t="s">
        <v>1688</v>
      </c>
      <c r="F224" s="1" t="s">
        <v>95</v>
      </c>
      <c r="G224" s="1" t="s">
        <v>1675</v>
      </c>
      <c r="H224" s="1">
        <v>0</v>
      </c>
      <c r="I224" s="1" t="s">
        <v>157</v>
      </c>
      <c r="L224" s="1" t="s">
        <v>158</v>
      </c>
      <c r="M224" s="1" t="s">
        <v>130</v>
      </c>
      <c r="N224" s="1">
        <v>1</v>
      </c>
      <c r="O224" s="1">
        <v>0</v>
      </c>
      <c r="P224" s="1" t="s">
        <v>1676</v>
      </c>
      <c r="Q224" s="1" t="s">
        <v>101</v>
      </c>
      <c r="R224" s="1" t="s">
        <v>1689</v>
      </c>
      <c r="S224" s="1" t="s">
        <v>103</v>
      </c>
      <c r="T224" s="1">
        <v>1</v>
      </c>
      <c r="U224" s="1">
        <v>1</v>
      </c>
      <c r="V224" s="1">
        <v>1</v>
      </c>
      <c r="W224" s="1">
        <v>0</v>
      </c>
      <c r="X224" s="1">
        <v>0</v>
      </c>
      <c r="Y224" s="1">
        <v>8</v>
      </c>
      <c r="Z224" s="1">
        <v>8</v>
      </c>
      <c r="AA224" s="1" t="s">
        <v>104</v>
      </c>
      <c r="AB224" s="1" t="s">
        <v>104</v>
      </c>
      <c r="AC224" s="1" t="s">
        <v>104</v>
      </c>
      <c r="AD224" s="1" t="s">
        <v>104</v>
      </c>
      <c r="AE224" s="1" t="s">
        <v>104</v>
      </c>
      <c r="AF224" s="1" t="s">
        <v>104</v>
      </c>
      <c r="AG224" s="1" t="s">
        <v>104</v>
      </c>
      <c r="AH224" s="1" t="s">
        <v>104</v>
      </c>
      <c r="AI224" s="1" t="s">
        <v>104</v>
      </c>
      <c r="AJ224" s="1" t="s">
        <v>104</v>
      </c>
      <c r="AK224" s="1" t="s">
        <v>104</v>
      </c>
      <c r="AL224" s="1" t="s">
        <v>104</v>
      </c>
      <c r="AM224" s="1" t="s">
        <v>104</v>
      </c>
      <c r="AO224" s="1">
        <v>8</v>
      </c>
      <c r="AQ224" s="1" t="s">
        <v>1690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2" t="str">
        <f>HYPERLINK("http://www.d20pfsrd.com/magic/all-spells/f/form-of-the-dragon-i#TOC-Form-of-the-Dragon-III","Form of the Dragon III")</f>
        <v>Form of the Dragon III</v>
      </c>
      <c r="BR224" s="1">
        <v>223</v>
      </c>
      <c r="BS224" s="1" t="s">
        <v>104</v>
      </c>
      <c r="BT224" s="1" t="s">
        <v>1691</v>
      </c>
      <c r="BU224" s="1" t="s">
        <v>1692</v>
      </c>
      <c r="BX224" s="1">
        <v>0</v>
      </c>
      <c r="BY224" s="1" t="s">
        <v>104</v>
      </c>
      <c r="BZ224" s="1" t="s">
        <v>104</v>
      </c>
      <c r="CA224" s="1" t="s">
        <v>104</v>
      </c>
      <c r="CB224" s="1" t="s">
        <v>104</v>
      </c>
      <c r="CC224" s="1" t="s">
        <v>104</v>
      </c>
      <c r="CD224" s="1" t="s">
        <v>104</v>
      </c>
      <c r="CE224" s="1" t="s">
        <v>104</v>
      </c>
      <c r="CF224" s="1" t="s">
        <v>104</v>
      </c>
      <c r="CG224" s="1" t="s">
        <v>104</v>
      </c>
      <c r="CH224" s="1" t="s">
        <v>104</v>
      </c>
      <c r="CJ224" s="1">
        <v>0</v>
      </c>
      <c r="CK224" s="1">
        <v>0</v>
      </c>
      <c r="CL224" s="1">
        <v>0</v>
      </c>
      <c r="CM224" s="1" t="s">
        <v>104</v>
      </c>
    </row>
    <row r="225" spans="1:91" ht="14.25" customHeight="1" x14ac:dyDescent="0.3">
      <c r="A225" s="1" t="s">
        <v>1693</v>
      </c>
      <c r="B225" s="1" t="s">
        <v>137</v>
      </c>
      <c r="E225" s="1" t="s">
        <v>1694</v>
      </c>
      <c r="F225" s="1" t="s">
        <v>95</v>
      </c>
      <c r="G225" s="1" t="s">
        <v>1695</v>
      </c>
      <c r="H225" s="1">
        <v>0</v>
      </c>
      <c r="I225" s="1" t="s">
        <v>128</v>
      </c>
      <c r="L225" s="1" t="s">
        <v>374</v>
      </c>
      <c r="M225" s="1" t="s">
        <v>130</v>
      </c>
      <c r="N225" s="1">
        <v>0</v>
      </c>
      <c r="O225" s="1">
        <v>0</v>
      </c>
      <c r="P225" s="1" t="s">
        <v>375</v>
      </c>
      <c r="Q225" s="1" t="s">
        <v>184</v>
      </c>
      <c r="R225" s="1" t="s">
        <v>1696</v>
      </c>
      <c r="S225" s="1" t="s">
        <v>103</v>
      </c>
      <c r="T225" s="1">
        <v>1</v>
      </c>
      <c r="U225" s="1">
        <v>1</v>
      </c>
      <c r="V225" s="1">
        <v>1</v>
      </c>
      <c r="W225" s="1">
        <v>0</v>
      </c>
      <c r="X225" s="1">
        <v>1</v>
      </c>
      <c r="Y225" s="1">
        <v>2</v>
      </c>
      <c r="Z225" s="1">
        <v>2</v>
      </c>
      <c r="AA225" s="1" t="s">
        <v>104</v>
      </c>
      <c r="AB225" s="1" t="s">
        <v>104</v>
      </c>
      <c r="AC225" s="1" t="s">
        <v>104</v>
      </c>
      <c r="AD225" s="1">
        <v>2</v>
      </c>
      <c r="AE225" s="1" t="s">
        <v>104</v>
      </c>
      <c r="AF225" s="1">
        <v>2</v>
      </c>
      <c r="AG225" s="1">
        <v>2</v>
      </c>
      <c r="AH225" s="1" t="s">
        <v>104</v>
      </c>
      <c r="AI225" s="1" t="s">
        <v>104</v>
      </c>
      <c r="AJ225" s="1" t="s">
        <v>104</v>
      </c>
      <c r="AK225" s="1" t="s">
        <v>104</v>
      </c>
      <c r="AL225" s="1" t="s">
        <v>104</v>
      </c>
      <c r="AM225" s="1" t="s">
        <v>104</v>
      </c>
      <c r="AO225" s="1">
        <v>2</v>
      </c>
      <c r="AP225" s="1" t="s">
        <v>1697</v>
      </c>
      <c r="AQ225" s="1" t="s">
        <v>1698</v>
      </c>
      <c r="AR225" s="1">
        <v>0</v>
      </c>
      <c r="AS225" s="1">
        <v>0</v>
      </c>
      <c r="AT225" s="1">
        <v>0</v>
      </c>
      <c r="AU225" s="1">
        <v>0</v>
      </c>
      <c r="AV225" s="1">
        <v>0</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0</v>
      </c>
      <c r="BM225" s="1">
        <v>0</v>
      </c>
      <c r="BN225" s="1">
        <v>0</v>
      </c>
      <c r="BO225" s="1">
        <v>0</v>
      </c>
      <c r="BP225" s="1">
        <v>0</v>
      </c>
      <c r="BQ225" s="2" t="str">
        <f>HYPERLINK("http://www.d20pfsrd.com/magic/all-spells/f/fox-s-cunning","Fox's Cunning")</f>
        <v>Fox's Cunning</v>
      </c>
      <c r="BR225" s="1">
        <v>224</v>
      </c>
      <c r="BS225" s="1" t="s">
        <v>104</v>
      </c>
      <c r="BX225" s="1">
        <v>0</v>
      </c>
      <c r="BY225" s="1" t="s">
        <v>104</v>
      </c>
      <c r="BZ225" s="1" t="s">
        <v>104</v>
      </c>
      <c r="CA225" s="1">
        <v>2</v>
      </c>
      <c r="CB225" s="1">
        <v>2</v>
      </c>
      <c r="CC225" s="1" t="s">
        <v>104</v>
      </c>
      <c r="CD225" s="1" t="s">
        <v>104</v>
      </c>
      <c r="CE225" s="1" t="s">
        <v>104</v>
      </c>
      <c r="CF225" s="1" t="s">
        <v>104</v>
      </c>
      <c r="CG225" s="1" t="s">
        <v>104</v>
      </c>
      <c r="CH225" s="1" t="s">
        <v>104</v>
      </c>
      <c r="CJ225" s="1">
        <v>0</v>
      </c>
      <c r="CK225" s="1">
        <v>0</v>
      </c>
      <c r="CL225" s="1">
        <v>0</v>
      </c>
      <c r="CM225" s="1">
        <v>2</v>
      </c>
    </row>
    <row r="226" spans="1:91" ht="14.25" customHeight="1" x14ac:dyDescent="0.3">
      <c r="A226" s="1" t="s">
        <v>1699</v>
      </c>
      <c r="B226" s="1" t="s">
        <v>137</v>
      </c>
      <c r="E226" s="1" t="s">
        <v>1700</v>
      </c>
      <c r="F226" s="1" t="s">
        <v>95</v>
      </c>
      <c r="G226" s="1" t="s">
        <v>1695</v>
      </c>
      <c r="H226" s="1">
        <v>0</v>
      </c>
      <c r="I226" s="1" t="s">
        <v>117</v>
      </c>
      <c r="L226" s="1" t="s">
        <v>541</v>
      </c>
      <c r="M226" s="1" t="s">
        <v>130</v>
      </c>
      <c r="N226" s="1">
        <v>0</v>
      </c>
      <c r="O226" s="1">
        <v>0</v>
      </c>
      <c r="P226" s="1" t="s">
        <v>375</v>
      </c>
      <c r="Q226" s="1" t="s">
        <v>184</v>
      </c>
      <c r="R226" s="1" t="s">
        <v>1701</v>
      </c>
      <c r="S226" s="1" t="s">
        <v>103</v>
      </c>
      <c r="T226" s="1">
        <v>1</v>
      </c>
      <c r="U226" s="1">
        <v>1</v>
      </c>
      <c r="V226" s="1">
        <v>1</v>
      </c>
      <c r="W226" s="1">
        <v>0</v>
      </c>
      <c r="X226" s="1">
        <v>1</v>
      </c>
      <c r="Y226" s="1">
        <v>6</v>
      </c>
      <c r="Z226" s="1">
        <v>6</v>
      </c>
      <c r="AA226" s="1" t="s">
        <v>104</v>
      </c>
      <c r="AB226" s="1" t="s">
        <v>104</v>
      </c>
      <c r="AC226" s="1" t="s">
        <v>104</v>
      </c>
      <c r="AD226" s="1">
        <v>6</v>
      </c>
      <c r="AE226" s="1" t="s">
        <v>104</v>
      </c>
      <c r="AF226" s="1" t="s">
        <v>104</v>
      </c>
      <c r="AG226" s="1">
        <v>4</v>
      </c>
      <c r="AH226" s="1" t="s">
        <v>104</v>
      </c>
      <c r="AI226" s="1" t="s">
        <v>104</v>
      </c>
      <c r="AJ226" s="1" t="s">
        <v>104</v>
      </c>
      <c r="AK226" s="1" t="s">
        <v>104</v>
      </c>
      <c r="AL226" s="1" t="s">
        <v>104</v>
      </c>
      <c r="AM226" s="1" t="s">
        <v>104</v>
      </c>
      <c r="AO226" s="1">
        <v>6</v>
      </c>
      <c r="AQ226" s="1" t="s">
        <v>1702</v>
      </c>
      <c r="AR226" s="1">
        <v>0</v>
      </c>
      <c r="AS226" s="1">
        <v>0</v>
      </c>
      <c r="AT226" s="1">
        <v>0</v>
      </c>
      <c r="AU226" s="1">
        <v>0</v>
      </c>
      <c r="AV226" s="1">
        <v>0</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v>
      </c>
      <c r="BO226" s="1">
        <v>0</v>
      </c>
      <c r="BP226" s="1">
        <v>0</v>
      </c>
      <c r="BQ226" s="2" t="str">
        <f>HYPERLINK("http://www.d20pfsrd.com/magic/all-spells/f/fox-s-cunning","Fox's Cunning, Mass")</f>
        <v>Fox's Cunning, Mass</v>
      </c>
      <c r="BR226" s="1">
        <v>225</v>
      </c>
      <c r="BS226" s="1" t="s">
        <v>104</v>
      </c>
      <c r="BX226" s="1">
        <v>0</v>
      </c>
      <c r="BY226" s="1" t="s">
        <v>104</v>
      </c>
      <c r="BZ226" s="1" t="s">
        <v>104</v>
      </c>
      <c r="CA226" s="1">
        <v>6</v>
      </c>
      <c r="CB226" s="1" t="s">
        <v>104</v>
      </c>
      <c r="CC226" s="1" t="s">
        <v>104</v>
      </c>
      <c r="CD226" s="1" t="s">
        <v>104</v>
      </c>
      <c r="CE226" s="1" t="s">
        <v>104</v>
      </c>
      <c r="CF226" s="1" t="s">
        <v>104</v>
      </c>
      <c r="CG226" s="1" t="s">
        <v>104</v>
      </c>
      <c r="CH226" s="1" t="s">
        <v>104</v>
      </c>
      <c r="CJ226" s="1">
        <v>0</v>
      </c>
      <c r="CK226" s="1">
        <v>0</v>
      </c>
      <c r="CL226" s="1">
        <v>0</v>
      </c>
      <c r="CM226" s="1">
        <v>6</v>
      </c>
    </row>
    <row r="227" spans="1:91" ht="14.25" customHeight="1" x14ac:dyDescent="0.3">
      <c r="A227" s="1" t="s">
        <v>1703</v>
      </c>
      <c r="B227" s="1" t="s">
        <v>162</v>
      </c>
      <c r="E227" s="1" t="s">
        <v>919</v>
      </c>
      <c r="F227" s="1" t="s">
        <v>95</v>
      </c>
      <c r="G227" s="1" t="s">
        <v>116</v>
      </c>
      <c r="H227" s="1">
        <v>0</v>
      </c>
      <c r="I227" s="1" t="s">
        <v>1704</v>
      </c>
      <c r="L227" s="1" t="s">
        <v>1065</v>
      </c>
      <c r="M227" s="1" t="s">
        <v>119</v>
      </c>
      <c r="N227" s="1">
        <v>0</v>
      </c>
      <c r="O227" s="1">
        <v>0</v>
      </c>
      <c r="P227" s="1" t="s">
        <v>375</v>
      </c>
      <c r="Q227" s="1" t="s">
        <v>184</v>
      </c>
      <c r="R227" s="1" t="s">
        <v>1705</v>
      </c>
      <c r="S227" s="1" t="s">
        <v>103</v>
      </c>
      <c r="T227" s="1">
        <v>1</v>
      </c>
      <c r="U227" s="1">
        <v>1</v>
      </c>
      <c r="V227" s="1">
        <v>0</v>
      </c>
      <c r="W227" s="1">
        <v>0</v>
      </c>
      <c r="X227" s="1">
        <v>0</v>
      </c>
      <c r="Y227" s="1">
        <v>9</v>
      </c>
      <c r="Z227" s="1">
        <v>9</v>
      </c>
      <c r="AA227" s="1" t="s">
        <v>104</v>
      </c>
      <c r="AB227" s="1" t="s">
        <v>104</v>
      </c>
      <c r="AC227" s="1" t="s">
        <v>104</v>
      </c>
      <c r="AD227" s="1" t="s">
        <v>104</v>
      </c>
      <c r="AE227" s="1" t="s">
        <v>104</v>
      </c>
      <c r="AF227" s="1" t="s">
        <v>104</v>
      </c>
      <c r="AG227" s="1" t="s">
        <v>104</v>
      </c>
      <c r="AH227" s="1" t="s">
        <v>104</v>
      </c>
      <c r="AI227" s="1" t="s">
        <v>104</v>
      </c>
      <c r="AJ227" s="1" t="s">
        <v>104</v>
      </c>
      <c r="AK227" s="1" t="s">
        <v>104</v>
      </c>
      <c r="AL227" s="1" t="s">
        <v>104</v>
      </c>
      <c r="AM227" s="1" t="s">
        <v>104</v>
      </c>
      <c r="AO227" s="1">
        <v>9</v>
      </c>
      <c r="AP227" s="1" t="s">
        <v>1706</v>
      </c>
      <c r="AQ227" s="1" t="s">
        <v>1707</v>
      </c>
      <c r="AR227" s="1">
        <v>0</v>
      </c>
      <c r="AS227" s="1">
        <v>0</v>
      </c>
      <c r="AT227" s="1">
        <v>0</v>
      </c>
      <c r="AU227" s="1">
        <v>0</v>
      </c>
      <c r="AV227" s="1">
        <v>0</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0</v>
      </c>
      <c r="BM227" s="1">
        <v>0</v>
      </c>
      <c r="BN227" s="1">
        <v>0</v>
      </c>
      <c r="BO227" s="1">
        <v>0</v>
      </c>
      <c r="BP227" s="1">
        <v>0</v>
      </c>
      <c r="BQ227" s="2" t="str">
        <f>HYPERLINK("http://www.d20pfsrd.com/magic/all-spells/f/freedom","Freedom")</f>
        <v>Freedom</v>
      </c>
      <c r="BR227" s="1">
        <v>226</v>
      </c>
      <c r="BS227" s="1" t="s">
        <v>104</v>
      </c>
      <c r="BX227" s="1">
        <v>0</v>
      </c>
      <c r="BY227" s="1" t="s">
        <v>104</v>
      </c>
      <c r="BZ227" s="1" t="s">
        <v>104</v>
      </c>
      <c r="CA227" s="1">
        <v>9</v>
      </c>
      <c r="CB227" s="1" t="s">
        <v>104</v>
      </c>
      <c r="CC227" s="1" t="s">
        <v>104</v>
      </c>
      <c r="CD227" s="1" t="s">
        <v>104</v>
      </c>
      <c r="CE227" s="1" t="s">
        <v>104</v>
      </c>
      <c r="CF227" s="1" t="s">
        <v>104</v>
      </c>
      <c r="CG227" s="1" t="s">
        <v>104</v>
      </c>
      <c r="CH227" s="1" t="s">
        <v>104</v>
      </c>
      <c r="CJ227" s="1">
        <v>0</v>
      </c>
      <c r="CK227" s="1">
        <v>0</v>
      </c>
      <c r="CL227" s="1">
        <v>0</v>
      </c>
      <c r="CM227" s="1" t="s">
        <v>104</v>
      </c>
    </row>
    <row r="228" spans="1:91" ht="14.25" customHeight="1" x14ac:dyDescent="0.3">
      <c r="A228" s="1" t="s">
        <v>1708</v>
      </c>
      <c r="B228" s="1" t="s">
        <v>162</v>
      </c>
      <c r="E228" s="1" t="s">
        <v>1709</v>
      </c>
      <c r="F228" s="1" t="s">
        <v>95</v>
      </c>
      <c r="G228" s="1" t="s">
        <v>1710</v>
      </c>
      <c r="H228" s="1">
        <v>0</v>
      </c>
      <c r="I228" s="1" t="s">
        <v>1521</v>
      </c>
      <c r="L228" s="1" t="s">
        <v>1522</v>
      </c>
      <c r="M228" s="1" t="s">
        <v>140</v>
      </c>
      <c r="N228" s="1">
        <v>0</v>
      </c>
      <c r="O228" s="1">
        <v>0</v>
      </c>
      <c r="P228" s="1" t="s">
        <v>375</v>
      </c>
      <c r="Q228" s="1" t="s">
        <v>131</v>
      </c>
      <c r="R228" s="1" t="s">
        <v>1711</v>
      </c>
      <c r="S228" s="1" t="s">
        <v>103</v>
      </c>
      <c r="T228" s="1">
        <v>1</v>
      </c>
      <c r="U228" s="1">
        <v>1</v>
      </c>
      <c r="V228" s="1">
        <v>1</v>
      </c>
      <c r="W228" s="1">
        <v>0</v>
      </c>
      <c r="X228" s="1">
        <v>1</v>
      </c>
      <c r="Y228" s="1" t="s">
        <v>104</v>
      </c>
      <c r="Z228" s="1" t="s">
        <v>104</v>
      </c>
      <c r="AA228" s="1">
        <v>4</v>
      </c>
      <c r="AB228" s="1">
        <v>4</v>
      </c>
      <c r="AC228" s="1">
        <v>4</v>
      </c>
      <c r="AD228" s="1">
        <v>4</v>
      </c>
      <c r="AE228" s="1" t="s">
        <v>104</v>
      </c>
      <c r="AF228" s="1">
        <v>4</v>
      </c>
      <c r="AG228" s="1" t="s">
        <v>104</v>
      </c>
      <c r="AH228" s="1" t="s">
        <v>104</v>
      </c>
      <c r="AI228" s="1">
        <v>4</v>
      </c>
      <c r="AJ228" s="1">
        <v>4</v>
      </c>
      <c r="AK228" s="1" t="s">
        <v>104</v>
      </c>
      <c r="AL228" s="1" t="s">
        <v>104</v>
      </c>
      <c r="AM228" s="1" t="s">
        <v>104</v>
      </c>
      <c r="AO228" s="1">
        <v>4</v>
      </c>
      <c r="AP228" s="1" t="s">
        <v>1712</v>
      </c>
      <c r="AQ228" s="1" t="s">
        <v>1713</v>
      </c>
      <c r="AR228" s="1">
        <v>0</v>
      </c>
      <c r="AS228" s="1">
        <v>0</v>
      </c>
      <c r="AT228" s="1">
        <v>0</v>
      </c>
      <c r="AU228" s="1">
        <v>0</v>
      </c>
      <c r="AV228" s="1">
        <v>0</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0</v>
      </c>
      <c r="BM228" s="1">
        <v>0</v>
      </c>
      <c r="BN228" s="1">
        <v>0</v>
      </c>
      <c r="BO228" s="1">
        <v>0</v>
      </c>
      <c r="BP228" s="1">
        <v>0</v>
      </c>
      <c r="BQ228" s="2" t="str">
        <f>HYPERLINK("http://www.d20pfsrd.com/magic/all-spells/f/freedom-of-movement","Freedom of Movement")</f>
        <v>Freedom of Movement</v>
      </c>
      <c r="BR228" s="1">
        <v>227</v>
      </c>
      <c r="BS228" s="1" t="s">
        <v>104</v>
      </c>
      <c r="BT228" s="1" t="s">
        <v>1714</v>
      </c>
      <c r="BU228" s="1" t="s">
        <v>1715</v>
      </c>
      <c r="BX228" s="1">
        <v>0</v>
      </c>
      <c r="BY228" s="1" t="s">
        <v>104</v>
      </c>
      <c r="BZ228" s="1" t="s">
        <v>104</v>
      </c>
      <c r="CA228" s="1">
        <v>4</v>
      </c>
      <c r="CB228" s="1">
        <v>4</v>
      </c>
      <c r="CC228" s="1">
        <v>4</v>
      </c>
      <c r="CD228" s="1">
        <v>4</v>
      </c>
      <c r="CE228" s="1">
        <v>4</v>
      </c>
      <c r="CF228" s="1" t="s">
        <v>104</v>
      </c>
      <c r="CG228" s="1" t="s">
        <v>104</v>
      </c>
      <c r="CH228" s="1">
        <v>4</v>
      </c>
      <c r="CJ228" s="1">
        <v>0</v>
      </c>
      <c r="CK228" s="1">
        <v>0</v>
      </c>
      <c r="CL228" s="1">
        <v>0</v>
      </c>
      <c r="CM228" s="1" t="s">
        <v>104</v>
      </c>
    </row>
    <row r="229" spans="1:91" ht="14.25" customHeight="1" x14ac:dyDescent="0.3">
      <c r="A229" s="1" t="s">
        <v>1716</v>
      </c>
      <c r="B229" s="1" t="s">
        <v>434</v>
      </c>
      <c r="D229" s="1" t="s">
        <v>46</v>
      </c>
      <c r="E229" s="1" t="s">
        <v>1717</v>
      </c>
      <c r="F229" s="1" t="s">
        <v>95</v>
      </c>
      <c r="G229" s="1" t="s">
        <v>1718</v>
      </c>
      <c r="H229" s="1">
        <v>0</v>
      </c>
      <c r="I229" s="1" t="s">
        <v>97</v>
      </c>
      <c r="L229" s="1" t="s">
        <v>1719</v>
      </c>
      <c r="M229" s="1" t="s">
        <v>1720</v>
      </c>
      <c r="N229" s="1">
        <v>0</v>
      </c>
      <c r="O229" s="1">
        <v>0</v>
      </c>
      <c r="P229" s="1" t="s">
        <v>1568</v>
      </c>
      <c r="Q229" s="1" t="s">
        <v>184</v>
      </c>
      <c r="R229" s="1" t="s">
        <v>1721</v>
      </c>
      <c r="S229" s="1" t="s">
        <v>103</v>
      </c>
      <c r="T229" s="1">
        <v>1</v>
      </c>
      <c r="U229" s="1">
        <v>1</v>
      </c>
      <c r="V229" s="1">
        <v>0</v>
      </c>
      <c r="W229" s="1">
        <v>1</v>
      </c>
      <c r="X229" s="1">
        <v>0</v>
      </c>
      <c r="Y229" s="1">
        <v>6</v>
      </c>
      <c r="Z229" s="1">
        <v>6</v>
      </c>
      <c r="AA229" s="1" t="s">
        <v>104</v>
      </c>
      <c r="AB229" s="1" t="s">
        <v>104</v>
      </c>
      <c r="AC229" s="1" t="s">
        <v>104</v>
      </c>
      <c r="AD229" s="1" t="s">
        <v>104</v>
      </c>
      <c r="AE229" s="1" t="s">
        <v>104</v>
      </c>
      <c r="AF229" s="1" t="s">
        <v>104</v>
      </c>
      <c r="AG229" s="1" t="s">
        <v>104</v>
      </c>
      <c r="AH229" s="1" t="s">
        <v>104</v>
      </c>
      <c r="AI229" s="1" t="s">
        <v>104</v>
      </c>
      <c r="AJ229" s="1" t="s">
        <v>104</v>
      </c>
      <c r="AK229" s="1" t="s">
        <v>104</v>
      </c>
      <c r="AL229" s="1">
        <v>6</v>
      </c>
      <c r="AM229" s="1" t="s">
        <v>104</v>
      </c>
      <c r="AO229" s="1">
        <v>6</v>
      </c>
      <c r="AP229" s="1" t="s">
        <v>1722</v>
      </c>
      <c r="AQ229" s="1" t="s">
        <v>1723</v>
      </c>
      <c r="AR229" s="1">
        <v>0</v>
      </c>
      <c r="AS229" s="1">
        <v>0</v>
      </c>
      <c r="AT229" s="1">
        <v>0</v>
      </c>
      <c r="AU229" s="1">
        <v>1</v>
      </c>
      <c r="AV229" s="1">
        <v>0</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2" t="str">
        <f>HYPERLINK("http://www.d20pfsrd.com/magic/all-spells/f/freezing-sphere","Freezing Sphere")</f>
        <v>Freezing Sphere</v>
      </c>
      <c r="BR229" s="1">
        <v>228</v>
      </c>
      <c r="BS229" s="1" t="s">
        <v>104</v>
      </c>
      <c r="BU229" s="1" t="s">
        <v>1724</v>
      </c>
      <c r="BX229" s="1">
        <v>0</v>
      </c>
      <c r="BY229" s="1" t="s">
        <v>104</v>
      </c>
      <c r="BZ229" s="1" t="s">
        <v>104</v>
      </c>
      <c r="CA229" s="1" t="s">
        <v>104</v>
      </c>
      <c r="CB229" s="1" t="s">
        <v>104</v>
      </c>
      <c r="CC229" s="1" t="s">
        <v>104</v>
      </c>
      <c r="CD229" s="1">
        <v>6</v>
      </c>
      <c r="CE229" s="1" t="s">
        <v>104</v>
      </c>
      <c r="CF229" s="1" t="s">
        <v>104</v>
      </c>
      <c r="CG229" s="1" t="s">
        <v>104</v>
      </c>
      <c r="CH229" s="1" t="s">
        <v>104</v>
      </c>
      <c r="CJ229" s="1">
        <v>0</v>
      </c>
      <c r="CK229" s="1">
        <v>0</v>
      </c>
      <c r="CL229" s="1">
        <v>0</v>
      </c>
      <c r="CM229" s="1" t="s">
        <v>104</v>
      </c>
    </row>
    <row r="230" spans="1:91" ht="14.25" customHeight="1" x14ac:dyDescent="0.3">
      <c r="A230" s="1" t="s">
        <v>1725</v>
      </c>
      <c r="B230" s="1" t="s">
        <v>137</v>
      </c>
      <c r="E230" s="1" t="s">
        <v>1726</v>
      </c>
      <c r="F230" s="1" t="s">
        <v>95</v>
      </c>
      <c r="G230" s="1" t="s">
        <v>1727</v>
      </c>
      <c r="H230" s="1">
        <v>0</v>
      </c>
      <c r="I230" s="1" t="s">
        <v>128</v>
      </c>
      <c r="L230" s="1" t="s">
        <v>1728</v>
      </c>
      <c r="M230" s="1" t="s">
        <v>1729</v>
      </c>
      <c r="N230" s="1">
        <v>1</v>
      </c>
      <c r="O230" s="1">
        <v>0</v>
      </c>
      <c r="P230" s="1" t="s">
        <v>100</v>
      </c>
      <c r="Q230" s="1" t="s">
        <v>101</v>
      </c>
      <c r="R230" s="1" t="s">
        <v>1730</v>
      </c>
      <c r="S230" s="1" t="s">
        <v>103</v>
      </c>
      <c r="T230" s="1">
        <v>0</v>
      </c>
      <c r="U230" s="1">
        <v>1</v>
      </c>
      <c r="V230" s="1">
        <v>1</v>
      </c>
      <c r="W230" s="1">
        <v>0</v>
      </c>
      <c r="X230" s="1">
        <v>1</v>
      </c>
      <c r="Y230" s="1">
        <v>3</v>
      </c>
      <c r="Z230" s="1">
        <v>3</v>
      </c>
      <c r="AA230" s="1" t="s">
        <v>104</v>
      </c>
      <c r="AB230" s="1" t="s">
        <v>104</v>
      </c>
      <c r="AC230" s="1" t="s">
        <v>104</v>
      </c>
      <c r="AD230" s="1">
        <v>3</v>
      </c>
      <c r="AE230" s="1" t="s">
        <v>104</v>
      </c>
      <c r="AF230" s="1">
        <v>3</v>
      </c>
      <c r="AG230" s="1" t="s">
        <v>104</v>
      </c>
      <c r="AH230" s="1" t="s">
        <v>104</v>
      </c>
      <c r="AI230" s="1" t="s">
        <v>104</v>
      </c>
      <c r="AJ230" s="1" t="s">
        <v>104</v>
      </c>
      <c r="AK230" s="1" t="s">
        <v>104</v>
      </c>
      <c r="AL230" s="1">
        <v>3</v>
      </c>
      <c r="AM230" s="1" t="s">
        <v>104</v>
      </c>
      <c r="AO230" s="1">
        <v>3</v>
      </c>
      <c r="AP230" s="1" t="s">
        <v>1731</v>
      </c>
      <c r="AQ230" s="1" t="s">
        <v>1732</v>
      </c>
      <c r="AR230" s="1">
        <v>0</v>
      </c>
      <c r="AS230" s="1">
        <v>0</v>
      </c>
      <c r="AT230" s="1">
        <v>0</v>
      </c>
      <c r="AU230" s="1">
        <v>0</v>
      </c>
      <c r="AV230" s="1">
        <v>0</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2" t="str">
        <f>HYPERLINK("http://www.d20pfsrd.com/magic/all-spells/g/gaseous-form","Gaseous Form")</f>
        <v>Gaseous Form</v>
      </c>
      <c r="BR230" s="1">
        <v>229</v>
      </c>
      <c r="BS230" s="1" t="s">
        <v>104</v>
      </c>
      <c r="BT230" s="1" t="s">
        <v>1733</v>
      </c>
      <c r="BV230" s="1" t="s">
        <v>1734</v>
      </c>
      <c r="BW230" s="1" t="s">
        <v>1735</v>
      </c>
      <c r="BX230" s="1">
        <v>1</v>
      </c>
      <c r="BY230" s="1" t="s">
        <v>104</v>
      </c>
      <c r="BZ230" s="1" t="s">
        <v>104</v>
      </c>
      <c r="CA230" s="1">
        <v>3</v>
      </c>
      <c r="CB230" s="1">
        <v>3</v>
      </c>
      <c r="CC230" s="1" t="s">
        <v>104</v>
      </c>
      <c r="CD230" s="1">
        <v>3</v>
      </c>
      <c r="CE230" s="1">
        <v>3</v>
      </c>
      <c r="CF230" s="1" t="s">
        <v>104</v>
      </c>
      <c r="CG230" s="1" t="s">
        <v>104</v>
      </c>
      <c r="CH230" s="1" t="s">
        <v>104</v>
      </c>
      <c r="CJ230" s="1">
        <v>0</v>
      </c>
      <c r="CK230" s="1">
        <v>0</v>
      </c>
      <c r="CL230" s="1">
        <v>0</v>
      </c>
      <c r="CM230" s="1" t="s">
        <v>104</v>
      </c>
    </row>
    <row r="231" spans="1:91" ht="14.25" customHeight="1" x14ac:dyDescent="0.3">
      <c r="A231" s="1" t="s">
        <v>1736</v>
      </c>
      <c r="B231" s="1" t="s">
        <v>92</v>
      </c>
      <c r="C231" s="1" t="s">
        <v>1737</v>
      </c>
      <c r="E231" s="1" t="s">
        <v>1738</v>
      </c>
      <c r="F231" s="1" t="s">
        <v>95</v>
      </c>
      <c r="G231" s="1" t="s">
        <v>1739</v>
      </c>
      <c r="H231" s="1">
        <v>0</v>
      </c>
      <c r="I231" s="1" t="s">
        <v>109</v>
      </c>
      <c r="K231" s="1" t="s">
        <v>145</v>
      </c>
      <c r="M231" s="1" t="s">
        <v>1740</v>
      </c>
      <c r="N231" s="1">
        <v>0</v>
      </c>
      <c r="O231" s="1">
        <v>0</v>
      </c>
      <c r="P231" s="1" t="s">
        <v>100</v>
      </c>
      <c r="Q231" s="1" t="s">
        <v>101</v>
      </c>
      <c r="R231" s="1" t="s">
        <v>1741</v>
      </c>
      <c r="S231" s="1" t="s">
        <v>103</v>
      </c>
      <c r="T231" s="1">
        <v>1</v>
      </c>
      <c r="U231" s="1">
        <v>1</v>
      </c>
      <c r="V231" s="1">
        <v>1</v>
      </c>
      <c r="W231" s="1">
        <v>0</v>
      </c>
      <c r="X231" s="1">
        <v>0</v>
      </c>
      <c r="Y231" s="1">
        <v>9</v>
      </c>
      <c r="Z231" s="1">
        <v>9</v>
      </c>
      <c r="AA231" s="1">
        <v>9</v>
      </c>
      <c r="AB231" s="1" t="s">
        <v>104</v>
      </c>
      <c r="AC231" s="1" t="s">
        <v>104</v>
      </c>
      <c r="AD231" s="1" t="s">
        <v>104</v>
      </c>
      <c r="AE231" s="1" t="s">
        <v>104</v>
      </c>
      <c r="AF231" s="1" t="s">
        <v>104</v>
      </c>
      <c r="AG231" s="1" t="s">
        <v>104</v>
      </c>
      <c r="AH231" s="1" t="s">
        <v>104</v>
      </c>
      <c r="AI231" s="1" t="s">
        <v>104</v>
      </c>
      <c r="AJ231" s="1">
        <v>9</v>
      </c>
      <c r="AK231" s="1" t="s">
        <v>104</v>
      </c>
      <c r="AL231" s="1" t="s">
        <v>104</v>
      </c>
      <c r="AM231" s="1" t="s">
        <v>104</v>
      </c>
      <c r="AO231" s="1">
        <v>9</v>
      </c>
      <c r="AP231" s="1" t="s">
        <v>1742</v>
      </c>
      <c r="AQ231" s="1" t="s">
        <v>1743</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2" t="str">
        <f>HYPERLINK("http://www.d20pfsrd.com/magic/all-spells/g/gate","Gate")</f>
        <v>Gate</v>
      </c>
      <c r="BR231" s="1">
        <v>230</v>
      </c>
      <c r="BS231" s="1" t="s">
        <v>104</v>
      </c>
      <c r="BT231" s="1" t="s">
        <v>1744</v>
      </c>
      <c r="BU231" s="1" t="s">
        <v>1745</v>
      </c>
      <c r="BX231" s="1">
        <v>0</v>
      </c>
      <c r="BY231" s="1" t="s">
        <v>104</v>
      </c>
      <c r="BZ231" s="1" t="s">
        <v>104</v>
      </c>
      <c r="CA231" s="1">
        <v>9</v>
      </c>
      <c r="CB231" s="1" t="s">
        <v>104</v>
      </c>
      <c r="CC231" s="1" t="s">
        <v>104</v>
      </c>
      <c r="CD231" s="1" t="s">
        <v>104</v>
      </c>
      <c r="CE231" s="1" t="s">
        <v>104</v>
      </c>
      <c r="CF231" s="1" t="s">
        <v>104</v>
      </c>
      <c r="CG231" s="1" t="s">
        <v>104</v>
      </c>
      <c r="CH231" s="1" t="s">
        <v>104</v>
      </c>
      <c r="CJ231" s="1">
        <v>0</v>
      </c>
      <c r="CK231" s="1">
        <v>0</v>
      </c>
      <c r="CL231" s="1">
        <v>0</v>
      </c>
      <c r="CM231" s="1" t="s">
        <v>104</v>
      </c>
    </row>
    <row r="232" spans="1:91" ht="14.25" customHeight="1" x14ac:dyDescent="0.3">
      <c r="A232" s="1" t="s">
        <v>1746</v>
      </c>
      <c r="B232" s="1" t="s">
        <v>123</v>
      </c>
      <c r="C232" s="1" t="s">
        <v>124</v>
      </c>
      <c r="D232" s="1" t="s">
        <v>1747</v>
      </c>
      <c r="E232" s="1" t="s">
        <v>1748</v>
      </c>
      <c r="F232" s="1" t="s">
        <v>287</v>
      </c>
      <c r="G232" s="1" t="s">
        <v>237</v>
      </c>
      <c r="H232" s="1">
        <v>0</v>
      </c>
      <c r="I232" s="1" t="s">
        <v>117</v>
      </c>
      <c r="L232" s="1" t="s">
        <v>417</v>
      </c>
      <c r="M232" s="1" t="s">
        <v>1749</v>
      </c>
      <c r="N232" s="1">
        <v>1</v>
      </c>
      <c r="O232" s="1">
        <v>0</v>
      </c>
      <c r="P232" s="1" t="s">
        <v>100</v>
      </c>
      <c r="Q232" s="1" t="s">
        <v>184</v>
      </c>
      <c r="R232" s="1" t="s">
        <v>1750</v>
      </c>
      <c r="S232" s="1" t="s">
        <v>103</v>
      </c>
      <c r="T232" s="1">
        <v>1</v>
      </c>
      <c r="U232" s="1">
        <v>0</v>
      </c>
      <c r="V232" s="1">
        <v>0</v>
      </c>
      <c r="W232" s="1">
        <v>0</v>
      </c>
      <c r="X232" s="1">
        <v>0</v>
      </c>
      <c r="Y232" s="1">
        <v>6</v>
      </c>
      <c r="Z232" s="1">
        <v>6</v>
      </c>
      <c r="AA232" s="1">
        <v>6</v>
      </c>
      <c r="AB232" s="1" t="s">
        <v>104</v>
      </c>
      <c r="AC232" s="1" t="s">
        <v>104</v>
      </c>
      <c r="AD232" s="1">
        <v>6</v>
      </c>
      <c r="AE232" s="1" t="s">
        <v>104</v>
      </c>
      <c r="AF232" s="1" t="s">
        <v>104</v>
      </c>
      <c r="AG232" s="1" t="s">
        <v>104</v>
      </c>
      <c r="AH232" s="1">
        <v>6</v>
      </c>
      <c r="AI232" s="1">
        <v>5</v>
      </c>
      <c r="AJ232" s="1">
        <v>6</v>
      </c>
      <c r="AK232" s="1" t="s">
        <v>104</v>
      </c>
      <c r="AL232" s="1" t="s">
        <v>104</v>
      </c>
      <c r="AM232" s="1" t="s">
        <v>104</v>
      </c>
      <c r="AO232" s="1">
        <v>6</v>
      </c>
      <c r="AP232" s="1" t="s">
        <v>1751</v>
      </c>
      <c r="AQ232" s="1" t="s">
        <v>1752</v>
      </c>
      <c r="AR232" s="1">
        <v>0</v>
      </c>
      <c r="AS232" s="1">
        <v>0</v>
      </c>
      <c r="AT232" s="1">
        <v>0</v>
      </c>
      <c r="AU232" s="1">
        <v>0</v>
      </c>
      <c r="AV232" s="1">
        <v>1</v>
      </c>
      <c r="AW232" s="1">
        <v>0</v>
      </c>
      <c r="AX232" s="1">
        <v>0</v>
      </c>
      <c r="AY232" s="1">
        <v>0</v>
      </c>
      <c r="AZ232" s="1">
        <v>0</v>
      </c>
      <c r="BA232" s="1">
        <v>0</v>
      </c>
      <c r="BB232" s="1">
        <v>0</v>
      </c>
      <c r="BC232" s="1">
        <v>0</v>
      </c>
      <c r="BD232" s="1">
        <v>0</v>
      </c>
      <c r="BE232" s="1">
        <v>0</v>
      </c>
      <c r="BF232" s="1">
        <v>0</v>
      </c>
      <c r="BG232" s="1">
        <v>0</v>
      </c>
      <c r="BH232" s="1">
        <v>1</v>
      </c>
      <c r="BI232" s="1">
        <v>0</v>
      </c>
      <c r="BJ232" s="1">
        <v>0</v>
      </c>
      <c r="BK232" s="1">
        <v>1</v>
      </c>
      <c r="BL232" s="1">
        <v>0</v>
      </c>
      <c r="BM232" s="1">
        <v>0</v>
      </c>
      <c r="BN232" s="1">
        <v>0</v>
      </c>
      <c r="BO232" s="1">
        <v>0</v>
      </c>
      <c r="BP232" s="1">
        <v>0</v>
      </c>
      <c r="BQ232" s="2" t="str">
        <f>HYPERLINK("http://www.d20pfsrd.com/magic/all-spells/g/geas-quest","Geas/Quest")</f>
        <v>Geas/Quest</v>
      </c>
      <c r="BR232" s="1">
        <v>231</v>
      </c>
      <c r="BS232" s="1" t="s">
        <v>104</v>
      </c>
      <c r="BU232" s="1" t="s">
        <v>1753</v>
      </c>
      <c r="BX232" s="1">
        <v>0</v>
      </c>
      <c r="BY232" s="1" t="s">
        <v>104</v>
      </c>
      <c r="BZ232" s="1" t="s">
        <v>104</v>
      </c>
      <c r="CA232" s="1">
        <v>6</v>
      </c>
      <c r="CB232" s="1" t="s">
        <v>104</v>
      </c>
      <c r="CC232" s="1">
        <v>6</v>
      </c>
      <c r="CD232" s="1" t="s">
        <v>104</v>
      </c>
      <c r="CE232" s="1" t="s">
        <v>104</v>
      </c>
      <c r="CF232" s="1" t="s">
        <v>104</v>
      </c>
      <c r="CG232" s="1" t="s">
        <v>104</v>
      </c>
      <c r="CH232" s="1" t="s">
        <v>104</v>
      </c>
      <c r="CJ232" s="1">
        <v>0</v>
      </c>
      <c r="CK232" s="1">
        <v>0</v>
      </c>
      <c r="CL232" s="1">
        <v>0</v>
      </c>
      <c r="CM232" s="1" t="s">
        <v>104</v>
      </c>
    </row>
    <row r="233" spans="1:91" ht="14.25" customHeight="1" x14ac:dyDescent="0.3">
      <c r="A233" s="1" t="s">
        <v>1754</v>
      </c>
      <c r="B233" s="1" t="s">
        <v>123</v>
      </c>
      <c r="C233" s="1" t="s">
        <v>124</v>
      </c>
      <c r="D233" s="1" t="s">
        <v>1747</v>
      </c>
      <c r="E233" s="1" t="s">
        <v>1755</v>
      </c>
      <c r="F233" s="1" t="s">
        <v>255</v>
      </c>
      <c r="G233" s="1" t="s">
        <v>237</v>
      </c>
      <c r="H233" s="1">
        <v>0</v>
      </c>
      <c r="I233" s="1" t="s">
        <v>117</v>
      </c>
      <c r="L233" s="1" t="s">
        <v>1756</v>
      </c>
      <c r="M233" s="1" t="s">
        <v>1749</v>
      </c>
      <c r="N233" s="1">
        <v>1</v>
      </c>
      <c r="O233" s="1">
        <v>0</v>
      </c>
      <c r="P233" s="1" t="s">
        <v>211</v>
      </c>
      <c r="Q233" s="1" t="s">
        <v>184</v>
      </c>
      <c r="R233" s="1" t="s">
        <v>1757</v>
      </c>
      <c r="S233" s="1" t="s">
        <v>103</v>
      </c>
      <c r="T233" s="1">
        <v>1</v>
      </c>
      <c r="U233" s="1">
        <v>0</v>
      </c>
      <c r="V233" s="1">
        <v>0</v>
      </c>
      <c r="W233" s="1">
        <v>0</v>
      </c>
      <c r="X233" s="1">
        <v>0</v>
      </c>
      <c r="Y233" s="1">
        <v>4</v>
      </c>
      <c r="Z233" s="1">
        <v>4</v>
      </c>
      <c r="AA233" s="1" t="s">
        <v>104</v>
      </c>
      <c r="AB233" s="1" t="s">
        <v>104</v>
      </c>
      <c r="AC233" s="1" t="s">
        <v>104</v>
      </c>
      <c r="AD233" s="1">
        <v>3</v>
      </c>
      <c r="AE233" s="1" t="s">
        <v>104</v>
      </c>
      <c r="AF233" s="1" t="s">
        <v>104</v>
      </c>
      <c r="AG233" s="1" t="s">
        <v>104</v>
      </c>
      <c r="AH233" s="1">
        <v>4</v>
      </c>
      <c r="AI233" s="1">
        <v>4</v>
      </c>
      <c r="AJ233" s="1" t="s">
        <v>104</v>
      </c>
      <c r="AK233" s="1" t="s">
        <v>104</v>
      </c>
      <c r="AL233" s="1" t="s">
        <v>104</v>
      </c>
      <c r="AM233" s="1" t="s">
        <v>104</v>
      </c>
      <c r="AO233" s="1">
        <v>4</v>
      </c>
      <c r="AQ233" s="1" t="s">
        <v>1758</v>
      </c>
      <c r="AR233" s="1">
        <v>0</v>
      </c>
      <c r="AS233" s="1">
        <v>0</v>
      </c>
      <c r="AT233" s="1">
        <v>0</v>
      </c>
      <c r="AU233" s="1">
        <v>0</v>
      </c>
      <c r="AV233" s="1">
        <v>1</v>
      </c>
      <c r="AW233" s="1">
        <v>0</v>
      </c>
      <c r="AX233" s="1">
        <v>0</v>
      </c>
      <c r="AY233" s="1">
        <v>0</v>
      </c>
      <c r="AZ233" s="1">
        <v>0</v>
      </c>
      <c r="BA233" s="1">
        <v>0</v>
      </c>
      <c r="BB233" s="1">
        <v>0</v>
      </c>
      <c r="BC233" s="1">
        <v>0</v>
      </c>
      <c r="BD233" s="1">
        <v>0</v>
      </c>
      <c r="BE233" s="1">
        <v>0</v>
      </c>
      <c r="BF233" s="1">
        <v>0</v>
      </c>
      <c r="BG233" s="1">
        <v>0</v>
      </c>
      <c r="BH233" s="1">
        <v>1</v>
      </c>
      <c r="BI233" s="1">
        <v>0</v>
      </c>
      <c r="BJ233" s="1">
        <v>0</v>
      </c>
      <c r="BK233" s="1">
        <v>1</v>
      </c>
      <c r="BL233" s="1">
        <v>0</v>
      </c>
      <c r="BM233" s="1">
        <v>0</v>
      </c>
      <c r="BN233" s="1">
        <v>0</v>
      </c>
      <c r="BO233" s="1">
        <v>0</v>
      </c>
      <c r="BP233" s="1">
        <v>0</v>
      </c>
      <c r="BQ233" s="2" t="str">
        <f>HYPERLINK("http://www.d20pfsrd.com/magic/all-spells/g/geas-quest","Geas, Lesser")</f>
        <v>Geas, Lesser</v>
      </c>
      <c r="BR233" s="1">
        <v>232</v>
      </c>
      <c r="BS233" s="1" t="s">
        <v>104</v>
      </c>
      <c r="BX233" s="1">
        <v>0</v>
      </c>
      <c r="BY233" s="1" t="s">
        <v>104</v>
      </c>
      <c r="BZ233" s="1" t="s">
        <v>104</v>
      </c>
      <c r="CA233" s="1">
        <v>4</v>
      </c>
      <c r="CB233" s="1" t="s">
        <v>104</v>
      </c>
      <c r="CC233" s="1">
        <v>3</v>
      </c>
      <c r="CD233" s="1" t="s">
        <v>104</v>
      </c>
      <c r="CE233" s="1" t="s">
        <v>104</v>
      </c>
      <c r="CF233" s="1" t="s">
        <v>104</v>
      </c>
      <c r="CG233" s="1" t="s">
        <v>104</v>
      </c>
      <c r="CH233" s="1" t="s">
        <v>104</v>
      </c>
      <c r="CJ233" s="1">
        <v>0</v>
      </c>
      <c r="CK233" s="1">
        <v>0</v>
      </c>
      <c r="CL233" s="1">
        <v>0</v>
      </c>
      <c r="CM233" s="1" t="s">
        <v>104</v>
      </c>
    </row>
    <row r="234" spans="1:91" ht="14.25" customHeight="1" x14ac:dyDescent="0.3">
      <c r="A234" s="1" t="s">
        <v>1759</v>
      </c>
      <c r="B234" s="1" t="s">
        <v>216</v>
      </c>
      <c r="E234" s="1" t="s">
        <v>1760</v>
      </c>
      <c r="F234" s="1" t="s">
        <v>95</v>
      </c>
      <c r="G234" s="1" t="s">
        <v>1761</v>
      </c>
      <c r="H234" s="1">
        <v>0</v>
      </c>
      <c r="I234" s="1" t="s">
        <v>128</v>
      </c>
      <c r="L234" s="1" t="s">
        <v>1762</v>
      </c>
      <c r="M234" s="1" t="s">
        <v>194</v>
      </c>
      <c r="N234" s="1">
        <v>0</v>
      </c>
      <c r="O234" s="1">
        <v>0</v>
      </c>
      <c r="P234" s="1" t="s">
        <v>471</v>
      </c>
      <c r="Q234" s="1" t="s">
        <v>472</v>
      </c>
      <c r="R234" s="1" t="s">
        <v>1763</v>
      </c>
      <c r="S234" s="1" t="s">
        <v>103</v>
      </c>
      <c r="T234" s="1">
        <v>1</v>
      </c>
      <c r="U234" s="1">
        <v>1</v>
      </c>
      <c r="V234" s="1">
        <v>1</v>
      </c>
      <c r="W234" s="1">
        <v>0</v>
      </c>
      <c r="X234" s="1">
        <v>1</v>
      </c>
      <c r="Y234" s="1">
        <v>3</v>
      </c>
      <c r="Z234" s="1">
        <v>3</v>
      </c>
      <c r="AA234" s="1">
        <v>2</v>
      </c>
      <c r="AB234" s="1" t="s">
        <v>104</v>
      </c>
      <c r="AC234" s="1" t="s">
        <v>104</v>
      </c>
      <c r="AD234" s="1" t="s">
        <v>104</v>
      </c>
      <c r="AE234" s="1" t="s">
        <v>104</v>
      </c>
      <c r="AF234" s="1" t="s">
        <v>104</v>
      </c>
      <c r="AG234" s="1" t="s">
        <v>104</v>
      </c>
      <c r="AH234" s="1">
        <v>2</v>
      </c>
      <c r="AI234" s="1" t="s">
        <v>104</v>
      </c>
      <c r="AJ234" s="1">
        <v>2</v>
      </c>
      <c r="AK234" s="1" t="s">
        <v>104</v>
      </c>
      <c r="AL234" s="1" t="s">
        <v>104</v>
      </c>
      <c r="AM234" s="1" t="s">
        <v>104</v>
      </c>
      <c r="AO234" s="1">
        <v>3</v>
      </c>
      <c r="AP234" s="1" t="s">
        <v>1764</v>
      </c>
      <c r="AQ234" s="1" t="s">
        <v>1765</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2" t="str">
        <f>HYPERLINK("http://www.d20pfsrd.com/magic/all-spells/g/gentle-repose","Gentle Repose")</f>
        <v>Gentle Repose</v>
      </c>
      <c r="BR234" s="1">
        <v>233</v>
      </c>
      <c r="BS234" s="1" t="s">
        <v>104</v>
      </c>
      <c r="BX234" s="1">
        <v>0</v>
      </c>
      <c r="BY234" s="1" t="s">
        <v>104</v>
      </c>
      <c r="BZ234" s="1">
        <v>2</v>
      </c>
      <c r="CA234" s="1" t="s">
        <v>104</v>
      </c>
      <c r="CB234" s="1">
        <v>2</v>
      </c>
      <c r="CC234" s="1" t="s">
        <v>104</v>
      </c>
      <c r="CD234" s="1">
        <v>3</v>
      </c>
      <c r="CE234" s="1">
        <v>2</v>
      </c>
      <c r="CF234" s="1" t="s">
        <v>104</v>
      </c>
      <c r="CG234" s="1" t="s">
        <v>104</v>
      </c>
      <c r="CH234" s="1" t="s">
        <v>104</v>
      </c>
      <c r="CJ234" s="1">
        <v>0</v>
      </c>
      <c r="CK234" s="1">
        <v>0</v>
      </c>
      <c r="CL234" s="1">
        <v>0</v>
      </c>
      <c r="CM234" s="1" t="s">
        <v>104</v>
      </c>
    </row>
    <row r="235" spans="1:91" ht="14.25" customHeight="1" x14ac:dyDescent="0.3">
      <c r="A235" s="1" t="s">
        <v>1766</v>
      </c>
      <c r="B235" s="1" t="s">
        <v>507</v>
      </c>
      <c r="C235" s="1" t="s">
        <v>1767</v>
      </c>
      <c r="E235" s="1" t="s">
        <v>1768</v>
      </c>
      <c r="F235" s="1" t="s">
        <v>95</v>
      </c>
      <c r="G235" s="1" t="s">
        <v>1769</v>
      </c>
      <c r="H235" s="1">
        <v>0</v>
      </c>
      <c r="I235" s="1" t="s">
        <v>117</v>
      </c>
      <c r="K235" s="1" t="s">
        <v>1770</v>
      </c>
      <c r="M235" s="1" t="s">
        <v>111</v>
      </c>
      <c r="N235" s="1">
        <v>1</v>
      </c>
      <c r="O235" s="1">
        <v>0</v>
      </c>
      <c r="P235" s="1" t="s">
        <v>1771</v>
      </c>
      <c r="Q235" s="1" t="s">
        <v>101</v>
      </c>
      <c r="R235" s="1" t="s">
        <v>1772</v>
      </c>
      <c r="S235" s="1" t="s">
        <v>103</v>
      </c>
      <c r="T235" s="1">
        <v>1</v>
      </c>
      <c r="U235" s="1">
        <v>1</v>
      </c>
      <c r="V235" s="1">
        <v>1</v>
      </c>
      <c r="W235" s="1">
        <v>0</v>
      </c>
      <c r="X235" s="1">
        <v>0</v>
      </c>
      <c r="Y235" s="1">
        <v>0</v>
      </c>
      <c r="Z235" s="1">
        <v>0</v>
      </c>
      <c r="AA235" s="1" t="s">
        <v>104</v>
      </c>
      <c r="AB235" s="1" t="s">
        <v>104</v>
      </c>
      <c r="AC235" s="1" t="s">
        <v>104</v>
      </c>
      <c r="AD235" s="1">
        <v>0</v>
      </c>
      <c r="AE235" s="1" t="s">
        <v>104</v>
      </c>
      <c r="AF235" s="1" t="s">
        <v>104</v>
      </c>
      <c r="AG235" s="1" t="s">
        <v>104</v>
      </c>
      <c r="AH235" s="1" t="s">
        <v>104</v>
      </c>
      <c r="AI235" s="1" t="s">
        <v>104</v>
      </c>
      <c r="AJ235" s="1" t="s">
        <v>104</v>
      </c>
      <c r="AK235" s="1" t="s">
        <v>104</v>
      </c>
      <c r="AL235" s="1">
        <v>0</v>
      </c>
      <c r="AM235" s="1">
        <v>0</v>
      </c>
      <c r="AO235" s="1">
        <v>0</v>
      </c>
      <c r="AQ235" s="1" t="s">
        <v>1773</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2" t="str">
        <f>HYPERLINK("http://www.d20pfsrd.com/magic/all-spells/g/ghost-sound","Ghost Sound")</f>
        <v>Ghost Sound</v>
      </c>
      <c r="BR235" s="1">
        <v>234</v>
      </c>
      <c r="BS235" s="1" t="s">
        <v>104</v>
      </c>
      <c r="BX235" s="1">
        <v>0</v>
      </c>
      <c r="BY235" s="1" t="s">
        <v>104</v>
      </c>
      <c r="BZ235" s="1" t="s">
        <v>104</v>
      </c>
      <c r="CA235" s="1">
        <v>0</v>
      </c>
      <c r="CB235" s="1">
        <v>0</v>
      </c>
      <c r="CC235" s="1">
        <v>0</v>
      </c>
      <c r="CD235" s="1">
        <v>0</v>
      </c>
      <c r="CE235" s="1" t="s">
        <v>104</v>
      </c>
      <c r="CF235" s="1" t="s">
        <v>104</v>
      </c>
      <c r="CG235" s="1" t="s">
        <v>104</v>
      </c>
      <c r="CH235" s="1" t="s">
        <v>104</v>
      </c>
      <c r="CJ235" s="1">
        <v>0</v>
      </c>
      <c r="CK235" s="1">
        <v>0</v>
      </c>
      <c r="CL235" s="1">
        <v>0</v>
      </c>
      <c r="CM235" s="1" t="s">
        <v>104</v>
      </c>
    </row>
    <row r="236" spans="1:91" ht="14.25" customHeight="1" x14ac:dyDescent="0.3">
      <c r="A236" s="1" t="s">
        <v>1774</v>
      </c>
      <c r="B236" s="1" t="s">
        <v>216</v>
      </c>
      <c r="E236" s="1" t="s">
        <v>1775</v>
      </c>
      <c r="F236" s="1" t="s">
        <v>95</v>
      </c>
      <c r="G236" s="1" t="s">
        <v>1776</v>
      </c>
      <c r="H236" s="1">
        <v>0</v>
      </c>
      <c r="I236" s="1" t="s">
        <v>128</v>
      </c>
      <c r="L236" s="1" t="s">
        <v>1777</v>
      </c>
      <c r="M236" s="1" t="s">
        <v>1778</v>
      </c>
      <c r="N236" s="1">
        <v>0</v>
      </c>
      <c r="O236" s="1">
        <v>0</v>
      </c>
      <c r="P236" s="1" t="s">
        <v>183</v>
      </c>
      <c r="Q236" s="1" t="s">
        <v>184</v>
      </c>
      <c r="R236" s="1" t="s">
        <v>1779</v>
      </c>
      <c r="S236" s="1" t="s">
        <v>103</v>
      </c>
      <c r="T236" s="1">
        <v>1</v>
      </c>
      <c r="U236" s="1">
        <v>1</v>
      </c>
      <c r="V236" s="1">
        <v>1</v>
      </c>
      <c r="W236" s="1">
        <v>0</v>
      </c>
      <c r="X236" s="1">
        <v>0</v>
      </c>
      <c r="Y236" s="1">
        <v>2</v>
      </c>
      <c r="Z236" s="1">
        <v>2</v>
      </c>
      <c r="AA236" s="1" t="s">
        <v>104</v>
      </c>
      <c r="AB236" s="1" t="s">
        <v>104</v>
      </c>
      <c r="AC236" s="1" t="s">
        <v>104</v>
      </c>
      <c r="AD236" s="1" t="s">
        <v>104</v>
      </c>
      <c r="AE236" s="1" t="s">
        <v>104</v>
      </c>
      <c r="AF236" s="1" t="s">
        <v>104</v>
      </c>
      <c r="AG236" s="1" t="s">
        <v>104</v>
      </c>
      <c r="AH236" s="1" t="s">
        <v>104</v>
      </c>
      <c r="AI236" s="1" t="s">
        <v>104</v>
      </c>
      <c r="AJ236" s="1" t="s">
        <v>104</v>
      </c>
      <c r="AK236" s="1" t="s">
        <v>104</v>
      </c>
      <c r="AL236" s="1" t="s">
        <v>104</v>
      </c>
      <c r="AM236" s="1" t="s">
        <v>104</v>
      </c>
      <c r="AO236" s="1">
        <v>2</v>
      </c>
      <c r="AP236" s="1" t="s">
        <v>1780</v>
      </c>
      <c r="AQ236" s="1" t="s">
        <v>1781</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2" t="str">
        <f>HYPERLINK("http://www.d20pfsrd.com/magic/all-spells/g/ghoul-touch","Ghoul touch")</f>
        <v>Ghoul touch</v>
      </c>
      <c r="BR236" s="1">
        <v>235</v>
      </c>
      <c r="BS236" s="1" t="s">
        <v>104</v>
      </c>
      <c r="BX236" s="1">
        <v>0</v>
      </c>
      <c r="BY236" s="1">
        <v>2</v>
      </c>
      <c r="BZ236" s="1" t="s">
        <v>104</v>
      </c>
      <c r="CA236" s="1" t="s">
        <v>104</v>
      </c>
      <c r="CB236" s="1" t="s">
        <v>104</v>
      </c>
      <c r="CC236" s="1" t="s">
        <v>104</v>
      </c>
      <c r="CD236" s="1" t="s">
        <v>104</v>
      </c>
      <c r="CE236" s="1">
        <v>2</v>
      </c>
      <c r="CF236" s="1" t="s">
        <v>104</v>
      </c>
      <c r="CG236" s="1" t="s">
        <v>104</v>
      </c>
      <c r="CH236" s="1" t="s">
        <v>104</v>
      </c>
      <c r="CJ236" s="1">
        <v>0</v>
      </c>
      <c r="CK236" s="1">
        <v>0</v>
      </c>
      <c r="CL236" s="1">
        <v>0</v>
      </c>
      <c r="CM236" s="1" t="s">
        <v>104</v>
      </c>
    </row>
    <row r="237" spans="1:91" ht="14.25" customHeight="1" x14ac:dyDescent="0.3">
      <c r="A237" s="1" t="s">
        <v>1782</v>
      </c>
      <c r="B237" s="1" t="s">
        <v>137</v>
      </c>
      <c r="C237" s="1" t="s">
        <v>154</v>
      </c>
      <c r="E237" s="1" t="s">
        <v>1783</v>
      </c>
      <c r="F237" s="1" t="s">
        <v>95</v>
      </c>
      <c r="G237" s="1" t="s">
        <v>156</v>
      </c>
      <c r="H237" s="1">
        <v>0</v>
      </c>
      <c r="I237" s="1" t="s">
        <v>157</v>
      </c>
      <c r="L237" s="1" t="s">
        <v>158</v>
      </c>
      <c r="M237" s="1" t="s">
        <v>130</v>
      </c>
      <c r="N237" s="1">
        <v>1</v>
      </c>
      <c r="O237" s="1">
        <v>0</v>
      </c>
      <c r="R237" s="1" t="s">
        <v>1784</v>
      </c>
      <c r="S237" s="1" t="s">
        <v>103</v>
      </c>
      <c r="T237" s="1">
        <v>1</v>
      </c>
      <c r="U237" s="1">
        <v>1</v>
      </c>
      <c r="V237" s="1">
        <v>1</v>
      </c>
      <c r="W237" s="1">
        <v>0</v>
      </c>
      <c r="X237" s="1">
        <v>0</v>
      </c>
      <c r="Y237" s="1">
        <v>7</v>
      </c>
      <c r="Z237" s="1">
        <v>7</v>
      </c>
      <c r="AA237" s="1" t="s">
        <v>104</v>
      </c>
      <c r="AB237" s="1" t="s">
        <v>104</v>
      </c>
      <c r="AC237" s="1" t="s">
        <v>104</v>
      </c>
      <c r="AD237" s="1" t="s">
        <v>104</v>
      </c>
      <c r="AE237" s="1" t="s">
        <v>104</v>
      </c>
      <c r="AF237" s="1">
        <v>6</v>
      </c>
      <c r="AG237" s="1" t="s">
        <v>104</v>
      </c>
      <c r="AH237" s="1" t="s">
        <v>104</v>
      </c>
      <c r="AI237" s="1" t="s">
        <v>104</v>
      </c>
      <c r="AJ237" s="1" t="s">
        <v>104</v>
      </c>
      <c r="AK237" s="1" t="s">
        <v>104</v>
      </c>
      <c r="AL237" s="1" t="s">
        <v>104</v>
      </c>
      <c r="AM237" s="1" t="s">
        <v>104</v>
      </c>
      <c r="AO237" s="1">
        <v>7</v>
      </c>
      <c r="AQ237" s="1" t="s">
        <v>1785</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0</v>
      </c>
      <c r="BM237" s="1">
        <v>0</v>
      </c>
      <c r="BN237" s="1">
        <v>0</v>
      </c>
      <c r="BO237" s="1">
        <v>0</v>
      </c>
      <c r="BP237" s="1">
        <v>0</v>
      </c>
      <c r="BQ237" s="2" t="str">
        <f>HYPERLINK("http://www.d20pfsrd.com/magic/all-spells/g/giant-form-i","Giant Form I")</f>
        <v>Giant Form I</v>
      </c>
      <c r="BR237" s="1">
        <v>236</v>
      </c>
      <c r="BS237" s="1" t="s">
        <v>104</v>
      </c>
      <c r="BT237" s="1" t="s">
        <v>1786</v>
      </c>
      <c r="BU237" s="1" t="s">
        <v>1787</v>
      </c>
      <c r="BX237" s="1">
        <v>0</v>
      </c>
      <c r="BY237" s="1" t="s">
        <v>104</v>
      </c>
      <c r="BZ237" s="1" t="s">
        <v>104</v>
      </c>
      <c r="CA237" s="1" t="s">
        <v>104</v>
      </c>
      <c r="CB237" s="1" t="s">
        <v>104</v>
      </c>
      <c r="CC237" s="1" t="s">
        <v>104</v>
      </c>
      <c r="CD237" s="1" t="s">
        <v>104</v>
      </c>
      <c r="CE237" s="1" t="s">
        <v>104</v>
      </c>
      <c r="CF237" s="1" t="s">
        <v>104</v>
      </c>
      <c r="CG237" s="1" t="s">
        <v>104</v>
      </c>
      <c r="CH237" s="1" t="s">
        <v>104</v>
      </c>
      <c r="CJ237" s="1">
        <v>0</v>
      </c>
      <c r="CK237" s="1">
        <v>0</v>
      </c>
      <c r="CL237" s="1">
        <v>0</v>
      </c>
      <c r="CM237" s="1" t="s">
        <v>104</v>
      </c>
    </row>
    <row r="238" spans="1:91" ht="14.25" customHeight="1" x14ac:dyDescent="0.3">
      <c r="A238" s="1" t="s">
        <v>1788</v>
      </c>
      <c r="B238" s="1" t="s">
        <v>1789</v>
      </c>
      <c r="C238" s="1" t="s">
        <v>154</v>
      </c>
      <c r="E238" s="1" t="s">
        <v>1688</v>
      </c>
      <c r="F238" s="1" t="s">
        <v>95</v>
      </c>
      <c r="G238" s="1" t="s">
        <v>156</v>
      </c>
      <c r="H238" s="1">
        <v>0</v>
      </c>
      <c r="I238" s="1" t="s">
        <v>157</v>
      </c>
      <c r="L238" s="1" t="s">
        <v>158</v>
      </c>
      <c r="M238" s="1" t="s">
        <v>130</v>
      </c>
      <c r="N238" s="1">
        <v>1</v>
      </c>
      <c r="O238" s="1">
        <v>0</v>
      </c>
      <c r="R238" s="1" t="s">
        <v>1790</v>
      </c>
      <c r="S238" s="1" t="s">
        <v>103</v>
      </c>
      <c r="T238" s="1">
        <v>1</v>
      </c>
      <c r="U238" s="1">
        <v>1</v>
      </c>
      <c r="V238" s="1">
        <v>1</v>
      </c>
      <c r="W238" s="1">
        <v>0</v>
      </c>
      <c r="X238" s="1">
        <v>0</v>
      </c>
      <c r="Y238" s="1">
        <v>8</v>
      </c>
      <c r="Z238" s="1">
        <v>8</v>
      </c>
      <c r="AA238" s="1" t="s">
        <v>104</v>
      </c>
      <c r="AB238" s="1" t="s">
        <v>104</v>
      </c>
      <c r="AC238" s="1" t="s">
        <v>104</v>
      </c>
      <c r="AD238" s="1" t="s">
        <v>104</v>
      </c>
      <c r="AE238" s="1" t="s">
        <v>104</v>
      </c>
      <c r="AF238" s="1" t="s">
        <v>104</v>
      </c>
      <c r="AG238" s="1" t="s">
        <v>104</v>
      </c>
      <c r="AH238" s="1" t="s">
        <v>104</v>
      </c>
      <c r="AI238" s="1" t="s">
        <v>104</v>
      </c>
      <c r="AJ238" s="1" t="s">
        <v>104</v>
      </c>
      <c r="AK238" s="1" t="s">
        <v>104</v>
      </c>
      <c r="AL238" s="1" t="s">
        <v>104</v>
      </c>
      <c r="AM238" s="1" t="s">
        <v>104</v>
      </c>
      <c r="AO238" s="1">
        <v>8</v>
      </c>
      <c r="AQ238" s="1" t="s">
        <v>1791</v>
      </c>
      <c r="AR238" s="1">
        <v>0</v>
      </c>
      <c r="AS238" s="1">
        <v>0</v>
      </c>
      <c r="AT238" s="1">
        <v>0</v>
      </c>
      <c r="AU238" s="1">
        <v>0</v>
      </c>
      <c r="AV238" s="1">
        <v>0</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2" t="str">
        <f>HYPERLINK("http://www.d20pfsrd.com/magic/all-spells/g/giant-form-i","Giant Form II")</f>
        <v>Giant Form II</v>
      </c>
      <c r="BR238" s="1">
        <v>237</v>
      </c>
      <c r="BS238" s="1" t="s">
        <v>104</v>
      </c>
      <c r="BT238" s="1" t="s">
        <v>1792</v>
      </c>
      <c r="BU238" s="1" t="s">
        <v>1793</v>
      </c>
      <c r="BX238" s="1">
        <v>0</v>
      </c>
      <c r="BY238" s="1" t="s">
        <v>104</v>
      </c>
      <c r="BZ238" s="1" t="s">
        <v>104</v>
      </c>
      <c r="CA238" s="1" t="s">
        <v>104</v>
      </c>
      <c r="CB238" s="1" t="s">
        <v>104</v>
      </c>
      <c r="CC238" s="1" t="s">
        <v>104</v>
      </c>
      <c r="CD238" s="1" t="s">
        <v>104</v>
      </c>
      <c r="CE238" s="1" t="s">
        <v>104</v>
      </c>
      <c r="CF238" s="1" t="s">
        <v>104</v>
      </c>
      <c r="CG238" s="1" t="s">
        <v>104</v>
      </c>
      <c r="CH238" s="1" t="s">
        <v>104</v>
      </c>
      <c r="CJ238" s="1">
        <v>0</v>
      </c>
      <c r="CK238" s="1">
        <v>0</v>
      </c>
      <c r="CL238" s="1">
        <v>0</v>
      </c>
      <c r="CM238" s="1" t="s">
        <v>104</v>
      </c>
    </row>
    <row r="239" spans="1:91" ht="14.25" customHeight="1" x14ac:dyDescent="0.3">
      <c r="A239" s="1" t="s">
        <v>1794</v>
      </c>
      <c r="B239" s="1" t="s">
        <v>137</v>
      </c>
      <c r="E239" s="1" t="s">
        <v>1795</v>
      </c>
      <c r="F239" s="1" t="s">
        <v>95</v>
      </c>
      <c r="G239" s="1" t="s">
        <v>127</v>
      </c>
      <c r="H239" s="1">
        <v>0</v>
      </c>
      <c r="I239" s="1" t="s">
        <v>117</v>
      </c>
      <c r="L239" s="1" t="s">
        <v>1796</v>
      </c>
      <c r="M239" s="1" t="s">
        <v>130</v>
      </c>
      <c r="N239" s="1">
        <v>0</v>
      </c>
      <c r="O239" s="1">
        <v>0</v>
      </c>
      <c r="P239" s="1" t="s">
        <v>100</v>
      </c>
      <c r="Q239" s="1" t="s">
        <v>184</v>
      </c>
      <c r="R239" s="1" t="s">
        <v>1797</v>
      </c>
      <c r="S239" s="1" t="s">
        <v>103</v>
      </c>
      <c r="T239" s="1">
        <v>1</v>
      </c>
      <c r="U239" s="1">
        <v>1</v>
      </c>
      <c r="V239" s="1">
        <v>0</v>
      </c>
      <c r="W239" s="1">
        <v>0</v>
      </c>
      <c r="X239" s="1">
        <v>1</v>
      </c>
      <c r="Y239" s="1" t="s">
        <v>104</v>
      </c>
      <c r="Z239" s="1" t="s">
        <v>104</v>
      </c>
      <c r="AA239" s="1">
        <v>4</v>
      </c>
      <c r="AB239" s="1">
        <v>4</v>
      </c>
      <c r="AC239" s="1" t="s">
        <v>104</v>
      </c>
      <c r="AD239" s="1" t="s">
        <v>104</v>
      </c>
      <c r="AE239" s="1" t="s">
        <v>104</v>
      </c>
      <c r="AF239" s="1" t="s">
        <v>104</v>
      </c>
      <c r="AG239" s="1" t="s">
        <v>104</v>
      </c>
      <c r="AH239" s="1" t="s">
        <v>104</v>
      </c>
      <c r="AI239" s="1" t="s">
        <v>104</v>
      </c>
      <c r="AJ239" s="1">
        <v>4</v>
      </c>
      <c r="AK239" s="1" t="s">
        <v>104</v>
      </c>
      <c r="AL239" s="1" t="s">
        <v>104</v>
      </c>
      <c r="AM239" s="1" t="s">
        <v>104</v>
      </c>
      <c r="AO239" s="1">
        <v>4</v>
      </c>
      <c r="AQ239" s="1" t="s">
        <v>1798</v>
      </c>
      <c r="AR239" s="1">
        <v>0</v>
      </c>
      <c r="AS239" s="1">
        <v>0</v>
      </c>
      <c r="AT239" s="1">
        <v>0</v>
      </c>
      <c r="AU239" s="1">
        <v>0</v>
      </c>
      <c r="AV239" s="1">
        <v>0</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2" t="str">
        <f>HYPERLINK("http://www.d20pfsrd.com/magic/all-spells/g/giant-vermin","Giant Vermin")</f>
        <v>Giant Vermin</v>
      </c>
      <c r="BR239" s="1">
        <v>238</v>
      </c>
      <c r="BS239" s="1" t="s">
        <v>104</v>
      </c>
      <c r="BU239" s="1" t="s">
        <v>1799</v>
      </c>
      <c r="BX239" s="1">
        <v>0</v>
      </c>
      <c r="BY239" s="1" t="s">
        <v>104</v>
      </c>
      <c r="BZ239" s="1">
        <v>4</v>
      </c>
      <c r="CA239" s="1" t="s">
        <v>104</v>
      </c>
      <c r="CB239" s="1" t="s">
        <v>104</v>
      </c>
      <c r="CC239" s="1" t="s">
        <v>104</v>
      </c>
      <c r="CD239" s="1" t="s">
        <v>104</v>
      </c>
      <c r="CE239" s="1" t="s">
        <v>104</v>
      </c>
      <c r="CF239" s="1" t="s">
        <v>104</v>
      </c>
      <c r="CG239" s="1" t="s">
        <v>104</v>
      </c>
      <c r="CH239" s="1">
        <v>4</v>
      </c>
      <c r="CJ239" s="1">
        <v>0</v>
      </c>
      <c r="CK239" s="1">
        <v>0</v>
      </c>
      <c r="CL239" s="1">
        <v>0</v>
      </c>
      <c r="CM239" s="1" t="s">
        <v>104</v>
      </c>
    </row>
    <row r="240" spans="1:91" ht="14.25" customHeight="1" x14ac:dyDescent="0.3">
      <c r="A240" s="1" t="s">
        <v>1800</v>
      </c>
      <c r="B240" s="1" t="s">
        <v>137</v>
      </c>
      <c r="E240" s="1" t="s">
        <v>1801</v>
      </c>
      <c r="F240" s="1" t="s">
        <v>95</v>
      </c>
      <c r="G240" s="1" t="s">
        <v>1802</v>
      </c>
      <c r="H240" s="1">
        <v>0</v>
      </c>
      <c r="I240" s="1" t="s">
        <v>157</v>
      </c>
      <c r="L240" s="1" t="s">
        <v>158</v>
      </c>
      <c r="M240" s="1" t="s">
        <v>140</v>
      </c>
      <c r="N240" s="1">
        <v>1</v>
      </c>
      <c r="O240" s="1">
        <v>0</v>
      </c>
      <c r="R240" s="1" t="s">
        <v>1803</v>
      </c>
      <c r="S240" s="1" t="s">
        <v>103</v>
      </c>
      <c r="T240" s="1">
        <v>0</v>
      </c>
      <c r="U240" s="1">
        <v>1</v>
      </c>
      <c r="V240" s="1">
        <v>0</v>
      </c>
      <c r="W240" s="1">
        <v>0</v>
      </c>
      <c r="X240" s="1">
        <v>0</v>
      </c>
      <c r="Y240" s="1" t="s">
        <v>104</v>
      </c>
      <c r="Z240" s="1" t="s">
        <v>104</v>
      </c>
      <c r="AA240" s="1" t="s">
        <v>104</v>
      </c>
      <c r="AB240" s="1" t="s">
        <v>104</v>
      </c>
      <c r="AC240" s="1" t="s">
        <v>104</v>
      </c>
      <c r="AD240" s="1">
        <v>3</v>
      </c>
      <c r="AE240" s="1" t="s">
        <v>104</v>
      </c>
      <c r="AF240" s="1" t="s">
        <v>104</v>
      </c>
      <c r="AG240" s="1" t="s">
        <v>104</v>
      </c>
      <c r="AH240" s="1" t="s">
        <v>104</v>
      </c>
      <c r="AI240" s="1" t="s">
        <v>104</v>
      </c>
      <c r="AJ240" s="1" t="s">
        <v>104</v>
      </c>
      <c r="AK240" s="1" t="s">
        <v>104</v>
      </c>
      <c r="AL240" s="1" t="s">
        <v>104</v>
      </c>
      <c r="AM240" s="1" t="s">
        <v>104</v>
      </c>
      <c r="AO240" s="1">
        <v>3</v>
      </c>
      <c r="AQ240" s="1" t="s">
        <v>1804</v>
      </c>
      <c r="AR240" s="1">
        <v>0</v>
      </c>
      <c r="AS240" s="1">
        <v>0</v>
      </c>
      <c r="AT240" s="1">
        <v>0</v>
      </c>
      <c r="AU240" s="1">
        <v>0</v>
      </c>
      <c r="AV240" s="1">
        <v>0</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2" t="str">
        <f>HYPERLINK("http://www.d20pfsrd.com/magic/all-spells/g/glibness","Glibness")</f>
        <v>Glibness</v>
      </c>
      <c r="BR240" s="1">
        <v>239</v>
      </c>
      <c r="BS240" s="1" t="s">
        <v>104</v>
      </c>
      <c r="BX240" s="1">
        <v>0</v>
      </c>
      <c r="BY240" s="1" t="s">
        <v>104</v>
      </c>
      <c r="BZ240" s="1" t="s">
        <v>104</v>
      </c>
      <c r="CA240" s="1" t="s">
        <v>104</v>
      </c>
      <c r="CB240" s="1" t="s">
        <v>104</v>
      </c>
      <c r="CC240" s="1">
        <v>3</v>
      </c>
      <c r="CD240" s="1" t="s">
        <v>104</v>
      </c>
      <c r="CE240" s="1" t="s">
        <v>104</v>
      </c>
      <c r="CF240" s="1" t="s">
        <v>104</v>
      </c>
      <c r="CG240" s="1" t="s">
        <v>104</v>
      </c>
      <c r="CH240" s="1" t="s">
        <v>104</v>
      </c>
      <c r="CJ240" s="1">
        <v>0</v>
      </c>
      <c r="CK240" s="1">
        <v>0</v>
      </c>
      <c r="CL240" s="1">
        <v>0</v>
      </c>
      <c r="CM240" s="1" t="s">
        <v>104</v>
      </c>
    </row>
    <row r="241" spans="1:91" ht="14.25" customHeight="1" x14ac:dyDescent="0.3">
      <c r="A241" s="1" t="s">
        <v>1805</v>
      </c>
      <c r="B241" s="1" t="s">
        <v>92</v>
      </c>
      <c r="C241" s="1" t="s">
        <v>93</v>
      </c>
      <c r="E241" s="1" t="s">
        <v>1806</v>
      </c>
      <c r="F241" s="1" t="s">
        <v>95</v>
      </c>
      <c r="G241" s="1" t="s">
        <v>1807</v>
      </c>
      <c r="H241" s="1">
        <v>0</v>
      </c>
      <c r="I241" s="1" t="s">
        <v>109</v>
      </c>
      <c r="J241" s="1" t="s">
        <v>1808</v>
      </c>
      <c r="M241" s="1" t="s">
        <v>111</v>
      </c>
      <c r="N241" s="1">
        <v>0</v>
      </c>
      <c r="O241" s="1">
        <v>0</v>
      </c>
      <c r="P241" s="1" t="s">
        <v>1809</v>
      </c>
      <c r="Q241" s="1" t="s">
        <v>101</v>
      </c>
      <c r="R241" s="1" t="s">
        <v>1810</v>
      </c>
      <c r="S241" s="1" t="s">
        <v>103</v>
      </c>
      <c r="T241" s="1">
        <v>1</v>
      </c>
      <c r="U241" s="1">
        <v>1</v>
      </c>
      <c r="V241" s="1">
        <v>1</v>
      </c>
      <c r="W241" s="1">
        <v>0</v>
      </c>
      <c r="X241" s="1">
        <v>0</v>
      </c>
      <c r="Y241" s="1">
        <v>2</v>
      </c>
      <c r="Z241" s="1">
        <v>2</v>
      </c>
      <c r="AA241" s="1" t="s">
        <v>104</v>
      </c>
      <c r="AB241" s="1" t="s">
        <v>104</v>
      </c>
      <c r="AC241" s="1" t="s">
        <v>104</v>
      </c>
      <c r="AD241" s="1">
        <v>2</v>
      </c>
      <c r="AE241" s="1" t="s">
        <v>104</v>
      </c>
      <c r="AF241" s="1" t="s">
        <v>104</v>
      </c>
      <c r="AG241" s="1">
        <v>2</v>
      </c>
      <c r="AH241" s="1">
        <v>2</v>
      </c>
      <c r="AI241" s="1" t="s">
        <v>104</v>
      </c>
      <c r="AJ241" s="1" t="s">
        <v>104</v>
      </c>
      <c r="AK241" s="1" t="s">
        <v>104</v>
      </c>
      <c r="AL241" s="1">
        <v>2</v>
      </c>
      <c r="AM241" s="1" t="s">
        <v>104</v>
      </c>
      <c r="AO241" s="1">
        <v>2</v>
      </c>
      <c r="AQ241" s="1" t="s">
        <v>1811</v>
      </c>
      <c r="AR241" s="1">
        <v>0</v>
      </c>
      <c r="AS241" s="1">
        <v>0</v>
      </c>
      <c r="AT241" s="1">
        <v>0</v>
      </c>
      <c r="AU241" s="1">
        <v>0</v>
      </c>
      <c r="AV241" s="1">
        <v>0</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2" t="str">
        <f>HYPERLINK("http://www.d20pfsrd.com/magic/all-spells/g/glitterdust","Glitterdust")</f>
        <v>Glitterdust</v>
      </c>
      <c r="BR241" s="1">
        <v>240</v>
      </c>
      <c r="BS241" s="1" t="s">
        <v>104</v>
      </c>
      <c r="BT241" s="1" t="s">
        <v>1812</v>
      </c>
      <c r="BX241" s="1">
        <v>0</v>
      </c>
      <c r="BY241" s="1">
        <v>2</v>
      </c>
      <c r="BZ241" s="1" t="s">
        <v>104</v>
      </c>
      <c r="CA241" s="1" t="s">
        <v>104</v>
      </c>
      <c r="CB241" s="1" t="s">
        <v>104</v>
      </c>
      <c r="CC241" s="1">
        <v>2</v>
      </c>
      <c r="CD241" s="1">
        <v>2</v>
      </c>
      <c r="CE241" s="1" t="s">
        <v>104</v>
      </c>
      <c r="CF241" s="1" t="s">
        <v>104</v>
      </c>
      <c r="CG241" s="1" t="s">
        <v>104</v>
      </c>
      <c r="CH241" s="1" t="s">
        <v>104</v>
      </c>
      <c r="CJ241" s="1">
        <v>0</v>
      </c>
      <c r="CK241" s="1">
        <v>0</v>
      </c>
      <c r="CL241" s="1">
        <v>0</v>
      </c>
      <c r="CM241" s="1">
        <v>2</v>
      </c>
    </row>
    <row r="242" spans="1:91" ht="14.25" customHeight="1" x14ac:dyDescent="0.3">
      <c r="A242" s="1" t="s">
        <v>1813</v>
      </c>
      <c r="B242" s="1" t="s">
        <v>162</v>
      </c>
      <c r="E242" s="1" t="s">
        <v>1814</v>
      </c>
      <c r="F242" s="1" t="s">
        <v>95</v>
      </c>
      <c r="G242" s="1" t="s">
        <v>1815</v>
      </c>
      <c r="H242" s="1">
        <v>0</v>
      </c>
      <c r="I242" s="1" t="s">
        <v>256</v>
      </c>
      <c r="J242" s="1" t="s">
        <v>1816</v>
      </c>
      <c r="M242" s="1" t="s">
        <v>111</v>
      </c>
      <c r="N242" s="1">
        <v>1</v>
      </c>
      <c r="O242" s="1">
        <v>0</v>
      </c>
      <c r="P242" s="1" t="s">
        <v>100</v>
      </c>
      <c r="Q242" s="1" t="s">
        <v>101</v>
      </c>
      <c r="R242" s="1" t="s">
        <v>1817</v>
      </c>
      <c r="S242" s="1" t="s">
        <v>103</v>
      </c>
      <c r="T242" s="1">
        <v>1</v>
      </c>
      <c r="U242" s="1">
        <v>1</v>
      </c>
      <c r="V242" s="1">
        <v>1</v>
      </c>
      <c r="W242" s="1">
        <v>0</v>
      </c>
      <c r="X242" s="1">
        <v>0</v>
      </c>
      <c r="Y242" s="1">
        <v>4</v>
      </c>
      <c r="Z242" s="1">
        <v>4</v>
      </c>
      <c r="AA242" s="1" t="s">
        <v>104</v>
      </c>
      <c r="AB242" s="1" t="s">
        <v>104</v>
      </c>
      <c r="AC242" s="1" t="s">
        <v>104</v>
      </c>
      <c r="AD242" s="1" t="s">
        <v>104</v>
      </c>
      <c r="AE242" s="1" t="s">
        <v>104</v>
      </c>
      <c r="AF242" s="1" t="s">
        <v>104</v>
      </c>
      <c r="AG242" s="1" t="s">
        <v>104</v>
      </c>
      <c r="AH242" s="1" t="s">
        <v>104</v>
      </c>
      <c r="AI242" s="1" t="s">
        <v>104</v>
      </c>
      <c r="AJ242" s="1" t="s">
        <v>104</v>
      </c>
      <c r="AK242" s="1" t="s">
        <v>104</v>
      </c>
      <c r="AL242" s="1" t="s">
        <v>104</v>
      </c>
      <c r="AM242" s="1" t="s">
        <v>104</v>
      </c>
      <c r="AO242" s="1">
        <v>4</v>
      </c>
      <c r="AQ242" s="1" t="s">
        <v>1818</v>
      </c>
      <c r="AR242" s="1">
        <v>0</v>
      </c>
      <c r="AS242" s="1">
        <v>0</v>
      </c>
      <c r="AT242" s="1">
        <v>0</v>
      </c>
      <c r="AU242" s="1">
        <v>0</v>
      </c>
      <c r="AV242" s="1">
        <v>0</v>
      </c>
      <c r="AW242" s="1">
        <v>0</v>
      </c>
      <c r="AX242" s="1">
        <v>0</v>
      </c>
      <c r="AY242" s="1">
        <v>0</v>
      </c>
      <c r="AZ242" s="1">
        <v>0</v>
      </c>
      <c r="BA242" s="1">
        <v>0</v>
      </c>
      <c r="BB242" s="1">
        <v>0</v>
      </c>
      <c r="BC242" s="1">
        <v>0</v>
      </c>
      <c r="BD242" s="1">
        <v>0</v>
      </c>
      <c r="BE242" s="1">
        <v>0</v>
      </c>
      <c r="BF242" s="1">
        <v>0</v>
      </c>
      <c r="BG242" s="1">
        <v>0</v>
      </c>
      <c r="BH242" s="1">
        <v>0</v>
      </c>
      <c r="BI242" s="1">
        <v>0</v>
      </c>
      <c r="BJ242" s="1">
        <v>0</v>
      </c>
      <c r="BK242" s="1">
        <v>0</v>
      </c>
      <c r="BL242" s="1">
        <v>0</v>
      </c>
      <c r="BM242" s="1">
        <v>0</v>
      </c>
      <c r="BN242" s="1">
        <v>0</v>
      </c>
      <c r="BO242" s="1">
        <v>0</v>
      </c>
      <c r="BP242" s="1">
        <v>0</v>
      </c>
      <c r="BQ242" s="2" t="str">
        <f>HYPERLINK("http://www.d20pfsrd.com/magic/all-spells/g/globe-of-invulnerability","Globe of Invulnerability, Lesser")</f>
        <v>Globe of Invulnerability, Lesser</v>
      </c>
      <c r="BR242" s="1">
        <v>241</v>
      </c>
      <c r="BS242" s="1" t="s">
        <v>104</v>
      </c>
      <c r="BU242" s="1" t="s">
        <v>1819</v>
      </c>
      <c r="BX242" s="1">
        <v>0</v>
      </c>
      <c r="BY242" s="1" t="s">
        <v>104</v>
      </c>
      <c r="BZ242" s="1" t="s">
        <v>104</v>
      </c>
      <c r="CA242" s="1">
        <v>4</v>
      </c>
      <c r="CB242" s="1" t="s">
        <v>104</v>
      </c>
      <c r="CC242" s="1" t="s">
        <v>104</v>
      </c>
      <c r="CD242" s="1">
        <v>4</v>
      </c>
      <c r="CE242" s="1" t="s">
        <v>104</v>
      </c>
      <c r="CF242" s="1" t="s">
        <v>104</v>
      </c>
      <c r="CG242" s="1" t="s">
        <v>104</v>
      </c>
      <c r="CH242" s="1" t="s">
        <v>104</v>
      </c>
      <c r="CJ242" s="1">
        <v>0</v>
      </c>
      <c r="CK242" s="1">
        <v>0</v>
      </c>
      <c r="CL242" s="1">
        <v>0</v>
      </c>
      <c r="CM242" s="1" t="s">
        <v>104</v>
      </c>
    </row>
    <row r="243" spans="1:91" ht="14.25" customHeight="1" x14ac:dyDescent="0.3">
      <c r="A243" s="1" t="s">
        <v>1820</v>
      </c>
      <c r="B243" s="1" t="s">
        <v>162</v>
      </c>
      <c r="E243" s="1" t="s">
        <v>820</v>
      </c>
      <c r="F243" s="1" t="s">
        <v>95</v>
      </c>
      <c r="G243" s="1" t="s">
        <v>1815</v>
      </c>
      <c r="H243" s="1">
        <v>0</v>
      </c>
      <c r="I243" s="1" t="s">
        <v>256</v>
      </c>
      <c r="J243" s="1" t="s">
        <v>1816</v>
      </c>
      <c r="M243" s="1" t="s">
        <v>426</v>
      </c>
      <c r="N243" s="1">
        <v>1</v>
      </c>
      <c r="O243" s="1">
        <v>0</v>
      </c>
      <c r="P243" s="1" t="s">
        <v>100</v>
      </c>
      <c r="Q243" s="1" t="s">
        <v>101</v>
      </c>
      <c r="R243" s="1" t="s">
        <v>1821</v>
      </c>
      <c r="S243" s="1" t="s">
        <v>103</v>
      </c>
      <c r="T243" s="1">
        <v>1</v>
      </c>
      <c r="U243" s="1">
        <v>1</v>
      </c>
      <c r="V243" s="1">
        <v>1</v>
      </c>
      <c r="W243" s="1">
        <v>0</v>
      </c>
      <c r="X243" s="1">
        <v>0</v>
      </c>
      <c r="Y243" s="1">
        <v>6</v>
      </c>
      <c r="Z243" s="1">
        <v>6</v>
      </c>
      <c r="AA243" s="1" t="s">
        <v>104</v>
      </c>
      <c r="AB243" s="1" t="s">
        <v>104</v>
      </c>
      <c r="AC243" s="1" t="s">
        <v>104</v>
      </c>
      <c r="AD243" s="1" t="s">
        <v>104</v>
      </c>
      <c r="AE243" s="1" t="s">
        <v>104</v>
      </c>
      <c r="AF243" s="1" t="s">
        <v>104</v>
      </c>
      <c r="AG243" s="1" t="s">
        <v>104</v>
      </c>
      <c r="AH243" s="1" t="s">
        <v>104</v>
      </c>
      <c r="AI243" s="1" t="s">
        <v>104</v>
      </c>
      <c r="AJ243" s="1" t="s">
        <v>104</v>
      </c>
      <c r="AK243" s="1" t="s">
        <v>104</v>
      </c>
      <c r="AL243" s="1" t="s">
        <v>104</v>
      </c>
      <c r="AM243" s="1" t="s">
        <v>104</v>
      </c>
      <c r="AO243" s="1">
        <v>6</v>
      </c>
      <c r="AQ243" s="1" t="s">
        <v>1822</v>
      </c>
      <c r="AR243" s="1">
        <v>0</v>
      </c>
      <c r="AS243" s="1">
        <v>0</v>
      </c>
      <c r="AT243" s="1">
        <v>0</v>
      </c>
      <c r="AU243" s="1">
        <v>0</v>
      </c>
      <c r="AV243" s="1">
        <v>0</v>
      </c>
      <c r="AW243" s="1">
        <v>0</v>
      </c>
      <c r="AX243" s="1">
        <v>0</v>
      </c>
      <c r="AY243" s="1">
        <v>0</v>
      </c>
      <c r="AZ243" s="1">
        <v>0</v>
      </c>
      <c r="BA243" s="1">
        <v>0</v>
      </c>
      <c r="BB243" s="1">
        <v>0</v>
      </c>
      <c r="BC243" s="1">
        <v>0</v>
      </c>
      <c r="BD243" s="1">
        <v>0</v>
      </c>
      <c r="BE243" s="1">
        <v>0</v>
      </c>
      <c r="BF243" s="1">
        <v>0</v>
      </c>
      <c r="BG243" s="1">
        <v>0</v>
      </c>
      <c r="BH243" s="1">
        <v>0</v>
      </c>
      <c r="BI243" s="1">
        <v>0</v>
      </c>
      <c r="BJ243" s="1">
        <v>0</v>
      </c>
      <c r="BK243" s="1">
        <v>0</v>
      </c>
      <c r="BL243" s="1">
        <v>0</v>
      </c>
      <c r="BM243" s="1">
        <v>0</v>
      </c>
      <c r="BN243" s="1">
        <v>0</v>
      </c>
      <c r="BO243" s="1">
        <v>0</v>
      </c>
      <c r="BP243" s="1">
        <v>0</v>
      </c>
      <c r="BQ243" s="2" t="str">
        <f>HYPERLINK("http://www.d20pfsrd.com/magic/all-spells/g/globe-of-invulnerability","Globe of Invulnerability")</f>
        <v>Globe of Invulnerability</v>
      </c>
      <c r="BR243" s="1">
        <v>242</v>
      </c>
      <c r="BS243" s="1" t="s">
        <v>104</v>
      </c>
      <c r="BV243" s="1" t="s">
        <v>1823</v>
      </c>
      <c r="BX243" s="1">
        <v>1</v>
      </c>
      <c r="BY243" s="1" t="s">
        <v>104</v>
      </c>
      <c r="BZ243" s="1" t="s">
        <v>104</v>
      </c>
      <c r="CA243" s="1">
        <v>6</v>
      </c>
      <c r="CB243" s="1" t="s">
        <v>104</v>
      </c>
      <c r="CC243" s="1" t="s">
        <v>104</v>
      </c>
      <c r="CD243" s="1">
        <v>6</v>
      </c>
      <c r="CE243" s="1" t="s">
        <v>104</v>
      </c>
      <c r="CF243" s="1" t="s">
        <v>104</v>
      </c>
      <c r="CG243" s="1" t="s">
        <v>104</v>
      </c>
      <c r="CH243" s="1" t="s">
        <v>104</v>
      </c>
      <c r="CJ243" s="1">
        <v>0</v>
      </c>
      <c r="CK243" s="1">
        <v>0</v>
      </c>
      <c r="CL243" s="1">
        <v>0</v>
      </c>
      <c r="CM243" s="1" t="s">
        <v>104</v>
      </c>
    </row>
    <row r="244" spans="1:91" ht="14.25" customHeight="1" x14ac:dyDescent="0.3">
      <c r="A244" s="1" t="s">
        <v>1824</v>
      </c>
      <c r="B244" s="1" t="s">
        <v>162</v>
      </c>
      <c r="E244" s="1" t="s">
        <v>1825</v>
      </c>
      <c r="F244" s="1" t="s">
        <v>287</v>
      </c>
      <c r="G244" s="1" t="s">
        <v>1826</v>
      </c>
      <c r="H244" s="1">
        <v>1</v>
      </c>
      <c r="I244" s="1" t="s">
        <v>128</v>
      </c>
      <c r="J244" s="1" t="s">
        <v>1827</v>
      </c>
      <c r="L244" s="1" t="s">
        <v>1827</v>
      </c>
      <c r="M244" s="1" t="s">
        <v>1567</v>
      </c>
      <c r="N244" s="1">
        <v>1</v>
      </c>
      <c r="O244" s="1">
        <v>0</v>
      </c>
      <c r="P244" s="1" t="s">
        <v>145</v>
      </c>
      <c r="Q244" s="1" t="s">
        <v>1828</v>
      </c>
      <c r="R244" s="1" t="s">
        <v>1829</v>
      </c>
      <c r="S244" s="1" t="s">
        <v>103</v>
      </c>
      <c r="T244" s="1">
        <v>1</v>
      </c>
      <c r="U244" s="1">
        <v>1</v>
      </c>
      <c r="V244" s="1">
        <v>1</v>
      </c>
      <c r="W244" s="1">
        <v>0</v>
      </c>
      <c r="X244" s="1">
        <v>0</v>
      </c>
      <c r="Y244" s="1" t="s">
        <v>104</v>
      </c>
      <c r="Z244" s="1" t="s">
        <v>104</v>
      </c>
      <c r="AA244" s="1">
        <v>3</v>
      </c>
      <c r="AB244" s="1" t="s">
        <v>104</v>
      </c>
      <c r="AC244" s="1" t="s">
        <v>104</v>
      </c>
      <c r="AD244" s="1" t="s">
        <v>104</v>
      </c>
      <c r="AE244" s="1" t="s">
        <v>104</v>
      </c>
      <c r="AF244" s="1" t="s">
        <v>104</v>
      </c>
      <c r="AG244" s="1" t="s">
        <v>104</v>
      </c>
      <c r="AH244" s="1" t="s">
        <v>104</v>
      </c>
      <c r="AI244" s="1" t="s">
        <v>104</v>
      </c>
      <c r="AJ244" s="1">
        <v>3</v>
      </c>
      <c r="AK244" s="1" t="s">
        <v>104</v>
      </c>
      <c r="AL244" s="1" t="s">
        <v>104</v>
      </c>
      <c r="AM244" s="1" t="s">
        <v>104</v>
      </c>
      <c r="AO244" s="1">
        <v>3</v>
      </c>
      <c r="AP244" s="1" t="s">
        <v>1830</v>
      </c>
      <c r="AQ244" s="1" t="s">
        <v>1831</v>
      </c>
      <c r="AR244" s="1">
        <v>0</v>
      </c>
      <c r="AS244" s="1">
        <v>0</v>
      </c>
      <c r="AT244" s="1">
        <v>0</v>
      </c>
      <c r="AU244" s="1">
        <v>0</v>
      </c>
      <c r="AV244" s="1">
        <v>0</v>
      </c>
      <c r="AW244" s="1">
        <v>0</v>
      </c>
      <c r="AX244" s="1">
        <v>0</v>
      </c>
      <c r="AY244" s="1">
        <v>0</v>
      </c>
      <c r="AZ244" s="1">
        <v>0</v>
      </c>
      <c r="BA244" s="1">
        <v>0</v>
      </c>
      <c r="BB244" s="1">
        <v>0</v>
      </c>
      <c r="BC244" s="1">
        <v>0</v>
      </c>
      <c r="BD244" s="1">
        <v>0</v>
      </c>
      <c r="BE244" s="1">
        <v>0</v>
      </c>
      <c r="BF244" s="1">
        <v>0</v>
      </c>
      <c r="BG244" s="1">
        <v>0</v>
      </c>
      <c r="BH244" s="1">
        <v>0</v>
      </c>
      <c r="BI244" s="1">
        <v>0</v>
      </c>
      <c r="BJ244" s="1">
        <v>0</v>
      </c>
      <c r="BK244" s="1">
        <v>0</v>
      </c>
      <c r="BL244" s="1">
        <v>0</v>
      </c>
      <c r="BM244" s="1">
        <v>0</v>
      </c>
      <c r="BN244" s="1">
        <v>0</v>
      </c>
      <c r="BO244" s="1">
        <v>0</v>
      </c>
      <c r="BP244" s="1">
        <v>0</v>
      </c>
      <c r="BQ244" s="2" t="str">
        <f>HYPERLINK("http://www.d20pfsrd.com/magic/all-spells/g/glyph-of-warding","Glyph of Warding")</f>
        <v>Glyph of Warding</v>
      </c>
      <c r="BR244" s="1">
        <v>243</v>
      </c>
      <c r="BS244" s="1">
        <v>200</v>
      </c>
      <c r="BV244" s="1" t="s">
        <v>1832</v>
      </c>
      <c r="BX244" s="1">
        <v>1</v>
      </c>
      <c r="BY244" s="1" t="s">
        <v>104</v>
      </c>
      <c r="BZ244" s="1" t="s">
        <v>104</v>
      </c>
      <c r="CA244" s="1" t="s">
        <v>104</v>
      </c>
      <c r="CB244" s="1" t="s">
        <v>104</v>
      </c>
      <c r="CC244" s="1" t="s">
        <v>104</v>
      </c>
      <c r="CD244" s="1" t="s">
        <v>104</v>
      </c>
      <c r="CE244" s="1" t="s">
        <v>104</v>
      </c>
      <c r="CF244" s="1" t="s">
        <v>104</v>
      </c>
      <c r="CG244" s="1" t="s">
        <v>104</v>
      </c>
      <c r="CH244" s="1" t="s">
        <v>104</v>
      </c>
      <c r="CJ244" s="1">
        <v>0</v>
      </c>
      <c r="CK244" s="1">
        <v>0</v>
      </c>
      <c r="CL244" s="1">
        <v>0</v>
      </c>
      <c r="CM244" s="1" t="s">
        <v>104</v>
      </c>
    </row>
    <row r="245" spans="1:91" ht="14.25" customHeight="1" x14ac:dyDescent="0.3">
      <c r="A245" s="1" t="s">
        <v>1833</v>
      </c>
      <c r="B245" s="1" t="s">
        <v>162</v>
      </c>
      <c r="E245" s="1" t="s">
        <v>1834</v>
      </c>
      <c r="F245" s="1" t="s">
        <v>287</v>
      </c>
      <c r="G245" s="1" t="s">
        <v>1826</v>
      </c>
      <c r="H245" s="1">
        <v>1</v>
      </c>
      <c r="I245" s="1" t="s">
        <v>128</v>
      </c>
      <c r="J245" s="1" t="s">
        <v>1827</v>
      </c>
      <c r="L245" s="1" t="s">
        <v>1827</v>
      </c>
      <c r="M245" s="1" t="s">
        <v>1567</v>
      </c>
      <c r="N245" s="1">
        <v>1</v>
      </c>
      <c r="O245" s="1">
        <v>0</v>
      </c>
      <c r="P245" s="1" t="s">
        <v>145</v>
      </c>
      <c r="Q245" s="1" t="s">
        <v>1828</v>
      </c>
      <c r="R245" s="1" t="s">
        <v>1835</v>
      </c>
      <c r="S245" s="1" t="s">
        <v>103</v>
      </c>
      <c r="T245" s="1">
        <v>1</v>
      </c>
      <c r="U245" s="1">
        <v>1</v>
      </c>
      <c r="V245" s="1">
        <v>1</v>
      </c>
      <c r="W245" s="1">
        <v>0</v>
      </c>
      <c r="X245" s="1">
        <v>0</v>
      </c>
      <c r="Y245" s="1" t="s">
        <v>104</v>
      </c>
      <c r="Z245" s="1" t="s">
        <v>104</v>
      </c>
      <c r="AA245" s="1">
        <v>6</v>
      </c>
      <c r="AB245" s="1" t="s">
        <v>104</v>
      </c>
      <c r="AC245" s="1" t="s">
        <v>104</v>
      </c>
      <c r="AD245" s="1" t="s">
        <v>104</v>
      </c>
      <c r="AE245" s="1" t="s">
        <v>104</v>
      </c>
      <c r="AF245" s="1" t="s">
        <v>104</v>
      </c>
      <c r="AG245" s="1" t="s">
        <v>104</v>
      </c>
      <c r="AH245" s="1" t="s">
        <v>104</v>
      </c>
      <c r="AI245" s="1" t="s">
        <v>104</v>
      </c>
      <c r="AJ245" s="1">
        <v>6</v>
      </c>
      <c r="AK245" s="1" t="s">
        <v>104</v>
      </c>
      <c r="AL245" s="1" t="s">
        <v>104</v>
      </c>
      <c r="AM245" s="1" t="s">
        <v>104</v>
      </c>
      <c r="AO245" s="1">
        <v>6</v>
      </c>
      <c r="AP245" s="1" t="s">
        <v>1836</v>
      </c>
      <c r="AQ245" s="1" t="s">
        <v>1837</v>
      </c>
      <c r="AR245" s="1">
        <v>0</v>
      </c>
      <c r="AS245" s="1">
        <v>0</v>
      </c>
      <c r="AT245" s="1">
        <v>0</v>
      </c>
      <c r="AU245" s="1">
        <v>0</v>
      </c>
      <c r="AV245" s="1">
        <v>0</v>
      </c>
      <c r="AW245" s="1">
        <v>0</v>
      </c>
      <c r="AX245" s="1">
        <v>0</v>
      </c>
      <c r="AY245" s="1">
        <v>0</v>
      </c>
      <c r="AZ245" s="1">
        <v>0</v>
      </c>
      <c r="BA245" s="1">
        <v>0</v>
      </c>
      <c r="BB245" s="1">
        <v>0</v>
      </c>
      <c r="BC245" s="1">
        <v>0</v>
      </c>
      <c r="BD245" s="1">
        <v>0</v>
      </c>
      <c r="BE245" s="1">
        <v>0</v>
      </c>
      <c r="BF245" s="1">
        <v>0</v>
      </c>
      <c r="BG245" s="1">
        <v>0</v>
      </c>
      <c r="BH245" s="1">
        <v>0</v>
      </c>
      <c r="BI245" s="1">
        <v>0</v>
      </c>
      <c r="BJ245" s="1">
        <v>0</v>
      </c>
      <c r="BK245" s="1">
        <v>0</v>
      </c>
      <c r="BL245" s="1">
        <v>0</v>
      </c>
      <c r="BM245" s="1">
        <v>0</v>
      </c>
      <c r="BN245" s="1">
        <v>0</v>
      </c>
      <c r="BO245" s="1">
        <v>0</v>
      </c>
      <c r="BP245" s="1">
        <v>0</v>
      </c>
      <c r="BQ245" s="2" t="str">
        <f>HYPERLINK("http://www.d20pfsrd.com/magic/all-spells/g/glyph-of-warding","Glyph of Warding, Greater")</f>
        <v>Glyph of Warding, Greater</v>
      </c>
      <c r="BR245" s="1">
        <v>244</v>
      </c>
      <c r="BS245" s="1">
        <v>200</v>
      </c>
      <c r="BX245" s="1">
        <v>0</v>
      </c>
      <c r="BY245" s="1" t="s">
        <v>104</v>
      </c>
      <c r="BZ245" s="1" t="s">
        <v>104</v>
      </c>
      <c r="CA245" s="1" t="s">
        <v>104</v>
      </c>
      <c r="CB245" s="1" t="s">
        <v>104</v>
      </c>
      <c r="CC245" s="1" t="s">
        <v>104</v>
      </c>
      <c r="CD245" s="1" t="s">
        <v>104</v>
      </c>
      <c r="CE245" s="1" t="s">
        <v>104</v>
      </c>
      <c r="CF245" s="1" t="s">
        <v>104</v>
      </c>
      <c r="CG245" s="1" t="s">
        <v>104</v>
      </c>
      <c r="CH245" s="1" t="s">
        <v>104</v>
      </c>
      <c r="CJ245" s="1">
        <v>0</v>
      </c>
      <c r="CK245" s="1">
        <v>0</v>
      </c>
      <c r="CL245" s="1">
        <v>0</v>
      </c>
      <c r="CM245" s="1" t="s">
        <v>104</v>
      </c>
    </row>
    <row r="246" spans="1:91" ht="14.25" customHeight="1" x14ac:dyDescent="0.3">
      <c r="A246" s="1" t="s">
        <v>1838</v>
      </c>
      <c r="B246" s="1" t="s">
        <v>137</v>
      </c>
      <c r="E246" s="1" t="s">
        <v>1839</v>
      </c>
      <c r="F246" s="1" t="s">
        <v>95</v>
      </c>
      <c r="G246" s="1" t="s">
        <v>127</v>
      </c>
      <c r="H246" s="1">
        <v>0</v>
      </c>
      <c r="I246" s="1" t="s">
        <v>128</v>
      </c>
      <c r="L246" s="1" t="s">
        <v>1840</v>
      </c>
      <c r="M246" s="1" t="s">
        <v>194</v>
      </c>
      <c r="N246" s="1">
        <v>0</v>
      </c>
      <c r="O246" s="1">
        <v>0</v>
      </c>
      <c r="P246" s="1" t="s">
        <v>100</v>
      </c>
      <c r="Q246" s="1" t="s">
        <v>184</v>
      </c>
      <c r="R246" s="1" t="s">
        <v>1841</v>
      </c>
      <c r="S246" s="1" t="s">
        <v>103</v>
      </c>
      <c r="T246" s="1">
        <v>1</v>
      </c>
      <c r="U246" s="1">
        <v>1</v>
      </c>
      <c r="V246" s="1">
        <v>0</v>
      </c>
      <c r="W246" s="1">
        <v>0</v>
      </c>
      <c r="X246" s="1">
        <v>1</v>
      </c>
      <c r="Y246" s="1" t="s">
        <v>104</v>
      </c>
      <c r="Z246" s="1" t="s">
        <v>104</v>
      </c>
      <c r="AA246" s="1" t="s">
        <v>104</v>
      </c>
      <c r="AB246" s="1">
        <v>1</v>
      </c>
      <c r="AC246" s="1" t="s">
        <v>104</v>
      </c>
      <c r="AD246" s="1" t="s">
        <v>104</v>
      </c>
      <c r="AE246" s="1" t="s">
        <v>104</v>
      </c>
      <c r="AF246" s="1" t="s">
        <v>104</v>
      </c>
      <c r="AG246" s="1" t="s">
        <v>104</v>
      </c>
      <c r="AH246" s="1" t="s">
        <v>104</v>
      </c>
      <c r="AI246" s="1" t="s">
        <v>104</v>
      </c>
      <c r="AJ246" s="1" t="s">
        <v>104</v>
      </c>
      <c r="AK246" s="1" t="s">
        <v>104</v>
      </c>
      <c r="AL246" s="1" t="s">
        <v>104</v>
      </c>
      <c r="AM246" s="1" t="s">
        <v>104</v>
      </c>
      <c r="AO246" s="1">
        <v>1</v>
      </c>
      <c r="AP246" s="1" t="s">
        <v>1842</v>
      </c>
      <c r="AQ246" s="1" t="s">
        <v>1843</v>
      </c>
      <c r="AR246" s="1">
        <v>0</v>
      </c>
      <c r="AS246" s="1">
        <v>0</v>
      </c>
      <c r="AT246" s="1">
        <v>0</v>
      </c>
      <c r="AU246" s="1">
        <v>0</v>
      </c>
      <c r="AV246" s="1">
        <v>0</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0</v>
      </c>
      <c r="BP246" s="1">
        <v>0</v>
      </c>
      <c r="BQ246" s="2" t="str">
        <f>HYPERLINK("http://www.d20pfsrd.com/magic/all-spells/g/goodberry","Goodberry")</f>
        <v>Goodberry</v>
      </c>
      <c r="BR246" s="1">
        <v>245</v>
      </c>
      <c r="BS246" s="1" t="s">
        <v>104</v>
      </c>
      <c r="BU246" s="1" t="s">
        <v>1844</v>
      </c>
      <c r="BX246" s="1">
        <v>0</v>
      </c>
      <c r="BY246" s="1" t="s">
        <v>104</v>
      </c>
      <c r="BZ246" s="1">
        <v>1</v>
      </c>
      <c r="CA246" s="1" t="s">
        <v>104</v>
      </c>
      <c r="CB246" s="1" t="s">
        <v>104</v>
      </c>
      <c r="CC246" s="1" t="s">
        <v>104</v>
      </c>
      <c r="CD246" s="1" t="s">
        <v>104</v>
      </c>
      <c r="CE246" s="1" t="s">
        <v>104</v>
      </c>
      <c r="CF246" s="1" t="s">
        <v>104</v>
      </c>
      <c r="CG246" s="1" t="s">
        <v>104</v>
      </c>
      <c r="CH246" s="1">
        <v>1</v>
      </c>
      <c r="CJ246" s="1">
        <v>0</v>
      </c>
      <c r="CK246" s="1">
        <v>0</v>
      </c>
      <c r="CL246" s="1">
        <v>0</v>
      </c>
      <c r="CM246" s="1" t="s">
        <v>104</v>
      </c>
    </row>
    <row r="247" spans="1:91" ht="14.25" customHeight="1" x14ac:dyDescent="0.3">
      <c r="A247" s="1" t="s">
        <v>1845</v>
      </c>
      <c r="B247" s="1" t="s">
        <v>123</v>
      </c>
      <c r="C247" s="1" t="s">
        <v>124</v>
      </c>
      <c r="D247" s="1" t="s">
        <v>271</v>
      </c>
      <c r="E247" s="1" t="s">
        <v>1846</v>
      </c>
      <c r="F247" s="1" t="s">
        <v>95</v>
      </c>
      <c r="G247" s="1" t="s">
        <v>116</v>
      </c>
      <c r="H247" s="1">
        <v>0</v>
      </c>
      <c r="I247" s="1" t="s">
        <v>109</v>
      </c>
      <c r="L247" s="1" t="s">
        <v>1847</v>
      </c>
      <c r="M247" s="1" t="s">
        <v>130</v>
      </c>
      <c r="N247" s="1">
        <v>0</v>
      </c>
      <c r="O247" s="1">
        <v>0</v>
      </c>
      <c r="P247" s="1" t="s">
        <v>375</v>
      </c>
      <c r="Q247" s="1" t="s">
        <v>131</v>
      </c>
      <c r="R247" s="1" t="s">
        <v>1848</v>
      </c>
      <c r="S247" s="1" t="s">
        <v>103</v>
      </c>
      <c r="T247" s="1">
        <v>1</v>
      </c>
      <c r="U247" s="1">
        <v>1</v>
      </c>
      <c r="V247" s="1">
        <v>0</v>
      </c>
      <c r="W247" s="1">
        <v>0</v>
      </c>
      <c r="X247" s="1">
        <v>0</v>
      </c>
      <c r="Y247" s="1" t="s">
        <v>104</v>
      </c>
      <c r="Z247" s="1" t="s">
        <v>104</v>
      </c>
      <c r="AA247" s="1" t="s">
        <v>104</v>
      </c>
      <c r="AB247" s="1" t="s">
        <v>104</v>
      </c>
      <c r="AC247" s="1" t="s">
        <v>104</v>
      </c>
      <c r="AD247" s="1">
        <v>3</v>
      </c>
      <c r="AE247" s="1" t="s">
        <v>104</v>
      </c>
      <c r="AF247" s="1" t="s">
        <v>104</v>
      </c>
      <c r="AG247" s="1" t="s">
        <v>104</v>
      </c>
      <c r="AH247" s="1" t="s">
        <v>104</v>
      </c>
      <c r="AI247" s="1" t="s">
        <v>104</v>
      </c>
      <c r="AJ247" s="1" t="s">
        <v>104</v>
      </c>
      <c r="AK247" s="1" t="s">
        <v>104</v>
      </c>
      <c r="AL247" s="1" t="s">
        <v>104</v>
      </c>
      <c r="AM247" s="1" t="s">
        <v>104</v>
      </c>
      <c r="AO247" s="1">
        <v>3</v>
      </c>
      <c r="AP247" s="1" t="s">
        <v>1849</v>
      </c>
      <c r="AQ247" s="1" t="s">
        <v>1850</v>
      </c>
      <c r="AR247" s="1">
        <v>0</v>
      </c>
      <c r="AS247" s="1">
        <v>0</v>
      </c>
      <c r="AT247" s="1">
        <v>0</v>
      </c>
      <c r="AU247" s="1">
        <v>0</v>
      </c>
      <c r="AV247" s="1">
        <v>0</v>
      </c>
      <c r="AW247" s="1">
        <v>0</v>
      </c>
      <c r="AX247" s="1">
        <v>0</v>
      </c>
      <c r="AY247" s="1">
        <v>0</v>
      </c>
      <c r="AZ247" s="1">
        <v>0</v>
      </c>
      <c r="BA247" s="1">
        <v>0</v>
      </c>
      <c r="BB247" s="1">
        <v>1</v>
      </c>
      <c r="BC247" s="1">
        <v>0</v>
      </c>
      <c r="BD247" s="1">
        <v>0</v>
      </c>
      <c r="BE247" s="1">
        <v>0</v>
      </c>
      <c r="BF247" s="1">
        <v>0</v>
      </c>
      <c r="BG247" s="1">
        <v>0</v>
      </c>
      <c r="BH247" s="1">
        <v>0</v>
      </c>
      <c r="BI247" s="1">
        <v>0</v>
      </c>
      <c r="BJ247" s="1">
        <v>0</v>
      </c>
      <c r="BK247" s="1">
        <v>1</v>
      </c>
      <c r="BL247" s="1">
        <v>0</v>
      </c>
      <c r="BM247" s="1">
        <v>0</v>
      </c>
      <c r="BN247" s="1">
        <v>0</v>
      </c>
      <c r="BO247" s="1">
        <v>0</v>
      </c>
      <c r="BP247" s="1">
        <v>0</v>
      </c>
      <c r="BQ247" s="2" t="str">
        <f>HYPERLINK("http://www.d20pfsrd.com/magic/all-spells/g/good-hope","Good Hope")</f>
        <v>Good Hope</v>
      </c>
      <c r="BR247" s="1">
        <v>246</v>
      </c>
      <c r="BS247" s="1" t="s">
        <v>104</v>
      </c>
      <c r="BX247" s="1">
        <v>0</v>
      </c>
      <c r="BY247" s="1" t="s">
        <v>104</v>
      </c>
      <c r="BZ247" s="1" t="s">
        <v>104</v>
      </c>
      <c r="CA247" s="1" t="s">
        <v>104</v>
      </c>
      <c r="CB247" s="1" t="s">
        <v>104</v>
      </c>
      <c r="CC247" s="1" t="s">
        <v>104</v>
      </c>
      <c r="CD247" s="1" t="s">
        <v>104</v>
      </c>
      <c r="CE247" s="1" t="s">
        <v>104</v>
      </c>
      <c r="CF247" s="1" t="s">
        <v>104</v>
      </c>
      <c r="CG247" s="1" t="s">
        <v>104</v>
      </c>
      <c r="CH247" s="1" t="s">
        <v>104</v>
      </c>
      <c r="CJ247" s="1">
        <v>0</v>
      </c>
      <c r="CK247" s="1">
        <v>0</v>
      </c>
      <c r="CL247" s="1">
        <v>0</v>
      </c>
      <c r="CM247" s="1" t="s">
        <v>104</v>
      </c>
    </row>
    <row r="248" spans="1:91" ht="14.25" customHeight="1" x14ac:dyDescent="0.3">
      <c r="A248" s="1" t="s">
        <v>1851</v>
      </c>
      <c r="B248" s="1" t="s">
        <v>434</v>
      </c>
      <c r="D248" s="1" t="s">
        <v>57</v>
      </c>
      <c r="E248" s="1" t="s">
        <v>1655</v>
      </c>
      <c r="F248" s="1" t="s">
        <v>95</v>
      </c>
      <c r="G248" s="1" t="s">
        <v>920</v>
      </c>
      <c r="H248" s="1">
        <v>0</v>
      </c>
      <c r="I248" s="1" t="s">
        <v>109</v>
      </c>
      <c r="K248" s="1" t="s">
        <v>690</v>
      </c>
      <c r="M248" s="1" t="s">
        <v>111</v>
      </c>
      <c r="N248" s="1">
        <v>1</v>
      </c>
      <c r="O248" s="1">
        <v>0</v>
      </c>
      <c r="P248" s="1" t="s">
        <v>100</v>
      </c>
      <c r="Q248" s="1" t="s">
        <v>184</v>
      </c>
      <c r="R248" s="1" t="s">
        <v>1852</v>
      </c>
      <c r="S248" s="1" t="s">
        <v>103</v>
      </c>
      <c r="T248" s="1">
        <v>1</v>
      </c>
      <c r="U248" s="1">
        <v>1</v>
      </c>
      <c r="V248" s="1">
        <v>0</v>
      </c>
      <c r="W248" s="1">
        <v>1</v>
      </c>
      <c r="X248" s="1">
        <v>0</v>
      </c>
      <c r="Y248" s="1">
        <v>7</v>
      </c>
      <c r="Z248" s="1">
        <v>7</v>
      </c>
      <c r="AA248" s="1" t="s">
        <v>104</v>
      </c>
      <c r="AB248" s="1" t="s">
        <v>104</v>
      </c>
      <c r="AC248" s="1" t="s">
        <v>104</v>
      </c>
      <c r="AD248" s="1" t="s">
        <v>104</v>
      </c>
      <c r="AE248" s="1" t="s">
        <v>104</v>
      </c>
      <c r="AF248" s="1" t="s">
        <v>104</v>
      </c>
      <c r="AG248" s="1" t="s">
        <v>104</v>
      </c>
      <c r="AH248" s="1" t="s">
        <v>104</v>
      </c>
      <c r="AI248" s="1" t="s">
        <v>104</v>
      </c>
      <c r="AJ248" s="1" t="s">
        <v>104</v>
      </c>
      <c r="AK248" s="1" t="s">
        <v>104</v>
      </c>
      <c r="AL248" s="1" t="s">
        <v>104</v>
      </c>
      <c r="AM248" s="1" t="s">
        <v>104</v>
      </c>
      <c r="AO248" s="1">
        <v>7</v>
      </c>
      <c r="AP248" s="1" t="s">
        <v>1853</v>
      </c>
      <c r="AQ248" s="1" t="s">
        <v>1854</v>
      </c>
      <c r="AR248" s="1">
        <v>0</v>
      </c>
      <c r="AS248" s="1">
        <v>0</v>
      </c>
      <c r="AT248" s="1">
        <v>0</v>
      </c>
      <c r="AU248" s="1">
        <v>0</v>
      </c>
      <c r="AV248" s="1">
        <v>0</v>
      </c>
      <c r="AW248" s="1">
        <v>0</v>
      </c>
      <c r="AX248" s="1">
        <v>0</v>
      </c>
      <c r="AY248" s="1">
        <v>0</v>
      </c>
      <c r="AZ248" s="1">
        <v>0</v>
      </c>
      <c r="BA248" s="1">
        <v>0</v>
      </c>
      <c r="BB248" s="1">
        <v>0</v>
      </c>
      <c r="BC248" s="1">
        <v>0</v>
      </c>
      <c r="BD248" s="1">
        <v>0</v>
      </c>
      <c r="BE248" s="1">
        <v>0</v>
      </c>
      <c r="BF248" s="1">
        <v>1</v>
      </c>
      <c r="BG248" s="1">
        <v>0</v>
      </c>
      <c r="BH248" s="1">
        <v>0</v>
      </c>
      <c r="BI248" s="1">
        <v>0</v>
      </c>
      <c r="BJ248" s="1">
        <v>0</v>
      </c>
      <c r="BK248" s="1">
        <v>0</v>
      </c>
      <c r="BL248" s="1">
        <v>0</v>
      </c>
      <c r="BM248" s="1">
        <v>0</v>
      </c>
      <c r="BN248" s="1">
        <v>0</v>
      </c>
      <c r="BO248" s="1">
        <v>0</v>
      </c>
      <c r="BP248" s="1">
        <v>0</v>
      </c>
      <c r="BQ248" s="2" t="str">
        <f>HYPERLINK("http://www.d20pfsrd.com/magic/all-spells/g/grasping-hand","Grasping Hand")</f>
        <v>Grasping Hand</v>
      </c>
      <c r="BR248" s="1">
        <v>247</v>
      </c>
      <c r="BS248" s="1" t="s">
        <v>104</v>
      </c>
      <c r="BX248" s="1">
        <v>0</v>
      </c>
      <c r="BY248" s="1" t="s">
        <v>104</v>
      </c>
      <c r="BZ248" s="1" t="s">
        <v>104</v>
      </c>
      <c r="CA248" s="1">
        <v>7</v>
      </c>
      <c r="CB248" s="1" t="s">
        <v>104</v>
      </c>
      <c r="CC248" s="1" t="s">
        <v>104</v>
      </c>
      <c r="CD248" s="1" t="s">
        <v>104</v>
      </c>
      <c r="CE248" s="1" t="s">
        <v>104</v>
      </c>
      <c r="CF248" s="1" t="s">
        <v>104</v>
      </c>
      <c r="CG248" s="1" t="s">
        <v>104</v>
      </c>
      <c r="CH248" s="1" t="s">
        <v>104</v>
      </c>
      <c r="CJ248" s="1">
        <v>0</v>
      </c>
      <c r="CK248" s="1">
        <v>0</v>
      </c>
      <c r="CL248" s="1">
        <v>0</v>
      </c>
      <c r="CM248" s="1" t="s">
        <v>104</v>
      </c>
    </row>
    <row r="249" spans="1:91" ht="14.25" customHeight="1" x14ac:dyDescent="0.3">
      <c r="A249" s="1" t="s">
        <v>1855</v>
      </c>
      <c r="B249" s="1" t="s">
        <v>92</v>
      </c>
      <c r="C249" s="1" t="s">
        <v>93</v>
      </c>
      <c r="E249" s="1" t="s">
        <v>1856</v>
      </c>
      <c r="F249" s="1" t="s">
        <v>95</v>
      </c>
      <c r="G249" s="1" t="s">
        <v>1857</v>
      </c>
      <c r="H249" s="1">
        <v>0</v>
      </c>
      <c r="I249" s="1" t="s">
        <v>117</v>
      </c>
      <c r="L249" s="1" t="s">
        <v>1858</v>
      </c>
      <c r="M249" s="1" t="s">
        <v>437</v>
      </c>
      <c r="N249" s="1">
        <v>1</v>
      </c>
      <c r="O249" s="1">
        <v>0</v>
      </c>
      <c r="P249" s="1" t="s">
        <v>145</v>
      </c>
      <c r="Q249" s="1" t="s">
        <v>101</v>
      </c>
      <c r="R249" s="1" t="s">
        <v>1859</v>
      </c>
      <c r="S249" s="1" t="s">
        <v>103</v>
      </c>
      <c r="T249" s="1">
        <v>1</v>
      </c>
      <c r="U249" s="1">
        <v>1</v>
      </c>
      <c r="V249" s="1">
        <v>1</v>
      </c>
      <c r="W249" s="1">
        <v>0</v>
      </c>
      <c r="X249" s="1">
        <v>0</v>
      </c>
      <c r="Y249" s="1">
        <v>1</v>
      </c>
      <c r="Z249" s="1">
        <v>1</v>
      </c>
      <c r="AA249" s="1" t="s">
        <v>104</v>
      </c>
      <c r="AB249" s="1" t="s">
        <v>104</v>
      </c>
      <c r="AC249" s="1" t="s">
        <v>104</v>
      </c>
      <c r="AD249" s="1">
        <v>1</v>
      </c>
      <c r="AE249" s="1" t="s">
        <v>104</v>
      </c>
      <c r="AF249" s="1" t="s">
        <v>104</v>
      </c>
      <c r="AG249" s="1">
        <v>1</v>
      </c>
      <c r="AH249" s="1" t="s">
        <v>104</v>
      </c>
      <c r="AI249" s="1" t="s">
        <v>104</v>
      </c>
      <c r="AJ249" s="1" t="s">
        <v>104</v>
      </c>
      <c r="AK249" s="1" t="s">
        <v>104</v>
      </c>
      <c r="AL249" s="1">
        <v>1</v>
      </c>
      <c r="AM249" s="1" t="s">
        <v>104</v>
      </c>
      <c r="AO249" s="1">
        <v>1</v>
      </c>
      <c r="AQ249" s="1" t="s">
        <v>1860</v>
      </c>
      <c r="AR249" s="1">
        <v>0</v>
      </c>
      <c r="AS249" s="1">
        <v>0</v>
      </c>
      <c r="AT249" s="1">
        <v>0</v>
      </c>
      <c r="AU249" s="1">
        <v>0</v>
      </c>
      <c r="AV249" s="1">
        <v>0</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2" t="str">
        <f>HYPERLINK("http://www.d20pfsrd.com/magic/all-spells/g/grease","Grease")</f>
        <v>Grease</v>
      </c>
      <c r="BR249" s="1">
        <v>248</v>
      </c>
      <c r="BS249" s="1" t="s">
        <v>104</v>
      </c>
      <c r="BV249" s="1" t="s">
        <v>1861</v>
      </c>
      <c r="BW249" s="1" t="s">
        <v>1862</v>
      </c>
      <c r="BX249" s="1">
        <v>1</v>
      </c>
      <c r="BY249" s="1" t="s">
        <v>104</v>
      </c>
      <c r="BZ249" s="1" t="s">
        <v>104</v>
      </c>
      <c r="CA249" s="1" t="s">
        <v>104</v>
      </c>
      <c r="CB249" s="1" t="s">
        <v>104</v>
      </c>
      <c r="CC249" s="1">
        <v>1</v>
      </c>
      <c r="CD249" s="1" t="s">
        <v>104</v>
      </c>
      <c r="CE249" s="1" t="s">
        <v>104</v>
      </c>
      <c r="CF249" s="1" t="s">
        <v>104</v>
      </c>
      <c r="CG249" s="1" t="s">
        <v>104</v>
      </c>
      <c r="CH249" s="1" t="s">
        <v>104</v>
      </c>
      <c r="CJ249" s="1">
        <v>0</v>
      </c>
      <c r="CK249" s="1">
        <v>0</v>
      </c>
      <c r="CL249" s="1">
        <v>0</v>
      </c>
      <c r="CM249" s="1">
        <v>1</v>
      </c>
    </row>
    <row r="250" spans="1:91" ht="14.25" customHeight="1" x14ac:dyDescent="0.3">
      <c r="A250" s="1" t="s">
        <v>1863</v>
      </c>
      <c r="B250" s="1" t="s">
        <v>162</v>
      </c>
      <c r="E250" s="1" t="s">
        <v>1864</v>
      </c>
      <c r="F250" s="1" t="s">
        <v>318</v>
      </c>
      <c r="G250" s="1" t="s">
        <v>1865</v>
      </c>
      <c r="H250" s="1">
        <v>0</v>
      </c>
      <c r="I250" s="1" t="s">
        <v>1866</v>
      </c>
      <c r="J250" s="1" t="s">
        <v>1867</v>
      </c>
      <c r="M250" s="1" t="s">
        <v>166</v>
      </c>
      <c r="N250" s="1">
        <v>1</v>
      </c>
      <c r="O250" s="1">
        <v>1</v>
      </c>
      <c r="P250" s="1" t="s">
        <v>145</v>
      </c>
      <c r="Q250" s="1" t="s">
        <v>145</v>
      </c>
      <c r="R250" s="1" t="s">
        <v>1868</v>
      </c>
      <c r="S250" s="1" t="s">
        <v>103</v>
      </c>
      <c r="T250" s="1">
        <v>1</v>
      </c>
      <c r="U250" s="1">
        <v>1</v>
      </c>
      <c r="V250" s="1">
        <v>1</v>
      </c>
      <c r="W250" s="1">
        <v>1</v>
      </c>
      <c r="X250" s="1">
        <v>0</v>
      </c>
      <c r="Y250" s="1">
        <v>6</v>
      </c>
      <c r="Z250" s="1">
        <v>6</v>
      </c>
      <c r="AA250" s="1" t="s">
        <v>104</v>
      </c>
      <c r="AB250" s="1" t="s">
        <v>104</v>
      </c>
      <c r="AC250" s="1" t="s">
        <v>104</v>
      </c>
      <c r="AD250" s="1" t="s">
        <v>104</v>
      </c>
      <c r="AE250" s="1" t="s">
        <v>104</v>
      </c>
      <c r="AF250" s="1" t="s">
        <v>104</v>
      </c>
      <c r="AG250" s="1" t="s">
        <v>104</v>
      </c>
      <c r="AH250" s="1">
        <v>6</v>
      </c>
      <c r="AI250" s="1" t="s">
        <v>104</v>
      </c>
      <c r="AJ250" s="1" t="s">
        <v>104</v>
      </c>
      <c r="AK250" s="1" t="s">
        <v>104</v>
      </c>
      <c r="AL250" s="1" t="s">
        <v>104</v>
      </c>
      <c r="AM250" s="1" t="s">
        <v>104</v>
      </c>
      <c r="AO250" s="1">
        <v>6</v>
      </c>
      <c r="AP250" s="1" t="s">
        <v>1869</v>
      </c>
      <c r="AQ250" s="1" t="s">
        <v>1870</v>
      </c>
      <c r="AR250" s="1">
        <v>0</v>
      </c>
      <c r="AS250" s="1">
        <v>0</v>
      </c>
      <c r="AT250" s="1">
        <v>0</v>
      </c>
      <c r="AU250" s="1">
        <v>0</v>
      </c>
      <c r="AV250" s="1">
        <v>0</v>
      </c>
      <c r="AW250" s="1">
        <v>0</v>
      </c>
      <c r="AX250" s="1">
        <v>0</v>
      </c>
      <c r="AY250" s="1">
        <v>0</v>
      </c>
      <c r="AZ250" s="1">
        <v>0</v>
      </c>
      <c r="BA250" s="1">
        <v>0</v>
      </c>
      <c r="BB250" s="1">
        <v>0</v>
      </c>
      <c r="BC250" s="1">
        <v>0</v>
      </c>
      <c r="BD250" s="1">
        <v>0</v>
      </c>
      <c r="BE250" s="1">
        <v>0</v>
      </c>
      <c r="BF250" s="1">
        <v>0</v>
      </c>
      <c r="BG250" s="1">
        <v>0</v>
      </c>
      <c r="BH250" s="1">
        <v>0</v>
      </c>
      <c r="BI250" s="1">
        <v>0</v>
      </c>
      <c r="BJ250" s="1">
        <v>0</v>
      </c>
      <c r="BK250" s="1">
        <v>0</v>
      </c>
      <c r="BL250" s="1">
        <v>0</v>
      </c>
      <c r="BM250" s="1">
        <v>0</v>
      </c>
      <c r="BN250" s="1">
        <v>0</v>
      </c>
      <c r="BO250" s="1">
        <v>0</v>
      </c>
      <c r="BP250" s="1">
        <v>0</v>
      </c>
      <c r="BQ250" s="2" t="str">
        <f>HYPERLINK("http://www.d20pfsrd.com/magic/all-spells/g/guards-and-wards","Guards and Wards")</f>
        <v>Guards and Wards</v>
      </c>
      <c r="BR250" s="1">
        <v>249</v>
      </c>
      <c r="BS250" s="1" t="s">
        <v>104</v>
      </c>
      <c r="BT250" s="1" t="s">
        <v>1871</v>
      </c>
      <c r="BX250" s="1">
        <v>0</v>
      </c>
      <c r="BY250" s="1" t="s">
        <v>104</v>
      </c>
      <c r="BZ250" s="1" t="s">
        <v>104</v>
      </c>
      <c r="CA250" s="1" t="s">
        <v>104</v>
      </c>
      <c r="CB250" s="1" t="s">
        <v>104</v>
      </c>
      <c r="CC250" s="1" t="s">
        <v>104</v>
      </c>
      <c r="CD250" s="1" t="s">
        <v>104</v>
      </c>
      <c r="CE250" s="1" t="s">
        <v>104</v>
      </c>
      <c r="CF250" s="1" t="s">
        <v>104</v>
      </c>
      <c r="CG250" s="1" t="s">
        <v>104</v>
      </c>
      <c r="CH250" s="1" t="s">
        <v>104</v>
      </c>
      <c r="CJ250" s="1">
        <v>0</v>
      </c>
      <c r="CK250" s="1">
        <v>0</v>
      </c>
      <c r="CL250" s="1">
        <v>0</v>
      </c>
      <c r="CM250" s="1" t="s">
        <v>104</v>
      </c>
    </row>
    <row r="251" spans="1:91" ht="14.25" customHeight="1" x14ac:dyDescent="0.3">
      <c r="A251" s="1" t="s">
        <v>1872</v>
      </c>
      <c r="B251" s="1" t="s">
        <v>172</v>
      </c>
      <c r="E251" s="1" t="s">
        <v>1873</v>
      </c>
      <c r="F251" s="1" t="s">
        <v>95</v>
      </c>
      <c r="G251" s="1" t="s">
        <v>116</v>
      </c>
      <c r="H251" s="1">
        <v>0</v>
      </c>
      <c r="I251" s="1" t="s">
        <v>128</v>
      </c>
      <c r="L251" s="1" t="s">
        <v>374</v>
      </c>
      <c r="M251" s="1" t="s">
        <v>1874</v>
      </c>
      <c r="N251" s="1">
        <v>0</v>
      </c>
      <c r="O251" s="1">
        <v>0</v>
      </c>
      <c r="P251" s="1" t="s">
        <v>375</v>
      </c>
      <c r="Q251" s="1" t="s">
        <v>184</v>
      </c>
      <c r="R251" s="1" t="s">
        <v>1875</v>
      </c>
      <c r="S251" s="1" t="s">
        <v>103</v>
      </c>
      <c r="T251" s="1">
        <v>1</v>
      </c>
      <c r="U251" s="1">
        <v>1</v>
      </c>
      <c r="V251" s="1">
        <v>0</v>
      </c>
      <c r="W251" s="1">
        <v>0</v>
      </c>
      <c r="X251" s="1">
        <v>0</v>
      </c>
      <c r="Y251" s="1" t="s">
        <v>104</v>
      </c>
      <c r="Z251" s="1" t="s">
        <v>104</v>
      </c>
      <c r="AA251" s="1">
        <v>0</v>
      </c>
      <c r="AB251" s="1">
        <v>0</v>
      </c>
      <c r="AC251" s="1" t="s">
        <v>104</v>
      </c>
      <c r="AD251" s="1" t="s">
        <v>104</v>
      </c>
      <c r="AE251" s="1" t="s">
        <v>104</v>
      </c>
      <c r="AF251" s="1" t="s">
        <v>104</v>
      </c>
      <c r="AG251" s="1">
        <v>0</v>
      </c>
      <c r="AH251" s="1">
        <v>0</v>
      </c>
      <c r="AI251" s="1">
        <v>0</v>
      </c>
      <c r="AJ251" s="1">
        <v>0</v>
      </c>
      <c r="AK251" s="1" t="s">
        <v>104</v>
      </c>
      <c r="AL251" s="1" t="s">
        <v>104</v>
      </c>
      <c r="AM251" s="1">
        <v>0</v>
      </c>
      <c r="AO251" s="1">
        <v>0</v>
      </c>
      <c r="AQ251" s="1" t="s">
        <v>1876</v>
      </c>
      <c r="AR251" s="1">
        <v>0</v>
      </c>
      <c r="AS251" s="1">
        <v>0</v>
      </c>
      <c r="AT251" s="1">
        <v>0</v>
      </c>
      <c r="AU251" s="1">
        <v>0</v>
      </c>
      <c r="AV251" s="1">
        <v>0</v>
      </c>
      <c r="AW251" s="1">
        <v>0</v>
      </c>
      <c r="AX251" s="1">
        <v>0</v>
      </c>
      <c r="AY251" s="1">
        <v>0</v>
      </c>
      <c r="AZ251" s="1">
        <v>0</v>
      </c>
      <c r="BA251" s="1">
        <v>0</v>
      </c>
      <c r="BB251" s="1">
        <v>0</v>
      </c>
      <c r="BC251" s="1">
        <v>0</v>
      </c>
      <c r="BD251" s="1">
        <v>0</v>
      </c>
      <c r="BE251" s="1">
        <v>0</v>
      </c>
      <c r="BF251" s="1">
        <v>0</v>
      </c>
      <c r="BG251" s="1">
        <v>0</v>
      </c>
      <c r="BH251" s="1">
        <v>0</v>
      </c>
      <c r="BI251" s="1">
        <v>0</v>
      </c>
      <c r="BJ251" s="1">
        <v>0</v>
      </c>
      <c r="BK251" s="1">
        <v>0</v>
      </c>
      <c r="BL251" s="1">
        <v>0</v>
      </c>
      <c r="BM251" s="1">
        <v>0</v>
      </c>
      <c r="BN251" s="1">
        <v>0</v>
      </c>
      <c r="BO251" s="1">
        <v>0</v>
      </c>
      <c r="BP251" s="1">
        <v>0</v>
      </c>
      <c r="BQ251" s="2" t="str">
        <f>HYPERLINK("http://www.d20pfsrd.com/magic/all-spells/g/guidance","Guidance")</f>
        <v>Guidance</v>
      </c>
      <c r="BR251" s="1">
        <v>250</v>
      </c>
      <c r="BS251" s="1" t="s">
        <v>104</v>
      </c>
      <c r="BX251" s="1">
        <v>0</v>
      </c>
      <c r="BY251" s="1" t="s">
        <v>104</v>
      </c>
      <c r="BZ251" s="1">
        <v>0</v>
      </c>
      <c r="CA251" s="1" t="s">
        <v>104</v>
      </c>
      <c r="CB251" s="1">
        <v>0</v>
      </c>
      <c r="CC251" s="1" t="s">
        <v>104</v>
      </c>
      <c r="CD251" s="1">
        <v>0</v>
      </c>
      <c r="CE251" s="1">
        <v>0</v>
      </c>
      <c r="CF251" s="1" t="s">
        <v>104</v>
      </c>
      <c r="CG251" s="1" t="s">
        <v>104</v>
      </c>
      <c r="CH251" s="1">
        <v>0</v>
      </c>
      <c r="CJ251" s="1">
        <v>0</v>
      </c>
      <c r="CK251" s="1">
        <v>0</v>
      </c>
      <c r="CL251" s="1">
        <v>0</v>
      </c>
      <c r="CM251" s="1">
        <v>0</v>
      </c>
    </row>
    <row r="252" spans="1:91" ht="14.25" customHeight="1" x14ac:dyDescent="0.3">
      <c r="A252" s="1" t="s">
        <v>1877</v>
      </c>
      <c r="B252" s="1" t="s">
        <v>434</v>
      </c>
      <c r="D252" s="1" t="s">
        <v>44</v>
      </c>
      <c r="E252" s="1" t="s">
        <v>1602</v>
      </c>
      <c r="F252" s="1" t="s">
        <v>95</v>
      </c>
      <c r="G252" s="1" t="s">
        <v>116</v>
      </c>
      <c r="H252" s="1">
        <v>0</v>
      </c>
      <c r="I252" s="1" t="s">
        <v>776</v>
      </c>
      <c r="K252" s="1" t="s">
        <v>1878</v>
      </c>
      <c r="M252" s="1" t="s">
        <v>255</v>
      </c>
      <c r="N252" s="1">
        <v>0</v>
      </c>
      <c r="O252" s="1">
        <v>0</v>
      </c>
      <c r="P252" s="1" t="s">
        <v>183</v>
      </c>
      <c r="Q252" s="1" t="s">
        <v>184</v>
      </c>
      <c r="R252" s="1" t="s">
        <v>1879</v>
      </c>
      <c r="S252" s="1" t="s">
        <v>103</v>
      </c>
      <c r="T252" s="1">
        <v>1</v>
      </c>
      <c r="U252" s="1">
        <v>1</v>
      </c>
      <c r="V252" s="1">
        <v>0</v>
      </c>
      <c r="W252" s="1">
        <v>0</v>
      </c>
      <c r="X252" s="1">
        <v>0</v>
      </c>
      <c r="Y252" s="1">
        <v>2</v>
      </c>
      <c r="Z252" s="1">
        <v>2</v>
      </c>
      <c r="AA252" s="1" t="s">
        <v>104</v>
      </c>
      <c r="AB252" s="1">
        <v>2</v>
      </c>
      <c r="AC252" s="1" t="s">
        <v>104</v>
      </c>
      <c r="AD252" s="1" t="s">
        <v>104</v>
      </c>
      <c r="AE252" s="1" t="s">
        <v>104</v>
      </c>
      <c r="AF252" s="1" t="s">
        <v>104</v>
      </c>
      <c r="AG252" s="1" t="s">
        <v>104</v>
      </c>
      <c r="AH252" s="1" t="s">
        <v>104</v>
      </c>
      <c r="AI252" s="1" t="s">
        <v>104</v>
      </c>
      <c r="AJ252" s="1" t="s">
        <v>104</v>
      </c>
      <c r="AK252" s="1" t="s">
        <v>104</v>
      </c>
      <c r="AL252" s="1">
        <v>2</v>
      </c>
      <c r="AM252" s="1" t="s">
        <v>104</v>
      </c>
      <c r="AO252" s="1">
        <v>2</v>
      </c>
      <c r="AP252" s="1" t="s">
        <v>1880</v>
      </c>
      <c r="AQ252" s="1" t="s">
        <v>1881</v>
      </c>
      <c r="AR252" s="1">
        <v>0</v>
      </c>
      <c r="AS252" s="1">
        <v>1</v>
      </c>
      <c r="AT252" s="1">
        <v>0</v>
      </c>
      <c r="AU252" s="1">
        <v>0</v>
      </c>
      <c r="AV252" s="1">
        <v>0</v>
      </c>
      <c r="AW252" s="1">
        <v>0</v>
      </c>
      <c r="AX252" s="1">
        <v>0</v>
      </c>
      <c r="AY252" s="1">
        <v>0</v>
      </c>
      <c r="AZ252" s="1">
        <v>0</v>
      </c>
      <c r="BA252" s="1">
        <v>0</v>
      </c>
      <c r="BB252" s="1">
        <v>0</v>
      </c>
      <c r="BC252" s="1">
        <v>0</v>
      </c>
      <c r="BD252" s="1">
        <v>0</v>
      </c>
      <c r="BE252" s="1">
        <v>0</v>
      </c>
      <c r="BF252" s="1">
        <v>0</v>
      </c>
      <c r="BG252" s="1">
        <v>0</v>
      </c>
      <c r="BH252" s="1">
        <v>0</v>
      </c>
      <c r="BI252" s="1">
        <v>0</v>
      </c>
      <c r="BJ252" s="1">
        <v>0</v>
      </c>
      <c r="BK252" s="1">
        <v>0</v>
      </c>
      <c r="BL252" s="1">
        <v>0</v>
      </c>
      <c r="BM252" s="1">
        <v>0</v>
      </c>
      <c r="BN252" s="1">
        <v>0</v>
      </c>
      <c r="BO252" s="1">
        <v>0</v>
      </c>
      <c r="BP252" s="1">
        <v>0</v>
      </c>
      <c r="BQ252" s="2" t="str">
        <f>HYPERLINK("http://www.d20pfsrd.com/magic/all-spells/g/gust-of-wind","Gust of Wind")</f>
        <v>Gust of Wind</v>
      </c>
      <c r="BR252" s="1">
        <v>251</v>
      </c>
      <c r="BS252" s="1" t="s">
        <v>104</v>
      </c>
      <c r="BT252" s="1" t="s">
        <v>1882</v>
      </c>
      <c r="BV252" s="1" t="s">
        <v>1883</v>
      </c>
      <c r="BW252" s="1" t="s">
        <v>1884</v>
      </c>
      <c r="BX252" s="1">
        <v>1</v>
      </c>
      <c r="BY252" s="1">
        <v>2</v>
      </c>
      <c r="BZ252" s="1" t="s">
        <v>104</v>
      </c>
      <c r="CA252" s="1" t="s">
        <v>104</v>
      </c>
      <c r="CB252" s="1" t="s">
        <v>104</v>
      </c>
      <c r="CC252" s="1" t="s">
        <v>104</v>
      </c>
      <c r="CD252" s="1">
        <v>2</v>
      </c>
      <c r="CE252" s="1" t="s">
        <v>104</v>
      </c>
      <c r="CF252" s="1" t="s">
        <v>104</v>
      </c>
      <c r="CG252" s="1" t="s">
        <v>104</v>
      </c>
      <c r="CH252" s="1">
        <v>2</v>
      </c>
      <c r="CJ252" s="1">
        <v>0</v>
      </c>
      <c r="CK252" s="1">
        <v>0</v>
      </c>
      <c r="CL252" s="1">
        <v>0</v>
      </c>
      <c r="CM252" s="1" t="s">
        <v>104</v>
      </c>
    </row>
    <row r="253" spans="1:91" ht="14.25" customHeight="1" x14ac:dyDescent="0.3">
      <c r="A253" s="1" t="s">
        <v>1885</v>
      </c>
      <c r="B253" s="1" t="s">
        <v>434</v>
      </c>
      <c r="D253" s="1" t="s">
        <v>58</v>
      </c>
      <c r="E253" s="1" t="s">
        <v>327</v>
      </c>
      <c r="F253" s="1" t="s">
        <v>341</v>
      </c>
      <c r="G253" s="1" t="s">
        <v>1886</v>
      </c>
      <c r="H253" s="1">
        <v>1</v>
      </c>
      <c r="I253" s="1" t="s">
        <v>128</v>
      </c>
      <c r="J253" s="1" t="s">
        <v>1887</v>
      </c>
      <c r="M253" s="1" t="s">
        <v>119</v>
      </c>
      <c r="N253" s="1">
        <v>0</v>
      </c>
      <c r="O253" s="1">
        <v>0</v>
      </c>
      <c r="P253" s="1" t="s">
        <v>145</v>
      </c>
      <c r="Q253" s="1" t="s">
        <v>145</v>
      </c>
      <c r="R253" s="1" t="s">
        <v>1888</v>
      </c>
      <c r="S253" s="1" t="s">
        <v>103</v>
      </c>
      <c r="T253" s="1">
        <v>1</v>
      </c>
      <c r="U253" s="1">
        <v>1</v>
      </c>
      <c r="V253" s="1">
        <v>1</v>
      </c>
      <c r="W253" s="1">
        <v>0</v>
      </c>
      <c r="X253" s="1">
        <v>1</v>
      </c>
      <c r="Y253" s="1" t="s">
        <v>104</v>
      </c>
      <c r="Z253" s="1" t="s">
        <v>104</v>
      </c>
      <c r="AA253" s="1">
        <v>5</v>
      </c>
      <c r="AB253" s="1">
        <v>5</v>
      </c>
      <c r="AC253" s="1" t="s">
        <v>104</v>
      </c>
      <c r="AD253" s="1" t="s">
        <v>104</v>
      </c>
      <c r="AE253" s="1" t="s">
        <v>104</v>
      </c>
      <c r="AF253" s="1" t="s">
        <v>104</v>
      </c>
      <c r="AG253" s="1" t="s">
        <v>104</v>
      </c>
      <c r="AH253" s="1" t="s">
        <v>104</v>
      </c>
      <c r="AI253" s="1">
        <v>5</v>
      </c>
      <c r="AJ253" s="1">
        <v>5</v>
      </c>
      <c r="AK253" s="1" t="s">
        <v>104</v>
      </c>
      <c r="AL253" s="1" t="s">
        <v>104</v>
      </c>
      <c r="AM253" s="1" t="s">
        <v>104</v>
      </c>
      <c r="AO253" s="1">
        <v>5</v>
      </c>
      <c r="AQ253" s="1" t="s">
        <v>1889</v>
      </c>
      <c r="AR253" s="1">
        <v>0</v>
      </c>
      <c r="AS253" s="1">
        <v>0</v>
      </c>
      <c r="AT253" s="1">
        <v>0</v>
      </c>
      <c r="AU253" s="1">
        <v>0</v>
      </c>
      <c r="AV253" s="1">
        <v>0</v>
      </c>
      <c r="AW253" s="1">
        <v>0</v>
      </c>
      <c r="AX253" s="1">
        <v>0</v>
      </c>
      <c r="AY253" s="1">
        <v>0</v>
      </c>
      <c r="AZ253" s="1">
        <v>0</v>
      </c>
      <c r="BA253" s="1">
        <v>0</v>
      </c>
      <c r="BB253" s="1">
        <v>0</v>
      </c>
      <c r="BC253" s="1">
        <v>0</v>
      </c>
      <c r="BD253" s="1">
        <v>0</v>
      </c>
      <c r="BE253" s="1">
        <v>0</v>
      </c>
      <c r="BF253" s="1">
        <v>0</v>
      </c>
      <c r="BG253" s="1">
        <v>1</v>
      </c>
      <c r="BH253" s="1">
        <v>0</v>
      </c>
      <c r="BI253" s="1">
        <v>0</v>
      </c>
      <c r="BJ253" s="1">
        <v>0</v>
      </c>
      <c r="BK253" s="1">
        <v>0</v>
      </c>
      <c r="BL253" s="1">
        <v>0</v>
      </c>
      <c r="BM253" s="1">
        <v>0</v>
      </c>
      <c r="BN253" s="1">
        <v>0</v>
      </c>
      <c r="BO253" s="1">
        <v>0</v>
      </c>
      <c r="BP253" s="1">
        <v>0</v>
      </c>
      <c r="BQ253" s="2" t="str">
        <f>HYPERLINK("http://www.d20pfsrd.com/magic/all-spells/h/hallow","Hallow")</f>
        <v>Hallow</v>
      </c>
      <c r="BR253" s="1">
        <v>252</v>
      </c>
      <c r="BS253" s="1">
        <v>1000</v>
      </c>
      <c r="BX253" s="1">
        <v>0</v>
      </c>
      <c r="BY253" s="1" t="s">
        <v>104</v>
      </c>
      <c r="BZ253" s="1" t="s">
        <v>104</v>
      </c>
      <c r="CA253" s="1" t="s">
        <v>104</v>
      </c>
      <c r="CB253" s="1" t="s">
        <v>104</v>
      </c>
      <c r="CC253" s="1" t="s">
        <v>104</v>
      </c>
      <c r="CD253" s="1" t="s">
        <v>104</v>
      </c>
      <c r="CE253" s="1" t="s">
        <v>104</v>
      </c>
      <c r="CF253" s="1" t="s">
        <v>104</v>
      </c>
      <c r="CG253" s="1" t="s">
        <v>104</v>
      </c>
      <c r="CH253" s="1">
        <v>5</v>
      </c>
      <c r="CJ253" s="1">
        <v>0</v>
      </c>
      <c r="CK253" s="1">
        <v>0</v>
      </c>
      <c r="CL253" s="1">
        <v>0</v>
      </c>
      <c r="CM253" s="1" t="s">
        <v>104</v>
      </c>
    </row>
    <row r="254" spans="1:91" ht="14.25" customHeight="1" x14ac:dyDescent="0.3">
      <c r="A254" s="1" t="s">
        <v>1890</v>
      </c>
      <c r="B254" s="1" t="s">
        <v>507</v>
      </c>
      <c r="C254" s="1" t="s">
        <v>508</v>
      </c>
      <c r="E254" s="1" t="s">
        <v>1891</v>
      </c>
      <c r="F254" s="1" t="s">
        <v>287</v>
      </c>
      <c r="G254" s="1" t="s">
        <v>1892</v>
      </c>
      <c r="H254" s="1">
        <v>0</v>
      </c>
      <c r="I254" s="1" t="s">
        <v>97</v>
      </c>
      <c r="J254" s="1" t="s">
        <v>1893</v>
      </c>
      <c r="M254" s="1" t="s">
        <v>166</v>
      </c>
      <c r="N254" s="1">
        <v>1</v>
      </c>
      <c r="O254" s="1">
        <v>1</v>
      </c>
      <c r="P254" s="1" t="s">
        <v>1894</v>
      </c>
      <c r="Q254" s="1" t="s">
        <v>101</v>
      </c>
      <c r="R254" s="1" t="s">
        <v>1895</v>
      </c>
      <c r="S254" s="1" t="s">
        <v>103</v>
      </c>
      <c r="T254" s="1">
        <v>1</v>
      </c>
      <c r="U254" s="1">
        <v>1</v>
      </c>
      <c r="V254" s="1">
        <v>1</v>
      </c>
      <c r="W254" s="1">
        <v>0</v>
      </c>
      <c r="X254" s="1">
        <v>0</v>
      </c>
      <c r="Y254" s="1">
        <v>4</v>
      </c>
      <c r="Z254" s="1">
        <v>4</v>
      </c>
      <c r="AA254" s="1" t="s">
        <v>104</v>
      </c>
      <c r="AB254" s="1" t="s">
        <v>104</v>
      </c>
      <c r="AC254" s="1" t="s">
        <v>104</v>
      </c>
      <c r="AD254" s="1">
        <v>4</v>
      </c>
      <c r="AE254" s="1" t="s">
        <v>104</v>
      </c>
      <c r="AF254" s="1" t="s">
        <v>104</v>
      </c>
      <c r="AG254" s="1" t="s">
        <v>104</v>
      </c>
      <c r="AH254" s="1" t="s">
        <v>104</v>
      </c>
      <c r="AI254" s="1" t="s">
        <v>104</v>
      </c>
      <c r="AJ254" s="1" t="s">
        <v>104</v>
      </c>
      <c r="AK254" s="1" t="s">
        <v>104</v>
      </c>
      <c r="AL254" s="1" t="s">
        <v>104</v>
      </c>
      <c r="AM254" s="1" t="s">
        <v>104</v>
      </c>
      <c r="AO254" s="1">
        <v>4</v>
      </c>
      <c r="AQ254" s="1" t="s">
        <v>1896</v>
      </c>
      <c r="AR254" s="1">
        <v>0</v>
      </c>
      <c r="AS254" s="1">
        <v>0</v>
      </c>
      <c r="AT254" s="1">
        <v>0</v>
      </c>
      <c r="AU254" s="1">
        <v>0</v>
      </c>
      <c r="AV254" s="1">
        <v>0</v>
      </c>
      <c r="AW254" s="1">
        <v>0</v>
      </c>
      <c r="AX254" s="1">
        <v>0</v>
      </c>
      <c r="AY254" s="1">
        <v>0</v>
      </c>
      <c r="AZ254" s="1">
        <v>0</v>
      </c>
      <c r="BA254" s="1">
        <v>0</v>
      </c>
      <c r="BB254" s="1">
        <v>0</v>
      </c>
      <c r="BC254" s="1">
        <v>0</v>
      </c>
      <c r="BD254" s="1">
        <v>0</v>
      </c>
      <c r="BE254" s="1">
        <v>0</v>
      </c>
      <c r="BF254" s="1">
        <v>0</v>
      </c>
      <c r="BG254" s="1">
        <v>0</v>
      </c>
      <c r="BH254" s="1">
        <v>0</v>
      </c>
      <c r="BI254" s="1">
        <v>0</v>
      </c>
      <c r="BJ254" s="1">
        <v>0</v>
      </c>
      <c r="BK254" s="1">
        <v>0</v>
      </c>
      <c r="BL254" s="1">
        <v>0</v>
      </c>
      <c r="BM254" s="1">
        <v>0</v>
      </c>
      <c r="BN254" s="1">
        <v>0</v>
      </c>
      <c r="BO254" s="1">
        <v>0</v>
      </c>
      <c r="BP254" s="1">
        <v>0</v>
      </c>
      <c r="BQ254" s="2" t="str">
        <f>HYPERLINK("http://www.d20pfsrd.com/magic/all-spells/h/hallucinatory-terrain","Hallucinatory Terrain")</f>
        <v>Hallucinatory Terrain</v>
      </c>
      <c r="BR254" s="1">
        <v>253</v>
      </c>
      <c r="BS254" s="1" t="s">
        <v>104</v>
      </c>
      <c r="BU254" s="1" t="s">
        <v>1897</v>
      </c>
      <c r="BX254" s="1">
        <v>0</v>
      </c>
      <c r="BY254" s="1" t="s">
        <v>104</v>
      </c>
      <c r="BZ254" s="1" t="s">
        <v>104</v>
      </c>
      <c r="CA254" s="1">
        <v>4</v>
      </c>
      <c r="CB254" s="1" t="s">
        <v>104</v>
      </c>
      <c r="CC254" s="1">
        <v>4</v>
      </c>
      <c r="CD254" s="1" t="s">
        <v>104</v>
      </c>
      <c r="CE254" s="1" t="s">
        <v>104</v>
      </c>
      <c r="CF254" s="1" t="s">
        <v>104</v>
      </c>
      <c r="CG254" s="1" t="s">
        <v>104</v>
      </c>
      <c r="CH254" s="1" t="s">
        <v>104</v>
      </c>
      <c r="CJ254" s="1">
        <v>0</v>
      </c>
      <c r="CK254" s="1">
        <v>0</v>
      </c>
      <c r="CL254" s="1">
        <v>0</v>
      </c>
      <c r="CM254" s="1" t="s">
        <v>104</v>
      </c>
    </row>
    <row r="255" spans="1:91" ht="14.25" customHeight="1" x14ac:dyDescent="0.3">
      <c r="A255" s="1" t="s">
        <v>1898</v>
      </c>
      <c r="B255" s="1" t="s">
        <v>216</v>
      </c>
      <c r="E255" s="1" t="s">
        <v>1899</v>
      </c>
      <c r="F255" s="1" t="s">
        <v>95</v>
      </c>
      <c r="G255" s="1" t="s">
        <v>1900</v>
      </c>
      <c r="H255" s="1">
        <v>0</v>
      </c>
      <c r="I255" s="1" t="s">
        <v>109</v>
      </c>
      <c r="L255" s="1" t="s">
        <v>1901</v>
      </c>
      <c r="M255" s="1" t="s">
        <v>111</v>
      </c>
      <c r="N255" s="1">
        <v>0</v>
      </c>
      <c r="O255" s="1">
        <v>0</v>
      </c>
      <c r="P255" s="1" t="s">
        <v>1902</v>
      </c>
      <c r="Q255" s="1" t="s">
        <v>184</v>
      </c>
      <c r="R255" s="1" t="s">
        <v>1903</v>
      </c>
      <c r="S255" s="1" t="s">
        <v>103</v>
      </c>
      <c r="T255" s="1">
        <v>1</v>
      </c>
      <c r="U255" s="1">
        <v>1</v>
      </c>
      <c r="V255" s="1">
        <v>1</v>
      </c>
      <c r="W255" s="1">
        <v>0</v>
      </c>
      <c r="X255" s="1">
        <v>0</v>
      </c>
      <c r="Y255" s="1">
        <v>3</v>
      </c>
      <c r="Z255" s="1">
        <v>3</v>
      </c>
      <c r="AA255" s="1" t="s">
        <v>104</v>
      </c>
      <c r="AB255" s="1" t="s">
        <v>104</v>
      </c>
      <c r="AC255" s="1" t="s">
        <v>104</v>
      </c>
      <c r="AD255" s="1" t="s">
        <v>104</v>
      </c>
      <c r="AE255" s="1" t="s">
        <v>104</v>
      </c>
      <c r="AF255" s="1" t="s">
        <v>104</v>
      </c>
      <c r="AG255" s="1" t="s">
        <v>104</v>
      </c>
      <c r="AH255" s="1" t="s">
        <v>104</v>
      </c>
      <c r="AI255" s="1">
        <v>3</v>
      </c>
      <c r="AJ255" s="1" t="s">
        <v>104</v>
      </c>
      <c r="AK255" s="1" t="s">
        <v>104</v>
      </c>
      <c r="AL255" s="1" t="s">
        <v>104</v>
      </c>
      <c r="AM255" s="1" t="s">
        <v>104</v>
      </c>
      <c r="AO255" s="1">
        <v>3</v>
      </c>
      <c r="AQ255" s="1" t="s">
        <v>1904</v>
      </c>
      <c r="AR255" s="1">
        <v>0</v>
      </c>
      <c r="AS255" s="1">
        <v>0</v>
      </c>
      <c r="AT255" s="1">
        <v>0</v>
      </c>
      <c r="AU255" s="1">
        <v>0</v>
      </c>
      <c r="AV255" s="1">
        <v>0</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2" t="str">
        <f>HYPERLINK("http://www.d20pfsrd.com/magic/all-spells/h/halt-undead","Halt Undead")</f>
        <v>Halt Undead</v>
      </c>
      <c r="BR255" s="1">
        <v>254</v>
      </c>
      <c r="BS255" s="1" t="s">
        <v>104</v>
      </c>
      <c r="BX255" s="1">
        <v>0</v>
      </c>
      <c r="BY255" s="1" t="s">
        <v>104</v>
      </c>
      <c r="BZ255" s="1" t="s">
        <v>104</v>
      </c>
      <c r="CA255" s="1" t="s">
        <v>104</v>
      </c>
      <c r="CB255" s="1" t="s">
        <v>104</v>
      </c>
      <c r="CC255" s="1" t="s">
        <v>104</v>
      </c>
      <c r="CD255" s="1" t="s">
        <v>104</v>
      </c>
      <c r="CE255" s="1" t="s">
        <v>104</v>
      </c>
      <c r="CF255" s="1" t="s">
        <v>104</v>
      </c>
      <c r="CG255" s="1" t="s">
        <v>104</v>
      </c>
      <c r="CH255" s="1" t="s">
        <v>104</v>
      </c>
      <c r="CJ255" s="1">
        <v>0</v>
      </c>
      <c r="CK255" s="1">
        <v>0</v>
      </c>
      <c r="CL255" s="1">
        <v>0</v>
      </c>
      <c r="CM255" s="1" t="s">
        <v>104</v>
      </c>
    </row>
    <row r="256" spans="1:91" ht="14.25" customHeight="1" x14ac:dyDescent="0.3">
      <c r="A256" s="1" t="s">
        <v>1905</v>
      </c>
      <c r="B256" s="1" t="s">
        <v>216</v>
      </c>
      <c r="E256" s="1" t="s">
        <v>1906</v>
      </c>
      <c r="F256" s="1" t="s">
        <v>95</v>
      </c>
      <c r="G256" s="1" t="s">
        <v>116</v>
      </c>
      <c r="H256" s="1">
        <v>0</v>
      </c>
      <c r="I256" s="1" t="s">
        <v>128</v>
      </c>
      <c r="L256" s="1" t="s">
        <v>374</v>
      </c>
      <c r="M256" s="1" t="s">
        <v>119</v>
      </c>
      <c r="N256" s="1">
        <v>0</v>
      </c>
      <c r="O256" s="1">
        <v>0</v>
      </c>
      <c r="P256" s="1" t="s">
        <v>1907</v>
      </c>
      <c r="Q256" s="1" t="s">
        <v>184</v>
      </c>
      <c r="R256" s="1" t="s">
        <v>1908</v>
      </c>
      <c r="S256" s="1" t="s">
        <v>103</v>
      </c>
      <c r="T256" s="1">
        <v>1</v>
      </c>
      <c r="U256" s="1">
        <v>1</v>
      </c>
      <c r="V256" s="1">
        <v>0</v>
      </c>
      <c r="W256" s="1">
        <v>0</v>
      </c>
      <c r="X256" s="1">
        <v>0</v>
      </c>
      <c r="Y256" s="1" t="s">
        <v>104</v>
      </c>
      <c r="Z256" s="1" t="s">
        <v>104</v>
      </c>
      <c r="AA256" s="1">
        <v>6</v>
      </c>
      <c r="AB256" s="1" t="s">
        <v>104</v>
      </c>
      <c r="AC256" s="1" t="s">
        <v>104</v>
      </c>
      <c r="AD256" s="1" t="s">
        <v>104</v>
      </c>
      <c r="AE256" s="1" t="s">
        <v>104</v>
      </c>
      <c r="AF256" s="1" t="s">
        <v>104</v>
      </c>
      <c r="AG256" s="1" t="s">
        <v>104</v>
      </c>
      <c r="AH256" s="1">
        <v>7</v>
      </c>
      <c r="AI256" s="1">
        <v>6</v>
      </c>
      <c r="AJ256" s="1">
        <v>6</v>
      </c>
      <c r="AK256" s="1" t="s">
        <v>104</v>
      </c>
      <c r="AL256" s="1" t="s">
        <v>104</v>
      </c>
      <c r="AM256" s="1" t="s">
        <v>104</v>
      </c>
      <c r="AO256" s="1">
        <v>6</v>
      </c>
      <c r="AP256" s="1" t="s">
        <v>1909</v>
      </c>
      <c r="AQ256" s="1" t="s">
        <v>1910</v>
      </c>
      <c r="AR256" s="1">
        <v>0</v>
      </c>
      <c r="AS256" s="1">
        <v>0</v>
      </c>
      <c r="AT256" s="1">
        <v>0</v>
      </c>
      <c r="AU256" s="1">
        <v>0</v>
      </c>
      <c r="AV256" s="1">
        <v>0</v>
      </c>
      <c r="AW256" s="1">
        <v>0</v>
      </c>
      <c r="AX256" s="1">
        <v>0</v>
      </c>
      <c r="AY256" s="1">
        <v>0</v>
      </c>
      <c r="AZ256" s="1">
        <v>0</v>
      </c>
      <c r="BA256" s="1">
        <v>0</v>
      </c>
      <c r="BB256" s="1">
        <v>0</v>
      </c>
      <c r="BC256" s="1">
        <v>0</v>
      </c>
      <c r="BD256" s="1">
        <v>0</v>
      </c>
      <c r="BE256" s="1">
        <v>0</v>
      </c>
      <c r="BF256" s="1">
        <v>0</v>
      </c>
      <c r="BG256" s="1">
        <v>0</v>
      </c>
      <c r="BH256" s="1">
        <v>0</v>
      </c>
      <c r="BI256" s="1">
        <v>0</v>
      </c>
      <c r="BJ256" s="1">
        <v>0</v>
      </c>
      <c r="BK256" s="1">
        <v>0</v>
      </c>
      <c r="BL256" s="1">
        <v>0</v>
      </c>
      <c r="BM256" s="1">
        <v>0</v>
      </c>
      <c r="BN256" s="1">
        <v>0</v>
      </c>
      <c r="BO256" s="1">
        <v>0</v>
      </c>
      <c r="BP256" s="1">
        <v>0</v>
      </c>
      <c r="BQ256" s="2" t="str">
        <f>HYPERLINK("http://www.d20pfsrd.com/magic/all-spells/h/harm","Harm")</f>
        <v>Harm</v>
      </c>
      <c r="BR256" s="1">
        <v>255</v>
      </c>
      <c r="BS256" s="1" t="s">
        <v>104</v>
      </c>
      <c r="BV256" s="1" t="s">
        <v>1911</v>
      </c>
      <c r="BW256" s="1" t="s">
        <v>1912</v>
      </c>
      <c r="BX256" s="1">
        <v>1</v>
      </c>
      <c r="BY256" s="1" t="s">
        <v>104</v>
      </c>
      <c r="BZ256" s="1">
        <v>7</v>
      </c>
      <c r="CA256" s="1" t="s">
        <v>104</v>
      </c>
      <c r="CB256" s="1" t="s">
        <v>104</v>
      </c>
      <c r="CC256" s="1" t="s">
        <v>104</v>
      </c>
      <c r="CD256" s="1">
        <v>6</v>
      </c>
      <c r="CE256" s="1">
        <v>6</v>
      </c>
      <c r="CF256" s="1" t="s">
        <v>104</v>
      </c>
      <c r="CG256" s="1" t="s">
        <v>104</v>
      </c>
      <c r="CH256" s="1" t="s">
        <v>104</v>
      </c>
      <c r="CJ256" s="1">
        <v>0</v>
      </c>
      <c r="CK256" s="1">
        <v>0</v>
      </c>
      <c r="CL256" s="1">
        <v>0</v>
      </c>
      <c r="CM256" s="1" t="s">
        <v>104</v>
      </c>
    </row>
    <row r="257" spans="1:91" ht="14.25" customHeight="1" x14ac:dyDescent="0.3">
      <c r="A257" s="1" t="s">
        <v>1913</v>
      </c>
      <c r="B257" s="1" t="s">
        <v>137</v>
      </c>
      <c r="E257" s="1" t="s">
        <v>1914</v>
      </c>
      <c r="F257" s="1" t="s">
        <v>95</v>
      </c>
      <c r="G257" s="1" t="s">
        <v>1915</v>
      </c>
      <c r="H257" s="1">
        <v>0</v>
      </c>
      <c r="I257" s="1" t="s">
        <v>117</v>
      </c>
      <c r="L257" s="1" t="s">
        <v>541</v>
      </c>
      <c r="M257" s="1" t="s">
        <v>111</v>
      </c>
      <c r="N257" s="1">
        <v>0</v>
      </c>
      <c r="O257" s="1">
        <v>0</v>
      </c>
      <c r="P257" s="1" t="s">
        <v>1058</v>
      </c>
      <c r="Q257" s="1" t="s">
        <v>131</v>
      </c>
      <c r="R257" s="1" t="s">
        <v>1916</v>
      </c>
      <c r="S257" s="1" t="s">
        <v>103</v>
      </c>
      <c r="T257" s="1">
        <v>1</v>
      </c>
      <c r="U257" s="1">
        <v>1</v>
      </c>
      <c r="V257" s="1">
        <v>1</v>
      </c>
      <c r="W257" s="1">
        <v>0</v>
      </c>
      <c r="X257" s="1">
        <v>0</v>
      </c>
      <c r="Y257" s="1">
        <v>3</v>
      </c>
      <c r="Z257" s="1">
        <v>3</v>
      </c>
      <c r="AA257" s="1" t="s">
        <v>104</v>
      </c>
      <c r="AB257" s="1" t="s">
        <v>104</v>
      </c>
      <c r="AC257" s="1" t="s">
        <v>104</v>
      </c>
      <c r="AD257" s="1">
        <v>3</v>
      </c>
      <c r="AE257" s="1" t="s">
        <v>104</v>
      </c>
      <c r="AF257" s="1">
        <v>3</v>
      </c>
      <c r="AG257" s="1">
        <v>2</v>
      </c>
      <c r="AH257" s="1" t="s">
        <v>104</v>
      </c>
      <c r="AI257" s="1" t="s">
        <v>104</v>
      </c>
      <c r="AJ257" s="1" t="s">
        <v>104</v>
      </c>
      <c r="AK257" s="1" t="s">
        <v>104</v>
      </c>
      <c r="AL257" s="1">
        <v>3</v>
      </c>
      <c r="AM257" s="1" t="s">
        <v>104</v>
      </c>
      <c r="AO257" s="1">
        <v>3</v>
      </c>
      <c r="AQ257" s="1" t="s">
        <v>1917</v>
      </c>
      <c r="AR257" s="1">
        <v>0</v>
      </c>
      <c r="AS257" s="1">
        <v>0</v>
      </c>
      <c r="AT257" s="1">
        <v>0</v>
      </c>
      <c r="AU257" s="1">
        <v>0</v>
      </c>
      <c r="AV257" s="1">
        <v>0</v>
      </c>
      <c r="AW257" s="1">
        <v>0</v>
      </c>
      <c r="AX257" s="1">
        <v>0</v>
      </c>
      <c r="AY257" s="1">
        <v>0</v>
      </c>
      <c r="AZ257" s="1">
        <v>0</v>
      </c>
      <c r="BA257" s="1">
        <v>0</v>
      </c>
      <c r="BB257" s="1">
        <v>0</v>
      </c>
      <c r="BC257" s="1">
        <v>0</v>
      </c>
      <c r="BD257" s="1">
        <v>0</v>
      </c>
      <c r="BE257" s="1">
        <v>0</v>
      </c>
      <c r="BF257" s="1">
        <v>0</v>
      </c>
      <c r="BG257" s="1">
        <v>0</v>
      </c>
      <c r="BH257" s="1">
        <v>0</v>
      </c>
      <c r="BI257" s="1">
        <v>0</v>
      </c>
      <c r="BJ257" s="1">
        <v>0</v>
      </c>
      <c r="BK257" s="1">
        <v>0</v>
      </c>
      <c r="BL257" s="1">
        <v>0</v>
      </c>
      <c r="BM257" s="1">
        <v>0</v>
      </c>
      <c r="BN257" s="1">
        <v>0</v>
      </c>
      <c r="BO257" s="1">
        <v>0</v>
      </c>
      <c r="BP257" s="1">
        <v>0</v>
      </c>
      <c r="BQ257" s="2" t="str">
        <f>HYPERLINK("http://www.d20pfsrd.com/magic/all-spells/h/haste","Haste")</f>
        <v>Haste</v>
      </c>
      <c r="BR257" s="1">
        <v>256</v>
      </c>
      <c r="BS257" s="1" t="s">
        <v>104</v>
      </c>
      <c r="BU257" s="1" t="s">
        <v>1918</v>
      </c>
      <c r="BV257" s="1" t="s">
        <v>1919</v>
      </c>
      <c r="BW257" s="1" t="s">
        <v>1920</v>
      </c>
      <c r="BX257" s="1">
        <v>1</v>
      </c>
      <c r="BY257" s="1">
        <v>3</v>
      </c>
      <c r="BZ257" s="1" t="s">
        <v>104</v>
      </c>
      <c r="CA257" s="1">
        <v>3</v>
      </c>
      <c r="CB257" s="1">
        <v>2</v>
      </c>
      <c r="CC257" s="1" t="s">
        <v>104</v>
      </c>
      <c r="CD257" s="1">
        <v>3</v>
      </c>
      <c r="CE257" s="1">
        <v>3</v>
      </c>
      <c r="CF257" s="1" t="s">
        <v>104</v>
      </c>
      <c r="CG257" s="1" t="s">
        <v>104</v>
      </c>
      <c r="CH257" s="1" t="s">
        <v>104</v>
      </c>
      <c r="CJ257" s="1">
        <v>0</v>
      </c>
      <c r="CK257" s="1">
        <v>0</v>
      </c>
      <c r="CL257" s="1">
        <v>0</v>
      </c>
      <c r="CM257" s="1">
        <v>3</v>
      </c>
    </row>
    <row r="258" spans="1:91" ht="14.25" customHeight="1" x14ac:dyDescent="0.3">
      <c r="A258" s="1" t="s">
        <v>1921</v>
      </c>
      <c r="B258" s="1" t="s">
        <v>92</v>
      </c>
      <c r="C258" s="1" t="s">
        <v>523</v>
      </c>
      <c r="E258" s="1" t="s">
        <v>1922</v>
      </c>
      <c r="F258" s="1" t="s">
        <v>95</v>
      </c>
      <c r="G258" s="1" t="s">
        <v>116</v>
      </c>
      <c r="H258" s="1">
        <v>0</v>
      </c>
      <c r="I258" s="1" t="s">
        <v>128</v>
      </c>
      <c r="L258" s="1" t="s">
        <v>374</v>
      </c>
      <c r="M258" s="1" t="s">
        <v>119</v>
      </c>
      <c r="N258" s="1">
        <v>0</v>
      </c>
      <c r="O258" s="1">
        <v>0</v>
      </c>
      <c r="P258" s="1" t="s">
        <v>375</v>
      </c>
      <c r="Q258" s="1" t="s">
        <v>131</v>
      </c>
      <c r="R258" s="1" t="s">
        <v>1923</v>
      </c>
      <c r="S258" s="1" t="s">
        <v>103</v>
      </c>
      <c r="T258" s="1">
        <v>1</v>
      </c>
      <c r="U258" s="1">
        <v>1</v>
      </c>
      <c r="V258" s="1">
        <v>0</v>
      </c>
      <c r="W258" s="1">
        <v>0</v>
      </c>
      <c r="X258" s="1">
        <v>0</v>
      </c>
      <c r="Y258" s="1" t="s">
        <v>104</v>
      </c>
      <c r="Z258" s="1" t="s">
        <v>104</v>
      </c>
      <c r="AA258" s="1">
        <v>6</v>
      </c>
      <c r="AB258" s="1">
        <v>7</v>
      </c>
      <c r="AC258" s="1" t="s">
        <v>104</v>
      </c>
      <c r="AD258" s="1" t="s">
        <v>104</v>
      </c>
      <c r="AE258" s="1" t="s">
        <v>104</v>
      </c>
      <c r="AF258" s="1">
        <v>6</v>
      </c>
      <c r="AG258" s="1" t="s">
        <v>104</v>
      </c>
      <c r="AH258" s="1">
        <v>7</v>
      </c>
      <c r="AI258" s="1">
        <v>6</v>
      </c>
      <c r="AJ258" s="1">
        <v>6</v>
      </c>
      <c r="AK258" s="1" t="s">
        <v>104</v>
      </c>
      <c r="AL258" s="1" t="s">
        <v>104</v>
      </c>
      <c r="AM258" s="1">
        <v>5</v>
      </c>
      <c r="AO258" s="1">
        <v>6</v>
      </c>
      <c r="AP258" s="1" t="s">
        <v>1924</v>
      </c>
      <c r="AQ258" s="1" t="s">
        <v>1925</v>
      </c>
      <c r="AR258" s="1">
        <v>0</v>
      </c>
      <c r="AS258" s="1">
        <v>0</v>
      </c>
      <c r="AT258" s="1">
        <v>0</v>
      </c>
      <c r="AU258" s="1">
        <v>0</v>
      </c>
      <c r="AV258" s="1">
        <v>0</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0</v>
      </c>
      <c r="BM258" s="1">
        <v>0</v>
      </c>
      <c r="BN258" s="1">
        <v>0</v>
      </c>
      <c r="BO258" s="1">
        <v>0</v>
      </c>
      <c r="BP258" s="1">
        <v>0</v>
      </c>
      <c r="BQ258" s="2" t="str">
        <f>HYPERLINK("http://www.d20pfsrd.com/magic/all-spells/h/heal","Heal")</f>
        <v>Heal</v>
      </c>
      <c r="BR258" s="1">
        <v>257</v>
      </c>
      <c r="BS258" s="1" t="s">
        <v>104</v>
      </c>
      <c r="BV258" s="1" t="s">
        <v>1926</v>
      </c>
      <c r="BW258" s="1" t="s">
        <v>1927</v>
      </c>
      <c r="BX258" s="1">
        <v>1</v>
      </c>
      <c r="BY258" s="1" t="s">
        <v>104</v>
      </c>
      <c r="BZ258" s="1">
        <v>7</v>
      </c>
      <c r="CA258" s="1" t="s">
        <v>104</v>
      </c>
      <c r="CB258" s="1" t="s">
        <v>104</v>
      </c>
      <c r="CC258" s="1" t="s">
        <v>104</v>
      </c>
      <c r="CD258" s="1">
        <v>6</v>
      </c>
      <c r="CE258" s="1">
        <v>6</v>
      </c>
      <c r="CF258" s="1" t="s">
        <v>104</v>
      </c>
      <c r="CG258" s="1" t="s">
        <v>104</v>
      </c>
      <c r="CH258" s="1" t="s">
        <v>104</v>
      </c>
      <c r="CJ258" s="1">
        <v>0</v>
      </c>
      <c r="CK258" s="1">
        <v>0</v>
      </c>
      <c r="CL258" s="1">
        <v>0</v>
      </c>
      <c r="CM258" s="1" t="s">
        <v>104</v>
      </c>
    </row>
    <row r="259" spans="1:91" ht="14.25" customHeight="1" x14ac:dyDescent="0.3">
      <c r="A259" s="1" t="s">
        <v>1928</v>
      </c>
      <c r="B259" s="1" t="s">
        <v>92</v>
      </c>
      <c r="C259" s="1" t="s">
        <v>523</v>
      </c>
      <c r="E259" s="1" t="s">
        <v>1929</v>
      </c>
      <c r="F259" s="1" t="s">
        <v>95</v>
      </c>
      <c r="G259" s="1" t="s">
        <v>116</v>
      </c>
      <c r="H259" s="1">
        <v>0</v>
      </c>
      <c r="I259" s="1" t="s">
        <v>117</v>
      </c>
      <c r="L259" s="1" t="s">
        <v>1930</v>
      </c>
      <c r="M259" s="1" t="s">
        <v>119</v>
      </c>
      <c r="N259" s="1">
        <v>0</v>
      </c>
      <c r="O259" s="1">
        <v>0</v>
      </c>
      <c r="P259" s="1" t="s">
        <v>375</v>
      </c>
      <c r="Q259" s="1" t="s">
        <v>131</v>
      </c>
      <c r="R259" s="1" t="s">
        <v>1931</v>
      </c>
      <c r="S259" s="1" t="s">
        <v>103</v>
      </c>
      <c r="T259" s="1">
        <v>1</v>
      </c>
      <c r="U259" s="1">
        <v>1</v>
      </c>
      <c r="V259" s="1">
        <v>0</v>
      </c>
      <c r="W259" s="1">
        <v>0</v>
      </c>
      <c r="X259" s="1">
        <v>0</v>
      </c>
      <c r="Y259" s="1" t="s">
        <v>104</v>
      </c>
      <c r="Z259" s="1" t="s">
        <v>104</v>
      </c>
      <c r="AA259" s="1">
        <v>9</v>
      </c>
      <c r="AB259" s="1" t="s">
        <v>104</v>
      </c>
      <c r="AC259" s="1" t="s">
        <v>104</v>
      </c>
      <c r="AD259" s="1" t="s">
        <v>104</v>
      </c>
      <c r="AE259" s="1" t="s">
        <v>104</v>
      </c>
      <c r="AF259" s="1" t="s">
        <v>104</v>
      </c>
      <c r="AG259" s="1" t="s">
        <v>104</v>
      </c>
      <c r="AH259" s="1" t="s">
        <v>104</v>
      </c>
      <c r="AI259" s="1" t="s">
        <v>104</v>
      </c>
      <c r="AJ259" s="1">
        <v>9</v>
      </c>
      <c r="AK259" s="1" t="s">
        <v>104</v>
      </c>
      <c r="AL259" s="1" t="s">
        <v>104</v>
      </c>
      <c r="AM259" s="1" t="s">
        <v>104</v>
      </c>
      <c r="AO259" s="1">
        <v>9</v>
      </c>
      <c r="AP259" s="1" t="s">
        <v>1932</v>
      </c>
      <c r="AQ259" s="1" t="s">
        <v>1933</v>
      </c>
      <c r="AR259" s="1">
        <v>0</v>
      </c>
      <c r="AS259" s="1">
        <v>0</v>
      </c>
      <c r="AT259" s="1">
        <v>0</v>
      </c>
      <c r="AU259" s="1">
        <v>0</v>
      </c>
      <c r="AV259" s="1">
        <v>0</v>
      </c>
      <c r="AW259" s="1">
        <v>0</v>
      </c>
      <c r="AX259" s="1">
        <v>0</v>
      </c>
      <c r="AY259" s="1">
        <v>0</v>
      </c>
      <c r="AZ259" s="1">
        <v>0</v>
      </c>
      <c r="BA259" s="1">
        <v>0</v>
      </c>
      <c r="BB259" s="1">
        <v>0</v>
      </c>
      <c r="BC259" s="1">
        <v>0</v>
      </c>
      <c r="BD259" s="1">
        <v>0</v>
      </c>
      <c r="BE259" s="1">
        <v>0</v>
      </c>
      <c r="BF259" s="1">
        <v>0</v>
      </c>
      <c r="BG259" s="1">
        <v>0</v>
      </c>
      <c r="BH259" s="1">
        <v>0</v>
      </c>
      <c r="BI259" s="1">
        <v>0</v>
      </c>
      <c r="BJ259" s="1">
        <v>0</v>
      </c>
      <c r="BK259" s="1">
        <v>0</v>
      </c>
      <c r="BL259" s="1">
        <v>0</v>
      </c>
      <c r="BM259" s="1">
        <v>0</v>
      </c>
      <c r="BN259" s="1">
        <v>0</v>
      </c>
      <c r="BO259" s="1">
        <v>0</v>
      </c>
      <c r="BP259" s="1">
        <v>0</v>
      </c>
      <c r="BQ259" s="2" t="str">
        <f>HYPERLINK("http://www.d20pfsrd.com/magic/all-spells/h/heal","Heal, Mass")</f>
        <v>Heal, Mass</v>
      </c>
      <c r="BR259" s="1">
        <v>258</v>
      </c>
      <c r="BS259" s="1" t="s">
        <v>104</v>
      </c>
      <c r="BU259" s="1" t="s">
        <v>1934</v>
      </c>
      <c r="BX259" s="1">
        <v>0</v>
      </c>
      <c r="BY259" s="1" t="s">
        <v>104</v>
      </c>
      <c r="BZ259" s="1">
        <v>9</v>
      </c>
      <c r="CA259" s="1" t="s">
        <v>104</v>
      </c>
      <c r="CB259" s="1" t="s">
        <v>104</v>
      </c>
      <c r="CC259" s="1" t="s">
        <v>104</v>
      </c>
      <c r="CD259" s="1" t="s">
        <v>104</v>
      </c>
      <c r="CE259" s="1" t="s">
        <v>104</v>
      </c>
      <c r="CF259" s="1" t="s">
        <v>104</v>
      </c>
      <c r="CG259" s="1" t="s">
        <v>104</v>
      </c>
      <c r="CH259" s="1" t="s">
        <v>104</v>
      </c>
      <c r="CJ259" s="1">
        <v>0</v>
      </c>
      <c r="CK259" s="1">
        <v>0</v>
      </c>
      <c r="CL259" s="1">
        <v>0</v>
      </c>
      <c r="CM259" s="1" t="s">
        <v>104</v>
      </c>
    </row>
    <row r="260" spans="1:91" ht="14.25" customHeight="1" x14ac:dyDescent="0.3">
      <c r="A260" s="1" t="s">
        <v>1935</v>
      </c>
      <c r="B260" s="1" t="s">
        <v>92</v>
      </c>
      <c r="C260" s="1" t="s">
        <v>523</v>
      </c>
      <c r="E260" s="1" t="s">
        <v>1936</v>
      </c>
      <c r="F260" s="1" t="s">
        <v>95</v>
      </c>
      <c r="G260" s="1" t="s">
        <v>116</v>
      </c>
      <c r="H260" s="1">
        <v>0</v>
      </c>
      <c r="I260" s="1" t="s">
        <v>128</v>
      </c>
      <c r="L260" s="1" t="s">
        <v>1937</v>
      </c>
      <c r="M260" s="1" t="s">
        <v>119</v>
      </c>
      <c r="N260" s="1">
        <v>0</v>
      </c>
      <c r="O260" s="1">
        <v>0</v>
      </c>
      <c r="P260" s="1" t="s">
        <v>375</v>
      </c>
      <c r="Q260" s="1" t="s">
        <v>131</v>
      </c>
      <c r="R260" s="1" t="s">
        <v>1938</v>
      </c>
      <c r="S260" s="1" t="s">
        <v>103</v>
      </c>
      <c r="T260" s="1">
        <v>1</v>
      </c>
      <c r="U260" s="1">
        <v>1</v>
      </c>
      <c r="V260" s="1">
        <v>0</v>
      </c>
      <c r="W260" s="1">
        <v>0</v>
      </c>
      <c r="X260" s="1">
        <v>0</v>
      </c>
      <c r="Y260" s="1" t="s">
        <v>104</v>
      </c>
      <c r="Z260" s="1" t="s">
        <v>104</v>
      </c>
      <c r="AA260" s="1" t="s">
        <v>104</v>
      </c>
      <c r="AB260" s="1" t="s">
        <v>104</v>
      </c>
      <c r="AC260" s="1" t="s">
        <v>104</v>
      </c>
      <c r="AD260" s="1" t="s">
        <v>104</v>
      </c>
      <c r="AE260" s="1">
        <v>3</v>
      </c>
      <c r="AF260" s="1" t="s">
        <v>104</v>
      </c>
      <c r="AG260" s="1" t="s">
        <v>104</v>
      </c>
      <c r="AH260" s="1" t="s">
        <v>104</v>
      </c>
      <c r="AI260" s="1" t="s">
        <v>104</v>
      </c>
      <c r="AJ260" s="1" t="s">
        <v>104</v>
      </c>
      <c r="AK260" s="1" t="s">
        <v>104</v>
      </c>
      <c r="AL260" s="1" t="s">
        <v>104</v>
      </c>
      <c r="AM260" s="1" t="s">
        <v>104</v>
      </c>
      <c r="AO260" s="1">
        <v>3</v>
      </c>
      <c r="AQ260" s="1" t="s">
        <v>1939</v>
      </c>
      <c r="AR260" s="1">
        <v>0</v>
      </c>
      <c r="AS260" s="1">
        <v>0</v>
      </c>
      <c r="AT260" s="1">
        <v>0</v>
      </c>
      <c r="AU260" s="1">
        <v>0</v>
      </c>
      <c r="AV260" s="1">
        <v>0</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2" t="str">
        <f>HYPERLINK("http://www.d20pfsrd.com/magic/all-spells/h/heal-mount","Heal Mount")</f>
        <v>Heal Mount</v>
      </c>
      <c r="BR260" s="1">
        <v>259</v>
      </c>
      <c r="BS260" s="1" t="s">
        <v>104</v>
      </c>
      <c r="BX260" s="1">
        <v>0</v>
      </c>
      <c r="BY260" s="1" t="s">
        <v>104</v>
      </c>
      <c r="BZ260" s="1" t="s">
        <v>104</v>
      </c>
      <c r="CA260" s="1" t="s">
        <v>104</v>
      </c>
      <c r="CB260" s="1" t="s">
        <v>104</v>
      </c>
      <c r="CC260" s="1" t="s">
        <v>104</v>
      </c>
      <c r="CD260" s="1" t="s">
        <v>104</v>
      </c>
      <c r="CE260" s="1" t="s">
        <v>104</v>
      </c>
      <c r="CF260" s="1" t="s">
        <v>104</v>
      </c>
      <c r="CG260" s="1" t="s">
        <v>104</v>
      </c>
      <c r="CH260" s="1" t="s">
        <v>104</v>
      </c>
      <c r="CJ260" s="1">
        <v>0</v>
      </c>
      <c r="CK260" s="1">
        <v>0</v>
      </c>
      <c r="CL260" s="1">
        <v>0</v>
      </c>
      <c r="CM260" s="1" t="s">
        <v>104</v>
      </c>
    </row>
    <row r="261" spans="1:91" ht="14.25" customHeight="1" x14ac:dyDescent="0.3">
      <c r="A261" s="1" t="s">
        <v>1940</v>
      </c>
      <c r="B261" s="1" t="s">
        <v>137</v>
      </c>
      <c r="D261" s="1" t="s">
        <v>56</v>
      </c>
      <c r="E261" s="1" t="s">
        <v>660</v>
      </c>
      <c r="F261" s="1" t="s">
        <v>95</v>
      </c>
      <c r="G261" s="1" t="s">
        <v>127</v>
      </c>
      <c r="H261" s="1">
        <v>0</v>
      </c>
      <c r="I261" s="1" t="s">
        <v>117</v>
      </c>
      <c r="L261" s="1" t="s">
        <v>1941</v>
      </c>
      <c r="M261" s="1" t="s">
        <v>662</v>
      </c>
      <c r="N261" s="1">
        <v>0</v>
      </c>
      <c r="O261" s="1">
        <v>0</v>
      </c>
      <c r="P261" s="1" t="s">
        <v>471</v>
      </c>
      <c r="Q261" s="1" t="s">
        <v>472</v>
      </c>
      <c r="R261" s="1" t="s">
        <v>1942</v>
      </c>
      <c r="S261" s="1" t="s">
        <v>103</v>
      </c>
      <c r="T261" s="1">
        <v>1</v>
      </c>
      <c r="U261" s="1">
        <v>1</v>
      </c>
      <c r="V261" s="1">
        <v>0</v>
      </c>
      <c r="W261" s="1">
        <v>0</v>
      </c>
      <c r="X261" s="1">
        <v>1</v>
      </c>
      <c r="Y261" s="1" t="s">
        <v>104</v>
      </c>
      <c r="Z261" s="1" t="s">
        <v>104</v>
      </c>
      <c r="AA261" s="1" t="s">
        <v>104</v>
      </c>
      <c r="AB261" s="1">
        <v>2</v>
      </c>
      <c r="AC261" s="1" t="s">
        <v>104</v>
      </c>
      <c r="AD261" s="1" t="s">
        <v>104</v>
      </c>
      <c r="AE261" s="1" t="s">
        <v>104</v>
      </c>
      <c r="AF261" s="1" t="s">
        <v>104</v>
      </c>
      <c r="AG261" s="1" t="s">
        <v>104</v>
      </c>
      <c r="AH261" s="1" t="s">
        <v>104</v>
      </c>
      <c r="AI261" s="1" t="s">
        <v>104</v>
      </c>
      <c r="AJ261" s="1" t="s">
        <v>104</v>
      </c>
      <c r="AK261" s="1" t="s">
        <v>104</v>
      </c>
      <c r="AL261" s="1" t="s">
        <v>104</v>
      </c>
      <c r="AM261" s="1" t="s">
        <v>104</v>
      </c>
      <c r="AO261" s="1">
        <v>2</v>
      </c>
      <c r="AP261" s="1" t="s">
        <v>1943</v>
      </c>
      <c r="AQ261" s="1" t="s">
        <v>1944</v>
      </c>
      <c r="AR261" s="1">
        <v>0</v>
      </c>
      <c r="AS261" s="1">
        <v>0</v>
      </c>
      <c r="AT261" s="1">
        <v>0</v>
      </c>
      <c r="AU261" s="1">
        <v>0</v>
      </c>
      <c r="AV261" s="1">
        <v>0</v>
      </c>
      <c r="AW261" s="1">
        <v>0</v>
      </c>
      <c r="AX261" s="1">
        <v>0</v>
      </c>
      <c r="AY261" s="1">
        <v>0</v>
      </c>
      <c r="AZ261" s="1">
        <v>0</v>
      </c>
      <c r="BA261" s="1">
        <v>0</v>
      </c>
      <c r="BB261" s="1">
        <v>0</v>
      </c>
      <c r="BC261" s="1">
        <v>0</v>
      </c>
      <c r="BD261" s="1">
        <v>0</v>
      </c>
      <c r="BE261" s="1">
        <v>1</v>
      </c>
      <c r="BF261" s="1">
        <v>0</v>
      </c>
      <c r="BG261" s="1">
        <v>0</v>
      </c>
      <c r="BH261" s="1">
        <v>0</v>
      </c>
      <c r="BI261" s="1">
        <v>0</v>
      </c>
      <c r="BJ261" s="1">
        <v>0</v>
      </c>
      <c r="BK261" s="1">
        <v>0</v>
      </c>
      <c r="BL261" s="1">
        <v>0</v>
      </c>
      <c r="BM261" s="1">
        <v>0</v>
      </c>
      <c r="BN261" s="1">
        <v>0</v>
      </c>
      <c r="BO261" s="1">
        <v>0</v>
      </c>
      <c r="BP261" s="1">
        <v>0</v>
      </c>
      <c r="BQ261" s="2" t="str">
        <f>HYPERLINK("http://www.d20pfsrd.com/magic/all-spells/h/heat-metal","Heat Metal")</f>
        <v>Heat Metal</v>
      </c>
      <c r="BR261" s="1">
        <v>260</v>
      </c>
      <c r="BS261" s="1" t="s">
        <v>104</v>
      </c>
      <c r="BX261" s="1">
        <v>0</v>
      </c>
      <c r="BY261" s="1" t="s">
        <v>104</v>
      </c>
      <c r="BZ261" s="1" t="s">
        <v>104</v>
      </c>
      <c r="CA261" s="1">
        <v>2</v>
      </c>
      <c r="CB261" s="1" t="s">
        <v>104</v>
      </c>
      <c r="CC261" s="1" t="s">
        <v>104</v>
      </c>
      <c r="CD261" s="1">
        <v>2</v>
      </c>
      <c r="CE261" s="1" t="s">
        <v>104</v>
      </c>
      <c r="CF261" s="1" t="s">
        <v>104</v>
      </c>
      <c r="CG261" s="1" t="s">
        <v>104</v>
      </c>
      <c r="CH261" s="1">
        <v>2</v>
      </c>
      <c r="CJ261" s="1">
        <v>0</v>
      </c>
      <c r="CK261" s="1">
        <v>0</v>
      </c>
      <c r="CL261" s="1">
        <v>0</v>
      </c>
      <c r="CM261" s="1" t="s">
        <v>104</v>
      </c>
    </row>
    <row r="262" spans="1:91" ht="14.25" customHeight="1" x14ac:dyDescent="0.3">
      <c r="A262" s="1" t="s">
        <v>1945</v>
      </c>
      <c r="B262" s="1" t="s">
        <v>434</v>
      </c>
      <c r="E262" s="1" t="s">
        <v>1946</v>
      </c>
      <c r="F262" s="1" t="s">
        <v>95</v>
      </c>
      <c r="G262" s="1" t="s">
        <v>127</v>
      </c>
      <c r="H262" s="1">
        <v>0</v>
      </c>
      <c r="I262" s="1" t="s">
        <v>1947</v>
      </c>
      <c r="K262" s="1" t="s">
        <v>1948</v>
      </c>
      <c r="M262" s="1" t="s">
        <v>201</v>
      </c>
      <c r="N262" s="1">
        <v>0</v>
      </c>
      <c r="O262" s="1">
        <v>0</v>
      </c>
      <c r="P262" s="1" t="s">
        <v>100</v>
      </c>
      <c r="Q262" s="1" t="s">
        <v>101</v>
      </c>
      <c r="R262" s="1" t="s">
        <v>1949</v>
      </c>
      <c r="S262" s="1" t="s">
        <v>103</v>
      </c>
      <c r="T262" s="1">
        <v>1</v>
      </c>
      <c r="U262" s="1">
        <v>1</v>
      </c>
      <c r="V262" s="1">
        <v>0</v>
      </c>
      <c r="W262" s="1">
        <v>0</v>
      </c>
      <c r="X262" s="1">
        <v>1</v>
      </c>
      <c r="Y262" s="1" t="s">
        <v>104</v>
      </c>
      <c r="Z262" s="1" t="s">
        <v>104</v>
      </c>
      <c r="AA262" s="1">
        <v>3</v>
      </c>
      <c r="AB262" s="1" t="s">
        <v>104</v>
      </c>
      <c r="AC262" s="1" t="s">
        <v>104</v>
      </c>
      <c r="AD262" s="1" t="s">
        <v>104</v>
      </c>
      <c r="AE262" s="1" t="s">
        <v>104</v>
      </c>
      <c r="AF262" s="1" t="s">
        <v>104</v>
      </c>
      <c r="AG262" s="1" t="s">
        <v>104</v>
      </c>
      <c r="AH262" s="1" t="s">
        <v>104</v>
      </c>
      <c r="AI262" s="1" t="s">
        <v>104</v>
      </c>
      <c r="AJ262" s="1">
        <v>3</v>
      </c>
      <c r="AK262" s="1" t="s">
        <v>104</v>
      </c>
      <c r="AL262" s="1" t="s">
        <v>104</v>
      </c>
      <c r="AM262" s="1" t="s">
        <v>104</v>
      </c>
      <c r="AO262" s="1">
        <v>3</v>
      </c>
      <c r="AQ262" s="1" t="s">
        <v>1950</v>
      </c>
      <c r="AR262" s="1">
        <v>0</v>
      </c>
      <c r="AS262" s="1">
        <v>0</v>
      </c>
      <c r="AT262" s="1">
        <v>0</v>
      </c>
      <c r="AU262" s="1">
        <v>0</v>
      </c>
      <c r="AV262" s="1">
        <v>0</v>
      </c>
      <c r="AW262" s="1">
        <v>0</v>
      </c>
      <c r="AX262" s="1">
        <v>0</v>
      </c>
      <c r="AY262" s="1">
        <v>0</v>
      </c>
      <c r="AZ262" s="1">
        <v>0</v>
      </c>
      <c r="BA262" s="1">
        <v>0</v>
      </c>
      <c r="BB262" s="1">
        <v>0</v>
      </c>
      <c r="BC262" s="1">
        <v>0</v>
      </c>
      <c r="BD262" s="1">
        <v>0</v>
      </c>
      <c r="BE262" s="1">
        <v>0</v>
      </c>
      <c r="BF262" s="1">
        <v>0</v>
      </c>
      <c r="BG262" s="1">
        <v>0</v>
      </c>
      <c r="BH262" s="1">
        <v>0</v>
      </c>
      <c r="BI262" s="1">
        <v>0</v>
      </c>
      <c r="BJ262" s="1">
        <v>0</v>
      </c>
      <c r="BK262" s="1">
        <v>0</v>
      </c>
      <c r="BL262" s="1">
        <v>0</v>
      </c>
      <c r="BM262" s="1">
        <v>0</v>
      </c>
      <c r="BN262" s="1">
        <v>0</v>
      </c>
      <c r="BO262" s="1">
        <v>0</v>
      </c>
      <c r="BP262" s="1">
        <v>0</v>
      </c>
      <c r="BQ262" s="2" t="str">
        <f>HYPERLINK("http://www.d20pfsrd.com/magic/all-spells/h/helping-hand","Helping Hand")</f>
        <v>Helping Hand</v>
      </c>
      <c r="BR262" s="1">
        <v>261</v>
      </c>
      <c r="BS262" s="1" t="s">
        <v>104</v>
      </c>
      <c r="BX262" s="1">
        <v>0</v>
      </c>
      <c r="BY262" s="1" t="s">
        <v>104</v>
      </c>
      <c r="BZ262" s="1" t="s">
        <v>104</v>
      </c>
      <c r="CA262" s="1">
        <v>3</v>
      </c>
      <c r="CB262" s="1">
        <v>2</v>
      </c>
      <c r="CC262" s="1" t="s">
        <v>104</v>
      </c>
      <c r="CD262" s="1" t="s">
        <v>104</v>
      </c>
      <c r="CE262" s="1">
        <v>3</v>
      </c>
      <c r="CF262" s="1" t="s">
        <v>104</v>
      </c>
      <c r="CG262" s="1" t="s">
        <v>104</v>
      </c>
      <c r="CH262" s="1" t="s">
        <v>104</v>
      </c>
      <c r="CJ262" s="1">
        <v>0</v>
      </c>
      <c r="CK262" s="1">
        <v>0</v>
      </c>
      <c r="CL262" s="1">
        <v>0</v>
      </c>
      <c r="CM262" s="1" t="s">
        <v>104</v>
      </c>
    </row>
    <row r="263" spans="1:91" ht="14.25" customHeight="1" x14ac:dyDescent="0.3">
      <c r="A263" s="1" t="s">
        <v>1951</v>
      </c>
      <c r="B263" s="1" t="s">
        <v>92</v>
      </c>
      <c r="C263" s="1" t="s">
        <v>93</v>
      </c>
      <c r="E263" s="1" t="s">
        <v>1952</v>
      </c>
      <c r="F263" s="1" t="s">
        <v>287</v>
      </c>
      <c r="G263" s="1" t="s">
        <v>127</v>
      </c>
      <c r="H263" s="1">
        <v>0</v>
      </c>
      <c r="I263" s="1" t="s">
        <v>117</v>
      </c>
      <c r="K263" s="1" t="s">
        <v>1953</v>
      </c>
      <c r="M263" s="1" t="s">
        <v>1954</v>
      </c>
      <c r="N263" s="1">
        <v>0</v>
      </c>
      <c r="O263" s="1">
        <v>0</v>
      </c>
      <c r="P263" s="1" t="s">
        <v>100</v>
      </c>
      <c r="Q263" s="1" t="s">
        <v>101</v>
      </c>
      <c r="R263" s="1" t="s">
        <v>1955</v>
      </c>
      <c r="S263" s="1" t="s">
        <v>103</v>
      </c>
      <c r="T263" s="1">
        <v>1</v>
      </c>
      <c r="U263" s="1">
        <v>1</v>
      </c>
      <c r="V263" s="1">
        <v>0</v>
      </c>
      <c r="W263" s="1">
        <v>0</v>
      </c>
      <c r="X263" s="1">
        <v>1</v>
      </c>
      <c r="Y263" s="1" t="s">
        <v>104</v>
      </c>
      <c r="Z263" s="1" t="s">
        <v>104</v>
      </c>
      <c r="AA263" s="1">
        <v>6</v>
      </c>
      <c r="AB263" s="1" t="s">
        <v>104</v>
      </c>
      <c r="AC263" s="1" t="s">
        <v>104</v>
      </c>
      <c r="AD263" s="1">
        <v>6</v>
      </c>
      <c r="AE263" s="1" t="s">
        <v>104</v>
      </c>
      <c r="AF263" s="1" t="s">
        <v>104</v>
      </c>
      <c r="AG263" s="1" t="s">
        <v>104</v>
      </c>
      <c r="AH263" s="1" t="s">
        <v>104</v>
      </c>
      <c r="AI263" s="1">
        <v>6</v>
      </c>
      <c r="AJ263" s="1">
        <v>6</v>
      </c>
      <c r="AK263" s="1" t="s">
        <v>104</v>
      </c>
      <c r="AL263" s="1" t="s">
        <v>104</v>
      </c>
      <c r="AM263" s="1" t="s">
        <v>104</v>
      </c>
      <c r="AO263" s="1">
        <v>6</v>
      </c>
      <c r="AP263" s="1" t="s">
        <v>1956</v>
      </c>
      <c r="AQ263" s="1" t="s">
        <v>1957</v>
      </c>
      <c r="AR263" s="1">
        <v>0</v>
      </c>
      <c r="AS263" s="1">
        <v>0</v>
      </c>
      <c r="AT263" s="1">
        <v>0</v>
      </c>
      <c r="AU263" s="1">
        <v>0</v>
      </c>
      <c r="AV263" s="1">
        <v>0</v>
      </c>
      <c r="AW263" s="1">
        <v>0</v>
      </c>
      <c r="AX263" s="1">
        <v>0</v>
      </c>
      <c r="AY263" s="1">
        <v>0</v>
      </c>
      <c r="AZ263" s="1">
        <v>0</v>
      </c>
      <c r="BA263" s="1">
        <v>0</v>
      </c>
      <c r="BB263" s="1">
        <v>0</v>
      </c>
      <c r="BC263" s="1">
        <v>0</v>
      </c>
      <c r="BD263" s="1">
        <v>0</v>
      </c>
      <c r="BE263" s="1">
        <v>0</v>
      </c>
      <c r="BF263" s="1">
        <v>0</v>
      </c>
      <c r="BG263" s="1">
        <v>0</v>
      </c>
      <c r="BH263" s="1">
        <v>0</v>
      </c>
      <c r="BI263" s="1">
        <v>0</v>
      </c>
      <c r="BJ263" s="1">
        <v>0</v>
      </c>
      <c r="BK263" s="1">
        <v>0</v>
      </c>
      <c r="BL263" s="1">
        <v>0</v>
      </c>
      <c r="BM263" s="1">
        <v>0</v>
      </c>
      <c r="BN263" s="1">
        <v>0</v>
      </c>
      <c r="BO263" s="1">
        <v>0</v>
      </c>
      <c r="BP263" s="1">
        <v>0</v>
      </c>
      <c r="BQ263" s="2" t="str">
        <f>HYPERLINK("http://www.d20pfsrd.com/magic/all-spells/h/heroes-feast","Heroes' Feast")</f>
        <v>Heroes' Feast</v>
      </c>
      <c r="BR263" s="1">
        <v>262</v>
      </c>
      <c r="BS263" s="1" t="s">
        <v>104</v>
      </c>
      <c r="BX263" s="1">
        <v>0</v>
      </c>
      <c r="BY263" s="1" t="s">
        <v>104</v>
      </c>
      <c r="BZ263" s="1" t="s">
        <v>104</v>
      </c>
      <c r="CA263" s="1" t="s">
        <v>104</v>
      </c>
      <c r="CB263" s="1" t="s">
        <v>104</v>
      </c>
      <c r="CC263" s="1" t="s">
        <v>104</v>
      </c>
      <c r="CD263" s="1" t="s">
        <v>104</v>
      </c>
      <c r="CE263" s="1" t="s">
        <v>104</v>
      </c>
      <c r="CF263" s="1" t="s">
        <v>104</v>
      </c>
      <c r="CG263" s="1" t="s">
        <v>104</v>
      </c>
      <c r="CH263" s="1" t="s">
        <v>104</v>
      </c>
      <c r="CJ263" s="1">
        <v>0</v>
      </c>
      <c r="CK263" s="1">
        <v>0</v>
      </c>
      <c r="CL263" s="1">
        <v>0</v>
      </c>
      <c r="CM263" s="1" t="s">
        <v>104</v>
      </c>
    </row>
    <row r="264" spans="1:91" ht="14.25" customHeight="1" x14ac:dyDescent="0.3">
      <c r="A264" s="1" t="s">
        <v>1958</v>
      </c>
      <c r="B264" s="1" t="s">
        <v>123</v>
      </c>
      <c r="C264" s="1" t="s">
        <v>124</v>
      </c>
      <c r="D264" s="1" t="s">
        <v>125</v>
      </c>
      <c r="E264" s="1" t="s">
        <v>1959</v>
      </c>
      <c r="F264" s="1" t="s">
        <v>95</v>
      </c>
      <c r="G264" s="1" t="s">
        <v>116</v>
      </c>
      <c r="H264" s="1">
        <v>0</v>
      </c>
      <c r="I264" s="1" t="s">
        <v>128</v>
      </c>
      <c r="L264" s="1" t="s">
        <v>374</v>
      </c>
      <c r="M264" s="1" t="s">
        <v>140</v>
      </c>
      <c r="N264" s="1">
        <v>0</v>
      </c>
      <c r="O264" s="1">
        <v>0</v>
      </c>
      <c r="P264" s="1" t="s">
        <v>375</v>
      </c>
      <c r="Q264" s="1" t="s">
        <v>131</v>
      </c>
      <c r="R264" s="1" t="s">
        <v>1960</v>
      </c>
      <c r="S264" s="1" t="s">
        <v>103</v>
      </c>
      <c r="T264" s="1">
        <v>1</v>
      </c>
      <c r="U264" s="1">
        <v>1</v>
      </c>
      <c r="V264" s="1">
        <v>0</v>
      </c>
      <c r="W264" s="1">
        <v>0</v>
      </c>
      <c r="X264" s="1">
        <v>0</v>
      </c>
      <c r="Y264" s="1">
        <v>3</v>
      </c>
      <c r="Z264" s="1">
        <v>3</v>
      </c>
      <c r="AA264" s="1" t="s">
        <v>104</v>
      </c>
      <c r="AB264" s="1" t="s">
        <v>104</v>
      </c>
      <c r="AC264" s="1" t="s">
        <v>104</v>
      </c>
      <c r="AD264" s="1">
        <v>2</v>
      </c>
      <c r="AE264" s="1" t="s">
        <v>104</v>
      </c>
      <c r="AF264" s="1">
        <v>3</v>
      </c>
      <c r="AG264" s="1">
        <v>3</v>
      </c>
      <c r="AH264" s="1">
        <v>3</v>
      </c>
      <c r="AI264" s="1">
        <v>3</v>
      </c>
      <c r="AJ264" s="1" t="s">
        <v>104</v>
      </c>
      <c r="AK264" s="1" t="s">
        <v>104</v>
      </c>
      <c r="AL264" s="1" t="s">
        <v>104</v>
      </c>
      <c r="AM264" s="1" t="s">
        <v>104</v>
      </c>
      <c r="AO264" s="1">
        <v>3</v>
      </c>
      <c r="AP264" s="1" t="s">
        <v>1961</v>
      </c>
      <c r="AQ264" s="1" t="s">
        <v>1962</v>
      </c>
      <c r="AR264" s="1">
        <v>0</v>
      </c>
      <c r="AS264" s="1">
        <v>0</v>
      </c>
      <c r="AT264" s="1">
        <v>0</v>
      </c>
      <c r="AU264" s="1">
        <v>0</v>
      </c>
      <c r="AV264" s="1">
        <v>0</v>
      </c>
      <c r="AW264" s="1">
        <v>0</v>
      </c>
      <c r="AX264" s="1">
        <v>0</v>
      </c>
      <c r="AY264" s="1">
        <v>0</v>
      </c>
      <c r="AZ264" s="1">
        <v>0</v>
      </c>
      <c r="BA264" s="1">
        <v>0</v>
      </c>
      <c r="BB264" s="1">
        <v>0</v>
      </c>
      <c r="BC264" s="1">
        <v>0</v>
      </c>
      <c r="BD264" s="1">
        <v>0</v>
      </c>
      <c r="BE264" s="1">
        <v>0</v>
      </c>
      <c r="BF264" s="1">
        <v>0</v>
      </c>
      <c r="BG264" s="1">
        <v>0</v>
      </c>
      <c r="BH264" s="1">
        <v>0</v>
      </c>
      <c r="BI264" s="1">
        <v>0</v>
      </c>
      <c r="BJ264" s="1">
        <v>0</v>
      </c>
      <c r="BK264" s="1">
        <v>1</v>
      </c>
      <c r="BL264" s="1">
        <v>0</v>
      </c>
      <c r="BM264" s="1">
        <v>0</v>
      </c>
      <c r="BN264" s="1">
        <v>0</v>
      </c>
      <c r="BO264" s="1">
        <v>0</v>
      </c>
      <c r="BP264" s="1">
        <v>0</v>
      </c>
      <c r="BQ264" s="2" t="str">
        <f>HYPERLINK("http://www.d20pfsrd.com/magic/all-spells/h/heroism","Heroism")</f>
        <v>Heroism</v>
      </c>
      <c r="BR264" s="1">
        <v>263</v>
      </c>
      <c r="BS264" s="1" t="s">
        <v>104</v>
      </c>
      <c r="BT264" s="1" t="s">
        <v>1963</v>
      </c>
      <c r="BV264" s="1" t="s">
        <v>1964</v>
      </c>
      <c r="BW264" s="1" t="s">
        <v>1965</v>
      </c>
      <c r="BX264" s="1">
        <v>1</v>
      </c>
      <c r="BY264" s="1">
        <v>3</v>
      </c>
      <c r="BZ264" s="1" t="s">
        <v>104</v>
      </c>
      <c r="CA264" s="1">
        <v>3</v>
      </c>
      <c r="CB264" s="1">
        <v>2</v>
      </c>
      <c r="CC264" s="1" t="s">
        <v>104</v>
      </c>
      <c r="CD264" s="1" t="s">
        <v>104</v>
      </c>
      <c r="CE264" s="1">
        <v>3</v>
      </c>
      <c r="CF264" s="1" t="s">
        <v>104</v>
      </c>
      <c r="CG264" s="1" t="s">
        <v>104</v>
      </c>
      <c r="CH264" s="1" t="s">
        <v>104</v>
      </c>
      <c r="CJ264" s="1">
        <v>0</v>
      </c>
      <c r="CK264" s="1">
        <v>0</v>
      </c>
      <c r="CL264" s="1">
        <v>0</v>
      </c>
      <c r="CM264" s="1">
        <v>3</v>
      </c>
    </row>
    <row r="265" spans="1:91" ht="14.25" customHeight="1" x14ac:dyDescent="0.3">
      <c r="A265" s="1" t="s">
        <v>1966</v>
      </c>
      <c r="B265" s="1" t="s">
        <v>123</v>
      </c>
      <c r="C265" s="1" t="s">
        <v>124</v>
      </c>
      <c r="D265" s="1" t="s">
        <v>125</v>
      </c>
      <c r="E265" s="1" t="s">
        <v>1967</v>
      </c>
      <c r="F265" s="1" t="s">
        <v>95</v>
      </c>
      <c r="G265" s="1" t="s">
        <v>116</v>
      </c>
      <c r="H265" s="1">
        <v>0</v>
      </c>
      <c r="I265" s="1" t="s">
        <v>128</v>
      </c>
      <c r="L265" s="1" t="s">
        <v>374</v>
      </c>
      <c r="M265" s="1" t="s">
        <v>130</v>
      </c>
      <c r="N265" s="1">
        <v>0</v>
      </c>
      <c r="O265" s="1">
        <v>0</v>
      </c>
      <c r="P265" s="1" t="s">
        <v>375</v>
      </c>
      <c r="Q265" s="1" t="s">
        <v>131</v>
      </c>
      <c r="R265" s="1" t="s">
        <v>1968</v>
      </c>
      <c r="S265" s="1" t="s">
        <v>103</v>
      </c>
      <c r="T265" s="1">
        <v>1</v>
      </c>
      <c r="U265" s="1">
        <v>1</v>
      </c>
      <c r="V265" s="1">
        <v>0</v>
      </c>
      <c r="W265" s="1">
        <v>0</v>
      </c>
      <c r="X265" s="1">
        <v>0</v>
      </c>
      <c r="Y265" s="1">
        <v>6</v>
      </c>
      <c r="Z265" s="1">
        <v>6</v>
      </c>
      <c r="AA265" s="1" t="s">
        <v>104</v>
      </c>
      <c r="AB265" s="1" t="s">
        <v>104</v>
      </c>
      <c r="AC265" s="1" t="s">
        <v>104</v>
      </c>
      <c r="AD265" s="1">
        <v>5</v>
      </c>
      <c r="AE265" s="1" t="s">
        <v>104</v>
      </c>
      <c r="AF265" s="1" t="s">
        <v>104</v>
      </c>
      <c r="AG265" s="1">
        <v>5</v>
      </c>
      <c r="AH265" s="1">
        <v>6</v>
      </c>
      <c r="AI265" s="1" t="s">
        <v>104</v>
      </c>
      <c r="AJ265" s="1" t="s">
        <v>104</v>
      </c>
      <c r="AK265" s="1" t="s">
        <v>104</v>
      </c>
      <c r="AL265" s="1" t="s">
        <v>104</v>
      </c>
      <c r="AM265" s="1" t="s">
        <v>104</v>
      </c>
      <c r="AO265" s="1">
        <v>6</v>
      </c>
      <c r="AP265" s="1" t="s">
        <v>1969</v>
      </c>
      <c r="AQ265" s="1" t="s">
        <v>1970</v>
      </c>
      <c r="AR265" s="1">
        <v>0</v>
      </c>
      <c r="AS265" s="1">
        <v>0</v>
      </c>
      <c r="AT265" s="1">
        <v>0</v>
      </c>
      <c r="AU265" s="1">
        <v>0</v>
      </c>
      <c r="AV265" s="1">
        <v>0</v>
      </c>
      <c r="AW265" s="1">
        <v>0</v>
      </c>
      <c r="AX265" s="1">
        <v>0</v>
      </c>
      <c r="AY265" s="1">
        <v>0</v>
      </c>
      <c r="AZ265" s="1">
        <v>0</v>
      </c>
      <c r="BA265" s="1">
        <v>0</v>
      </c>
      <c r="BB265" s="1">
        <v>0</v>
      </c>
      <c r="BC265" s="1">
        <v>0</v>
      </c>
      <c r="BD265" s="1">
        <v>0</v>
      </c>
      <c r="BE265" s="1">
        <v>0</v>
      </c>
      <c r="BF265" s="1">
        <v>0</v>
      </c>
      <c r="BG265" s="1">
        <v>0</v>
      </c>
      <c r="BH265" s="1">
        <v>0</v>
      </c>
      <c r="BI265" s="1">
        <v>0</v>
      </c>
      <c r="BJ265" s="1">
        <v>0</v>
      </c>
      <c r="BK265" s="1">
        <v>1</v>
      </c>
      <c r="BL265" s="1">
        <v>0</v>
      </c>
      <c r="BM265" s="1">
        <v>0</v>
      </c>
      <c r="BN265" s="1">
        <v>0</v>
      </c>
      <c r="BO265" s="1">
        <v>0</v>
      </c>
      <c r="BP265" s="1">
        <v>0</v>
      </c>
      <c r="BQ265" s="2" t="str">
        <f>HYPERLINK("http://www.d20pfsrd.com/magic/all-spells/h/heroism","Heroism, Greater")</f>
        <v>Heroism, Greater</v>
      </c>
      <c r="BR265" s="1">
        <v>264</v>
      </c>
      <c r="BS265" s="1" t="s">
        <v>104</v>
      </c>
      <c r="BT265" s="1" t="s">
        <v>1971</v>
      </c>
      <c r="BU265" s="1" t="s">
        <v>1972</v>
      </c>
      <c r="BX265" s="1">
        <v>0</v>
      </c>
      <c r="BY265" s="1" t="s">
        <v>104</v>
      </c>
      <c r="BZ265" s="1" t="s">
        <v>104</v>
      </c>
      <c r="CA265" s="1">
        <v>6</v>
      </c>
      <c r="CB265" s="1" t="s">
        <v>104</v>
      </c>
      <c r="CC265" s="1" t="s">
        <v>104</v>
      </c>
      <c r="CD265" s="1" t="s">
        <v>104</v>
      </c>
      <c r="CE265" s="1">
        <v>6</v>
      </c>
      <c r="CF265" s="1" t="s">
        <v>104</v>
      </c>
      <c r="CG265" s="1" t="s">
        <v>104</v>
      </c>
      <c r="CH265" s="1" t="s">
        <v>104</v>
      </c>
      <c r="CJ265" s="1">
        <v>0</v>
      </c>
      <c r="CK265" s="1">
        <v>0</v>
      </c>
      <c r="CL265" s="1">
        <v>0</v>
      </c>
      <c r="CM265" s="1">
        <v>6</v>
      </c>
    </row>
    <row r="266" spans="1:91" ht="14.25" customHeight="1" x14ac:dyDescent="0.3">
      <c r="A266" s="1" t="s">
        <v>1973</v>
      </c>
      <c r="B266" s="1" t="s">
        <v>162</v>
      </c>
      <c r="E266" s="1" t="s">
        <v>1404</v>
      </c>
      <c r="F266" s="1" t="s">
        <v>95</v>
      </c>
      <c r="G266" s="1" t="s">
        <v>1974</v>
      </c>
      <c r="H266" s="1">
        <v>0</v>
      </c>
      <c r="I266" s="1" t="s">
        <v>128</v>
      </c>
      <c r="L266" s="1" t="s">
        <v>1975</v>
      </c>
      <c r="M266" s="1" t="s">
        <v>140</v>
      </c>
      <c r="N266" s="1">
        <v>1</v>
      </c>
      <c r="O266" s="1">
        <v>0</v>
      </c>
      <c r="P266" s="1" t="s">
        <v>375</v>
      </c>
      <c r="Q266" s="1" t="s">
        <v>184</v>
      </c>
      <c r="R266" s="1" t="s">
        <v>1976</v>
      </c>
      <c r="S266" s="1" t="s">
        <v>103</v>
      </c>
      <c r="T266" s="1">
        <v>0</v>
      </c>
      <c r="U266" s="1">
        <v>1</v>
      </c>
      <c r="V266" s="1">
        <v>0</v>
      </c>
      <c r="W266" s="1">
        <v>0</v>
      </c>
      <c r="X266" s="1">
        <v>1</v>
      </c>
      <c r="Y266" s="1" t="s">
        <v>104</v>
      </c>
      <c r="Z266" s="1" t="s">
        <v>104</v>
      </c>
      <c r="AA266" s="1" t="s">
        <v>104</v>
      </c>
      <c r="AB266" s="1">
        <v>1</v>
      </c>
      <c r="AC266" s="1">
        <v>1</v>
      </c>
      <c r="AD266" s="1" t="s">
        <v>104</v>
      </c>
      <c r="AE266" s="1" t="s">
        <v>104</v>
      </c>
      <c r="AF266" s="1" t="s">
        <v>104</v>
      </c>
      <c r="AG266" s="1" t="s">
        <v>104</v>
      </c>
      <c r="AH266" s="1" t="s">
        <v>104</v>
      </c>
      <c r="AI266" s="1" t="s">
        <v>104</v>
      </c>
      <c r="AJ266" s="1" t="s">
        <v>104</v>
      </c>
      <c r="AK266" s="1" t="s">
        <v>104</v>
      </c>
      <c r="AL266" s="1" t="s">
        <v>104</v>
      </c>
      <c r="AM266" s="1" t="s">
        <v>104</v>
      </c>
      <c r="AO266" s="1">
        <v>1</v>
      </c>
      <c r="AQ266" s="1" t="s">
        <v>1977</v>
      </c>
      <c r="AR266" s="1">
        <v>0</v>
      </c>
      <c r="AS266" s="1">
        <v>0</v>
      </c>
      <c r="AT266" s="1">
        <v>0</v>
      </c>
      <c r="AU266" s="1">
        <v>0</v>
      </c>
      <c r="AV266" s="1">
        <v>0</v>
      </c>
      <c r="AW266" s="1">
        <v>0</v>
      </c>
      <c r="AX266" s="1">
        <v>0</v>
      </c>
      <c r="AY266" s="1">
        <v>0</v>
      </c>
      <c r="AZ266" s="1">
        <v>0</v>
      </c>
      <c r="BA266" s="1">
        <v>0</v>
      </c>
      <c r="BB266" s="1">
        <v>0</v>
      </c>
      <c r="BC266" s="1">
        <v>0</v>
      </c>
      <c r="BD266" s="1">
        <v>0</v>
      </c>
      <c r="BE266" s="1">
        <v>0</v>
      </c>
      <c r="BF266" s="1">
        <v>0</v>
      </c>
      <c r="BG266" s="1">
        <v>0</v>
      </c>
      <c r="BH266" s="1">
        <v>0</v>
      </c>
      <c r="BI266" s="1">
        <v>0</v>
      </c>
      <c r="BJ266" s="1">
        <v>0</v>
      </c>
      <c r="BK266" s="1">
        <v>0</v>
      </c>
      <c r="BL266" s="1">
        <v>0</v>
      </c>
      <c r="BM266" s="1">
        <v>0</v>
      </c>
      <c r="BN266" s="1">
        <v>0</v>
      </c>
      <c r="BO266" s="1">
        <v>0</v>
      </c>
      <c r="BP266" s="1">
        <v>0</v>
      </c>
      <c r="BQ266" s="2" t="str">
        <f>HYPERLINK("http://www.d20pfsrd.com/magic/all-spells/h/hide-from-animals","Hide from Animals")</f>
        <v>Hide from Animals</v>
      </c>
      <c r="BR266" s="1">
        <v>265</v>
      </c>
      <c r="BS266" s="1" t="s">
        <v>104</v>
      </c>
      <c r="BX266" s="1">
        <v>0</v>
      </c>
      <c r="BY266" s="1" t="s">
        <v>104</v>
      </c>
      <c r="BZ266" s="1">
        <v>1</v>
      </c>
      <c r="CA266" s="1" t="s">
        <v>104</v>
      </c>
      <c r="CB266" s="1" t="s">
        <v>104</v>
      </c>
      <c r="CC266" s="1" t="s">
        <v>104</v>
      </c>
      <c r="CD266" s="1" t="s">
        <v>104</v>
      </c>
      <c r="CE266" s="1" t="s">
        <v>104</v>
      </c>
      <c r="CF266" s="1" t="s">
        <v>104</v>
      </c>
      <c r="CG266" s="1" t="s">
        <v>104</v>
      </c>
      <c r="CH266" s="1">
        <v>1</v>
      </c>
      <c r="CJ266" s="1">
        <v>0</v>
      </c>
      <c r="CK266" s="1">
        <v>0</v>
      </c>
      <c r="CL266" s="1">
        <v>0</v>
      </c>
      <c r="CM266" s="1" t="s">
        <v>104</v>
      </c>
    </row>
    <row r="267" spans="1:91" ht="14.25" customHeight="1" x14ac:dyDescent="0.3">
      <c r="A267" s="1" t="s">
        <v>1978</v>
      </c>
      <c r="B267" s="1" t="s">
        <v>162</v>
      </c>
      <c r="E267" s="1" t="s">
        <v>1979</v>
      </c>
      <c r="F267" s="1" t="s">
        <v>95</v>
      </c>
      <c r="G267" s="1" t="s">
        <v>127</v>
      </c>
      <c r="H267" s="1">
        <v>0</v>
      </c>
      <c r="I267" s="1" t="s">
        <v>128</v>
      </c>
      <c r="L267" s="1" t="s">
        <v>1980</v>
      </c>
      <c r="M267" s="1" t="s">
        <v>140</v>
      </c>
      <c r="N267" s="1">
        <v>1</v>
      </c>
      <c r="O267" s="1">
        <v>0</v>
      </c>
      <c r="P267" s="1" t="s">
        <v>1981</v>
      </c>
      <c r="Q267" s="1" t="s">
        <v>184</v>
      </c>
      <c r="R267" s="1" t="s">
        <v>1982</v>
      </c>
      <c r="S267" s="1" t="s">
        <v>103</v>
      </c>
      <c r="T267" s="1">
        <v>1</v>
      </c>
      <c r="U267" s="1">
        <v>1</v>
      </c>
      <c r="V267" s="1">
        <v>0</v>
      </c>
      <c r="W267" s="1">
        <v>0</v>
      </c>
      <c r="X267" s="1">
        <v>1</v>
      </c>
      <c r="Y267" s="1" t="s">
        <v>104</v>
      </c>
      <c r="Z267" s="1" t="s">
        <v>104</v>
      </c>
      <c r="AA267" s="1">
        <v>1</v>
      </c>
      <c r="AB267" s="1" t="s">
        <v>104</v>
      </c>
      <c r="AC267" s="1" t="s">
        <v>104</v>
      </c>
      <c r="AD267" s="1" t="s">
        <v>104</v>
      </c>
      <c r="AE267" s="1" t="s">
        <v>104</v>
      </c>
      <c r="AF267" s="1" t="s">
        <v>104</v>
      </c>
      <c r="AG267" s="1" t="s">
        <v>104</v>
      </c>
      <c r="AH267" s="1" t="s">
        <v>104</v>
      </c>
      <c r="AI267" s="1">
        <v>1</v>
      </c>
      <c r="AJ267" s="1">
        <v>1</v>
      </c>
      <c r="AK267" s="1" t="s">
        <v>104</v>
      </c>
      <c r="AL267" s="1" t="s">
        <v>104</v>
      </c>
      <c r="AM267" s="1" t="s">
        <v>104</v>
      </c>
      <c r="AO267" s="1">
        <v>1</v>
      </c>
      <c r="AQ267" s="1" t="s">
        <v>1983</v>
      </c>
      <c r="AR267" s="1">
        <v>0</v>
      </c>
      <c r="AS267" s="1">
        <v>0</v>
      </c>
      <c r="AT267" s="1">
        <v>0</v>
      </c>
      <c r="AU267" s="1">
        <v>0</v>
      </c>
      <c r="AV267" s="1">
        <v>0</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0</v>
      </c>
      <c r="BO267" s="1">
        <v>0</v>
      </c>
      <c r="BP267" s="1">
        <v>0</v>
      </c>
      <c r="BQ267" s="2" t="str">
        <f>HYPERLINK("http://www.d20pfsrd.com/magic/all-spells/h/hide-from-undead","Hide from Undead")</f>
        <v>Hide from Undead</v>
      </c>
      <c r="BR267" s="1">
        <v>266</v>
      </c>
      <c r="BS267" s="1" t="s">
        <v>104</v>
      </c>
      <c r="BX267" s="1">
        <v>0</v>
      </c>
      <c r="BY267" s="1" t="s">
        <v>104</v>
      </c>
      <c r="BZ267" s="1" t="s">
        <v>104</v>
      </c>
      <c r="CA267" s="1" t="s">
        <v>104</v>
      </c>
      <c r="CB267" s="1" t="s">
        <v>104</v>
      </c>
      <c r="CC267" s="1" t="s">
        <v>104</v>
      </c>
      <c r="CD267" s="1" t="s">
        <v>104</v>
      </c>
      <c r="CE267" s="1" t="s">
        <v>104</v>
      </c>
      <c r="CF267" s="1" t="s">
        <v>104</v>
      </c>
      <c r="CG267" s="1" t="s">
        <v>104</v>
      </c>
      <c r="CH267" s="1" t="s">
        <v>104</v>
      </c>
      <c r="CJ267" s="1">
        <v>0</v>
      </c>
      <c r="CK267" s="1">
        <v>0</v>
      </c>
      <c r="CL267" s="1">
        <v>0</v>
      </c>
      <c r="CM267" s="1" t="s">
        <v>104</v>
      </c>
    </row>
    <row r="268" spans="1:91" ht="14.25" customHeight="1" x14ac:dyDescent="0.3">
      <c r="A268" s="1" t="s">
        <v>1984</v>
      </c>
      <c r="B268" s="1" t="s">
        <v>123</v>
      </c>
      <c r="C268" s="1" t="s">
        <v>124</v>
      </c>
      <c r="D268" s="1" t="s">
        <v>125</v>
      </c>
      <c r="E268" s="1" t="s">
        <v>1985</v>
      </c>
      <c r="F268" s="1" t="s">
        <v>95</v>
      </c>
      <c r="G268" s="1" t="s">
        <v>1986</v>
      </c>
      <c r="H268" s="1">
        <v>0</v>
      </c>
      <c r="I268" s="1" t="s">
        <v>117</v>
      </c>
      <c r="L268" s="1" t="s">
        <v>1987</v>
      </c>
      <c r="M268" s="1" t="s">
        <v>111</v>
      </c>
      <c r="N268" s="1">
        <v>0</v>
      </c>
      <c r="O268" s="1">
        <v>0</v>
      </c>
      <c r="P268" s="1" t="s">
        <v>211</v>
      </c>
      <c r="Q268" s="1" t="s">
        <v>184</v>
      </c>
      <c r="R268" s="1" t="s">
        <v>1988</v>
      </c>
      <c r="S268" s="1" t="s">
        <v>103</v>
      </c>
      <c r="T268" s="1">
        <v>1</v>
      </c>
      <c r="U268" s="1">
        <v>1</v>
      </c>
      <c r="V268" s="1">
        <v>1</v>
      </c>
      <c r="W268" s="1">
        <v>0</v>
      </c>
      <c r="X268" s="1">
        <v>0</v>
      </c>
      <c r="Y268" s="1">
        <v>2</v>
      </c>
      <c r="Z268" s="1">
        <v>2</v>
      </c>
      <c r="AA268" s="1" t="s">
        <v>104</v>
      </c>
      <c r="AB268" s="1" t="s">
        <v>104</v>
      </c>
      <c r="AC268" s="1" t="s">
        <v>104</v>
      </c>
      <c r="AD268" s="1">
        <v>1</v>
      </c>
      <c r="AE268" s="1" t="s">
        <v>104</v>
      </c>
      <c r="AF268" s="1" t="s">
        <v>104</v>
      </c>
      <c r="AG268" s="1" t="s">
        <v>104</v>
      </c>
      <c r="AH268" s="1" t="s">
        <v>104</v>
      </c>
      <c r="AI268" s="1" t="s">
        <v>104</v>
      </c>
      <c r="AJ268" s="1" t="s">
        <v>104</v>
      </c>
      <c r="AK268" s="1" t="s">
        <v>104</v>
      </c>
      <c r="AL268" s="1" t="s">
        <v>104</v>
      </c>
      <c r="AM268" s="1" t="s">
        <v>104</v>
      </c>
      <c r="AO268" s="1">
        <v>2</v>
      </c>
      <c r="AP268" s="1" t="s">
        <v>1989</v>
      </c>
      <c r="AQ268" s="1" t="s">
        <v>1990</v>
      </c>
      <c r="AR268" s="1">
        <v>0</v>
      </c>
      <c r="AS268" s="1">
        <v>0</v>
      </c>
      <c r="AT268" s="1">
        <v>0</v>
      </c>
      <c r="AU268" s="1">
        <v>0</v>
      </c>
      <c r="AV268" s="1">
        <v>0</v>
      </c>
      <c r="AW268" s="1">
        <v>0</v>
      </c>
      <c r="AX268" s="1">
        <v>0</v>
      </c>
      <c r="AY268" s="1">
        <v>0</v>
      </c>
      <c r="AZ268" s="1">
        <v>0</v>
      </c>
      <c r="BA268" s="1">
        <v>0</v>
      </c>
      <c r="BB268" s="1">
        <v>0</v>
      </c>
      <c r="BC268" s="1">
        <v>0</v>
      </c>
      <c r="BD268" s="1">
        <v>0</v>
      </c>
      <c r="BE268" s="1">
        <v>0</v>
      </c>
      <c r="BF268" s="1">
        <v>0</v>
      </c>
      <c r="BG268" s="1">
        <v>0</v>
      </c>
      <c r="BH268" s="1">
        <v>0</v>
      </c>
      <c r="BI268" s="1">
        <v>0</v>
      </c>
      <c r="BJ268" s="1">
        <v>0</v>
      </c>
      <c r="BK268" s="1">
        <v>1</v>
      </c>
      <c r="BL268" s="1">
        <v>0</v>
      </c>
      <c r="BM268" s="1">
        <v>0</v>
      </c>
      <c r="BN268" s="1">
        <v>0</v>
      </c>
      <c r="BO268" s="1">
        <v>0</v>
      </c>
      <c r="BP268" s="1">
        <v>0</v>
      </c>
      <c r="BQ268" s="2" t="str">
        <f>HYPERLINK("http://www.d20pfsrd.com/magic/all-spells/h/hideous-laughter","Hideous Laughter")</f>
        <v>Hideous Laughter</v>
      </c>
      <c r="BR268" s="1">
        <v>267</v>
      </c>
      <c r="BS268" s="1" t="s">
        <v>104</v>
      </c>
      <c r="BT268" s="1" t="s">
        <v>1991</v>
      </c>
      <c r="BU268" s="1" t="s">
        <v>1992</v>
      </c>
      <c r="BX268" s="1">
        <v>0</v>
      </c>
      <c r="BY268" s="1" t="s">
        <v>104</v>
      </c>
      <c r="BZ268" s="1" t="s">
        <v>104</v>
      </c>
      <c r="CA268" s="1">
        <v>2</v>
      </c>
      <c r="CB268" s="1">
        <v>2</v>
      </c>
      <c r="CC268" s="1">
        <v>1</v>
      </c>
      <c r="CD268" s="1" t="s">
        <v>104</v>
      </c>
      <c r="CE268" s="1" t="s">
        <v>104</v>
      </c>
      <c r="CF268" s="1" t="s">
        <v>104</v>
      </c>
      <c r="CG268" s="1" t="s">
        <v>104</v>
      </c>
      <c r="CH268" s="1" t="s">
        <v>104</v>
      </c>
      <c r="CJ268" s="1">
        <v>0</v>
      </c>
      <c r="CK268" s="1">
        <v>0</v>
      </c>
      <c r="CL268" s="1">
        <v>0</v>
      </c>
      <c r="CM268" s="1" t="s">
        <v>104</v>
      </c>
    </row>
    <row r="269" spans="1:91" ht="14.25" customHeight="1" x14ac:dyDescent="0.3">
      <c r="A269" s="1" t="s">
        <v>1993</v>
      </c>
      <c r="B269" s="1" t="s">
        <v>123</v>
      </c>
      <c r="C269" s="1" t="s">
        <v>124</v>
      </c>
      <c r="D269" s="1" t="s">
        <v>125</v>
      </c>
      <c r="E269" s="1" t="s">
        <v>1994</v>
      </c>
      <c r="F269" s="1" t="s">
        <v>95</v>
      </c>
      <c r="G269" s="1" t="s">
        <v>1995</v>
      </c>
      <c r="H269" s="1">
        <v>0</v>
      </c>
      <c r="I269" s="1" t="s">
        <v>109</v>
      </c>
      <c r="L269" s="1" t="s">
        <v>637</v>
      </c>
      <c r="M269" s="1" t="s">
        <v>1996</v>
      </c>
      <c r="N269" s="1">
        <v>1</v>
      </c>
      <c r="O269" s="1">
        <v>0</v>
      </c>
      <c r="P269" s="1" t="s">
        <v>418</v>
      </c>
      <c r="Q269" s="1" t="s">
        <v>184</v>
      </c>
      <c r="R269" s="1" t="s">
        <v>1997</v>
      </c>
      <c r="S269" s="1" t="s">
        <v>103</v>
      </c>
      <c r="T269" s="1">
        <v>1</v>
      </c>
      <c r="U269" s="1">
        <v>1</v>
      </c>
      <c r="V269" s="1">
        <v>0</v>
      </c>
      <c r="W269" s="1">
        <v>1</v>
      </c>
      <c r="X269" s="1">
        <v>1</v>
      </c>
      <c r="Y269" s="1">
        <v>3</v>
      </c>
      <c r="Z269" s="1">
        <v>3</v>
      </c>
      <c r="AA269" s="1">
        <v>2</v>
      </c>
      <c r="AB269" s="1" t="s">
        <v>104</v>
      </c>
      <c r="AC269" s="1" t="s">
        <v>104</v>
      </c>
      <c r="AD269" s="1">
        <v>2</v>
      </c>
      <c r="AE269" s="1" t="s">
        <v>104</v>
      </c>
      <c r="AF269" s="1" t="s">
        <v>104</v>
      </c>
      <c r="AG269" s="1" t="s">
        <v>104</v>
      </c>
      <c r="AH269" s="1">
        <v>2</v>
      </c>
      <c r="AI269" s="1">
        <v>2</v>
      </c>
      <c r="AJ269" s="1">
        <v>2</v>
      </c>
      <c r="AK269" s="1">
        <v>2</v>
      </c>
      <c r="AL269" s="1" t="s">
        <v>104</v>
      </c>
      <c r="AM269" s="1" t="s">
        <v>104</v>
      </c>
      <c r="AO269" s="1">
        <v>3</v>
      </c>
      <c r="AQ269" s="1" t="s">
        <v>1998</v>
      </c>
      <c r="AR269" s="1">
        <v>0</v>
      </c>
      <c r="AS269" s="1">
        <v>0</v>
      </c>
      <c r="AT269" s="1">
        <v>0</v>
      </c>
      <c r="AU269" s="1">
        <v>0</v>
      </c>
      <c r="AV269" s="1">
        <v>0</v>
      </c>
      <c r="AW269" s="1">
        <v>0</v>
      </c>
      <c r="AX269" s="1">
        <v>0</v>
      </c>
      <c r="AY269" s="1">
        <v>0</v>
      </c>
      <c r="AZ269" s="1">
        <v>0</v>
      </c>
      <c r="BA269" s="1">
        <v>0</v>
      </c>
      <c r="BB269" s="1">
        <v>0</v>
      </c>
      <c r="BC269" s="1">
        <v>0</v>
      </c>
      <c r="BD269" s="1">
        <v>0</v>
      </c>
      <c r="BE269" s="1">
        <v>0</v>
      </c>
      <c r="BF269" s="1">
        <v>0</v>
      </c>
      <c r="BG269" s="1">
        <v>0</v>
      </c>
      <c r="BH269" s="1">
        <v>0</v>
      </c>
      <c r="BI269" s="1">
        <v>0</v>
      </c>
      <c r="BJ269" s="1">
        <v>0</v>
      </c>
      <c r="BK269" s="1">
        <v>1</v>
      </c>
      <c r="BL269" s="1">
        <v>0</v>
      </c>
      <c r="BM269" s="1">
        <v>0</v>
      </c>
      <c r="BN269" s="1">
        <v>0</v>
      </c>
      <c r="BO269" s="1">
        <v>0</v>
      </c>
      <c r="BP269" s="1">
        <v>0</v>
      </c>
      <c r="BQ269" s="2" t="str">
        <f>HYPERLINK("http://www.d20pfsrd.com/magic/all-spells/h/hold-person","Hold Person")</f>
        <v>Hold Person</v>
      </c>
      <c r="BR269" s="1">
        <v>268</v>
      </c>
      <c r="BS269" s="1" t="s">
        <v>104</v>
      </c>
      <c r="BX269" s="1">
        <v>0</v>
      </c>
      <c r="BY269" s="1">
        <v>3</v>
      </c>
      <c r="BZ269" s="1">
        <v>2</v>
      </c>
      <c r="CA269" s="1">
        <v>2</v>
      </c>
      <c r="CB269" s="1">
        <v>2</v>
      </c>
      <c r="CC269" s="1">
        <v>2</v>
      </c>
      <c r="CD269" s="1">
        <v>3</v>
      </c>
      <c r="CE269" s="1" t="s">
        <v>104</v>
      </c>
      <c r="CF269" s="1" t="s">
        <v>104</v>
      </c>
      <c r="CG269" s="1" t="s">
        <v>104</v>
      </c>
      <c r="CH269" s="1" t="s">
        <v>104</v>
      </c>
      <c r="CJ269" s="1">
        <v>0</v>
      </c>
      <c r="CK269" s="1">
        <v>0</v>
      </c>
      <c r="CL269" s="1">
        <v>0</v>
      </c>
      <c r="CM269" s="1" t="s">
        <v>104</v>
      </c>
    </row>
    <row r="270" spans="1:91" ht="14.25" customHeight="1" x14ac:dyDescent="0.3">
      <c r="A270" s="1" t="s">
        <v>1999</v>
      </c>
      <c r="B270" s="1" t="s">
        <v>123</v>
      </c>
      <c r="C270" s="1" t="s">
        <v>124</v>
      </c>
      <c r="D270" s="1" t="s">
        <v>125</v>
      </c>
      <c r="E270" s="1" t="s">
        <v>2000</v>
      </c>
      <c r="F270" s="1" t="s">
        <v>95</v>
      </c>
      <c r="G270" s="1" t="s">
        <v>2001</v>
      </c>
      <c r="H270" s="1">
        <v>0</v>
      </c>
      <c r="I270" s="1" t="s">
        <v>109</v>
      </c>
      <c r="L270" s="1" t="s">
        <v>417</v>
      </c>
      <c r="M270" s="1" t="s">
        <v>1996</v>
      </c>
      <c r="N270" s="1">
        <v>1</v>
      </c>
      <c r="O270" s="1">
        <v>0</v>
      </c>
      <c r="P270" s="1" t="s">
        <v>418</v>
      </c>
      <c r="Q270" s="1" t="s">
        <v>184</v>
      </c>
      <c r="R270" s="1" t="s">
        <v>2002</v>
      </c>
      <c r="S270" s="1" t="s">
        <v>103</v>
      </c>
      <c r="T270" s="1">
        <v>1</v>
      </c>
      <c r="U270" s="1">
        <v>1</v>
      </c>
      <c r="V270" s="1">
        <v>1</v>
      </c>
      <c r="W270" s="1">
        <v>0</v>
      </c>
      <c r="X270" s="1">
        <v>1</v>
      </c>
      <c r="Y270" s="1">
        <v>5</v>
      </c>
      <c r="Z270" s="1">
        <v>5</v>
      </c>
      <c r="AA270" s="1" t="s">
        <v>104</v>
      </c>
      <c r="AB270" s="1" t="s">
        <v>104</v>
      </c>
      <c r="AC270" s="1" t="s">
        <v>104</v>
      </c>
      <c r="AD270" s="1">
        <v>4</v>
      </c>
      <c r="AE270" s="1" t="s">
        <v>104</v>
      </c>
      <c r="AF270" s="1" t="s">
        <v>104</v>
      </c>
      <c r="AG270" s="1">
        <v>4</v>
      </c>
      <c r="AH270" s="1">
        <v>5</v>
      </c>
      <c r="AI270" s="1">
        <v>4</v>
      </c>
      <c r="AJ270" s="1" t="s">
        <v>104</v>
      </c>
      <c r="AK270" s="1" t="s">
        <v>104</v>
      </c>
      <c r="AL270" s="1" t="s">
        <v>104</v>
      </c>
      <c r="AM270" s="1" t="s">
        <v>104</v>
      </c>
      <c r="AO270" s="1">
        <v>5</v>
      </c>
      <c r="AP270" s="1" t="s">
        <v>2003</v>
      </c>
      <c r="AQ270" s="1" t="s">
        <v>2004</v>
      </c>
      <c r="AR270" s="1">
        <v>0</v>
      </c>
      <c r="AS270" s="1">
        <v>0</v>
      </c>
      <c r="AT270" s="1">
        <v>0</v>
      </c>
      <c r="AU270" s="1">
        <v>0</v>
      </c>
      <c r="AV270" s="1">
        <v>0</v>
      </c>
      <c r="AW270" s="1">
        <v>0</v>
      </c>
      <c r="AX270" s="1">
        <v>0</v>
      </c>
      <c r="AY270" s="1">
        <v>0</v>
      </c>
      <c r="AZ270" s="1">
        <v>0</v>
      </c>
      <c r="BA270" s="1">
        <v>0</v>
      </c>
      <c r="BB270" s="1">
        <v>0</v>
      </c>
      <c r="BC270" s="1">
        <v>0</v>
      </c>
      <c r="BD270" s="1">
        <v>0</v>
      </c>
      <c r="BE270" s="1">
        <v>0</v>
      </c>
      <c r="BF270" s="1">
        <v>0</v>
      </c>
      <c r="BG270" s="1">
        <v>0</v>
      </c>
      <c r="BH270" s="1">
        <v>0</v>
      </c>
      <c r="BI270" s="1">
        <v>0</v>
      </c>
      <c r="BJ270" s="1">
        <v>0</v>
      </c>
      <c r="BK270" s="1">
        <v>1</v>
      </c>
      <c r="BL270" s="1">
        <v>0</v>
      </c>
      <c r="BM270" s="1">
        <v>0</v>
      </c>
      <c r="BN270" s="1">
        <v>0</v>
      </c>
      <c r="BO270" s="1">
        <v>0</v>
      </c>
      <c r="BP270" s="1">
        <v>0</v>
      </c>
      <c r="BQ270" s="2" t="str">
        <f>HYPERLINK("http://www.d20pfsrd.com/magic/all-spells/h/hold-monster","Hold Monster")</f>
        <v>Hold Monster</v>
      </c>
      <c r="BR270" s="1">
        <v>269</v>
      </c>
      <c r="BS270" s="1" t="s">
        <v>104</v>
      </c>
      <c r="BT270" s="1" t="s">
        <v>2005</v>
      </c>
      <c r="BX270" s="1">
        <v>0</v>
      </c>
      <c r="BY270" s="1" t="s">
        <v>104</v>
      </c>
      <c r="BZ270" s="1" t="s">
        <v>104</v>
      </c>
      <c r="CA270" s="1">
        <v>5</v>
      </c>
      <c r="CB270" s="1">
        <v>4</v>
      </c>
      <c r="CC270" s="1">
        <v>4</v>
      </c>
      <c r="CD270" s="1">
        <v>4</v>
      </c>
      <c r="CE270" s="1" t="s">
        <v>104</v>
      </c>
      <c r="CF270" s="1" t="s">
        <v>104</v>
      </c>
      <c r="CG270" s="1" t="s">
        <v>104</v>
      </c>
      <c r="CH270" s="1" t="s">
        <v>104</v>
      </c>
      <c r="CJ270" s="1">
        <v>0</v>
      </c>
      <c r="CK270" s="1">
        <v>0</v>
      </c>
      <c r="CL270" s="1">
        <v>0</v>
      </c>
      <c r="CM270" s="1">
        <v>5</v>
      </c>
    </row>
    <row r="271" spans="1:91" ht="14.25" customHeight="1" x14ac:dyDescent="0.3">
      <c r="A271" s="1" t="s">
        <v>2006</v>
      </c>
      <c r="B271" s="1" t="s">
        <v>123</v>
      </c>
      <c r="C271" s="1" t="s">
        <v>124</v>
      </c>
      <c r="D271" s="1" t="s">
        <v>125</v>
      </c>
      <c r="E271" s="1" t="s">
        <v>2007</v>
      </c>
      <c r="F271" s="1" t="s">
        <v>95</v>
      </c>
      <c r="G271" s="1" t="s">
        <v>2001</v>
      </c>
      <c r="H271" s="1">
        <v>0</v>
      </c>
      <c r="I271" s="1" t="s">
        <v>109</v>
      </c>
      <c r="L271" s="1" t="s">
        <v>1930</v>
      </c>
      <c r="M271" s="1" t="s">
        <v>1996</v>
      </c>
      <c r="N271" s="1">
        <v>1</v>
      </c>
      <c r="O271" s="1">
        <v>0</v>
      </c>
      <c r="P271" s="1" t="s">
        <v>418</v>
      </c>
      <c r="Q271" s="1" t="s">
        <v>184</v>
      </c>
      <c r="R271" s="1" t="s">
        <v>2008</v>
      </c>
      <c r="S271" s="1" t="s">
        <v>103</v>
      </c>
      <c r="T271" s="1">
        <v>1</v>
      </c>
      <c r="U271" s="1">
        <v>1</v>
      </c>
      <c r="V271" s="1">
        <v>1</v>
      </c>
      <c r="W271" s="1">
        <v>0</v>
      </c>
      <c r="X271" s="1">
        <v>1</v>
      </c>
      <c r="Y271" s="1">
        <v>9</v>
      </c>
      <c r="Z271" s="1">
        <v>9</v>
      </c>
      <c r="AA271" s="1" t="s">
        <v>104</v>
      </c>
      <c r="AB271" s="1" t="s">
        <v>104</v>
      </c>
      <c r="AC271" s="1" t="s">
        <v>104</v>
      </c>
      <c r="AD271" s="1" t="s">
        <v>104</v>
      </c>
      <c r="AE271" s="1" t="s">
        <v>104</v>
      </c>
      <c r="AF271" s="1" t="s">
        <v>104</v>
      </c>
      <c r="AG271" s="1" t="s">
        <v>104</v>
      </c>
      <c r="AH271" s="1">
        <v>9</v>
      </c>
      <c r="AI271" s="1" t="s">
        <v>104</v>
      </c>
      <c r="AJ271" s="1" t="s">
        <v>104</v>
      </c>
      <c r="AK271" s="1" t="s">
        <v>104</v>
      </c>
      <c r="AL271" s="1" t="s">
        <v>104</v>
      </c>
      <c r="AM271" s="1" t="s">
        <v>104</v>
      </c>
      <c r="AO271" s="1">
        <v>9</v>
      </c>
      <c r="AP271" s="1" t="s">
        <v>2009</v>
      </c>
      <c r="AQ271" s="1" t="s">
        <v>2010</v>
      </c>
      <c r="AR271" s="1">
        <v>0</v>
      </c>
      <c r="AS271" s="1">
        <v>0</v>
      </c>
      <c r="AT271" s="1">
        <v>0</v>
      </c>
      <c r="AU271" s="1">
        <v>0</v>
      </c>
      <c r="AV271" s="1">
        <v>0</v>
      </c>
      <c r="AW271" s="1">
        <v>0</v>
      </c>
      <c r="AX271" s="1">
        <v>0</v>
      </c>
      <c r="AY271" s="1">
        <v>0</v>
      </c>
      <c r="AZ271" s="1">
        <v>0</v>
      </c>
      <c r="BA271" s="1">
        <v>0</v>
      </c>
      <c r="BB271" s="1">
        <v>0</v>
      </c>
      <c r="BC271" s="1">
        <v>0</v>
      </c>
      <c r="BD271" s="1">
        <v>0</v>
      </c>
      <c r="BE271" s="1">
        <v>0</v>
      </c>
      <c r="BF271" s="1">
        <v>0</v>
      </c>
      <c r="BG271" s="1">
        <v>0</v>
      </c>
      <c r="BH271" s="1">
        <v>0</v>
      </c>
      <c r="BI271" s="1">
        <v>0</v>
      </c>
      <c r="BJ271" s="1">
        <v>0</v>
      </c>
      <c r="BK271" s="1">
        <v>1</v>
      </c>
      <c r="BL271" s="1">
        <v>0</v>
      </c>
      <c r="BM271" s="1">
        <v>0</v>
      </c>
      <c r="BN271" s="1">
        <v>0</v>
      </c>
      <c r="BO271" s="1">
        <v>0</v>
      </c>
      <c r="BP271" s="1">
        <v>0</v>
      </c>
      <c r="BQ271" s="2" t="str">
        <f>HYPERLINK("http://www.d20pfsrd.com/magic/all-spells/h/hold-monster","Hold Monster, Mass")</f>
        <v>Hold Monster, Mass</v>
      </c>
      <c r="BR271" s="1">
        <v>270</v>
      </c>
      <c r="BS271" s="1" t="s">
        <v>104</v>
      </c>
      <c r="BX271" s="1">
        <v>0</v>
      </c>
      <c r="BY271" s="1" t="s">
        <v>104</v>
      </c>
      <c r="BZ271" s="1" t="s">
        <v>104</v>
      </c>
      <c r="CA271" s="1">
        <v>9</v>
      </c>
      <c r="CB271" s="1" t="s">
        <v>104</v>
      </c>
      <c r="CC271" s="1" t="s">
        <v>104</v>
      </c>
      <c r="CD271" s="1" t="s">
        <v>104</v>
      </c>
      <c r="CE271" s="1" t="s">
        <v>104</v>
      </c>
      <c r="CF271" s="1" t="s">
        <v>104</v>
      </c>
      <c r="CG271" s="1" t="s">
        <v>104</v>
      </c>
      <c r="CH271" s="1" t="s">
        <v>104</v>
      </c>
      <c r="CJ271" s="1">
        <v>0</v>
      </c>
      <c r="CK271" s="1">
        <v>0</v>
      </c>
      <c r="CL271" s="1">
        <v>0</v>
      </c>
      <c r="CM271" s="1" t="s">
        <v>104</v>
      </c>
    </row>
    <row r="272" spans="1:91" ht="14.25" customHeight="1" x14ac:dyDescent="0.3">
      <c r="A272" s="1" t="s">
        <v>2011</v>
      </c>
      <c r="B272" s="1" t="s">
        <v>123</v>
      </c>
      <c r="C272" s="1" t="s">
        <v>124</v>
      </c>
      <c r="D272" s="1" t="s">
        <v>125</v>
      </c>
      <c r="E272" s="1" t="s">
        <v>2012</v>
      </c>
      <c r="F272" s="1" t="s">
        <v>95</v>
      </c>
      <c r="G272" s="1" t="s">
        <v>1995</v>
      </c>
      <c r="H272" s="1">
        <v>0</v>
      </c>
      <c r="I272" s="1" t="s">
        <v>109</v>
      </c>
      <c r="L272" s="1" t="s">
        <v>2013</v>
      </c>
      <c r="M272" s="1" t="s">
        <v>1996</v>
      </c>
      <c r="N272" s="1">
        <v>1</v>
      </c>
      <c r="O272" s="1">
        <v>0</v>
      </c>
      <c r="P272" s="1" t="s">
        <v>418</v>
      </c>
      <c r="Q272" s="1" t="s">
        <v>184</v>
      </c>
      <c r="R272" s="1" t="s">
        <v>2014</v>
      </c>
      <c r="S272" s="1" t="s">
        <v>103</v>
      </c>
      <c r="T272" s="1">
        <v>1</v>
      </c>
      <c r="U272" s="1">
        <v>1</v>
      </c>
      <c r="V272" s="1">
        <v>0</v>
      </c>
      <c r="W272" s="1">
        <v>1</v>
      </c>
      <c r="X272" s="1">
        <v>1</v>
      </c>
      <c r="Y272" s="1">
        <v>7</v>
      </c>
      <c r="Z272" s="1">
        <v>7</v>
      </c>
      <c r="AA272" s="1" t="s">
        <v>104</v>
      </c>
      <c r="AB272" s="1" t="s">
        <v>104</v>
      </c>
      <c r="AC272" s="1" t="s">
        <v>104</v>
      </c>
      <c r="AD272" s="1" t="s">
        <v>104</v>
      </c>
      <c r="AE272" s="1" t="s">
        <v>104</v>
      </c>
      <c r="AF272" s="1" t="s">
        <v>104</v>
      </c>
      <c r="AG272" s="1" t="s">
        <v>104</v>
      </c>
      <c r="AH272" s="1">
        <v>7</v>
      </c>
      <c r="AI272" s="1" t="s">
        <v>104</v>
      </c>
      <c r="AJ272" s="1" t="s">
        <v>104</v>
      </c>
      <c r="AK272" s="1" t="s">
        <v>104</v>
      </c>
      <c r="AL272" s="1" t="s">
        <v>104</v>
      </c>
      <c r="AM272" s="1" t="s">
        <v>104</v>
      </c>
      <c r="AO272" s="1">
        <v>7</v>
      </c>
      <c r="AQ272" s="1" t="s">
        <v>2015</v>
      </c>
      <c r="AR272" s="1">
        <v>0</v>
      </c>
      <c r="AS272" s="1">
        <v>0</v>
      </c>
      <c r="AT272" s="1">
        <v>0</v>
      </c>
      <c r="AU272" s="1">
        <v>0</v>
      </c>
      <c r="AV272" s="1">
        <v>0</v>
      </c>
      <c r="AW272" s="1">
        <v>0</v>
      </c>
      <c r="AX272" s="1">
        <v>0</v>
      </c>
      <c r="AY272" s="1">
        <v>0</v>
      </c>
      <c r="AZ272" s="1">
        <v>0</v>
      </c>
      <c r="BA272" s="1">
        <v>0</v>
      </c>
      <c r="BB272" s="1">
        <v>0</v>
      </c>
      <c r="BC272" s="1">
        <v>0</v>
      </c>
      <c r="BD272" s="1">
        <v>0</v>
      </c>
      <c r="BE272" s="1">
        <v>0</v>
      </c>
      <c r="BF272" s="1">
        <v>0</v>
      </c>
      <c r="BG272" s="1">
        <v>0</v>
      </c>
      <c r="BH272" s="1">
        <v>0</v>
      </c>
      <c r="BI272" s="1">
        <v>0</v>
      </c>
      <c r="BJ272" s="1">
        <v>0</v>
      </c>
      <c r="BK272" s="1">
        <v>1</v>
      </c>
      <c r="BL272" s="1">
        <v>0</v>
      </c>
      <c r="BM272" s="1">
        <v>0</v>
      </c>
      <c r="BN272" s="1">
        <v>0</v>
      </c>
      <c r="BO272" s="1">
        <v>0</v>
      </c>
      <c r="BP272" s="1">
        <v>0</v>
      </c>
      <c r="BQ272" s="2" t="str">
        <f>HYPERLINK("http://www.d20pfsrd.com/magic/all-spells/h/hold-person","Hold Person, Mass")</f>
        <v>Hold Person, Mass</v>
      </c>
      <c r="BR272" s="1">
        <v>271</v>
      </c>
      <c r="BS272" s="1" t="s">
        <v>104</v>
      </c>
      <c r="BX272" s="1">
        <v>0</v>
      </c>
      <c r="BY272" s="1" t="s">
        <v>104</v>
      </c>
      <c r="BZ272" s="1" t="s">
        <v>104</v>
      </c>
      <c r="CA272" s="1">
        <v>7</v>
      </c>
      <c r="CB272" s="1" t="s">
        <v>104</v>
      </c>
      <c r="CC272" s="1">
        <v>6</v>
      </c>
      <c r="CD272" s="1" t="s">
        <v>104</v>
      </c>
      <c r="CE272" s="1" t="s">
        <v>104</v>
      </c>
      <c r="CF272" s="1" t="s">
        <v>104</v>
      </c>
      <c r="CG272" s="1" t="s">
        <v>104</v>
      </c>
      <c r="CH272" s="1" t="s">
        <v>104</v>
      </c>
      <c r="CJ272" s="1">
        <v>0</v>
      </c>
      <c r="CK272" s="1">
        <v>0</v>
      </c>
      <c r="CL272" s="1">
        <v>0</v>
      </c>
      <c r="CM272" s="1" t="s">
        <v>104</v>
      </c>
    </row>
    <row r="273" spans="1:91" ht="14.25" customHeight="1" x14ac:dyDescent="0.3">
      <c r="A273" s="1" t="s">
        <v>2016</v>
      </c>
      <c r="B273" s="1" t="s">
        <v>162</v>
      </c>
      <c r="E273" s="1" t="s">
        <v>2017</v>
      </c>
      <c r="F273" s="1" t="s">
        <v>95</v>
      </c>
      <c r="G273" s="1" t="s">
        <v>237</v>
      </c>
      <c r="H273" s="1">
        <v>0</v>
      </c>
      <c r="I273" s="1" t="s">
        <v>109</v>
      </c>
      <c r="L273" s="1" t="s">
        <v>2018</v>
      </c>
      <c r="M273" s="1" t="s">
        <v>437</v>
      </c>
      <c r="N273" s="1">
        <v>1</v>
      </c>
      <c r="O273" s="1">
        <v>0</v>
      </c>
      <c r="P273" s="1" t="s">
        <v>100</v>
      </c>
      <c r="Q273" s="1" t="s">
        <v>101</v>
      </c>
      <c r="R273" s="1" t="s">
        <v>2019</v>
      </c>
      <c r="S273" s="1" t="s">
        <v>103</v>
      </c>
      <c r="T273" s="1">
        <v>1</v>
      </c>
      <c r="U273" s="1">
        <v>0</v>
      </c>
      <c r="V273" s="1">
        <v>0</v>
      </c>
      <c r="W273" s="1">
        <v>0</v>
      </c>
      <c r="X273" s="1">
        <v>0</v>
      </c>
      <c r="Y273" s="1">
        <v>1</v>
      </c>
      <c r="Z273" s="1">
        <v>1</v>
      </c>
      <c r="AA273" s="1" t="s">
        <v>104</v>
      </c>
      <c r="AB273" s="1" t="s">
        <v>104</v>
      </c>
      <c r="AC273" s="1" t="s">
        <v>104</v>
      </c>
      <c r="AD273" s="1" t="s">
        <v>104</v>
      </c>
      <c r="AE273" s="1" t="s">
        <v>104</v>
      </c>
      <c r="AF273" s="1" t="s">
        <v>104</v>
      </c>
      <c r="AG273" s="1" t="s">
        <v>104</v>
      </c>
      <c r="AH273" s="1" t="s">
        <v>104</v>
      </c>
      <c r="AI273" s="1" t="s">
        <v>104</v>
      </c>
      <c r="AJ273" s="1" t="s">
        <v>104</v>
      </c>
      <c r="AK273" s="1" t="s">
        <v>104</v>
      </c>
      <c r="AL273" s="1" t="s">
        <v>104</v>
      </c>
      <c r="AM273" s="1" t="s">
        <v>104</v>
      </c>
      <c r="AO273" s="1">
        <v>1</v>
      </c>
      <c r="AP273" s="1" t="s">
        <v>2020</v>
      </c>
      <c r="AQ273" s="1" t="s">
        <v>2021</v>
      </c>
      <c r="AR273" s="1">
        <v>0</v>
      </c>
      <c r="AS273" s="1">
        <v>0</v>
      </c>
      <c r="AT273" s="1">
        <v>0</v>
      </c>
      <c r="AU273" s="1">
        <v>0</v>
      </c>
      <c r="AV273" s="1">
        <v>0</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0</v>
      </c>
      <c r="BM273" s="1">
        <v>0</v>
      </c>
      <c r="BN273" s="1">
        <v>0</v>
      </c>
      <c r="BO273" s="1">
        <v>0</v>
      </c>
      <c r="BP273" s="1">
        <v>0</v>
      </c>
      <c r="BQ273" s="2" t="str">
        <f>HYPERLINK("http://www.d20pfsrd.com/magic/all-spells/h/hold-portal","Hold Portal")</f>
        <v>Hold Portal</v>
      </c>
      <c r="BR273" s="1">
        <v>272</v>
      </c>
      <c r="BS273" s="1" t="s">
        <v>104</v>
      </c>
      <c r="BU273" s="1" t="s">
        <v>2022</v>
      </c>
      <c r="BV273" s="1" t="s">
        <v>2023</v>
      </c>
      <c r="BX273" s="1">
        <v>1</v>
      </c>
      <c r="BY273" s="1" t="s">
        <v>104</v>
      </c>
      <c r="BZ273" s="1" t="s">
        <v>104</v>
      </c>
      <c r="CA273" s="1">
        <v>1</v>
      </c>
      <c r="CB273" s="1" t="s">
        <v>104</v>
      </c>
      <c r="CC273" s="1" t="s">
        <v>104</v>
      </c>
      <c r="CD273" s="1">
        <v>1</v>
      </c>
      <c r="CE273" s="1" t="s">
        <v>104</v>
      </c>
      <c r="CF273" s="1" t="s">
        <v>104</v>
      </c>
      <c r="CG273" s="1" t="s">
        <v>104</v>
      </c>
      <c r="CH273" s="1" t="s">
        <v>104</v>
      </c>
      <c r="CJ273" s="1">
        <v>0</v>
      </c>
      <c r="CK273" s="1">
        <v>0</v>
      </c>
      <c r="CL273" s="1">
        <v>0</v>
      </c>
      <c r="CM273" s="1" t="s">
        <v>104</v>
      </c>
    </row>
    <row r="274" spans="1:91" ht="14.25" customHeight="1" x14ac:dyDescent="0.3">
      <c r="A274" s="1" t="s">
        <v>2024</v>
      </c>
      <c r="B274" s="1" t="s">
        <v>162</v>
      </c>
      <c r="D274" s="1" t="s">
        <v>58</v>
      </c>
      <c r="E274" s="1" t="s">
        <v>695</v>
      </c>
      <c r="F274" s="1" t="s">
        <v>95</v>
      </c>
      <c r="G274" s="1" t="s">
        <v>696</v>
      </c>
      <c r="H274" s="1">
        <v>1</v>
      </c>
      <c r="I274" s="1" t="s">
        <v>697</v>
      </c>
      <c r="L274" s="1" t="s">
        <v>698</v>
      </c>
      <c r="M274" s="1" t="s">
        <v>111</v>
      </c>
      <c r="N274" s="1">
        <v>1</v>
      </c>
      <c r="O274" s="1">
        <v>0</v>
      </c>
      <c r="P274" s="1" t="s">
        <v>145</v>
      </c>
      <c r="Q274" s="1" t="s">
        <v>131</v>
      </c>
      <c r="R274" s="1" t="s">
        <v>2025</v>
      </c>
      <c r="S274" s="1" t="s">
        <v>103</v>
      </c>
      <c r="T274" s="1">
        <v>1</v>
      </c>
      <c r="U274" s="1">
        <v>1</v>
      </c>
      <c r="V274" s="1">
        <v>0</v>
      </c>
      <c r="W274" s="1">
        <v>1</v>
      </c>
      <c r="X274" s="1">
        <v>0</v>
      </c>
      <c r="Y274" s="1" t="s">
        <v>104</v>
      </c>
      <c r="Z274" s="1" t="s">
        <v>104</v>
      </c>
      <c r="AA274" s="1">
        <v>8</v>
      </c>
      <c r="AB274" s="1" t="s">
        <v>104</v>
      </c>
      <c r="AC274" s="1" t="s">
        <v>104</v>
      </c>
      <c r="AD274" s="1" t="s">
        <v>104</v>
      </c>
      <c r="AE274" s="1" t="s">
        <v>104</v>
      </c>
      <c r="AF274" s="1" t="s">
        <v>104</v>
      </c>
      <c r="AG274" s="1" t="s">
        <v>104</v>
      </c>
      <c r="AH274" s="1" t="s">
        <v>104</v>
      </c>
      <c r="AI274" s="1" t="s">
        <v>104</v>
      </c>
      <c r="AJ274" s="1">
        <v>8</v>
      </c>
      <c r="AK274" s="1" t="s">
        <v>104</v>
      </c>
      <c r="AL274" s="1" t="s">
        <v>104</v>
      </c>
      <c r="AM274" s="1" t="s">
        <v>104</v>
      </c>
      <c r="AO274" s="1">
        <v>8</v>
      </c>
      <c r="AP274" s="1" t="s">
        <v>2026</v>
      </c>
      <c r="AQ274" s="1" t="s">
        <v>2027</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1</v>
      </c>
      <c r="BH274" s="1">
        <v>0</v>
      </c>
      <c r="BI274" s="1">
        <v>0</v>
      </c>
      <c r="BJ274" s="1">
        <v>0</v>
      </c>
      <c r="BK274" s="1">
        <v>0</v>
      </c>
      <c r="BL274" s="1">
        <v>0</v>
      </c>
      <c r="BM274" s="1">
        <v>0</v>
      </c>
      <c r="BN274" s="1">
        <v>0</v>
      </c>
      <c r="BO274" s="1">
        <v>0</v>
      </c>
      <c r="BP274" s="1">
        <v>0</v>
      </c>
      <c r="BQ274" s="2" t="str">
        <f>HYPERLINK("http://www.d20pfsrd.com/magic/all-spells/h/holy-aura","Holy Aura")</f>
        <v>Holy Aura</v>
      </c>
      <c r="BR274" s="1">
        <v>273</v>
      </c>
      <c r="BS274" s="1">
        <v>500</v>
      </c>
      <c r="BU274" s="1" t="s">
        <v>2028</v>
      </c>
      <c r="BX274" s="1">
        <v>0</v>
      </c>
      <c r="BY274" s="1" t="s">
        <v>104</v>
      </c>
      <c r="BZ274" s="1" t="s">
        <v>104</v>
      </c>
      <c r="CA274" s="1" t="s">
        <v>104</v>
      </c>
      <c r="CB274" s="1" t="s">
        <v>104</v>
      </c>
      <c r="CC274" s="1" t="s">
        <v>104</v>
      </c>
      <c r="CD274" s="1" t="s">
        <v>104</v>
      </c>
      <c r="CE274" s="1" t="s">
        <v>104</v>
      </c>
      <c r="CF274" s="1" t="s">
        <v>104</v>
      </c>
      <c r="CG274" s="1" t="s">
        <v>104</v>
      </c>
      <c r="CH274" s="1" t="s">
        <v>104</v>
      </c>
      <c r="CJ274" s="1">
        <v>0</v>
      </c>
      <c r="CK274" s="1">
        <v>0</v>
      </c>
      <c r="CL274" s="1">
        <v>0</v>
      </c>
      <c r="CM274" s="1" t="s">
        <v>104</v>
      </c>
    </row>
    <row r="275" spans="1:91" ht="14.25" customHeight="1" x14ac:dyDescent="0.3">
      <c r="A275" s="1" t="s">
        <v>2029</v>
      </c>
      <c r="B275" s="1" t="s">
        <v>434</v>
      </c>
      <c r="D275" s="1" t="s">
        <v>58</v>
      </c>
      <c r="E275" s="1" t="s">
        <v>626</v>
      </c>
      <c r="F275" s="1" t="s">
        <v>95</v>
      </c>
      <c r="G275" s="1" t="s">
        <v>116</v>
      </c>
      <c r="H275" s="1">
        <v>0</v>
      </c>
      <c r="I275" s="1" t="s">
        <v>109</v>
      </c>
      <c r="J275" s="1" t="s">
        <v>627</v>
      </c>
      <c r="M275" s="1" t="s">
        <v>2030</v>
      </c>
      <c r="N275" s="1">
        <v>0</v>
      </c>
      <c r="O275" s="1">
        <v>0</v>
      </c>
      <c r="P275" s="1" t="s">
        <v>629</v>
      </c>
      <c r="Q275" s="1" t="s">
        <v>184</v>
      </c>
      <c r="R275" s="1" t="s">
        <v>2031</v>
      </c>
      <c r="S275" s="1" t="s">
        <v>103</v>
      </c>
      <c r="T275" s="1">
        <v>1</v>
      </c>
      <c r="U275" s="1">
        <v>1</v>
      </c>
      <c r="V275" s="1">
        <v>0</v>
      </c>
      <c r="W275" s="1">
        <v>0</v>
      </c>
      <c r="X275" s="1">
        <v>0</v>
      </c>
      <c r="Y275" s="1" t="s">
        <v>104</v>
      </c>
      <c r="Z275" s="1" t="s">
        <v>104</v>
      </c>
      <c r="AA275" s="1">
        <v>4</v>
      </c>
      <c r="AB275" s="1" t="s">
        <v>104</v>
      </c>
      <c r="AC275" s="1" t="s">
        <v>104</v>
      </c>
      <c r="AD275" s="1" t="s">
        <v>104</v>
      </c>
      <c r="AE275" s="1" t="s">
        <v>104</v>
      </c>
      <c r="AF275" s="1" t="s">
        <v>104</v>
      </c>
      <c r="AG275" s="1" t="s">
        <v>104</v>
      </c>
      <c r="AH275" s="1" t="s">
        <v>104</v>
      </c>
      <c r="AI275" s="1">
        <v>4</v>
      </c>
      <c r="AJ275" s="1">
        <v>4</v>
      </c>
      <c r="AK275" s="1" t="s">
        <v>104</v>
      </c>
      <c r="AL275" s="1" t="s">
        <v>104</v>
      </c>
      <c r="AM275" s="1" t="s">
        <v>104</v>
      </c>
      <c r="AO275" s="1">
        <v>4</v>
      </c>
      <c r="AP275" s="1" t="s">
        <v>2032</v>
      </c>
      <c r="AQ275" s="1" t="s">
        <v>2033</v>
      </c>
      <c r="AR275" s="1">
        <v>0</v>
      </c>
      <c r="AS275" s="1">
        <v>0</v>
      </c>
      <c r="AT275" s="1">
        <v>0</v>
      </c>
      <c r="AU275" s="1">
        <v>0</v>
      </c>
      <c r="AV275" s="1">
        <v>0</v>
      </c>
      <c r="AW275" s="1">
        <v>0</v>
      </c>
      <c r="AX275" s="1">
        <v>0</v>
      </c>
      <c r="AY275" s="1">
        <v>0</v>
      </c>
      <c r="AZ275" s="1">
        <v>0</v>
      </c>
      <c r="BA275" s="1">
        <v>0</v>
      </c>
      <c r="BB275" s="1">
        <v>0</v>
      </c>
      <c r="BC275" s="1">
        <v>0</v>
      </c>
      <c r="BD275" s="1">
        <v>0</v>
      </c>
      <c r="BE275" s="1">
        <v>0</v>
      </c>
      <c r="BF275" s="1">
        <v>0</v>
      </c>
      <c r="BG275" s="1">
        <v>1</v>
      </c>
      <c r="BH275" s="1">
        <v>0</v>
      </c>
      <c r="BI275" s="1">
        <v>0</v>
      </c>
      <c r="BJ275" s="1">
        <v>0</v>
      </c>
      <c r="BK275" s="1">
        <v>0</v>
      </c>
      <c r="BL275" s="1">
        <v>0</v>
      </c>
      <c r="BM275" s="1">
        <v>0</v>
      </c>
      <c r="BN275" s="1">
        <v>0</v>
      </c>
      <c r="BO275" s="1">
        <v>0</v>
      </c>
      <c r="BP275" s="1">
        <v>0</v>
      </c>
      <c r="BQ275" s="2" t="str">
        <f>HYPERLINK("http://www.d20pfsrd.com/magic/all-spells/h/holy-smite","Holy Smite")</f>
        <v>Holy Smite</v>
      </c>
      <c r="BR275" s="1">
        <v>274</v>
      </c>
      <c r="BS275" s="1" t="s">
        <v>104</v>
      </c>
      <c r="BV275" s="1" t="s">
        <v>2034</v>
      </c>
      <c r="BX275" s="1">
        <v>1</v>
      </c>
      <c r="BY275" s="1" t="s">
        <v>104</v>
      </c>
      <c r="BZ275" s="1" t="s">
        <v>104</v>
      </c>
      <c r="CA275" s="1" t="s">
        <v>104</v>
      </c>
      <c r="CB275" s="1" t="s">
        <v>104</v>
      </c>
      <c r="CC275" s="1" t="s">
        <v>104</v>
      </c>
      <c r="CD275" s="1" t="s">
        <v>104</v>
      </c>
      <c r="CE275" s="1" t="s">
        <v>104</v>
      </c>
      <c r="CF275" s="1" t="s">
        <v>104</v>
      </c>
      <c r="CG275" s="1" t="s">
        <v>104</v>
      </c>
      <c r="CH275" s="1" t="s">
        <v>104</v>
      </c>
      <c r="CJ275" s="1">
        <v>0</v>
      </c>
      <c r="CK275" s="1">
        <v>0</v>
      </c>
      <c r="CL275" s="1">
        <v>0</v>
      </c>
      <c r="CM275" s="1" t="s">
        <v>104</v>
      </c>
    </row>
    <row r="276" spans="1:91" ht="14.25" customHeight="1" x14ac:dyDescent="0.3">
      <c r="A276" s="1" t="s">
        <v>2035</v>
      </c>
      <c r="B276" s="1" t="s">
        <v>434</v>
      </c>
      <c r="D276" s="1" t="s">
        <v>58</v>
      </c>
      <c r="E276" s="1" t="s">
        <v>2036</v>
      </c>
      <c r="F276" s="1" t="s">
        <v>95</v>
      </c>
      <c r="G276" s="1" t="s">
        <v>116</v>
      </c>
      <c r="H276" s="1">
        <v>0</v>
      </c>
      <c r="I276" s="1" t="s">
        <v>128</v>
      </c>
      <c r="L276" s="1" t="s">
        <v>2037</v>
      </c>
      <c r="M276" s="1" t="s">
        <v>111</v>
      </c>
      <c r="N276" s="1">
        <v>0</v>
      </c>
      <c r="O276" s="1">
        <v>0</v>
      </c>
      <c r="P276" s="1" t="s">
        <v>100</v>
      </c>
      <c r="Q276" s="1" t="s">
        <v>101</v>
      </c>
      <c r="R276" s="1" t="s">
        <v>2038</v>
      </c>
      <c r="S276" s="1" t="s">
        <v>103</v>
      </c>
      <c r="T276" s="1">
        <v>1</v>
      </c>
      <c r="U276" s="1">
        <v>1</v>
      </c>
      <c r="V276" s="1">
        <v>0</v>
      </c>
      <c r="W276" s="1">
        <v>0</v>
      </c>
      <c r="X276" s="1">
        <v>0</v>
      </c>
      <c r="Y276" s="1" t="s">
        <v>104</v>
      </c>
      <c r="Z276" s="1" t="s">
        <v>104</v>
      </c>
      <c r="AA276" s="1" t="s">
        <v>104</v>
      </c>
      <c r="AB276" s="1" t="s">
        <v>104</v>
      </c>
      <c r="AC276" s="1" t="s">
        <v>104</v>
      </c>
      <c r="AD276" s="1" t="s">
        <v>104</v>
      </c>
      <c r="AE276" s="1">
        <v>4</v>
      </c>
      <c r="AF276" s="1" t="s">
        <v>104</v>
      </c>
      <c r="AG276" s="1" t="s">
        <v>104</v>
      </c>
      <c r="AH276" s="1" t="s">
        <v>104</v>
      </c>
      <c r="AI276" s="1" t="s">
        <v>104</v>
      </c>
      <c r="AJ276" s="1" t="s">
        <v>104</v>
      </c>
      <c r="AK276" s="1" t="s">
        <v>104</v>
      </c>
      <c r="AL276" s="1" t="s">
        <v>104</v>
      </c>
      <c r="AM276" s="1" t="s">
        <v>104</v>
      </c>
      <c r="AO276" s="1">
        <v>4</v>
      </c>
      <c r="AP276" s="1" t="s">
        <v>2039</v>
      </c>
      <c r="AQ276" s="1" t="s">
        <v>2040</v>
      </c>
      <c r="AR276" s="1">
        <v>0</v>
      </c>
      <c r="AS276" s="1">
        <v>0</v>
      </c>
      <c r="AT276" s="1">
        <v>0</v>
      </c>
      <c r="AU276" s="1">
        <v>0</v>
      </c>
      <c r="AV276" s="1">
        <v>0</v>
      </c>
      <c r="AW276" s="1">
        <v>0</v>
      </c>
      <c r="AX276" s="1">
        <v>0</v>
      </c>
      <c r="AY276" s="1">
        <v>0</v>
      </c>
      <c r="AZ276" s="1">
        <v>0</v>
      </c>
      <c r="BA276" s="1">
        <v>0</v>
      </c>
      <c r="BB276" s="1">
        <v>0</v>
      </c>
      <c r="BC276" s="1">
        <v>0</v>
      </c>
      <c r="BD276" s="1">
        <v>0</v>
      </c>
      <c r="BE276" s="1">
        <v>0</v>
      </c>
      <c r="BF276" s="1">
        <v>0</v>
      </c>
      <c r="BG276" s="1">
        <v>1</v>
      </c>
      <c r="BH276" s="1">
        <v>0</v>
      </c>
      <c r="BI276" s="1">
        <v>0</v>
      </c>
      <c r="BJ276" s="1">
        <v>0</v>
      </c>
      <c r="BK276" s="1">
        <v>0</v>
      </c>
      <c r="BL276" s="1">
        <v>0</v>
      </c>
      <c r="BM276" s="1">
        <v>0</v>
      </c>
      <c r="BN276" s="1">
        <v>0</v>
      </c>
      <c r="BO276" s="1">
        <v>0</v>
      </c>
      <c r="BP276" s="1">
        <v>0</v>
      </c>
      <c r="BQ276" s="2" t="str">
        <f>HYPERLINK("http://www.d20pfsrd.com/magic/all-spells/h/holy-sword","Holy Sword")</f>
        <v>Holy Sword</v>
      </c>
      <c r="BR276" s="1">
        <v>275</v>
      </c>
      <c r="BS276" s="1" t="s">
        <v>104</v>
      </c>
      <c r="BX276" s="1">
        <v>0</v>
      </c>
      <c r="BY276" s="1" t="s">
        <v>104</v>
      </c>
      <c r="BZ276" s="1" t="s">
        <v>104</v>
      </c>
      <c r="CA276" s="1" t="s">
        <v>104</v>
      </c>
      <c r="CB276" s="1" t="s">
        <v>104</v>
      </c>
      <c r="CC276" s="1" t="s">
        <v>104</v>
      </c>
      <c r="CD276" s="1" t="s">
        <v>104</v>
      </c>
      <c r="CE276" s="1" t="s">
        <v>104</v>
      </c>
      <c r="CF276" s="1" t="s">
        <v>104</v>
      </c>
      <c r="CG276" s="1" t="s">
        <v>104</v>
      </c>
      <c r="CH276" s="1" t="s">
        <v>104</v>
      </c>
      <c r="CJ276" s="1">
        <v>0</v>
      </c>
      <c r="CK276" s="1">
        <v>0</v>
      </c>
      <c r="CL276" s="1">
        <v>0</v>
      </c>
      <c r="CM276" s="1" t="s">
        <v>104</v>
      </c>
    </row>
    <row r="277" spans="1:91" ht="14.25" customHeight="1" x14ac:dyDescent="0.3">
      <c r="A277" s="1" t="s">
        <v>2041</v>
      </c>
      <c r="B277" s="1" t="s">
        <v>434</v>
      </c>
      <c r="D277" s="1" t="s">
        <v>2042</v>
      </c>
      <c r="E277" s="1" t="s">
        <v>447</v>
      </c>
      <c r="F277" s="1" t="s">
        <v>95</v>
      </c>
      <c r="G277" s="1" t="s">
        <v>237</v>
      </c>
      <c r="H277" s="1">
        <v>0</v>
      </c>
      <c r="I277" s="1" t="s">
        <v>448</v>
      </c>
      <c r="J277" s="1" t="s">
        <v>2043</v>
      </c>
      <c r="M277" s="1" t="s">
        <v>119</v>
      </c>
      <c r="N277" s="1">
        <v>0</v>
      </c>
      <c r="O277" s="1">
        <v>0</v>
      </c>
      <c r="P277" s="1" t="s">
        <v>276</v>
      </c>
      <c r="Q277" s="1" t="s">
        <v>184</v>
      </c>
      <c r="R277" s="1" t="s">
        <v>2044</v>
      </c>
      <c r="S277" s="1" t="s">
        <v>103</v>
      </c>
      <c r="T277" s="1">
        <v>1</v>
      </c>
      <c r="U277" s="1">
        <v>0</v>
      </c>
      <c r="V277" s="1">
        <v>0</v>
      </c>
      <c r="W277" s="1">
        <v>0</v>
      </c>
      <c r="X277" s="1">
        <v>0</v>
      </c>
      <c r="Y277" s="1" t="s">
        <v>104</v>
      </c>
      <c r="Z277" s="1" t="s">
        <v>104</v>
      </c>
      <c r="AA277" s="1">
        <v>7</v>
      </c>
      <c r="AB277" s="1" t="s">
        <v>104</v>
      </c>
      <c r="AC277" s="1" t="s">
        <v>104</v>
      </c>
      <c r="AD277" s="1" t="s">
        <v>104</v>
      </c>
      <c r="AE277" s="1" t="s">
        <v>104</v>
      </c>
      <c r="AF277" s="1" t="s">
        <v>104</v>
      </c>
      <c r="AG277" s="1" t="s">
        <v>104</v>
      </c>
      <c r="AH277" s="1" t="s">
        <v>104</v>
      </c>
      <c r="AI277" s="1">
        <v>6</v>
      </c>
      <c r="AJ277" s="1">
        <v>7</v>
      </c>
      <c r="AK277" s="1" t="s">
        <v>104</v>
      </c>
      <c r="AL277" s="1" t="s">
        <v>104</v>
      </c>
      <c r="AM277" s="1" t="s">
        <v>104</v>
      </c>
      <c r="AO277" s="1">
        <v>7</v>
      </c>
      <c r="AP277" s="1" t="s">
        <v>2045</v>
      </c>
      <c r="AQ277" s="1" t="s">
        <v>2046</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1</v>
      </c>
      <c r="BH277" s="1">
        <v>0</v>
      </c>
      <c r="BI277" s="1">
        <v>0</v>
      </c>
      <c r="BJ277" s="1">
        <v>0</v>
      </c>
      <c r="BK277" s="1">
        <v>0</v>
      </c>
      <c r="BL277" s="1">
        <v>0</v>
      </c>
      <c r="BM277" s="1">
        <v>0</v>
      </c>
      <c r="BN277" s="1">
        <v>0</v>
      </c>
      <c r="BO277" s="1">
        <v>1</v>
      </c>
      <c r="BP277" s="1">
        <v>0</v>
      </c>
      <c r="BQ277" s="2" t="str">
        <f>HYPERLINK("http://www.d20pfsrd.com/magic/all-spells/h/holy-word","Holy Word")</f>
        <v>Holy Word</v>
      </c>
      <c r="BR277" s="1">
        <v>276</v>
      </c>
      <c r="BS277" s="1" t="s">
        <v>104</v>
      </c>
      <c r="BX277" s="1">
        <v>0</v>
      </c>
      <c r="BY277" s="1" t="s">
        <v>104</v>
      </c>
      <c r="BZ277" s="1" t="s">
        <v>104</v>
      </c>
      <c r="CA277" s="1" t="s">
        <v>104</v>
      </c>
      <c r="CB277" s="1" t="s">
        <v>104</v>
      </c>
      <c r="CC277" s="1" t="s">
        <v>104</v>
      </c>
      <c r="CD277" s="1" t="s">
        <v>104</v>
      </c>
      <c r="CE277" s="1" t="s">
        <v>104</v>
      </c>
      <c r="CF277" s="1" t="s">
        <v>104</v>
      </c>
      <c r="CG277" s="1" t="s">
        <v>104</v>
      </c>
      <c r="CH277" s="1" t="s">
        <v>104</v>
      </c>
      <c r="CJ277" s="1">
        <v>0</v>
      </c>
      <c r="CK277" s="1">
        <v>0</v>
      </c>
      <c r="CL277" s="1">
        <v>0</v>
      </c>
      <c r="CM277" s="1" t="s">
        <v>104</v>
      </c>
    </row>
    <row r="278" spans="1:91" ht="14.25" customHeight="1" x14ac:dyDescent="0.3">
      <c r="A278" s="1" t="s">
        <v>2047</v>
      </c>
      <c r="B278" s="1" t="s">
        <v>216</v>
      </c>
      <c r="E278" s="1" t="s">
        <v>2048</v>
      </c>
      <c r="F278" s="1" t="s">
        <v>95</v>
      </c>
      <c r="G278" s="1" t="s">
        <v>2049</v>
      </c>
      <c r="H278" s="1">
        <v>0</v>
      </c>
      <c r="I278" s="1" t="s">
        <v>97</v>
      </c>
      <c r="L278" s="1" t="s">
        <v>2050</v>
      </c>
      <c r="M278" s="1" t="s">
        <v>119</v>
      </c>
      <c r="N278" s="1">
        <v>0</v>
      </c>
      <c r="O278" s="1">
        <v>0</v>
      </c>
      <c r="P278" s="1" t="s">
        <v>2051</v>
      </c>
      <c r="Q278" s="1" t="s">
        <v>184</v>
      </c>
      <c r="R278" s="1" t="s">
        <v>2052</v>
      </c>
      <c r="S278" s="1" t="s">
        <v>103</v>
      </c>
      <c r="T278" s="1">
        <v>1</v>
      </c>
      <c r="U278" s="1">
        <v>1</v>
      </c>
      <c r="V278" s="1">
        <v>1</v>
      </c>
      <c r="W278" s="1">
        <v>0</v>
      </c>
      <c r="X278" s="1">
        <v>1</v>
      </c>
      <c r="Y278" s="1">
        <v>8</v>
      </c>
      <c r="Z278" s="1">
        <v>8</v>
      </c>
      <c r="AA278" s="1" t="s">
        <v>104</v>
      </c>
      <c r="AB278" s="1" t="s">
        <v>104</v>
      </c>
      <c r="AC278" s="1" t="s">
        <v>104</v>
      </c>
      <c r="AD278" s="1" t="s">
        <v>104</v>
      </c>
      <c r="AE278" s="1" t="s">
        <v>104</v>
      </c>
      <c r="AF278" s="1" t="s">
        <v>104</v>
      </c>
      <c r="AG278" s="1" t="s">
        <v>104</v>
      </c>
      <c r="AH278" s="1">
        <v>8</v>
      </c>
      <c r="AI278" s="1" t="s">
        <v>104</v>
      </c>
      <c r="AJ278" s="1" t="s">
        <v>104</v>
      </c>
      <c r="AK278" s="1" t="s">
        <v>104</v>
      </c>
      <c r="AL278" s="1" t="s">
        <v>104</v>
      </c>
      <c r="AM278" s="1" t="s">
        <v>104</v>
      </c>
      <c r="AO278" s="1">
        <v>8</v>
      </c>
      <c r="AP278" s="1" t="s">
        <v>2053</v>
      </c>
      <c r="AQ278" s="1" t="s">
        <v>2054</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2" t="str">
        <f>HYPERLINK("http://www.d20pfsrd.com/magic/all-spells/h/horrid-wilting","Horrid Wilting")</f>
        <v>Horrid Wilting</v>
      </c>
      <c r="BR278" s="1">
        <v>277</v>
      </c>
      <c r="BS278" s="1" t="s">
        <v>104</v>
      </c>
      <c r="BT278" s="1" t="s">
        <v>2055</v>
      </c>
      <c r="BU278" s="1" t="s">
        <v>2056</v>
      </c>
      <c r="BX278" s="1">
        <v>0</v>
      </c>
      <c r="BY278" s="1" t="s">
        <v>104</v>
      </c>
      <c r="BZ278" s="1">
        <v>8</v>
      </c>
      <c r="CA278" s="1" t="s">
        <v>104</v>
      </c>
      <c r="CB278" s="1" t="s">
        <v>104</v>
      </c>
      <c r="CC278" s="1" t="s">
        <v>104</v>
      </c>
      <c r="CD278" s="1" t="s">
        <v>104</v>
      </c>
      <c r="CE278" s="1" t="s">
        <v>104</v>
      </c>
      <c r="CF278" s="1" t="s">
        <v>104</v>
      </c>
      <c r="CG278" s="1" t="s">
        <v>104</v>
      </c>
      <c r="CH278" s="1" t="s">
        <v>104</v>
      </c>
      <c r="CJ278" s="1">
        <v>0</v>
      </c>
      <c r="CK278" s="1">
        <v>0</v>
      </c>
      <c r="CL278" s="1">
        <v>0</v>
      </c>
      <c r="CM278" s="1" t="s">
        <v>104</v>
      </c>
    </row>
    <row r="279" spans="1:91" ht="14.25" customHeight="1" x14ac:dyDescent="0.3">
      <c r="A279" s="1" t="s">
        <v>2057</v>
      </c>
      <c r="B279" s="1" t="s">
        <v>507</v>
      </c>
      <c r="C279" s="1" t="s">
        <v>720</v>
      </c>
      <c r="D279" s="1" t="s">
        <v>125</v>
      </c>
      <c r="E279" s="1" t="s">
        <v>2058</v>
      </c>
      <c r="F279" s="1" t="s">
        <v>95</v>
      </c>
      <c r="G279" s="1" t="s">
        <v>2059</v>
      </c>
      <c r="H279" s="1">
        <v>0</v>
      </c>
      <c r="I279" s="1" t="s">
        <v>109</v>
      </c>
      <c r="K279" s="1" t="s">
        <v>2060</v>
      </c>
      <c r="M279" s="1" t="s">
        <v>2061</v>
      </c>
      <c r="N279" s="1">
        <v>0</v>
      </c>
      <c r="O279" s="1">
        <v>0</v>
      </c>
      <c r="P279" s="1" t="s">
        <v>211</v>
      </c>
      <c r="Q279" s="1" t="s">
        <v>184</v>
      </c>
      <c r="R279" s="1" t="s">
        <v>2062</v>
      </c>
      <c r="S279" s="1" t="s">
        <v>103</v>
      </c>
      <c r="T279" s="1">
        <v>1</v>
      </c>
      <c r="U279" s="1">
        <v>1</v>
      </c>
      <c r="V279" s="1">
        <v>1</v>
      </c>
      <c r="W279" s="1">
        <v>0</v>
      </c>
      <c r="X279" s="1">
        <v>0</v>
      </c>
      <c r="Y279" s="1">
        <v>2</v>
      </c>
      <c r="Z279" s="1">
        <v>2</v>
      </c>
      <c r="AA279" s="1" t="s">
        <v>104</v>
      </c>
      <c r="AB279" s="1" t="s">
        <v>104</v>
      </c>
      <c r="AC279" s="1" t="s">
        <v>104</v>
      </c>
      <c r="AD279" s="1">
        <v>2</v>
      </c>
      <c r="AE279" s="1" t="s">
        <v>104</v>
      </c>
      <c r="AF279" s="1" t="s">
        <v>104</v>
      </c>
      <c r="AG279" s="1" t="s">
        <v>104</v>
      </c>
      <c r="AH279" s="1" t="s">
        <v>104</v>
      </c>
      <c r="AI279" s="1" t="s">
        <v>104</v>
      </c>
      <c r="AJ279" s="1" t="s">
        <v>104</v>
      </c>
      <c r="AK279" s="1" t="s">
        <v>104</v>
      </c>
      <c r="AL279" s="1" t="s">
        <v>104</v>
      </c>
      <c r="AM279" s="1" t="s">
        <v>104</v>
      </c>
      <c r="AO279" s="1">
        <v>2</v>
      </c>
      <c r="AP279" s="1" t="s">
        <v>1483</v>
      </c>
      <c r="AQ279" s="1" t="s">
        <v>2063</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1</v>
      </c>
      <c r="BL279" s="1">
        <v>0</v>
      </c>
      <c r="BM279" s="1">
        <v>0</v>
      </c>
      <c r="BN279" s="1">
        <v>0</v>
      </c>
      <c r="BO279" s="1">
        <v>0</v>
      </c>
      <c r="BP279" s="1">
        <v>0</v>
      </c>
      <c r="BQ279" s="2" t="str">
        <f>HYPERLINK("http://www.d20pfsrd.com/magic/all-spells/h/hypnotic-pattern","Hypnotic Pattern")</f>
        <v>Hypnotic Pattern</v>
      </c>
      <c r="BR279" s="1">
        <v>278</v>
      </c>
      <c r="BS279" s="1" t="s">
        <v>104</v>
      </c>
      <c r="BX279" s="1">
        <v>0</v>
      </c>
      <c r="BY279" s="1" t="s">
        <v>104</v>
      </c>
      <c r="BZ279" s="1" t="s">
        <v>104</v>
      </c>
      <c r="CA279" s="1">
        <v>2</v>
      </c>
      <c r="CB279" s="1" t="s">
        <v>104</v>
      </c>
      <c r="CC279" s="1">
        <v>2</v>
      </c>
      <c r="CD279" s="1" t="s">
        <v>104</v>
      </c>
      <c r="CE279" s="1" t="s">
        <v>104</v>
      </c>
      <c r="CF279" s="1" t="s">
        <v>104</v>
      </c>
      <c r="CG279" s="1" t="s">
        <v>104</v>
      </c>
      <c r="CH279" s="1" t="s">
        <v>104</v>
      </c>
      <c r="CJ279" s="1">
        <v>0</v>
      </c>
      <c r="CK279" s="1">
        <v>0</v>
      </c>
      <c r="CL279" s="1">
        <v>0</v>
      </c>
      <c r="CM279" s="1" t="s">
        <v>104</v>
      </c>
    </row>
    <row r="280" spans="1:91" ht="14.25" customHeight="1" x14ac:dyDescent="0.3">
      <c r="A280" s="1" t="s">
        <v>2064</v>
      </c>
      <c r="B280" s="1" t="s">
        <v>123</v>
      </c>
      <c r="C280" s="1" t="s">
        <v>124</v>
      </c>
      <c r="D280" s="1" t="s">
        <v>125</v>
      </c>
      <c r="E280" s="1" t="s">
        <v>2065</v>
      </c>
      <c r="F280" s="1" t="s">
        <v>255</v>
      </c>
      <c r="G280" s="1" t="s">
        <v>116</v>
      </c>
      <c r="H280" s="1">
        <v>0</v>
      </c>
      <c r="I280" s="1" t="s">
        <v>117</v>
      </c>
      <c r="J280" s="1" t="s">
        <v>2066</v>
      </c>
      <c r="M280" s="1" t="s">
        <v>2067</v>
      </c>
      <c r="N280" s="1">
        <v>1</v>
      </c>
      <c r="O280" s="1">
        <v>0</v>
      </c>
      <c r="P280" s="1" t="s">
        <v>211</v>
      </c>
      <c r="Q280" s="1" t="s">
        <v>184</v>
      </c>
      <c r="R280" s="1" t="s">
        <v>2068</v>
      </c>
      <c r="S280" s="1" t="s">
        <v>103</v>
      </c>
      <c r="T280" s="1">
        <v>1</v>
      </c>
      <c r="U280" s="1">
        <v>1</v>
      </c>
      <c r="V280" s="1">
        <v>0</v>
      </c>
      <c r="W280" s="1">
        <v>0</v>
      </c>
      <c r="X280" s="1">
        <v>0</v>
      </c>
      <c r="Y280" s="1">
        <v>1</v>
      </c>
      <c r="Z280" s="1">
        <v>1</v>
      </c>
      <c r="AA280" s="1" t="s">
        <v>104</v>
      </c>
      <c r="AB280" s="1" t="s">
        <v>104</v>
      </c>
      <c r="AC280" s="1" t="s">
        <v>104</v>
      </c>
      <c r="AD280" s="1">
        <v>1</v>
      </c>
      <c r="AE280" s="1" t="s">
        <v>104</v>
      </c>
      <c r="AF280" s="1" t="s">
        <v>104</v>
      </c>
      <c r="AG280" s="1" t="s">
        <v>104</v>
      </c>
      <c r="AH280" s="1">
        <v>1</v>
      </c>
      <c r="AI280" s="1" t="s">
        <v>104</v>
      </c>
      <c r="AJ280" s="1" t="s">
        <v>104</v>
      </c>
      <c r="AK280" s="1" t="s">
        <v>104</v>
      </c>
      <c r="AL280" s="1" t="s">
        <v>104</v>
      </c>
      <c r="AM280" s="1" t="s">
        <v>104</v>
      </c>
      <c r="AO280" s="1">
        <v>1</v>
      </c>
      <c r="AQ280" s="1" t="s">
        <v>2069</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1</v>
      </c>
      <c r="BL280" s="1">
        <v>0</v>
      </c>
      <c r="BM280" s="1">
        <v>0</v>
      </c>
      <c r="BN280" s="1">
        <v>0</v>
      </c>
      <c r="BO280" s="1">
        <v>0</v>
      </c>
      <c r="BP280" s="1">
        <v>0</v>
      </c>
      <c r="BQ280" s="2" t="str">
        <f>HYPERLINK("http://www.d20pfsrd.com/magic/all-spells/h/hypnotism","Hypnotism")</f>
        <v>Hypnotism</v>
      </c>
      <c r="BR280" s="1">
        <v>279</v>
      </c>
      <c r="BS280" s="1" t="s">
        <v>104</v>
      </c>
      <c r="BT280" s="1" t="s">
        <v>2070</v>
      </c>
      <c r="BX280" s="1">
        <v>0</v>
      </c>
      <c r="BY280" s="1" t="s">
        <v>104</v>
      </c>
      <c r="BZ280" s="1" t="s">
        <v>104</v>
      </c>
      <c r="CA280" s="1">
        <v>1</v>
      </c>
      <c r="CB280" s="1" t="s">
        <v>104</v>
      </c>
      <c r="CC280" s="1">
        <v>1</v>
      </c>
      <c r="CD280" s="1">
        <v>1</v>
      </c>
      <c r="CE280" s="1" t="s">
        <v>104</v>
      </c>
      <c r="CF280" s="1" t="s">
        <v>104</v>
      </c>
      <c r="CG280" s="1" t="s">
        <v>104</v>
      </c>
      <c r="CH280" s="1" t="s">
        <v>104</v>
      </c>
      <c r="CJ280" s="1">
        <v>0</v>
      </c>
      <c r="CK280" s="1">
        <v>0</v>
      </c>
      <c r="CL280" s="1">
        <v>0</v>
      </c>
      <c r="CM280" s="1" t="s">
        <v>104</v>
      </c>
    </row>
    <row r="281" spans="1:91" ht="14.25" customHeight="1" x14ac:dyDescent="0.3">
      <c r="A281" s="1" t="s">
        <v>2071</v>
      </c>
      <c r="B281" s="1" t="s">
        <v>434</v>
      </c>
      <c r="D281" s="1" t="s">
        <v>46</v>
      </c>
      <c r="E281" s="1" t="s">
        <v>2072</v>
      </c>
      <c r="F281" s="1" t="s">
        <v>95</v>
      </c>
      <c r="G281" s="1" t="s">
        <v>2073</v>
      </c>
      <c r="H281" s="1">
        <v>0</v>
      </c>
      <c r="I281" s="1" t="s">
        <v>97</v>
      </c>
      <c r="J281" s="1" t="s">
        <v>2074</v>
      </c>
      <c r="M281" s="1" t="s">
        <v>426</v>
      </c>
      <c r="N281" s="1">
        <v>1</v>
      </c>
      <c r="O281" s="1">
        <v>0</v>
      </c>
      <c r="P281" s="1" t="s">
        <v>100</v>
      </c>
      <c r="Q281" s="1" t="s">
        <v>184</v>
      </c>
      <c r="R281" s="1" t="s">
        <v>2075</v>
      </c>
      <c r="S281" s="1" t="s">
        <v>103</v>
      </c>
      <c r="T281" s="1">
        <v>1</v>
      </c>
      <c r="U281" s="1">
        <v>1</v>
      </c>
      <c r="V281" s="1">
        <v>1</v>
      </c>
      <c r="W281" s="1">
        <v>0</v>
      </c>
      <c r="X281" s="1">
        <v>1</v>
      </c>
      <c r="Y281" s="1">
        <v>4</v>
      </c>
      <c r="Z281" s="1">
        <v>4</v>
      </c>
      <c r="AA281" s="1" t="s">
        <v>104</v>
      </c>
      <c r="AB281" s="1">
        <v>4</v>
      </c>
      <c r="AC281" s="1" t="s">
        <v>104</v>
      </c>
      <c r="AD281" s="1" t="s">
        <v>104</v>
      </c>
      <c r="AE281" s="1" t="s">
        <v>104</v>
      </c>
      <c r="AF281" s="1" t="s">
        <v>104</v>
      </c>
      <c r="AG281" s="1" t="s">
        <v>104</v>
      </c>
      <c r="AH281" s="1">
        <v>4</v>
      </c>
      <c r="AI281" s="1" t="s">
        <v>104</v>
      </c>
      <c r="AJ281" s="1" t="s">
        <v>104</v>
      </c>
      <c r="AK281" s="1" t="s">
        <v>104</v>
      </c>
      <c r="AL281" s="1">
        <v>4</v>
      </c>
      <c r="AM281" s="1" t="s">
        <v>104</v>
      </c>
      <c r="AO281" s="1">
        <v>4</v>
      </c>
      <c r="AP281" s="1" t="s">
        <v>2076</v>
      </c>
      <c r="AQ281" s="1" t="s">
        <v>2077</v>
      </c>
      <c r="AR281" s="1">
        <v>0</v>
      </c>
      <c r="AS281" s="1">
        <v>0</v>
      </c>
      <c r="AT281" s="1">
        <v>0</v>
      </c>
      <c r="AU281" s="1">
        <v>1</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2" t="str">
        <f>HYPERLINK("http://www.d20pfsrd.com/magic/all-spells/i/ice-storm","Ice Storm")</f>
        <v>Ice Storm</v>
      </c>
      <c r="BR281" s="1">
        <v>280</v>
      </c>
      <c r="BS281" s="1" t="s">
        <v>104</v>
      </c>
      <c r="BU281" s="1" t="s">
        <v>2078</v>
      </c>
      <c r="BV281" s="1" t="s">
        <v>2079</v>
      </c>
      <c r="BW281" s="1" t="s">
        <v>2080</v>
      </c>
      <c r="BX281" s="1">
        <v>1</v>
      </c>
      <c r="BY281" s="1">
        <v>4</v>
      </c>
      <c r="BZ281" s="1">
        <v>4</v>
      </c>
      <c r="CA281" s="1" t="s">
        <v>104</v>
      </c>
      <c r="CB281" s="1" t="s">
        <v>104</v>
      </c>
      <c r="CC281" s="1" t="s">
        <v>104</v>
      </c>
      <c r="CD281" s="1">
        <v>4</v>
      </c>
      <c r="CE281" s="1" t="s">
        <v>104</v>
      </c>
      <c r="CF281" s="1" t="s">
        <v>104</v>
      </c>
      <c r="CG281" s="1" t="s">
        <v>104</v>
      </c>
      <c r="CH281" s="1">
        <v>4</v>
      </c>
      <c r="CJ281" s="1">
        <v>0</v>
      </c>
      <c r="CK281" s="1">
        <v>0</v>
      </c>
      <c r="CL281" s="1">
        <v>0</v>
      </c>
      <c r="CM281" s="1" t="s">
        <v>104</v>
      </c>
    </row>
    <row r="282" spans="1:91" ht="14.25" customHeight="1" x14ac:dyDescent="0.3">
      <c r="A282" s="1" t="s">
        <v>2081</v>
      </c>
      <c r="B282" s="1" t="s">
        <v>172</v>
      </c>
      <c r="E282" s="1" t="s">
        <v>2082</v>
      </c>
      <c r="F282" s="1" t="s">
        <v>95</v>
      </c>
      <c r="G282" s="1" t="s">
        <v>2083</v>
      </c>
      <c r="H282" s="1">
        <v>0</v>
      </c>
      <c r="I282" s="1" t="s">
        <v>776</v>
      </c>
      <c r="J282" s="1" t="s">
        <v>1030</v>
      </c>
      <c r="M282" s="1" t="s">
        <v>2084</v>
      </c>
      <c r="N282" s="1">
        <v>1</v>
      </c>
      <c r="O282" s="1">
        <v>0</v>
      </c>
      <c r="P282" s="1" t="s">
        <v>100</v>
      </c>
      <c r="Q282" s="1" t="s">
        <v>101</v>
      </c>
      <c r="R282" s="1" t="s">
        <v>2085</v>
      </c>
      <c r="S282" s="1" t="s">
        <v>103</v>
      </c>
      <c r="T282" s="1">
        <v>1</v>
      </c>
      <c r="U282" s="1">
        <v>1</v>
      </c>
      <c r="V282" s="1">
        <v>1</v>
      </c>
      <c r="W282" s="1">
        <v>0</v>
      </c>
      <c r="X282" s="1">
        <v>0</v>
      </c>
      <c r="Y282" s="1">
        <v>1</v>
      </c>
      <c r="Z282" s="1">
        <v>1</v>
      </c>
      <c r="AA282" s="1" t="s">
        <v>104</v>
      </c>
      <c r="AB282" s="1" t="s">
        <v>104</v>
      </c>
      <c r="AC282" s="1" t="s">
        <v>104</v>
      </c>
      <c r="AD282" s="1">
        <v>1</v>
      </c>
      <c r="AE282" s="1" t="s">
        <v>104</v>
      </c>
      <c r="AF282" s="1">
        <v>1</v>
      </c>
      <c r="AG282" s="1">
        <v>1</v>
      </c>
      <c r="AH282" s="1">
        <v>1</v>
      </c>
      <c r="AI282" s="1" t="s">
        <v>104</v>
      </c>
      <c r="AJ282" s="1" t="s">
        <v>104</v>
      </c>
      <c r="AK282" s="1" t="s">
        <v>104</v>
      </c>
      <c r="AL282" s="1" t="s">
        <v>104</v>
      </c>
      <c r="AM282" s="1" t="s">
        <v>104</v>
      </c>
      <c r="AO282" s="1">
        <v>1</v>
      </c>
      <c r="AP282" s="1" t="s">
        <v>2086</v>
      </c>
      <c r="AQ282" s="1" t="s">
        <v>2087</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2" t="str">
        <f>HYPERLINK("http://www.d20pfsrd.com/magic/all-spells/i/identify","Identify")</f>
        <v>Identify</v>
      </c>
      <c r="BR282" s="1">
        <v>281</v>
      </c>
      <c r="BS282" s="1" t="s">
        <v>104</v>
      </c>
      <c r="BT282" s="1" t="s">
        <v>2088</v>
      </c>
      <c r="BX282" s="1">
        <v>0</v>
      </c>
      <c r="BY282" s="1" t="s">
        <v>104</v>
      </c>
      <c r="BZ282" s="1" t="s">
        <v>104</v>
      </c>
      <c r="CA282" s="1">
        <v>1</v>
      </c>
      <c r="CB282" s="1">
        <v>1</v>
      </c>
      <c r="CC282" s="1" t="s">
        <v>104</v>
      </c>
      <c r="CD282" s="1">
        <v>1</v>
      </c>
      <c r="CE282" s="1">
        <v>1</v>
      </c>
      <c r="CF282" s="1" t="s">
        <v>104</v>
      </c>
      <c r="CG282" s="1" t="s">
        <v>104</v>
      </c>
      <c r="CH282" s="1" t="s">
        <v>104</v>
      </c>
      <c r="CJ282" s="1">
        <v>0</v>
      </c>
      <c r="CK282" s="1">
        <v>0</v>
      </c>
      <c r="CL282" s="1">
        <v>0</v>
      </c>
      <c r="CM282" s="1">
        <v>1</v>
      </c>
    </row>
    <row r="283" spans="1:91" ht="14.25" customHeight="1" x14ac:dyDescent="0.3">
      <c r="A283" s="1" t="s">
        <v>2089</v>
      </c>
      <c r="B283" s="1" t="s">
        <v>507</v>
      </c>
      <c r="C283" s="1" t="s">
        <v>1308</v>
      </c>
      <c r="D283" s="1" t="s">
        <v>125</v>
      </c>
      <c r="E283" s="1" t="s">
        <v>2090</v>
      </c>
      <c r="F283" s="1" t="s">
        <v>2091</v>
      </c>
      <c r="G283" s="1" t="s">
        <v>2092</v>
      </c>
      <c r="H283" s="1">
        <v>1</v>
      </c>
      <c r="I283" s="1" t="s">
        <v>128</v>
      </c>
      <c r="L283" s="1" t="s">
        <v>1456</v>
      </c>
      <c r="M283" s="1" t="s">
        <v>2093</v>
      </c>
      <c r="N283" s="1">
        <v>1</v>
      </c>
      <c r="O283" s="1">
        <v>0</v>
      </c>
      <c r="P283" s="1" t="s">
        <v>418</v>
      </c>
      <c r="Q283" s="1" t="s">
        <v>184</v>
      </c>
      <c r="R283" s="1" t="s">
        <v>2094</v>
      </c>
      <c r="S283" s="1" t="s">
        <v>103</v>
      </c>
      <c r="T283" s="1">
        <v>1</v>
      </c>
      <c r="U283" s="1">
        <v>1</v>
      </c>
      <c r="V283" s="1">
        <v>1</v>
      </c>
      <c r="W283" s="1">
        <v>0</v>
      </c>
      <c r="X283" s="1">
        <v>0</v>
      </c>
      <c r="Y283" s="1">
        <v>3</v>
      </c>
      <c r="Z283" s="1">
        <v>3</v>
      </c>
      <c r="AA283" s="1" t="s">
        <v>104</v>
      </c>
      <c r="AB283" s="1" t="s">
        <v>104</v>
      </c>
      <c r="AC283" s="1" t="s">
        <v>104</v>
      </c>
      <c r="AD283" s="1">
        <v>3</v>
      </c>
      <c r="AE283" s="1" t="s">
        <v>104</v>
      </c>
      <c r="AF283" s="1" t="s">
        <v>104</v>
      </c>
      <c r="AG283" s="1" t="s">
        <v>104</v>
      </c>
      <c r="AH283" s="1" t="s">
        <v>104</v>
      </c>
      <c r="AI283" s="1" t="s">
        <v>104</v>
      </c>
      <c r="AJ283" s="1" t="s">
        <v>104</v>
      </c>
      <c r="AK283" s="1" t="s">
        <v>104</v>
      </c>
      <c r="AL283" s="1" t="s">
        <v>104</v>
      </c>
      <c r="AM283" s="1" t="s">
        <v>104</v>
      </c>
      <c r="AO283" s="1">
        <v>3</v>
      </c>
      <c r="AQ283" s="1" t="s">
        <v>2095</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1</v>
      </c>
      <c r="BL283" s="1">
        <v>0</v>
      </c>
      <c r="BM283" s="1">
        <v>0</v>
      </c>
      <c r="BN283" s="1">
        <v>0</v>
      </c>
      <c r="BO283" s="1">
        <v>0</v>
      </c>
      <c r="BP283" s="1">
        <v>0</v>
      </c>
      <c r="BQ283" s="2" t="str">
        <f>HYPERLINK("http://www.d20pfsrd.com/magic/all-spells/i/illusory-script","Illusory Script")</f>
        <v>Illusory Script</v>
      </c>
      <c r="BR283" s="1">
        <v>282</v>
      </c>
      <c r="BS283" s="1">
        <v>50</v>
      </c>
      <c r="BX283" s="1">
        <v>0</v>
      </c>
      <c r="BY283" s="1" t="s">
        <v>104</v>
      </c>
      <c r="BZ283" s="1" t="s">
        <v>104</v>
      </c>
      <c r="CA283" s="1">
        <v>3</v>
      </c>
      <c r="CB283" s="1" t="s">
        <v>104</v>
      </c>
      <c r="CC283" s="1">
        <v>3</v>
      </c>
      <c r="CD283" s="1">
        <v>3</v>
      </c>
      <c r="CE283" s="1" t="s">
        <v>104</v>
      </c>
      <c r="CF283" s="1" t="s">
        <v>104</v>
      </c>
      <c r="CG283" s="1" t="s">
        <v>104</v>
      </c>
      <c r="CH283" s="1" t="s">
        <v>104</v>
      </c>
      <c r="CJ283" s="1">
        <v>0</v>
      </c>
      <c r="CK283" s="1">
        <v>0</v>
      </c>
      <c r="CL283" s="1">
        <v>0</v>
      </c>
      <c r="CM283" s="1" t="s">
        <v>104</v>
      </c>
    </row>
    <row r="284" spans="1:91" ht="14.25" customHeight="1" x14ac:dyDescent="0.3">
      <c r="A284" s="1" t="s">
        <v>2096</v>
      </c>
      <c r="B284" s="1" t="s">
        <v>507</v>
      </c>
      <c r="C284" s="1" t="s">
        <v>1767</v>
      </c>
      <c r="E284" s="1" t="s">
        <v>2097</v>
      </c>
      <c r="F284" s="1" t="s">
        <v>95</v>
      </c>
      <c r="G284" s="1" t="s">
        <v>116</v>
      </c>
      <c r="H284" s="1">
        <v>0</v>
      </c>
      <c r="I284" s="1" t="s">
        <v>117</v>
      </c>
      <c r="K284" s="1" t="s">
        <v>2098</v>
      </c>
      <c r="M284" s="1" t="s">
        <v>298</v>
      </c>
      <c r="N284" s="1">
        <v>0</v>
      </c>
      <c r="O284" s="1">
        <v>0</v>
      </c>
      <c r="P284" s="1" t="s">
        <v>1894</v>
      </c>
      <c r="Q284" s="1" t="s">
        <v>101</v>
      </c>
      <c r="R284" s="1" t="s">
        <v>2099</v>
      </c>
      <c r="S284" s="1" t="s">
        <v>103</v>
      </c>
      <c r="T284" s="1">
        <v>1</v>
      </c>
      <c r="U284" s="1">
        <v>1</v>
      </c>
      <c r="V284" s="1">
        <v>0</v>
      </c>
      <c r="W284" s="1">
        <v>0</v>
      </c>
      <c r="X284" s="1">
        <v>0</v>
      </c>
      <c r="Y284" s="1">
        <v>4</v>
      </c>
      <c r="Z284" s="1">
        <v>4</v>
      </c>
      <c r="AA284" s="1" t="s">
        <v>104</v>
      </c>
      <c r="AB284" s="1" t="s">
        <v>104</v>
      </c>
      <c r="AC284" s="1" t="s">
        <v>104</v>
      </c>
      <c r="AD284" s="1" t="s">
        <v>104</v>
      </c>
      <c r="AE284" s="1" t="s">
        <v>104</v>
      </c>
      <c r="AF284" s="1" t="s">
        <v>104</v>
      </c>
      <c r="AG284" s="1" t="s">
        <v>104</v>
      </c>
      <c r="AH284" s="1" t="s">
        <v>104</v>
      </c>
      <c r="AI284" s="1" t="s">
        <v>104</v>
      </c>
      <c r="AJ284" s="1" t="s">
        <v>104</v>
      </c>
      <c r="AK284" s="1" t="s">
        <v>104</v>
      </c>
      <c r="AL284" s="1" t="s">
        <v>104</v>
      </c>
      <c r="AM284" s="1" t="s">
        <v>104</v>
      </c>
      <c r="AO284" s="1">
        <v>4</v>
      </c>
      <c r="AP284" s="1" t="s">
        <v>2100</v>
      </c>
      <c r="AQ284" s="1" t="s">
        <v>2101</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2" t="str">
        <f>HYPERLINK("http://www.d20pfsrd.com/magic/all-spells/i/illusory-wall","Illusory Wall")</f>
        <v>Illusory Wall</v>
      </c>
      <c r="BR284" s="1">
        <v>283</v>
      </c>
      <c r="BS284" s="1" t="s">
        <v>104</v>
      </c>
      <c r="BX284" s="1">
        <v>0</v>
      </c>
      <c r="BY284" s="1" t="s">
        <v>104</v>
      </c>
      <c r="BZ284" s="1" t="s">
        <v>104</v>
      </c>
      <c r="CA284" s="1">
        <v>4</v>
      </c>
      <c r="CB284" s="1" t="s">
        <v>104</v>
      </c>
      <c r="CC284" s="1">
        <v>4</v>
      </c>
      <c r="CD284" s="1">
        <v>4</v>
      </c>
      <c r="CE284" s="1" t="s">
        <v>104</v>
      </c>
      <c r="CF284" s="1" t="s">
        <v>104</v>
      </c>
      <c r="CG284" s="1" t="s">
        <v>104</v>
      </c>
      <c r="CH284" s="1" t="s">
        <v>104</v>
      </c>
      <c r="CJ284" s="1">
        <v>0</v>
      </c>
      <c r="CK284" s="1">
        <v>0</v>
      </c>
      <c r="CL284" s="1">
        <v>0</v>
      </c>
      <c r="CM284" s="1" t="s">
        <v>104</v>
      </c>
    </row>
    <row r="285" spans="1:91" ht="14.25" customHeight="1" x14ac:dyDescent="0.3">
      <c r="A285" s="1" t="s">
        <v>2102</v>
      </c>
      <c r="B285" s="1" t="s">
        <v>434</v>
      </c>
      <c r="E285" s="1" t="s">
        <v>2103</v>
      </c>
      <c r="F285" s="1" t="s">
        <v>287</v>
      </c>
      <c r="G285" s="1" t="s">
        <v>127</v>
      </c>
      <c r="H285" s="1">
        <v>0</v>
      </c>
      <c r="I285" s="1" t="s">
        <v>128</v>
      </c>
      <c r="L285" s="1" t="s">
        <v>2104</v>
      </c>
      <c r="M285" s="1" t="s">
        <v>1457</v>
      </c>
      <c r="N285" s="1">
        <v>1</v>
      </c>
      <c r="O285" s="1">
        <v>0</v>
      </c>
      <c r="P285" s="1" t="s">
        <v>375</v>
      </c>
      <c r="Q285" s="1" t="s">
        <v>131</v>
      </c>
      <c r="R285" s="1" t="s">
        <v>2105</v>
      </c>
      <c r="S285" s="1" t="s">
        <v>103</v>
      </c>
      <c r="T285" s="1">
        <v>1</v>
      </c>
      <c r="U285" s="1">
        <v>1</v>
      </c>
      <c r="V285" s="1">
        <v>0</v>
      </c>
      <c r="W285" s="1">
        <v>0</v>
      </c>
      <c r="X285" s="1">
        <v>1</v>
      </c>
      <c r="Y285" s="1" t="s">
        <v>104</v>
      </c>
      <c r="Z285" s="1" t="s">
        <v>104</v>
      </c>
      <c r="AA285" s="1">
        <v>4</v>
      </c>
      <c r="AB285" s="1" t="s">
        <v>104</v>
      </c>
      <c r="AC285" s="1" t="s">
        <v>104</v>
      </c>
      <c r="AD285" s="1" t="s">
        <v>104</v>
      </c>
      <c r="AE285" s="1" t="s">
        <v>104</v>
      </c>
      <c r="AF285" s="1" t="s">
        <v>104</v>
      </c>
      <c r="AG285" s="1" t="s">
        <v>104</v>
      </c>
      <c r="AH285" s="1" t="s">
        <v>104</v>
      </c>
      <c r="AI285" s="1" t="s">
        <v>104</v>
      </c>
      <c r="AJ285" s="1">
        <v>4</v>
      </c>
      <c r="AK285" s="1" t="s">
        <v>104</v>
      </c>
      <c r="AL285" s="1" t="s">
        <v>104</v>
      </c>
      <c r="AM285" s="1" t="s">
        <v>104</v>
      </c>
      <c r="AO285" s="1">
        <v>4</v>
      </c>
      <c r="AP285" s="1" t="s">
        <v>2106</v>
      </c>
      <c r="AQ285" s="1" t="s">
        <v>2107</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2" t="str">
        <f>HYPERLINK("http://www.d20pfsrd.com/magic/all-spells/i/imbue-with-spell-ability","Imbue with Spell Ability")</f>
        <v>Imbue with Spell Ability</v>
      </c>
      <c r="BR285" s="1">
        <v>284</v>
      </c>
      <c r="BS285" s="1" t="s">
        <v>104</v>
      </c>
      <c r="BX285" s="1">
        <v>0</v>
      </c>
      <c r="BY285" s="1" t="s">
        <v>104</v>
      </c>
      <c r="BZ285" s="1">
        <v>4</v>
      </c>
      <c r="CA285" s="1" t="s">
        <v>104</v>
      </c>
      <c r="CB285" s="1" t="s">
        <v>104</v>
      </c>
      <c r="CC285" s="1" t="s">
        <v>104</v>
      </c>
      <c r="CD285" s="1" t="s">
        <v>104</v>
      </c>
      <c r="CE285" s="1">
        <v>4</v>
      </c>
      <c r="CF285" s="1" t="s">
        <v>104</v>
      </c>
      <c r="CG285" s="1" t="s">
        <v>104</v>
      </c>
      <c r="CH285" s="1" t="s">
        <v>104</v>
      </c>
      <c r="CJ285" s="1">
        <v>0</v>
      </c>
      <c r="CK285" s="1">
        <v>0</v>
      </c>
      <c r="CL285" s="1">
        <v>0</v>
      </c>
      <c r="CM285" s="1" t="s">
        <v>104</v>
      </c>
    </row>
    <row r="286" spans="1:91" ht="14.25" customHeight="1" x14ac:dyDescent="0.3">
      <c r="A286" s="1" t="s">
        <v>2108</v>
      </c>
      <c r="B286" s="1" t="s">
        <v>434</v>
      </c>
      <c r="E286" s="1" t="s">
        <v>2109</v>
      </c>
      <c r="F286" s="1" t="s">
        <v>95</v>
      </c>
      <c r="G286" s="1" t="s">
        <v>116</v>
      </c>
      <c r="H286" s="1">
        <v>0</v>
      </c>
      <c r="I286" s="1" t="s">
        <v>117</v>
      </c>
      <c r="L286" s="1" t="s">
        <v>2110</v>
      </c>
      <c r="M286" s="1" t="s">
        <v>2111</v>
      </c>
      <c r="N286" s="1">
        <v>0</v>
      </c>
      <c r="O286" s="1">
        <v>0</v>
      </c>
      <c r="P286" s="1" t="s">
        <v>183</v>
      </c>
      <c r="Q286" s="1" t="s">
        <v>184</v>
      </c>
      <c r="R286" s="1" t="s">
        <v>2112</v>
      </c>
      <c r="S286" s="1" t="s">
        <v>103</v>
      </c>
      <c r="T286" s="1">
        <v>1</v>
      </c>
      <c r="U286" s="1">
        <v>1</v>
      </c>
      <c r="V286" s="1">
        <v>0</v>
      </c>
      <c r="W286" s="1">
        <v>0</v>
      </c>
      <c r="X286" s="1">
        <v>0</v>
      </c>
      <c r="Y286" s="1" t="s">
        <v>104</v>
      </c>
      <c r="Z286" s="1" t="s">
        <v>104</v>
      </c>
      <c r="AA286" s="1">
        <v>9</v>
      </c>
      <c r="AB286" s="1" t="s">
        <v>104</v>
      </c>
      <c r="AC286" s="1" t="s">
        <v>104</v>
      </c>
      <c r="AD286" s="1" t="s">
        <v>104</v>
      </c>
      <c r="AE286" s="1" t="s">
        <v>104</v>
      </c>
      <c r="AF286" s="1" t="s">
        <v>104</v>
      </c>
      <c r="AG286" s="1" t="s">
        <v>104</v>
      </c>
      <c r="AH286" s="1" t="s">
        <v>104</v>
      </c>
      <c r="AI286" s="1" t="s">
        <v>104</v>
      </c>
      <c r="AJ286" s="1">
        <v>9</v>
      </c>
      <c r="AK286" s="1" t="s">
        <v>104</v>
      </c>
      <c r="AL286" s="1" t="s">
        <v>104</v>
      </c>
      <c r="AM286" s="1" t="s">
        <v>104</v>
      </c>
      <c r="AO286" s="1">
        <v>9</v>
      </c>
      <c r="AP286" s="1" t="s">
        <v>2113</v>
      </c>
      <c r="AQ286" s="1" t="s">
        <v>2114</v>
      </c>
      <c r="AR286" s="1">
        <v>0</v>
      </c>
      <c r="AS286" s="1">
        <v>0</v>
      </c>
      <c r="AT286" s="1">
        <v>0</v>
      </c>
      <c r="AU286" s="1">
        <v>0</v>
      </c>
      <c r="AV286" s="1">
        <v>0</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2" t="str">
        <f>HYPERLINK("http://www.d20pfsrd.com/magic/all-spells/i/implosion","Implosion")</f>
        <v>Implosion</v>
      </c>
      <c r="BR286" s="1">
        <v>285</v>
      </c>
      <c r="BS286" s="1" t="s">
        <v>104</v>
      </c>
      <c r="BX286" s="1">
        <v>0</v>
      </c>
      <c r="BY286" s="1" t="s">
        <v>104</v>
      </c>
      <c r="BZ286" s="1" t="s">
        <v>104</v>
      </c>
      <c r="CA286" s="1">
        <v>9</v>
      </c>
      <c r="CB286" s="1" t="s">
        <v>104</v>
      </c>
      <c r="CC286" s="1" t="s">
        <v>104</v>
      </c>
      <c r="CD286" s="1" t="s">
        <v>104</v>
      </c>
      <c r="CE286" s="1" t="s">
        <v>104</v>
      </c>
      <c r="CF286" s="1" t="s">
        <v>104</v>
      </c>
      <c r="CG286" s="1" t="s">
        <v>104</v>
      </c>
      <c r="CH286" s="1" t="s">
        <v>104</v>
      </c>
      <c r="CJ286" s="1">
        <v>0</v>
      </c>
      <c r="CK286" s="1">
        <v>0</v>
      </c>
      <c r="CL286" s="1">
        <v>0</v>
      </c>
      <c r="CM286" s="1" t="s">
        <v>104</v>
      </c>
    </row>
    <row r="287" spans="1:91" ht="14.25" customHeight="1" x14ac:dyDescent="0.3">
      <c r="A287" s="1" t="s">
        <v>2115</v>
      </c>
      <c r="B287" s="1" t="s">
        <v>162</v>
      </c>
      <c r="E287" s="1" t="s">
        <v>919</v>
      </c>
      <c r="F287" s="1" t="s">
        <v>95</v>
      </c>
      <c r="G287" s="1" t="s">
        <v>116</v>
      </c>
      <c r="H287" s="1">
        <v>0</v>
      </c>
      <c r="I287" s="1" t="s">
        <v>128</v>
      </c>
      <c r="L287" s="1" t="s">
        <v>374</v>
      </c>
      <c r="M287" s="1" t="s">
        <v>119</v>
      </c>
      <c r="N287" s="1">
        <v>0</v>
      </c>
      <c r="O287" s="1">
        <v>0</v>
      </c>
      <c r="P287" s="1" t="s">
        <v>418</v>
      </c>
      <c r="Q287" s="1" t="s">
        <v>184</v>
      </c>
      <c r="R287" s="1" t="s">
        <v>2116</v>
      </c>
      <c r="S287" s="1" t="s">
        <v>103</v>
      </c>
      <c r="T287" s="1">
        <v>1</v>
      </c>
      <c r="U287" s="1">
        <v>1</v>
      </c>
      <c r="V287" s="1">
        <v>0</v>
      </c>
      <c r="W287" s="1">
        <v>0</v>
      </c>
      <c r="X287" s="1">
        <v>0</v>
      </c>
      <c r="Y287" s="1">
        <v>9</v>
      </c>
      <c r="Z287" s="1">
        <v>9</v>
      </c>
      <c r="AA287" s="1" t="s">
        <v>104</v>
      </c>
      <c r="AB287" s="1" t="s">
        <v>104</v>
      </c>
      <c r="AC287" s="1" t="s">
        <v>104</v>
      </c>
      <c r="AD287" s="1" t="s">
        <v>104</v>
      </c>
      <c r="AE287" s="1" t="s">
        <v>104</v>
      </c>
      <c r="AF287" s="1" t="s">
        <v>104</v>
      </c>
      <c r="AG287" s="1" t="s">
        <v>104</v>
      </c>
      <c r="AH287" s="1" t="s">
        <v>104</v>
      </c>
      <c r="AI287" s="1" t="s">
        <v>104</v>
      </c>
      <c r="AJ287" s="1" t="s">
        <v>104</v>
      </c>
      <c r="AK287" s="1" t="s">
        <v>104</v>
      </c>
      <c r="AL287" s="1" t="s">
        <v>104</v>
      </c>
      <c r="AM287" s="1" t="s">
        <v>104</v>
      </c>
      <c r="AO287" s="1">
        <v>9</v>
      </c>
      <c r="AQ287" s="1" t="s">
        <v>2117</v>
      </c>
      <c r="AR287" s="1">
        <v>0</v>
      </c>
      <c r="AS287" s="1">
        <v>0</v>
      </c>
      <c r="AT287" s="1">
        <v>0</v>
      </c>
      <c r="AU287" s="1">
        <v>0</v>
      </c>
      <c r="AV287" s="1">
        <v>0</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2" t="str">
        <f>HYPERLINK("http://www.d20pfsrd.com/magic/all-spells/i/imprisonment","Imprisonment")</f>
        <v>Imprisonment</v>
      </c>
      <c r="BR287" s="1">
        <v>286</v>
      </c>
      <c r="BS287" s="1" t="s">
        <v>104</v>
      </c>
      <c r="BT287" s="1" t="s">
        <v>2118</v>
      </c>
      <c r="BX287" s="1">
        <v>0</v>
      </c>
      <c r="BY287" s="1" t="s">
        <v>104</v>
      </c>
      <c r="BZ287" s="1" t="s">
        <v>104</v>
      </c>
      <c r="CA287" s="1">
        <v>9</v>
      </c>
      <c r="CB287" s="1" t="s">
        <v>104</v>
      </c>
      <c r="CC287" s="1" t="s">
        <v>104</v>
      </c>
      <c r="CD287" s="1" t="s">
        <v>104</v>
      </c>
      <c r="CE287" s="1" t="s">
        <v>104</v>
      </c>
      <c r="CF287" s="1" t="s">
        <v>104</v>
      </c>
      <c r="CG287" s="1" t="s">
        <v>104</v>
      </c>
      <c r="CH287" s="1" t="s">
        <v>104</v>
      </c>
      <c r="CJ287" s="1">
        <v>0</v>
      </c>
      <c r="CK287" s="1">
        <v>0</v>
      </c>
      <c r="CL287" s="1">
        <v>0</v>
      </c>
      <c r="CM287" s="1" t="s">
        <v>104</v>
      </c>
    </row>
    <row r="288" spans="1:91" ht="14.25" customHeight="1" x14ac:dyDescent="0.3">
      <c r="A288" s="1" t="s">
        <v>2119</v>
      </c>
      <c r="B288" s="1" t="s">
        <v>92</v>
      </c>
      <c r="C288" s="1" t="s">
        <v>93</v>
      </c>
      <c r="D288" s="1" t="s">
        <v>56</v>
      </c>
      <c r="E288" s="1" t="s">
        <v>2120</v>
      </c>
      <c r="F288" s="1" t="s">
        <v>95</v>
      </c>
      <c r="G288" s="1" t="s">
        <v>116</v>
      </c>
      <c r="H288" s="1">
        <v>0</v>
      </c>
      <c r="I288" s="1" t="s">
        <v>109</v>
      </c>
      <c r="J288" s="1" t="s">
        <v>711</v>
      </c>
      <c r="M288" s="1" t="s">
        <v>111</v>
      </c>
      <c r="N288" s="1">
        <v>1</v>
      </c>
      <c r="O288" s="1">
        <v>0</v>
      </c>
      <c r="P288" s="1" t="s">
        <v>1568</v>
      </c>
      <c r="Q288" s="1" t="s">
        <v>101</v>
      </c>
      <c r="R288" s="1" t="s">
        <v>2121</v>
      </c>
      <c r="S288" s="1" t="s">
        <v>103</v>
      </c>
      <c r="T288" s="1">
        <v>1</v>
      </c>
      <c r="U288" s="1">
        <v>1</v>
      </c>
      <c r="V288" s="1">
        <v>0</v>
      </c>
      <c r="W288" s="1">
        <v>0</v>
      </c>
      <c r="X288" s="1">
        <v>0</v>
      </c>
      <c r="Y288" s="1">
        <v>8</v>
      </c>
      <c r="Z288" s="1">
        <v>8</v>
      </c>
      <c r="AA288" s="1" t="s">
        <v>104</v>
      </c>
      <c r="AB288" s="1" t="s">
        <v>104</v>
      </c>
      <c r="AC288" s="1" t="s">
        <v>104</v>
      </c>
      <c r="AD288" s="1" t="s">
        <v>104</v>
      </c>
      <c r="AE288" s="1" t="s">
        <v>104</v>
      </c>
      <c r="AF288" s="1" t="s">
        <v>104</v>
      </c>
      <c r="AG288" s="1">
        <v>6</v>
      </c>
      <c r="AH288" s="1" t="s">
        <v>104</v>
      </c>
      <c r="AI288" s="1" t="s">
        <v>104</v>
      </c>
      <c r="AJ288" s="1" t="s">
        <v>104</v>
      </c>
      <c r="AK288" s="1" t="s">
        <v>104</v>
      </c>
      <c r="AL288" s="1" t="s">
        <v>104</v>
      </c>
      <c r="AM288" s="1" t="s">
        <v>104</v>
      </c>
      <c r="AO288" s="1">
        <v>8</v>
      </c>
      <c r="AP288" s="1" t="s">
        <v>2122</v>
      </c>
      <c r="AQ288" s="1" t="s">
        <v>2123</v>
      </c>
      <c r="AR288" s="1">
        <v>0</v>
      </c>
      <c r="AS288" s="1">
        <v>0</v>
      </c>
      <c r="AT288" s="1">
        <v>0</v>
      </c>
      <c r="AU288" s="1">
        <v>0</v>
      </c>
      <c r="AV288" s="1">
        <v>0</v>
      </c>
      <c r="AW288" s="1">
        <v>0</v>
      </c>
      <c r="AX288" s="1">
        <v>0</v>
      </c>
      <c r="AY288" s="1">
        <v>0</v>
      </c>
      <c r="AZ288" s="1">
        <v>0</v>
      </c>
      <c r="BA288" s="1">
        <v>0</v>
      </c>
      <c r="BB288" s="1">
        <v>0</v>
      </c>
      <c r="BC288" s="1">
        <v>0</v>
      </c>
      <c r="BD288" s="1">
        <v>0</v>
      </c>
      <c r="BE288" s="1">
        <v>1</v>
      </c>
      <c r="BF288" s="1">
        <v>0</v>
      </c>
      <c r="BG288" s="1">
        <v>0</v>
      </c>
      <c r="BH288" s="1">
        <v>0</v>
      </c>
      <c r="BI288" s="1">
        <v>0</v>
      </c>
      <c r="BJ288" s="1">
        <v>0</v>
      </c>
      <c r="BK288" s="1">
        <v>0</v>
      </c>
      <c r="BL288" s="1">
        <v>0</v>
      </c>
      <c r="BM288" s="1">
        <v>0</v>
      </c>
      <c r="BN288" s="1">
        <v>0</v>
      </c>
      <c r="BO288" s="1">
        <v>0</v>
      </c>
      <c r="BP288" s="1">
        <v>0</v>
      </c>
      <c r="BQ288" s="2" t="str">
        <f>HYPERLINK("http://www.d20pfsrd.com/magic/all-spells/i/incendiary-cloud","Incendiary Cloud")</f>
        <v>Incendiary Cloud</v>
      </c>
      <c r="BR288" s="1">
        <v>287</v>
      </c>
      <c r="BS288" s="1" t="s">
        <v>104</v>
      </c>
      <c r="BU288" s="1" t="s">
        <v>2124</v>
      </c>
      <c r="BX288" s="1">
        <v>0</v>
      </c>
      <c r="BY288" s="1" t="s">
        <v>104</v>
      </c>
      <c r="BZ288" s="1" t="s">
        <v>104</v>
      </c>
      <c r="CA288" s="1" t="s">
        <v>104</v>
      </c>
      <c r="CB288" s="1" t="s">
        <v>104</v>
      </c>
      <c r="CC288" s="1" t="s">
        <v>104</v>
      </c>
      <c r="CD288" s="1" t="s">
        <v>104</v>
      </c>
      <c r="CE288" s="1" t="s">
        <v>104</v>
      </c>
      <c r="CF288" s="1" t="s">
        <v>104</v>
      </c>
      <c r="CG288" s="1" t="s">
        <v>104</v>
      </c>
      <c r="CH288" s="1" t="s">
        <v>104</v>
      </c>
      <c r="CJ288" s="1">
        <v>0</v>
      </c>
      <c r="CK288" s="1">
        <v>0</v>
      </c>
      <c r="CL288" s="1">
        <v>0</v>
      </c>
      <c r="CM288" s="1">
        <v>6</v>
      </c>
    </row>
    <row r="289" spans="1:91" ht="14.25" customHeight="1" x14ac:dyDescent="0.3">
      <c r="A289" s="1" t="s">
        <v>2125</v>
      </c>
      <c r="B289" s="1" t="s">
        <v>216</v>
      </c>
      <c r="E289" s="1" t="s">
        <v>2126</v>
      </c>
      <c r="F289" s="1" t="s">
        <v>95</v>
      </c>
      <c r="G289" s="1" t="s">
        <v>116</v>
      </c>
      <c r="H289" s="1">
        <v>0</v>
      </c>
      <c r="I289" s="1" t="s">
        <v>128</v>
      </c>
      <c r="L289" s="1" t="s">
        <v>374</v>
      </c>
      <c r="M289" s="1" t="s">
        <v>119</v>
      </c>
      <c r="N289" s="1">
        <v>0</v>
      </c>
      <c r="O289" s="1">
        <v>0</v>
      </c>
      <c r="P289" s="1" t="s">
        <v>2127</v>
      </c>
      <c r="Q289" s="1" t="s">
        <v>184</v>
      </c>
      <c r="R289" s="1" t="s">
        <v>2128</v>
      </c>
      <c r="S289" s="1" t="s">
        <v>103</v>
      </c>
      <c r="T289" s="1">
        <v>1</v>
      </c>
      <c r="U289" s="1">
        <v>1</v>
      </c>
      <c r="V289" s="1">
        <v>0</v>
      </c>
      <c r="W289" s="1">
        <v>0</v>
      </c>
      <c r="X289" s="1">
        <v>0</v>
      </c>
      <c r="Y289" s="1" t="s">
        <v>104</v>
      </c>
      <c r="Z289" s="1" t="s">
        <v>104</v>
      </c>
      <c r="AA289" s="1">
        <v>1</v>
      </c>
      <c r="AB289" s="1" t="s">
        <v>104</v>
      </c>
      <c r="AC289" s="1" t="s">
        <v>104</v>
      </c>
      <c r="AD289" s="1" t="s">
        <v>104</v>
      </c>
      <c r="AE289" s="1" t="s">
        <v>104</v>
      </c>
      <c r="AF289" s="1" t="s">
        <v>104</v>
      </c>
      <c r="AG289" s="1" t="s">
        <v>104</v>
      </c>
      <c r="AH289" s="1">
        <v>1</v>
      </c>
      <c r="AI289" s="1">
        <v>1</v>
      </c>
      <c r="AJ289" s="1">
        <v>1</v>
      </c>
      <c r="AK289" s="1">
        <v>1</v>
      </c>
      <c r="AL289" s="1" t="s">
        <v>104</v>
      </c>
      <c r="AM289" s="1" t="s">
        <v>104</v>
      </c>
      <c r="AO289" s="1">
        <v>1</v>
      </c>
      <c r="AQ289" s="1" t="s">
        <v>2129</v>
      </c>
      <c r="AR289" s="1">
        <v>0</v>
      </c>
      <c r="AS289" s="1">
        <v>0</v>
      </c>
      <c r="AT289" s="1">
        <v>0</v>
      </c>
      <c r="AU289" s="1">
        <v>0</v>
      </c>
      <c r="AV289" s="1">
        <v>0</v>
      </c>
      <c r="AW289" s="1">
        <v>0</v>
      </c>
      <c r="AX289" s="1">
        <v>0</v>
      </c>
      <c r="AY289" s="1">
        <v>0</v>
      </c>
      <c r="AZ289" s="1">
        <v>0</v>
      </c>
      <c r="BA289" s="1">
        <v>0</v>
      </c>
      <c r="BB289" s="1">
        <v>0</v>
      </c>
      <c r="BC289" s="1">
        <v>0</v>
      </c>
      <c r="BD289" s="1">
        <v>0</v>
      </c>
      <c r="BE289" s="1">
        <v>0</v>
      </c>
      <c r="BF289" s="1">
        <v>0</v>
      </c>
      <c r="BG289" s="1">
        <v>0</v>
      </c>
      <c r="BH289" s="1">
        <v>0</v>
      </c>
      <c r="BI289" s="1">
        <v>0</v>
      </c>
      <c r="BJ289" s="1">
        <v>0</v>
      </c>
      <c r="BK289" s="1">
        <v>0</v>
      </c>
      <c r="BL289" s="1">
        <v>0</v>
      </c>
      <c r="BM289" s="1">
        <v>0</v>
      </c>
      <c r="BN289" s="1">
        <v>0</v>
      </c>
      <c r="BO289" s="1">
        <v>0</v>
      </c>
      <c r="BP289" s="1">
        <v>0</v>
      </c>
      <c r="BQ289" s="2" t="str">
        <f>HYPERLINK("http://www.d20pfsrd.com/magic/all-spells/i/inflict-light-wounds","Inflict Light Wounds")</f>
        <v>Inflict Light Wounds</v>
      </c>
      <c r="BR289" s="1">
        <v>288</v>
      </c>
      <c r="BS289" s="1" t="s">
        <v>104</v>
      </c>
      <c r="BV289" s="1" t="s">
        <v>2130</v>
      </c>
      <c r="BX289" s="1">
        <v>1</v>
      </c>
      <c r="BY289" s="1" t="s">
        <v>104</v>
      </c>
      <c r="BZ289" s="1">
        <v>1</v>
      </c>
      <c r="CA289" s="1" t="s">
        <v>104</v>
      </c>
      <c r="CB289" s="1" t="s">
        <v>104</v>
      </c>
      <c r="CC289" s="1" t="s">
        <v>104</v>
      </c>
      <c r="CD289" s="1">
        <v>1</v>
      </c>
      <c r="CE289" s="1">
        <v>1</v>
      </c>
      <c r="CF289" s="1" t="s">
        <v>104</v>
      </c>
      <c r="CG289" s="1" t="s">
        <v>104</v>
      </c>
      <c r="CH289" s="1" t="s">
        <v>104</v>
      </c>
      <c r="CJ289" s="1">
        <v>0</v>
      </c>
      <c r="CK289" s="1">
        <v>0</v>
      </c>
      <c r="CL289" s="1">
        <v>0</v>
      </c>
      <c r="CM289" s="1" t="s">
        <v>104</v>
      </c>
    </row>
    <row r="290" spans="1:91" ht="14.25" customHeight="1" x14ac:dyDescent="0.3">
      <c r="A290" s="1" t="s">
        <v>2131</v>
      </c>
      <c r="B290" s="1" t="s">
        <v>216</v>
      </c>
      <c r="E290" s="1" t="s">
        <v>2132</v>
      </c>
      <c r="F290" s="1" t="s">
        <v>95</v>
      </c>
      <c r="G290" s="1" t="s">
        <v>116</v>
      </c>
      <c r="H290" s="1">
        <v>0</v>
      </c>
      <c r="I290" s="1" t="s">
        <v>128</v>
      </c>
      <c r="L290" s="1" t="s">
        <v>374</v>
      </c>
      <c r="M290" s="1" t="s">
        <v>119</v>
      </c>
      <c r="N290" s="1">
        <v>0</v>
      </c>
      <c r="O290" s="1">
        <v>0</v>
      </c>
      <c r="P290" s="1" t="s">
        <v>2127</v>
      </c>
      <c r="Q290" s="1" t="s">
        <v>184</v>
      </c>
      <c r="R290" s="1" t="s">
        <v>2133</v>
      </c>
      <c r="S290" s="1" t="s">
        <v>103</v>
      </c>
      <c r="T290" s="1">
        <v>1</v>
      </c>
      <c r="U290" s="1">
        <v>1</v>
      </c>
      <c r="V290" s="1">
        <v>0</v>
      </c>
      <c r="W290" s="1">
        <v>0</v>
      </c>
      <c r="X290" s="1">
        <v>0</v>
      </c>
      <c r="Y290" s="1" t="s">
        <v>104</v>
      </c>
      <c r="Z290" s="1" t="s">
        <v>104</v>
      </c>
      <c r="AA290" s="1">
        <v>4</v>
      </c>
      <c r="AB290" s="1" t="s">
        <v>104</v>
      </c>
      <c r="AC290" s="1" t="s">
        <v>104</v>
      </c>
      <c r="AD290" s="1" t="s">
        <v>104</v>
      </c>
      <c r="AE290" s="1" t="s">
        <v>104</v>
      </c>
      <c r="AF290" s="1" t="s">
        <v>104</v>
      </c>
      <c r="AG290" s="1" t="s">
        <v>104</v>
      </c>
      <c r="AH290" s="1">
        <v>5</v>
      </c>
      <c r="AI290" s="1">
        <v>4</v>
      </c>
      <c r="AJ290" s="1">
        <v>4</v>
      </c>
      <c r="AK290" s="1" t="s">
        <v>104</v>
      </c>
      <c r="AL290" s="1" t="s">
        <v>104</v>
      </c>
      <c r="AM290" s="1" t="s">
        <v>104</v>
      </c>
      <c r="AO290" s="1">
        <v>4</v>
      </c>
      <c r="AP290" s="1" t="s">
        <v>2134</v>
      </c>
      <c r="AQ290" s="1" t="s">
        <v>2135</v>
      </c>
      <c r="AR290" s="1">
        <v>0</v>
      </c>
      <c r="AS290" s="1">
        <v>0</v>
      </c>
      <c r="AT290" s="1">
        <v>0</v>
      </c>
      <c r="AU290" s="1">
        <v>0</v>
      </c>
      <c r="AV290" s="1">
        <v>0</v>
      </c>
      <c r="AW290" s="1">
        <v>0</v>
      </c>
      <c r="AX290" s="1">
        <v>0</v>
      </c>
      <c r="AY290" s="1">
        <v>0</v>
      </c>
      <c r="AZ290" s="1">
        <v>0</v>
      </c>
      <c r="BA290" s="1">
        <v>0</v>
      </c>
      <c r="BB290" s="1">
        <v>0</v>
      </c>
      <c r="BC290" s="1">
        <v>0</v>
      </c>
      <c r="BD290" s="1">
        <v>0</v>
      </c>
      <c r="BE290" s="1">
        <v>0</v>
      </c>
      <c r="BF290" s="1">
        <v>0</v>
      </c>
      <c r="BG290" s="1">
        <v>0</v>
      </c>
      <c r="BH290" s="1">
        <v>0</v>
      </c>
      <c r="BI290" s="1">
        <v>0</v>
      </c>
      <c r="BJ290" s="1">
        <v>0</v>
      </c>
      <c r="BK290" s="1">
        <v>0</v>
      </c>
      <c r="BL290" s="1">
        <v>0</v>
      </c>
      <c r="BM290" s="1">
        <v>0</v>
      </c>
      <c r="BN290" s="1">
        <v>0</v>
      </c>
      <c r="BO290" s="1">
        <v>0</v>
      </c>
      <c r="BP290" s="1">
        <v>0</v>
      </c>
      <c r="BQ290" s="2" t="str">
        <f>HYPERLINK("http://www.d20pfsrd.com/magic/all-spells/i/inflict-critical-wounds","Inflict Critical Wounds")</f>
        <v>Inflict Critical Wounds</v>
      </c>
      <c r="BR290" s="1">
        <v>289</v>
      </c>
      <c r="BS290" s="1" t="s">
        <v>104</v>
      </c>
      <c r="BV290" s="1" t="s">
        <v>2136</v>
      </c>
      <c r="BX290" s="1">
        <v>1</v>
      </c>
      <c r="BY290" s="1" t="s">
        <v>104</v>
      </c>
      <c r="BZ290" s="1">
        <v>4</v>
      </c>
      <c r="CA290" s="1" t="s">
        <v>104</v>
      </c>
      <c r="CB290" s="1" t="s">
        <v>104</v>
      </c>
      <c r="CC290" s="1" t="s">
        <v>104</v>
      </c>
      <c r="CD290" s="1">
        <v>4</v>
      </c>
      <c r="CE290" s="1">
        <v>4</v>
      </c>
      <c r="CF290" s="1" t="s">
        <v>104</v>
      </c>
      <c r="CG290" s="1" t="s">
        <v>104</v>
      </c>
      <c r="CH290" s="1" t="s">
        <v>104</v>
      </c>
      <c r="CJ290" s="1">
        <v>0</v>
      </c>
      <c r="CK290" s="1">
        <v>0</v>
      </c>
      <c r="CL290" s="1">
        <v>0</v>
      </c>
      <c r="CM290" s="1" t="s">
        <v>104</v>
      </c>
    </row>
    <row r="291" spans="1:91" ht="14.25" customHeight="1" x14ac:dyDescent="0.3">
      <c r="A291" s="1" t="s">
        <v>2137</v>
      </c>
      <c r="B291" s="1" t="s">
        <v>216</v>
      </c>
      <c r="E291" s="1" t="s">
        <v>2138</v>
      </c>
      <c r="F291" s="1" t="s">
        <v>95</v>
      </c>
      <c r="G291" s="1" t="s">
        <v>116</v>
      </c>
      <c r="H291" s="1">
        <v>0</v>
      </c>
      <c r="I291" s="1" t="s">
        <v>117</v>
      </c>
      <c r="L291" s="1" t="s">
        <v>541</v>
      </c>
      <c r="M291" s="1" t="s">
        <v>119</v>
      </c>
      <c r="N291" s="1">
        <v>0</v>
      </c>
      <c r="O291" s="1">
        <v>0</v>
      </c>
      <c r="P291" s="1" t="s">
        <v>2127</v>
      </c>
      <c r="Q291" s="1" t="s">
        <v>184</v>
      </c>
      <c r="R291" s="1" t="s">
        <v>2139</v>
      </c>
      <c r="S291" s="1" t="s">
        <v>103</v>
      </c>
      <c r="T291" s="1">
        <v>1</v>
      </c>
      <c r="U291" s="1">
        <v>1</v>
      </c>
      <c r="V291" s="1">
        <v>0</v>
      </c>
      <c r="W291" s="1">
        <v>0</v>
      </c>
      <c r="X291" s="1">
        <v>0</v>
      </c>
      <c r="Y291" s="1" t="s">
        <v>104</v>
      </c>
      <c r="Z291" s="1" t="s">
        <v>104</v>
      </c>
      <c r="AA291" s="1">
        <v>8</v>
      </c>
      <c r="AB291" s="1" t="s">
        <v>104</v>
      </c>
      <c r="AC291" s="1" t="s">
        <v>104</v>
      </c>
      <c r="AD291" s="1" t="s">
        <v>104</v>
      </c>
      <c r="AE291" s="1" t="s">
        <v>104</v>
      </c>
      <c r="AF291" s="1" t="s">
        <v>104</v>
      </c>
      <c r="AG291" s="1" t="s">
        <v>104</v>
      </c>
      <c r="AH291" s="1">
        <v>9</v>
      </c>
      <c r="AI291" s="1" t="s">
        <v>104</v>
      </c>
      <c r="AJ291" s="1">
        <v>8</v>
      </c>
      <c r="AK291" s="1" t="s">
        <v>104</v>
      </c>
      <c r="AL291" s="1" t="s">
        <v>104</v>
      </c>
      <c r="AM291" s="1" t="s">
        <v>104</v>
      </c>
      <c r="AO291" s="1">
        <v>8</v>
      </c>
      <c r="AQ291" s="1" t="s">
        <v>2140</v>
      </c>
      <c r="AR291" s="1">
        <v>0</v>
      </c>
      <c r="AS291" s="1">
        <v>0</v>
      </c>
      <c r="AT291" s="1">
        <v>0</v>
      </c>
      <c r="AU291" s="1">
        <v>0</v>
      </c>
      <c r="AV291" s="1">
        <v>0</v>
      </c>
      <c r="AW291" s="1">
        <v>0</v>
      </c>
      <c r="AX291" s="1">
        <v>0</v>
      </c>
      <c r="AY291" s="1">
        <v>0</v>
      </c>
      <c r="AZ291" s="1">
        <v>0</v>
      </c>
      <c r="BA291" s="1">
        <v>0</v>
      </c>
      <c r="BB291" s="1">
        <v>0</v>
      </c>
      <c r="BC291" s="1">
        <v>0</v>
      </c>
      <c r="BD291" s="1">
        <v>0</v>
      </c>
      <c r="BE291" s="1">
        <v>0</v>
      </c>
      <c r="BF291" s="1">
        <v>0</v>
      </c>
      <c r="BG291" s="1">
        <v>0</v>
      </c>
      <c r="BH291" s="1">
        <v>0</v>
      </c>
      <c r="BI291" s="1">
        <v>0</v>
      </c>
      <c r="BJ291" s="1">
        <v>0</v>
      </c>
      <c r="BK291" s="1">
        <v>0</v>
      </c>
      <c r="BL291" s="1">
        <v>0</v>
      </c>
      <c r="BM291" s="1">
        <v>0</v>
      </c>
      <c r="BN291" s="1">
        <v>0</v>
      </c>
      <c r="BO291" s="1">
        <v>0</v>
      </c>
      <c r="BP291" s="1">
        <v>0</v>
      </c>
      <c r="BQ291" s="2" t="str">
        <f>HYPERLINK("http://www.d20pfsrd.com/magic/all-spells/i/inflict-critical-wounds","Inflict Critical Wounds, Mass")</f>
        <v>Inflict Critical Wounds, Mass</v>
      </c>
      <c r="BR291" s="1">
        <v>290</v>
      </c>
      <c r="BS291" s="1" t="s">
        <v>104</v>
      </c>
      <c r="BX291" s="1">
        <v>0</v>
      </c>
      <c r="BY291" s="1" t="s">
        <v>104</v>
      </c>
      <c r="BZ291" s="1">
        <v>8</v>
      </c>
      <c r="CA291" s="1" t="s">
        <v>104</v>
      </c>
      <c r="CB291" s="1" t="s">
        <v>104</v>
      </c>
      <c r="CC291" s="1" t="s">
        <v>104</v>
      </c>
      <c r="CD291" s="1" t="s">
        <v>104</v>
      </c>
      <c r="CE291" s="1" t="s">
        <v>104</v>
      </c>
      <c r="CF291" s="1" t="s">
        <v>104</v>
      </c>
      <c r="CG291" s="1" t="s">
        <v>104</v>
      </c>
      <c r="CH291" s="1" t="s">
        <v>104</v>
      </c>
      <c r="CJ291" s="1">
        <v>0</v>
      </c>
      <c r="CK291" s="1">
        <v>0</v>
      </c>
      <c r="CL291" s="1">
        <v>0</v>
      </c>
      <c r="CM291" s="1" t="s">
        <v>104</v>
      </c>
    </row>
    <row r="292" spans="1:91" ht="14.25" customHeight="1" x14ac:dyDescent="0.3">
      <c r="A292" s="1" t="s">
        <v>2141</v>
      </c>
      <c r="B292" s="1" t="s">
        <v>216</v>
      </c>
      <c r="E292" s="1" t="s">
        <v>2142</v>
      </c>
      <c r="F292" s="1" t="s">
        <v>95</v>
      </c>
      <c r="G292" s="1" t="s">
        <v>116</v>
      </c>
      <c r="H292" s="1">
        <v>0</v>
      </c>
      <c r="I292" s="1" t="s">
        <v>117</v>
      </c>
      <c r="L292" s="1" t="s">
        <v>541</v>
      </c>
      <c r="M292" s="1" t="s">
        <v>119</v>
      </c>
      <c r="N292" s="1">
        <v>0</v>
      </c>
      <c r="O292" s="1">
        <v>0</v>
      </c>
      <c r="P292" s="1" t="s">
        <v>2127</v>
      </c>
      <c r="Q292" s="1" t="s">
        <v>184</v>
      </c>
      <c r="R292" s="1" t="s">
        <v>2143</v>
      </c>
      <c r="S292" s="1" t="s">
        <v>103</v>
      </c>
      <c r="T292" s="1">
        <v>1</v>
      </c>
      <c r="U292" s="1">
        <v>1</v>
      </c>
      <c r="V292" s="1">
        <v>0</v>
      </c>
      <c r="W292" s="1">
        <v>0</v>
      </c>
      <c r="X292" s="1">
        <v>0</v>
      </c>
      <c r="Y292" s="1" t="s">
        <v>104</v>
      </c>
      <c r="Z292" s="1" t="s">
        <v>104</v>
      </c>
      <c r="AA292" s="1">
        <v>5</v>
      </c>
      <c r="AB292" s="1" t="s">
        <v>104</v>
      </c>
      <c r="AC292" s="1" t="s">
        <v>104</v>
      </c>
      <c r="AD292" s="1" t="s">
        <v>104</v>
      </c>
      <c r="AE292" s="1" t="s">
        <v>104</v>
      </c>
      <c r="AF292" s="1" t="s">
        <v>104</v>
      </c>
      <c r="AG292" s="1" t="s">
        <v>104</v>
      </c>
      <c r="AH292" s="1">
        <v>6</v>
      </c>
      <c r="AI292" s="1">
        <v>5</v>
      </c>
      <c r="AJ292" s="1">
        <v>5</v>
      </c>
      <c r="AK292" s="1" t="s">
        <v>104</v>
      </c>
      <c r="AL292" s="1" t="s">
        <v>104</v>
      </c>
      <c r="AM292" s="1" t="s">
        <v>104</v>
      </c>
      <c r="AO292" s="1">
        <v>5</v>
      </c>
      <c r="AQ292" s="1" t="s">
        <v>2144</v>
      </c>
      <c r="AR292" s="1">
        <v>0</v>
      </c>
      <c r="AS292" s="1">
        <v>0</v>
      </c>
      <c r="AT292" s="1">
        <v>0</v>
      </c>
      <c r="AU292" s="1">
        <v>0</v>
      </c>
      <c r="AV292" s="1">
        <v>0</v>
      </c>
      <c r="AW292" s="1">
        <v>0</v>
      </c>
      <c r="AX292" s="1">
        <v>0</v>
      </c>
      <c r="AY292" s="1">
        <v>0</v>
      </c>
      <c r="AZ292" s="1">
        <v>0</v>
      </c>
      <c r="BA292" s="1">
        <v>0</v>
      </c>
      <c r="BB292" s="1">
        <v>0</v>
      </c>
      <c r="BC292" s="1">
        <v>0</v>
      </c>
      <c r="BD292" s="1">
        <v>0</v>
      </c>
      <c r="BE292" s="1">
        <v>0</v>
      </c>
      <c r="BF292" s="1">
        <v>0</v>
      </c>
      <c r="BG292" s="1">
        <v>0</v>
      </c>
      <c r="BH292" s="1">
        <v>0</v>
      </c>
      <c r="BI292" s="1">
        <v>0</v>
      </c>
      <c r="BJ292" s="1">
        <v>0</v>
      </c>
      <c r="BK292" s="1">
        <v>0</v>
      </c>
      <c r="BL292" s="1">
        <v>0</v>
      </c>
      <c r="BM292" s="1">
        <v>0</v>
      </c>
      <c r="BN292" s="1">
        <v>0</v>
      </c>
      <c r="BO292" s="1">
        <v>0</v>
      </c>
      <c r="BP292" s="1">
        <v>0</v>
      </c>
      <c r="BQ292" s="2" t="str">
        <f>HYPERLINK("http://www.d20pfsrd.com/magic/all-spells/i/inflict-light-wounds","Inflict Light Wounds, Mass")</f>
        <v>Inflict Light Wounds, Mass</v>
      </c>
      <c r="BR292" s="1">
        <v>291</v>
      </c>
      <c r="BS292" s="1" t="s">
        <v>104</v>
      </c>
      <c r="BX292" s="1">
        <v>0</v>
      </c>
      <c r="BY292" s="1" t="s">
        <v>104</v>
      </c>
      <c r="BZ292" s="1">
        <v>5</v>
      </c>
      <c r="CA292" s="1" t="s">
        <v>104</v>
      </c>
      <c r="CB292" s="1" t="s">
        <v>104</v>
      </c>
      <c r="CC292" s="1" t="s">
        <v>104</v>
      </c>
      <c r="CD292" s="1">
        <v>5</v>
      </c>
      <c r="CE292" s="1" t="s">
        <v>104</v>
      </c>
      <c r="CF292" s="1" t="s">
        <v>104</v>
      </c>
      <c r="CG292" s="1" t="s">
        <v>104</v>
      </c>
      <c r="CH292" s="1" t="s">
        <v>104</v>
      </c>
      <c r="CJ292" s="1">
        <v>0</v>
      </c>
      <c r="CK292" s="1">
        <v>0</v>
      </c>
      <c r="CL292" s="1">
        <v>0</v>
      </c>
      <c r="CM292" s="1" t="s">
        <v>104</v>
      </c>
    </row>
    <row r="293" spans="1:91" ht="14.25" customHeight="1" x14ac:dyDescent="0.3">
      <c r="A293" s="1" t="s">
        <v>2145</v>
      </c>
      <c r="B293" s="1" t="s">
        <v>216</v>
      </c>
      <c r="E293" s="1" t="s">
        <v>2146</v>
      </c>
      <c r="F293" s="1" t="s">
        <v>95</v>
      </c>
      <c r="G293" s="1" t="s">
        <v>116</v>
      </c>
      <c r="H293" s="1">
        <v>0</v>
      </c>
      <c r="I293" s="1" t="s">
        <v>128</v>
      </c>
      <c r="L293" s="1" t="s">
        <v>374</v>
      </c>
      <c r="M293" s="1" t="s">
        <v>119</v>
      </c>
      <c r="N293" s="1">
        <v>0</v>
      </c>
      <c r="O293" s="1">
        <v>0</v>
      </c>
      <c r="P293" s="1" t="s">
        <v>2127</v>
      </c>
      <c r="Q293" s="1" t="s">
        <v>184</v>
      </c>
      <c r="R293" s="1" t="s">
        <v>2147</v>
      </c>
      <c r="S293" s="1" t="s">
        <v>103</v>
      </c>
      <c r="T293" s="1">
        <v>1</v>
      </c>
      <c r="U293" s="1">
        <v>1</v>
      </c>
      <c r="V293" s="1">
        <v>0</v>
      </c>
      <c r="W293" s="1">
        <v>0</v>
      </c>
      <c r="X293" s="1">
        <v>0</v>
      </c>
      <c r="Y293" s="1" t="s">
        <v>104</v>
      </c>
      <c r="Z293" s="1" t="s">
        <v>104</v>
      </c>
      <c r="AA293" s="1">
        <v>2</v>
      </c>
      <c r="AB293" s="1" t="s">
        <v>104</v>
      </c>
      <c r="AC293" s="1" t="s">
        <v>104</v>
      </c>
      <c r="AD293" s="1" t="s">
        <v>104</v>
      </c>
      <c r="AE293" s="1" t="s">
        <v>104</v>
      </c>
      <c r="AF293" s="1" t="s">
        <v>104</v>
      </c>
      <c r="AG293" s="1" t="s">
        <v>104</v>
      </c>
      <c r="AH293" s="1">
        <v>2</v>
      </c>
      <c r="AI293" s="1">
        <v>2</v>
      </c>
      <c r="AJ293" s="1">
        <v>2</v>
      </c>
      <c r="AK293" s="1">
        <v>3</v>
      </c>
      <c r="AL293" s="1" t="s">
        <v>104</v>
      </c>
      <c r="AM293" s="1" t="s">
        <v>104</v>
      </c>
      <c r="AO293" s="1">
        <v>2</v>
      </c>
      <c r="AQ293" s="1" t="s">
        <v>2148</v>
      </c>
      <c r="AR293" s="1">
        <v>0</v>
      </c>
      <c r="AS293" s="1">
        <v>0</v>
      </c>
      <c r="AT293" s="1">
        <v>0</v>
      </c>
      <c r="AU293" s="1">
        <v>0</v>
      </c>
      <c r="AV293" s="1">
        <v>0</v>
      </c>
      <c r="AW293" s="1">
        <v>0</v>
      </c>
      <c r="AX293" s="1">
        <v>0</v>
      </c>
      <c r="AY293" s="1">
        <v>0</v>
      </c>
      <c r="AZ293" s="1">
        <v>0</v>
      </c>
      <c r="BA293" s="1">
        <v>0</v>
      </c>
      <c r="BB293" s="1">
        <v>0</v>
      </c>
      <c r="BC293" s="1">
        <v>0</v>
      </c>
      <c r="BD293" s="1">
        <v>0</v>
      </c>
      <c r="BE293" s="1">
        <v>0</v>
      </c>
      <c r="BF293" s="1">
        <v>0</v>
      </c>
      <c r="BG293" s="1">
        <v>0</v>
      </c>
      <c r="BH293" s="1">
        <v>0</v>
      </c>
      <c r="BI293" s="1">
        <v>0</v>
      </c>
      <c r="BJ293" s="1">
        <v>0</v>
      </c>
      <c r="BK293" s="1">
        <v>0</v>
      </c>
      <c r="BL293" s="1">
        <v>0</v>
      </c>
      <c r="BM293" s="1">
        <v>0</v>
      </c>
      <c r="BN293" s="1">
        <v>0</v>
      </c>
      <c r="BO293" s="1">
        <v>0</v>
      </c>
      <c r="BP293" s="1">
        <v>0</v>
      </c>
      <c r="BQ293" s="2" t="str">
        <f>HYPERLINK("http://www.d20pfsrd.com/magic/all-spells/i/inflict-moderate-wounds","Inflict Moderate Wounds")</f>
        <v>Inflict Moderate Wounds</v>
      </c>
      <c r="BR293" s="1">
        <v>292</v>
      </c>
      <c r="BS293" s="1" t="s">
        <v>104</v>
      </c>
      <c r="BV293" s="1" t="s">
        <v>2149</v>
      </c>
      <c r="BX293" s="1">
        <v>1</v>
      </c>
      <c r="BY293" s="1" t="s">
        <v>104</v>
      </c>
      <c r="BZ293" s="1">
        <v>2</v>
      </c>
      <c r="CA293" s="1" t="s">
        <v>104</v>
      </c>
      <c r="CB293" s="1" t="s">
        <v>104</v>
      </c>
      <c r="CC293" s="1" t="s">
        <v>104</v>
      </c>
      <c r="CD293" s="1">
        <v>2</v>
      </c>
      <c r="CE293" s="1">
        <v>2</v>
      </c>
      <c r="CF293" s="1" t="s">
        <v>104</v>
      </c>
      <c r="CG293" s="1" t="s">
        <v>104</v>
      </c>
      <c r="CH293" s="1" t="s">
        <v>104</v>
      </c>
      <c r="CJ293" s="1">
        <v>0</v>
      </c>
      <c r="CK293" s="1">
        <v>0</v>
      </c>
      <c r="CL293" s="1">
        <v>0</v>
      </c>
      <c r="CM293" s="1" t="s">
        <v>104</v>
      </c>
    </row>
    <row r="294" spans="1:91" ht="14.25" customHeight="1" x14ac:dyDescent="0.3">
      <c r="A294" s="1" t="s">
        <v>2150</v>
      </c>
      <c r="B294" s="1" t="s">
        <v>216</v>
      </c>
      <c r="E294" s="1" t="s">
        <v>2151</v>
      </c>
      <c r="F294" s="1" t="s">
        <v>95</v>
      </c>
      <c r="G294" s="1" t="s">
        <v>116</v>
      </c>
      <c r="H294" s="1">
        <v>0</v>
      </c>
      <c r="I294" s="1" t="s">
        <v>117</v>
      </c>
      <c r="L294" s="1" t="s">
        <v>541</v>
      </c>
      <c r="M294" s="1" t="s">
        <v>119</v>
      </c>
      <c r="N294" s="1">
        <v>0</v>
      </c>
      <c r="O294" s="1">
        <v>0</v>
      </c>
      <c r="P294" s="1" t="s">
        <v>2127</v>
      </c>
      <c r="Q294" s="1" t="s">
        <v>184</v>
      </c>
      <c r="R294" s="1" t="s">
        <v>2152</v>
      </c>
      <c r="S294" s="1" t="s">
        <v>103</v>
      </c>
      <c r="T294" s="1">
        <v>1</v>
      </c>
      <c r="U294" s="1">
        <v>1</v>
      </c>
      <c r="V294" s="1">
        <v>0</v>
      </c>
      <c r="W294" s="1">
        <v>0</v>
      </c>
      <c r="X294" s="1">
        <v>0</v>
      </c>
      <c r="Y294" s="1" t="s">
        <v>104</v>
      </c>
      <c r="Z294" s="1" t="s">
        <v>104</v>
      </c>
      <c r="AA294" s="1">
        <v>6</v>
      </c>
      <c r="AB294" s="1" t="s">
        <v>104</v>
      </c>
      <c r="AC294" s="1" t="s">
        <v>104</v>
      </c>
      <c r="AD294" s="1" t="s">
        <v>104</v>
      </c>
      <c r="AE294" s="1" t="s">
        <v>104</v>
      </c>
      <c r="AF294" s="1" t="s">
        <v>104</v>
      </c>
      <c r="AG294" s="1" t="s">
        <v>104</v>
      </c>
      <c r="AH294" s="1">
        <v>7</v>
      </c>
      <c r="AI294" s="1">
        <v>6</v>
      </c>
      <c r="AJ294" s="1">
        <v>6</v>
      </c>
      <c r="AK294" s="1" t="s">
        <v>104</v>
      </c>
      <c r="AL294" s="1" t="s">
        <v>104</v>
      </c>
      <c r="AM294" s="1" t="s">
        <v>104</v>
      </c>
      <c r="AO294" s="1">
        <v>6</v>
      </c>
      <c r="AQ294" s="1" t="s">
        <v>2153</v>
      </c>
      <c r="AR294" s="1">
        <v>0</v>
      </c>
      <c r="AS294" s="1">
        <v>0</v>
      </c>
      <c r="AT294" s="1">
        <v>0</v>
      </c>
      <c r="AU294" s="1">
        <v>0</v>
      </c>
      <c r="AV294" s="1">
        <v>0</v>
      </c>
      <c r="AW294" s="1">
        <v>0</v>
      </c>
      <c r="AX294" s="1">
        <v>0</v>
      </c>
      <c r="AY294" s="1">
        <v>0</v>
      </c>
      <c r="AZ294" s="1">
        <v>0</v>
      </c>
      <c r="BA294" s="1">
        <v>0</v>
      </c>
      <c r="BB294" s="1">
        <v>0</v>
      </c>
      <c r="BC294" s="1">
        <v>0</v>
      </c>
      <c r="BD294" s="1">
        <v>0</v>
      </c>
      <c r="BE294" s="1">
        <v>0</v>
      </c>
      <c r="BF294" s="1">
        <v>0</v>
      </c>
      <c r="BG294" s="1">
        <v>0</v>
      </c>
      <c r="BH294" s="1">
        <v>0</v>
      </c>
      <c r="BI294" s="1">
        <v>0</v>
      </c>
      <c r="BJ294" s="1">
        <v>0</v>
      </c>
      <c r="BK294" s="1">
        <v>0</v>
      </c>
      <c r="BL294" s="1">
        <v>0</v>
      </c>
      <c r="BM294" s="1">
        <v>0</v>
      </c>
      <c r="BN294" s="1">
        <v>0</v>
      </c>
      <c r="BO294" s="1">
        <v>0</v>
      </c>
      <c r="BP294" s="1">
        <v>0</v>
      </c>
      <c r="BQ294" s="2" t="str">
        <f>HYPERLINK("http://www.d20pfsrd.com/magic/all-spells/i/inflict-moderate-wounds","Inflict Moderate Wounds, Mass")</f>
        <v>Inflict Moderate Wounds, Mass</v>
      </c>
      <c r="BR294" s="1">
        <v>293</v>
      </c>
      <c r="BS294" s="1" t="s">
        <v>104</v>
      </c>
      <c r="BX294" s="1">
        <v>0</v>
      </c>
      <c r="BY294" s="1" t="s">
        <v>104</v>
      </c>
      <c r="BZ294" s="1">
        <v>6</v>
      </c>
      <c r="CA294" s="1" t="s">
        <v>104</v>
      </c>
      <c r="CB294" s="1" t="s">
        <v>104</v>
      </c>
      <c r="CC294" s="1" t="s">
        <v>104</v>
      </c>
      <c r="CD294" s="1">
        <v>6</v>
      </c>
      <c r="CE294" s="1" t="s">
        <v>104</v>
      </c>
      <c r="CF294" s="1" t="s">
        <v>104</v>
      </c>
      <c r="CG294" s="1" t="s">
        <v>104</v>
      </c>
      <c r="CH294" s="1" t="s">
        <v>104</v>
      </c>
      <c r="CJ294" s="1">
        <v>0</v>
      </c>
      <c r="CK294" s="1">
        <v>0</v>
      </c>
      <c r="CL294" s="1">
        <v>0</v>
      </c>
      <c r="CM294" s="1" t="s">
        <v>104</v>
      </c>
    </row>
    <row r="295" spans="1:91" ht="14.25" customHeight="1" x14ac:dyDescent="0.3">
      <c r="A295" s="1" t="s">
        <v>2154</v>
      </c>
      <c r="B295" s="1" t="s">
        <v>216</v>
      </c>
      <c r="E295" s="1" t="s">
        <v>2155</v>
      </c>
      <c r="F295" s="1" t="s">
        <v>95</v>
      </c>
      <c r="G295" s="1" t="s">
        <v>116</v>
      </c>
      <c r="H295" s="1">
        <v>0</v>
      </c>
      <c r="I295" s="1" t="s">
        <v>128</v>
      </c>
      <c r="L295" s="1" t="s">
        <v>374</v>
      </c>
      <c r="M295" s="1" t="s">
        <v>119</v>
      </c>
      <c r="N295" s="1">
        <v>0</v>
      </c>
      <c r="O295" s="1">
        <v>0</v>
      </c>
      <c r="P295" s="1" t="s">
        <v>2127</v>
      </c>
      <c r="Q295" s="1" t="s">
        <v>184</v>
      </c>
      <c r="R295" s="1" t="s">
        <v>2156</v>
      </c>
      <c r="S295" s="1" t="s">
        <v>103</v>
      </c>
      <c r="T295" s="1">
        <v>1</v>
      </c>
      <c r="U295" s="1">
        <v>1</v>
      </c>
      <c r="V295" s="1">
        <v>0</v>
      </c>
      <c r="W295" s="1">
        <v>0</v>
      </c>
      <c r="X295" s="1">
        <v>0</v>
      </c>
      <c r="Y295" s="1" t="s">
        <v>104</v>
      </c>
      <c r="Z295" s="1" t="s">
        <v>104</v>
      </c>
      <c r="AA295" s="1">
        <v>3</v>
      </c>
      <c r="AB295" s="1" t="s">
        <v>104</v>
      </c>
      <c r="AC295" s="1" t="s">
        <v>104</v>
      </c>
      <c r="AD295" s="1" t="s">
        <v>104</v>
      </c>
      <c r="AE295" s="1" t="s">
        <v>104</v>
      </c>
      <c r="AF295" s="1" t="s">
        <v>104</v>
      </c>
      <c r="AG295" s="1" t="s">
        <v>104</v>
      </c>
      <c r="AH295" s="1">
        <v>4</v>
      </c>
      <c r="AI295" s="1">
        <v>3</v>
      </c>
      <c r="AJ295" s="1">
        <v>3</v>
      </c>
      <c r="AK295" s="1">
        <v>4</v>
      </c>
      <c r="AL295" s="1" t="s">
        <v>104</v>
      </c>
      <c r="AM295" s="1" t="s">
        <v>104</v>
      </c>
      <c r="AO295" s="1">
        <v>3</v>
      </c>
      <c r="AQ295" s="1" t="s">
        <v>2157</v>
      </c>
      <c r="AR295" s="1">
        <v>0</v>
      </c>
      <c r="AS295" s="1">
        <v>0</v>
      </c>
      <c r="AT295" s="1">
        <v>0</v>
      </c>
      <c r="AU295" s="1">
        <v>0</v>
      </c>
      <c r="AV295" s="1">
        <v>0</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0</v>
      </c>
      <c r="BO295" s="1">
        <v>0</v>
      </c>
      <c r="BP295" s="1">
        <v>0</v>
      </c>
      <c r="BQ295" s="2" t="str">
        <f>HYPERLINK("http://www.d20pfsrd.com/magic/all-spells/i/inflict-serious-wounds","Inflict Serious Wounds")</f>
        <v>Inflict Serious Wounds</v>
      </c>
      <c r="BR295" s="1">
        <v>294</v>
      </c>
      <c r="BS295" s="1" t="s">
        <v>104</v>
      </c>
      <c r="BV295" s="1" t="s">
        <v>2158</v>
      </c>
      <c r="BX295" s="1">
        <v>1</v>
      </c>
      <c r="BY295" s="1" t="s">
        <v>104</v>
      </c>
      <c r="BZ295" s="1">
        <v>3</v>
      </c>
      <c r="CA295" s="1" t="s">
        <v>104</v>
      </c>
      <c r="CB295" s="1" t="s">
        <v>104</v>
      </c>
      <c r="CC295" s="1" t="s">
        <v>104</v>
      </c>
      <c r="CD295" s="1">
        <v>3</v>
      </c>
      <c r="CE295" s="1">
        <v>3</v>
      </c>
      <c r="CF295" s="1" t="s">
        <v>104</v>
      </c>
      <c r="CG295" s="1" t="s">
        <v>104</v>
      </c>
      <c r="CH295" s="1" t="s">
        <v>104</v>
      </c>
      <c r="CJ295" s="1">
        <v>0</v>
      </c>
      <c r="CK295" s="1">
        <v>0</v>
      </c>
      <c r="CL295" s="1">
        <v>0</v>
      </c>
      <c r="CM295" s="1" t="s">
        <v>104</v>
      </c>
    </row>
    <row r="296" spans="1:91" ht="14.25" customHeight="1" x14ac:dyDescent="0.3">
      <c r="A296" s="1" t="s">
        <v>2159</v>
      </c>
      <c r="B296" s="1" t="s">
        <v>216</v>
      </c>
      <c r="E296" s="1" t="s">
        <v>2160</v>
      </c>
      <c r="F296" s="1" t="s">
        <v>95</v>
      </c>
      <c r="G296" s="1" t="s">
        <v>116</v>
      </c>
      <c r="H296" s="1">
        <v>0</v>
      </c>
      <c r="I296" s="1" t="s">
        <v>117</v>
      </c>
      <c r="L296" s="1" t="s">
        <v>541</v>
      </c>
      <c r="M296" s="1" t="s">
        <v>119</v>
      </c>
      <c r="N296" s="1">
        <v>0</v>
      </c>
      <c r="O296" s="1">
        <v>0</v>
      </c>
      <c r="P296" s="1" t="s">
        <v>2127</v>
      </c>
      <c r="Q296" s="1" t="s">
        <v>184</v>
      </c>
      <c r="R296" s="1" t="s">
        <v>2161</v>
      </c>
      <c r="S296" s="1" t="s">
        <v>103</v>
      </c>
      <c r="T296" s="1">
        <v>1</v>
      </c>
      <c r="U296" s="1">
        <v>1</v>
      </c>
      <c r="V296" s="1">
        <v>0</v>
      </c>
      <c r="W296" s="1">
        <v>0</v>
      </c>
      <c r="X296" s="1">
        <v>0</v>
      </c>
      <c r="Y296" s="1" t="s">
        <v>104</v>
      </c>
      <c r="Z296" s="1" t="s">
        <v>104</v>
      </c>
      <c r="AA296" s="1">
        <v>7</v>
      </c>
      <c r="AB296" s="1" t="s">
        <v>104</v>
      </c>
      <c r="AC296" s="1" t="s">
        <v>104</v>
      </c>
      <c r="AD296" s="1" t="s">
        <v>104</v>
      </c>
      <c r="AE296" s="1" t="s">
        <v>104</v>
      </c>
      <c r="AF296" s="1" t="s">
        <v>104</v>
      </c>
      <c r="AG296" s="1" t="s">
        <v>104</v>
      </c>
      <c r="AH296" s="1">
        <v>8</v>
      </c>
      <c r="AI296" s="1" t="s">
        <v>104</v>
      </c>
      <c r="AJ296" s="1">
        <v>7</v>
      </c>
      <c r="AK296" s="1" t="s">
        <v>104</v>
      </c>
      <c r="AL296" s="1" t="s">
        <v>104</v>
      </c>
      <c r="AM296" s="1" t="s">
        <v>104</v>
      </c>
      <c r="AO296" s="1">
        <v>7</v>
      </c>
      <c r="AP296" s="1" t="s">
        <v>2162</v>
      </c>
      <c r="AQ296" s="1" t="s">
        <v>2163</v>
      </c>
      <c r="AR296" s="1">
        <v>0</v>
      </c>
      <c r="AS296" s="1">
        <v>0</v>
      </c>
      <c r="AT296" s="1">
        <v>0</v>
      </c>
      <c r="AU296" s="1">
        <v>0</v>
      </c>
      <c r="AV296" s="1">
        <v>0</v>
      </c>
      <c r="AW296" s="1">
        <v>0</v>
      </c>
      <c r="AX296" s="1">
        <v>0</v>
      </c>
      <c r="AY296" s="1">
        <v>0</v>
      </c>
      <c r="AZ296" s="1">
        <v>0</v>
      </c>
      <c r="BA296" s="1">
        <v>0</v>
      </c>
      <c r="BB296" s="1">
        <v>0</v>
      </c>
      <c r="BC296" s="1">
        <v>0</v>
      </c>
      <c r="BD296" s="1">
        <v>0</v>
      </c>
      <c r="BE296" s="1">
        <v>0</v>
      </c>
      <c r="BF296" s="1">
        <v>0</v>
      </c>
      <c r="BG296" s="1">
        <v>0</v>
      </c>
      <c r="BH296" s="1">
        <v>0</v>
      </c>
      <c r="BI296" s="1">
        <v>0</v>
      </c>
      <c r="BJ296" s="1">
        <v>0</v>
      </c>
      <c r="BK296" s="1">
        <v>0</v>
      </c>
      <c r="BL296" s="1">
        <v>0</v>
      </c>
      <c r="BM296" s="1">
        <v>0</v>
      </c>
      <c r="BN296" s="1">
        <v>0</v>
      </c>
      <c r="BO296" s="1">
        <v>0</v>
      </c>
      <c r="BP296" s="1">
        <v>0</v>
      </c>
      <c r="BQ296" s="2" t="str">
        <f>HYPERLINK("http://www.d20pfsrd.com/magic/all-spells/i/inflict-serious-wounds","Inflict Serious Wounds, Mass")</f>
        <v>Inflict Serious Wounds, Mass</v>
      </c>
      <c r="BR296" s="1">
        <v>295</v>
      </c>
      <c r="BS296" s="1" t="s">
        <v>104</v>
      </c>
      <c r="BX296" s="1">
        <v>0</v>
      </c>
      <c r="BY296" s="1" t="s">
        <v>104</v>
      </c>
      <c r="BZ296" s="1">
        <v>7</v>
      </c>
      <c r="CA296" s="1" t="s">
        <v>104</v>
      </c>
      <c r="CB296" s="1" t="s">
        <v>104</v>
      </c>
      <c r="CC296" s="1" t="s">
        <v>104</v>
      </c>
      <c r="CD296" s="1" t="s">
        <v>104</v>
      </c>
      <c r="CE296" s="1" t="s">
        <v>104</v>
      </c>
      <c r="CF296" s="1" t="s">
        <v>104</v>
      </c>
      <c r="CG296" s="1" t="s">
        <v>104</v>
      </c>
      <c r="CH296" s="1" t="s">
        <v>104</v>
      </c>
      <c r="CJ296" s="1">
        <v>0</v>
      </c>
      <c r="CK296" s="1">
        <v>0</v>
      </c>
      <c r="CL296" s="1">
        <v>0</v>
      </c>
      <c r="CM296" s="1" t="s">
        <v>104</v>
      </c>
    </row>
    <row r="297" spans="1:91" ht="14.25" customHeight="1" x14ac:dyDescent="0.3">
      <c r="A297" s="1" t="s">
        <v>2164</v>
      </c>
      <c r="B297" s="1" t="s">
        <v>123</v>
      </c>
      <c r="C297" s="1" t="s">
        <v>124</v>
      </c>
      <c r="D297" s="1" t="s">
        <v>125</v>
      </c>
      <c r="E297" s="1" t="s">
        <v>2012</v>
      </c>
      <c r="F297" s="1" t="s">
        <v>95</v>
      </c>
      <c r="G297" s="1" t="s">
        <v>116</v>
      </c>
      <c r="H297" s="1">
        <v>0</v>
      </c>
      <c r="I297" s="1" t="s">
        <v>109</v>
      </c>
      <c r="L297" s="1" t="s">
        <v>417</v>
      </c>
      <c r="M297" s="1" t="s">
        <v>119</v>
      </c>
      <c r="N297" s="1">
        <v>0</v>
      </c>
      <c r="O297" s="1">
        <v>0</v>
      </c>
      <c r="P297" s="1" t="s">
        <v>211</v>
      </c>
      <c r="Q297" s="1" t="s">
        <v>184</v>
      </c>
      <c r="R297" s="1" t="s">
        <v>2165</v>
      </c>
      <c r="S297" s="1" t="s">
        <v>103</v>
      </c>
      <c r="T297" s="1">
        <v>1</v>
      </c>
      <c r="U297" s="1">
        <v>1</v>
      </c>
      <c r="V297" s="1">
        <v>0</v>
      </c>
      <c r="W297" s="1">
        <v>0</v>
      </c>
      <c r="X297" s="1">
        <v>0</v>
      </c>
      <c r="Y297" s="1">
        <v>7</v>
      </c>
      <c r="Z297" s="1">
        <v>7</v>
      </c>
      <c r="AA297" s="1" t="s">
        <v>104</v>
      </c>
      <c r="AB297" s="1" t="s">
        <v>104</v>
      </c>
      <c r="AC297" s="1" t="s">
        <v>104</v>
      </c>
      <c r="AD297" s="1" t="s">
        <v>104</v>
      </c>
      <c r="AE297" s="1" t="s">
        <v>104</v>
      </c>
      <c r="AF297" s="1" t="s">
        <v>104</v>
      </c>
      <c r="AG297" s="1" t="s">
        <v>104</v>
      </c>
      <c r="AH297" s="1">
        <v>7</v>
      </c>
      <c r="AI297" s="1" t="s">
        <v>104</v>
      </c>
      <c r="AJ297" s="1" t="s">
        <v>104</v>
      </c>
      <c r="AK297" s="1" t="s">
        <v>104</v>
      </c>
      <c r="AL297" s="1" t="s">
        <v>104</v>
      </c>
      <c r="AM297" s="1" t="s">
        <v>104</v>
      </c>
      <c r="AO297" s="1">
        <v>7</v>
      </c>
      <c r="AP297" s="1" t="s">
        <v>2166</v>
      </c>
      <c r="AQ297" s="1" t="s">
        <v>2167</v>
      </c>
      <c r="AR297" s="1">
        <v>0</v>
      </c>
      <c r="AS297" s="1">
        <v>0</v>
      </c>
      <c r="AT297" s="1">
        <v>0</v>
      </c>
      <c r="AU297" s="1">
        <v>0</v>
      </c>
      <c r="AV297" s="1">
        <v>0</v>
      </c>
      <c r="AW297" s="1">
        <v>0</v>
      </c>
      <c r="AX297" s="1">
        <v>0</v>
      </c>
      <c r="AY297" s="1">
        <v>0</v>
      </c>
      <c r="AZ297" s="1">
        <v>0</v>
      </c>
      <c r="BA297" s="1">
        <v>0</v>
      </c>
      <c r="BB297" s="1">
        <v>0</v>
      </c>
      <c r="BC297" s="1">
        <v>0</v>
      </c>
      <c r="BD297" s="1">
        <v>0</v>
      </c>
      <c r="BE297" s="1">
        <v>0</v>
      </c>
      <c r="BF297" s="1">
        <v>0</v>
      </c>
      <c r="BG297" s="1">
        <v>0</v>
      </c>
      <c r="BH297" s="1">
        <v>0</v>
      </c>
      <c r="BI297" s="1">
        <v>0</v>
      </c>
      <c r="BJ297" s="1">
        <v>0</v>
      </c>
      <c r="BK297" s="1">
        <v>1</v>
      </c>
      <c r="BL297" s="1">
        <v>0</v>
      </c>
      <c r="BM297" s="1">
        <v>0</v>
      </c>
      <c r="BN297" s="1">
        <v>0</v>
      </c>
      <c r="BO297" s="1">
        <v>0</v>
      </c>
      <c r="BP297" s="1">
        <v>0</v>
      </c>
      <c r="BQ297" s="2" t="str">
        <f>HYPERLINK("http://www.d20pfsrd.com/magic/all-spells/i/insanity","Insanity")</f>
        <v>Insanity</v>
      </c>
      <c r="BR297" s="1">
        <v>296</v>
      </c>
      <c r="BS297" s="1" t="s">
        <v>104</v>
      </c>
      <c r="BT297" s="1" t="s">
        <v>2168</v>
      </c>
      <c r="BU297" s="1" t="s">
        <v>2169</v>
      </c>
      <c r="BX297" s="1">
        <v>0</v>
      </c>
      <c r="BY297" s="1" t="s">
        <v>104</v>
      </c>
      <c r="BZ297" s="1" t="s">
        <v>104</v>
      </c>
      <c r="CA297" s="1">
        <v>7</v>
      </c>
      <c r="CB297" s="1" t="s">
        <v>104</v>
      </c>
      <c r="CC297" s="1">
        <v>6</v>
      </c>
      <c r="CD297" s="1" t="s">
        <v>104</v>
      </c>
      <c r="CE297" s="1" t="s">
        <v>104</v>
      </c>
      <c r="CF297" s="1" t="s">
        <v>104</v>
      </c>
      <c r="CG297" s="1" t="s">
        <v>104</v>
      </c>
      <c r="CH297" s="1" t="s">
        <v>104</v>
      </c>
      <c r="CJ297" s="1">
        <v>0</v>
      </c>
      <c r="CK297" s="1">
        <v>0</v>
      </c>
      <c r="CL297" s="1">
        <v>0</v>
      </c>
      <c r="CM297" s="1" t="s">
        <v>104</v>
      </c>
    </row>
    <row r="298" spans="1:91" ht="14.25" customHeight="1" x14ac:dyDescent="0.3">
      <c r="A298" s="1" t="s">
        <v>2170</v>
      </c>
      <c r="B298" s="1" t="s">
        <v>434</v>
      </c>
      <c r="D298" s="1" t="s">
        <v>57</v>
      </c>
      <c r="E298" s="1" t="s">
        <v>2171</v>
      </c>
      <c r="F298" s="1" t="s">
        <v>95</v>
      </c>
      <c r="G298" s="1" t="s">
        <v>920</v>
      </c>
      <c r="H298" s="1">
        <v>0</v>
      </c>
      <c r="I298" s="1" t="s">
        <v>109</v>
      </c>
      <c r="K298" s="1" t="s">
        <v>690</v>
      </c>
      <c r="M298" s="1" t="s">
        <v>111</v>
      </c>
      <c r="N298" s="1">
        <v>1</v>
      </c>
      <c r="O298" s="1">
        <v>0</v>
      </c>
      <c r="P298" s="1" t="s">
        <v>100</v>
      </c>
      <c r="Q298" s="1" t="s">
        <v>184</v>
      </c>
      <c r="R298" s="1" t="s">
        <v>2172</v>
      </c>
      <c r="S298" s="1" t="s">
        <v>103</v>
      </c>
      <c r="T298" s="1">
        <v>1</v>
      </c>
      <c r="U298" s="1">
        <v>1</v>
      </c>
      <c r="V298" s="1">
        <v>0</v>
      </c>
      <c r="W298" s="1">
        <v>1</v>
      </c>
      <c r="X298" s="1">
        <v>0</v>
      </c>
      <c r="Y298" s="1">
        <v>5</v>
      </c>
      <c r="Z298" s="1">
        <v>5</v>
      </c>
      <c r="AA298" s="1" t="s">
        <v>104</v>
      </c>
      <c r="AB298" s="1" t="s">
        <v>104</v>
      </c>
      <c r="AC298" s="1" t="s">
        <v>104</v>
      </c>
      <c r="AD298" s="1" t="s">
        <v>104</v>
      </c>
      <c r="AE298" s="1" t="s">
        <v>104</v>
      </c>
      <c r="AF298" s="1" t="s">
        <v>104</v>
      </c>
      <c r="AG298" s="1" t="s">
        <v>104</v>
      </c>
      <c r="AH298" s="1" t="s">
        <v>104</v>
      </c>
      <c r="AI298" s="1" t="s">
        <v>104</v>
      </c>
      <c r="AJ298" s="1" t="s">
        <v>104</v>
      </c>
      <c r="AK298" s="1" t="s">
        <v>104</v>
      </c>
      <c r="AL298" s="1">
        <v>5</v>
      </c>
      <c r="AM298" s="1" t="s">
        <v>104</v>
      </c>
      <c r="AO298" s="1">
        <v>5</v>
      </c>
      <c r="AQ298" s="1" t="s">
        <v>2173</v>
      </c>
      <c r="AR298" s="1">
        <v>0</v>
      </c>
      <c r="AS298" s="1">
        <v>0</v>
      </c>
      <c r="AT298" s="1">
        <v>0</v>
      </c>
      <c r="AU298" s="1">
        <v>0</v>
      </c>
      <c r="AV298" s="1">
        <v>0</v>
      </c>
      <c r="AW298" s="1">
        <v>0</v>
      </c>
      <c r="AX298" s="1">
        <v>0</v>
      </c>
      <c r="AY298" s="1">
        <v>0</v>
      </c>
      <c r="AZ298" s="1">
        <v>0</v>
      </c>
      <c r="BA298" s="1">
        <v>0</v>
      </c>
      <c r="BB298" s="1">
        <v>0</v>
      </c>
      <c r="BC298" s="1">
        <v>0</v>
      </c>
      <c r="BD298" s="1">
        <v>0</v>
      </c>
      <c r="BE298" s="1">
        <v>0</v>
      </c>
      <c r="BF298" s="1">
        <v>1</v>
      </c>
      <c r="BG298" s="1">
        <v>0</v>
      </c>
      <c r="BH298" s="1">
        <v>0</v>
      </c>
      <c r="BI298" s="1">
        <v>0</v>
      </c>
      <c r="BJ298" s="1">
        <v>0</v>
      </c>
      <c r="BK298" s="1">
        <v>0</v>
      </c>
      <c r="BL298" s="1">
        <v>0</v>
      </c>
      <c r="BM298" s="1">
        <v>0</v>
      </c>
      <c r="BN298" s="1">
        <v>0</v>
      </c>
      <c r="BO298" s="1">
        <v>0</v>
      </c>
      <c r="BP298" s="1">
        <v>0</v>
      </c>
      <c r="BQ298" s="2" t="str">
        <f>HYPERLINK("http://www.d20pfsrd.com/magic/all-spells/i/interposing-hand","Interposing Hand")</f>
        <v>Interposing Hand</v>
      </c>
      <c r="BR298" s="1">
        <v>297</v>
      </c>
      <c r="BS298" s="1" t="s">
        <v>104</v>
      </c>
      <c r="BX298" s="1">
        <v>0</v>
      </c>
      <c r="BY298" s="1" t="s">
        <v>104</v>
      </c>
      <c r="BZ298" s="1" t="s">
        <v>104</v>
      </c>
      <c r="CA298" s="1">
        <v>5</v>
      </c>
      <c r="CB298" s="1" t="s">
        <v>104</v>
      </c>
      <c r="CC298" s="1" t="s">
        <v>104</v>
      </c>
      <c r="CD298" s="1">
        <v>5</v>
      </c>
      <c r="CE298" s="1" t="s">
        <v>104</v>
      </c>
      <c r="CF298" s="1" t="s">
        <v>104</v>
      </c>
      <c r="CG298" s="1" t="s">
        <v>104</v>
      </c>
      <c r="CH298" s="1" t="s">
        <v>104</v>
      </c>
      <c r="CJ298" s="1">
        <v>0</v>
      </c>
      <c r="CK298" s="1">
        <v>0</v>
      </c>
      <c r="CL298" s="1">
        <v>0</v>
      </c>
      <c r="CM298" s="1" t="s">
        <v>104</v>
      </c>
    </row>
    <row r="299" spans="1:91" ht="14.25" customHeight="1" x14ac:dyDescent="0.3">
      <c r="A299" s="1" t="s">
        <v>2174</v>
      </c>
      <c r="B299" s="1" t="s">
        <v>507</v>
      </c>
      <c r="C299" s="1" t="s">
        <v>508</v>
      </c>
      <c r="E299" s="1" t="s">
        <v>2175</v>
      </c>
      <c r="F299" s="1" t="s">
        <v>95</v>
      </c>
      <c r="G299" s="1" t="s">
        <v>2176</v>
      </c>
      <c r="H299" s="1">
        <v>0</v>
      </c>
      <c r="I299" s="1" t="s">
        <v>1521</v>
      </c>
      <c r="L299" s="1" t="s">
        <v>2177</v>
      </c>
      <c r="M299" s="1" t="s">
        <v>437</v>
      </c>
      <c r="N299" s="1">
        <v>1</v>
      </c>
      <c r="O299" s="1">
        <v>0</v>
      </c>
      <c r="P299" s="1" t="s">
        <v>2178</v>
      </c>
      <c r="Q299" s="1" t="s">
        <v>2179</v>
      </c>
      <c r="R299" s="1" t="s">
        <v>2180</v>
      </c>
      <c r="S299" s="1" t="s">
        <v>103</v>
      </c>
      <c r="T299" s="1">
        <v>1</v>
      </c>
      <c r="U299" s="1">
        <v>1</v>
      </c>
      <c r="V299" s="1">
        <v>1</v>
      </c>
      <c r="W299" s="1">
        <v>0</v>
      </c>
      <c r="X299" s="1">
        <v>1</v>
      </c>
      <c r="Y299" s="1">
        <v>2</v>
      </c>
      <c r="Z299" s="1">
        <v>2</v>
      </c>
      <c r="AA299" s="1" t="s">
        <v>104</v>
      </c>
      <c r="AB299" s="1" t="s">
        <v>104</v>
      </c>
      <c r="AC299" s="1" t="s">
        <v>104</v>
      </c>
      <c r="AD299" s="1">
        <v>2</v>
      </c>
      <c r="AE299" s="1" t="s">
        <v>104</v>
      </c>
      <c r="AF299" s="1">
        <v>2</v>
      </c>
      <c r="AG299" s="1">
        <v>2</v>
      </c>
      <c r="AH299" s="1" t="s">
        <v>104</v>
      </c>
      <c r="AI299" s="1">
        <v>2</v>
      </c>
      <c r="AJ299" s="1" t="s">
        <v>104</v>
      </c>
      <c r="AK299" s="1">
        <v>2</v>
      </c>
      <c r="AL299" s="1">
        <v>2</v>
      </c>
      <c r="AM299" s="1">
        <v>2</v>
      </c>
      <c r="AO299" s="1">
        <v>2</v>
      </c>
      <c r="AP299" s="1" t="s">
        <v>252</v>
      </c>
      <c r="AQ299" s="1" t="s">
        <v>2181</v>
      </c>
      <c r="AR299" s="1">
        <v>0</v>
      </c>
      <c r="AS299" s="1">
        <v>0</v>
      </c>
      <c r="AT299" s="1">
        <v>0</v>
      </c>
      <c r="AU299" s="1">
        <v>0</v>
      </c>
      <c r="AV299" s="1">
        <v>0</v>
      </c>
      <c r="AW299" s="1">
        <v>0</v>
      </c>
      <c r="AX299" s="1">
        <v>0</v>
      </c>
      <c r="AY299" s="1">
        <v>0</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2" t="str">
        <f>HYPERLINK("http://www.d20pfsrd.com/magic/all-spells/i/invisibility","Invisibility")</f>
        <v>Invisibility</v>
      </c>
      <c r="BR299" s="1">
        <v>298</v>
      </c>
      <c r="BS299" s="1" t="s">
        <v>104</v>
      </c>
      <c r="BT299" s="1" t="s">
        <v>2182</v>
      </c>
      <c r="BU299" s="1" t="s">
        <v>2183</v>
      </c>
      <c r="BV299" s="1" t="s">
        <v>2184</v>
      </c>
      <c r="BW299" s="1" t="s">
        <v>2185</v>
      </c>
      <c r="BX299" s="1">
        <v>1</v>
      </c>
      <c r="BY299" s="1" t="s">
        <v>104</v>
      </c>
      <c r="BZ299" s="1" t="s">
        <v>104</v>
      </c>
      <c r="CA299" s="1">
        <v>2</v>
      </c>
      <c r="CB299" s="1">
        <v>2</v>
      </c>
      <c r="CC299" s="1">
        <v>2</v>
      </c>
      <c r="CD299" s="1">
        <v>2</v>
      </c>
      <c r="CE299" s="1">
        <v>2</v>
      </c>
      <c r="CF299" s="1" t="s">
        <v>104</v>
      </c>
      <c r="CG299" s="1" t="s">
        <v>104</v>
      </c>
      <c r="CH299" s="1" t="s">
        <v>104</v>
      </c>
      <c r="CJ299" s="1">
        <v>0</v>
      </c>
      <c r="CK299" s="1">
        <v>0</v>
      </c>
      <c r="CL299" s="1">
        <v>0</v>
      </c>
      <c r="CM299" s="1">
        <v>2</v>
      </c>
    </row>
    <row r="300" spans="1:91" ht="14.25" customHeight="1" x14ac:dyDescent="0.3">
      <c r="A300" s="1" t="s">
        <v>2186</v>
      </c>
      <c r="B300" s="1" t="s">
        <v>507</v>
      </c>
      <c r="C300" s="1" t="s">
        <v>508</v>
      </c>
      <c r="E300" s="1" t="s">
        <v>2187</v>
      </c>
      <c r="F300" s="1" t="s">
        <v>95</v>
      </c>
      <c r="G300" s="1" t="s">
        <v>116</v>
      </c>
      <c r="H300" s="1">
        <v>0</v>
      </c>
      <c r="I300" s="1" t="s">
        <v>1521</v>
      </c>
      <c r="L300" s="1" t="s">
        <v>1522</v>
      </c>
      <c r="M300" s="1" t="s">
        <v>111</v>
      </c>
      <c r="N300" s="1">
        <v>1</v>
      </c>
      <c r="O300" s="1">
        <v>0</v>
      </c>
      <c r="P300" s="1" t="s">
        <v>375</v>
      </c>
      <c r="Q300" s="1" t="s">
        <v>131</v>
      </c>
      <c r="R300" s="1" t="s">
        <v>2188</v>
      </c>
      <c r="S300" s="1" t="s">
        <v>103</v>
      </c>
      <c r="T300" s="1">
        <v>1</v>
      </c>
      <c r="U300" s="1">
        <v>1</v>
      </c>
      <c r="V300" s="1">
        <v>0</v>
      </c>
      <c r="W300" s="1">
        <v>0</v>
      </c>
      <c r="X300" s="1">
        <v>0</v>
      </c>
      <c r="Y300" s="1">
        <v>4</v>
      </c>
      <c r="Z300" s="1">
        <v>4</v>
      </c>
      <c r="AA300" s="1" t="s">
        <v>104</v>
      </c>
      <c r="AB300" s="1" t="s">
        <v>104</v>
      </c>
      <c r="AC300" s="1" t="s">
        <v>104</v>
      </c>
      <c r="AD300" s="1">
        <v>4</v>
      </c>
      <c r="AE300" s="1" t="s">
        <v>104</v>
      </c>
      <c r="AF300" s="1">
        <v>4</v>
      </c>
      <c r="AG300" s="1">
        <v>3</v>
      </c>
      <c r="AH300" s="1" t="s">
        <v>104</v>
      </c>
      <c r="AI300" s="1">
        <v>4</v>
      </c>
      <c r="AJ300" s="1" t="s">
        <v>104</v>
      </c>
      <c r="AK300" s="1">
        <v>4</v>
      </c>
      <c r="AL300" s="1" t="s">
        <v>104</v>
      </c>
      <c r="AM300" s="1" t="s">
        <v>104</v>
      </c>
      <c r="AO300" s="1">
        <v>4</v>
      </c>
      <c r="AQ300" s="1" t="s">
        <v>2189</v>
      </c>
      <c r="AR300" s="1">
        <v>0</v>
      </c>
      <c r="AS300" s="1">
        <v>0</v>
      </c>
      <c r="AT300" s="1">
        <v>0</v>
      </c>
      <c r="AU300" s="1">
        <v>0</v>
      </c>
      <c r="AV300" s="1">
        <v>0</v>
      </c>
      <c r="AW300" s="1">
        <v>0</v>
      </c>
      <c r="AX300" s="1">
        <v>0</v>
      </c>
      <c r="AY300" s="1">
        <v>0</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2" t="str">
        <f>HYPERLINK("http://www.d20pfsrd.com/magic/all-spells/i/invisibility","Invisibility, Greater")</f>
        <v>Invisibility, Greater</v>
      </c>
      <c r="BR300" s="1">
        <v>299</v>
      </c>
      <c r="BS300" s="1" t="s">
        <v>104</v>
      </c>
      <c r="BX300" s="1">
        <v>0</v>
      </c>
      <c r="BY300" s="1" t="s">
        <v>104</v>
      </c>
      <c r="BZ300" s="1" t="s">
        <v>104</v>
      </c>
      <c r="CA300" s="1">
        <v>4</v>
      </c>
      <c r="CB300" s="1">
        <v>3</v>
      </c>
      <c r="CC300" s="1">
        <v>4</v>
      </c>
      <c r="CD300" s="1">
        <v>4</v>
      </c>
      <c r="CE300" s="1">
        <v>4</v>
      </c>
      <c r="CF300" s="1" t="s">
        <v>104</v>
      </c>
      <c r="CG300" s="1" t="s">
        <v>104</v>
      </c>
      <c r="CH300" s="1" t="s">
        <v>104</v>
      </c>
      <c r="CJ300" s="1">
        <v>0</v>
      </c>
      <c r="CK300" s="1">
        <v>0</v>
      </c>
      <c r="CL300" s="1">
        <v>0</v>
      </c>
      <c r="CM300" s="1">
        <v>4</v>
      </c>
    </row>
    <row r="301" spans="1:91" ht="14.25" customHeight="1" x14ac:dyDescent="0.3">
      <c r="A301" s="1" t="s">
        <v>2190</v>
      </c>
      <c r="B301" s="1" t="s">
        <v>507</v>
      </c>
      <c r="C301" s="1" t="s">
        <v>508</v>
      </c>
      <c r="E301" s="1" t="s">
        <v>2191</v>
      </c>
      <c r="F301" s="1" t="s">
        <v>95</v>
      </c>
      <c r="G301" s="1" t="s">
        <v>116</v>
      </c>
      <c r="H301" s="1">
        <v>0</v>
      </c>
      <c r="I301" s="1" t="s">
        <v>97</v>
      </c>
      <c r="L301" s="1" t="s">
        <v>2192</v>
      </c>
      <c r="M301" s="1" t="s">
        <v>111</v>
      </c>
      <c r="N301" s="1">
        <v>1</v>
      </c>
      <c r="O301" s="1">
        <v>0</v>
      </c>
      <c r="P301" s="1" t="s">
        <v>375</v>
      </c>
      <c r="Q301" s="1" t="s">
        <v>131</v>
      </c>
      <c r="R301" s="1" t="s">
        <v>2193</v>
      </c>
      <c r="S301" s="1" t="s">
        <v>103</v>
      </c>
      <c r="T301" s="1">
        <v>1</v>
      </c>
      <c r="U301" s="1">
        <v>1</v>
      </c>
      <c r="V301" s="1">
        <v>0</v>
      </c>
      <c r="W301" s="1">
        <v>0</v>
      </c>
      <c r="X301" s="1">
        <v>0</v>
      </c>
      <c r="Y301" s="1">
        <v>7</v>
      </c>
      <c r="Z301" s="1">
        <v>7</v>
      </c>
      <c r="AA301" s="1" t="s">
        <v>104</v>
      </c>
      <c r="AB301" s="1" t="s">
        <v>104</v>
      </c>
      <c r="AC301" s="1" t="s">
        <v>104</v>
      </c>
      <c r="AD301" s="1" t="s">
        <v>104</v>
      </c>
      <c r="AE301" s="1" t="s">
        <v>104</v>
      </c>
      <c r="AF301" s="1" t="s">
        <v>104</v>
      </c>
      <c r="AG301" s="1">
        <v>5</v>
      </c>
      <c r="AH301" s="1" t="s">
        <v>104</v>
      </c>
      <c r="AI301" s="1" t="s">
        <v>104</v>
      </c>
      <c r="AJ301" s="1" t="s">
        <v>104</v>
      </c>
      <c r="AK301" s="1" t="s">
        <v>104</v>
      </c>
      <c r="AL301" s="1" t="s">
        <v>104</v>
      </c>
      <c r="AM301" s="1" t="s">
        <v>104</v>
      </c>
      <c r="AO301" s="1">
        <v>7</v>
      </c>
      <c r="AP301" s="1" t="s">
        <v>1897</v>
      </c>
      <c r="AQ301" s="1" t="s">
        <v>2194</v>
      </c>
      <c r="AR301" s="1">
        <v>0</v>
      </c>
      <c r="AS301" s="1">
        <v>0</v>
      </c>
      <c r="AT301" s="1">
        <v>0</v>
      </c>
      <c r="AU301" s="1">
        <v>0</v>
      </c>
      <c r="AV301" s="1">
        <v>0</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0</v>
      </c>
      <c r="BM301" s="1">
        <v>0</v>
      </c>
      <c r="BN301" s="1">
        <v>0</v>
      </c>
      <c r="BO301" s="1">
        <v>0</v>
      </c>
      <c r="BP301" s="1">
        <v>0</v>
      </c>
      <c r="BQ301" s="2" t="str">
        <f>HYPERLINK("http://www.d20pfsrd.com/magic/all-spells/i/invisibility","Invisibility, Mass")</f>
        <v>Invisibility, Mass</v>
      </c>
      <c r="BR301" s="1">
        <v>300</v>
      </c>
      <c r="BS301" s="1" t="s">
        <v>104</v>
      </c>
      <c r="BU301" s="1" t="s">
        <v>2195</v>
      </c>
      <c r="BX301" s="1">
        <v>0</v>
      </c>
      <c r="BY301" s="1" t="s">
        <v>104</v>
      </c>
      <c r="BZ301" s="1" t="s">
        <v>104</v>
      </c>
      <c r="CA301" s="1">
        <v>7</v>
      </c>
      <c r="CB301" s="1" t="s">
        <v>104</v>
      </c>
      <c r="CC301" s="1">
        <v>6</v>
      </c>
      <c r="CD301" s="1" t="s">
        <v>104</v>
      </c>
      <c r="CE301" s="1" t="s">
        <v>104</v>
      </c>
      <c r="CF301" s="1" t="s">
        <v>104</v>
      </c>
      <c r="CG301" s="1" t="s">
        <v>104</v>
      </c>
      <c r="CH301" s="1" t="s">
        <v>104</v>
      </c>
      <c r="CJ301" s="1">
        <v>0</v>
      </c>
      <c r="CK301" s="1">
        <v>0</v>
      </c>
      <c r="CL301" s="1">
        <v>0</v>
      </c>
      <c r="CM301" s="1">
        <v>6</v>
      </c>
    </row>
    <row r="302" spans="1:91" ht="14.25" customHeight="1" x14ac:dyDescent="0.3">
      <c r="A302" s="1" t="s">
        <v>2196</v>
      </c>
      <c r="B302" s="1" t="s">
        <v>434</v>
      </c>
      <c r="E302" s="1" t="s">
        <v>2197</v>
      </c>
      <c r="F302" s="1" t="s">
        <v>95</v>
      </c>
      <c r="G302" s="1" t="s">
        <v>116</v>
      </c>
      <c r="H302" s="1">
        <v>0</v>
      </c>
      <c r="I302" s="1" t="s">
        <v>157</v>
      </c>
      <c r="L302" s="1" t="s">
        <v>158</v>
      </c>
      <c r="M302" s="1" t="s">
        <v>130</v>
      </c>
      <c r="N302" s="1">
        <v>1</v>
      </c>
      <c r="O302" s="1">
        <v>0</v>
      </c>
      <c r="R302" s="1" t="s">
        <v>2198</v>
      </c>
      <c r="S302" s="1" t="s">
        <v>103</v>
      </c>
      <c r="T302" s="1">
        <v>1</v>
      </c>
      <c r="U302" s="1">
        <v>1</v>
      </c>
      <c r="V302" s="1">
        <v>0</v>
      </c>
      <c r="W302" s="1">
        <v>0</v>
      </c>
      <c r="X302" s="1">
        <v>0</v>
      </c>
      <c r="Y302" s="1" t="s">
        <v>104</v>
      </c>
      <c r="Z302" s="1" t="s">
        <v>104</v>
      </c>
      <c r="AA302" s="1">
        <v>3</v>
      </c>
      <c r="AB302" s="1" t="s">
        <v>104</v>
      </c>
      <c r="AC302" s="1" t="s">
        <v>104</v>
      </c>
      <c r="AD302" s="1" t="s">
        <v>104</v>
      </c>
      <c r="AE302" s="1" t="s">
        <v>104</v>
      </c>
      <c r="AF302" s="1" t="s">
        <v>104</v>
      </c>
      <c r="AG302" s="1" t="s">
        <v>104</v>
      </c>
      <c r="AH302" s="1" t="s">
        <v>104</v>
      </c>
      <c r="AI302" s="1">
        <v>3</v>
      </c>
      <c r="AJ302" s="1">
        <v>3</v>
      </c>
      <c r="AK302" s="1" t="s">
        <v>104</v>
      </c>
      <c r="AL302" s="1" t="s">
        <v>104</v>
      </c>
      <c r="AM302" s="1" t="s">
        <v>104</v>
      </c>
      <c r="AO302" s="1">
        <v>3</v>
      </c>
      <c r="AQ302" s="1" t="s">
        <v>2199</v>
      </c>
      <c r="AR302" s="1">
        <v>0</v>
      </c>
      <c r="AS302" s="1">
        <v>0</v>
      </c>
      <c r="AT302" s="1">
        <v>0</v>
      </c>
      <c r="AU302" s="1">
        <v>0</v>
      </c>
      <c r="AV302" s="1">
        <v>0</v>
      </c>
      <c r="AW302" s="1">
        <v>0</v>
      </c>
      <c r="AX302" s="1">
        <v>0</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1">
        <v>0</v>
      </c>
      <c r="BO302" s="1">
        <v>0</v>
      </c>
      <c r="BP302" s="1">
        <v>0</v>
      </c>
      <c r="BQ302" s="2" t="str">
        <f>HYPERLINK("http://www.d20pfsrd.com/magic/all-spells/i/invisibility-purge","Invisibility Purge")</f>
        <v>Invisibility Purge</v>
      </c>
      <c r="BR302" s="1">
        <v>301</v>
      </c>
      <c r="BS302" s="1" t="s">
        <v>104</v>
      </c>
      <c r="BX302" s="1">
        <v>0</v>
      </c>
      <c r="BY302" s="1" t="s">
        <v>104</v>
      </c>
      <c r="BZ302" s="1" t="s">
        <v>104</v>
      </c>
      <c r="CA302" s="1" t="s">
        <v>104</v>
      </c>
      <c r="CB302" s="1" t="s">
        <v>104</v>
      </c>
      <c r="CC302" s="1" t="s">
        <v>104</v>
      </c>
      <c r="CD302" s="1">
        <v>3</v>
      </c>
      <c r="CE302" s="1">
        <v>3</v>
      </c>
      <c r="CF302" s="1" t="s">
        <v>104</v>
      </c>
      <c r="CG302" s="1" t="s">
        <v>104</v>
      </c>
      <c r="CH302" s="1" t="s">
        <v>104</v>
      </c>
      <c r="CJ302" s="1">
        <v>0</v>
      </c>
      <c r="CK302" s="1">
        <v>0</v>
      </c>
      <c r="CL302" s="1">
        <v>0</v>
      </c>
      <c r="CM302" s="1" t="s">
        <v>104</v>
      </c>
    </row>
    <row r="303" spans="1:91" ht="14.25" customHeight="1" x14ac:dyDescent="0.3">
      <c r="A303" s="1" t="s">
        <v>2200</v>
      </c>
      <c r="B303" s="1" t="s">
        <v>507</v>
      </c>
      <c r="C303" s="1" t="s">
        <v>508</v>
      </c>
      <c r="E303" s="1" t="s">
        <v>2201</v>
      </c>
      <c r="F303" s="1" t="s">
        <v>95</v>
      </c>
      <c r="G303" s="1" t="s">
        <v>913</v>
      </c>
      <c r="H303" s="1">
        <v>0</v>
      </c>
      <c r="J303" s="1" t="s">
        <v>2202</v>
      </c>
      <c r="M303" s="1" t="s">
        <v>437</v>
      </c>
      <c r="N303" s="1">
        <v>1</v>
      </c>
      <c r="O303" s="1">
        <v>0</v>
      </c>
      <c r="P303" s="1" t="s">
        <v>375</v>
      </c>
      <c r="Q303" s="1" t="s">
        <v>131</v>
      </c>
      <c r="R303" s="1" t="s">
        <v>2203</v>
      </c>
      <c r="S303" s="1" t="s">
        <v>103</v>
      </c>
      <c r="T303" s="1">
        <v>1</v>
      </c>
      <c r="U303" s="1">
        <v>1</v>
      </c>
      <c r="V303" s="1">
        <v>1</v>
      </c>
      <c r="W303" s="1">
        <v>0</v>
      </c>
      <c r="X303" s="1">
        <v>0</v>
      </c>
      <c r="Y303" s="1">
        <v>3</v>
      </c>
      <c r="Z303" s="1">
        <v>3</v>
      </c>
      <c r="AA303" s="1" t="s">
        <v>104</v>
      </c>
      <c r="AB303" s="1" t="s">
        <v>104</v>
      </c>
      <c r="AC303" s="1" t="s">
        <v>104</v>
      </c>
      <c r="AD303" s="1">
        <v>3</v>
      </c>
      <c r="AE303" s="1" t="s">
        <v>104</v>
      </c>
      <c r="AF303" s="1" t="s">
        <v>104</v>
      </c>
      <c r="AG303" s="1" t="s">
        <v>104</v>
      </c>
      <c r="AH303" s="1" t="s">
        <v>104</v>
      </c>
      <c r="AI303" s="1" t="s">
        <v>104</v>
      </c>
      <c r="AJ303" s="1" t="s">
        <v>104</v>
      </c>
      <c r="AK303" s="1" t="s">
        <v>104</v>
      </c>
      <c r="AL303" s="1" t="s">
        <v>104</v>
      </c>
      <c r="AM303" s="1" t="s">
        <v>104</v>
      </c>
      <c r="AO303" s="1">
        <v>3</v>
      </c>
      <c r="AQ303" s="1" t="s">
        <v>2204</v>
      </c>
      <c r="AR303" s="1">
        <v>0</v>
      </c>
      <c r="AS303" s="1">
        <v>0</v>
      </c>
      <c r="AT303" s="1">
        <v>0</v>
      </c>
      <c r="AU303" s="1">
        <v>0</v>
      </c>
      <c r="AV303" s="1">
        <v>0</v>
      </c>
      <c r="AW303" s="1">
        <v>0</v>
      </c>
      <c r="AX303" s="1">
        <v>0</v>
      </c>
      <c r="AY303" s="1">
        <v>0</v>
      </c>
      <c r="AZ303" s="1">
        <v>0</v>
      </c>
      <c r="BA303" s="1">
        <v>0</v>
      </c>
      <c r="BB303" s="1">
        <v>0</v>
      </c>
      <c r="BC303" s="1">
        <v>0</v>
      </c>
      <c r="BD303" s="1">
        <v>0</v>
      </c>
      <c r="BE303" s="1">
        <v>0</v>
      </c>
      <c r="BF303" s="1">
        <v>0</v>
      </c>
      <c r="BG303" s="1">
        <v>0</v>
      </c>
      <c r="BH303" s="1">
        <v>0</v>
      </c>
      <c r="BI303" s="1">
        <v>0</v>
      </c>
      <c r="BJ303" s="1">
        <v>0</v>
      </c>
      <c r="BK303" s="1">
        <v>0</v>
      </c>
      <c r="BL303" s="1">
        <v>0</v>
      </c>
      <c r="BM303" s="1">
        <v>0</v>
      </c>
      <c r="BN303" s="1">
        <v>0</v>
      </c>
      <c r="BO303" s="1">
        <v>0</v>
      </c>
      <c r="BP303" s="1">
        <v>0</v>
      </c>
      <c r="BQ303" s="2" t="str">
        <f>HYPERLINK("http://www.d20pfsrd.com/magic/all-spells/i/invisibility-sphere","Invisibility Sphere")</f>
        <v>Invisibility Sphere</v>
      </c>
      <c r="BR303" s="1">
        <v>302</v>
      </c>
      <c r="BS303" s="1" t="s">
        <v>104</v>
      </c>
      <c r="BX303" s="1">
        <v>0</v>
      </c>
      <c r="BY303" s="1" t="s">
        <v>104</v>
      </c>
      <c r="BZ303" s="1" t="s">
        <v>104</v>
      </c>
      <c r="CA303" s="1">
        <v>3</v>
      </c>
      <c r="CB303" s="1" t="s">
        <v>104</v>
      </c>
      <c r="CC303" s="1">
        <v>3</v>
      </c>
      <c r="CD303" s="1">
        <v>3</v>
      </c>
      <c r="CE303" s="1" t="s">
        <v>104</v>
      </c>
      <c r="CF303" s="1" t="s">
        <v>104</v>
      </c>
      <c r="CG303" s="1" t="s">
        <v>104</v>
      </c>
      <c r="CH303" s="1" t="s">
        <v>104</v>
      </c>
      <c r="CJ303" s="1">
        <v>0</v>
      </c>
      <c r="CK303" s="1">
        <v>0</v>
      </c>
      <c r="CL303" s="1">
        <v>0</v>
      </c>
      <c r="CM303" s="1">
        <v>3</v>
      </c>
    </row>
    <row r="304" spans="1:91" ht="14.25" customHeight="1" x14ac:dyDescent="0.3">
      <c r="A304" s="1" t="s">
        <v>2205</v>
      </c>
      <c r="B304" s="1" t="s">
        <v>137</v>
      </c>
      <c r="E304" s="1" t="s">
        <v>688</v>
      </c>
      <c r="F304" s="1" t="s">
        <v>95</v>
      </c>
      <c r="G304" s="1" t="s">
        <v>2206</v>
      </c>
      <c r="H304" s="1">
        <v>0</v>
      </c>
      <c r="I304" s="1" t="s">
        <v>157</v>
      </c>
      <c r="L304" s="1" t="s">
        <v>158</v>
      </c>
      <c r="M304" s="1" t="s">
        <v>130</v>
      </c>
      <c r="N304" s="1">
        <v>1</v>
      </c>
      <c r="O304" s="1">
        <v>0</v>
      </c>
      <c r="R304" s="1" t="s">
        <v>2207</v>
      </c>
      <c r="S304" s="1" t="s">
        <v>103</v>
      </c>
      <c r="T304" s="1">
        <v>1</v>
      </c>
      <c r="U304" s="1">
        <v>1</v>
      </c>
      <c r="V304" s="1">
        <v>1</v>
      </c>
      <c r="W304" s="1">
        <v>0</v>
      </c>
      <c r="X304" s="1">
        <v>1</v>
      </c>
      <c r="Y304" s="1">
        <v>8</v>
      </c>
      <c r="Z304" s="1">
        <v>8</v>
      </c>
      <c r="AA304" s="1" t="s">
        <v>104</v>
      </c>
      <c r="AB304" s="1" t="s">
        <v>104</v>
      </c>
      <c r="AC304" s="1" t="s">
        <v>104</v>
      </c>
      <c r="AD304" s="1" t="s">
        <v>104</v>
      </c>
      <c r="AE304" s="1" t="s">
        <v>104</v>
      </c>
      <c r="AF304" s="1" t="s">
        <v>104</v>
      </c>
      <c r="AG304" s="1" t="s">
        <v>104</v>
      </c>
      <c r="AH304" s="1" t="s">
        <v>104</v>
      </c>
      <c r="AI304" s="1" t="s">
        <v>104</v>
      </c>
      <c r="AJ304" s="1" t="s">
        <v>104</v>
      </c>
      <c r="AK304" s="1" t="s">
        <v>104</v>
      </c>
      <c r="AL304" s="1" t="s">
        <v>104</v>
      </c>
      <c r="AM304" s="1" t="s">
        <v>104</v>
      </c>
      <c r="AO304" s="1">
        <v>8</v>
      </c>
      <c r="AP304" s="1" t="s">
        <v>2208</v>
      </c>
      <c r="AQ304" s="1" t="s">
        <v>2209</v>
      </c>
      <c r="AR304" s="1">
        <v>0</v>
      </c>
      <c r="AS304" s="1">
        <v>0</v>
      </c>
      <c r="AT304" s="1">
        <v>0</v>
      </c>
      <c r="AU304" s="1">
        <v>0</v>
      </c>
      <c r="AV304" s="1">
        <v>0</v>
      </c>
      <c r="AW304" s="1">
        <v>0</v>
      </c>
      <c r="AX304" s="1">
        <v>0</v>
      </c>
      <c r="AY304" s="1">
        <v>0</v>
      </c>
      <c r="AZ304" s="1">
        <v>0</v>
      </c>
      <c r="BA304" s="1">
        <v>0</v>
      </c>
      <c r="BB304" s="1">
        <v>0</v>
      </c>
      <c r="BC304" s="1">
        <v>0</v>
      </c>
      <c r="BD304" s="1">
        <v>0</v>
      </c>
      <c r="BE304" s="1">
        <v>0</v>
      </c>
      <c r="BF304" s="1">
        <v>0</v>
      </c>
      <c r="BG304" s="1">
        <v>0</v>
      </c>
      <c r="BH304" s="1">
        <v>0</v>
      </c>
      <c r="BI304" s="1">
        <v>0</v>
      </c>
      <c r="BJ304" s="1">
        <v>0</v>
      </c>
      <c r="BK304" s="1">
        <v>0</v>
      </c>
      <c r="BL304" s="1">
        <v>0</v>
      </c>
      <c r="BM304" s="1">
        <v>0</v>
      </c>
      <c r="BN304" s="1">
        <v>0</v>
      </c>
      <c r="BO304" s="1">
        <v>0</v>
      </c>
      <c r="BP304" s="1">
        <v>0</v>
      </c>
      <c r="BQ304" s="2" t="str">
        <f>HYPERLINK("http://www.d20pfsrd.com/magic/all-spells/i/iron-body","Iron Body")</f>
        <v>Iron Body</v>
      </c>
      <c r="BR304" s="1">
        <v>304</v>
      </c>
      <c r="BS304" s="1" t="s">
        <v>104</v>
      </c>
      <c r="BT304" s="1" t="s">
        <v>2210</v>
      </c>
      <c r="BU304" s="1" t="s">
        <v>2211</v>
      </c>
      <c r="BX304" s="1">
        <v>0</v>
      </c>
      <c r="BY304" s="1" t="s">
        <v>104</v>
      </c>
      <c r="BZ304" s="1" t="s">
        <v>104</v>
      </c>
      <c r="CA304" s="1">
        <v>8</v>
      </c>
      <c r="CB304" s="1" t="s">
        <v>104</v>
      </c>
      <c r="CC304" s="1" t="s">
        <v>104</v>
      </c>
      <c r="CD304" s="1" t="s">
        <v>104</v>
      </c>
      <c r="CE304" s="1" t="s">
        <v>104</v>
      </c>
      <c r="CF304" s="1" t="s">
        <v>104</v>
      </c>
      <c r="CG304" s="1" t="s">
        <v>104</v>
      </c>
      <c r="CH304" s="1" t="s">
        <v>104</v>
      </c>
      <c r="CJ304" s="1">
        <v>0</v>
      </c>
      <c r="CK304" s="1">
        <v>0</v>
      </c>
      <c r="CL304" s="1">
        <v>0</v>
      </c>
      <c r="CM304" s="1" t="s">
        <v>104</v>
      </c>
    </row>
    <row r="305" spans="1:91" ht="14.25" customHeight="1" x14ac:dyDescent="0.3">
      <c r="A305" s="1" t="s">
        <v>2212</v>
      </c>
      <c r="B305" s="1" t="s">
        <v>137</v>
      </c>
      <c r="E305" s="1" t="s">
        <v>2213</v>
      </c>
      <c r="F305" s="1" t="s">
        <v>2214</v>
      </c>
      <c r="G305" s="1" t="s">
        <v>2215</v>
      </c>
      <c r="H305" s="1">
        <v>0</v>
      </c>
      <c r="I305" s="1" t="s">
        <v>705</v>
      </c>
      <c r="K305" s="1" t="s">
        <v>2216</v>
      </c>
      <c r="M305" s="1" t="s">
        <v>194</v>
      </c>
      <c r="N305" s="1">
        <v>1</v>
      </c>
      <c r="O305" s="1">
        <v>0</v>
      </c>
      <c r="P305" s="1" t="s">
        <v>100</v>
      </c>
      <c r="Q305" s="1" t="s">
        <v>101</v>
      </c>
      <c r="R305" s="1" t="s">
        <v>2217</v>
      </c>
      <c r="S305" s="1" t="s">
        <v>103</v>
      </c>
      <c r="T305" s="1">
        <v>1</v>
      </c>
      <c r="U305" s="1">
        <v>1</v>
      </c>
      <c r="V305" s="1">
        <v>0</v>
      </c>
      <c r="W305" s="1">
        <v>1</v>
      </c>
      <c r="X305" s="1">
        <v>0</v>
      </c>
      <c r="Y305" s="1" t="s">
        <v>104</v>
      </c>
      <c r="Z305" s="1" t="s">
        <v>104</v>
      </c>
      <c r="AA305" s="1" t="s">
        <v>104</v>
      </c>
      <c r="AB305" s="1">
        <v>6</v>
      </c>
      <c r="AC305" s="1" t="s">
        <v>104</v>
      </c>
      <c r="AD305" s="1" t="s">
        <v>104</v>
      </c>
      <c r="AE305" s="1" t="s">
        <v>104</v>
      </c>
      <c r="AF305" s="1" t="s">
        <v>104</v>
      </c>
      <c r="AG305" s="1" t="s">
        <v>104</v>
      </c>
      <c r="AH305" s="1" t="s">
        <v>104</v>
      </c>
      <c r="AI305" s="1" t="s">
        <v>104</v>
      </c>
      <c r="AJ305" s="1" t="s">
        <v>104</v>
      </c>
      <c r="AK305" s="1" t="s">
        <v>104</v>
      </c>
      <c r="AL305" s="1" t="s">
        <v>104</v>
      </c>
      <c r="AM305" s="1" t="s">
        <v>104</v>
      </c>
      <c r="AO305" s="1">
        <v>6</v>
      </c>
      <c r="AQ305" s="1" t="s">
        <v>2218</v>
      </c>
      <c r="AR305" s="1">
        <v>0</v>
      </c>
      <c r="AS305" s="1">
        <v>0</v>
      </c>
      <c r="AT305" s="1">
        <v>0</v>
      </c>
      <c r="AU305" s="1">
        <v>0</v>
      </c>
      <c r="AV305" s="1">
        <v>0</v>
      </c>
      <c r="AW305" s="1">
        <v>0</v>
      </c>
      <c r="AX305" s="1">
        <v>0</v>
      </c>
      <c r="AY305" s="1">
        <v>0</v>
      </c>
      <c r="AZ305" s="1">
        <v>0</v>
      </c>
      <c r="BA305" s="1">
        <v>0</v>
      </c>
      <c r="BB305" s="1">
        <v>0</v>
      </c>
      <c r="BC305" s="1">
        <v>0</v>
      </c>
      <c r="BD305" s="1">
        <v>0</v>
      </c>
      <c r="BE305" s="1">
        <v>0</v>
      </c>
      <c r="BF305" s="1">
        <v>0</v>
      </c>
      <c r="BG305" s="1">
        <v>0</v>
      </c>
      <c r="BH305" s="1">
        <v>0</v>
      </c>
      <c r="BI305" s="1">
        <v>0</v>
      </c>
      <c r="BJ305" s="1">
        <v>0</v>
      </c>
      <c r="BK305" s="1">
        <v>0</v>
      </c>
      <c r="BL305" s="1">
        <v>0</v>
      </c>
      <c r="BM305" s="1">
        <v>0</v>
      </c>
      <c r="BN305" s="1">
        <v>0</v>
      </c>
      <c r="BO305" s="1">
        <v>0</v>
      </c>
      <c r="BP305" s="1">
        <v>0</v>
      </c>
      <c r="BQ305" s="2" t="str">
        <f>HYPERLINK("http://www.d20pfsrd.com/magic/all-spells/i/ironwood","Ironwood")</f>
        <v>Ironwood</v>
      </c>
      <c r="BR305" s="1">
        <v>305</v>
      </c>
      <c r="BS305" s="1" t="s">
        <v>104</v>
      </c>
      <c r="BX305" s="1">
        <v>0</v>
      </c>
      <c r="BY305" s="1" t="s">
        <v>104</v>
      </c>
      <c r="BZ305" s="1" t="s">
        <v>104</v>
      </c>
      <c r="CA305" s="1" t="s">
        <v>104</v>
      </c>
      <c r="CB305" s="1" t="s">
        <v>104</v>
      </c>
      <c r="CC305" s="1" t="s">
        <v>104</v>
      </c>
      <c r="CD305" s="1">
        <v>6</v>
      </c>
      <c r="CE305" s="1" t="s">
        <v>104</v>
      </c>
      <c r="CF305" s="1" t="s">
        <v>104</v>
      </c>
      <c r="CG305" s="1" t="s">
        <v>104</v>
      </c>
      <c r="CH305" s="1">
        <v>6</v>
      </c>
      <c r="CJ305" s="1">
        <v>0</v>
      </c>
      <c r="CK305" s="1">
        <v>0</v>
      </c>
      <c r="CL305" s="1">
        <v>0</v>
      </c>
      <c r="CM305" s="1" t="s">
        <v>104</v>
      </c>
    </row>
    <row r="306" spans="1:91" ht="14.25" customHeight="1" x14ac:dyDescent="0.3">
      <c r="A306" s="1" t="s">
        <v>2219</v>
      </c>
      <c r="B306" s="1" t="s">
        <v>123</v>
      </c>
      <c r="C306" s="1" t="s">
        <v>124</v>
      </c>
      <c r="D306" s="1" t="s">
        <v>125</v>
      </c>
      <c r="E306" s="1" t="s">
        <v>2220</v>
      </c>
      <c r="F306" s="1" t="s">
        <v>95</v>
      </c>
      <c r="G306" s="1" t="s">
        <v>237</v>
      </c>
      <c r="H306" s="1">
        <v>0</v>
      </c>
      <c r="I306" s="1" t="s">
        <v>128</v>
      </c>
      <c r="L306" s="1" t="s">
        <v>129</v>
      </c>
      <c r="M306" s="1" t="s">
        <v>2221</v>
      </c>
      <c r="N306" s="1">
        <v>0</v>
      </c>
      <c r="O306" s="1">
        <v>0</v>
      </c>
      <c r="P306" s="1" t="s">
        <v>276</v>
      </c>
      <c r="Q306" s="1" t="s">
        <v>184</v>
      </c>
      <c r="R306" s="1" t="s">
        <v>2222</v>
      </c>
      <c r="S306" s="1" t="s">
        <v>103</v>
      </c>
      <c r="T306" s="1">
        <v>1</v>
      </c>
      <c r="U306" s="1">
        <v>0</v>
      </c>
      <c r="V306" s="1">
        <v>0</v>
      </c>
      <c r="W306" s="1">
        <v>0</v>
      </c>
      <c r="X306" s="1">
        <v>0</v>
      </c>
      <c r="Y306" s="1">
        <v>8</v>
      </c>
      <c r="Z306" s="1">
        <v>8</v>
      </c>
      <c r="AA306" s="1" t="s">
        <v>104</v>
      </c>
      <c r="AB306" s="1" t="s">
        <v>104</v>
      </c>
      <c r="AC306" s="1" t="s">
        <v>104</v>
      </c>
      <c r="AD306" s="1">
        <v>6</v>
      </c>
      <c r="AE306" s="1" t="s">
        <v>104</v>
      </c>
      <c r="AF306" s="1" t="s">
        <v>104</v>
      </c>
      <c r="AG306" s="1" t="s">
        <v>104</v>
      </c>
      <c r="AH306" s="1">
        <v>8</v>
      </c>
      <c r="AI306" s="1" t="s">
        <v>104</v>
      </c>
      <c r="AJ306" s="1" t="s">
        <v>104</v>
      </c>
      <c r="AK306" s="1" t="s">
        <v>104</v>
      </c>
      <c r="AL306" s="1" t="s">
        <v>104</v>
      </c>
      <c r="AM306" s="1" t="s">
        <v>104</v>
      </c>
      <c r="AO306" s="1">
        <v>8</v>
      </c>
      <c r="AP306" s="1" t="s">
        <v>2223</v>
      </c>
      <c r="AQ306" s="1" t="s">
        <v>2224</v>
      </c>
      <c r="AR306" s="1">
        <v>0</v>
      </c>
      <c r="AS306" s="1">
        <v>0</v>
      </c>
      <c r="AT306" s="1">
        <v>0</v>
      </c>
      <c r="AU306" s="1">
        <v>0</v>
      </c>
      <c r="AV306" s="1">
        <v>0</v>
      </c>
      <c r="AW306" s="1">
        <v>0</v>
      </c>
      <c r="AX306" s="1">
        <v>0</v>
      </c>
      <c r="AY306" s="1">
        <v>0</v>
      </c>
      <c r="AZ306" s="1">
        <v>0</v>
      </c>
      <c r="BA306" s="1">
        <v>0</v>
      </c>
      <c r="BB306" s="1">
        <v>0</v>
      </c>
      <c r="BC306" s="1">
        <v>0</v>
      </c>
      <c r="BD306" s="1">
        <v>0</v>
      </c>
      <c r="BE306" s="1">
        <v>0</v>
      </c>
      <c r="BF306" s="1">
        <v>0</v>
      </c>
      <c r="BG306" s="1">
        <v>0</v>
      </c>
      <c r="BH306" s="1">
        <v>0</v>
      </c>
      <c r="BI306" s="1">
        <v>0</v>
      </c>
      <c r="BJ306" s="1">
        <v>0</v>
      </c>
      <c r="BK306" s="1">
        <v>1</v>
      </c>
      <c r="BL306" s="1">
        <v>0</v>
      </c>
      <c r="BM306" s="1">
        <v>0</v>
      </c>
      <c r="BN306" s="1">
        <v>0</v>
      </c>
      <c r="BO306" s="1">
        <v>0</v>
      </c>
      <c r="BP306" s="1">
        <v>0</v>
      </c>
      <c r="BQ306" s="2" t="str">
        <f>HYPERLINK("http://www.d20pfsrd.com/magic/all-spells/i/irresistible-dance","Irresistible Dance")</f>
        <v>Irresistible Dance</v>
      </c>
      <c r="BR306" s="1">
        <v>306</v>
      </c>
      <c r="BS306" s="1" t="s">
        <v>104</v>
      </c>
      <c r="BT306" s="1" t="s">
        <v>2225</v>
      </c>
      <c r="BX306" s="1">
        <v>0</v>
      </c>
      <c r="BY306" s="1" t="s">
        <v>104</v>
      </c>
      <c r="BZ306" s="1">
        <v>8</v>
      </c>
      <c r="CA306" s="1">
        <v>8</v>
      </c>
      <c r="CB306" s="1" t="s">
        <v>104</v>
      </c>
      <c r="CC306" s="1">
        <v>6</v>
      </c>
      <c r="CD306" s="1" t="s">
        <v>104</v>
      </c>
      <c r="CE306" s="1" t="s">
        <v>104</v>
      </c>
      <c r="CF306" s="1" t="s">
        <v>104</v>
      </c>
      <c r="CG306" s="1" t="s">
        <v>104</v>
      </c>
      <c r="CH306" s="1" t="s">
        <v>104</v>
      </c>
      <c r="CJ306" s="1">
        <v>0</v>
      </c>
      <c r="CK306" s="1">
        <v>0</v>
      </c>
      <c r="CL306" s="1">
        <v>0</v>
      </c>
      <c r="CM306" s="1" t="s">
        <v>104</v>
      </c>
    </row>
    <row r="307" spans="1:91" ht="14.25" customHeight="1" x14ac:dyDescent="0.3">
      <c r="A307" s="1" t="s">
        <v>2226</v>
      </c>
      <c r="B307" s="1" t="s">
        <v>137</v>
      </c>
      <c r="E307" s="1" t="s">
        <v>2227</v>
      </c>
      <c r="F307" s="1" t="s">
        <v>95</v>
      </c>
      <c r="G307" s="1" t="s">
        <v>2228</v>
      </c>
      <c r="H307" s="1">
        <v>0</v>
      </c>
      <c r="I307" s="1" t="s">
        <v>128</v>
      </c>
      <c r="L307" s="1" t="s">
        <v>374</v>
      </c>
      <c r="M307" s="1" t="s">
        <v>130</v>
      </c>
      <c r="N307" s="1">
        <v>1</v>
      </c>
      <c r="O307" s="1">
        <v>0</v>
      </c>
      <c r="P307" s="1" t="s">
        <v>375</v>
      </c>
      <c r="Q307" s="1" t="s">
        <v>184</v>
      </c>
      <c r="R307" s="1" t="s">
        <v>2229</v>
      </c>
      <c r="S307" s="1" t="s">
        <v>103</v>
      </c>
      <c r="T307" s="1">
        <v>1</v>
      </c>
      <c r="U307" s="1">
        <v>1</v>
      </c>
      <c r="V307" s="1">
        <v>1</v>
      </c>
      <c r="W307" s="1">
        <v>0</v>
      </c>
      <c r="X307" s="1">
        <v>0</v>
      </c>
      <c r="Y307" s="1">
        <v>1</v>
      </c>
      <c r="Z307" s="1">
        <v>1</v>
      </c>
      <c r="AA307" s="1" t="s">
        <v>104</v>
      </c>
      <c r="AB307" s="1">
        <v>1</v>
      </c>
      <c r="AC307" s="1">
        <v>1</v>
      </c>
      <c r="AD307" s="1" t="s">
        <v>104</v>
      </c>
      <c r="AE307" s="1" t="s">
        <v>104</v>
      </c>
      <c r="AF307" s="1">
        <v>1</v>
      </c>
      <c r="AG307" s="1">
        <v>1</v>
      </c>
      <c r="AH307" s="1" t="s">
        <v>104</v>
      </c>
      <c r="AI307" s="1" t="s">
        <v>104</v>
      </c>
      <c r="AJ307" s="1" t="s">
        <v>104</v>
      </c>
      <c r="AK307" s="1" t="s">
        <v>104</v>
      </c>
      <c r="AL307" s="1">
        <v>1</v>
      </c>
      <c r="AM307" s="1" t="s">
        <v>104</v>
      </c>
      <c r="AO307" s="1">
        <v>1</v>
      </c>
      <c r="AP307" s="1" t="s">
        <v>2230</v>
      </c>
      <c r="AQ307" s="1" t="s">
        <v>2231</v>
      </c>
      <c r="AR307" s="1">
        <v>0</v>
      </c>
      <c r="AS307" s="1">
        <v>0</v>
      </c>
      <c r="AT307" s="1">
        <v>0</v>
      </c>
      <c r="AU307" s="1">
        <v>0</v>
      </c>
      <c r="AV307" s="1">
        <v>0</v>
      </c>
      <c r="AW307" s="1">
        <v>0</v>
      </c>
      <c r="AX307" s="1">
        <v>0</v>
      </c>
      <c r="AY307" s="1">
        <v>0</v>
      </c>
      <c r="AZ307" s="1">
        <v>0</v>
      </c>
      <c r="BA307" s="1">
        <v>0</v>
      </c>
      <c r="BB307" s="1">
        <v>0</v>
      </c>
      <c r="BC307" s="1">
        <v>0</v>
      </c>
      <c r="BD307" s="1">
        <v>0</v>
      </c>
      <c r="BE307" s="1">
        <v>0</v>
      </c>
      <c r="BF307" s="1">
        <v>0</v>
      </c>
      <c r="BG307" s="1">
        <v>0</v>
      </c>
      <c r="BH307" s="1">
        <v>0</v>
      </c>
      <c r="BI307" s="1">
        <v>0</v>
      </c>
      <c r="BJ307" s="1">
        <v>0</v>
      </c>
      <c r="BK307" s="1">
        <v>0</v>
      </c>
      <c r="BL307" s="1">
        <v>0</v>
      </c>
      <c r="BM307" s="1">
        <v>0</v>
      </c>
      <c r="BN307" s="1">
        <v>0</v>
      </c>
      <c r="BO307" s="1">
        <v>0</v>
      </c>
      <c r="BP307" s="1">
        <v>0</v>
      </c>
      <c r="BQ307" s="2" t="str">
        <f>HYPERLINK("http://www.d20pfsrd.com/magic/all-spells/j/jump","Jump")</f>
        <v>Jump</v>
      </c>
      <c r="BR307" s="1">
        <v>307</v>
      </c>
      <c r="BS307" s="1" t="s">
        <v>104</v>
      </c>
      <c r="BU307" s="1" t="s">
        <v>2232</v>
      </c>
      <c r="BX307" s="1">
        <v>0</v>
      </c>
      <c r="BY307" s="1">
        <v>1</v>
      </c>
      <c r="BZ307" s="1" t="s">
        <v>104</v>
      </c>
      <c r="CA307" s="1">
        <v>1</v>
      </c>
      <c r="CB307" s="1" t="s">
        <v>104</v>
      </c>
      <c r="CC307" s="1" t="s">
        <v>104</v>
      </c>
      <c r="CD307" s="1" t="s">
        <v>104</v>
      </c>
      <c r="CE307" s="1" t="s">
        <v>104</v>
      </c>
      <c r="CF307" s="1" t="s">
        <v>104</v>
      </c>
      <c r="CG307" s="1" t="s">
        <v>104</v>
      </c>
      <c r="CH307" s="1">
        <v>1</v>
      </c>
      <c r="CJ307" s="1">
        <v>0</v>
      </c>
      <c r="CK307" s="1">
        <v>0</v>
      </c>
      <c r="CL307" s="1">
        <v>0</v>
      </c>
      <c r="CM307" s="1">
        <v>1</v>
      </c>
    </row>
    <row r="308" spans="1:91" ht="14.25" customHeight="1" x14ac:dyDescent="0.3">
      <c r="A308" s="1" t="s">
        <v>2233</v>
      </c>
      <c r="B308" s="1" t="s">
        <v>137</v>
      </c>
      <c r="E308" s="1" t="s">
        <v>2234</v>
      </c>
      <c r="F308" s="1" t="s">
        <v>95</v>
      </c>
      <c r="G308" s="1" t="s">
        <v>116</v>
      </c>
      <c r="H308" s="1">
        <v>0</v>
      </c>
      <c r="I308" s="1" t="s">
        <v>117</v>
      </c>
      <c r="L308" s="1" t="s">
        <v>2235</v>
      </c>
      <c r="M308" s="1" t="s">
        <v>140</v>
      </c>
      <c r="N308" s="1">
        <v>0</v>
      </c>
      <c r="O308" s="1">
        <v>0</v>
      </c>
      <c r="P308" s="1" t="s">
        <v>148</v>
      </c>
      <c r="Q308" s="1" t="s">
        <v>149</v>
      </c>
      <c r="R308" s="1" t="s">
        <v>2236</v>
      </c>
      <c r="S308" s="1" t="s">
        <v>103</v>
      </c>
      <c r="T308" s="1">
        <v>1</v>
      </c>
      <c r="U308" s="1">
        <v>1</v>
      </c>
      <c r="V308" s="1">
        <v>0</v>
      </c>
      <c r="W308" s="1">
        <v>0</v>
      </c>
      <c r="X308" s="1">
        <v>0</v>
      </c>
      <c r="Y308" s="1">
        <v>3</v>
      </c>
      <c r="Z308" s="1">
        <v>3</v>
      </c>
      <c r="AA308" s="1" t="s">
        <v>104</v>
      </c>
      <c r="AB308" s="1" t="s">
        <v>104</v>
      </c>
      <c r="AC308" s="1" t="s">
        <v>104</v>
      </c>
      <c r="AD308" s="1" t="s">
        <v>104</v>
      </c>
      <c r="AE308" s="1" t="s">
        <v>104</v>
      </c>
      <c r="AF308" s="1" t="s">
        <v>104</v>
      </c>
      <c r="AG308" s="1" t="s">
        <v>104</v>
      </c>
      <c r="AH308" s="1" t="s">
        <v>104</v>
      </c>
      <c r="AI308" s="1">
        <v>3</v>
      </c>
      <c r="AJ308" s="1" t="s">
        <v>104</v>
      </c>
      <c r="AK308" s="1" t="s">
        <v>104</v>
      </c>
      <c r="AL308" s="1">
        <v>3</v>
      </c>
      <c r="AM308" s="1" t="s">
        <v>104</v>
      </c>
      <c r="AO308" s="1">
        <v>3</v>
      </c>
      <c r="AP308" s="1" t="s">
        <v>2237</v>
      </c>
      <c r="AQ308" s="1" t="s">
        <v>2238</v>
      </c>
      <c r="AR308" s="1">
        <v>0</v>
      </c>
      <c r="AS308" s="1">
        <v>0</v>
      </c>
      <c r="AT308" s="1">
        <v>0</v>
      </c>
      <c r="AU308" s="1">
        <v>0</v>
      </c>
      <c r="AV308" s="1">
        <v>0</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1">
        <v>0</v>
      </c>
      <c r="BO308" s="1">
        <v>0</v>
      </c>
      <c r="BP308" s="1">
        <v>0</v>
      </c>
      <c r="BQ308" s="2" t="str">
        <f>HYPERLINK("http://www.d20pfsrd.com/magic/all-spells/k/keen-edge","Keen Edge")</f>
        <v>Keen Edge</v>
      </c>
      <c r="BR308" s="1">
        <v>308</v>
      </c>
      <c r="BS308" s="1" t="s">
        <v>104</v>
      </c>
      <c r="BX308" s="1">
        <v>0</v>
      </c>
      <c r="BY308" s="1">
        <v>3</v>
      </c>
      <c r="BZ308" s="1" t="s">
        <v>104</v>
      </c>
      <c r="CA308" s="1" t="s">
        <v>104</v>
      </c>
      <c r="CB308" s="1" t="s">
        <v>104</v>
      </c>
      <c r="CC308" s="1" t="s">
        <v>104</v>
      </c>
      <c r="CD308" s="1">
        <v>3</v>
      </c>
      <c r="CE308" s="1" t="s">
        <v>104</v>
      </c>
      <c r="CF308" s="1" t="s">
        <v>104</v>
      </c>
      <c r="CG308" s="1" t="s">
        <v>104</v>
      </c>
      <c r="CH308" s="1" t="s">
        <v>104</v>
      </c>
      <c r="CJ308" s="1">
        <v>0</v>
      </c>
      <c r="CK308" s="1">
        <v>0</v>
      </c>
      <c r="CL308" s="1">
        <v>0</v>
      </c>
      <c r="CM308" s="1" t="s">
        <v>104</v>
      </c>
    </row>
    <row r="309" spans="1:91" ht="14.25" customHeight="1" x14ac:dyDescent="0.3">
      <c r="A309" s="1" t="s">
        <v>2239</v>
      </c>
      <c r="B309" s="1" t="s">
        <v>137</v>
      </c>
      <c r="E309" s="1" t="s">
        <v>2240</v>
      </c>
      <c r="F309" s="1" t="s">
        <v>95</v>
      </c>
      <c r="G309" s="1" t="s">
        <v>237</v>
      </c>
      <c r="H309" s="1">
        <v>0</v>
      </c>
      <c r="I309" s="1" t="s">
        <v>109</v>
      </c>
      <c r="L309" s="1" t="s">
        <v>2241</v>
      </c>
      <c r="M309" s="1" t="s">
        <v>723</v>
      </c>
      <c r="N309" s="1">
        <v>0</v>
      </c>
      <c r="O309" s="1">
        <v>0</v>
      </c>
      <c r="P309" s="1" t="s">
        <v>100</v>
      </c>
      <c r="Q309" s="1" t="s">
        <v>101</v>
      </c>
      <c r="R309" s="1" t="s">
        <v>2242</v>
      </c>
      <c r="S309" s="1" t="s">
        <v>103</v>
      </c>
      <c r="T309" s="1">
        <v>1</v>
      </c>
      <c r="U309" s="1">
        <v>0</v>
      </c>
      <c r="V309" s="1">
        <v>0</v>
      </c>
      <c r="W309" s="1">
        <v>0</v>
      </c>
      <c r="X309" s="1">
        <v>0</v>
      </c>
      <c r="Y309" s="1">
        <v>2</v>
      </c>
      <c r="Z309" s="1">
        <v>2</v>
      </c>
      <c r="AA309" s="1" t="s">
        <v>104</v>
      </c>
      <c r="AB309" s="1" t="s">
        <v>104</v>
      </c>
      <c r="AC309" s="1" t="s">
        <v>104</v>
      </c>
      <c r="AD309" s="1" t="s">
        <v>104</v>
      </c>
      <c r="AE309" s="1" t="s">
        <v>104</v>
      </c>
      <c r="AF309" s="1" t="s">
        <v>104</v>
      </c>
      <c r="AG309" s="1" t="s">
        <v>104</v>
      </c>
      <c r="AH309" s="1" t="s">
        <v>104</v>
      </c>
      <c r="AI309" s="1">
        <v>2</v>
      </c>
      <c r="AJ309" s="1" t="s">
        <v>104</v>
      </c>
      <c r="AK309" s="1" t="s">
        <v>104</v>
      </c>
      <c r="AL309" s="1" t="s">
        <v>104</v>
      </c>
      <c r="AM309" s="1" t="s">
        <v>104</v>
      </c>
      <c r="AO309" s="1">
        <v>2</v>
      </c>
      <c r="AQ309" s="1" t="s">
        <v>2243</v>
      </c>
      <c r="AR309" s="1">
        <v>0</v>
      </c>
      <c r="AS309" s="1">
        <v>0</v>
      </c>
      <c r="AT309" s="1">
        <v>0</v>
      </c>
      <c r="AU309" s="1">
        <v>0</v>
      </c>
      <c r="AV309" s="1">
        <v>0</v>
      </c>
      <c r="AW309" s="1">
        <v>0</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2" t="str">
        <f>HYPERLINK("http://www.d20pfsrd.com/magic/all-spells/k/knock","Knock")</f>
        <v>Knock</v>
      </c>
      <c r="BR309" s="1">
        <v>309</v>
      </c>
      <c r="BS309" s="1" t="s">
        <v>104</v>
      </c>
      <c r="BX309" s="1">
        <v>0</v>
      </c>
      <c r="BY309" s="1" t="s">
        <v>104</v>
      </c>
      <c r="BZ309" s="1" t="s">
        <v>104</v>
      </c>
      <c r="CA309" s="1">
        <v>2</v>
      </c>
      <c r="CB309" s="1">
        <v>2</v>
      </c>
      <c r="CC309" s="1">
        <v>2</v>
      </c>
      <c r="CD309" s="1">
        <v>2</v>
      </c>
      <c r="CE309" s="1" t="s">
        <v>104</v>
      </c>
      <c r="CF309" s="1" t="s">
        <v>104</v>
      </c>
      <c r="CG309" s="1" t="s">
        <v>104</v>
      </c>
      <c r="CH309" s="1" t="s">
        <v>104</v>
      </c>
      <c r="CJ309" s="1">
        <v>0</v>
      </c>
      <c r="CK309" s="1">
        <v>0</v>
      </c>
      <c r="CL309" s="1">
        <v>0</v>
      </c>
      <c r="CM309" s="1" t="s">
        <v>104</v>
      </c>
    </row>
    <row r="310" spans="1:91" ht="14.25" customHeight="1" x14ac:dyDescent="0.3">
      <c r="A310" s="1" t="s">
        <v>2244</v>
      </c>
      <c r="B310" s="1" t="s">
        <v>172</v>
      </c>
      <c r="E310" s="1" t="s">
        <v>2245</v>
      </c>
      <c r="F310" s="1" t="s">
        <v>95</v>
      </c>
      <c r="G310" s="1" t="s">
        <v>116</v>
      </c>
      <c r="H310" s="1">
        <v>0</v>
      </c>
      <c r="I310" s="1" t="s">
        <v>157</v>
      </c>
      <c r="L310" s="1" t="s">
        <v>158</v>
      </c>
      <c r="M310" s="1" t="s">
        <v>119</v>
      </c>
      <c r="N310" s="1">
        <v>0</v>
      </c>
      <c r="O310" s="1">
        <v>0</v>
      </c>
      <c r="R310" s="1" t="s">
        <v>2246</v>
      </c>
      <c r="S310" s="1" t="s">
        <v>103</v>
      </c>
      <c r="T310" s="1">
        <v>1</v>
      </c>
      <c r="U310" s="1">
        <v>1</v>
      </c>
      <c r="V310" s="1">
        <v>0</v>
      </c>
      <c r="W310" s="1">
        <v>0</v>
      </c>
      <c r="X310" s="1">
        <v>0</v>
      </c>
      <c r="Y310" s="1" t="s">
        <v>104</v>
      </c>
      <c r="Z310" s="1" t="s">
        <v>104</v>
      </c>
      <c r="AA310" s="1" t="s">
        <v>104</v>
      </c>
      <c r="AB310" s="1">
        <v>0</v>
      </c>
      <c r="AC310" s="1" t="s">
        <v>104</v>
      </c>
      <c r="AD310" s="1">
        <v>0</v>
      </c>
      <c r="AE310" s="1" t="s">
        <v>104</v>
      </c>
      <c r="AF310" s="1" t="s">
        <v>104</v>
      </c>
      <c r="AG310" s="1" t="s">
        <v>104</v>
      </c>
      <c r="AH310" s="1" t="s">
        <v>104</v>
      </c>
      <c r="AI310" s="1" t="s">
        <v>104</v>
      </c>
      <c r="AJ310" s="1" t="s">
        <v>104</v>
      </c>
      <c r="AK310" s="1" t="s">
        <v>104</v>
      </c>
      <c r="AL310" s="1" t="s">
        <v>104</v>
      </c>
      <c r="AM310" s="1" t="s">
        <v>104</v>
      </c>
      <c r="AO310" s="1">
        <v>0</v>
      </c>
      <c r="AQ310" s="1" t="s">
        <v>2247</v>
      </c>
      <c r="AR310" s="1">
        <v>0</v>
      </c>
      <c r="AS310" s="1">
        <v>0</v>
      </c>
      <c r="AT310" s="1">
        <v>0</v>
      </c>
      <c r="AU310" s="1">
        <v>0</v>
      </c>
      <c r="AV310" s="1">
        <v>0</v>
      </c>
      <c r="AW310" s="1">
        <v>0</v>
      </c>
      <c r="AX310" s="1">
        <v>0</v>
      </c>
      <c r="AY310" s="1">
        <v>0</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2" t="str">
        <f>HYPERLINK("http://www.d20pfsrd.com/magic/all-spells/k/know-direction","Know Direction")</f>
        <v>Know Direction</v>
      </c>
      <c r="BR310" s="1">
        <v>310</v>
      </c>
      <c r="BS310" s="1" t="s">
        <v>104</v>
      </c>
      <c r="BX310" s="1">
        <v>0</v>
      </c>
      <c r="BY310" s="1" t="s">
        <v>104</v>
      </c>
      <c r="BZ310" s="1">
        <v>0</v>
      </c>
      <c r="CA310" s="1">
        <v>0</v>
      </c>
      <c r="CB310" s="1" t="s">
        <v>104</v>
      </c>
      <c r="CC310" s="1" t="s">
        <v>104</v>
      </c>
      <c r="CD310" s="1">
        <v>0</v>
      </c>
      <c r="CE310" s="1" t="s">
        <v>104</v>
      </c>
      <c r="CF310" s="1" t="s">
        <v>104</v>
      </c>
      <c r="CG310" s="1" t="s">
        <v>104</v>
      </c>
      <c r="CH310" s="1">
        <v>0</v>
      </c>
      <c r="CJ310" s="1">
        <v>0</v>
      </c>
      <c r="CK310" s="1">
        <v>0</v>
      </c>
      <c r="CL310" s="1">
        <v>0</v>
      </c>
      <c r="CM310" s="1" t="s">
        <v>104</v>
      </c>
    </row>
    <row r="311" spans="1:91" ht="14.25" customHeight="1" x14ac:dyDescent="0.3">
      <c r="A311" s="1" t="s">
        <v>2248</v>
      </c>
      <c r="B311" s="1" t="s">
        <v>172</v>
      </c>
      <c r="E311" s="1" t="s">
        <v>2249</v>
      </c>
      <c r="F311" s="1" t="s">
        <v>145</v>
      </c>
      <c r="G311" s="1" t="s">
        <v>2250</v>
      </c>
      <c r="H311" s="1">
        <v>1</v>
      </c>
      <c r="I311" s="1" t="s">
        <v>157</v>
      </c>
      <c r="L311" s="1" t="s">
        <v>158</v>
      </c>
      <c r="M311" s="1" t="s">
        <v>145</v>
      </c>
      <c r="N311" s="1">
        <v>0</v>
      </c>
      <c r="O311" s="1">
        <v>0</v>
      </c>
      <c r="R311" s="1" t="s">
        <v>2251</v>
      </c>
      <c r="S311" s="1" t="s">
        <v>103</v>
      </c>
      <c r="T311" s="1">
        <v>1</v>
      </c>
      <c r="U311" s="1">
        <v>1</v>
      </c>
      <c r="V311" s="1">
        <v>1</v>
      </c>
      <c r="W311" s="1">
        <v>1</v>
      </c>
      <c r="X311" s="1">
        <v>0</v>
      </c>
      <c r="Y311" s="1">
        <v>6</v>
      </c>
      <c r="Z311" s="1">
        <v>6</v>
      </c>
      <c r="AA311" s="1" t="s">
        <v>104</v>
      </c>
      <c r="AB311" s="1" t="s">
        <v>104</v>
      </c>
      <c r="AC311" s="1" t="s">
        <v>104</v>
      </c>
      <c r="AD311" s="1">
        <v>4</v>
      </c>
      <c r="AE311" s="1" t="s">
        <v>104</v>
      </c>
      <c r="AF311" s="1" t="s">
        <v>104</v>
      </c>
      <c r="AG311" s="1" t="s">
        <v>104</v>
      </c>
      <c r="AH311" s="1">
        <v>6</v>
      </c>
      <c r="AI311" s="1">
        <v>6</v>
      </c>
      <c r="AJ311" s="1" t="s">
        <v>104</v>
      </c>
      <c r="AK311" s="1" t="s">
        <v>104</v>
      </c>
      <c r="AL311" s="1" t="s">
        <v>104</v>
      </c>
      <c r="AM311" s="1" t="s">
        <v>104</v>
      </c>
      <c r="AO311" s="1">
        <v>6</v>
      </c>
      <c r="AP311" s="1" t="s">
        <v>2252</v>
      </c>
      <c r="AQ311" s="1" t="s">
        <v>2253</v>
      </c>
      <c r="AR311" s="1">
        <v>0</v>
      </c>
      <c r="AS311" s="1">
        <v>0</v>
      </c>
      <c r="AT311" s="1">
        <v>0</v>
      </c>
      <c r="AU311" s="1">
        <v>0</v>
      </c>
      <c r="AV311" s="1">
        <v>0</v>
      </c>
      <c r="AW311" s="1">
        <v>0</v>
      </c>
      <c r="AX311" s="1">
        <v>0</v>
      </c>
      <c r="AY311" s="1">
        <v>0</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0</v>
      </c>
      <c r="BP311" s="1">
        <v>0</v>
      </c>
      <c r="BQ311" s="2" t="str">
        <f>HYPERLINK("http://www.d20pfsrd.com/magic/all-spells/l/legend-lore","Legend Lore")</f>
        <v>Legend Lore</v>
      </c>
      <c r="BR311" s="1">
        <v>311</v>
      </c>
      <c r="BS311" s="1">
        <v>250</v>
      </c>
      <c r="BT311" s="1" t="s">
        <v>2254</v>
      </c>
      <c r="BU311" s="1" t="s">
        <v>2255</v>
      </c>
      <c r="BX311" s="1">
        <v>0</v>
      </c>
      <c r="BY311" s="1" t="s">
        <v>104</v>
      </c>
      <c r="BZ311" s="1" t="s">
        <v>104</v>
      </c>
      <c r="CA311" s="1">
        <v>6</v>
      </c>
      <c r="CB311" s="1">
        <v>4</v>
      </c>
      <c r="CC311" s="1" t="s">
        <v>104</v>
      </c>
      <c r="CD311" s="1">
        <v>6</v>
      </c>
      <c r="CE311" s="1">
        <v>6</v>
      </c>
      <c r="CF311" s="1" t="s">
        <v>104</v>
      </c>
      <c r="CG311" s="1" t="s">
        <v>104</v>
      </c>
      <c r="CH311" s="1" t="s">
        <v>104</v>
      </c>
      <c r="CJ311" s="1">
        <v>0</v>
      </c>
      <c r="CK311" s="1">
        <v>0</v>
      </c>
      <c r="CL311" s="1">
        <v>0</v>
      </c>
      <c r="CM311" s="1" t="s">
        <v>104</v>
      </c>
    </row>
    <row r="312" spans="1:91" ht="14.25" customHeight="1" x14ac:dyDescent="0.3">
      <c r="A312" s="1" t="s">
        <v>2256</v>
      </c>
      <c r="B312" s="1" t="s">
        <v>137</v>
      </c>
      <c r="E312" s="1" t="s">
        <v>2257</v>
      </c>
      <c r="F312" s="1" t="s">
        <v>95</v>
      </c>
      <c r="G312" s="1" t="s">
        <v>2258</v>
      </c>
      <c r="H312" s="1">
        <v>0</v>
      </c>
      <c r="I312" s="1" t="s">
        <v>2259</v>
      </c>
      <c r="L312" s="1" t="s">
        <v>2260</v>
      </c>
      <c r="M312" s="1" t="s">
        <v>130</v>
      </c>
      <c r="N312" s="1">
        <v>1</v>
      </c>
      <c r="O312" s="1">
        <v>0</v>
      </c>
      <c r="P312" s="1" t="s">
        <v>100</v>
      </c>
      <c r="Q312" s="1" t="s">
        <v>101</v>
      </c>
      <c r="R312" s="1" t="s">
        <v>2261</v>
      </c>
      <c r="S312" s="1" t="s">
        <v>103</v>
      </c>
      <c r="T312" s="1">
        <v>1</v>
      </c>
      <c r="U312" s="1">
        <v>1</v>
      </c>
      <c r="V312" s="1">
        <v>0</v>
      </c>
      <c r="W312" s="1">
        <v>1</v>
      </c>
      <c r="X312" s="1">
        <v>0</v>
      </c>
      <c r="Y312" s="1">
        <v>2</v>
      </c>
      <c r="Z312" s="1">
        <v>2</v>
      </c>
      <c r="AA312" s="1" t="s">
        <v>104</v>
      </c>
      <c r="AB312" s="1" t="s">
        <v>104</v>
      </c>
      <c r="AC312" s="1" t="s">
        <v>104</v>
      </c>
      <c r="AD312" s="1" t="s">
        <v>104</v>
      </c>
      <c r="AE312" s="1" t="s">
        <v>104</v>
      </c>
      <c r="AF312" s="1">
        <v>2</v>
      </c>
      <c r="AG312" s="1">
        <v>2</v>
      </c>
      <c r="AH312" s="1">
        <v>2</v>
      </c>
      <c r="AI312" s="1" t="s">
        <v>104</v>
      </c>
      <c r="AJ312" s="1" t="s">
        <v>104</v>
      </c>
      <c r="AK312" s="1" t="s">
        <v>104</v>
      </c>
      <c r="AL312" s="1">
        <v>2</v>
      </c>
      <c r="AM312" s="1" t="s">
        <v>104</v>
      </c>
      <c r="AO312" s="1">
        <v>2</v>
      </c>
      <c r="AP312" s="1" t="s">
        <v>2262</v>
      </c>
      <c r="AQ312" s="1" t="s">
        <v>2263</v>
      </c>
      <c r="AR312" s="1">
        <v>0</v>
      </c>
      <c r="AS312" s="1">
        <v>0</v>
      </c>
      <c r="AT312" s="1">
        <v>0</v>
      </c>
      <c r="AU312" s="1">
        <v>0</v>
      </c>
      <c r="AV312" s="1">
        <v>0</v>
      </c>
      <c r="AW312" s="1">
        <v>0</v>
      </c>
      <c r="AX312" s="1">
        <v>0</v>
      </c>
      <c r="AY312" s="1">
        <v>0</v>
      </c>
      <c r="AZ312" s="1">
        <v>0</v>
      </c>
      <c r="BA312" s="1">
        <v>0</v>
      </c>
      <c r="BB312" s="1">
        <v>0</v>
      </c>
      <c r="BC312" s="1">
        <v>0</v>
      </c>
      <c r="BD312" s="1">
        <v>0</v>
      </c>
      <c r="BE312" s="1">
        <v>0</v>
      </c>
      <c r="BF312" s="1">
        <v>0</v>
      </c>
      <c r="BG312" s="1">
        <v>0</v>
      </c>
      <c r="BH312" s="1">
        <v>0</v>
      </c>
      <c r="BI312" s="1">
        <v>0</v>
      </c>
      <c r="BJ312" s="1">
        <v>0</v>
      </c>
      <c r="BK312" s="1">
        <v>0</v>
      </c>
      <c r="BL312" s="1">
        <v>0</v>
      </c>
      <c r="BM312" s="1">
        <v>0</v>
      </c>
      <c r="BN312" s="1">
        <v>0</v>
      </c>
      <c r="BO312" s="1">
        <v>0</v>
      </c>
      <c r="BP312" s="1">
        <v>0</v>
      </c>
      <c r="BQ312" s="2" t="str">
        <f>HYPERLINK("http://www.d20pfsrd.com/magic/all-spells/l/levitate","Levitate")</f>
        <v>Levitate</v>
      </c>
      <c r="BR312" s="1">
        <v>312</v>
      </c>
      <c r="BS312" s="1" t="s">
        <v>104</v>
      </c>
      <c r="BX312" s="1">
        <v>0</v>
      </c>
      <c r="BY312" s="1" t="s">
        <v>104</v>
      </c>
      <c r="BZ312" s="1">
        <v>2</v>
      </c>
      <c r="CA312" s="1">
        <v>2</v>
      </c>
      <c r="CB312" s="1">
        <v>2</v>
      </c>
      <c r="CC312" s="1">
        <v>2</v>
      </c>
      <c r="CD312" s="1">
        <v>2</v>
      </c>
      <c r="CE312" s="1">
        <v>2</v>
      </c>
      <c r="CF312" s="1" t="s">
        <v>104</v>
      </c>
      <c r="CG312" s="1" t="s">
        <v>104</v>
      </c>
      <c r="CH312" s="1" t="s">
        <v>104</v>
      </c>
      <c r="CJ312" s="1">
        <v>0</v>
      </c>
      <c r="CK312" s="1">
        <v>0</v>
      </c>
      <c r="CL312" s="1">
        <v>0</v>
      </c>
      <c r="CM312" s="1">
        <v>2</v>
      </c>
    </row>
    <row r="313" spans="1:91" ht="14.25" customHeight="1" x14ac:dyDescent="0.3">
      <c r="A313" s="1" t="s">
        <v>2264</v>
      </c>
      <c r="B313" s="1" t="s">
        <v>434</v>
      </c>
      <c r="D313" s="1" t="s">
        <v>61</v>
      </c>
      <c r="E313" s="1" t="s">
        <v>2265</v>
      </c>
      <c r="F313" s="1" t="s">
        <v>95</v>
      </c>
      <c r="G313" s="1" t="s">
        <v>2266</v>
      </c>
      <c r="H313" s="1">
        <v>0</v>
      </c>
      <c r="I313" s="1" t="s">
        <v>128</v>
      </c>
      <c r="L313" s="1" t="s">
        <v>983</v>
      </c>
      <c r="M313" s="1" t="s">
        <v>140</v>
      </c>
      <c r="N313" s="1">
        <v>0</v>
      </c>
      <c r="O313" s="1">
        <v>0</v>
      </c>
      <c r="P313" s="1" t="s">
        <v>100</v>
      </c>
      <c r="Q313" s="1" t="s">
        <v>101</v>
      </c>
      <c r="R313" s="1" t="s">
        <v>2267</v>
      </c>
      <c r="S313" s="1" t="s">
        <v>103</v>
      </c>
      <c r="T313" s="1">
        <v>1</v>
      </c>
      <c r="U313" s="1">
        <v>0</v>
      </c>
      <c r="V313" s="1">
        <v>1</v>
      </c>
      <c r="W313" s="1">
        <v>0</v>
      </c>
      <c r="X313" s="1">
        <v>1</v>
      </c>
      <c r="Y313" s="1">
        <v>0</v>
      </c>
      <c r="Z313" s="1">
        <v>0</v>
      </c>
      <c r="AA313" s="1">
        <v>0</v>
      </c>
      <c r="AB313" s="1">
        <v>0</v>
      </c>
      <c r="AC313" s="1" t="s">
        <v>104</v>
      </c>
      <c r="AD313" s="1">
        <v>0</v>
      </c>
      <c r="AE313" s="1" t="s">
        <v>104</v>
      </c>
      <c r="AF313" s="1" t="s">
        <v>104</v>
      </c>
      <c r="AG313" s="1">
        <v>0</v>
      </c>
      <c r="AH313" s="1">
        <v>0</v>
      </c>
      <c r="AI313" s="1">
        <v>0</v>
      </c>
      <c r="AJ313" s="1">
        <v>0</v>
      </c>
      <c r="AK313" s="1" t="s">
        <v>104</v>
      </c>
      <c r="AL313" s="1">
        <v>0</v>
      </c>
      <c r="AM313" s="1">
        <v>0</v>
      </c>
      <c r="AO313" s="1">
        <v>0</v>
      </c>
      <c r="AQ313" s="1" t="s">
        <v>2268</v>
      </c>
      <c r="AR313" s="1">
        <v>0</v>
      </c>
      <c r="AS313" s="1">
        <v>0</v>
      </c>
      <c r="AT313" s="1">
        <v>0</v>
      </c>
      <c r="AU313" s="1">
        <v>0</v>
      </c>
      <c r="AV313" s="1">
        <v>0</v>
      </c>
      <c r="AW313" s="1">
        <v>0</v>
      </c>
      <c r="AX313" s="1">
        <v>0</v>
      </c>
      <c r="AY313" s="1">
        <v>0</v>
      </c>
      <c r="AZ313" s="1">
        <v>0</v>
      </c>
      <c r="BA313" s="1">
        <v>0</v>
      </c>
      <c r="BB313" s="1">
        <v>0</v>
      </c>
      <c r="BC313" s="1">
        <v>0</v>
      </c>
      <c r="BD313" s="1">
        <v>0</v>
      </c>
      <c r="BE313" s="1">
        <v>0</v>
      </c>
      <c r="BF313" s="1">
        <v>0</v>
      </c>
      <c r="BG313" s="1">
        <v>0</v>
      </c>
      <c r="BH313" s="1">
        <v>0</v>
      </c>
      <c r="BI313" s="1">
        <v>0</v>
      </c>
      <c r="BJ313" s="1">
        <v>1</v>
      </c>
      <c r="BK313" s="1">
        <v>0</v>
      </c>
      <c r="BL313" s="1">
        <v>0</v>
      </c>
      <c r="BM313" s="1">
        <v>0</v>
      </c>
      <c r="BN313" s="1">
        <v>0</v>
      </c>
      <c r="BO313" s="1">
        <v>0</v>
      </c>
      <c r="BP313" s="1">
        <v>0</v>
      </c>
      <c r="BQ313" s="2" t="str">
        <f>HYPERLINK("http://www.d20pfsrd.com/magic/all-spells/l/light","Light")</f>
        <v>Light</v>
      </c>
      <c r="BR313" s="1">
        <v>313</v>
      </c>
      <c r="BS313" s="1" t="s">
        <v>104</v>
      </c>
      <c r="BX313" s="1">
        <v>0</v>
      </c>
      <c r="BY313" s="1" t="s">
        <v>104</v>
      </c>
      <c r="BZ313" s="1">
        <v>0</v>
      </c>
      <c r="CA313" s="1">
        <v>0</v>
      </c>
      <c r="CB313" s="1">
        <v>0</v>
      </c>
      <c r="CC313" s="1">
        <v>0</v>
      </c>
      <c r="CD313" s="1">
        <v>0</v>
      </c>
      <c r="CE313" s="1">
        <v>0</v>
      </c>
      <c r="CF313" s="1" t="s">
        <v>104</v>
      </c>
      <c r="CG313" s="1" t="s">
        <v>104</v>
      </c>
      <c r="CH313" s="1">
        <v>0</v>
      </c>
      <c r="CJ313" s="1">
        <v>0</v>
      </c>
      <c r="CK313" s="1">
        <v>0</v>
      </c>
      <c r="CL313" s="1">
        <v>0</v>
      </c>
      <c r="CM313" s="1">
        <v>0</v>
      </c>
    </row>
    <row r="314" spans="1:91" ht="14.25" customHeight="1" x14ac:dyDescent="0.3">
      <c r="A314" s="1" t="s">
        <v>2269</v>
      </c>
      <c r="B314" s="1" t="s">
        <v>434</v>
      </c>
      <c r="D314" s="1" t="s">
        <v>52</v>
      </c>
      <c r="E314" s="1" t="s">
        <v>2270</v>
      </c>
      <c r="F314" s="1" t="s">
        <v>95</v>
      </c>
      <c r="G314" s="1" t="s">
        <v>2271</v>
      </c>
      <c r="H314" s="1">
        <v>0</v>
      </c>
      <c r="I314" s="1" t="s">
        <v>2272</v>
      </c>
      <c r="J314" s="1" t="s">
        <v>2273</v>
      </c>
      <c r="M314" s="1" t="s">
        <v>119</v>
      </c>
      <c r="N314" s="1">
        <v>0</v>
      </c>
      <c r="O314" s="1">
        <v>0</v>
      </c>
      <c r="P314" s="1" t="s">
        <v>550</v>
      </c>
      <c r="Q314" s="1" t="s">
        <v>184</v>
      </c>
      <c r="R314" s="1" t="s">
        <v>2274</v>
      </c>
      <c r="S314" s="1" t="s">
        <v>103</v>
      </c>
      <c r="T314" s="1">
        <v>1</v>
      </c>
      <c r="U314" s="1">
        <v>1</v>
      </c>
      <c r="V314" s="1">
        <v>1</v>
      </c>
      <c r="W314" s="1">
        <v>0</v>
      </c>
      <c r="X314" s="1">
        <v>0</v>
      </c>
      <c r="Y314" s="1">
        <v>3</v>
      </c>
      <c r="Z314" s="1">
        <v>3</v>
      </c>
      <c r="AA314" s="1" t="s">
        <v>104</v>
      </c>
      <c r="AB314" s="1" t="s">
        <v>104</v>
      </c>
      <c r="AC314" s="1" t="s">
        <v>104</v>
      </c>
      <c r="AD314" s="1" t="s">
        <v>104</v>
      </c>
      <c r="AE314" s="1" t="s">
        <v>104</v>
      </c>
      <c r="AF314" s="1" t="s">
        <v>104</v>
      </c>
      <c r="AG314" s="1" t="s">
        <v>104</v>
      </c>
      <c r="AH314" s="1">
        <v>3</v>
      </c>
      <c r="AI314" s="1" t="s">
        <v>104</v>
      </c>
      <c r="AJ314" s="1" t="s">
        <v>104</v>
      </c>
      <c r="AK314" s="1" t="s">
        <v>104</v>
      </c>
      <c r="AL314" s="1">
        <v>3</v>
      </c>
      <c r="AM314" s="1">
        <v>3</v>
      </c>
      <c r="AO314" s="1">
        <v>3</v>
      </c>
      <c r="AQ314" s="1" t="s">
        <v>2275</v>
      </c>
      <c r="AR314" s="1">
        <v>0</v>
      </c>
      <c r="AS314" s="1">
        <v>0</v>
      </c>
      <c r="AT314" s="1">
        <v>0</v>
      </c>
      <c r="AU314" s="1">
        <v>0</v>
      </c>
      <c r="AV314" s="1">
        <v>0</v>
      </c>
      <c r="AW314" s="1">
        <v>0</v>
      </c>
      <c r="AX314" s="1">
        <v>0</v>
      </c>
      <c r="AY314" s="1">
        <v>0</v>
      </c>
      <c r="AZ314" s="1">
        <v>0</v>
      </c>
      <c r="BA314" s="1">
        <v>1</v>
      </c>
      <c r="BB314" s="1">
        <v>0</v>
      </c>
      <c r="BC314" s="1">
        <v>0</v>
      </c>
      <c r="BD314" s="1">
        <v>0</v>
      </c>
      <c r="BE314" s="1">
        <v>0</v>
      </c>
      <c r="BF314" s="1">
        <v>0</v>
      </c>
      <c r="BG314" s="1">
        <v>0</v>
      </c>
      <c r="BH314" s="1">
        <v>0</v>
      </c>
      <c r="BI314" s="1">
        <v>0</v>
      </c>
      <c r="BJ314" s="1">
        <v>0</v>
      </c>
      <c r="BK314" s="1">
        <v>0</v>
      </c>
      <c r="BL314" s="1">
        <v>0</v>
      </c>
      <c r="BM314" s="1">
        <v>0</v>
      </c>
      <c r="BN314" s="1">
        <v>0</v>
      </c>
      <c r="BO314" s="1">
        <v>0</v>
      </c>
      <c r="BP314" s="1">
        <v>0</v>
      </c>
      <c r="BQ314" s="2" t="str">
        <f>HYPERLINK("http://www.d20pfsrd.com/magic/all-spells/l/lightning-bolt","Lightning Bolt")</f>
        <v>Lightning Bolt</v>
      </c>
      <c r="BR314" s="1">
        <v>314</v>
      </c>
      <c r="BS314" s="1" t="s">
        <v>104</v>
      </c>
      <c r="BT314" s="1" t="s">
        <v>2276</v>
      </c>
      <c r="BV314" s="1" t="s">
        <v>2277</v>
      </c>
      <c r="BW314" s="1" t="s">
        <v>2278</v>
      </c>
      <c r="BX314" s="1">
        <v>1</v>
      </c>
      <c r="BY314" s="1">
        <v>3</v>
      </c>
      <c r="BZ314" s="1" t="s">
        <v>104</v>
      </c>
      <c r="CA314" s="1" t="s">
        <v>104</v>
      </c>
      <c r="CB314" s="1" t="s">
        <v>104</v>
      </c>
      <c r="CC314" s="1" t="s">
        <v>104</v>
      </c>
      <c r="CD314" s="1">
        <v>3</v>
      </c>
      <c r="CE314" s="1" t="s">
        <v>104</v>
      </c>
      <c r="CF314" s="1" t="s">
        <v>104</v>
      </c>
      <c r="CG314" s="1" t="s">
        <v>104</v>
      </c>
      <c r="CH314" s="1" t="s">
        <v>104</v>
      </c>
      <c r="CJ314" s="1">
        <v>0</v>
      </c>
      <c r="CK314" s="1">
        <v>0</v>
      </c>
      <c r="CL314" s="1">
        <v>0</v>
      </c>
      <c r="CM314" s="1" t="s">
        <v>104</v>
      </c>
    </row>
    <row r="315" spans="1:91" ht="14.25" customHeight="1" x14ac:dyDescent="0.3">
      <c r="A315" s="1" t="s">
        <v>2279</v>
      </c>
      <c r="B315" s="1" t="s">
        <v>303</v>
      </c>
      <c r="E315" s="1" t="s">
        <v>1655</v>
      </c>
      <c r="F315" s="1" t="s">
        <v>95</v>
      </c>
      <c r="G315" s="1" t="s">
        <v>2280</v>
      </c>
      <c r="H315" s="1">
        <v>1</v>
      </c>
      <c r="I315" s="1" t="s">
        <v>145</v>
      </c>
      <c r="J315" s="1" t="s">
        <v>145</v>
      </c>
      <c r="K315" s="1" t="s">
        <v>145</v>
      </c>
      <c r="L315" s="1" t="s">
        <v>145</v>
      </c>
      <c r="M315" s="1" t="s">
        <v>145</v>
      </c>
      <c r="N315" s="1">
        <v>0</v>
      </c>
      <c r="O315" s="1">
        <v>0</v>
      </c>
      <c r="P315" s="1" t="s">
        <v>2281</v>
      </c>
      <c r="Q315" s="1" t="s">
        <v>184</v>
      </c>
      <c r="R315" s="1" t="s">
        <v>2282</v>
      </c>
      <c r="S315" s="1" t="s">
        <v>103</v>
      </c>
      <c r="T315" s="1">
        <v>1</v>
      </c>
      <c r="U315" s="1">
        <v>1</v>
      </c>
      <c r="V315" s="1">
        <v>1</v>
      </c>
      <c r="W315" s="1">
        <v>0</v>
      </c>
      <c r="X315" s="1">
        <v>0</v>
      </c>
      <c r="Y315" s="1">
        <v>7</v>
      </c>
      <c r="Z315" s="1">
        <v>7</v>
      </c>
      <c r="AA315" s="1" t="s">
        <v>104</v>
      </c>
      <c r="AB315" s="1" t="s">
        <v>104</v>
      </c>
      <c r="AC315" s="1" t="s">
        <v>104</v>
      </c>
      <c r="AD315" s="1" t="s">
        <v>104</v>
      </c>
      <c r="AE315" s="1" t="s">
        <v>104</v>
      </c>
      <c r="AF315" s="1" t="s">
        <v>104</v>
      </c>
      <c r="AG315" s="1" t="s">
        <v>104</v>
      </c>
      <c r="AH315" s="1" t="s">
        <v>104</v>
      </c>
      <c r="AI315" s="1" t="s">
        <v>104</v>
      </c>
      <c r="AJ315" s="1" t="s">
        <v>104</v>
      </c>
      <c r="AK315" s="1" t="s">
        <v>104</v>
      </c>
      <c r="AL315" s="1" t="s">
        <v>104</v>
      </c>
      <c r="AM315" s="1" t="s">
        <v>104</v>
      </c>
      <c r="AO315" s="1">
        <v>7</v>
      </c>
      <c r="AP315" s="1" t="s">
        <v>2283</v>
      </c>
      <c r="AQ315" s="1" t="s">
        <v>2284</v>
      </c>
      <c r="AR315" s="1">
        <v>0</v>
      </c>
      <c r="AS315" s="1">
        <v>0</v>
      </c>
      <c r="AT315" s="1">
        <v>0</v>
      </c>
      <c r="AU315" s="1">
        <v>0</v>
      </c>
      <c r="AV315" s="1">
        <v>0</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2" t="str">
        <f>HYPERLINK("http://www.d20pfsrd.com/magic/all-spells/l/limited-wish","Limited Wish")</f>
        <v>Limited Wish</v>
      </c>
      <c r="BR315" s="1">
        <v>315</v>
      </c>
      <c r="BS315" s="1">
        <v>1500</v>
      </c>
      <c r="BX315" s="1">
        <v>0</v>
      </c>
      <c r="BY315" s="1" t="s">
        <v>104</v>
      </c>
      <c r="BZ315" s="1" t="s">
        <v>104</v>
      </c>
      <c r="CA315" s="1">
        <v>7</v>
      </c>
      <c r="CB315" s="1" t="s">
        <v>104</v>
      </c>
      <c r="CC315" s="1" t="s">
        <v>104</v>
      </c>
      <c r="CD315" s="1" t="s">
        <v>104</v>
      </c>
      <c r="CE315" s="1" t="s">
        <v>104</v>
      </c>
      <c r="CF315" s="1" t="s">
        <v>104</v>
      </c>
      <c r="CG315" s="1" t="s">
        <v>104</v>
      </c>
      <c r="CH315" s="1" t="s">
        <v>104</v>
      </c>
      <c r="CJ315" s="1">
        <v>0</v>
      </c>
      <c r="CK315" s="1">
        <v>0</v>
      </c>
      <c r="CL315" s="1">
        <v>0</v>
      </c>
      <c r="CM315" s="1" t="s">
        <v>104</v>
      </c>
    </row>
    <row r="316" spans="1:91" ht="14.25" customHeight="1" x14ac:dyDescent="0.3">
      <c r="A316" s="1" t="s">
        <v>2285</v>
      </c>
      <c r="B316" s="1" t="s">
        <v>137</v>
      </c>
      <c r="E316" s="1" t="s">
        <v>2286</v>
      </c>
      <c r="F316" s="1" t="s">
        <v>287</v>
      </c>
      <c r="G316" s="1" t="s">
        <v>116</v>
      </c>
      <c r="H316" s="1">
        <v>0</v>
      </c>
      <c r="I316" s="1" t="s">
        <v>128</v>
      </c>
      <c r="L316" s="1" t="s">
        <v>2287</v>
      </c>
      <c r="M316" s="1" t="s">
        <v>194</v>
      </c>
      <c r="N316" s="1">
        <v>1</v>
      </c>
      <c r="O316" s="1">
        <v>0</v>
      </c>
      <c r="P316" s="1" t="s">
        <v>100</v>
      </c>
      <c r="Q316" s="1" t="s">
        <v>101</v>
      </c>
      <c r="R316" s="1" t="s">
        <v>2288</v>
      </c>
      <c r="S316" s="1" t="s">
        <v>103</v>
      </c>
      <c r="T316" s="1">
        <v>1</v>
      </c>
      <c r="U316" s="1">
        <v>1</v>
      </c>
      <c r="V316" s="1">
        <v>0</v>
      </c>
      <c r="W316" s="1">
        <v>0</v>
      </c>
      <c r="X316" s="1">
        <v>0</v>
      </c>
      <c r="Y316" s="1" t="s">
        <v>104</v>
      </c>
      <c r="Z316" s="1" t="s">
        <v>104</v>
      </c>
      <c r="AA316" s="1" t="s">
        <v>104</v>
      </c>
      <c r="AB316" s="1">
        <v>6</v>
      </c>
      <c r="AC316" s="1" t="s">
        <v>104</v>
      </c>
      <c r="AD316" s="1" t="s">
        <v>104</v>
      </c>
      <c r="AE316" s="1" t="s">
        <v>104</v>
      </c>
      <c r="AF316" s="1" t="s">
        <v>104</v>
      </c>
      <c r="AG316" s="1" t="s">
        <v>104</v>
      </c>
      <c r="AH316" s="1" t="s">
        <v>104</v>
      </c>
      <c r="AI316" s="1" t="s">
        <v>104</v>
      </c>
      <c r="AJ316" s="1" t="s">
        <v>104</v>
      </c>
      <c r="AK316" s="1" t="s">
        <v>104</v>
      </c>
      <c r="AL316" s="1" t="s">
        <v>104</v>
      </c>
      <c r="AM316" s="1" t="s">
        <v>104</v>
      </c>
      <c r="AO316" s="1">
        <v>6</v>
      </c>
      <c r="AQ316" s="1" t="s">
        <v>2289</v>
      </c>
      <c r="AR316" s="1">
        <v>0</v>
      </c>
      <c r="AS316" s="1">
        <v>0</v>
      </c>
      <c r="AT316" s="1">
        <v>0</v>
      </c>
      <c r="AU316" s="1">
        <v>0</v>
      </c>
      <c r="AV316" s="1">
        <v>0</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2" t="str">
        <f>HYPERLINK("http://www.d20pfsrd.com/magic/all-spells/l/liveoak","Liveoak")</f>
        <v>Liveoak</v>
      </c>
      <c r="BR316" s="1">
        <v>316</v>
      </c>
      <c r="BS316" s="1" t="s">
        <v>104</v>
      </c>
      <c r="BX316" s="1">
        <v>0</v>
      </c>
      <c r="BY316" s="1" t="s">
        <v>104</v>
      </c>
      <c r="BZ316" s="1">
        <v>7</v>
      </c>
      <c r="CA316" s="1" t="s">
        <v>104</v>
      </c>
      <c r="CB316" s="1" t="s">
        <v>104</v>
      </c>
      <c r="CC316" s="1" t="s">
        <v>104</v>
      </c>
      <c r="CD316" s="1" t="s">
        <v>104</v>
      </c>
      <c r="CE316" s="1" t="s">
        <v>104</v>
      </c>
      <c r="CF316" s="1" t="s">
        <v>104</v>
      </c>
      <c r="CG316" s="1" t="s">
        <v>104</v>
      </c>
      <c r="CH316" s="1">
        <v>6</v>
      </c>
      <c r="CJ316" s="1">
        <v>0</v>
      </c>
      <c r="CK316" s="1">
        <v>0</v>
      </c>
      <c r="CL316" s="1">
        <v>0</v>
      </c>
      <c r="CM316" s="1" t="s">
        <v>104</v>
      </c>
    </row>
    <row r="317" spans="1:91" ht="14.25" customHeight="1" x14ac:dyDescent="0.3">
      <c r="A317" s="1" t="s">
        <v>2290</v>
      </c>
      <c r="B317" s="1" t="s">
        <v>172</v>
      </c>
      <c r="E317" s="1" t="s">
        <v>2291</v>
      </c>
      <c r="F317" s="1" t="s">
        <v>95</v>
      </c>
      <c r="G317" s="1" t="s">
        <v>2292</v>
      </c>
      <c r="H317" s="1">
        <v>0</v>
      </c>
      <c r="I317" s="1" t="s">
        <v>97</v>
      </c>
      <c r="J317" s="1" t="s">
        <v>2293</v>
      </c>
      <c r="M317" s="1" t="s">
        <v>130</v>
      </c>
      <c r="N317" s="1">
        <v>0</v>
      </c>
      <c r="O317" s="1">
        <v>0</v>
      </c>
      <c r="P317" s="1" t="s">
        <v>100</v>
      </c>
      <c r="Q317" s="1" t="s">
        <v>101</v>
      </c>
      <c r="R317" s="1" t="s">
        <v>2294</v>
      </c>
      <c r="S317" s="1" t="s">
        <v>103</v>
      </c>
      <c r="T317" s="1">
        <v>1</v>
      </c>
      <c r="U317" s="1">
        <v>1</v>
      </c>
      <c r="V317" s="1">
        <v>0</v>
      </c>
      <c r="W317" s="1">
        <v>1</v>
      </c>
      <c r="X317" s="1">
        <v>1</v>
      </c>
      <c r="Y317" s="1">
        <v>2</v>
      </c>
      <c r="Z317" s="1">
        <v>2</v>
      </c>
      <c r="AA317" s="1">
        <v>3</v>
      </c>
      <c r="AB317" s="1" t="s">
        <v>104</v>
      </c>
      <c r="AC317" s="1" t="s">
        <v>104</v>
      </c>
      <c r="AD317" s="1">
        <v>2</v>
      </c>
      <c r="AE317" s="1" t="s">
        <v>104</v>
      </c>
      <c r="AF317" s="1" t="s">
        <v>104</v>
      </c>
      <c r="AG317" s="1" t="s">
        <v>104</v>
      </c>
      <c r="AH317" s="1">
        <v>3</v>
      </c>
      <c r="AI317" s="1">
        <v>3</v>
      </c>
      <c r="AJ317" s="1">
        <v>3</v>
      </c>
      <c r="AK317" s="1" t="s">
        <v>104</v>
      </c>
      <c r="AL317" s="1" t="s">
        <v>104</v>
      </c>
      <c r="AM317" s="1" t="s">
        <v>104</v>
      </c>
      <c r="AO317" s="1">
        <v>2</v>
      </c>
      <c r="AP317" s="1" t="s">
        <v>2295</v>
      </c>
      <c r="AQ317" s="1" t="s">
        <v>2296</v>
      </c>
      <c r="AR317" s="1">
        <v>0</v>
      </c>
      <c r="AS317" s="1">
        <v>0</v>
      </c>
      <c r="AT317" s="1">
        <v>0</v>
      </c>
      <c r="AU317" s="1">
        <v>0</v>
      </c>
      <c r="AV317" s="1">
        <v>0</v>
      </c>
      <c r="AW317" s="1">
        <v>0</v>
      </c>
      <c r="AX317" s="1">
        <v>0</v>
      </c>
      <c r="AY317" s="1">
        <v>0</v>
      </c>
      <c r="AZ317" s="1">
        <v>0</v>
      </c>
      <c r="BA317" s="1">
        <v>0</v>
      </c>
      <c r="BB317" s="1">
        <v>0</v>
      </c>
      <c r="BC317" s="1">
        <v>0</v>
      </c>
      <c r="BD317" s="1">
        <v>0</v>
      </c>
      <c r="BE317" s="1">
        <v>0</v>
      </c>
      <c r="BF317" s="1">
        <v>0</v>
      </c>
      <c r="BG317" s="1">
        <v>0</v>
      </c>
      <c r="BH317" s="1">
        <v>0</v>
      </c>
      <c r="BI317" s="1">
        <v>0</v>
      </c>
      <c r="BJ317" s="1">
        <v>0</v>
      </c>
      <c r="BK317" s="1">
        <v>0</v>
      </c>
      <c r="BL317" s="1">
        <v>0</v>
      </c>
      <c r="BM317" s="1">
        <v>0</v>
      </c>
      <c r="BN317" s="1">
        <v>0</v>
      </c>
      <c r="BO317" s="1">
        <v>0</v>
      </c>
      <c r="BP317" s="1">
        <v>0</v>
      </c>
      <c r="BQ317" s="2" t="str">
        <f>HYPERLINK("http://www.d20pfsrd.com/magic/all-spells/l/locate-object","Locate Object")</f>
        <v>Locate Object</v>
      </c>
      <c r="BR317" s="1">
        <v>317</v>
      </c>
      <c r="BS317" s="1" t="s">
        <v>104</v>
      </c>
      <c r="BU317" s="1" t="s">
        <v>2297</v>
      </c>
      <c r="BX317" s="1">
        <v>0</v>
      </c>
      <c r="BY317" s="1" t="s">
        <v>104</v>
      </c>
      <c r="BZ317" s="1" t="s">
        <v>104</v>
      </c>
      <c r="CA317" s="1">
        <v>2</v>
      </c>
      <c r="CB317" s="1">
        <v>2</v>
      </c>
      <c r="CC317" s="1">
        <v>2</v>
      </c>
      <c r="CD317" s="1">
        <v>2</v>
      </c>
      <c r="CE317" s="1">
        <v>2</v>
      </c>
      <c r="CF317" s="1" t="s">
        <v>104</v>
      </c>
      <c r="CG317" s="1" t="s">
        <v>104</v>
      </c>
      <c r="CH317" s="1" t="s">
        <v>104</v>
      </c>
      <c r="CJ317" s="1">
        <v>0</v>
      </c>
      <c r="CK317" s="1">
        <v>0</v>
      </c>
      <c r="CL317" s="1">
        <v>0</v>
      </c>
      <c r="CM317" s="1" t="s">
        <v>104</v>
      </c>
    </row>
    <row r="318" spans="1:91" ht="14.25" customHeight="1" x14ac:dyDescent="0.3">
      <c r="A318" s="1" t="s">
        <v>2298</v>
      </c>
      <c r="B318" s="1" t="s">
        <v>172</v>
      </c>
      <c r="E318" s="1" t="s">
        <v>2299</v>
      </c>
      <c r="F318" s="1" t="s">
        <v>95</v>
      </c>
      <c r="G318" s="1" t="s">
        <v>2300</v>
      </c>
      <c r="H318" s="1">
        <v>0</v>
      </c>
      <c r="I318" s="1" t="s">
        <v>97</v>
      </c>
      <c r="J318" s="1" t="s">
        <v>2293</v>
      </c>
      <c r="M318" s="1" t="s">
        <v>140</v>
      </c>
      <c r="N318" s="1">
        <v>0</v>
      </c>
      <c r="O318" s="1">
        <v>0</v>
      </c>
      <c r="P318" s="1" t="s">
        <v>100</v>
      </c>
      <c r="Q318" s="1" t="s">
        <v>101</v>
      </c>
      <c r="R318" s="1" t="s">
        <v>2301</v>
      </c>
      <c r="S318" s="1" t="s">
        <v>103</v>
      </c>
      <c r="T318" s="1">
        <v>1</v>
      </c>
      <c r="U318" s="1">
        <v>1</v>
      </c>
      <c r="V318" s="1">
        <v>1</v>
      </c>
      <c r="W318" s="1">
        <v>0</v>
      </c>
      <c r="X318" s="1">
        <v>0</v>
      </c>
      <c r="Y318" s="1">
        <v>4</v>
      </c>
      <c r="Z318" s="1">
        <v>4</v>
      </c>
      <c r="AA318" s="1" t="s">
        <v>104</v>
      </c>
      <c r="AB318" s="1" t="s">
        <v>104</v>
      </c>
      <c r="AC318" s="1" t="s">
        <v>104</v>
      </c>
      <c r="AD318" s="1">
        <v>4</v>
      </c>
      <c r="AE318" s="1" t="s">
        <v>104</v>
      </c>
      <c r="AF318" s="1" t="s">
        <v>104</v>
      </c>
      <c r="AG318" s="1">
        <v>3</v>
      </c>
      <c r="AH318" s="1">
        <v>4</v>
      </c>
      <c r="AI318" s="1" t="s">
        <v>104</v>
      </c>
      <c r="AJ318" s="1" t="s">
        <v>104</v>
      </c>
      <c r="AK318" s="1" t="s">
        <v>104</v>
      </c>
      <c r="AL318" s="1" t="s">
        <v>104</v>
      </c>
      <c r="AM318" s="1" t="s">
        <v>104</v>
      </c>
      <c r="AO318" s="1">
        <v>4</v>
      </c>
      <c r="AP318" s="1" t="s">
        <v>2302</v>
      </c>
      <c r="AQ318" s="1" t="s">
        <v>2303</v>
      </c>
      <c r="AR318" s="1">
        <v>0</v>
      </c>
      <c r="AS318" s="1">
        <v>0</v>
      </c>
      <c r="AT318" s="1">
        <v>0</v>
      </c>
      <c r="AU318" s="1">
        <v>0</v>
      </c>
      <c r="AV318" s="1">
        <v>0</v>
      </c>
      <c r="AW318" s="1">
        <v>0</v>
      </c>
      <c r="AX318" s="1">
        <v>0</v>
      </c>
      <c r="AY318" s="1">
        <v>0</v>
      </c>
      <c r="AZ318" s="1">
        <v>0</v>
      </c>
      <c r="BA318" s="1">
        <v>0</v>
      </c>
      <c r="BB318" s="1">
        <v>0</v>
      </c>
      <c r="BC318" s="1">
        <v>0</v>
      </c>
      <c r="BD318" s="1">
        <v>0</v>
      </c>
      <c r="BE318" s="1">
        <v>0</v>
      </c>
      <c r="BF318" s="1">
        <v>0</v>
      </c>
      <c r="BG318" s="1">
        <v>0</v>
      </c>
      <c r="BH318" s="1">
        <v>0</v>
      </c>
      <c r="BI318" s="1">
        <v>0</v>
      </c>
      <c r="BJ318" s="1">
        <v>0</v>
      </c>
      <c r="BK318" s="1">
        <v>0</v>
      </c>
      <c r="BL318" s="1">
        <v>0</v>
      </c>
      <c r="BM318" s="1">
        <v>0</v>
      </c>
      <c r="BN318" s="1">
        <v>0</v>
      </c>
      <c r="BO318" s="1">
        <v>0</v>
      </c>
      <c r="BP318" s="1">
        <v>0</v>
      </c>
      <c r="BQ318" s="2" t="str">
        <f>HYPERLINK("http://www.d20pfsrd.com/magic/all-spells/l/locate-creature","Locate Creature")</f>
        <v>Locate Creature</v>
      </c>
      <c r="BR318" s="1">
        <v>318</v>
      </c>
      <c r="BS318" s="1" t="s">
        <v>104</v>
      </c>
      <c r="BX318" s="1">
        <v>0</v>
      </c>
      <c r="BY318" s="1" t="s">
        <v>104</v>
      </c>
      <c r="BZ318" s="1" t="s">
        <v>104</v>
      </c>
      <c r="CA318" s="1">
        <v>4</v>
      </c>
      <c r="CB318" s="1">
        <v>3</v>
      </c>
      <c r="CC318" s="1">
        <v>4</v>
      </c>
      <c r="CD318" s="1">
        <v>4</v>
      </c>
      <c r="CE318" s="1">
        <v>4</v>
      </c>
      <c r="CF318" s="1" t="s">
        <v>104</v>
      </c>
      <c r="CG318" s="1" t="s">
        <v>104</v>
      </c>
      <c r="CH318" s="1" t="s">
        <v>104</v>
      </c>
      <c r="CJ318" s="1">
        <v>0</v>
      </c>
      <c r="CK318" s="1">
        <v>0</v>
      </c>
      <c r="CL318" s="1">
        <v>0</v>
      </c>
      <c r="CM318" s="1">
        <v>4</v>
      </c>
    </row>
    <row r="319" spans="1:91" ht="14.25" customHeight="1" x14ac:dyDescent="0.3">
      <c r="A319" s="1" t="s">
        <v>2304</v>
      </c>
      <c r="B319" s="1" t="s">
        <v>137</v>
      </c>
      <c r="E319" s="1" t="s">
        <v>2305</v>
      </c>
      <c r="F319" s="1" t="s">
        <v>95</v>
      </c>
      <c r="G319" s="1" t="s">
        <v>2306</v>
      </c>
      <c r="H319" s="1">
        <v>0</v>
      </c>
      <c r="I319" s="1" t="s">
        <v>157</v>
      </c>
      <c r="L319" s="1" t="s">
        <v>158</v>
      </c>
      <c r="M319" s="1" t="s">
        <v>201</v>
      </c>
      <c r="N319" s="1">
        <v>1</v>
      </c>
      <c r="O319" s="1">
        <v>0</v>
      </c>
      <c r="R319" s="1" t="s">
        <v>2307</v>
      </c>
      <c r="S319" s="1" t="s">
        <v>103</v>
      </c>
      <c r="T319" s="1">
        <v>1</v>
      </c>
      <c r="U319" s="1">
        <v>1</v>
      </c>
      <c r="V319" s="1">
        <v>1</v>
      </c>
      <c r="W319" s="1">
        <v>0</v>
      </c>
      <c r="X319" s="1">
        <v>0</v>
      </c>
      <c r="Y319" s="1" t="s">
        <v>104</v>
      </c>
      <c r="Z319" s="1" t="s">
        <v>104</v>
      </c>
      <c r="AA319" s="1" t="s">
        <v>104</v>
      </c>
      <c r="AB319" s="1">
        <v>1</v>
      </c>
      <c r="AC319" s="1">
        <v>1</v>
      </c>
      <c r="AD319" s="1" t="s">
        <v>104</v>
      </c>
      <c r="AE319" s="1" t="s">
        <v>104</v>
      </c>
      <c r="AF319" s="1" t="s">
        <v>104</v>
      </c>
      <c r="AG319" s="1" t="s">
        <v>104</v>
      </c>
      <c r="AH319" s="1" t="s">
        <v>104</v>
      </c>
      <c r="AI319" s="1" t="s">
        <v>104</v>
      </c>
      <c r="AJ319" s="1" t="s">
        <v>104</v>
      </c>
      <c r="AK319" s="1" t="s">
        <v>104</v>
      </c>
      <c r="AL319" s="1" t="s">
        <v>104</v>
      </c>
      <c r="AM319" s="1" t="s">
        <v>104</v>
      </c>
      <c r="AO319" s="1">
        <v>1</v>
      </c>
      <c r="AP319" s="1" t="s">
        <v>2308</v>
      </c>
      <c r="AQ319" s="1" t="s">
        <v>2309</v>
      </c>
      <c r="AR319" s="1">
        <v>0</v>
      </c>
      <c r="AS319" s="1">
        <v>0</v>
      </c>
      <c r="AT319" s="1">
        <v>0</v>
      </c>
      <c r="AU319" s="1">
        <v>0</v>
      </c>
      <c r="AV319" s="1">
        <v>0</v>
      </c>
      <c r="AW319" s="1">
        <v>0</v>
      </c>
      <c r="AX319" s="1">
        <v>0</v>
      </c>
      <c r="AY319" s="1">
        <v>0</v>
      </c>
      <c r="AZ319" s="1">
        <v>0</v>
      </c>
      <c r="BA319" s="1">
        <v>0</v>
      </c>
      <c r="BB319" s="1">
        <v>0</v>
      </c>
      <c r="BC319" s="1">
        <v>0</v>
      </c>
      <c r="BD319" s="1">
        <v>0</v>
      </c>
      <c r="BE319" s="1">
        <v>0</v>
      </c>
      <c r="BF319" s="1">
        <v>0</v>
      </c>
      <c r="BG319" s="1">
        <v>0</v>
      </c>
      <c r="BH319" s="1">
        <v>0</v>
      </c>
      <c r="BI319" s="1">
        <v>0</v>
      </c>
      <c r="BJ319" s="1">
        <v>0</v>
      </c>
      <c r="BK319" s="1">
        <v>0</v>
      </c>
      <c r="BL319" s="1">
        <v>0</v>
      </c>
      <c r="BM319" s="1">
        <v>0</v>
      </c>
      <c r="BN319" s="1">
        <v>0</v>
      </c>
      <c r="BO319" s="1">
        <v>0</v>
      </c>
      <c r="BP319" s="1">
        <v>0</v>
      </c>
      <c r="BQ319" s="2" t="str">
        <f>HYPERLINK("http://www.d20pfsrd.com/magic/all-spells/l/longstrider","Longstrider")</f>
        <v>Longstrider</v>
      </c>
      <c r="BR319" s="1">
        <v>319</v>
      </c>
      <c r="BS319" s="1" t="s">
        <v>104</v>
      </c>
      <c r="BX319" s="1">
        <v>0</v>
      </c>
      <c r="BY319" s="1" t="s">
        <v>104</v>
      </c>
      <c r="BZ319" s="1" t="s">
        <v>104</v>
      </c>
      <c r="CA319" s="1" t="s">
        <v>104</v>
      </c>
      <c r="CB319" s="1" t="s">
        <v>104</v>
      </c>
      <c r="CC319" s="1" t="s">
        <v>104</v>
      </c>
      <c r="CD319" s="1" t="s">
        <v>104</v>
      </c>
      <c r="CE319" s="1" t="s">
        <v>104</v>
      </c>
      <c r="CF319" s="1" t="s">
        <v>104</v>
      </c>
      <c r="CG319" s="1" t="s">
        <v>104</v>
      </c>
      <c r="CH319" s="1">
        <v>1</v>
      </c>
      <c r="CJ319" s="1">
        <v>0</v>
      </c>
      <c r="CK319" s="1">
        <v>0</v>
      </c>
      <c r="CL319" s="1">
        <v>0</v>
      </c>
      <c r="CM319" s="1" t="s">
        <v>104</v>
      </c>
    </row>
    <row r="320" spans="1:91" ht="14.25" customHeight="1" x14ac:dyDescent="0.3">
      <c r="A320" s="1" t="s">
        <v>2310</v>
      </c>
      <c r="B320" s="1" t="s">
        <v>123</v>
      </c>
      <c r="C320" s="1" t="s">
        <v>124</v>
      </c>
      <c r="D320" s="1" t="s">
        <v>125</v>
      </c>
      <c r="E320" s="1" t="s">
        <v>2311</v>
      </c>
      <c r="F320" s="1" t="s">
        <v>95</v>
      </c>
      <c r="G320" s="1" t="s">
        <v>116</v>
      </c>
      <c r="H320" s="1">
        <v>0</v>
      </c>
      <c r="I320" s="1" t="s">
        <v>109</v>
      </c>
      <c r="J320" s="1" t="s">
        <v>2312</v>
      </c>
      <c r="M320" s="1" t="s">
        <v>2313</v>
      </c>
      <c r="N320" s="1">
        <v>1</v>
      </c>
      <c r="O320" s="1">
        <v>0</v>
      </c>
      <c r="P320" s="1" t="s">
        <v>211</v>
      </c>
      <c r="Q320" s="1" t="s">
        <v>184</v>
      </c>
      <c r="R320" s="1" t="s">
        <v>2314</v>
      </c>
      <c r="S320" s="1" t="s">
        <v>103</v>
      </c>
      <c r="T320" s="1">
        <v>1</v>
      </c>
      <c r="U320" s="1">
        <v>1</v>
      </c>
      <c r="V320" s="1">
        <v>0</v>
      </c>
      <c r="W320" s="1">
        <v>0</v>
      </c>
      <c r="X320" s="1">
        <v>0</v>
      </c>
      <c r="Y320" s="1" t="s">
        <v>104</v>
      </c>
      <c r="Z320" s="1" t="s">
        <v>104</v>
      </c>
      <c r="AA320" s="1" t="s">
        <v>104</v>
      </c>
      <c r="AB320" s="1" t="s">
        <v>104</v>
      </c>
      <c r="AC320" s="1" t="s">
        <v>104</v>
      </c>
      <c r="AD320" s="1">
        <v>0</v>
      </c>
      <c r="AE320" s="1" t="s">
        <v>104</v>
      </c>
      <c r="AF320" s="1" t="s">
        <v>104</v>
      </c>
      <c r="AG320" s="1" t="s">
        <v>104</v>
      </c>
      <c r="AH320" s="1" t="s">
        <v>104</v>
      </c>
      <c r="AI320" s="1" t="s">
        <v>104</v>
      </c>
      <c r="AJ320" s="1" t="s">
        <v>104</v>
      </c>
      <c r="AK320" s="1" t="s">
        <v>104</v>
      </c>
      <c r="AL320" s="1" t="s">
        <v>104</v>
      </c>
      <c r="AM320" s="1" t="s">
        <v>104</v>
      </c>
      <c r="AO320" s="1">
        <v>0</v>
      </c>
      <c r="AQ320" s="1" t="s">
        <v>2315</v>
      </c>
      <c r="AR320" s="1">
        <v>0</v>
      </c>
      <c r="AS320" s="1">
        <v>0</v>
      </c>
      <c r="AT320" s="1">
        <v>0</v>
      </c>
      <c r="AU320" s="1">
        <v>0</v>
      </c>
      <c r="AV320" s="1">
        <v>0</v>
      </c>
      <c r="AW320" s="1">
        <v>0</v>
      </c>
      <c r="AX320" s="1">
        <v>0</v>
      </c>
      <c r="AY320" s="1">
        <v>0</v>
      </c>
      <c r="AZ320" s="1">
        <v>0</v>
      </c>
      <c r="BA320" s="1">
        <v>0</v>
      </c>
      <c r="BB320" s="1">
        <v>0</v>
      </c>
      <c r="BC320" s="1">
        <v>0</v>
      </c>
      <c r="BD320" s="1">
        <v>0</v>
      </c>
      <c r="BE320" s="1">
        <v>0</v>
      </c>
      <c r="BF320" s="1">
        <v>0</v>
      </c>
      <c r="BG320" s="1">
        <v>0</v>
      </c>
      <c r="BH320" s="1">
        <v>0</v>
      </c>
      <c r="BI320" s="1">
        <v>0</v>
      </c>
      <c r="BJ320" s="1">
        <v>0</v>
      </c>
      <c r="BK320" s="1">
        <v>1</v>
      </c>
      <c r="BL320" s="1">
        <v>0</v>
      </c>
      <c r="BM320" s="1">
        <v>0</v>
      </c>
      <c r="BN320" s="1">
        <v>0</v>
      </c>
      <c r="BO320" s="1">
        <v>0</v>
      </c>
      <c r="BP320" s="1">
        <v>0</v>
      </c>
      <c r="BQ320" s="2" t="str">
        <f>HYPERLINK("http://www.d20pfsrd.com/magic/all-spells/l/lullaby","Lullaby")</f>
        <v>Lullaby</v>
      </c>
      <c r="BR320" s="1">
        <v>320</v>
      </c>
      <c r="BS320" s="1" t="s">
        <v>104</v>
      </c>
      <c r="BX320" s="1">
        <v>0</v>
      </c>
      <c r="BY320" s="1" t="s">
        <v>104</v>
      </c>
      <c r="BZ320" s="1" t="s">
        <v>104</v>
      </c>
      <c r="CA320" s="1">
        <v>0</v>
      </c>
      <c r="CB320" s="1" t="s">
        <v>104</v>
      </c>
      <c r="CC320" s="1">
        <v>0</v>
      </c>
      <c r="CD320" s="1" t="s">
        <v>104</v>
      </c>
      <c r="CE320" s="1" t="s">
        <v>104</v>
      </c>
      <c r="CF320" s="1" t="s">
        <v>104</v>
      </c>
      <c r="CG320" s="1" t="s">
        <v>104</v>
      </c>
      <c r="CH320" s="1" t="s">
        <v>104</v>
      </c>
      <c r="CJ320" s="1">
        <v>0</v>
      </c>
      <c r="CK320" s="1">
        <v>0</v>
      </c>
      <c r="CL320" s="1">
        <v>0</v>
      </c>
      <c r="CM320" s="1" t="s">
        <v>104</v>
      </c>
    </row>
    <row r="321" spans="1:91" ht="14.25" customHeight="1" x14ac:dyDescent="0.3">
      <c r="A321" s="1" t="s">
        <v>2316</v>
      </c>
      <c r="B321" s="1" t="s">
        <v>92</v>
      </c>
      <c r="C321" s="1" t="s">
        <v>93</v>
      </c>
      <c r="D321" s="1" t="s">
        <v>57</v>
      </c>
      <c r="E321" s="1" t="s">
        <v>2317</v>
      </c>
      <c r="F321" s="1" t="s">
        <v>95</v>
      </c>
      <c r="G321" s="1" t="s">
        <v>2318</v>
      </c>
      <c r="H321" s="1">
        <v>0</v>
      </c>
      <c r="I321" s="1" t="s">
        <v>128</v>
      </c>
      <c r="L321" s="1" t="s">
        <v>374</v>
      </c>
      <c r="M321" s="1" t="s">
        <v>620</v>
      </c>
      <c r="N321" s="1">
        <v>1</v>
      </c>
      <c r="O321" s="1">
        <v>0</v>
      </c>
      <c r="P321" s="1" t="s">
        <v>375</v>
      </c>
      <c r="Q321" s="1" t="s">
        <v>101</v>
      </c>
      <c r="R321" s="1" t="s">
        <v>2319</v>
      </c>
      <c r="S321" s="1" t="s">
        <v>103</v>
      </c>
      <c r="T321" s="1">
        <v>1</v>
      </c>
      <c r="U321" s="1">
        <v>1</v>
      </c>
      <c r="V321" s="1">
        <v>0</v>
      </c>
      <c r="W321" s="1">
        <v>0</v>
      </c>
      <c r="X321" s="1">
        <v>0</v>
      </c>
      <c r="Y321" s="1">
        <v>1</v>
      </c>
      <c r="Z321" s="1">
        <v>1</v>
      </c>
      <c r="AA321" s="1" t="s">
        <v>104</v>
      </c>
      <c r="AB321" s="1" t="s">
        <v>104</v>
      </c>
      <c r="AC321" s="1" t="s">
        <v>104</v>
      </c>
      <c r="AD321" s="1" t="s">
        <v>104</v>
      </c>
      <c r="AE321" s="1" t="s">
        <v>104</v>
      </c>
      <c r="AF321" s="1" t="s">
        <v>104</v>
      </c>
      <c r="AG321" s="1">
        <v>1</v>
      </c>
      <c r="AH321" s="1">
        <v>1</v>
      </c>
      <c r="AI321" s="1" t="s">
        <v>104</v>
      </c>
      <c r="AJ321" s="1" t="s">
        <v>104</v>
      </c>
      <c r="AK321" s="1" t="s">
        <v>104</v>
      </c>
      <c r="AL321" s="1" t="s">
        <v>104</v>
      </c>
      <c r="AM321" s="1" t="s">
        <v>104</v>
      </c>
      <c r="AO321" s="1">
        <v>1</v>
      </c>
      <c r="AQ321" s="1" t="s">
        <v>2320</v>
      </c>
      <c r="AR321" s="1">
        <v>0</v>
      </c>
      <c r="AS321" s="1">
        <v>0</v>
      </c>
      <c r="AT321" s="1">
        <v>0</v>
      </c>
      <c r="AU321" s="1">
        <v>0</v>
      </c>
      <c r="AV321" s="1">
        <v>0</v>
      </c>
      <c r="AW321" s="1">
        <v>0</v>
      </c>
      <c r="AX321" s="1">
        <v>0</v>
      </c>
      <c r="AY321" s="1">
        <v>0</v>
      </c>
      <c r="AZ321" s="1">
        <v>0</v>
      </c>
      <c r="BA321" s="1">
        <v>0</v>
      </c>
      <c r="BB321" s="1">
        <v>0</v>
      </c>
      <c r="BC321" s="1">
        <v>0</v>
      </c>
      <c r="BD321" s="1">
        <v>0</v>
      </c>
      <c r="BE321" s="1">
        <v>0</v>
      </c>
      <c r="BF321" s="1">
        <v>1</v>
      </c>
      <c r="BG321" s="1">
        <v>0</v>
      </c>
      <c r="BH321" s="1">
        <v>0</v>
      </c>
      <c r="BI321" s="1">
        <v>0</v>
      </c>
      <c r="BJ321" s="1">
        <v>0</v>
      </c>
      <c r="BK321" s="1">
        <v>0</v>
      </c>
      <c r="BL321" s="1">
        <v>0</v>
      </c>
      <c r="BM321" s="1">
        <v>0</v>
      </c>
      <c r="BN321" s="1">
        <v>0</v>
      </c>
      <c r="BO321" s="1">
        <v>0</v>
      </c>
      <c r="BP321" s="1">
        <v>0</v>
      </c>
      <c r="BQ321" s="2" t="str">
        <f>HYPERLINK("http://www.d20pfsrd.com/magic/all-spells/m/mage-armor","Mage Armor")</f>
        <v>Mage Armor</v>
      </c>
      <c r="BR321" s="1">
        <v>321</v>
      </c>
      <c r="BS321" s="1" t="s">
        <v>104</v>
      </c>
      <c r="BT321" s="1" t="s">
        <v>2321</v>
      </c>
      <c r="BV321" s="1" t="s">
        <v>2322</v>
      </c>
      <c r="BX321" s="1">
        <v>1</v>
      </c>
      <c r="BY321" s="1">
        <v>1</v>
      </c>
      <c r="BZ321" s="1" t="s">
        <v>104</v>
      </c>
      <c r="CA321" s="1">
        <v>1</v>
      </c>
      <c r="CB321" s="1" t="s">
        <v>104</v>
      </c>
      <c r="CC321" s="1" t="s">
        <v>104</v>
      </c>
      <c r="CD321" s="1">
        <v>1</v>
      </c>
      <c r="CE321" s="1">
        <v>1</v>
      </c>
      <c r="CF321" s="1" t="s">
        <v>104</v>
      </c>
      <c r="CG321" s="1" t="s">
        <v>104</v>
      </c>
      <c r="CH321" s="1" t="s">
        <v>104</v>
      </c>
      <c r="CJ321" s="1">
        <v>0</v>
      </c>
      <c r="CK321" s="1">
        <v>0</v>
      </c>
      <c r="CL321" s="1">
        <v>0</v>
      </c>
      <c r="CM321" s="1">
        <v>1</v>
      </c>
    </row>
    <row r="322" spans="1:91" ht="14.25" customHeight="1" x14ac:dyDescent="0.3">
      <c r="A322" s="1" t="s">
        <v>2323</v>
      </c>
      <c r="B322" s="1" t="s">
        <v>137</v>
      </c>
      <c r="E322" s="1" t="s">
        <v>2324</v>
      </c>
      <c r="F322" s="1" t="s">
        <v>95</v>
      </c>
      <c r="G322" s="1" t="s">
        <v>116</v>
      </c>
      <c r="H322" s="1">
        <v>0</v>
      </c>
      <c r="I322" s="1" t="s">
        <v>117</v>
      </c>
      <c r="L322" s="1" t="s">
        <v>2325</v>
      </c>
      <c r="M322" s="1" t="s">
        <v>210</v>
      </c>
      <c r="N322" s="1">
        <v>0</v>
      </c>
      <c r="O322" s="1">
        <v>0</v>
      </c>
      <c r="P322" s="1" t="s">
        <v>100</v>
      </c>
      <c r="Q322" s="1" t="s">
        <v>101</v>
      </c>
      <c r="R322" s="1" t="s">
        <v>2326</v>
      </c>
      <c r="S322" s="1" t="s">
        <v>103</v>
      </c>
      <c r="T322" s="1">
        <v>1</v>
      </c>
      <c r="U322" s="1">
        <v>1</v>
      </c>
      <c r="V322" s="1">
        <v>0</v>
      </c>
      <c r="W322" s="1">
        <v>0</v>
      </c>
      <c r="X322" s="1">
        <v>0</v>
      </c>
      <c r="Y322" s="1">
        <v>0</v>
      </c>
      <c r="Z322" s="1">
        <v>0</v>
      </c>
      <c r="AA322" s="1" t="s">
        <v>104</v>
      </c>
      <c r="AB322" s="1" t="s">
        <v>104</v>
      </c>
      <c r="AC322" s="1" t="s">
        <v>104</v>
      </c>
      <c r="AD322" s="1">
        <v>0</v>
      </c>
      <c r="AE322" s="1" t="s">
        <v>104</v>
      </c>
      <c r="AF322" s="1" t="s">
        <v>104</v>
      </c>
      <c r="AG322" s="1">
        <v>0</v>
      </c>
      <c r="AH322" s="1" t="s">
        <v>104</v>
      </c>
      <c r="AI322" s="1" t="s">
        <v>104</v>
      </c>
      <c r="AJ322" s="1" t="s">
        <v>104</v>
      </c>
      <c r="AK322" s="1" t="s">
        <v>104</v>
      </c>
      <c r="AL322" s="1">
        <v>0</v>
      </c>
      <c r="AM322" s="1" t="s">
        <v>104</v>
      </c>
      <c r="AO322" s="1">
        <v>0</v>
      </c>
      <c r="AQ322" s="1" t="s">
        <v>2327</v>
      </c>
      <c r="AR322" s="1">
        <v>0</v>
      </c>
      <c r="AS322" s="1">
        <v>0</v>
      </c>
      <c r="AT322" s="1">
        <v>0</v>
      </c>
      <c r="AU322" s="1">
        <v>0</v>
      </c>
      <c r="AV322" s="1">
        <v>0</v>
      </c>
      <c r="AW322" s="1">
        <v>0</v>
      </c>
      <c r="AX322" s="1">
        <v>0</v>
      </c>
      <c r="AY322" s="1">
        <v>0</v>
      </c>
      <c r="AZ322" s="1">
        <v>0</v>
      </c>
      <c r="BA322" s="1">
        <v>0</v>
      </c>
      <c r="BB322" s="1">
        <v>0</v>
      </c>
      <c r="BC322" s="1">
        <v>0</v>
      </c>
      <c r="BD322" s="1">
        <v>0</v>
      </c>
      <c r="BE322" s="1">
        <v>0</v>
      </c>
      <c r="BF322" s="1">
        <v>0</v>
      </c>
      <c r="BG322" s="1">
        <v>0</v>
      </c>
      <c r="BH322" s="1">
        <v>0</v>
      </c>
      <c r="BI322" s="1">
        <v>0</v>
      </c>
      <c r="BJ322" s="1">
        <v>0</v>
      </c>
      <c r="BK322" s="1">
        <v>0</v>
      </c>
      <c r="BL322" s="1">
        <v>0</v>
      </c>
      <c r="BM322" s="1">
        <v>0</v>
      </c>
      <c r="BN322" s="1">
        <v>0</v>
      </c>
      <c r="BO322" s="1">
        <v>0</v>
      </c>
      <c r="BP322" s="1">
        <v>0</v>
      </c>
      <c r="BQ322" s="2" t="str">
        <f>HYPERLINK("http://www.d20pfsrd.com/magic/all-spells/m/mage-hand","Mage Hand")</f>
        <v>Mage Hand</v>
      </c>
      <c r="BR322" s="1">
        <v>322</v>
      </c>
      <c r="BS322" s="1" t="s">
        <v>104</v>
      </c>
      <c r="BX322" s="1">
        <v>0</v>
      </c>
      <c r="BY322" s="1" t="s">
        <v>104</v>
      </c>
      <c r="BZ322" s="1" t="s">
        <v>104</v>
      </c>
      <c r="CA322" s="1">
        <v>0</v>
      </c>
      <c r="CB322" s="1">
        <v>0</v>
      </c>
      <c r="CC322" s="1">
        <v>0</v>
      </c>
      <c r="CD322" s="1">
        <v>0</v>
      </c>
      <c r="CE322" s="1">
        <v>0</v>
      </c>
      <c r="CF322" s="1" t="s">
        <v>104</v>
      </c>
      <c r="CG322" s="1" t="s">
        <v>104</v>
      </c>
      <c r="CH322" s="1" t="s">
        <v>104</v>
      </c>
      <c r="CJ322" s="1">
        <v>0</v>
      </c>
      <c r="CK322" s="1">
        <v>0</v>
      </c>
      <c r="CL322" s="1">
        <v>0</v>
      </c>
      <c r="CM322" s="1">
        <v>0</v>
      </c>
    </row>
    <row r="323" spans="1:91" ht="14.25" customHeight="1" x14ac:dyDescent="0.3">
      <c r="A323" s="1" t="s">
        <v>2328</v>
      </c>
      <c r="B323" s="1" t="s">
        <v>162</v>
      </c>
      <c r="E323" s="1" t="s">
        <v>919</v>
      </c>
      <c r="F323" s="1" t="s">
        <v>95</v>
      </c>
      <c r="G323" s="1" t="s">
        <v>237</v>
      </c>
      <c r="H323" s="1">
        <v>0</v>
      </c>
      <c r="I323" s="1" t="s">
        <v>117</v>
      </c>
      <c r="J323" s="1" t="s">
        <v>2329</v>
      </c>
      <c r="M323" s="1" t="s">
        <v>2330</v>
      </c>
      <c r="N323" s="1">
        <v>0</v>
      </c>
      <c r="O323" s="1">
        <v>0</v>
      </c>
      <c r="P323" s="1" t="s">
        <v>471</v>
      </c>
      <c r="Q323" s="1" t="s">
        <v>101</v>
      </c>
      <c r="R323" s="1" t="s">
        <v>2331</v>
      </c>
      <c r="S323" s="1" t="s">
        <v>103</v>
      </c>
      <c r="T323" s="1">
        <v>1</v>
      </c>
      <c r="U323" s="1">
        <v>0</v>
      </c>
      <c r="V323" s="1">
        <v>0</v>
      </c>
      <c r="W323" s="1">
        <v>0</v>
      </c>
      <c r="X323" s="1">
        <v>0</v>
      </c>
      <c r="Y323" s="1">
        <v>9</v>
      </c>
      <c r="Z323" s="1">
        <v>9</v>
      </c>
      <c r="AA323" s="1" t="s">
        <v>104</v>
      </c>
      <c r="AB323" s="1" t="s">
        <v>104</v>
      </c>
      <c r="AC323" s="1" t="s">
        <v>104</v>
      </c>
      <c r="AD323" s="1" t="s">
        <v>104</v>
      </c>
      <c r="AE323" s="1" t="s">
        <v>104</v>
      </c>
      <c r="AF323" s="1" t="s">
        <v>104</v>
      </c>
      <c r="AG323" s="1" t="s">
        <v>104</v>
      </c>
      <c r="AH323" s="1" t="s">
        <v>104</v>
      </c>
      <c r="AI323" s="1" t="s">
        <v>104</v>
      </c>
      <c r="AJ323" s="1" t="s">
        <v>104</v>
      </c>
      <c r="AK323" s="1" t="s">
        <v>104</v>
      </c>
      <c r="AL323" s="1" t="s">
        <v>104</v>
      </c>
      <c r="AM323" s="1" t="s">
        <v>104</v>
      </c>
      <c r="AO323" s="1">
        <v>9</v>
      </c>
      <c r="AP323" s="1" t="s">
        <v>2332</v>
      </c>
      <c r="AQ323" s="1" t="s">
        <v>2333</v>
      </c>
      <c r="AR323" s="1">
        <v>0</v>
      </c>
      <c r="AS323" s="1">
        <v>0</v>
      </c>
      <c r="AT323" s="1">
        <v>0</v>
      </c>
      <c r="AU323" s="1">
        <v>0</v>
      </c>
      <c r="AV323" s="1">
        <v>0</v>
      </c>
      <c r="AW323" s="1">
        <v>0</v>
      </c>
      <c r="AX323" s="1">
        <v>0</v>
      </c>
      <c r="AY323" s="1">
        <v>0</v>
      </c>
      <c r="AZ323" s="1">
        <v>0</v>
      </c>
      <c r="BA323" s="1">
        <v>0</v>
      </c>
      <c r="BB323" s="1">
        <v>0</v>
      </c>
      <c r="BC323" s="1">
        <v>0</v>
      </c>
      <c r="BD323" s="1">
        <v>0</v>
      </c>
      <c r="BE323" s="1">
        <v>0</v>
      </c>
      <c r="BF323" s="1">
        <v>0</v>
      </c>
      <c r="BG323" s="1">
        <v>0</v>
      </c>
      <c r="BH323" s="1">
        <v>0</v>
      </c>
      <c r="BI323" s="1">
        <v>0</v>
      </c>
      <c r="BJ323" s="1">
        <v>0</v>
      </c>
      <c r="BK323" s="1">
        <v>0</v>
      </c>
      <c r="BL323" s="1">
        <v>0</v>
      </c>
      <c r="BM323" s="1">
        <v>0</v>
      </c>
      <c r="BN323" s="1">
        <v>0</v>
      </c>
      <c r="BO323" s="1">
        <v>0</v>
      </c>
      <c r="BP323" s="1">
        <v>0</v>
      </c>
      <c r="BQ323" s="2" t="str">
        <f>HYPERLINK("http://www.d20pfsrd.com/magic/all-spells/m/mage-s-disjunction","Mage's Disjunction")</f>
        <v>Mage's Disjunction</v>
      </c>
      <c r="BR323" s="1">
        <v>323</v>
      </c>
      <c r="BS323" s="1" t="s">
        <v>104</v>
      </c>
      <c r="BU323" s="1" t="s">
        <v>2334</v>
      </c>
      <c r="BV323" s="1" t="s">
        <v>2335</v>
      </c>
      <c r="BX323" s="1">
        <v>1</v>
      </c>
      <c r="BY323" s="1" t="s">
        <v>104</v>
      </c>
      <c r="BZ323" s="1" t="s">
        <v>104</v>
      </c>
      <c r="CA323" s="1">
        <v>9</v>
      </c>
      <c r="CB323" s="1" t="s">
        <v>104</v>
      </c>
      <c r="CC323" s="1" t="s">
        <v>104</v>
      </c>
      <c r="CD323" s="1" t="s">
        <v>104</v>
      </c>
      <c r="CE323" s="1" t="s">
        <v>104</v>
      </c>
      <c r="CF323" s="1" t="s">
        <v>104</v>
      </c>
      <c r="CG323" s="1" t="s">
        <v>104</v>
      </c>
      <c r="CH323" s="1" t="s">
        <v>104</v>
      </c>
      <c r="CJ323" s="1">
        <v>0</v>
      </c>
      <c r="CK323" s="1">
        <v>0</v>
      </c>
      <c r="CL323" s="1">
        <v>0</v>
      </c>
      <c r="CM323" s="1" t="s">
        <v>104</v>
      </c>
    </row>
    <row r="324" spans="1:91" ht="14.25" customHeight="1" x14ac:dyDescent="0.3">
      <c r="A324" s="1" t="s">
        <v>2336</v>
      </c>
      <c r="B324" s="1" t="s">
        <v>92</v>
      </c>
      <c r="C324" s="1" t="s">
        <v>93</v>
      </c>
      <c r="E324" s="1" t="s">
        <v>2337</v>
      </c>
      <c r="F324" s="1" t="s">
        <v>95</v>
      </c>
      <c r="G324" s="1" t="s">
        <v>2338</v>
      </c>
      <c r="H324" s="1">
        <v>0</v>
      </c>
      <c r="I324" s="1" t="s">
        <v>117</v>
      </c>
      <c r="K324" s="1" t="s">
        <v>2339</v>
      </c>
      <c r="M324" s="1" t="s">
        <v>2340</v>
      </c>
      <c r="N324" s="1">
        <v>0</v>
      </c>
      <c r="O324" s="1">
        <v>0</v>
      </c>
      <c r="P324" s="1" t="s">
        <v>100</v>
      </c>
      <c r="Q324" s="1" t="s">
        <v>101</v>
      </c>
      <c r="R324" s="1" t="s">
        <v>2341</v>
      </c>
      <c r="S324" s="1" t="s">
        <v>103</v>
      </c>
      <c r="T324" s="1">
        <v>1</v>
      </c>
      <c r="U324" s="1">
        <v>1</v>
      </c>
      <c r="V324" s="1">
        <v>1</v>
      </c>
      <c r="W324" s="1">
        <v>0</v>
      </c>
      <c r="X324" s="1">
        <v>0</v>
      </c>
      <c r="Y324" s="1">
        <v>5</v>
      </c>
      <c r="Z324" s="1">
        <v>5</v>
      </c>
      <c r="AA324" s="1" t="s">
        <v>104</v>
      </c>
      <c r="AB324" s="1" t="s">
        <v>104</v>
      </c>
      <c r="AC324" s="1" t="s">
        <v>104</v>
      </c>
      <c r="AD324" s="1" t="s">
        <v>104</v>
      </c>
      <c r="AE324" s="1" t="s">
        <v>104</v>
      </c>
      <c r="AF324" s="1" t="s">
        <v>104</v>
      </c>
      <c r="AG324" s="1">
        <v>4</v>
      </c>
      <c r="AH324" s="1" t="s">
        <v>104</v>
      </c>
      <c r="AI324" s="1" t="s">
        <v>104</v>
      </c>
      <c r="AJ324" s="1" t="s">
        <v>104</v>
      </c>
      <c r="AK324" s="1" t="s">
        <v>104</v>
      </c>
      <c r="AL324" s="1" t="s">
        <v>104</v>
      </c>
      <c r="AM324" s="1" t="s">
        <v>104</v>
      </c>
      <c r="AO324" s="1">
        <v>5</v>
      </c>
      <c r="AQ324" s="1" t="s">
        <v>2342</v>
      </c>
      <c r="AR324" s="1">
        <v>0</v>
      </c>
      <c r="AS324" s="1">
        <v>0</v>
      </c>
      <c r="AT324" s="1">
        <v>0</v>
      </c>
      <c r="AU324" s="1">
        <v>0</v>
      </c>
      <c r="AV324" s="1">
        <v>0</v>
      </c>
      <c r="AW324" s="1">
        <v>0</v>
      </c>
      <c r="AX324" s="1">
        <v>0</v>
      </c>
      <c r="AY324" s="1">
        <v>0</v>
      </c>
      <c r="AZ324" s="1">
        <v>0</v>
      </c>
      <c r="BA324" s="1">
        <v>0</v>
      </c>
      <c r="BB324" s="1">
        <v>0</v>
      </c>
      <c r="BC324" s="1">
        <v>0</v>
      </c>
      <c r="BD324" s="1">
        <v>0</v>
      </c>
      <c r="BE324" s="1">
        <v>0</v>
      </c>
      <c r="BF324" s="1">
        <v>0</v>
      </c>
      <c r="BG324" s="1">
        <v>0</v>
      </c>
      <c r="BH324" s="1">
        <v>0</v>
      </c>
      <c r="BI324" s="1">
        <v>0</v>
      </c>
      <c r="BJ324" s="1">
        <v>0</v>
      </c>
      <c r="BK324" s="1">
        <v>0</v>
      </c>
      <c r="BL324" s="1">
        <v>0</v>
      </c>
      <c r="BM324" s="1">
        <v>0</v>
      </c>
      <c r="BN324" s="1">
        <v>0</v>
      </c>
      <c r="BO324" s="1">
        <v>0</v>
      </c>
      <c r="BP324" s="1">
        <v>0</v>
      </c>
      <c r="BQ324" s="2" t="str">
        <f>HYPERLINK("http://www.d20pfsrd.com/magic/all-spells/m/mage-s-faithful-hound","Mage's Faithful Hound")</f>
        <v>Mage's Faithful Hound</v>
      </c>
      <c r="BR324" s="1">
        <v>324</v>
      </c>
      <c r="BS324" s="1" t="s">
        <v>104</v>
      </c>
      <c r="BX324" s="1">
        <v>0</v>
      </c>
      <c r="BY324" s="1" t="s">
        <v>104</v>
      </c>
      <c r="BZ324" s="1" t="s">
        <v>104</v>
      </c>
      <c r="CA324" s="1" t="s">
        <v>104</v>
      </c>
      <c r="CB324" s="1" t="s">
        <v>104</v>
      </c>
      <c r="CC324" s="1" t="s">
        <v>104</v>
      </c>
      <c r="CD324" s="1" t="s">
        <v>104</v>
      </c>
      <c r="CE324" s="1">
        <v>5</v>
      </c>
      <c r="CF324" s="1" t="s">
        <v>104</v>
      </c>
      <c r="CG324" s="1" t="s">
        <v>104</v>
      </c>
      <c r="CH324" s="1" t="s">
        <v>104</v>
      </c>
      <c r="CJ324" s="1">
        <v>0</v>
      </c>
      <c r="CK324" s="1">
        <v>0</v>
      </c>
      <c r="CL324" s="1">
        <v>0</v>
      </c>
      <c r="CM324" s="1">
        <v>5</v>
      </c>
    </row>
    <row r="325" spans="1:91" ht="14.25" customHeight="1" x14ac:dyDescent="0.3">
      <c r="A325" s="1" t="s">
        <v>2343</v>
      </c>
      <c r="B325" s="1" t="s">
        <v>137</v>
      </c>
      <c r="E325" s="1" t="s">
        <v>2344</v>
      </c>
      <c r="F325" s="1" t="s">
        <v>95</v>
      </c>
      <c r="G325" s="1" t="s">
        <v>116</v>
      </c>
      <c r="H325" s="1">
        <v>0</v>
      </c>
      <c r="I325" s="1" t="s">
        <v>157</v>
      </c>
      <c r="L325" s="1" t="s">
        <v>158</v>
      </c>
      <c r="M325" s="1" t="s">
        <v>119</v>
      </c>
      <c r="N325" s="1">
        <v>0</v>
      </c>
      <c r="O325" s="1">
        <v>0</v>
      </c>
      <c r="R325" s="1" t="s">
        <v>2345</v>
      </c>
      <c r="S325" s="1" t="s">
        <v>103</v>
      </c>
      <c r="T325" s="1">
        <v>1</v>
      </c>
      <c r="U325" s="1">
        <v>1</v>
      </c>
      <c r="V325" s="1">
        <v>0</v>
      </c>
      <c r="W325" s="1">
        <v>0</v>
      </c>
      <c r="X325" s="1">
        <v>0</v>
      </c>
      <c r="Y325" s="1" t="s">
        <v>104</v>
      </c>
      <c r="Z325" s="1">
        <v>6</v>
      </c>
      <c r="AA325" s="1" t="s">
        <v>104</v>
      </c>
      <c r="AB325" s="1" t="s">
        <v>104</v>
      </c>
      <c r="AC325" s="1" t="s">
        <v>104</v>
      </c>
      <c r="AD325" s="1" t="s">
        <v>104</v>
      </c>
      <c r="AE325" s="1" t="s">
        <v>104</v>
      </c>
      <c r="AF325" s="1" t="s">
        <v>104</v>
      </c>
      <c r="AG325" s="1" t="s">
        <v>104</v>
      </c>
      <c r="AH325" s="1" t="s">
        <v>104</v>
      </c>
      <c r="AI325" s="1" t="s">
        <v>104</v>
      </c>
      <c r="AJ325" s="1" t="s">
        <v>104</v>
      </c>
      <c r="AK325" s="1" t="s">
        <v>104</v>
      </c>
      <c r="AL325" s="1" t="s">
        <v>104</v>
      </c>
      <c r="AM325" s="1" t="s">
        <v>104</v>
      </c>
      <c r="AO325" s="1">
        <v>6</v>
      </c>
      <c r="AQ325" s="1" t="s">
        <v>2346</v>
      </c>
      <c r="AR325" s="1">
        <v>0</v>
      </c>
      <c r="AS325" s="1">
        <v>0</v>
      </c>
      <c r="AT325" s="1">
        <v>0</v>
      </c>
      <c r="AU325" s="1">
        <v>0</v>
      </c>
      <c r="AV325" s="1">
        <v>0</v>
      </c>
      <c r="AW325" s="1">
        <v>0</v>
      </c>
      <c r="AX325" s="1">
        <v>0</v>
      </c>
      <c r="AY325" s="1">
        <v>0</v>
      </c>
      <c r="AZ325" s="1">
        <v>0</v>
      </c>
      <c r="BA325" s="1">
        <v>0</v>
      </c>
      <c r="BB325" s="1">
        <v>0</v>
      </c>
      <c r="BC325" s="1">
        <v>0</v>
      </c>
      <c r="BD325" s="1">
        <v>0</v>
      </c>
      <c r="BE325" s="1">
        <v>0</v>
      </c>
      <c r="BF325" s="1">
        <v>0</v>
      </c>
      <c r="BG325" s="1">
        <v>0</v>
      </c>
      <c r="BH325" s="1">
        <v>0</v>
      </c>
      <c r="BI325" s="1">
        <v>0</v>
      </c>
      <c r="BJ325" s="1">
        <v>0</v>
      </c>
      <c r="BK325" s="1">
        <v>0</v>
      </c>
      <c r="BL325" s="1">
        <v>0</v>
      </c>
      <c r="BM325" s="1">
        <v>0</v>
      </c>
      <c r="BN325" s="1">
        <v>0</v>
      </c>
      <c r="BO325" s="1">
        <v>0</v>
      </c>
      <c r="BP325" s="1">
        <v>0</v>
      </c>
      <c r="BQ325" s="2" t="str">
        <f>HYPERLINK("http://www.d20pfsrd.com/magic/all-spells/m/mage-s-lucubration","Mage's Lucubration")</f>
        <v>Mage's Lucubration</v>
      </c>
      <c r="BR325" s="1">
        <v>325</v>
      </c>
      <c r="BS325" s="1" t="s">
        <v>104</v>
      </c>
      <c r="BX325" s="1">
        <v>0</v>
      </c>
      <c r="BY325" s="1" t="s">
        <v>104</v>
      </c>
      <c r="BZ325" s="1" t="s">
        <v>104</v>
      </c>
      <c r="CA325" s="1" t="s">
        <v>104</v>
      </c>
      <c r="CB325" s="1" t="s">
        <v>104</v>
      </c>
      <c r="CC325" s="1" t="s">
        <v>104</v>
      </c>
      <c r="CD325" s="1" t="s">
        <v>104</v>
      </c>
      <c r="CE325" s="1" t="s">
        <v>104</v>
      </c>
      <c r="CF325" s="1" t="s">
        <v>104</v>
      </c>
      <c r="CG325" s="1" t="s">
        <v>104</v>
      </c>
      <c r="CH325" s="1" t="s">
        <v>104</v>
      </c>
      <c r="CJ325" s="1">
        <v>0</v>
      </c>
      <c r="CK325" s="1">
        <v>0</v>
      </c>
      <c r="CL325" s="1">
        <v>0</v>
      </c>
      <c r="CM325" s="1" t="s">
        <v>104</v>
      </c>
    </row>
    <row r="326" spans="1:91" ht="14.25" customHeight="1" x14ac:dyDescent="0.3">
      <c r="A326" s="1" t="s">
        <v>2347</v>
      </c>
      <c r="B326" s="1" t="s">
        <v>92</v>
      </c>
      <c r="C326" s="1" t="s">
        <v>93</v>
      </c>
      <c r="E326" s="1" t="s">
        <v>1655</v>
      </c>
      <c r="F326" s="1" t="s">
        <v>95</v>
      </c>
      <c r="G326" s="1" t="s">
        <v>2348</v>
      </c>
      <c r="H326" s="1">
        <v>1</v>
      </c>
      <c r="I326" s="1" t="s">
        <v>117</v>
      </c>
      <c r="K326" s="1" t="s">
        <v>2349</v>
      </c>
      <c r="M326" s="1" t="s">
        <v>166</v>
      </c>
      <c r="N326" s="1">
        <v>1</v>
      </c>
      <c r="O326" s="1">
        <v>0</v>
      </c>
      <c r="P326" s="1" t="s">
        <v>100</v>
      </c>
      <c r="Q326" s="1" t="s">
        <v>101</v>
      </c>
      <c r="R326" s="1" t="s">
        <v>2350</v>
      </c>
      <c r="S326" s="1" t="s">
        <v>103</v>
      </c>
      <c r="T326" s="1">
        <v>1</v>
      </c>
      <c r="U326" s="1">
        <v>1</v>
      </c>
      <c r="V326" s="1">
        <v>0</v>
      </c>
      <c r="W326" s="1">
        <v>1</v>
      </c>
      <c r="X326" s="1">
        <v>0</v>
      </c>
      <c r="Y326" s="1">
        <v>7</v>
      </c>
      <c r="Z326" s="1">
        <v>7</v>
      </c>
      <c r="AA326" s="1" t="s">
        <v>104</v>
      </c>
      <c r="AB326" s="1" t="s">
        <v>104</v>
      </c>
      <c r="AC326" s="1" t="s">
        <v>104</v>
      </c>
      <c r="AD326" s="1" t="s">
        <v>104</v>
      </c>
      <c r="AE326" s="1" t="s">
        <v>104</v>
      </c>
      <c r="AF326" s="1" t="s">
        <v>104</v>
      </c>
      <c r="AG326" s="1" t="s">
        <v>104</v>
      </c>
      <c r="AH326" s="1" t="s">
        <v>104</v>
      </c>
      <c r="AI326" s="1" t="s">
        <v>104</v>
      </c>
      <c r="AJ326" s="1" t="s">
        <v>104</v>
      </c>
      <c r="AK326" s="1" t="s">
        <v>104</v>
      </c>
      <c r="AL326" s="1" t="s">
        <v>104</v>
      </c>
      <c r="AM326" s="1" t="s">
        <v>104</v>
      </c>
      <c r="AO326" s="1">
        <v>7</v>
      </c>
      <c r="AP326" s="1" t="s">
        <v>2351</v>
      </c>
      <c r="AQ326" s="1" t="s">
        <v>2352</v>
      </c>
      <c r="AR326" s="1">
        <v>0</v>
      </c>
      <c r="AS326" s="1">
        <v>0</v>
      </c>
      <c r="AT326" s="1">
        <v>0</v>
      </c>
      <c r="AU326" s="1">
        <v>0</v>
      </c>
      <c r="AV326" s="1">
        <v>0</v>
      </c>
      <c r="AW326" s="1">
        <v>0</v>
      </c>
      <c r="AX326" s="1">
        <v>0</v>
      </c>
      <c r="AY326" s="1">
        <v>0</v>
      </c>
      <c r="AZ326" s="1">
        <v>0</v>
      </c>
      <c r="BA326" s="1">
        <v>0</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2" t="str">
        <f>HYPERLINK("http://www.d20pfsrd.com/magic/all-spells/m/mage-s-magnificent-mansion","Mage's Magnificent Mansion")</f>
        <v>Mage's Magnificent Mansion</v>
      </c>
      <c r="BR326" s="1">
        <v>326</v>
      </c>
      <c r="BS326" s="1">
        <v>5</v>
      </c>
      <c r="BX326" s="1">
        <v>0</v>
      </c>
      <c r="BY326" s="1" t="s">
        <v>104</v>
      </c>
      <c r="BZ326" s="1" t="s">
        <v>104</v>
      </c>
      <c r="CA326" s="1">
        <v>7</v>
      </c>
      <c r="CB326" s="1" t="s">
        <v>104</v>
      </c>
      <c r="CC326" s="1" t="s">
        <v>104</v>
      </c>
      <c r="CD326" s="1" t="s">
        <v>104</v>
      </c>
      <c r="CE326" s="1" t="s">
        <v>104</v>
      </c>
      <c r="CF326" s="1" t="s">
        <v>104</v>
      </c>
      <c r="CG326" s="1" t="s">
        <v>104</v>
      </c>
      <c r="CH326" s="1" t="s">
        <v>104</v>
      </c>
      <c r="CJ326" s="1">
        <v>0</v>
      </c>
      <c r="CK326" s="1">
        <v>0</v>
      </c>
      <c r="CL326" s="1">
        <v>0</v>
      </c>
      <c r="CM326" s="1" t="s">
        <v>104</v>
      </c>
    </row>
    <row r="327" spans="1:91" ht="14.25" customHeight="1" x14ac:dyDescent="0.3">
      <c r="A327" s="1" t="s">
        <v>2353</v>
      </c>
      <c r="B327" s="1" t="s">
        <v>162</v>
      </c>
      <c r="E327" s="1" t="s">
        <v>2354</v>
      </c>
      <c r="F327" s="1" t="s">
        <v>287</v>
      </c>
      <c r="G327" s="1" t="s">
        <v>2355</v>
      </c>
      <c r="H327" s="1">
        <v>0</v>
      </c>
      <c r="I327" s="1" t="s">
        <v>117</v>
      </c>
      <c r="J327" s="1" t="s">
        <v>2356</v>
      </c>
      <c r="M327" s="1" t="s">
        <v>341</v>
      </c>
      <c r="N327" s="1">
        <v>1</v>
      </c>
      <c r="O327" s="1">
        <v>1</v>
      </c>
      <c r="P327" s="1" t="s">
        <v>100</v>
      </c>
      <c r="Q327" s="1" t="s">
        <v>101</v>
      </c>
      <c r="R327" s="1" t="s">
        <v>2357</v>
      </c>
      <c r="S327" s="1" t="s">
        <v>103</v>
      </c>
      <c r="T327" s="1">
        <v>1</v>
      </c>
      <c r="U327" s="1">
        <v>1</v>
      </c>
      <c r="V327" s="1">
        <v>1</v>
      </c>
      <c r="W327" s="1">
        <v>0</v>
      </c>
      <c r="X327" s="1">
        <v>0</v>
      </c>
      <c r="Y327" s="1">
        <v>5</v>
      </c>
      <c r="Z327" s="1">
        <v>5</v>
      </c>
      <c r="AA327" s="1" t="s">
        <v>104</v>
      </c>
      <c r="AB327" s="1" t="s">
        <v>104</v>
      </c>
      <c r="AC327" s="1" t="s">
        <v>104</v>
      </c>
      <c r="AD327" s="1" t="s">
        <v>104</v>
      </c>
      <c r="AE327" s="1" t="s">
        <v>104</v>
      </c>
      <c r="AF327" s="1" t="s">
        <v>104</v>
      </c>
      <c r="AG327" s="1" t="s">
        <v>104</v>
      </c>
      <c r="AH327" s="1" t="s">
        <v>104</v>
      </c>
      <c r="AI327" s="1" t="s">
        <v>104</v>
      </c>
      <c r="AJ327" s="1" t="s">
        <v>104</v>
      </c>
      <c r="AK327" s="1" t="s">
        <v>104</v>
      </c>
      <c r="AL327" s="1" t="s">
        <v>104</v>
      </c>
      <c r="AM327" s="1" t="s">
        <v>104</v>
      </c>
      <c r="AO327" s="1">
        <v>5</v>
      </c>
      <c r="AQ327" s="1" t="s">
        <v>2358</v>
      </c>
      <c r="AR327" s="1">
        <v>0</v>
      </c>
      <c r="AS327" s="1">
        <v>0</v>
      </c>
      <c r="AT327" s="1">
        <v>0</v>
      </c>
      <c r="AU327" s="1">
        <v>0</v>
      </c>
      <c r="AV327" s="1">
        <v>0</v>
      </c>
      <c r="AW327" s="1">
        <v>0</v>
      </c>
      <c r="AX327" s="1">
        <v>0</v>
      </c>
      <c r="AY327" s="1">
        <v>0</v>
      </c>
      <c r="AZ327" s="1">
        <v>0</v>
      </c>
      <c r="BA327" s="1">
        <v>0</v>
      </c>
      <c r="BB327" s="1">
        <v>0</v>
      </c>
      <c r="BC327" s="1">
        <v>0</v>
      </c>
      <c r="BD327" s="1">
        <v>0</v>
      </c>
      <c r="BE327" s="1">
        <v>0</v>
      </c>
      <c r="BF327" s="1">
        <v>0</v>
      </c>
      <c r="BG327" s="1">
        <v>0</v>
      </c>
      <c r="BH327" s="1">
        <v>0</v>
      </c>
      <c r="BI327" s="1">
        <v>0</v>
      </c>
      <c r="BJ327" s="1">
        <v>0</v>
      </c>
      <c r="BK327" s="1">
        <v>0</v>
      </c>
      <c r="BL327" s="1">
        <v>0</v>
      </c>
      <c r="BM327" s="1">
        <v>0</v>
      </c>
      <c r="BN327" s="1">
        <v>0</v>
      </c>
      <c r="BO327" s="1">
        <v>0</v>
      </c>
      <c r="BP327" s="1">
        <v>0</v>
      </c>
      <c r="BQ327" s="2" t="str">
        <f>HYPERLINK("http://www.d20pfsrd.com/magic/all-spells/m/mage-s-private-sanctum","Mage's Private Sanctum")</f>
        <v>Mage's Private Sanctum</v>
      </c>
      <c r="BR327" s="1">
        <v>327</v>
      </c>
      <c r="BS327" s="1" t="s">
        <v>104</v>
      </c>
      <c r="BX327" s="1">
        <v>0</v>
      </c>
      <c r="BY327" s="1" t="s">
        <v>104</v>
      </c>
      <c r="BZ327" s="1" t="s">
        <v>104</v>
      </c>
      <c r="CA327" s="1">
        <v>5</v>
      </c>
      <c r="CB327" s="1">
        <v>4</v>
      </c>
      <c r="CC327" s="1">
        <v>5</v>
      </c>
      <c r="CD327" s="1" t="s">
        <v>104</v>
      </c>
      <c r="CE327" s="1">
        <v>5</v>
      </c>
      <c r="CF327" s="1" t="s">
        <v>104</v>
      </c>
      <c r="CG327" s="1" t="s">
        <v>104</v>
      </c>
      <c r="CH327" s="1" t="s">
        <v>104</v>
      </c>
      <c r="CJ327" s="1">
        <v>0</v>
      </c>
      <c r="CK327" s="1">
        <v>0</v>
      </c>
      <c r="CL327" s="1">
        <v>0</v>
      </c>
      <c r="CM327" s="1" t="s">
        <v>104</v>
      </c>
    </row>
    <row r="328" spans="1:91" ht="14.25" customHeight="1" x14ac:dyDescent="0.3">
      <c r="A328" s="1" t="s">
        <v>2359</v>
      </c>
      <c r="B328" s="1" t="s">
        <v>434</v>
      </c>
      <c r="D328" s="1" t="s">
        <v>57</v>
      </c>
      <c r="E328" s="1" t="s">
        <v>1655</v>
      </c>
      <c r="F328" s="1" t="s">
        <v>95</v>
      </c>
      <c r="G328" s="1" t="s">
        <v>2360</v>
      </c>
      <c r="H328" s="1">
        <v>1</v>
      </c>
      <c r="I328" s="1" t="s">
        <v>117</v>
      </c>
      <c r="K328" s="1" t="s">
        <v>2361</v>
      </c>
      <c r="M328" s="1" t="s">
        <v>111</v>
      </c>
      <c r="N328" s="1">
        <v>1</v>
      </c>
      <c r="O328" s="1">
        <v>0</v>
      </c>
      <c r="P328" s="1" t="s">
        <v>100</v>
      </c>
      <c r="Q328" s="1" t="s">
        <v>184</v>
      </c>
      <c r="R328" s="1" t="s">
        <v>2362</v>
      </c>
      <c r="S328" s="1" t="s">
        <v>103</v>
      </c>
      <c r="T328" s="1">
        <v>1</v>
      </c>
      <c r="U328" s="1">
        <v>1</v>
      </c>
      <c r="V328" s="1">
        <v>0</v>
      </c>
      <c r="W328" s="1">
        <v>1</v>
      </c>
      <c r="X328" s="1">
        <v>0</v>
      </c>
      <c r="Y328" s="1">
        <v>7</v>
      </c>
      <c r="Z328" s="1">
        <v>7</v>
      </c>
      <c r="AA328" s="1" t="s">
        <v>104</v>
      </c>
      <c r="AB328" s="1" t="s">
        <v>104</v>
      </c>
      <c r="AC328" s="1" t="s">
        <v>104</v>
      </c>
      <c r="AD328" s="1" t="s">
        <v>104</v>
      </c>
      <c r="AE328" s="1" t="s">
        <v>104</v>
      </c>
      <c r="AF328" s="1" t="s">
        <v>104</v>
      </c>
      <c r="AG328" s="1" t="s">
        <v>104</v>
      </c>
      <c r="AH328" s="1" t="s">
        <v>104</v>
      </c>
      <c r="AI328" s="1" t="s">
        <v>104</v>
      </c>
      <c r="AJ328" s="1" t="s">
        <v>104</v>
      </c>
      <c r="AK328" s="1" t="s">
        <v>104</v>
      </c>
      <c r="AL328" s="1" t="s">
        <v>104</v>
      </c>
      <c r="AM328" s="1" t="s">
        <v>104</v>
      </c>
      <c r="AO328" s="1">
        <v>7</v>
      </c>
      <c r="AQ328" s="1" t="s">
        <v>2363</v>
      </c>
      <c r="AR328" s="1">
        <v>0</v>
      </c>
      <c r="AS328" s="1">
        <v>0</v>
      </c>
      <c r="AT328" s="1">
        <v>0</v>
      </c>
      <c r="AU328" s="1">
        <v>0</v>
      </c>
      <c r="AV328" s="1">
        <v>0</v>
      </c>
      <c r="AW328" s="1">
        <v>0</v>
      </c>
      <c r="AX328" s="1">
        <v>0</v>
      </c>
      <c r="AY328" s="1">
        <v>0</v>
      </c>
      <c r="AZ328" s="1">
        <v>0</v>
      </c>
      <c r="BA328" s="1">
        <v>0</v>
      </c>
      <c r="BB328" s="1">
        <v>0</v>
      </c>
      <c r="BC328" s="1">
        <v>0</v>
      </c>
      <c r="BD328" s="1">
        <v>0</v>
      </c>
      <c r="BE328" s="1">
        <v>0</v>
      </c>
      <c r="BF328" s="1">
        <v>1</v>
      </c>
      <c r="BG328" s="1">
        <v>0</v>
      </c>
      <c r="BH328" s="1">
        <v>0</v>
      </c>
      <c r="BI328" s="1">
        <v>0</v>
      </c>
      <c r="BJ328" s="1">
        <v>0</v>
      </c>
      <c r="BK328" s="1">
        <v>0</v>
      </c>
      <c r="BL328" s="1">
        <v>0</v>
      </c>
      <c r="BM328" s="1">
        <v>0</v>
      </c>
      <c r="BN328" s="1">
        <v>0</v>
      </c>
      <c r="BO328" s="1">
        <v>0</v>
      </c>
      <c r="BP328" s="1">
        <v>0</v>
      </c>
      <c r="BQ328" s="2" t="str">
        <f>HYPERLINK("http://www.d20pfsrd.com/magic/all-spells/m/mage-s-sword","Mage's Sword")</f>
        <v>Mage's Sword</v>
      </c>
      <c r="BR328" s="1">
        <v>328</v>
      </c>
      <c r="BS328" s="1">
        <v>250</v>
      </c>
      <c r="BU328" s="1" t="s">
        <v>2364</v>
      </c>
      <c r="BX328" s="1">
        <v>0</v>
      </c>
      <c r="BY328" s="1" t="s">
        <v>104</v>
      </c>
      <c r="BZ328" s="1" t="s">
        <v>104</v>
      </c>
      <c r="CA328" s="1">
        <v>7</v>
      </c>
      <c r="CB328" s="1" t="s">
        <v>104</v>
      </c>
      <c r="CC328" s="1" t="s">
        <v>104</v>
      </c>
      <c r="CD328" s="1" t="s">
        <v>104</v>
      </c>
      <c r="CE328" s="1" t="s">
        <v>104</v>
      </c>
      <c r="CF328" s="1" t="s">
        <v>104</v>
      </c>
      <c r="CG328" s="1" t="s">
        <v>104</v>
      </c>
      <c r="CH328" s="1" t="s">
        <v>104</v>
      </c>
      <c r="CJ328" s="1">
        <v>0</v>
      </c>
      <c r="CK328" s="1">
        <v>0</v>
      </c>
      <c r="CL328" s="1">
        <v>0</v>
      </c>
      <c r="CM328" s="1" t="s">
        <v>104</v>
      </c>
    </row>
    <row r="329" spans="1:91" ht="14.25" customHeight="1" x14ac:dyDescent="0.3">
      <c r="A329" s="1" t="s">
        <v>2365</v>
      </c>
      <c r="B329" s="1" t="s">
        <v>507</v>
      </c>
      <c r="C329" s="1" t="s">
        <v>508</v>
      </c>
      <c r="E329" s="1" t="s">
        <v>2366</v>
      </c>
      <c r="F329" s="1" t="s">
        <v>95</v>
      </c>
      <c r="G329" s="1" t="s">
        <v>2367</v>
      </c>
      <c r="H329" s="1">
        <v>0</v>
      </c>
      <c r="I329" s="1" t="s">
        <v>128</v>
      </c>
      <c r="L329" s="1" t="s">
        <v>2368</v>
      </c>
      <c r="M329" s="1" t="s">
        <v>194</v>
      </c>
      <c r="N329" s="1">
        <v>1</v>
      </c>
      <c r="O329" s="1">
        <v>0</v>
      </c>
      <c r="P329" s="1" t="s">
        <v>195</v>
      </c>
      <c r="Q329" s="1" t="s">
        <v>101</v>
      </c>
      <c r="R329" s="1" t="s">
        <v>2369</v>
      </c>
      <c r="S329" s="1" t="s">
        <v>103</v>
      </c>
      <c r="T329" s="1">
        <v>1</v>
      </c>
      <c r="U329" s="1">
        <v>1</v>
      </c>
      <c r="V329" s="1">
        <v>0</v>
      </c>
      <c r="W329" s="1">
        <v>1</v>
      </c>
      <c r="X329" s="1">
        <v>0</v>
      </c>
      <c r="Y329" s="1">
        <v>1</v>
      </c>
      <c r="Z329" s="1">
        <v>1</v>
      </c>
      <c r="AA329" s="1" t="s">
        <v>104</v>
      </c>
      <c r="AB329" s="1" t="s">
        <v>104</v>
      </c>
      <c r="AC329" s="1" t="s">
        <v>104</v>
      </c>
      <c r="AD329" s="1">
        <v>1</v>
      </c>
      <c r="AE329" s="1" t="s">
        <v>104</v>
      </c>
      <c r="AF329" s="1" t="s">
        <v>104</v>
      </c>
      <c r="AG329" s="1" t="s">
        <v>104</v>
      </c>
      <c r="AH329" s="1" t="s">
        <v>104</v>
      </c>
      <c r="AI329" s="1" t="s">
        <v>104</v>
      </c>
      <c r="AJ329" s="1" t="s">
        <v>104</v>
      </c>
      <c r="AK329" s="1" t="s">
        <v>104</v>
      </c>
      <c r="AL329" s="1" t="s">
        <v>104</v>
      </c>
      <c r="AM329" s="1" t="s">
        <v>104</v>
      </c>
      <c r="AO329" s="1">
        <v>1</v>
      </c>
      <c r="AP329" s="1" t="s">
        <v>2370</v>
      </c>
      <c r="AQ329" s="1" t="s">
        <v>2371</v>
      </c>
      <c r="AR329" s="1">
        <v>0</v>
      </c>
      <c r="AS329" s="1">
        <v>0</v>
      </c>
      <c r="AT329" s="1">
        <v>0</v>
      </c>
      <c r="AU329" s="1">
        <v>0</v>
      </c>
      <c r="AV329" s="1">
        <v>0</v>
      </c>
      <c r="AW329" s="1">
        <v>0</v>
      </c>
      <c r="AX329" s="1">
        <v>0</v>
      </c>
      <c r="AY329" s="1">
        <v>0</v>
      </c>
      <c r="AZ329" s="1">
        <v>0</v>
      </c>
      <c r="BA329" s="1">
        <v>0</v>
      </c>
      <c r="BB329" s="1">
        <v>0</v>
      </c>
      <c r="BC329" s="1">
        <v>0</v>
      </c>
      <c r="BD329" s="1">
        <v>0</v>
      </c>
      <c r="BE329" s="1">
        <v>0</v>
      </c>
      <c r="BF329" s="1">
        <v>0</v>
      </c>
      <c r="BG329" s="1">
        <v>0</v>
      </c>
      <c r="BH329" s="1">
        <v>0</v>
      </c>
      <c r="BI329" s="1">
        <v>0</v>
      </c>
      <c r="BJ329" s="1">
        <v>0</v>
      </c>
      <c r="BK329" s="1">
        <v>0</v>
      </c>
      <c r="BL329" s="1">
        <v>0</v>
      </c>
      <c r="BM329" s="1">
        <v>0</v>
      </c>
      <c r="BN329" s="1">
        <v>0</v>
      </c>
      <c r="BO329" s="1">
        <v>0</v>
      </c>
      <c r="BP329" s="1">
        <v>0</v>
      </c>
      <c r="BQ329" s="2" t="str">
        <f>HYPERLINK("http://www.d20pfsrd.com/magic/all-spells/m/magic-aura","Magic Aura")</f>
        <v>Magic Aura</v>
      </c>
      <c r="BR329" s="1">
        <v>329</v>
      </c>
      <c r="BS329" s="1" t="s">
        <v>104</v>
      </c>
      <c r="BX329" s="1">
        <v>0</v>
      </c>
      <c r="BY329" s="1" t="s">
        <v>104</v>
      </c>
      <c r="BZ329" s="1" t="s">
        <v>104</v>
      </c>
      <c r="CA329" s="1">
        <v>1</v>
      </c>
      <c r="CB329" s="1" t="s">
        <v>104</v>
      </c>
      <c r="CC329" s="1">
        <v>1</v>
      </c>
      <c r="CD329" s="1">
        <v>1</v>
      </c>
      <c r="CE329" s="1" t="s">
        <v>104</v>
      </c>
      <c r="CF329" s="1" t="s">
        <v>104</v>
      </c>
      <c r="CG329" s="1" t="s">
        <v>104</v>
      </c>
      <c r="CH329" s="1" t="s">
        <v>104</v>
      </c>
      <c r="CJ329" s="1">
        <v>0</v>
      </c>
      <c r="CK329" s="1">
        <v>0</v>
      </c>
      <c r="CL329" s="1">
        <v>0</v>
      </c>
      <c r="CM329" s="1" t="s">
        <v>104</v>
      </c>
    </row>
    <row r="330" spans="1:91" ht="14.25" customHeight="1" x14ac:dyDescent="0.3">
      <c r="A330" s="1" t="s">
        <v>2372</v>
      </c>
      <c r="B330" s="1" t="s">
        <v>162</v>
      </c>
      <c r="D330" s="1" t="s">
        <v>58</v>
      </c>
      <c r="E330" s="1" t="s">
        <v>2373</v>
      </c>
      <c r="F330" s="1" t="s">
        <v>95</v>
      </c>
      <c r="G330" s="1" t="s">
        <v>2374</v>
      </c>
      <c r="H330" s="1">
        <v>0</v>
      </c>
      <c r="I330" s="1" t="s">
        <v>128</v>
      </c>
      <c r="J330" s="1" t="s">
        <v>2375</v>
      </c>
      <c r="M330" s="1" t="s">
        <v>140</v>
      </c>
      <c r="N330" s="1">
        <v>0</v>
      </c>
      <c r="O330" s="1">
        <v>0</v>
      </c>
      <c r="P330" s="1" t="s">
        <v>375</v>
      </c>
      <c r="Q330" s="1" t="s">
        <v>2376</v>
      </c>
      <c r="R330" s="1" t="s">
        <v>2377</v>
      </c>
      <c r="S330" s="1" t="s">
        <v>103</v>
      </c>
      <c r="T330" s="1">
        <v>1</v>
      </c>
      <c r="U330" s="1">
        <v>1</v>
      </c>
      <c r="V330" s="1">
        <v>1</v>
      </c>
      <c r="W330" s="1">
        <v>0</v>
      </c>
      <c r="X330" s="1">
        <v>1</v>
      </c>
      <c r="Y330" s="1">
        <v>3</v>
      </c>
      <c r="Z330" s="1">
        <v>3</v>
      </c>
      <c r="AA330" s="1">
        <v>3</v>
      </c>
      <c r="AB330" s="1" t="s">
        <v>104</v>
      </c>
      <c r="AC330" s="1" t="s">
        <v>104</v>
      </c>
      <c r="AD330" s="1" t="s">
        <v>104</v>
      </c>
      <c r="AE330" s="1">
        <v>3</v>
      </c>
      <c r="AF330" s="1" t="s">
        <v>104</v>
      </c>
      <c r="AG330" s="1">
        <v>3</v>
      </c>
      <c r="AH330" s="1" t="s">
        <v>104</v>
      </c>
      <c r="AI330" s="1">
        <v>3</v>
      </c>
      <c r="AJ330" s="1">
        <v>3</v>
      </c>
      <c r="AK330" s="1" t="s">
        <v>104</v>
      </c>
      <c r="AL330" s="1" t="s">
        <v>104</v>
      </c>
      <c r="AM330" s="1" t="s">
        <v>104</v>
      </c>
      <c r="AO330" s="1">
        <v>3</v>
      </c>
      <c r="AP330" s="1" t="s">
        <v>2378</v>
      </c>
      <c r="AQ330" s="1" t="s">
        <v>2379</v>
      </c>
      <c r="AR330" s="1">
        <v>0</v>
      </c>
      <c r="AS330" s="1">
        <v>0</v>
      </c>
      <c r="AT330" s="1">
        <v>0</v>
      </c>
      <c r="AU330" s="1">
        <v>0</v>
      </c>
      <c r="AV330" s="1">
        <v>0</v>
      </c>
      <c r="AW330" s="1">
        <v>0</v>
      </c>
      <c r="AX330" s="1">
        <v>0</v>
      </c>
      <c r="AY330" s="1">
        <v>0</v>
      </c>
      <c r="AZ330" s="1">
        <v>0</v>
      </c>
      <c r="BA330" s="1">
        <v>0</v>
      </c>
      <c r="BB330" s="1">
        <v>0</v>
      </c>
      <c r="BC330" s="1">
        <v>0</v>
      </c>
      <c r="BD330" s="1">
        <v>0</v>
      </c>
      <c r="BE330" s="1">
        <v>0</v>
      </c>
      <c r="BF330" s="1">
        <v>0</v>
      </c>
      <c r="BG330" s="1">
        <v>1</v>
      </c>
      <c r="BH330" s="1">
        <v>0</v>
      </c>
      <c r="BI330" s="1">
        <v>0</v>
      </c>
      <c r="BJ330" s="1">
        <v>0</v>
      </c>
      <c r="BK330" s="1">
        <v>0</v>
      </c>
      <c r="BL330" s="1">
        <v>0</v>
      </c>
      <c r="BM330" s="1">
        <v>0</v>
      </c>
      <c r="BN330" s="1">
        <v>0</v>
      </c>
      <c r="BO330" s="1">
        <v>0</v>
      </c>
      <c r="BP330" s="1">
        <v>0</v>
      </c>
      <c r="BQ330" s="2" t="str">
        <f>HYPERLINK("http://www.d20pfsrd.com/magic/all-spells/m/magic-circle-against-evil","Magic Circle against Evil")</f>
        <v>Magic Circle against Evil</v>
      </c>
      <c r="BR330" s="1">
        <v>330</v>
      </c>
      <c r="BS330" s="1" t="s">
        <v>104</v>
      </c>
      <c r="BT330" s="1" t="s">
        <v>2380</v>
      </c>
      <c r="BU330" s="1" t="s">
        <v>2381</v>
      </c>
      <c r="BX330" s="1">
        <v>0</v>
      </c>
      <c r="BY330" s="1" t="s">
        <v>104</v>
      </c>
      <c r="BZ330" s="1">
        <v>3</v>
      </c>
      <c r="CA330" s="1" t="s">
        <v>104</v>
      </c>
      <c r="CB330" s="1">
        <v>3</v>
      </c>
      <c r="CC330" s="1" t="s">
        <v>104</v>
      </c>
      <c r="CD330" s="1">
        <v>3</v>
      </c>
      <c r="CE330" s="1">
        <v>3</v>
      </c>
      <c r="CF330" s="1" t="s">
        <v>104</v>
      </c>
      <c r="CG330" s="1" t="s">
        <v>104</v>
      </c>
      <c r="CH330" s="1" t="s">
        <v>104</v>
      </c>
      <c r="CJ330" s="1">
        <v>0</v>
      </c>
      <c r="CK330" s="1">
        <v>0</v>
      </c>
      <c r="CL330" s="1">
        <v>0</v>
      </c>
      <c r="CM330" s="1">
        <v>3</v>
      </c>
    </row>
    <row r="331" spans="1:91" ht="14.25" customHeight="1" x14ac:dyDescent="0.3">
      <c r="A331" s="1" t="s">
        <v>2382</v>
      </c>
      <c r="B331" s="1" t="s">
        <v>162</v>
      </c>
      <c r="D331" s="1" t="s">
        <v>60</v>
      </c>
      <c r="E331" s="1" t="s">
        <v>2373</v>
      </c>
      <c r="F331" s="1" t="s">
        <v>95</v>
      </c>
      <c r="G331" s="1" t="s">
        <v>2374</v>
      </c>
      <c r="H331" s="1">
        <v>0</v>
      </c>
      <c r="I331" s="1" t="s">
        <v>128</v>
      </c>
      <c r="J331" s="1" t="s">
        <v>2375</v>
      </c>
      <c r="M331" s="1" t="s">
        <v>140</v>
      </c>
      <c r="N331" s="1">
        <v>0</v>
      </c>
      <c r="O331" s="1">
        <v>0</v>
      </c>
      <c r="P331" s="1" t="s">
        <v>375</v>
      </c>
      <c r="Q331" s="1" t="s">
        <v>2376</v>
      </c>
      <c r="R331" s="1" t="s">
        <v>2383</v>
      </c>
      <c r="S331" s="1" t="s">
        <v>103</v>
      </c>
      <c r="T331" s="1">
        <v>1</v>
      </c>
      <c r="U331" s="1">
        <v>1</v>
      </c>
      <c r="V331" s="1">
        <v>1</v>
      </c>
      <c r="W331" s="1">
        <v>0</v>
      </c>
      <c r="X331" s="1">
        <v>1</v>
      </c>
      <c r="Y331" s="1">
        <v>3</v>
      </c>
      <c r="Z331" s="1">
        <v>3</v>
      </c>
      <c r="AA331" s="1">
        <v>3</v>
      </c>
      <c r="AB331" s="1" t="s">
        <v>104</v>
      </c>
      <c r="AC331" s="1" t="s">
        <v>104</v>
      </c>
      <c r="AD331" s="1" t="s">
        <v>104</v>
      </c>
      <c r="AE331" s="1">
        <v>3</v>
      </c>
      <c r="AF331" s="1" t="s">
        <v>104</v>
      </c>
      <c r="AG331" s="1">
        <v>3</v>
      </c>
      <c r="AH331" s="1" t="s">
        <v>104</v>
      </c>
      <c r="AI331" s="1">
        <v>3</v>
      </c>
      <c r="AJ331" s="1">
        <v>3</v>
      </c>
      <c r="AK331" s="1" t="s">
        <v>104</v>
      </c>
      <c r="AL331" s="1" t="s">
        <v>104</v>
      </c>
      <c r="AM331" s="1" t="s">
        <v>104</v>
      </c>
      <c r="AO331" s="1">
        <v>3</v>
      </c>
      <c r="AP331" s="1" t="s">
        <v>2384</v>
      </c>
      <c r="AQ331" s="1" t="s">
        <v>2379</v>
      </c>
      <c r="AR331" s="1">
        <v>0</v>
      </c>
      <c r="AS331" s="1">
        <v>0</v>
      </c>
      <c r="AT331" s="1">
        <v>0</v>
      </c>
      <c r="AU331" s="1">
        <v>0</v>
      </c>
      <c r="AV331" s="1">
        <v>0</v>
      </c>
      <c r="AW331" s="1">
        <v>0</v>
      </c>
      <c r="AX331" s="1">
        <v>0</v>
      </c>
      <c r="AY331" s="1">
        <v>0</v>
      </c>
      <c r="AZ331" s="1">
        <v>0</v>
      </c>
      <c r="BA331" s="1">
        <v>0</v>
      </c>
      <c r="BB331" s="1">
        <v>0</v>
      </c>
      <c r="BC331" s="1">
        <v>0</v>
      </c>
      <c r="BD331" s="1">
        <v>0</v>
      </c>
      <c r="BE331" s="1">
        <v>0</v>
      </c>
      <c r="BF331" s="1">
        <v>0</v>
      </c>
      <c r="BG331" s="1">
        <v>0</v>
      </c>
      <c r="BH331" s="1">
        <v>0</v>
      </c>
      <c r="BI331" s="1">
        <v>1</v>
      </c>
      <c r="BJ331" s="1">
        <v>0</v>
      </c>
      <c r="BK331" s="1">
        <v>0</v>
      </c>
      <c r="BL331" s="1">
        <v>0</v>
      </c>
      <c r="BM331" s="1">
        <v>0</v>
      </c>
      <c r="BN331" s="1">
        <v>0</v>
      </c>
      <c r="BO331" s="1">
        <v>0</v>
      </c>
      <c r="BP331" s="1">
        <v>0</v>
      </c>
      <c r="BQ331" s="2" t="str">
        <f>HYPERLINK("http://www.d20pfsrd.com/magic/all-spells/m/magic-circle-against-chaos","Magic Circle against Chaos")</f>
        <v>Magic Circle against Chaos</v>
      </c>
      <c r="BR331" s="1">
        <v>331</v>
      </c>
      <c r="BS331" s="1" t="s">
        <v>104</v>
      </c>
      <c r="BX331" s="1">
        <v>0</v>
      </c>
      <c r="BY331" s="1" t="s">
        <v>104</v>
      </c>
      <c r="BZ331" s="1">
        <v>3</v>
      </c>
      <c r="CA331" s="1" t="s">
        <v>104</v>
      </c>
      <c r="CB331" s="1">
        <v>3</v>
      </c>
      <c r="CC331" s="1" t="s">
        <v>104</v>
      </c>
      <c r="CD331" s="1">
        <v>3</v>
      </c>
      <c r="CE331" s="1">
        <v>3</v>
      </c>
      <c r="CF331" s="1" t="s">
        <v>104</v>
      </c>
      <c r="CG331" s="1" t="s">
        <v>104</v>
      </c>
      <c r="CH331" s="1" t="s">
        <v>104</v>
      </c>
      <c r="CJ331" s="1">
        <v>0</v>
      </c>
      <c r="CK331" s="1">
        <v>0</v>
      </c>
      <c r="CL331" s="1">
        <v>0</v>
      </c>
      <c r="CM331" s="1">
        <v>3</v>
      </c>
    </row>
    <row r="332" spans="1:91" ht="14.25" customHeight="1" x14ac:dyDescent="0.3">
      <c r="A332" s="1" t="s">
        <v>2385</v>
      </c>
      <c r="B332" s="1" t="s">
        <v>162</v>
      </c>
      <c r="D332" s="1" t="s">
        <v>54</v>
      </c>
      <c r="E332" s="1" t="s">
        <v>2386</v>
      </c>
      <c r="F332" s="1" t="s">
        <v>95</v>
      </c>
      <c r="G332" s="1" t="s">
        <v>2374</v>
      </c>
      <c r="H332" s="1">
        <v>0</v>
      </c>
      <c r="I332" s="1" t="s">
        <v>128</v>
      </c>
      <c r="J332" s="1" t="s">
        <v>2375</v>
      </c>
      <c r="M332" s="1" t="s">
        <v>140</v>
      </c>
      <c r="N332" s="1">
        <v>0</v>
      </c>
      <c r="O332" s="1">
        <v>0</v>
      </c>
      <c r="P332" s="1" t="s">
        <v>375</v>
      </c>
      <c r="Q332" s="1" t="s">
        <v>2376</v>
      </c>
      <c r="R332" s="1" t="s">
        <v>2387</v>
      </c>
      <c r="S332" s="1" t="s">
        <v>103</v>
      </c>
      <c r="T332" s="1">
        <v>1</v>
      </c>
      <c r="U332" s="1">
        <v>1</v>
      </c>
      <c r="V332" s="1">
        <v>1</v>
      </c>
      <c r="W332" s="1">
        <v>0</v>
      </c>
      <c r="X332" s="1">
        <v>1</v>
      </c>
      <c r="Y332" s="1">
        <v>3</v>
      </c>
      <c r="Z332" s="1">
        <v>3</v>
      </c>
      <c r="AA332" s="1">
        <v>3</v>
      </c>
      <c r="AB332" s="1" t="s">
        <v>104</v>
      </c>
      <c r="AC332" s="1" t="s">
        <v>104</v>
      </c>
      <c r="AD332" s="1" t="s">
        <v>104</v>
      </c>
      <c r="AE332" s="1" t="s">
        <v>104</v>
      </c>
      <c r="AF332" s="1" t="s">
        <v>104</v>
      </c>
      <c r="AG332" s="1">
        <v>3</v>
      </c>
      <c r="AH332" s="1" t="s">
        <v>104</v>
      </c>
      <c r="AI332" s="1">
        <v>3</v>
      </c>
      <c r="AJ332" s="1">
        <v>3</v>
      </c>
      <c r="AK332" s="1">
        <v>3</v>
      </c>
      <c r="AL332" s="1" t="s">
        <v>104</v>
      </c>
      <c r="AM332" s="1" t="s">
        <v>104</v>
      </c>
      <c r="AO332" s="1">
        <v>3</v>
      </c>
      <c r="AP332" s="1" t="s">
        <v>2388</v>
      </c>
      <c r="AQ332" s="1" t="s">
        <v>2379</v>
      </c>
      <c r="AR332" s="1">
        <v>0</v>
      </c>
      <c r="AS332" s="1">
        <v>0</v>
      </c>
      <c r="AT332" s="1">
        <v>0</v>
      </c>
      <c r="AU332" s="1">
        <v>0</v>
      </c>
      <c r="AV332" s="1">
        <v>0</v>
      </c>
      <c r="AW332" s="1">
        <v>0</v>
      </c>
      <c r="AX332" s="1">
        <v>0</v>
      </c>
      <c r="AY332" s="1">
        <v>0</v>
      </c>
      <c r="AZ332" s="1">
        <v>0</v>
      </c>
      <c r="BA332" s="1">
        <v>0</v>
      </c>
      <c r="BB332" s="1">
        <v>0</v>
      </c>
      <c r="BC332" s="1">
        <v>1</v>
      </c>
      <c r="BD332" s="1">
        <v>0</v>
      </c>
      <c r="BE332" s="1">
        <v>0</v>
      </c>
      <c r="BF332" s="1">
        <v>0</v>
      </c>
      <c r="BG332" s="1">
        <v>0</v>
      </c>
      <c r="BH332" s="1">
        <v>0</v>
      </c>
      <c r="BI332" s="1">
        <v>0</v>
      </c>
      <c r="BJ332" s="1">
        <v>0</v>
      </c>
      <c r="BK332" s="1">
        <v>0</v>
      </c>
      <c r="BL332" s="1">
        <v>0</v>
      </c>
      <c r="BM332" s="1">
        <v>0</v>
      </c>
      <c r="BN332" s="1">
        <v>0</v>
      </c>
      <c r="BO332" s="1">
        <v>0</v>
      </c>
      <c r="BP332" s="1">
        <v>0</v>
      </c>
      <c r="BQ332" s="2" t="str">
        <f>HYPERLINK("http://www.d20pfsrd.com/magic/all-spells/m/magic-circle-against-good","Magic Circle against Good")</f>
        <v>Magic Circle against Good</v>
      </c>
      <c r="BR332" s="1">
        <v>332</v>
      </c>
      <c r="BS332" s="1" t="s">
        <v>104</v>
      </c>
      <c r="BX332" s="1">
        <v>0</v>
      </c>
      <c r="BY332" s="1" t="s">
        <v>104</v>
      </c>
      <c r="BZ332" s="1">
        <v>3</v>
      </c>
      <c r="CA332" s="1" t="s">
        <v>104</v>
      </c>
      <c r="CB332" s="1">
        <v>3</v>
      </c>
      <c r="CC332" s="1" t="s">
        <v>104</v>
      </c>
      <c r="CD332" s="1">
        <v>3</v>
      </c>
      <c r="CE332" s="1">
        <v>3</v>
      </c>
      <c r="CF332" s="1" t="s">
        <v>104</v>
      </c>
      <c r="CG332" s="1" t="s">
        <v>104</v>
      </c>
      <c r="CH332" s="1" t="s">
        <v>104</v>
      </c>
      <c r="CJ332" s="1">
        <v>0</v>
      </c>
      <c r="CK332" s="1">
        <v>0</v>
      </c>
      <c r="CL332" s="1">
        <v>0</v>
      </c>
      <c r="CM332" s="1">
        <v>3</v>
      </c>
    </row>
    <row r="333" spans="1:91" ht="14.25" customHeight="1" x14ac:dyDescent="0.3">
      <c r="A333" s="1" t="s">
        <v>2389</v>
      </c>
      <c r="B333" s="1" t="s">
        <v>162</v>
      </c>
      <c r="D333" s="1" t="s">
        <v>45</v>
      </c>
      <c r="E333" s="1" t="s">
        <v>2386</v>
      </c>
      <c r="F333" s="1" t="s">
        <v>95</v>
      </c>
      <c r="G333" s="1" t="s">
        <v>2374</v>
      </c>
      <c r="H333" s="1">
        <v>0</v>
      </c>
      <c r="I333" s="1" t="s">
        <v>128</v>
      </c>
      <c r="J333" s="1" t="s">
        <v>2375</v>
      </c>
      <c r="M333" s="1" t="s">
        <v>140</v>
      </c>
      <c r="N333" s="1">
        <v>0</v>
      </c>
      <c r="O333" s="1">
        <v>0</v>
      </c>
      <c r="P333" s="1" t="s">
        <v>375</v>
      </c>
      <c r="Q333" s="1" t="s">
        <v>2376</v>
      </c>
      <c r="R333" s="1" t="s">
        <v>2390</v>
      </c>
      <c r="S333" s="1" t="s">
        <v>103</v>
      </c>
      <c r="T333" s="1">
        <v>1</v>
      </c>
      <c r="U333" s="1">
        <v>1</v>
      </c>
      <c r="V333" s="1">
        <v>1</v>
      </c>
      <c r="W333" s="1">
        <v>0</v>
      </c>
      <c r="X333" s="1">
        <v>1</v>
      </c>
      <c r="Y333" s="1">
        <v>3</v>
      </c>
      <c r="Z333" s="1">
        <v>3</v>
      </c>
      <c r="AA333" s="1">
        <v>3</v>
      </c>
      <c r="AB333" s="1" t="s">
        <v>104</v>
      </c>
      <c r="AC333" s="1" t="s">
        <v>104</v>
      </c>
      <c r="AD333" s="1" t="s">
        <v>104</v>
      </c>
      <c r="AE333" s="1" t="s">
        <v>104</v>
      </c>
      <c r="AF333" s="1" t="s">
        <v>104</v>
      </c>
      <c r="AG333" s="1">
        <v>3</v>
      </c>
      <c r="AH333" s="1" t="s">
        <v>104</v>
      </c>
      <c r="AI333" s="1">
        <v>3</v>
      </c>
      <c r="AJ333" s="1">
        <v>3</v>
      </c>
      <c r="AK333" s="1">
        <v>3</v>
      </c>
      <c r="AL333" s="1" t="s">
        <v>104</v>
      </c>
      <c r="AM333" s="1" t="s">
        <v>104</v>
      </c>
      <c r="AO333" s="1">
        <v>3</v>
      </c>
      <c r="AP333" s="1" t="s">
        <v>2391</v>
      </c>
      <c r="AQ333" s="1" t="s">
        <v>2379</v>
      </c>
      <c r="AR333" s="1">
        <v>0</v>
      </c>
      <c r="AS333" s="1">
        <v>0</v>
      </c>
      <c r="AT333" s="1">
        <v>1</v>
      </c>
      <c r="AU333" s="1">
        <v>0</v>
      </c>
      <c r="AV333" s="1">
        <v>0</v>
      </c>
      <c r="AW333" s="1">
        <v>0</v>
      </c>
      <c r="AX333" s="1">
        <v>0</v>
      </c>
      <c r="AY333" s="1">
        <v>0</v>
      </c>
      <c r="AZ333" s="1">
        <v>0</v>
      </c>
      <c r="BA333" s="1">
        <v>0</v>
      </c>
      <c r="BB333" s="1">
        <v>0</v>
      </c>
      <c r="BC333" s="1">
        <v>0</v>
      </c>
      <c r="BD333" s="1">
        <v>0</v>
      </c>
      <c r="BE333" s="1">
        <v>0</v>
      </c>
      <c r="BF333" s="1">
        <v>0</v>
      </c>
      <c r="BG333" s="1">
        <v>0</v>
      </c>
      <c r="BH333" s="1">
        <v>0</v>
      </c>
      <c r="BI333" s="1">
        <v>0</v>
      </c>
      <c r="BJ333" s="1">
        <v>0</v>
      </c>
      <c r="BK333" s="1">
        <v>0</v>
      </c>
      <c r="BL333" s="1">
        <v>0</v>
      </c>
      <c r="BM333" s="1">
        <v>0</v>
      </c>
      <c r="BN333" s="1">
        <v>0</v>
      </c>
      <c r="BO333" s="1">
        <v>0</v>
      </c>
      <c r="BP333" s="1">
        <v>0</v>
      </c>
      <c r="BQ333" s="2" t="str">
        <f>HYPERLINK("http://www.d20pfsrd.com/magic/all-spells/m/magic-circle-against-law","Magic Circle against Law")</f>
        <v>Magic Circle against Law</v>
      </c>
      <c r="BR333" s="1">
        <v>333</v>
      </c>
      <c r="BS333" s="1" t="s">
        <v>104</v>
      </c>
      <c r="BX333" s="1">
        <v>0</v>
      </c>
      <c r="BY333" s="1" t="s">
        <v>104</v>
      </c>
      <c r="BZ333" s="1">
        <v>3</v>
      </c>
      <c r="CA333" s="1" t="s">
        <v>104</v>
      </c>
      <c r="CB333" s="1">
        <v>3</v>
      </c>
      <c r="CC333" s="1" t="s">
        <v>104</v>
      </c>
      <c r="CD333" s="1">
        <v>3</v>
      </c>
      <c r="CE333" s="1">
        <v>3</v>
      </c>
      <c r="CF333" s="1" t="s">
        <v>104</v>
      </c>
      <c r="CG333" s="1" t="s">
        <v>104</v>
      </c>
      <c r="CH333" s="1" t="s">
        <v>104</v>
      </c>
      <c r="CJ333" s="1">
        <v>0</v>
      </c>
      <c r="CK333" s="1">
        <v>0</v>
      </c>
      <c r="CL333" s="1">
        <v>0</v>
      </c>
      <c r="CM333" s="1">
        <v>3</v>
      </c>
    </row>
    <row r="334" spans="1:91" ht="14.25" customHeight="1" x14ac:dyDescent="0.3">
      <c r="A334" s="1" t="s">
        <v>2392</v>
      </c>
      <c r="B334" s="1" t="s">
        <v>137</v>
      </c>
      <c r="E334" s="1" t="s">
        <v>2393</v>
      </c>
      <c r="F334" s="1" t="s">
        <v>95</v>
      </c>
      <c r="G334" s="1" t="s">
        <v>127</v>
      </c>
      <c r="H334" s="1">
        <v>0</v>
      </c>
      <c r="I334" s="1" t="s">
        <v>128</v>
      </c>
      <c r="L334" s="1" t="s">
        <v>129</v>
      </c>
      <c r="M334" s="1" t="s">
        <v>130</v>
      </c>
      <c r="N334" s="1">
        <v>0</v>
      </c>
      <c r="O334" s="1">
        <v>0</v>
      </c>
      <c r="P334" s="1" t="s">
        <v>375</v>
      </c>
      <c r="Q334" s="1" t="s">
        <v>131</v>
      </c>
      <c r="R334" s="1" t="s">
        <v>2394</v>
      </c>
      <c r="S334" s="1" t="s">
        <v>103</v>
      </c>
      <c r="T334" s="1">
        <v>1</v>
      </c>
      <c r="U334" s="1">
        <v>1</v>
      </c>
      <c r="V334" s="1">
        <v>0</v>
      </c>
      <c r="W334" s="1">
        <v>0</v>
      </c>
      <c r="X334" s="1">
        <v>1</v>
      </c>
      <c r="Y334" s="1" t="s">
        <v>104</v>
      </c>
      <c r="Z334" s="1" t="s">
        <v>104</v>
      </c>
      <c r="AA334" s="1" t="s">
        <v>104</v>
      </c>
      <c r="AB334" s="1">
        <v>1</v>
      </c>
      <c r="AC334" s="1">
        <v>1</v>
      </c>
      <c r="AD334" s="1" t="s">
        <v>104</v>
      </c>
      <c r="AE334" s="1" t="s">
        <v>104</v>
      </c>
      <c r="AF334" s="1" t="s">
        <v>104</v>
      </c>
      <c r="AG334" s="1">
        <v>1</v>
      </c>
      <c r="AH334" s="1" t="s">
        <v>104</v>
      </c>
      <c r="AI334" s="1" t="s">
        <v>104</v>
      </c>
      <c r="AJ334" s="1" t="s">
        <v>104</v>
      </c>
      <c r="AK334" s="1" t="s">
        <v>104</v>
      </c>
      <c r="AL334" s="1" t="s">
        <v>104</v>
      </c>
      <c r="AM334" s="1" t="s">
        <v>104</v>
      </c>
      <c r="AO334" s="1">
        <v>1</v>
      </c>
      <c r="AP334" s="1" t="s">
        <v>2395</v>
      </c>
      <c r="AQ334" s="1" t="s">
        <v>2396</v>
      </c>
      <c r="AR334" s="1">
        <v>0</v>
      </c>
      <c r="AS334" s="1">
        <v>0</v>
      </c>
      <c r="AT334" s="1">
        <v>0</v>
      </c>
      <c r="AU334" s="1">
        <v>0</v>
      </c>
      <c r="AV334" s="1">
        <v>0</v>
      </c>
      <c r="AW334" s="1">
        <v>0</v>
      </c>
      <c r="AX334" s="1">
        <v>0</v>
      </c>
      <c r="AY334" s="1">
        <v>0</v>
      </c>
      <c r="AZ334" s="1">
        <v>0</v>
      </c>
      <c r="BA334" s="1">
        <v>0</v>
      </c>
      <c r="BB334" s="1">
        <v>0</v>
      </c>
      <c r="BC334" s="1">
        <v>0</v>
      </c>
      <c r="BD334" s="1">
        <v>0</v>
      </c>
      <c r="BE334" s="1">
        <v>0</v>
      </c>
      <c r="BF334" s="1">
        <v>0</v>
      </c>
      <c r="BG334" s="1">
        <v>0</v>
      </c>
      <c r="BH334" s="1">
        <v>0</v>
      </c>
      <c r="BI334" s="1">
        <v>0</v>
      </c>
      <c r="BJ334" s="1">
        <v>0</v>
      </c>
      <c r="BK334" s="1">
        <v>0</v>
      </c>
      <c r="BL334" s="1">
        <v>0</v>
      </c>
      <c r="BM334" s="1">
        <v>0</v>
      </c>
      <c r="BN334" s="1">
        <v>0</v>
      </c>
      <c r="BO334" s="1">
        <v>0</v>
      </c>
      <c r="BP334" s="1">
        <v>0</v>
      </c>
      <c r="BQ334" s="2" t="str">
        <f>HYPERLINK("http://www.d20pfsrd.com/magic/all-spells/m/magic-fang","Magic Fang")</f>
        <v>Magic Fang</v>
      </c>
      <c r="BR334" s="1">
        <v>334</v>
      </c>
      <c r="BS334" s="1" t="s">
        <v>104</v>
      </c>
      <c r="BV334" s="1" t="s">
        <v>2397</v>
      </c>
      <c r="BX334" s="1">
        <v>1</v>
      </c>
      <c r="BY334" s="1" t="s">
        <v>104</v>
      </c>
      <c r="BZ334" s="1" t="s">
        <v>104</v>
      </c>
      <c r="CA334" s="1" t="s">
        <v>104</v>
      </c>
      <c r="CB334" s="1" t="s">
        <v>104</v>
      </c>
      <c r="CC334" s="1" t="s">
        <v>104</v>
      </c>
      <c r="CD334" s="1" t="s">
        <v>104</v>
      </c>
      <c r="CE334" s="1">
        <v>1</v>
      </c>
      <c r="CF334" s="1" t="s">
        <v>104</v>
      </c>
      <c r="CG334" s="1" t="s">
        <v>104</v>
      </c>
      <c r="CH334" s="1">
        <v>1</v>
      </c>
      <c r="CJ334" s="1">
        <v>0</v>
      </c>
      <c r="CK334" s="1">
        <v>0</v>
      </c>
      <c r="CL334" s="1">
        <v>0</v>
      </c>
      <c r="CM334" s="1">
        <v>1</v>
      </c>
    </row>
    <row r="335" spans="1:91" ht="14.25" customHeight="1" x14ac:dyDescent="0.3">
      <c r="A335" s="1" t="s">
        <v>2398</v>
      </c>
      <c r="B335" s="1" t="s">
        <v>137</v>
      </c>
      <c r="E335" s="1" t="s">
        <v>2399</v>
      </c>
      <c r="F335" s="1" t="s">
        <v>95</v>
      </c>
      <c r="G335" s="1" t="s">
        <v>127</v>
      </c>
      <c r="H335" s="1">
        <v>0</v>
      </c>
      <c r="I335" s="1" t="s">
        <v>117</v>
      </c>
      <c r="L335" s="1" t="s">
        <v>417</v>
      </c>
      <c r="M335" s="1" t="s">
        <v>201</v>
      </c>
      <c r="N335" s="1">
        <v>0</v>
      </c>
      <c r="O335" s="1">
        <v>0</v>
      </c>
      <c r="P335" s="1" t="s">
        <v>375</v>
      </c>
      <c r="Q335" s="1" t="s">
        <v>131</v>
      </c>
      <c r="R335" s="1" t="s">
        <v>2400</v>
      </c>
      <c r="S335" s="1" t="s">
        <v>103</v>
      </c>
      <c r="T335" s="1">
        <v>1</v>
      </c>
      <c r="U335" s="1">
        <v>1</v>
      </c>
      <c r="V335" s="1">
        <v>0</v>
      </c>
      <c r="W335" s="1">
        <v>0</v>
      </c>
      <c r="X335" s="1">
        <v>1</v>
      </c>
      <c r="Y335" s="1" t="s">
        <v>104</v>
      </c>
      <c r="Z335" s="1" t="s">
        <v>104</v>
      </c>
      <c r="AA335" s="1" t="s">
        <v>104</v>
      </c>
      <c r="AB335" s="1">
        <v>3</v>
      </c>
      <c r="AC335" s="1">
        <v>3</v>
      </c>
      <c r="AD335" s="1" t="s">
        <v>104</v>
      </c>
      <c r="AE335" s="1" t="s">
        <v>104</v>
      </c>
      <c r="AF335" s="1" t="s">
        <v>104</v>
      </c>
      <c r="AG335" s="1">
        <v>3</v>
      </c>
      <c r="AH335" s="1" t="s">
        <v>104</v>
      </c>
      <c r="AI335" s="1" t="s">
        <v>104</v>
      </c>
      <c r="AJ335" s="1" t="s">
        <v>104</v>
      </c>
      <c r="AK335" s="1" t="s">
        <v>104</v>
      </c>
      <c r="AL335" s="1" t="s">
        <v>104</v>
      </c>
      <c r="AM335" s="1" t="s">
        <v>104</v>
      </c>
      <c r="AO335" s="1">
        <v>3</v>
      </c>
      <c r="AP335" s="1" t="s">
        <v>2401</v>
      </c>
      <c r="AQ335" s="1" t="s">
        <v>2402</v>
      </c>
      <c r="AR335" s="1">
        <v>0</v>
      </c>
      <c r="AS335" s="1">
        <v>0</v>
      </c>
      <c r="AT335" s="1">
        <v>0</v>
      </c>
      <c r="AU335" s="1">
        <v>0</v>
      </c>
      <c r="AV335" s="1">
        <v>0</v>
      </c>
      <c r="AW335" s="1">
        <v>0</v>
      </c>
      <c r="AX335" s="1">
        <v>0</v>
      </c>
      <c r="AY335" s="1">
        <v>0</v>
      </c>
      <c r="AZ335" s="1">
        <v>0</v>
      </c>
      <c r="BA335" s="1">
        <v>0</v>
      </c>
      <c r="BB335" s="1">
        <v>0</v>
      </c>
      <c r="BC335" s="1">
        <v>0</v>
      </c>
      <c r="BD335" s="1">
        <v>0</v>
      </c>
      <c r="BE335" s="1">
        <v>0</v>
      </c>
      <c r="BF335" s="1">
        <v>0</v>
      </c>
      <c r="BG335" s="1">
        <v>0</v>
      </c>
      <c r="BH335" s="1">
        <v>0</v>
      </c>
      <c r="BI335" s="1">
        <v>0</v>
      </c>
      <c r="BJ335" s="1">
        <v>0</v>
      </c>
      <c r="BK335" s="1">
        <v>0</v>
      </c>
      <c r="BL335" s="1">
        <v>0</v>
      </c>
      <c r="BM335" s="1">
        <v>0</v>
      </c>
      <c r="BN335" s="1">
        <v>0</v>
      </c>
      <c r="BO335" s="1">
        <v>0</v>
      </c>
      <c r="BP335" s="1">
        <v>0</v>
      </c>
      <c r="BQ335" s="2" t="str">
        <f>HYPERLINK("http://www.d20pfsrd.com/magic/all-spells/m/magic-fang","Magic Fang, Greater")</f>
        <v>Magic Fang, Greater</v>
      </c>
      <c r="BR335" s="1">
        <v>335</v>
      </c>
      <c r="BS335" s="1" t="s">
        <v>104</v>
      </c>
      <c r="BX335" s="1">
        <v>0</v>
      </c>
      <c r="BY335" s="1" t="s">
        <v>104</v>
      </c>
      <c r="BZ335" s="1" t="s">
        <v>104</v>
      </c>
      <c r="CA335" s="1" t="s">
        <v>104</v>
      </c>
      <c r="CB335" s="1" t="s">
        <v>104</v>
      </c>
      <c r="CC335" s="1" t="s">
        <v>104</v>
      </c>
      <c r="CD335" s="1" t="s">
        <v>104</v>
      </c>
      <c r="CE335" s="1">
        <v>3</v>
      </c>
      <c r="CF335" s="1" t="s">
        <v>104</v>
      </c>
      <c r="CG335" s="1" t="s">
        <v>104</v>
      </c>
      <c r="CH335" s="1">
        <v>3</v>
      </c>
      <c r="CJ335" s="1">
        <v>0</v>
      </c>
      <c r="CK335" s="1">
        <v>0</v>
      </c>
      <c r="CL335" s="1">
        <v>0</v>
      </c>
      <c r="CM335" s="1">
        <v>3</v>
      </c>
    </row>
    <row r="336" spans="1:91" ht="14.25" customHeight="1" x14ac:dyDescent="0.3">
      <c r="A336" s="1" t="s">
        <v>2403</v>
      </c>
      <c r="B336" s="1" t="s">
        <v>216</v>
      </c>
      <c r="E336" s="1" t="s">
        <v>2404</v>
      </c>
      <c r="F336" s="1" t="s">
        <v>95</v>
      </c>
      <c r="G336" s="1" t="s">
        <v>2405</v>
      </c>
      <c r="H336" s="1">
        <v>1</v>
      </c>
      <c r="I336" s="1" t="s">
        <v>109</v>
      </c>
      <c r="L336" s="1" t="s">
        <v>1065</v>
      </c>
      <c r="M336" s="1" t="s">
        <v>2406</v>
      </c>
      <c r="N336" s="1">
        <v>0</v>
      </c>
      <c r="O336" s="1">
        <v>0</v>
      </c>
      <c r="P336" s="1" t="s">
        <v>418</v>
      </c>
      <c r="Q336" s="1" t="s">
        <v>184</v>
      </c>
      <c r="R336" s="1" t="s">
        <v>2407</v>
      </c>
      <c r="S336" s="1" t="s">
        <v>103</v>
      </c>
      <c r="T336" s="1">
        <v>1</v>
      </c>
      <c r="U336" s="1">
        <v>1</v>
      </c>
      <c r="V336" s="1">
        <v>0</v>
      </c>
      <c r="W336" s="1">
        <v>1</v>
      </c>
      <c r="X336" s="1">
        <v>0</v>
      </c>
      <c r="Y336" s="1">
        <v>5</v>
      </c>
      <c r="Z336" s="1">
        <v>5</v>
      </c>
      <c r="AA336" s="1" t="s">
        <v>104</v>
      </c>
      <c r="AB336" s="1" t="s">
        <v>104</v>
      </c>
      <c r="AC336" s="1" t="s">
        <v>104</v>
      </c>
      <c r="AD336" s="1" t="s">
        <v>104</v>
      </c>
      <c r="AE336" s="1" t="s">
        <v>104</v>
      </c>
      <c r="AF336" s="1">
        <v>5</v>
      </c>
      <c r="AG336" s="1">
        <v>4</v>
      </c>
      <c r="AH336" s="1">
        <v>5</v>
      </c>
      <c r="AI336" s="1" t="s">
        <v>104</v>
      </c>
      <c r="AJ336" s="1" t="s">
        <v>104</v>
      </c>
      <c r="AK336" s="1" t="s">
        <v>104</v>
      </c>
      <c r="AL336" s="1" t="s">
        <v>104</v>
      </c>
      <c r="AM336" s="1" t="s">
        <v>104</v>
      </c>
      <c r="AO336" s="1">
        <v>5</v>
      </c>
      <c r="AQ336" s="1" t="s">
        <v>2408</v>
      </c>
      <c r="AR336" s="1">
        <v>0</v>
      </c>
      <c r="AS336" s="1">
        <v>0</v>
      </c>
      <c r="AT336" s="1">
        <v>0</v>
      </c>
      <c r="AU336" s="1">
        <v>0</v>
      </c>
      <c r="AV336" s="1">
        <v>0</v>
      </c>
      <c r="AW336" s="1">
        <v>0</v>
      </c>
      <c r="AX336" s="1">
        <v>0</v>
      </c>
      <c r="AY336" s="1">
        <v>0</v>
      </c>
      <c r="AZ336" s="1">
        <v>0</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2" t="str">
        <f>HYPERLINK("http://www.d20pfsrd.com/magic/all-spells/m/magic-jar","Magic Jar")</f>
        <v>Magic Jar</v>
      </c>
      <c r="BR336" s="1">
        <v>336</v>
      </c>
      <c r="BS336" s="1">
        <v>100</v>
      </c>
      <c r="BX336" s="1">
        <v>0</v>
      </c>
      <c r="BY336" s="1" t="s">
        <v>104</v>
      </c>
      <c r="BZ336" s="1" t="s">
        <v>104</v>
      </c>
      <c r="CA336" s="1" t="s">
        <v>104</v>
      </c>
      <c r="CB336" s="1" t="s">
        <v>104</v>
      </c>
      <c r="CC336" s="1" t="s">
        <v>104</v>
      </c>
      <c r="CD336" s="1" t="s">
        <v>104</v>
      </c>
      <c r="CE336" s="1" t="s">
        <v>104</v>
      </c>
      <c r="CF336" s="1" t="s">
        <v>104</v>
      </c>
      <c r="CG336" s="1" t="s">
        <v>104</v>
      </c>
      <c r="CH336" s="1" t="s">
        <v>104</v>
      </c>
      <c r="CJ336" s="1">
        <v>0</v>
      </c>
      <c r="CK336" s="1">
        <v>0</v>
      </c>
      <c r="CL336" s="1">
        <v>0</v>
      </c>
      <c r="CM336" s="1">
        <v>5</v>
      </c>
    </row>
    <row r="337" spans="1:91" ht="14.25" customHeight="1" x14ac:dyDescent="0.3">
      <c r="A337" s="1" t="s">
        <v>2409</v>
      </c>
      <c r="B337" s="1" t="s">
        <v>434</v>
      </c>
      <c r="D337" s="1" t="s">
        <v>57</v>
      </c>
      <c r="E337" s="1" t="s">
        <v>2410</v>
      </c>
      <c r="F337" s="1" t="s">
        <v>95</v>
      </c>
      <c r="G337" s="1" t="s">
        <v>116</v>
      </c>
      <c r="H337" s="1">
        <v>0</v>
      </c>
      <c r="I337" s="1" t="s">
        <v>109</v>
      </c>
      <c r="L337" s="1" t="s">
        <v>2411</v>
      </c>
      <c r="M337" s="1" t="s">
        <v>119</v>
      </c>
      <c r="N337" s="1">
        <v>0</v>
      </c>
      <c r="O337" s="1">
        <v>0</v>
      </c>
      <c r="P337" s="1" t="s">
        <v>100</v>
      </c>
      <c r="Q337" s="1" t="s">
        <v>184</v>
      </c>
      <c r="R337" s="1" t="s">
        <v>2412</v>
      </c>
      <c r="S337" s="1" t="s">
        <v>103</v>
      </c>
      <c r="T337" s="1">
        <v>1</v>
      </c>
      <c r="U337" s="1">
        <v>1</v>
      </c>
      <c r="V337" s="1">
        <v>0</v>
      </c>
      <c r="W337" s="1">
        <v>0</v>
      </c>
      <c r="X337" s="1">
        <v>0</v>
      </c>
      <c r="Y337" s="1">
        <v>1</v>
      </c>
      <c r="Z337" s="1">
        <v>1</v>
      </c>
      <c r="AA337" s="1" t="s">
        <v>104</v>
      </c>
      <c r="AB337" s="1" t="s">
        <v>104</v>
      </c>
      <c r="AC337" s="1" t="s">
        <v>104</v>
      </c>
      <c r="AD337" s="1" t="s">
        <v>104</v>
      </c>
      <c r="AE337" s="1" t="s">
        <v>104</v>
      </c>
      <c r="AF337" s="1" t="s">
        <v>104</v>
      </c>
      <c r="AG337" s="1" t="s">
        <v>104</v>
      </c>
      <c r="AH337" s="1" t="s">
        <v>104</v>
      </c>
      <c r="AI337" s="1" t="s">
        <v>104</v>
      </c>
      <c r="AJ337" s="1" t="s">
        <v>104</v>
      </c>
      <c r="AK337" s="1" t="s">
        <v>104</v>
      </c>
      <c r="AL337" s="1">
        <v>1</v>
      </c>
      <c r="AM337" s="1" t="s">
        <v>104</v>
      </c>
      <c r="AO337" s="1">
        <v>1</v>
      </c>
      <c r="AQ337" s="1" t="s">
        <v>2413</v>
      </c>
      <c r="AR337" s="1">
        <v>0</v>
      </c>
      <c r="AS337" s="1">
        <v>0</v>
      </c>
      <c r="AT337" s="1">
        <v>0</v>
      </c>
      <c r="AU337" s="1">
        <v>0</v>
      </c>
      <c r="AV337" s="1">
        <v>0</v>
      </c>
      <c r="AW337" s="1">
        <v>0</v>
      </c>
      <c r="AX337" s="1">
        <v>0</v>
      </c>
      <c r="AY337" s="1">
        <v>0</v>
      </c>
      <c r="AZ337" s="1">
        <v>0</v>
      </c>
      <c r="BA337" s="1">
        <v>0</v>
      </c>
      <c r="BB337" s="1">
        <v>0</v>
      </c>
      <c r="BC337" s="1">
        <v>0</v>
      </c>
      <c r="BD337" s="1">
        <v>0</v>
      </c>
      <c r="BE337" s="1">
        <v>0</v>
      </c>
      <c r="BF337" s="1">
        <v>1</v>
      </c>
      <c r="BG337" s="1">
        <v>0</v>
      </c>
      <c r="BH337" s="1">
        <v>0</v>
      </c>
      <c r="BI337" s="1">
        <v>0</v>
      </c>
      <c r="BJ337" s="1">
        <v>0</v>
      </c>
      <c r="BK337" s="1">
        <v>0</v>
      </c>
      <c r="BL337" s="1">
        <v>0</v>
      </c>
      <c r="BM337" s="1">
        <v>0</v>
      </c>
      <c r="BN337" s="1">
        <v>0</v>
      </c>
      <c r="BO337" s="1">
        <v>0</v>
      </c>
      <c r="BP337" s="1">
        <v>0</v>
      </c>
      <c r="BQ337" s="2" t="str">
        <f>HYPERLINK("http://www.d20pfsrd.com/magic/all-spells/m/magic-missile","Magic Missile")</f>
        <v>Magic Missile</v>
      </c>
      <c r="BR337" s="1">
        <v>337</v>
      </c>
      <c r="BS337" s="1" t="s">
        <v>104</v>
      </c>
      <c r="BV337" s="1" t="s">
        <v>2414</v>
      </c>
      <c r="BW337" s="1" t="s">
        <v>2415</v>
      </c>
      <c r="BX337" s="1">
        <v>1</v>
      </c>
      <c r="BY337" s="1">
        <v>1</v>
      </c>
      <c r="BZ337" s="1" t="s">
        <v>104</v>
      </c>
      <c r="CA337" s="1">
        <v>1</v>
      </c>
      <c r="CB337" s="1" t="s">
        <v>104</v>
      </c>
      <c r="CC337" s="1" t="s">
        <v>104</v>
      </c>
      <c r="CD337" s="1" t="s">
        <v>104</v>
      </c>
      <c r="CE337" s="1" t="s">
        <v>104</v>
      </c>
      <c r="CF337" s="1" t="s">
        <v>104</v>
      </c>
      <c r="CG337" s="1" t="s">
        <v>104</v>
      </c>
      <c r="CH337" s="1" t="s">
        <v>104</v>
      </c>
      <c r="CJ337" s="1">
        <v>0</v>
      </c>
      <c r="CK337" s="1">
        <v>0</v>
      </c>
      <c r="CL337" s="1">
        <v>0</v>
      </c>
      <c r="CM337" s="1" t="s">
        <v>104</v>
      </c>
    </row>
    <row r="338" spans="1:91" ht="14.25" customHeight="1" x14ac:dyDescent="0.3">
      <c r="A338" s="1" t="s">
        <v>2416</v>
      </c>
      <c r="B338" s="1" t="s">
        <v>507</v>
      </c>
      <c r="C338" s="1" t="s">
        <v>508</v>
      </c>
      <c r="E338" s="1" t="s">
        <v>2417</v>
      </c>
      <c r="F338" s="1" t="s">
        <v>95</v>
      </c>
      <c r="G338" s="1" t="s">
        <v>2418</v>
      </c>
      <c r="H338" s="1">
        <v>1</v>
      </c>
      <c r="I338" s="1" t="s">
        <v>117</v>
      </c>
      <c r="L338" s="1" t="s">
        <v>1180</v>
      </c>
      <c r="M338" s="1" t="s">
        <v>1457</v>
      </c>
      <c r="N338" s="1">
        <v>0</v>
      </c>
      <c r="O338" s="1">
        <v>0</v>
      </c>
      <c r="P338" s="1" t="s">
        <v>471</v>
      </c>
      <c r="Q338" s="1" t="s">
        <v>472</v>
      </c>
      <c r="R338" s="1" t="s">
        <v>2419</v>
      </c>
      <c r="S338" s="1" t="s">
        <v>103</v>
      </c>
      <c r="T338" s="1">
        <v>1</v>
      </c>
      <c r="U338" s="1">
        <v>1</v>
      </c>
      <c r="V338" s="1">
        <v>1</v>
      </c>
      <c r="W338" s="1">
        <v>0</v>
      </c>
      <c r="X338" s="1">
        <v>0</v>
      </c>
      <c r="Y338" s="1">
        <v>2</v>
      </c>
      <c r="Z338" s="1">
        <v>2</v>
      </c>
      <c r="AA338" s="1" t="s">
        <v>104</v>
      </c>
      <c r="AB338" s="1" t="s">
        <v>104</v>
      </c>
      <c r="AC338" s="1" t="s">
        <v>104</v>
      </c>
      <c r="AD338" s="1">
        <v>1</v>
      </c>
      <c r="AE338" s="1" t="s">
        <v>104</v>
      </c>
      <c r="AF338" s="1" t="s">
        <v>104</v>
      </c>
      <c r="AG338" s="1">
        <v>1</v>
      </c>
      <c r="AH338" s="1" t="s">
        <v>104</v>
      </c>
      <c r="AI338" s="1" t="s">
        <v>104</v>
      </c>
      <c r="AJ338" s="1" t="s">
        <v>104</v>
      </c>
      <c r="AK338" s="1" t="s">
        <v>104</v>
      </c>
      <c r="AL338" s="1" t="s">
        <v>104</v>
      </c>
      <c r="AM338" s="1" t="s">
        <v>104</v>
      </c>
      <c r="AO338" s="1">
        <v>2</v>
      </c>
      <c r="AP338" s="1" t="s">
        <v>2420</v>
      </c>
      <c r="AQ338" s="1" t="s">
        <v>2421</v>
      </c>
      <c r="AR338" s="1">
        <v>0</v>
      </c>
      <c r="AS338" s="1">
        <v>0</v>
      </c>
      <c r="AT338" s="1">
        <v>0</v>
      </c>
      <c r="AU338" s="1">
        <v>0</v>
      </c>
      <c r="AV338" s="1">
        <v>0</v>
      </c>
      <c r="AW338" s="1">
        <v>0</v>
      </c>
      <c r="AX338" s="1">
        <v>0</v>
      </c>
      <c r="AY338" s="1">
        <v>0</v>
      </c>
      <c r="AZ338" s="1">
        <v>0</v>
      </c>
      <c r="BA338" s="1">
        <v>0</v>
      </c>
      <c r="BB338" s="1">
        <v>0</v>
      </c>
      <c r="BC338" s="1">
        <v>0</v>
      </c>
      <c r="BD338" s="1">
        <v>0</v>
      </c>
      <c r="BE338" s="1">
        <v>0</v>
      </c>
      <c r="BF338" s="1">
        <v>0</v>
      </c>
      <c r="BG338" s="1">
        <v>0</v>
      </c>
      <c r="BH338" s="1">
        <v>0</v>
      </c>
      <c r="BI338" s="1">
        <v>0</v>
      </c>
      <c r="BJ338" s="1">
        <v>0</v>
      </c>
      <c r="BK338" s="1">
        <v>0</v>
      </c>
      <c r="BL338" s="1">
        <v>0</v>
      </c>
      <c r="BM338" s="1">
        <v>0</v>
      </c>
      <c r="BN338" s="1">
        <v>0</v>
      </c>
      <c r="BO338" s="1">
        <v>0</v>
      </c>
      <c r="BP338" s="1">
        <v>0</v>
      </c>
      <c r="BQ338" s="2" t="str">
        <f>HYPERLINK("http://www.d20pfsrd.com/magic/all-spells/m/magic-mouth","Magic Mouth")</f>
        <v>Magic Mouth</v>
      </c>
      <c r="BR338" s="1">
        <v>338</v>
      </c>
      <c r="BS338" s="1">
        <v>10</v>
      </c>
      <c r="BX338" s="1">
        <v>0</v>
      </c>
      <c r="BY338" s="1" t="s">
        <v>104</v>
      </c>
      <c r="BZ338" s="1" t="s">
        <v>104</v>
      </c>
      <c r="CA338" s="1">
        <v>2</v>
      </c>
      <c r="CB338" s="1">
        <v>2</v>
      </c>
      <c r="CC338" s="1">
        <v>1</v>
      </c>
      <c r="CD338" s="1">
        <v>2</v>
      </c>
      <c r="CE338" s="1" t="s">
        <v>104</v>
      </c>
      <c r="CF338" s="1" t="s">
        <v>104</v>
      </c>
      <c r="CG338" s="1" t="s">
        <v>104</v>
      </c>
      <c r="CH338" s="1" t="s">
        <v>104</v>
      </c>
      <c r="CJ338" s="1">
        <v>0</v>
      </c>
      <c r="CK338" s="1">
        <v>0</v>
      </c>
      <c r="CL338" s="1">
        <v>0</v>
      </c>
      <c r="CM338" s="1">
        <v>1</v>
      </c>
    </row>
    <row r="339" spans="1:91" ht="14.25" customHeight="1" x14ac:dyDescent="0.3">
      <c r="A339" s="1" t="s">
        <v>2422</v>
      </c>
      <c r="B339" s="1" t="s">
        <v>137</v>
      </c>
      <c r="E339" s="1" t="s">
        <v>2423</v>
      </c>
      <c r="F339" s="1" t="s">
        <v>95</v>
      </c>
      <c r="G339" s="1" t="s">
        <v>127</v>
      </c>
      <c r="H339" s="1">
        <v>0</v>
      </c>
      <c r="I339" s="1" t="s">
        <v>128</v>
      </c>
      <c r="L339" s="1" t="s">
        <v>2424</v>
      </c>
      <c r="M339" s="1" t="s">
        <v>2425</v>
      </c>
      <c r="N339" s="1">
        <v>0</v>
      </c>
      <c r="O339" s="1">
        <v>0</v>
      </c>
      <c r="P339" s="1" t="s">
        <v>148</v>
      </c>
      <c r="Q339" s="1" t="s">
        <v>149</v>
      </c>
      <c r="R339" s="1" t="s">
        <v>2426</v>
      </c>
      <c r="S339" s="1" t="s">
        <v>103</v>
      </c>
      <c r="T339" s="1">
        <v>1</v>
      </c>
      <c r="U339" s="1">
        <v>1</v>
      </c>
      <c r="V339" s="1">
        <v>0</v>
      </c>
      <c r="W339" s="1">
        <v>0</v>
      </c>
      <c r="X339" s="1">
        <v>1</v>
      </c>
      <c r="Y339" s="1" t="s">
        <v>104</v>
      </c>
      <c r="Z339" s="1" t="s">
        <v>104</v>
      </c>
      <c r="AA339" s="1">
        <v>1</v>
      </c>
      <c r="AB339" s="1">
        <v>1</v>
      </c>
      <c r="AC339" s="1" t="s">
        <v>104</v>
      </c>
      <c r="AD339" s="1" t="s">
        <v>104</v>
      </c>
      <c r="AE339" s="1" t="s">
        <v>104</v>
      </c>
      <c r="AF339" s="1" t="s">
        <v>104</v>
      </c>
      <c r="AG339" s="1" t="s">
        <v>104</v>
      </c>
      <c r="AH339" s="1" t="s">
        <v>104</v>
      </c>
      <c r="AI339" s="1" t="s">
        <v>104</v>
      </c>
      <c r="AJ339" s="1">
        <v>1</v>
      </c>
      <c r="AK339" s="1" t="s">
        <v>104</v>
      </c>
      <c r="AL339" s="1" t="s">
        <v>104</v>
      </c>
      <c r="AM339" s="1" t="s">
        <v>104</v>
      </c>
      <c r="AO339" s="1">
        <v>1</v>
      </c>
      <c r="AP339" s="1" t="s">
        <v>2427</v>
      </c>
      <c r="AQ339" s="1" t="s">
        <v>2428</v>
      </c>
      <c r="AR339" s="1">
        <v>0</v>
      </c>
      <c r="AS339" s="1">
        <v>0</v>
      </c>
      <c r="AT339" s="1">
        <v>0</v>
      </c>
      <c r="AU339" s="1">
        <v>0</v>
      </c>
      <c r="AV339" s="1">
        <v>0</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0</v>
      </c>
      <c r="BN339" s="1">
        <v>0</v>
      </c>
      <c r="BO339" s="1">
        <v>0</v>
      </c>
      <c r="BP339" s="1">
        <v>0</v>
      </c>
      <c r="BQ339" s="2" t="str">
        <f>HYPERLINK("http://www.d20pfsrd.com/magic/all-spells/m/magic-stone","Magic Stone")</f>
        <v>Magic Stone</v>
      </c>
      <c r="BR339" s="1">
        <v>339</v>
      </c>
      <c r="BS339" s="1" t="s">
        <v>104</v>
      </c>
      <c r="BX339" s="1">
        <v>0</v>
      </c>
      <c r="BY339" s="1" t="s">
        <v>104</v>
      </c>
      <c r="BZ339" s="1">
        <v>1</v>
      </c>
      <c r="CA339" s="1" t="s">
        <v>104</v>
      </c>
      <c r="CB339" s="1" t="s">
        <v>104</v>
      </c>
      <c r="CC339" s="1" t="s">
        <v>104</v>
      </c>
      <c r="CD339" s="1" t="s">
        <v>104</v>
      </c>
      <c r="CE339" s="1" t="s">
        <v>104</v>
      </c>
      <c r="CF339" s="1" t="s">
        <v>104</v>
      </c>
      <c r="CG339" s="1" t="s">
        <v>104</v>
      </c>
      <c r="CH339" s="1">
        <v>1</v>
      </c>
      <c r="CJ339" s="1">
        <v>0</v>
      </c>
      <c r="CK339" s="1">
        <v>0</v>
      </c>
      <c r="CL339" s="1">
        <v>0</v>
      </c>
      <c r="CM339" s="1" t="s">
        <v>104</v>
      </c>
    </row>
    <row r="340" spans="1:91" ht="14.25" customHeight="1" x14ac:dyDescent="0.3">
      <c r="A340" s="1" t="s">
        <v>2429</v>
      </c>
      <c r="B340" s="1" t="s">
        <v>137</v>
      </c>
      <c r="E340" s="1" t="s">
        <v>2430</v>
      </c>
      <c r="F340" s="1" t="s">
        <v>95</v>
      </c>
      <c r="G340" s="1" t="s">
        <v>127</v>
      </c>
      <c r="H340" s="1">
        <v>0</v>
      </c>
      <c r="I340" s="1" t="s">
        <v>128</v>
      </c>
      <c r="L340" s="1" t="s">
        <v>2431</v>
      </c>
      <c r="M340" s="1" t="s">
        <v>201</v>
      </c>
      <c r="N340" s="1">
        <v>0</v>
      </c>
      <c r="O340" s="1">
        <v>0</v>
      </c>
      <c r="P340" s="1" t="s">
        <v>148</v>
      </c>
      <c r="Q340" s="1" t="s">
        <v>149</v>
      </c>
      <c r="R340" s="1" t="s">
        <v>2432</v>
      </c>
      <c r="S340" s="1" t="s">
        <v>103</v>
      </c>
      <c r="T340" s="1">
        <v>1</v>
      </c>
      <c r="U340" s="1">
        <v>1</v>
      </c>
      <c r="V340" s="1">
        <v>0</v>
      </c>
      <c r="W340" s="1">
        <v>0</v>
      </c>
      <c r="X340" s="1">
        <v>1</v>
      </c>
      <c r="Y340" s="1" t="s">
        <v>104</v>
      </c>
      <c r="Z340" s="1" t="s">
        <v>104</v>
      </c>
      <c r="AA340" s="1">
        <v>3</v>
      </c>
      <c r="AB340" s="1" t="s">
        <v>104</v>
      </c>
      <c r="AC340" s="1" t="s">
        <v>104</v>
      </c>
      <c r="AD340" s="1" t="s">
        <v>104</v>
      </c>
      <c r="AE340" s="1" t="s">
        <v>104</v>
      </c>
      <c r="AF340" s="1" t="s">
        <v>104</v>
      </c>
      <c r="AG340" s="1" t="s">
        <v>104</v>
      </c>
      <c r="AH340" s="1" t="s">
        <v>104</v>
      </c>
      <c r="AI340" s="1">
        <v>3</v>
      </c>
      <c r="AJ340" s="1">
        <v>3</v>
      </c>
      <c r="AK340" s="1" t="s">
        <v>104</v>
      </c>
      <c r="AL340" s="1" t="s">
        <v>104</v>
      </c>
      <c r="AM340" s="1" t="s">
        <v>104</v>
      </c>
      <c r="AO340" s="1">
        <v>3</v>
      </c>
      <c r="AP340" s="1" t="s">
        <v>2433</v>
      </c>
      <c r="AQ340" s="1" t="s">
        <v>2434</v>
      </c>
      <c r="AR340" s="1">
        <v>0</v>
      </c>
      <c r="AS340" s="1">
        <v>0</v>
      </c>
      <c r="AT340" s="1">
        <v>0</v>
      </c>
      <c r="AU340" s="1">
        <v>0</v>
      </c>
      <c r="AV340" s="1">
        <v>0</v>
      </c>
      <c r="AW340" s="1">
        <v>0</v>
      </c>
      <c r="AX340" s="1">
        <v>0</v>
      </c>
      <c r="AY340" s="1">
        <v>0</v>
      </c>
      <c r="AZ340" s="1">
        <v>0</v>
      </c>
      <c r="BA340" s="1">
        <v>0</v>
      </c>
      <c r="BB340" s="1">
        <v>0</v>
      </c>
      <c r="BC340" s="1">
        <v>0</v>
      </c>
      <c r="BD340" s="1">
        <v>0</v>
      </c>
      <c r="BE340" s="1">
        <v>0</v>
      </c>
      <c r="BF340" s="1">
        <v>0</v>
      </c>
      <c r="BG340" s="1">
        <v>0</v>
      </c>
      <c r="BH340" s="1">
        <v>0</v>
      </c>
      <c r="BI340" s="1">
        <v>0</v>
      </c>
      <c r="BJ340" s="1">
        <v>0</v>
      </c>
      <c r="BK340" s="1">
        <v>0</v>
      </c>
      <c r="BL340" s="1">
        <v>0</v>
      </c>
      <c r="BM340" s="1">
        <v>0</v>
      </c>
      <c r="BN340" s="1">
        <v>0</v>
      </c>
      <c r="BO340" s="1">
        <v>0</v>
      </c>
      <c r="BP340" s="1">
        <v>0</v>
      </c>
      <c r="BQ340" s="2" t="str">
        <f>HYPERLINK("http://www.d20pfsrd.com/magic/all-spells/m/magic-vestment","Magic Vestment")</f>
        <v>Magic Vestment</v>
      </c>
      <c r="BR340" s="1">
        <v>340</v>
      </c>
      <c r="BS340" s="1" t="s">
        <v>104</v>
      </c>
      <c r="BU340" s="1" t="s">
        <v>2435</v>
      </c>
      <c r="BV340" s="1" t="s">
        <v>2436</v>
      </c>
      <c r="BW340" s="1" t="s">
        <v>2437</v>
      </c>
      <c r="BX340" s="1">
        <v>1</v>
      </c>
      <c r="BY340" s="1" t="s">
        <v>104</v>
      </c>
      <c r="BZ340" s="1">
        <v>3</v>
      </c>
      <c r="CA340" s="1" t="s">
        <v>104</v>
      </c>
      <c r="CB340" s="1" t="s">
        <v>104</v>
      </c>
      <c r="CC340" s="1" t="s">
        <v>104</v>
      </c>
      <c r="CD340" s="1">
        <v>3</v>
      </c>
      <c r="CE340" s="1" t="s">
        <v>104</v>
      </c>
      <c r="CF340" s="1" t="s">
        <v>104</v>
      </c>
      <c r="CG340" s="1" t="s">
        <v>104</v>
      </c>
      <c r="CH340" s="1" t="s">
        <v>104</v>
      </c>
      <c r="CJ340" s="1">
        <v>0</v>
      </c>
      <c r="CK340" s="1">
        <v>0</v>
      </c>
      <c r="CL340" s="1">
        <v>0</v>
      </c>
      <c r="CM340" s="1" t="s">
        <v>104</v>
      </c>
    </row>
    <row r="341" spans="1:91" ht="14.25" customHeight="1" x14ac:dyDescent="0.3">
      <c r="A341" s="1" t="s">
        <v>2438</v>
      </c>
      <c r="B341" s="1" t="s">
        <v>137</v>
      </c>
      <c r="E341" s="1" t="s">
        <v>2439</v>
      </c>
      <c r="F341" s="1" t="s">
        <v>95</v>
      </c>
      <c r="G341" s="1" t="s">
        <v>127</v>
      </c>
      <c r="H341" s="1">
        <v>0</v>
      </c>
      <c r="I341" s="1" t="s">
        <v>128</v>
      </c>
      <c r="L341" s="1" t="s">
        <v>479</v>
      </c>
      <c r="M341" s="1" t="s">
        <v>130</v>
      </c>
      <c r="N341" s="1">
        <v>0</v>
      </c>
      <c r="O341" s="1">
        <v>0</v>
      </c>
      <c r="P341" s="1" t="s">
        <v>148</v>
      </c>
      <c r="Q341" s="1" t="s">
        <v>149</v>
      </c>
      <c r="R341" s="1" t="s">
        <v>2440</v>
      </c>
      <c r="S341" s="1" t="s">
        <v>103</v>
      </c>
      <c r="T341" s="1">
        <v>1</v>
      </c>
      <c r="U341" s="1">
        <v>1</v>
      </c>
      <c r="V341" s="1">
        <v>0</v>
      </c>
      <c r="W341" s="1">
        <v>0</v>
      </c>
      <c r="X341" s="1">
        <v>1</v>
      </c>
      <c r="Y341" s="1">
        <v>1</v>
      </c>
      <c r="Z341" s="1">
        <v>1</v>
      </c>
      <c r="AA341" s="1">
        <v>1</v>
      </c>
      <c r="AB341" s="1" t="s">
        <v>104</v>
      </c>
      <c r="AC341" s="1" t="s">
        <v>104</v>
      </c>
      <c r="AD341" s="1" t="s">
        <v>104</v>
      </c>
      <c r="AE341" s="1">
        <v>1</v>
      </c>
      <c r="AF341" s="1" t="s">
        <v>104</v>
      </c>
      <c r="AG341" s="1" t="s">
        <v>104</v>
      </c>
      <c r="AH341" s="1" t="s">
        <v>104</v>
      </c>
      <c r="AI341" s="1">
        <v>1</v>
      </c>
      <c r="AJ341" s="1">
        <v>1</v>
      </c>
      <c r="AK341" s="1">
        <v>1</v>
      </c>
      <c r="AL341" s="1">
        <v>1</v>
      </c>
      <c r="AM341" s="1" t="s">
        <v>104</v>
      </c>
      <c r="AO341" s="1">
        <v>1</v>
      </c>
      <c r="AP341" s="1" t="s">
        <v>2441</v>
      </c>
      <c r="AQ341" s="1" t="s">
        <v>2442</v>
      </c>
      <c r="AR341" s="1">
        <v>0</v>
      </c>
      <c r="AS341" s="1">
        <v>0</v>
      </c>
      <c r="AT341" s="1">
        <v>0</v>
      </c>
      <c r="AU341" s="1">
        <v>0</v>
      </c>
      <c r="AV341" s="1">
        <v>0</v>
      </c>
      <c r="AW341" s="1">
        <v>0</v>
      </c>
      <c r="AX341" s="1">
        <v>0</v>
      </c>
      <c r="AY341" s="1">
        <v>0</v>
      </c>
      <c r="AZ341" s="1">
        <v>0</v>
      </c>
      <c r="BA341" s="1">
        <v>0</v>
      </c>
      <c r="BB341" s="1">
        <v>0</v>
      </c>
      <c r="BC341" s="1">
        <v>0</v>
      </c>
      <c r="BD341" s="1">
        <v>0</v>
      </c>
      <c r="BE341" s="1">
        <v>0</v>
      </c>
      <c r="BF341" s="1">
        <v>0</v>
      </c>
      <c r="BG341" s="1">
        <v>0</v>
      </c>
      <c r="BH341" s="1">
        <v>0</v>
      </c>
      <c r="BI341" s="1">
        <v>0</v>
      </c>
      <c r="BJ341" s="1">
        <v>0</v>
      </c>
      <c r="BK341" s="1">
        <v>0</v>
      </c>
      <c r="BL341" s="1">
        <v>0</v>
      </c>
      <c r="BM341" s="1">
        <v>0</v>
      </c>
      <c r="BN341" s="1">
        <v>0</v>
      </c>
      <c r="BO341" s="1">
        <v>0</v>
      </c>
      <c r="BP341" s="1">
        <v>0</v>
      </c>
      <c r="BQ341" s="2" t="str">
        <f>HYPERLINK("http://www.d20pfsrd.com/magic/all-spells/m/magic-weapon","Magic Weapon")</f>
        <v>Magic Weapon</v>
      </c>
      <c r="BR341" s="1">
        <v>341</v>
      </c>
      <c r="BS341" s="1" t="s">
        <v>104</v>
      </c>
      <c r="BX341" s="1">
        <v>0</v>
      </c>
      <c r="BY341" s="1">
        <v>1</v>
      </c>
      <c r="BZ341" s="1">
        <v>1</v>
      </c>
      <c r="CA341" s="1" t="s">
        <v>104</v>
      </c>
      <c r="CB341" s="1" t="s">
        <v>104</v>
      </c>
      <c r="CC341" s="1" t="s">
        <v>104</v>
      </c>
      <c r="CD341" s="1">
        <v>1</v>
      </c>
      <c r="CE341" s="1" t="s">
        <v>104</v>
      </c>
      <c r="CF341" s="1" t="s">
        <v>104</v>
      </c>
      <c r="CG341" s="1" t="s">
        <v>104</v>
      </c>
      <c r="CH341" s="1" t="s">
        <v>104</v>
      </c>
      <c r="CJ341" s="1">
        <v>0</v>
      </c>
      <c r="CK341" s="1">
        <v>0</v>
      </c>
      <c r="CL341" s="1">
        <v>0</v>
      </c>
      <c r="CM341" s="1" t="s">
        <v>104</v>
      </c>
    </row>
    <row r="342" spans="1:91" ht="14.25" customHeight="1" x14ac:dyDescent="0.3">
      <c r="A342" s="1" t="s">
        <v>2443</v>
      </c>
      <c r="B342" s="1" t="s">
        <v>137</v>
      </c>
      <c r="E342" s="1" t="s">
        <v>2444</v>
      </c>
      <c r="F342" s="1" t="s">
        <v>95</v>
      </c>
      <c r="G342" s="1" t="s">
        <v>2445</v>
      </c>
      <c r="H342" s="1">
        <v>0</v>
      </c>
      <c r="I342" s="1" t="s">
        <v>117</v>
      </c>
      <c r="L342" s="1" t="s">
        <v>2446</v>
      </c>
      <c r="M342" s="1" t="s">
        <v>201</v>
      </c>
      <c r="N342" s="1">
        <v>0</v>
      </c>
      <c r="O342" s="1">
        <v>0</v>
      </c>
      <c r="P342" s="1" t="s">
        <v>148</v>
      </c>
      <c r="Q342" s="1" t="s">
        <v>149</v>
      </c>
      <c r="R342" s="1" t="s">
        <v>2447</v>
      </c>
      <c r="S342" s="1" t="s">
        <v>103</v>
      </c>
      <c r="T342" s="1">
        <v>1</v>
      </c>
      <c r="U342" s="1">
        <v>1</v>
      </c>
      <c r="V342" s="1">
        <v>1</v>
      </c>
      <c r="W342" s="1">
        <v>0</v>
      </c>
      <c r="X342" s="1">
        <v>1</v>
      </c>
      <c r="Y342" s="1">
        <v>3</v>
      </c>
      <c r="Z342" s="1">
        <v>3</v>
      </c>
      <c r="AA342" s="1">
        <v>4</v>
      </c>
      <c r="AB342" s="1" t="s">
        <v>104</v>
      </c>
      <c r="AC342" s="1" t="s">
        <v>104</v>
      </c>
      <c r="AD342" s="1" t="s">
        <v>104</v>
      </c>
      <c r="AE342" s="1">
        <v>3</v>
      </c>
      <c r="AF342" s="1" t="s">
        <v>104</v>
      </c>
      <c r="AG342" s="1" t="s">
        <v>104</v>
      </c>
      <c r="AH342" s="1" t="s">
        <v>104</v>
      </c>
      <c r="AI342" s="1">
        <v>3</v>
      </c>
      <c r="AJ342" s="1">
        <v>4</v>
      </c>
      <c r="AK342" s="1">
        <v>3</v>
      </c>
      <c r="AL342" s="1">
        <v>3</v>
      </c>
      <c r="AM342" s="1" t="s">
        <v>104</v>
      </c>
      <c r="AO342" s="1">
        <v>3</v>
      </c>
      <c r="AQ342" s="1" t="s">
        <v>2448</v>
      </c>
      <c r="AR342" s="1">
        <v>0</v>
      </c>
      <c r="AS342" s="1">
        <v>0</v>
      </c>
      <c r="AT342" s="1">
        <v>0</v>
      </c>
      <c r="AU342" s="1">
        <v>0</v>
      </c>
      <c r="AV342" s="1">
        <v>0</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0</v>
      </c>
      <c r="BM342" s="1">
        <v>0</v>
      </c>
      <c r="BN342" s="1">
        <v>0</v>
      </c>
      <c r="BO342" s="1">
        <v>0</v>
      </c>
      <c r="BP342" s="1">
        <v>0</v>
      </c>
      <c r="BQ342" s="2" t="str">
        <f>HYPERLINK("http://www.d20pfsrd.com/magic/all-spells/m/magic-weapon","Magic Weapon, Greater")</f>
        <v>Magic Weapon, Greater</v>
      </c>
      <c r="BR342" s="1">
        <v>342</v>
      </c>
      <c r="BS342" s="1" t="s">
        <v>104</v>
      </c>
      <c r="BT342" s="1" t="s">
        <v>2449</v>
      </c>
      <c r="BU342" s="1" t="s">
        <v>2450</v>
      </c>
      <c r="BV342" s="1" t="s">
        <v>2451</v>
      </c>
      <c r="BW342" s="1" t="s">
        <v>2452</v>
      </c>
      <c r="BX342" s="1">
        <v>1</v>
      </c>
      <c r="BY342" s="1">
        <v>3</v>
      </c>
      <c r="BZ342" s="1">
        <v>4</v>
      </c>
      <c r="CA342" s="1" t="s">
        <v>104</v>
      </c>
      <c r="CB342" s="1" t="s">
        <v>104</v>
      </c>
      <c r="CC342" s="1" t="s">
        <v>104</v>
      </c>
      <c r="CD342" s="1">
        <v>3</v>
      </c>
      <c r="CE342" s="1" t="s">
        <v>104</v>
      </c>
      <c r="CF342" s="1" t="s">
        <v>104</v>
      </c>
      <c r="CG342" s="1" t="s">
        <v>104</v>
      </c>
      <c r="CH342" s="1" t="s">
        <v>104</v>
      </c>
      <c r="CJ342" s="1">
        <v>0</v>
      </c>
      <c r="CK342" s="1">
        <v>0</v>
      </c>
      <c r="CL342" s="1">
        <v>0</v>
      </c>
      <c r="CM342" s="1" t="s">
        <v>104</v>
      </c>
    </row>
    <row r="343" spans="1:91" ht="14.25" customHeight="1" x14ac:dyDescent="0.3">
      <c r="A343" s="1" t="s">
        <v>2453</v>
      </c>
      <c r="B343" s="1" t="s">
        <v>92</v>
      </c>
      <c r="C343" s="1" t="s">
        <v>93</v>
      </c>
      <c r="E343" s="1" t="s">
        <v>2454</v>
      </c>
      <c r="F343" s="1" t="s">
        <v>191</v>
      </c>
      <c r="G343" s="1" t="s">
        <v>2455</v>
      </c>
      <c r="H343" s="1">
        <v>0</v>
      </c>
      <c r="I343" s="1" t="s">
        <v>705</v>
      </c>
      <c r="K343" s="1" t="s">
        <v>2456</v>
      </c>
      <c r="M343" s="1" t="s">
        <v>201</v>
      </c>
      <c r="N343" s="1">
        <v>1</v>
      </c>
      <c r="O343" s="1">
        <v>0</v>
      </c>
      <c r="P343" s="1" t="s">
        <v>100</v>
      </c>
      <c r="Q343" s="1" t="s">
        <v>101</v>
      </c>
      <c r="R343" s="1" t="s">
        <v>2457</v>
      </c>
      <c r="S343" s="1" t="s">
        <v>103</v>
      </c>
      <c r="T343" s="1">
        <v>1</v>
      </c>
      <c r="U343" s="1">
        <v>1</v>
      </c>
      <c r="V343" s="1">
        <v>1</v>
      </c>
      <c r="W343" s="1">
        <v>0</v>
      </c>
      <c r="X343" s="1">
        <v>0</v>
      </c>
      <c r="Y343" s="1">
        <v>4</v>
      </c>
      <c r="Z343" s="1">
        <v>4</v>
      </c>
      <c r="AA343" s="1" t="s">
        <v>104</v>
      </c>
      <c r="AB343" s="1" t="s">
        <v>104</v>
      </c>
      <c r="AC343" s="1" t="s">
        <v>104</v>
      </c>
      <c r="AD343" s="1" t="s">
        <v>104</v>
      </c>
      <c r="AE343" s="1" t="s">
        <v>104</v>
      </c>
      <c r="AF343" s="1" t="s">
        <v>104</v>
      </c>
      <c r="AG343" s="1">
        <v>3</v>
      </c>
      <c r="AH343" s="1">
        <v>4</v>
      </c>
      <c r="AI343" s="1" t="s">
        <v>104</v>
      </c>
      <c r="AJ343" s="1" t="s">
        <v>104</v>
      </c>
      <c r="AK343" s="1" t="s">
        <v>104</v>
      </c>
      <c r="AL343" s="1" t="s">
        <v>104</v>
      </c>
      <c r="AM343" s="1">
        <v>4</v>
      </c>
      <c r="AO343" s="1">
        <v>4</v>
      </c>
      <c r="AP343" s="1" t="s">
        <v>2458</v>
      </c>
      <c r="AQ343" s="1" t="s">
        <v>2459</v>
      </c>
      <c r="AR343" s="1">
        <v>0</v>
      </c>
      <c r="AS343" s="1">
        <v>0</v>
      </c>
      <c r="AT343" s="1">
        <v>0</v>
      </c>
      <c r="AU343" s="1">
        <v>0</v>
      </c>
      <c r="AV343" s="1">
        <v>0</v>
      </c>
      <c r="AW343" s="1">
        <v>0</v>
      </c>
      <c r="AX343" s="1">
        <v>0</v>
      </c>
      <c r="AY343" s="1">
        <v>0</v>
      </c>
      <c r="AZ343" s="1">
        <v>0</v>
      </c>
      <c r="BA343" s="1">
        <v>0</v>
      </c>
      <c r="BB343" s="1">
        <v>0</v>
      </c>
      <c r="BC343" s="1">
        <v>0</v>
      </c>
      <c r="BD343" s="1">
        <v>0</v>
      </c>
      <c r="BE343" s="1">
        <v>0</v>
      </c>
      <c r="BF343" s="1">
        <v>0</v>
      </c>
      <c r="BG343" s="1">
        <v>0</v>
      </c>
      <c r="BH343" s="1">
        <v>0</v>
      </c>
      <c r="BI343" s="1">
        <v>0</v>
      </c>
      <c r="BJ343" s="1">
        <v>0</v>
      </c>
      <c r="BK343" s="1">
        <v>0</v>
      </c>
      <c r="BL343" s="1">
        <v>0</v>
      </c>
      <c r="BM343" s="1">
        <v>0</v>
      </c>
      <c r="BN343" s="1">
        <v>0</v>
      </c>
      <c r="BO343" s="1">
        <v>0</v>
      </c>
      <c r="BP343" s="1">
        <v>0</v>
      </c>
      <c r="BQ343" s="2" t="str">
        <f>HYPERLINK("http://www.d20pfsrd.com/magic/all-spells/m/minor-creation","Minor Creation")</f>
        <v>Minor Creation</v>
      </c>
      <c r="BR343" s="1">
        <v>343</v>
      </c>
      <c r="BS343" s="1" t="s">
        <v>104</v>
      </c>
      <c r="BT343" s="1" t="s">
        <v>2460</v>
      </c>
      <c r="BX343" s="1">
        <v>0</v>
      </c>
      <c r="BY343" s="1" t="s">
        <v>104</v>
      </c>
      <c r="BZ343" s="1" t="s">
        <v>104</v>
      </c>
      <c r="CA343" s="1">
        <v>4</v>
      </c>
      <c r="CB343" s="1" t="s">
        <v>104</v>
      </c>
      <c r="CC343" s="1" t="s">
        <v>104</v>
      </c>
      <c r="CD343" s="1">
        <v>3</v>
      </c>
      <c r="CE343" s="1">
        <v>3</v>
      </c>
      <c r="CF343" s="1" t="s">
        <v>104</v>
      </c>
      <c r="CG343" s="1" t="s">
        <v>104</v>
      </c>
      <c r="CH343" s="1" t="s">
        <v>104</v>
      </c>
      <c r="CJ343" s="1">
        <v>0</v>
      </c>
      <c r="CK343" s="1">
        <v>0</v>
      </c>
      <c r="CL343" s="1">
        <v>0</v>
      </c>
      <c r="CM343" s="1">
        <v>3</v>
      </c>
    </row>
    <row r="344" spans="1:91" ht="14.25" customHeight="1" x14ac:dyDescent="0.3">
      <c r="A344" s="1" t="s">
        <v>2461</v>
      </c>
      <c r="B344" s="1" t="s">
        <v>92</v>
      </c>
      <c r="C344" s="1" t="s">
        <v>93</v>
      </c>
      <c r="E344" s="1" t="s">
        <v>2462</v>
      </c>
      <c r="F344" s="1" t="s">
        <v>287</v>
      </c>
      <c r="G344" s="1" t="s">
        <v>2455</v>
      </c>
      <c r="H344" s="1">
        <v>0</v>
      </c>
      <c r="I344" s="1" t="s">
        <v>117</v>
      </c>
      <c r="K344" s="1" t="s">
        <v>2456</v>
      </c>
      <c r="M344" s="1" t="s">
        <v>145</v>
      </c>
      <c r="N344" s="1">
        <v>0</v>
      </c>
      <c r="O344" s="1">
        <v>0</v>
      </c>
      <c r="P344" s="1" t="s">
        <v>100</v>
      </c>
      <c r="Q344" s="1" t="s">
        <v>101</v>
      </c>
      <c r="R344" s="1" t="s">
        <v>2463</v>
      </c>
      <c r="S344" s="1" t="s">
        <v>103</v>
      </c>
      <c r="T344" s="1">
        <v>1</v>
      </c>
      <c r="U344" s="1">
        <v>1</v>
      </c>
      <c r="V344" s="1">
        <v>1</v>
      </c>
      <c r="W344" s="1">
        <v>0</v>
      </c>
      <c r="X344" s="1">
        <v>0</v>
      </c>
      <c r="Y344" s="1">
        <v>5</v>
      </c>
      <c r="Z344" s="1">
        <v>5</v>
      </c>
      <c r="AA344" s="1" t="s">
        <v>104</v>
      </c>
      <c r="AB344" s="1" t="s">
        <v>104</v>
      </c>
      <c r="AC344" s="1" t="s">
        <v>104</v>
      </c>
      <c r="AD344" s="1" t="s">
        <v>104</v>
      </c>
      <c r="AE344" s="1" t="s">
        <v>104</v>
      </c>
      <c r="AF344" s="1" t="s">
        <v>104</v>
      </c>
      <c r="AG344" s="1">
        <v>4</v>
      </c>
      <c r="AH344" s="1">
        <v>5</v>
      </c>
      <c r="AI344" s="1" t="s">
        <v>104</v>
      </c>
      <c r="AJ344" s="1" t="s">
        <v>104</v>
      </c>
      <c r="AK344" s="1" t="s">
        <v>104</v>
      </c>
      <c r="AL344" s="1" t="s">
        <v>104</v>
      </c>
      <c r="AM344" s="1">
        <v>5</v>
      </c>
      <c r="AO344" s="1">
        <v>5</v>
      </c>
      <c r="AP344" s="1" t="s">
        <v>2464</v>
      </c>
      <c r="AQ344" s="1" t="s">
        <v>2465</v>
      </c>
      <c r="AR344" s="1">
        <v>0</v>
      </c>
      <c r="AS344" s="1">
        <v>0</v>
      </c>
      <c r="AT344" s="1">
        <v>0</v>
      </c>
      <c r="AU344" s="1">
        <v>0</v>
      </c>
      <c r="AV344" s="1">
        <v>0</v>
      </c>
      <c r="AW344" s="1">
        <v>0</v>
      </c>
      <c r="AX344" s="1">
        <v>0</v>
      </c>
      <c r="AY344" s="1">
        <v>0</v>
      </c>
      <c r="AZ344" s="1">
        <v>0</v>
      </c>
      <c r="BA344" s="1">
        <v>0</v>
      </c>
      <c r="BB344" s="1">
        <v>0</v>
      </c>
      <c r="BC344" s="1">
        <v>0</v>
      </c>
      <c r="BD344" s="1">
        <v>0</v>
      </c>
      <c r="BE344" s="1">
        <v>0</v>
      </c>
      <c r="BF344" s="1">
        <v>0</v>
      </c>
      <c r="BG344" s="1">
        <v>0</v>
      </c>
      <c r="BH344" s="1">
        <v>0</v>
      </c>
      <c r="BI344" s="1">
        <v>0</v>
      </c>
      <c r="BJ344" s="1">
        <v>0</v>
      </c>
      <c r="BK344" s="1">
        <v>0</v>
      </c>
      <c r="BL344" s="1">
        <v>0</v>
      </c>
      <c r="BM344" s="1">
        <v>0</v>
      </c>
      <c r="BN344" s="1">
        <v>0</v>
      </c>
      <c r="BO344" s="1">
        <v>0</v>
      </c>
      <c r="BP344" s="1">
        <v>0</v>
      </c>
      <c r="BQ344" s="2" t="str">
        <f>HYPERLINK("http://www.d20pfsrd.com/magic/all-spells/m/major-creation","Major Creation")</f>
        <v>Major Creation</v>
      </c>
      <c r="BR344" s="1">
        <v>344</v>
      </c>
      <c r="BS344" s="1" t="s">
        <v>104</v>
      </c>
      <c r="BT344" s="1" t="s">
        <v>2466</v>
      </c>
      <c r="BX344" s="1">
        <v>0</v>
      </c>
      <c r="BY344" s="1" t="s">
        <v>104</v>
      </c>
      <c r="BZ344" s="1" t="s">
        <v>104</v>
      </c>
      <c r="CA344" s="1">
        <v>5</v>
      </c>
      <c r="CB344" s="1" t="s">
        <v>104</v>
      </c>
      <c r="CC344" s="1" t="s">
        <v>104</v>
      </c>
      <c r="CD344" s="1">
        <v>4</v>
      </c>
      <c r="CE344" s="1" t="s">
        <v>104</v>
      </c>
      <c r="CF344" s="1" t="s">
        <v>104</v>
      </c>
      <c r="CG344" s="1" t="s">
        <v>104</v>
      </c>
      <c r="CH344" s="1" t="s">
        <v>104</v>
      </c>
      <c r="CJ344" s="1">
        <v>0</v>
      </c>
      <c r="CK344" s="1">
        <v>0</v>
      </c>
      <c r="CL344" s="1">
        <v>0</v>
      </c>
      <c r="CM344" s="1">
        <v>4</v>
      </c>
    </row>
    <row r="345" spans="1:91" ht="14.25" customHeight="1" x14ac:dyDescent="0.3">
      <c r="A345" s="1" t="s">
        <v>2467</v>
      </c>
      <c r="B345" s="1" t="s">
        <v>507</v>
      </c>
      <c r="C345" s="1" t="s">
        <v>1767</v>
      </c>
      <c r="E345" s="1" t="s">
        <v>2468</v>
      </c>
      <c r="F345" s="1" t="s">
        <v>95</v>
      </c>
      <c r="G345" s="1" t="s">
        <v>2469</v>
      </c>
      <c r="H345" s="1">
        <v>0</v>
      </c>
      <c r="I345" s="1" t="s">
        <v>97</v>
      </c>
      <c r="K345" s="1" t="s">
        <v>2470</v>
      </c>
      <c r="M345" s="1" t="s">
        <v>2471</v>
      </c>
      <c r="N345" s="1">
        <v>0</v>
      </c>
      <c r="O345" s="1">
        <v>0</v>
      </c>
      <c r="P345" s="1" t="s">
        <v>1894</v>
      </c>
      <c r="Q345" s="1" t="s">
        <v>101</v>
      </c>
      <c r="R345" s="1" t="s">
        <v>2472</v>
      </c>
      <c r="S345" s="1" t="s">
        <v>103</v>
      </c>
      <c r="T345" s="1">
        <v>1</v>
      </c>
      <c r="U345" s="1">
        <v>1</v>
      </c>
      <c r="V345" s="1">
        <v>0</v>
      </c>
      <c r="W345" s="1">
        <v>1</v>
      </c>
      <c r="X345" s="1">
        <v>0</v>
      </c>
      <c r="Y345" s="1">
        <v>3</v>
      </c>
      <c r="Z345" s="1">
        <v>3</v>
      </c>
      <c r="AA345" s="1" t="s">
        <v>104</v>
      </c>
      <c r="AB345" s="1" t="s">
        <v>104</v>
      </c>
      <c r="AC345" s="1" t="s">
        <v>104</v>
      </c>
      <c r="AD345" s="1">
        <v>3</v>
      </c>
      <c r="AE345" s="1" t="s">
        <v>104</v>
      </c>
      <c r="AF345" s="1" t="s">
        <v>104</v>
      </c>
      <c r="AG345" s="1" t="s">
        <v>104</v>
      </c>
      <c r="AH345" s="1" t="s">
        <v>104</v>
      </c>
      <c r="AI345" s="1" t="s">
        <v>104</v>
      </c>
      <c r="AJ345" s="1" t="s">
        <v>104</v>
      </c>
      <c r="AK345" s="1" t="s">
        <v>104</v>
      </c>
      <c r="AL345" s="1">
        <v>3</v>
      </c>
      <c r="AM345" s="1" t="s">
        <v>104</v>
      </c>
      <c r="AO345" s="1">
        <v>3</v>
      </c>
      <c r="AP345" s="1" t="s">
        <v>2473</v>
      </c>
      <c r="AQ345" s="1" t="s">
        <v>2474</v>
      </c>
      <c r="AR345" s="1">
        <v>0</v>
      </c>
      <c r="AS345" s="1">
        <v>0</v>
      </c>
      <c r="AT345" s="1">
        <v>0</v>
      </c>
      <c r="AU345" s="1">
        <v>0</v>
      </c>
      <c r="AV345" s="1">
        <v>0</v>
      </c>
      <c r="AW345" s="1">
        <v>0</v>
      </c>
      <c r="AX345" s="1">
        <v>0</v>
      </c>
      <c r="AY345" s="1">
        <v>0</v>
      </c>
      <c r="AZ345" s="1">
        <v>0</v>
      </c>
      <c r="BA345" s="1">
        <v>0</v>
      </c>
      <c r="BB345" s="1">
        <v>0</v>
      </c>
      <c r="BC345" s="1">
        <v>0</v>
      </c>
      <c r="BD345" s="1">
        <v>0</v>
      </c>
      <c r="BE345" s="1">
        <v>0</v>
      </c>
      <c r="BF345" s="1">
        <v>0</v>
      </c>
      <c r="BG345" s="1">
        <v>0</v>
      </c>
      <c r="BH345" s="1">
        <v>0</v>
      </c>
      <c r="BI345" s="1">
        <v>0</v>
      </c>
      <c r="BJ345" s="1">
        <v>0</v>
      </c>
      <c r="BK345" s="1">
        <v>0</v>
      </c>
      <c r="BL345" s="1">
        <v>0</v>
      </c>
      <c r="BM345" s="1">
        <v>0</v>
      </c>
      <c r="BN345" s="1">
        <v>0</v>
      </c>
      <c r="BO345" s="1">
        <v>0</v>
      </c>
      <c r="BP345" s="1">
        <v>0</v>
      </c>
      <c r="BQ345" s="2" t="str">
        <f>HYPERLINK("http://www.d20pfsrd.com/magic/all-spells/m/major-image","Major Image")</f>
        <v>Major Image</v>
      </c>
      <c r="BR345" s="1">
        <v>345</v>
      </c>
      <c r="BS345" s="1" t="s">
        <v>104</v>
      </c>
      <c r="BU345" s="1" t="s">
        <v>2475</v>
      </c>
      <c r="BX345" s="1">
        <v>0</v>
      </c>
      <c r="BY345" s="1" t="s">
        <v>104</v>
      </c>
      <c r="BZ345" s="1" t="s">
        <v>104</v>
      </c>
      <c r="CA345" s="1">
        <v>3</v>
      </c>
      <c r="CB345" s="1">
        <v>3</v>
      </c>
      <c r="CC345" s="1">
        <v>3</v>
      </c>
      <c r="CD345" s="1">
        <v>3</v>
      </c>
      <c r="CE345" s="1" t="s">
        <v>104</v>
      </c>
      <c r="CF345" s="1" t="s">
        <v>104</v>
      </c>
      <c r="CG345" s="1" t="s">
        <v>104</v>
      </c>
      <c r="CH345" s="1" t="s">
        <v>104</v>
      </c>
      <c r="CJ345" s="1">
        <v>0</v>
      </c>
      <c r="CK345" s="1">
        <v>0</v>
      </c>
      <c r="CL345" s="1">
        <v>0</v>
      </c>
      <c r="CM345" s="1" t="s">
        <v>104</v>
      </c>
    </row>
    <row r="346" spans="1:91" ht="14.25" customHeight="1" x14ac:dyDescent="0.3">
      <c r="A346" s="1" t="s">
        <v>2476</v>
      </c>
      <c r="B346" s="1" t="s">
        <v>137</v>
      </c>
      <c r="E346" s="1" t="s">
        <v>2477</v>
      </c>
      <c r="F346" s="1" t="s">
        <v>287</v>
      </c>
      <c r="G346" s="1" t="s">
        <v>116</v>
      </c>
      <c r="H346" s="1">
        <v>0</v>
      </c>
      <c r="I346" s="1" t="s">
        <v>117</v>
      </c>
      <c r="L346" s="1" t="s">
        <v>2478</v>
      </c>
      <c r="M346" s="1" t="s">
        <v>119</v>
      </c>
      <c r="N346" s="1">
        <v>0</v>
      </c>
      <c r="O346" s="1">
        <v>0</v>
      </c>
      <c r="P346" s="1" t="s">
        <v>148</v>
      </c>
      <c r="Q346" s="1" t="s">
        <v>149</v>
      </c>
      <c r="R346" s="1" t="s">
        <v>2479</v>
      </c>
      <c r="S346" s="1" t="s">
        <v>103</v>
      </c>
      <c r="T346" s="1">
        <v>1</v>
      </c>
      <c r="U346" s="1">
        <v>1</v>
      </c>
      <c r="V346" s="1">
        <v>0</v>
      </c>
      <c r="W346" s="1">
        <v>0</v>
      </c>
      <c r="X346" s="1">
        <v>0</v>
      </c>
      <c r="Y346" s="1">
        <v>2</v>
      </c>
      <c r="Z346" s="1">
        <v>2</v>
      </c>
      <c r="AA346" s="1">
        <v>2</v>
      </c>
      <c r="AB346" s="1" t="s">
        <v>104</v>
      </c>
      <c r="AC346" s="1" t="s">
        <v>104</v>
      </c>
      <c r="AD346" s="1" t="s">
        <v>104</v>
      </c>
      <c r="AE346" s="1" t="s">
        <v>104</v>
      </c>
      <c r="AF346" s="1" t="s">
        <v>104</v>
      </c>
      <c r="AG346" s="1" t="s">
        <v>104</v>
      </c>
      <c r="AH346" s="1" t="s">
        <v>104</v>
      </c>
      <c r="AI346" s="1" t="s">
        <v>104</v>
      </c>
      <c r="AJ346" s="1">
        <v>2</v>
      </c>
      <c r="AK346" s="1" t="s">
        <v>104</v>
      </c>
      <c r="AL346" s="1" t="s">
        <v>104</v>
      </c>
      <c r="AM346" s="1" t="s">
        <v>104</v>
      </c>
      <c r="AO346" s="1">
        <v>2</v>
      </c>
      <c r="AP346" s="1" t="s">
        <v>2480</v>
      </c>
      <c r="AQ346" s="1" t="s">
        <v>2481</v>
      </c>
      <c r="AR346" s="1">
        <v>0</v>
      </c>
      <c r="AS346" s="1">
        <v>0</v>
      </c>
      <c r="AT346" s="1">
        <v>0</v>
      </c>
      <c r="AU346" s="1">
        <v>0</v>
      </c>
      <c r="AV346" s="1">
        <v>0</v>
      </c>
      <c r="AW346" s="1">
        <v>0</v>
      </c>
      <c r="AX346" s="1">
        <v>0</v>
      </c>
      <c r="AY346" s="1">
        <v>0</v>
      </c>
      <c r="AZ346" s="1">
        <v>0</v>
      </c>
      <c r="BA346" s="1">
        <v>0</v>
      </c>
      <c r="BB346" s="1">
        <v>0</v>
      </c>
      <c r="BC346" s="1">
        <v>0</v>
      </c>
      <c r="BD346" s="1">
        <v>0</v>
      </c>
      <c r="BE346" s="1">
        <v>0</v>
      </c>
      <c r="BF346" s="1">
        <v>0</v>
      </c>
      <c r="BG346" s="1">
        <v>0</v>
      </c>
      <c r="BH346" s="1">
        <v>0</v>
      </c>
      <c r="BI346" s="1">
        <v>0</v>
      </c>
      <c r="BJ346" s="1">
        <v>0</v>
      </c>
      <c r="BK346" s="1">
        <v>0</v>
      </c>
      <c r="BL346" s="1">
        <v>0</v>
      </c>
      <c r="BM346" s="1">
        <v>0</v>
      </c>
      <c r="BN346" s="1">
        <v>0</v>
      </c>
      <c r="BO346" s="1">
        <v>0</v>
      </c>
      <c r="BP346" s="1">
        <v>0</v>
      </c>
      <c r="BQ346" s="2" t="str">
        <f>HYPERLINK("http://www.d20pfsrd.com/magic/all-spells/m/make-whole","Make Whole")</f>
        <v>Make Whole</v>
      </c>
      <c r="BR346" s="1">
        <v>346</v>
      </c>
      <c r="BS346" s="1" t="s">
        <v>104</v>
      </c>
      <c r="BT346" s="1" t="s">
        <v>2482</v>
      </c>
      <c r="BV346" s="1" t="s">
        <v>2483</v>
      </c>
      <c r="BX346" s="1">
        <v>1</v>
      </c>
      <c r="BY346" s="1" t="s">
        <v>104</v>
      </c>
      <c r="BZ346" s="1" t="s">
        <v>104</v>
      </c>
      <c r="CA346" s="1">
        <v>2</v>
      </c>
      <c r="CB346" s="1" t="s">
        <v>104</v>
      </c>
      <c r="CC346" s="1" t="s">
        <v>104</v>
      </c>
      <c r="CD346" s="1">
        <v>2</v>
      </c>
      <c r="CE346" s="1" t="s">
        <v>104</v>
      </c>
      <c r="CF346" s="1" t="s">
        <v>104</v>
      </c>
      <c r="CG346" s="1" t="s">
        <v>104</v>
      </c>
      <c r="CH346" s="1" t="s">
        <v>104</v>
      </c>
      <c r="CJ346" s="1">
        <v>0</v>
      </c>
      <c r="CK346" s="1">
        <v>0</v>
      </c>
      <c r="CL346" s="1">
        <v>0</v>
      </c>
      <c r="CM346" s="1" t="s">
        <v>104</v>
      </c>
    </row>
    <row r="347" spans="1:91" ht="14.25" customHeight="1" x14ac:dyDescent="0.3">
      <c r="A347" s="1" t="s">
        <v>2484</v>
      </c>
      <c r="B347" s="1" t="s">
        <v>216</v>
      </c>
      <c r="D347" s="1" t="s">
        <v>47</v>
      </c>
      <c r="E347" s="1" t="s">
        <v>2485</v>
      </c>
      <c r="F347" s="1" t="s">
        <v>287</v>
      </c>
      <c r="G347" s="1" t="s">
        <v>127</v>
      </c>
      <c r="H347" s="1">
        <v>0</v>
      </c>
      <c r="I347" s="1" t="s">
        <v>128</v>
      </c>
      <c r="L347" s="1" t="s">
        <v>374</v>
      </c>
      <c r="M347" s="1" t="s">
        <v>2486</v>
      </c>
      <c r="N347" s="1">
        <v>0</v>
      </c>
      <c r="O347" s="1">
        <v>0</v>
      </c>
      <c r="P347" s="1" t="s">
        <v>100</v>
      </c>
      <c r="Q347" s="1" t="s">
        <v>184</v>
      </c>
      <c r="R347" s="1" t="s">
        <v>2487</v>
      </c>
      <c r="S347" s="1" t="s">
        <v>103</v>
      </c>
      <c r="T347" s="1">
        <v>1</v>
      </c>
      <c r="U347" s="1">
        <v>1</v>
      </c>
      <c r="V347" s="1">
        <v>0</v>
      </c>
      <c r="W347" s="1">
        <v>0</v>
      </c>
      <c r="X347" s="1">
        <v>1</v>
      </c>
      <c r="Y347" s="1" t="s">
        <v>104</v>
      </c>
      <c r="Z347" s="1" t="s">
        <v>104</v>
      </c>
      <c r="AA347" s="1">
        <v>5</v>
      </c>
      <c r="AB347" s="1" t="s">
        <v>104</v>
      </c>
      <c r="AC347" s="1" t="s">
        <v>104</v>
      </c>
      <c r="AD347" s="1" t="s">
        <v>104</v>
      </c>
      <c r="AE347" s="1">
        <v>4</v>
      </c>
      <c r="AF347" s="1" t="s">
        <v>104</v>
      </c>
      <c r="AG347" s="1" t="s">
        <v>104</v>
      </c>
      <c r="AH347" s="1">
        <v>5</v>
      </c>
      <c r="AI347" s="1">
        <v>5</v>
      </c>
      <c r="AJ347" s="1">
        <v>5</v>
      </c>
      <c r="AK347" s="1" t="s">
        <v>104</v>
      </c>
      <c r="AL347" s="1" t="s">
        <v>104</v>
      </c>
      <c r="AM347" s="1" t="s">
        <v>104</v>
      </c>
      <c r="AO347" s="1">
        <v>5</v>
      </c>
      <c r="AP347" s="1" t="s">
        <v>2488</v>
      </c>
      <c r="AQ347" s="1" t="s">
        <v>2489</v>
      </c>
      <c r="AR347" s="1">
        <v>0</v>
      </c>
      <c r="AS347" s="1">
        <v>0</v>
      </c>
      <c r="AT347" s="1">
        <v>0</v>
      </c>
      <c r="AU347" s="1">
        <v>0</v>
      </c>
      <c r="AV347" s="1">
        <v>1</v>
      </c>
      <c r="AW347" s="1">
        <v>0</v>
      </c>
      <c r="AX347" s="1">
        <v>0</v>
      </c>
      <c r="AY347" s="1">
        <v>0</v>
      </c>
      <c r="AZ347" s="1">
        <v>0</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2" t="str">
        <f>HYPERLINK("http://www.d20pfsrd.com/magic/all-spells/m/mark-of-justice","Mark of Justice")</f>
        <v>Mark of Justice</v>
      </c>
      <c r="BR347" s="1">
        <v>347</v>
      </c>
      <c r="BS347" s="1" t="s">
        <v>104</v>
      </c>
      <c r="BX347" s="1">
        <v>0</v>
      </c>
      <c r="BY347" s="1" t="s">
        <v>104</v>
      </c>
      <c r="BZ347" s="1" t="s">
        <v>104</v>
      </c>
      <c r="CA347" s="1" t="s">
        <v>104</v>
      </c>
      <c r="CB347" s="1" t="s">
        <v>104</v>
      </c>
      <c r="CC347" s="1" t="s">
        <v>104</v>
      </c>
      <c r="CD347" s="1" t="s">
        <v>104</v>
      </c>
      <c r="CE347" s="1" t="s">
        <v>104</v>
      </c>
      <c r="CF347" s="1" t="s">
        <v>104</v>
      </c>
      <c r="CG347" s="1" t="s">
        <v>104</v>
      </c>
      <c r="CH347" s="1" t="s">
        <v>104</v>
      </c>
      <c r="CJ347" s="1">
        <v>0</v>
      </c>
      <c r="CK347" s="1">
        <v>0</v>
      </c>
      <c r="CL347" s="1">
        <v>0</v>
      </c>
      <c r="CM347" s="1" t="s">
        <v>104</v>
      </c>
    </row>
    <row r="348" spans="1:91" ht="14.25" customHeight="1" x14ac:dyDescent="0.3">
      <c r="A348" s="1" t="s">
        <v>2490</v>
      </c>
      <c r="B348" s="1" t="s">
        <v>92</v>
      </c>
      <c r="C348" s="1" t="s">
        <v>1160</v>
      </c>
      <c r="E348" s="1" t="s">
        <v>2491</v>
      </c>
      <c r="F348" s="1" t="s">
        <v>95</v>
      </c>
      <c r="G348" s="1" t="s">
        <v>116</v>
      </c>
      <c r="H348" s="1">
        <v>0</v>
      </c>
      <c r="I348" s="1" t="s">
        <v>117</v>
      </c>
      <c r="L348" s="1" t="s">
        <v>1065</v>
      </c>
      <c r="M348" s="1" t="s">
        <v>145</v>
      </c>
      <c r="N348" s="1">
        <v>0</v>
      </c>
      <c r="O348" s="1">
        <v>0</v>
      </c>
      <c r="P348" s="1" t="s">
        <v>100</v>
      </c>
      <c r="Q348" s="1" t="s">
        <v>184</v>
      </c>
      <c r="R348" s="1" t="s">
        <v>2492</v>
      </c>
      <c r="S348" s="1" t="s">
        <v>103</v>
      </c>
      <c r="T348" s="1">
        <v>1</v>
      </c>
      <c r="U348" s="1">
        <v>1</v>
      </c>
      <c r="V348" s="1">
        <v>0</v>
      </c>
      <c r="W348" s="1">
        <v>0</v>
      </c>
      <c r="X348" s="1">
        <v>0</v>
      </c>
      <c r="Y348" s="1">
        <v>8</v>
      </c>
      <c r="Z348" s="1">
        <v>8</v>
      </c>
      <c r="AA348" s="1" t="s">
        <v>104</v>
      </c>
      <c r="AB348" s="1" t="s">
        <v>104</v>
      </c>
      <c r="AC348" s="1" t="s">
        <v>104</v>
      </c>
      <c r="AD348" s="1" t="s">
        <v>104</v>
      </c>
      <c r="AE348" s="1" t="s">
        <v>104</v>
      </c>
      <c r="AF348" s="1" t="s">
        <v>104</v>
      </c>
      <c r="AG348" s="1">
        <v>6</v>
      </c>
      <c r="AH348" s="1">
        <v>8</v>
      </c>
      <c r="AI348" s="1" t="s">
        <v>104</v>
      </c>
      <c r="AJ348" s="1" t="s">
        <v>104</v>
      </c>
      <c r="AK348" s="1" t="s">
        <v>104</v>
      </c>
      <c r="AL348" s="1" t="s">
        <v>104</v>
      </c>
      <c r="AM348" s="1" t="s">
        <v>104</v>
      </c>
      <c r="AO348" s="1">
        <v>8</v>
      </c>
      <c r="AQ348" s="1" t="s">
        <v>2493</v>
      </c>
      <c r="AR348" s="1">
        <v>0</v>
      </c>
      <c r="AS348" s="1">
        <v>0</v>
      </c>
      <c r="AT348" s="1">
        <v>0</v>
      </c>
      <c r="AU348" s="1">
        <v>0</v>
      </c>
      <c r="AV348" s="1">
        <v>0</v>
      </c>
      <c r="AW348" s="1">
        <v>0</v>
      </c>
      <c r="AX348" s="1">
        <v>0</v>
      </c>
      <c r="AY348" s="1">
        <v>0</v>
      </c>
      <c r="AZ348" s="1">
        <v>0</v>
      </c>
      <c r="BA348" s="1">
        <v>0</v>
      </c>
      <c r="BB348" s="1">
        <v>0</v>
      </c>
      <c r="BC348" s="1">
        <v>0</v>
      </c>
      <c r="BD348" s="1">
        <v>0</v>
      </c>
      <c r="BE348" s="1">
        <v>0</v>
      </c>
      <c r="BF348" s="1">
        <v>0</v>
      </c>
      <c r="BG348" s="1">
        <v>0</v>
      </c>
      <c r="BH348" s="1">
        <v>0</v>
      </c>
      <c r="BI348" s="1">
        <v>0</v>
      </c>
      <c r="BJ348" s="1">
        <v>0</v>
      </c>
      <c r="BK348" s="1">
        <v>0</v>
      </c>
      <c r="BL348" s="1">
        <v>0</v>
      </c>
      <c r="BM348" s="1">
        <v>0</v>
      </c>
      <c r="BN348" s="1">
        <v>0</v>
      </c>
      <c r="BO348" s="1">
        <v>0</v>
      </c>
      <c r="BP348" s="1">
        <v>0</v>
      </c>
      <c r="BQ348" s="2" t="str">
        <f>HYPERLINK("http://www.d20pfsrd.com/magic/all-spells/m/maze","Maze")</f>
        <v>Maze</v>
      </c>
      <c r="BR348" s="1">
        <v>348</v>
      </c>
      <c r="BS348" s="1" t="s">
        <v>104</v>
      </c>
      <c r="BV348" s="1" t="s">
        <v>2494</v>
      </c>
      <c r="BX348" s="1">
        <v>1</v>
      </c>
      <c r="BY348" s="1" t="s">
        <v>104</v>
      </c>
      <c r="BZ348" s="1" t="s">
        <v>104</v>
      </c>
      <c r="CA348" s="1">
        <v>8</v>
      </c>
      <c r="CB348" s="1" t="s">
        <v>104</v>
      </c>
      <c r="CC348" s="1" t="s">
        <v>104</v>
      </c>
      <c r="CD348" s="1" t="s">
        <v>104</v>
      </c>
      <c r="CE348" s="1" t="s">
        <v>104</v>
      </c>
      <c r="CF348" s="1" t="s">
        <v>104</v>
      </c>
      <c r="CG348" s="1" t="s">
        <v>104</v>
      </c>
      <c r="CH348" s="1" t="s">
        <v>104</v>
      </c>
      <c r="CJ348" s="1">
        <v>0</v>
      </c>
      <c r="CK348" s="1">
        <v>0</v>
      </c>
      <c r="CL348" s="1">
        <v>0</v>
      </c>
      <c r="CM348" s="1">
        <v>6</v>
      </c>
    </row>
    <row r="349" spans="1:91" ht="14.25" customHeight="1" x14ac:dyDescent="0.3">
      <c r="A349" s="1" t="s">
        <v>2495</v>
      </c>
      <c r="B349" s="1" t="s">
        <v>137</v>
      </c>
      <c r="D349" s="1" t="s">
        <v>51</v>
      </c>
      <c r="E349" s="1" t="s">
        <v>2496</v>
      </c>
      <c r="F349" s="1" t="s">
        <v>95</v>
      </c>
      <c r="G349" s="1" t="s">
        <v>127</v>
      </c>
      <c r="H349" s="1">
        <v>0</v>
      </c>
      <c r="I349" s="1" t="s">
        <v>157</v>
      </c>
      <c r="L349" s="1" t="s">
        <v>158</v>
      </c>
      <c r="M349" s="1" t="s">
        <v>140</v>
      </c>
      <c r="N349" s="1">
        <v>0</v>
      </c>
      <c r="O349" s="1">
        <v>0</v>
      </c>
      <c r="R349" s="1" t="s">
        <v>2497</v>
      </c>
      <c r="S349" s="1" t="s">
        <v>103</v>
      </c>
      <c r="T349" s="1">
        <v>1</v>
      </c>
      <c r="U349" s="1">
        <v>1</v>
      </c>
      <c r="V349" s="1">
        <v>0</v>
      </c>
      <c r="W349" s="1">
        <v>0</v>
      </c>
      <c r="X349" s="1">
        <v>1</v>
      </c>
      <c r="Y349" s="1" t="s">
        <v>104</v>
      </c>
      <c r="Z349" s="1" t="s">
        <v>104</v>
      </c>
      <c r="AA349" s="1">
        <v>3</v>
      </c>
      <c r="AB349" s="1">
        <v>3</v>
      </c>
      <c r="AC349" s="1" t="s">
        <v>104</v>
      </c>
      <c r="AD349" s="1" t="s">
        <v>104</v>
      </c>
      <c r="AE349" s="1" t="s">
        <v>104</v>
      </c>
      <c r="AF349" s="1" t="s">
        <v>104</v>
      </c>
      <c r="AG349" s="1" t="s">
        <v>104</v>
      </c>
      <c r="AH349" s="1" t="s">
        <v>104</v>
      </c>
      <c r="AI349" s="1" t="s">
        <v>104</v>
      </c>
      <c r="AJ349" s="1">
        <v>3</v>
      </c>
      <c r="AK349" s="1" t="s">
        <v>104</v>
      </c>
      <c r="AL349" s="1" t="s">
        <v>104</v>
      </c>
      <c r="AM349" s="1" t="s">
        <v>104</v>
      </c>
      <c r="AO349" s="1">
        <v>3</v>
      </c>
      <c r="AP349" s="1" t="s">
        <v>2498</v>
      </c>
      <c r="AQ349" s="1" t="s">
        <v>2499</v>
      </c>
      <c r="AR349" s="1">
        <v>0</v>
      </c>
      <c r="AS349" s="1">
        <v>0</v>
      </c>
      <c r="AT349" s="1">
        <v>0</v>
      </c>
      <c r="AU349" s="1">
        <v>0</v>
      </c>
      <c r="AV349" s="1">
        <v>0</v>
      </c>
      <c r="AW349" s="1">
        <v>0</v>
      </c>
      <c r="AX349" s="1">
        <v>0</v>
      </c>
      <c r="AY349" s="1">
        <v>0</v>
      </c>
      <c r="AZ349" s="1">
        <v>1</v>
      </c>
      <c r="BA349" s="1">
        <v>0</v>
      </c>
      <c r="BB349" s="1">
        <v>0</v>
      </c>
      <c r="BC349" s="1">
        <v>0</v>
      </c>
      <c r="BD349" s="1">
        <v>0</v>
      </c>
      <c r="BE349" s="1">
        <v>0</v>
      </c>
      <c r="BF349" s="1">
        <v>0</v>
      </c>
      <c r="BG349" s="1">
        <v>0</v>
      </c>
      <c r="BH349" s="1">
        <v>0</v>
      </c>
      <c r="BI349" s="1">
        <v>0</v>
      </c>
      <c r="BJ349" s="1">
        <v>0</v>
      </c>
      <c r="BK349" s="1">
        <v>0</v>
      </c>
      <c r="BL349" s="1">
        <v>0</v>
      </c>
      <c r="BM349" s="1">
        <v>0</v>
      </c>
      <c r="BN349" s="1">
        <v>0</v>
      </c>
      <c r="BO349" s="1">
        <v>0</v>
      </c>
      <c r="BP349" s="1">
        <v>0</v>
      </c>
      <c r="BQ349" s="2" t="str">
        <f>HYPERLINK("http://www.d20pfsrd.com/magic/all-spells/m/meld-into-stone","Meld into Stone")</f>
        <v>Meld into Stone</v>
      </c>
      <c r="BR349" s="1">
        <v>349</v>
      </c>
      <c r="BS349" s="1" t="s">
        <v>104</v>
      </c>
      <c r="BX349" s="1">
        <v>0</v>
      </c>
      <c r="BY349" s="1" t="s">
        <v>104</v>
      </c>
      <c r="BZ349" s="1" t="s">
        <v>104</v>
      </c>
      <c r="CA349" s="1">
        <v>3</v>
      </c>
      <c r="CB349" s="1" t="s">
        <v>104</v>
      </c>
      <c r="CC349" s="1" t="s">
        <v>104</v>
      </c>
      <c r="CD349" s="1" t="s">
        <v>104</v>
      </c>
      <c r="CE349" s="1" t="s">
        <v>104</v>
      </c>
      <c r="CF349" s="1" t="s">
        <v>104</v>
      </c>
      <c r="CG349" s="1" t="s">
        <v>104</v>
      </c>
      <c r="CH349" s="1">
        <v>3</v>
      </c>
      <c r="CJ349" s="1">
        <v>0</v>
      </c>
      <c r="CK349" s="1">
        <v>0</v>
      </c>
      <c r="CL349" s="1">
        <v>0</v>
      </c>
      <c r="CM349" s="1" t="s">
        <v>104</v>
      </c>
    </row>
    <row r="350" spans="1:91" ht="14.25" customHeight="1" x14ac:dyDescent="0.3">
      <c r="A350" s="1" t="s">
        <v>2500</v>
      </c>
      <c r="B350" s="1" t="s">
        <v>137</v>
      </c>
      <c r="E350" s="1" t="s">
        <v>2501</v>
      </c>
      <c r="F350" s="1" t="s">
        <v>287</v>
      </c>
      <c r="G350" s="1" t="s">
        <v>116</v>
      </c>
      <c r="H350" s="1">
        <v>0</v>
      </c>
      <c r="I350" s="1" t="s">
        <v>256</v>
      </c>
      <c r="L350" s="1" t="s">
        <v>2502</v>
      </c>
      <c r="M350" s="1" t="s">
        <v>119</v>
      </c>
      <c r="N350" s="1">
        <v>0</v>
      </c>
      <c r="O350" s="1">
        <v>0</v>
      </c>
      <c r="P350" s="1" t="s">
        <v>148</v>
      </c>
      <c r="Q350" s="1" t="s">
        <v>149</v>
      </c>
      <c r="R350" s="1" t="s">
        <v>2503</v>
      </c>
      <c r="S350" s="1" t="s">
        <v>103</v>
      </c>
      <c r="T350" s="1">
        <v>1</v>
      </c>
      <c r="U350" s="1">
        <v>1</v>
      </c>
      <c r="V350" s="1">
        <v>0</v>
      </c>
      <c r="W350" s="1">
        <v>0</v>
      </c>
      <c r="X350" s="1">
        <v>0</v>
      </c>
      <c r="Y350" s="1">
        <v>0</v>
      </c>
      <c r="Z350" s="1">
        <v>0</v>
      </c>
      <c r="AA350" s="1">
        <v>0</v>
      </c>
      <c r="AB350" s="1">
        <v>0</v>
      </c>
      <c r="AC350" s="1" t="s">
        <v>104</v>
      </c>
      <c r="AD350" s="1">
        <v>0</v>
      </c>
      <c r="AE350" s="1" t="s">
        <v>104</v>
      </c>
      <c r="AF350" s="1" t="s">
        <v>104</v>
      </c>
      <c r="AG350" s="1">
        <v>0</v>
      </c>
      <c r="AH350" s="1">
        <v>0</v>
      </c>
      <c r="AI350" s="1" t="s">
        <v>104</v>
      </c>
      <c r="AJ350" s="1">
        <v>0</v>
      </c>
      <c r="AK350" s="1" t="s">
        <v>104</v>
      </c>
      <c r="AL350" s="1" t="s">
        <v>104</v>
      </c>
      <c r="AM350" s="1">
        <v>0</v>
      </c>
      <c r="AO350" s="1">
        <v>0</v>
      </c>
      <c r="AQ350" s="1" t="s">
        <v>2504</v>
      </c>
      <c r="AR350" s="1">
        <v>0</v>
      </c>
      <c r="AS350" s="1">
        <v>0</v>
      </c>
      <c r="AT350" s="1">
        <v>0</v>
      </c>
      <c r="AU350" s="1">
        <v>0</v>
      </c>
      <c r="AV350" s="1">
        <v>0</v>
      </c>
      <c r="AW350" s="1">
        <v>0</v>
      </c>
      <c r="AX350" s="1">
        <v>0</v>
      </c>
      <c r="AY350" s="1">
        <v>0</v>
      </c>
      <c r="AZ350" s="1">
        <v>0</v>
      </c>
      <c r="BA350" s="1">
        <v>0</v>
      </c>
      <c r="BB350" s="1">
        <v>0</v>
      </c>
      <c r="BC350" s="1">
        <v>0</v>
      </c>
      <c r="BD350" s="1">
        <v>0</v>
      </c>
      <c r="BE350" s="1">
        <v>0</v>
      </c>
      <c r="BF350" s="1">
        <v>0</v>
      </c>
      <c r="BG350" s="1">
        <v>0</v>
      </c>
      <c r="BH350" s="1">
        <v>0</v>
      </c>
      <c r="BI350" s="1">
        <v>0</v>
      </c>
      <c r="BJ350" s="1">
        <v>0</v>
      </c>
      <c r="BK350" s="1">
        <v>0</v>
      </c>
      <c r="BL350" s="1">
        <v>0</v>
      </c>
      <c r="BM350" s="1">
        <v>0</v>
      </c>
      <c r="BN350" s="1">
        <v>0</v>
      </c>
      <c r="BO350" s="1">
        <v>0</v>
      </c>
      <c r="BP350" s="1">
        <v>0</v>
      </c>
      <c r="BQ350" s="2" t="str">
        <f>HYPERLINK("http://www.d20pfsrd.com/magic/all-spells/m/mending","Mending")</f>
        <v>Mending</v>
      </c>
      <c r="BR350" s="1">
        <v>350</v>
      </c>
      <c r="BS350" s="1" t="s">
        <v>104</v>
      </c>
      <c r="BX350" s="1">
        <v>0</v>
      </c>
      <c r="BY350" s="1" t="s">
        <v>104</v>
      </c>
      <c r="BZ350" s="1">
        <v>0</v>
      </c>
      <c r="CA350" s="1">
        <v>0</v>
      </c>
      <c r="CB350" s="1" t="s">
        <v>104</v>
      </c>
      <c r="CC350" s="1" t="s">
        <v>104</v>
      </c>
      <c r="CD350" s="1">
        <v>0</v>
      </c>
      <c r="CE350" s="1">
        <v>0</v>
      </c>
      <c r="CF350" s="1" t="s">
        <v>104</v>
      </c>
      <c r="CG350" s="1" t="s">
        <v>104</v>
      </c>
      <c r="CH350" s="1">
        <v>0</v>
      </c>
      <c r="CJ350" s="1">
        <v>0</v>
      </c>
      <c r="CK350" s="1">
        <v>0</v>
      </c>
      <c r="CL350" s="1">
        <v>0</v>
      </c>
      <c r="CM350" s="1">
        <v>0</v>
      </c>
    </row>
    <row r="351" spans="1:91" ht="14.25" customHeight="1" x14ac:dyDescent="0.3">
      <c r="A351" s="1" t="s">
        <v>2505</v>
      </c>
      <c r="B351" s="1" t="s">
        <v>137</v>
      </c>
      <c r="D351" s="1" t="s">
        <v>2506</v>
      </c>
      <c r="E351" s="1" t="s">
        <v>2507</v>
      </c>
      <c r="F351" s="1" t="s">
        <v>95</v>
      </c>
      <c r="G351" s="1" t="s">
        <v>2508</v>
      </c>
      <c r="H351" s="1">
        <v>0</v>
      </c>
      <c r="I351" s="1" t="s">
        <v>109</v>
      </c>
      <c r="L351" s="1" t="s">
        <v>2509</v>
      </c>
      <c r="M351" s="1" t="s">
        <v>140</v>
      </c>
      <c r="N351" s="1">
        <v>0</v>
      </c>
      <c r="O351" s="1">
        <v>0</v>
      </c>
      <c r="P351" s="1" t="s">
        <v>100</v>
      </c>
      <c r="Q351" s="1" t="s">
        <v>101</v>
      </c>
      <c r="R351" s="1" t="s">
        <v>2510</v>
      </c>
      <c r="S351" s="1" t="s">
        <v>103</v>
      </c>
      <c r="T351" s="1">
        <v>1</v>
      </c>
      <c r="U351" s="1">
        <v>1</v>
      </c>
      <c r="V351" s="1">
        <v>0</v>
      </c>
      <c r="W351" s="1">
        <v>1</v>
      </c>
      <c r="X351" s="1">
        <v>0</v>
      </c>
      <c r="Y351" s="1">
        <v>0</v>
      </c>
      <c r="Z351" s="1">
        <v>0</v>
      </c>
      <c r="AA351" s="1" t="s">
        <v>104</v>
      </c>
      <c r="AB351" s="1" t="s">
        <v>104</v>
      </c>
      <c r="AC351" s="1" t="s">
        <v>104</v>
      </c>
      <c r="AD351" s="1">
        <v>0</v>
      </c>
      <c r="AE351" s="1" t="s">
        <v>104</v>
      </c>
      <c r="AF351" s="1" t="s">
        <v>104</v>
      </c>
      <c r="AG351" s="1">
        <v>0</v>
      </c>
      <c r="AH351" s="1">
        <v>0</v>
      </c>
      <c r="AI351" s="1" t="s">
        <v>104</v>
      </c>
      <c r="AJ351" s="1" t="s">
        <v>104</v>
      </c>
      <c r="AK351" s="1" t="s">
        <v>104</v>
      </c>
      <c r="AL351" s="1" t="s">
        <v>104</v>
      </c>
      <c r="AM351" s="1" t="s">
        <v>104</v>
      </c>
      <c r="AO351" s="1">
        <v>0</v>
      </c>
      <c r="AQ351" s="1" t="s">
        <v>2511</v>
      </c>
      <c r="AR351" s="1">
        <v>0</v>
      </c>
      <c r="AS351" s="1">
        <v>0</v>
      </c>
      <c r="AT351" s="1">
        <v>0</v>
      </c>
      <c r="AU351" s="1">
        <v>0</v>
      </c>
      <c r="AV351" s="1">
        <v>0</v>
      </c>
      <c r="AW351" s="1">
        <v>0</v>
      </c>
      <c r="AX351" s="1">
        <v>0</v>
      </c>
      <c r="AY351" s="1">
        <v>0</v>
      </c>
      <c r="AZ351" s="1">
        <v>0</v>
      </c>
      <c r="BA351" s="1">
        <v>0</v>
      </c>
      <c r="BB351" s="1">
        <v>0</v>
      </c>
      <c r="BC351" s="1">
        <v>0</v>
      </c>
      <c r="BD351" s="1">
        <v>0</v>
      </c>
      <c r="BE351" s="1">
        <v>0</v>
      </c>
      <c r="BF351" s="1">
        <v>0</v>
      </c>
      <c r="BG351" s="1">
        <v>0</v>
      </c>
      <c r="BH351" s="1">
        <v>1</v>
      </c>
      <c r="BI351" s="1">
        <v>0</v>
      </c>
      <c r="BJ351" s="1">
        <v>0</v>
      </c>
      <c r="BK351" s="1">
        <v>0</v>
      </c>
      <c r="BL351" s="1">
        <v>0</v>
      </c>
      <c r="BM351" s="1">
        <v>0</v>
      </c>
      <c r="BN351" s="1">
        <v>0</v>
      </c>
      <c r="BO351" s="1">
        <v>0</v>
      </c>
      <c r="BP351" s="1">
        <v>0</v>
      </c>
      <c r="BQ351" s="2" t="str">
        <f>HYPERLINK("http://www.d20pfsrd.com/magic/all-spells/m/message","Message")</f>
        <v>Message</v>
      </c>
      <c r="BR351" s="1">
        <v>351</v>
      </c>
      <c r="BS351" s="1" t="s">
        <v>104</v>
      </c>
      <c r="BX351" s="1">
        <v>0</v>
      </c>
      <c r="BY351" s="1" t="s">
        <v>104</v>
      </c>
      <c r="BZ351" s="1" t="s">
        <v>104</v>
      </c>
      <c r="CA351" s="1">
        <v>0</v>
      </c>
      <c r="CB351" s="1">
        <v>0</v>
      </c>
      <c r="CC351" s="1">
        <v>0</v>
      </c>
      <c r="CD351" s="1">
        <v>0</v>
      </c>
      <c r="CE351" s="1">
        <v>0</v>
      </c>
      <c r="CF351" s="1" t="s">
        <v>104</v>
      </c>
      <c r="CG351" s="1" t="s">
        <v>104</v>
      </c>
      <c r="CH351" s="1" t="s">
        <v>104</v>
      </c>
      <c r="CJ351" s="1">
        <v>0</v>
      </c>
      <c r="CK351" s="1">
        <v>0</v>
      </c>
      <c r="CL351" s="1">
        <v>0</v>
      </c>
      <c r="CM351" s="1">
        <v>0</v>
      </c>
    </row>
    <row r="352" spans="1:91" ht="14.25" customHeight="1" x14ac:dyDescent="0.3">
      <c r="A352" s="1" t="s">
        <v>2512</v>
      </c>
      <c r="B352" s="1" t="s">
        <v>434</v>
      </c>
      <c r="D352" s="1" t="s">
        <v>56</v>
      </c>
      <c r="E352" s="1" t="s">
        <v>2513</v>
      </c>
      <c r="F352" s="1" t="s">
        <v>95</v>
      </c>
      <c r="G352" s="1" t="s">
        <v>116</v>
      </c>
      <c r="H352" s="1">
        <v>0</v>
      </c>
      <c r="I352" s="1" t="s">
        <v>97</v>
      </c>
      <c r="J352" s="1" t="s">
        <v>2514</v>
      </c>
      <c r="M352" s="1" t="s">
        <v>119</v>
      </c>
      <c r="N352" s="1">
        <v>0</v>
      </c>
      <c r="O352" s="1">
        <v>0</v>
      </c>
      <c r="P352" s="1" t="s">
        <v>2515</v>
      </c>
      <c r="Q352" s="1" t="s">
        <v>184</v>
      </c>
      <c r="R352" s="1" t="s">
        <v>2516</v>
      </c>
      <c r="S352" s="1" t="s">
        <v>103</v>
      </c>
      <c r="T352" s="1">
        <v>1</v>
      </c>
      <c r="U352" s="1">
        <v>1</v>
      </c>
      <c r="V352" s="1">
        <v>0</v>
      </c>
      <c r="W352" s="1">
        <v>0</v>
      </c>
      <c r="X352" s="1">
        <v>0</v>
      </c>
      <c r="Y352" s="1">
        <v>9</v>
      </c>
      <c r="Z352" s="1">
        <v>9</v>
      </c>
      <c r="AA352" s="1" t="s">
        <v>104</v>
      </c>
      <c r="AB352" s="1" t="s">
        <v>104</v>
      </c>
      <c r="AC352" s="1" t="s">
        <v>104</v>
      </c>
      <c r="AD352" s="1" t="s">
        <v>104</v>
      </c>
      <c r="AE352" s="1" t="s">
        <v>104</v>
      </c>
      <c r="AF352" s="1" t="s">
        <v>104</v>
      </c>
      <c r="AG352" s="1" t="s">
        <v>104</v>
      </c>
      <c r="AH352" s="1" t="s">
        <v>104</v>
      </c>
      <c r="AI352" s="1" t="s">
        <v>104</v>
      </c>
      <c r="AJ352" s="1" t="s">
        <v>104</v>
      </c>
      <c r="AK352" s="1" t="s">
        <v>104</v>
      </c>
      <c r="AL352" s="1" t="s">
        <v>104</v>
      </c>
      <c r="AM352" s="1" t="s">
        <v>104</v>
      </c>
      <c r="AO352" s="1">
        <v>9</v>
      </c>
      <c r="AP352" s="1" t="s">
        <v>2517</v>
      </c>
      <c r="AQ352" s="1" t="s">
        <v>2518</v>
      </c>
      <c r="AR352" s="1">
        <v>0</v>
      </c>
      <c r="AS352" s="1">
        <v>0</v>
      </c>
      <c r="AT352" s="1">
        <v>0</v>
      </c>
      <c r="AU352" s="1">
        <v>0</v>
      </c>
      <c r="AV352" s="1">
        <v>0</v>
      </c>
      <c r="AW352" s="1">
        <v>0</v>
      </c>
      <c r="AX352" s="1">
        <v>0</v>
      </c>
      <c r="AY352" s="1">
        <v>0</v>
      </c>
      <c r="AZ352" s="1">
        <v>0</v>
      </c>
      <c r="BA352" s="1">
        <v>0</v>
      </c>
      <c r="BB352" s="1">
        <v>0</v>
      </c>
      <c r="BC352" s="1">
        <v>0</v>
      </c>
      <c r="BD352" s="1">
        <v>0</v>
      </c>
      <c r="BE352" s="1">
        <v>1</v>
      </c>
      <c r="BF352" s="1">
        <v>0</v>
      </c>
      <c r="BG352" s="1">
        <v>0</v>
      </c>
      <c r="BH352" s="1">
        <v>0</v>
      </c>
      <c r="BI352" s="1">
        <v>0</v>
      </c>
      <c r="BJ352" s="1">
        <v>0</v>
      </c>
      <c r="BK352" s="1">
        <v>0</v>
      </c>
      <c r="BL352" s="1">
        <v>0</v>
      </c>
      <c r="BM352" s="1">
        <v>0</v>
      </c>
      <c r="BN352" s="1">
        <v>0</v>
      </c>
      <c r="BO352" s="1">
        <v>0</v>
      </c>
      <c r="BP352" s="1">
        <v>0</v>
      </c>
      <c r="BQ352" s="2" t="str">
        <f>HYPERLINK("http://www.d20pfsrd.com/magic/all-spells/m/meteor-swarm","Meteor Swarm")</f>
        <v>Meteor Swarm</v>
      </c>
      <c r="BR352" s="1">
        <v>352</v>
      </c>
      <c r="BS352" s="1" t="s">
        <v>104</v>
      </c>
      <c r="BT352" s="1" t="s">
        <v>2519</v>
      </c>
      <c r="BU352" s="1" t="s">
        <v>2520</v>
      </c>
      <c r="BV352" s="1" t="s">
        <v>2521</v>
      </c>
      <c r="BW352" s="1" t="s">
        <v>2522</v>
      </c>
      <c r="BX352" s="1">
        <v>1</v>
      </c>
      <c r="BY352" s="1" t="s">
        <v>104</v>
      </c>
      <c r="BZ352" s="1" t="s">
        <v>104</v>
      </c>
      <c r="CA352" s="1" t="s">
        <v>104</v>
      </c>
      <c r="CB352" s="1" t="s">
        <v>104</v>
      </c>
      <c r="CC352" s="1" t="s">
        <v>104</v>
      </c>
      <c r="CD352" s="1" t="s">
        <v>104</v>
      </c>
      <c r="CE352" s="1" t="s">
        <v>104</v>
      </c>
      <c r="CF352" s="1" t="s">
        <v>104</v>
      </c>
      <c r="CG352" s="1" t="s">
        <v>104</v>
      </c>
      <c r="CH352" s="1" t="s">
        <v>104</v>
      </c>
      <c r="CJ352" s="1">
        <v>0</v>
      </c>
      <c r="CK352" s="1">
        <v>0</v>
      </c>
      <c r="CL352" s="1">
        <v>0</v>
      </c>
      <c r="CM352" s="1" t="s">
        <v>104</v>
      </c>
    </row>
    <row r="353" spans="1:91" ht="14.25" customHeight="1" x14ac:dyDescent="0.3">
      <c r="A353" s="1" t="s">
        <v>2523</v>
      </c>
      <c r="B353" s="1" t="s">
        <v>162</v>
      </c>
      <c r="E353" s="1" t="s">
        <v>2524</v>
      </c>
      <c r="F353" s="1" t="s">
        <v>95</v>
      </c>
      <c r="G353" s="1" t="s">
        <v>116</v>
      </c>
      <c r="H353" s="1">
        <v>0</v>
      </c>
      <c r="I353" s="1" t="s">
        <v>117</v>
      </c>
      <c r="L353" s="1" t="s">
        <v>1065</v>
      </c>
      <c r="M353" s="1" t="s">
        <v>341</v>
      </c>
      <c r="N353" s="1">
        <v>0</v>
      </c>
      <c r="O353" s="1">
        <v>0</v>
      </c>
      <c r="P353" s="1" t="s">
        <v>375</v>
      </c>
      <c r="Q353" s="1" t="s">
        <v>131</v>
      </c>
      <c r="R353" s="1" t="s">
        <v>2525</v>
      </c>
      <c r="S353" s="1" t="s">
        <v>103</v>
      </c>
      <c r="T353" s="1">
        <v>1</v>
      </c>
      <c r="U353" s="1">
        <v>1</v>
      </c>
      <c r="V353" s="1">
        <v>0</v>
      </c>
      <c r="W353" s="1">
        <v>0</v>
      </c>
      <c r="X353" s="1">
        <v>0</v>
      </c>
      <c r="Y353" s="1">
        <v>8</v>
      </c>
      <c r="Z353" s="1">
        <v>8</v>
      </c>
      <c r="AA353" s="1" t="s">
        <v>104</v>
      </c>
      <c r="AB353" s="1" t="s">
        <v>104</v>
      </c>
      <c r="AC353" s="1" t="s">
        <v>104</v>
      </c>
      <c r="AD353" s="1" t="s">
        <v>104</v>
      </c>
      <c r="AE353" s="1" t="s">
        <v>104</v>
      </c>
      <c r="AF353" s="1" t="s">
        <v>104</v>
      </c>
      <c r="AG353" s="1" t="s">
        <v>104</v>
      </c>
      <c r="AH353" s="1">
        <v>8</v>
      </c>
      <c r="AI353" s="1" t="s">
        <v>104</v>
      </c>
      <c r="AJ353" s="1" t="s">
        <v>104</v>
      </c>
      <c r="AK353" s="1" t="s">
        <v>104</v>
      </c>
      <c r="AL353" s="1" t="s">
        <v>104</v>
      </c>
      <c r="AM353" s="1" t="s">
        <v>104</v>
      </c>
      <c r="AO353" s="1">
        <v>8</v>
      </c>
      <c r="AP353" s="1" t="s">
        <v>2526</v>
      </c>
      <c r="AQ353" s="1" t="s">
        <v>2527</v>
      </c>
      <c r="AR353" s="1">
        <v>0</v>
      </c>
      <c r="AS353" s="1">
        <v>0</v>
      </c>
      <c r="AT353" s="1">
        <v>0</v>
      </c>
      <c r="AU353" s="1">
        <v>0</v>
      </c>
      <c r="AV353" s="1">
        <v>0</v>
      </c>
      <c r="AW353" s="1">
        <v>0</v>
      </c>
      <c r="AX353" s="1">
        <v>0</v>
      </c>
      <c r="AY353" s="1">
        <v>0</v>
      </c>
      <c r="AZ353" s="1">
        <v>0</v>
      </c>
      <c r="BA353" s="1">
        <v>0</v>
      </c>
      <c r="BB353" s="1">
        <v>0</v>
      </c>
      <c r="BC353" s="1">
        <v>0</v>
      </c>
      <c r="BD353" s="1">
        <v>0</v>
      </c>
      <c r="BE353" s="1">
        <v>0</v>
      </c>
      <c r="BF353" s="1">
        <v>0</v>
      </c>
      <c r="BG353" s="1">
        <v>0</v>
      </c>
      <c r="BH353" s="1">
        <v>0</v>
      </c>
      <c r="BI353" s="1">
        <v>0</v>
      </c>
      <c r="BJ353" s="1">
        <v>0</v>
      </c>
      <c r="BK353" s="1">
        <v>0</v>
      </c>
      <c r="BL353" s="1">
        <v>0</v>
      </c>
      <c r="BM353" s="1">
        <v>0</v>
      </c>
      <c r="BN353" s="1">
        <v>0</v>
      </c>
      <c r="BO353" s="1">
        <v>0</v>
      </c>
      <c r="BP353" s="1">
        <v>0</v>
      </c>
      <c r="BQ353" s="2" t="str">
        <f>HYPERLINK("http://www.d20pfsrd.com/magic/all-spells/m/mind-blank","Mind Blank")</f>
        <v>Mind Blank</v>
      </c>
      <c r="BR353" s="1">
        <v>353</v>
      </c>
      <c r="BS353" s="1" t="s">
        <v>104</v>
      </c>
      <c r="BT353" s="1" t="s">
        <v>2528</v>
      </c>
      <c r="BX353" s="1">
        <v>0</v>
      </c>
      <c r="BY353" s="1" t="s">
        <v>104</v>
      </c>
      <c r="BZ353" s="1" t="s">
        <v>104</v>
      </c>
      <c r="CA353" s="1">
        <v>7</v>
      </c>
      <c r="CB353" s="1" t="s">
        <v>104</v>
      </c>
      <c r="CC353" s="1" t="s">
        <v>104</v>
      </c>
      <c r="CD353" s="1" t="s">
        <v>104</v>
      </c>
      <c r="CE353" s="1" t="s">
        <v>104</v>
      </c>
      <c r="CF353" s="1" t="s">
        <v>104</v>
      </c>
      <c r="CG353" s="1" t="s">
        <v>104</v>
      </c>
      <c r="CH353" s="1" t="s">
        <v>104</v>
      </c>
      <c r="CJ353" s="1">
        <v>0</v>
      </c>
      <c r="CK353" s="1">
        <v>0</v>
      </c>
      <c r="CL353" s="1">
        <v>0</v>
      </c>
      <c r="CM353" s="1" t="s">
        <v>104</v>
      </c>
    </row>
    <row r="354" spans="1:91" ht="14.25" customHeight="1" x14ac:dyDescent="0.3">
      <c r="A354" s="1" t="s">
        <v>2529</v>
      </c>
      <c r="B354" s="1" t="s">
        <v>123</v>
      </c>
      <c r="C354" s="1" t="s">
        <v>124</v>
      </c>
      <c r="D354" s="1" t="s">
        <v>125</v>
      </c>
      <c r="E354" s="1" t="s">
        <v>2530</v>
      </c>
      <c r="F354" s="1" t="s">
        <v>95</v>
      </c>
      <c r="G354" s="1" t="s">
        <v>116</v>
      </c>
      <c r="H354" s="1">
        <v>0</v>
      </c>
      <c r="I354" s="1" t="s">
        <v>109</v>
      </c>
      <c r="K354" s="1" t="s">
        <v>110</v>
      </c>
      <c r="M354" s="1" t="s">
        <v>2531</v>
      </c>
      <c r="N354" s="1">
        <v>0</v>
      </c>
      <c r="O354" s="1">
        <v>0</v>
      </c>
      <c r="P354" s="1" t="s">
        <v>211</v>
      </c>
      <c r="Q354" s="1" t="s">
        <v>184</v>
      </c>
      <c r="R354" s="1" t="s">
        <v>2532</v>
      </c>
      <c r="S354" s="1" t="s">
        <v>103</v>
      </c>
      <c r="T354" s="1">
        <v>1</v>
      </c>
      <c r="U354" s="1">
        <v>1</v>
      </c>
      <c r="V354" s="1">
        <v>0</v>
      </c>
      <c r="W354" s="1">
        <v>0</v>
      </c>
      <c r="X354" s="1">
        <v>0</v>
      </c>
      <c r="Y354" s="1">
        <v>5</v>
      </c>
      <c r="Z354" s="1">
        <v>5</v>
      </c>
      <c r="AA354" s="1" t="s">
        <v>104</v>
      </c>
      <c r="AB354" s="1" t="s">
        <v>104</v>
      </c>
      <c r="AC354" s="1" t="s">
        <v>104</v>
      </c>
      <c r="AD354" s="1">
        <v>5</v>
      </c>
      <c r="AE354" s="1" t="s">
        <v>104</v>
      </c>
      <c r="AF354" s="1" t="s">
        <v>104</v>
      </c>
      <c r="AG354" s="1" t="s">
        <v>104</v>
      </c>
      <c r="AH354" s="1">
        <v>5</v>
      </c>
      <c r="AI354" s="1" t="s">
        <v>104</v>
      </c>
      <c r="AJ354" s="1" t="s">
        <v>104</v>
      </c>
      <c r="AK354" s="1" t="s">
        <v>104</v>
      </c>
      <c r="AL354" s="1" t="s">
        <v>104</v>
      </c>
      <c r="AM354" s="1" t="s">
        <v>104</v>
      </c>
      <c r="AO354" s="1">
        <v>5</v>
      </c>
      <c r="AQ354" s="1" t="s">
        <v>2533</v>
      </c>
      <c r="AR354" s="1">
        <v>0</v>
      </c>
      <c r="AS354" s="1">
        <v>0</v>
      </c>
      <c r="AT354" s="1">
        <v>0</v>
      </c>
      <c r="AU354" s="1">
        <v>0</v>
      </c>
      <c r="AV354" s="1">
        <v>0</v>
      </c>
      <c r="AW354" s="1">
        <v>0</v>
      </c>
      <c r="AX354" s="1">
        <v>0</v>
      </c>
      <c r="AY354" s="1">
        <v>0</v>
      </c>
      <c r="AZ354" s="1">
        <v>0</v>
      </c>
      <c r="BA354" s="1">
        <v>0</v>
      </c>
      <c r="BB354" s="1">
        <v>0</v>
      </c>
      <c r="BC354" s="1">
        <v>0</v>
      </c>
      <c r="BD354" s="1">
        <v>0</v>
      </c>
      <c r="BE354" s="1">
        <v>0</v>
      </c>
      <c r="BF354" s="1">
        <v>0</v>
      </c>
      <c r="BG354" s="1">
        <v>0</v>
      </c>
      <c r="BH354" s="1">
        <v>0</v>
      </c>
      <c r="BI354" s="1">
        <v>0</v>
      </c>
      <c r="BJ354" s="1">
        <v>0</v>
      </c>
      <c r="BK354" s="1">
        <v>1</v>
      </c>
      <c r="BL354" s="1">
        <v>0</v>
      </c>
      <c r="BM354" s="1">
        <v>0</v>
      </c>
      <c r="BN354" s="1">
        <v>0</v>
      </c>
      <c r="BO354" s="1">
        <v>0</v>
      </c>
      <c r="BP354" s="1">
        <v>0</v>
      </c>
      <c r="BQ354" s="2" t="str">
        <f>HYPERLINK("http://www.d20pfsrd.com/magic/all-spells/m/mind-fog","Mind Fog")</f>
        <v>Mind Fog</v>
      </c>
      <c r="BR354" s="1">
        <v>354</v>
      </c>
      <c r="BS354" s="1" t="s">
        <v>104</v>
      </c>
      <c r="BU354" s="1" t="s">
        <v>2534</v>
      </c>
      <c r="BX354" s="1">
        <v>0</v>
      </c>
      <c r="BY354" s="1" t="s">
        <v>104</v>
      </c>
      <c r="BZ354" s="1" t="s">
        <v>104</v>
      </c>
      <c r="CA354" s="1">
        <v>5</v>
      </c>
      <c r="CB354" s="1" t="s">
        <v>104</v>
      </c>
      <c r="CC354" s="1">
        <v>5</v>
      </c>
      <c r="CD354" s="1">
        <v>5</v>
      </c>
      <c r="CE354" s="1">
        <v>5</v>
      </c>
      <c r="CF354" s="1" t="s">
        <v>104</v>
      </c>
      <c r="CG354" s="1" t="s">
        <v>104</v>
      </c>
      <c r="CH354" s="1" t="s">
        <v>104</v>
      </c>
      <c r="CJ354" s="1">
        <v>0</v>
      </c>
      <c r="CK354" s="1">
        <v>0</v>
      </c>
      <c r="CL354" s="1">
        <v>0</v>
      </c>
      <c r="CM354" s="1" t="s">
        <v>104</v>
      </c>
    </row>
    <row r="355" spans="1:91" ht="14.25" customHeight="1" x14ac:dyDescent="0.3">
      <c r="A355" s="1" t="s">
        <v>2535</v>
      </c>
      <c r="B355" s="1" t="s">
        <v>507</v>
      </c>
      <c r="C355" s="1" t="s">
        <v>1767</v>
      </c>
      <c r="E355" s="1" t="s">
        <v>2536</v>
      </c>
      <c r="F355" s="1" t="s">
        <v>95</v>
      </c>
      <c r="G355" s="1" t="s">
        <v>2469</v>
      </c>
      <c r="H355" s="1">
        <v>0</v>
      </c>
      <c r="I355" s="1" t="s">
        <v>97</v>
      </c>
      <c r="K355" s="1" t="s">
        <v>2470</v>
      </c>
      <c r="M355" s="1" t="s">
        <v>2537</v>
      </c>
      <c r="N355" s="1">
        <v>0</v>
      </c>
      <c r="O355" s="1">
        <v>0</v>
      </c>
      <c r="P355" s="1" t="s">
        <v>1894</v>
      </c>
      <c r="Q355" s="1" t="s">
        <v>101</v>
      </c>
      <c r="R355" s="1" t="s">
        <v>2538</v>
      </c>
      <c r="S355" s="1" t="s">
        <v>103</v>
      </c>
      <c r="T355" s="1">
        <v>1</v>
      </c>
      <c r="U355" s="1">
        <v>1</v>
      </c>
      <c r="V355" s="1">
        <v>0</v>
      </c>
      <c r="W355" s="1">
        <v>1</v>
      </c>
      <c r="X355" s="1">
        <v>0</v>
      </c>
      <c r="Y355" s="1">
        <v>2</v>
      </c>
      <c r="Z355" s="1">
        <v>2</v>
      </c>
      <c r="AA355" s="1" t="s">
        <v>104</v>
      </c>
      <c r="AB355" s="1" t="s">
        <v>104</v>
      </c>
      <c r="AC355" s="1" t="s">
        <v>104</v>
      </c>
      <c r="AD355" s="1">
        <v>2</v>
      </c>
      <c r="AE355" s="1" t="s">
        <v>104</v>
      </c>
      <c r="AF355" s="1" t="s">
        <v>104</v>
      </c>
      <c r="AG355" s="1" t="s">
        <v>104</v>
      </c>
      <c r="AH355" s="1" t="s">
        <v>104</v>
      </c>
      <c r="AI355" s="1" t="s">
        <v>104</v>
      </c>
      <c r="AJ355" s="1" t="s">
        <v>104</v>
      </c>
      <c r="AK355" s="1" t="s">
        <v>104</v>
      </c>
      <c r="AL355" s="1">
        <v>2</v>
      </c>
      <c r="AM355" s="1" t="s">
        <v>104</v>
      </c>
      <c r="AO355" s="1">
        <v>2</v>
      </c>
      <c r="AP355" s="1" t="s">
        <v>2539</v>
      </c>
      <c r="AQ355" s="1" t="s">
        <v>2540</v>
      </c>
      <c r="AR355" s="1">
        <v>0</v>
      </c>
      <c r="AS355" s="1">
        <v>0</v>
      </c>
      <c r="AT355" s="1">
        <v>0</v>
      </c>
      <c r="AU355" s="1">
        <v>0</v>
      </c>
      <c r="AV355" s="1">
        <v>0</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2" t="str">
        <f>HYPERLINK("http://www.d20pfsrd.com/magic/all-spells/m/minor-image","Minor Image")</f>
        <v>Minor Image</v>
      </c>
      <c r="BR355" s="1">
        <v>355</v>
      </c>
      <c r="BS355" s="1" t="s">
        <v>104</v>
      </c>
      <c r="BX355" s="1">
        <v>0</v>
      </c>
      <c r="BY355" s="1" t="s">
        <v>104</v>
      </c>
      <c r="BZ355" s="1" t="s">
        <v>104</v>
      </c>
      <c r="CA355" s="1">
        <v>2</v>
      </c>
      <c r="CB355" s="1">
        <v>2</v>
      </c>
      <c r="CC355" s="1">
        <v>2</v>
      </c>
      <c r="CD355" s="1">
        <v>2</v>
      </c>
      <c r="CE355" s="1" t="s">
        <v>104</v>
      </c>
      <c r="CF355" s="1" t="s">
        <v>104</v>
      </c>
      <c r="CG355" s="1" t="s">
        <v>104</v>
      </c>
      <c r="CH355" s="1" t="s">
        <v>104</v>
      </c>
      <c r="CJ355" s="1">
        <v>0</v>
      </c>
      <c r="CK355" s="1">
        <v>0</v>
      </c>
      <c r="CL355" s="1">
        <v>0</v>
      </c>
      <c r="CM355" s="1" t="s">
        <v>104</v>
      </c>
    </row>
    <row r="356" spans="1:91" ht="14.25" customHeight="1" x14ac:dyDescent="0.3">
      <c r="A356" s="1" t="s">
        <v>2541</v>
      </c>
      <c r="B356" s="1" t="s">
        <v>434</v>
      </c>
      <c r="E356" s="1" t="s">
        <v>2542</v>
      </c>
      <c r="F356" s="1" t="s">
        <v>95</v>
      </c>
      <c r="G356" s="1" t="s">
        <v>2543</v>
      </c>
      <c r="H356" s="1">
        <v>0</v>
      </c>
      <c r="I356" s="1" t="s">
        <v>145</v>
      </c>
      <c r="J356" s="1" t="s">
        <v>145</v>
      </c>
      <c r="M356" s="1" t="s">
        <v>145</v>
      </c>
      <c r="N356" s="1">
        <v>0</v>
      </c>
      <c r="O356" s="1">
        <v>0</v>
      </c>
      <c r="P356" s="1" t="s">
        <v>145</v>
      </c>
      <c r="Q356" s="1" t="s">
        <v>184</v>
      </c>
      <c r="R356" s="1" t="s">
        <v>2544</v>
      </c>
      <c r="S356" s="1" t="s">
        <v>103</v>
      </c>
      <c r="T356" s="1">
        <v>1</v>
      </c>
      <c r="U356" s="1">
        <v>1</v>
      </c>
      <c r="V356" s="1">
        <v>0</v>
      </c>
      <c r="W356" s="1">
        <v>0</v>
      </c>
      <c r="X356" s="1">
        <v>0</v>
      </c>
      <c r="Y356" s="1" t="s">
        <v>104</v>
      </c>
      <c r="Z356" s="1" t="s">
        <v>104</v>
      </c>
      <c r="AA356" s="1">
        <v>9</v>
      </c>
      <c r="AB356" s="1" t="s">
        <v>104</v>
      </c>
      <c r="AC356" s="1" t="s">
        <v>104</v>
      </c>
      <c r="AD356" s="1" t="s">
        <v>104</v>
      </c>
      <c r="AE356" s="1" t="s">
        <v>104</v>
      </c>
      <c r="AF356" s="1" t="s">
        <v>104</v>
      </c>
      <c r="AG356" s="1" t="s">
        <v>104</v>
      </c>
      <c r="AH356" s="1" t="s">
        <v>104</v>
      </c>
      <c r="AI356" s="1" t="s">
        <v>104</v>
      </c>
      <c r="AJ356" s="1">
        <v>9</v>
      </c>
      <c r="AK356" s="1" t="s">
        <v>104</v>
      </c>
      <c r="AL356" s="1" t="s">
        <v>104</v>
      </c>
      <c r="AM356" s="1" t="s">
        <v>104</v>
      </c>
      <c r="AO356" s="1">
        <v>9</v>
      </c>
      <c r="AP356" s="1" t="s">
        <v>2545</v>
      </c>
      <c r="AQ356" s="1" t="s">
        <v>2546</v>
      </c>
      <c r="AR356" s="1">
        <v>0</v>
      </c>
      <c r="AS356" s="1">
        <v>0</v>
      </c>
      <c r="AT356" s="1">
        <v>0</v>
      </c>
      <c r="AU356" s="1">
        <v>0</v>
      </c>
      <c r="AV356" s="1">
        <v>0</v>
      </c>
      <c r="AW356" s="1">
        <v>0</v>
      </c>
      <c r="AX356" s="1">
        <v>0</v>
      </c>
      <c r="AY356" s="1">
        <v>0</v>
      </c>
      <c r="AZ356" s="1">
        <v>0</v>
      </c>
      <c r="BA356" s="1">
        <v>0</v>
      </c>
      <c r="BB356" s="1">
        <v>0</v>
      </c>
      <c r="BC356" s="1">
        <v>0</v>
      </c>
      <c r="BD356" s="1">
        <v>0</v>
      </c>
      <c r="BE356" s="1">
        <v>0</v>
      </c>
      <c r="BF356" s="1">
        <v>0</v>
      </c>
      <c r="BG356" s="1">
        <v>0</v>
      </c>
      <c r="BH356" s="1">
        <v>0</v>
      </c>
      <c r="BI356" s="1">
        <v>0</v>
      </c>
      <c r="BJ356" s="1">
        <v>0</v>
      </c>
      <c r="BK356" s="1">
        <v>0</v>
      </c>
      <c r="BL356" s="1">
        <v>0</v>
      </c>
      <c r="BM356" s="1">
        <v>0</v>
      </c>
      <c r="BN356" s="1">
        <v>0</v>
      </c>
      <c r="BO356" s="1">
        <v>0</v>
      </c>
      <c r="BP356" s="1">
        <v>0</v>
      </c>
      <c r="BQ356" s="2" t="str">
        <f>HYPERLINK("http://www.d20pfsrd.com/magic/all-spells/m/miracle","Miracle")</f>
        <v>Miracle</v>
      </c>
      <c r="BR356" s="1">
        <v>356</v>
      </c>
      <c r="BS356" s="1" t="s">
        <v>104</v>
      </c>
      <c r="BU356" s="1" t="s">
        <v>2547</v>
      </c>
      <c r="BX356" s="1">
        <v>0</v>
      </c>
      <c r="BY356" s="1" t="s">
        <v>104</v>
      </c>
      <c r="BZ356" s="1" t="s">
        <v>104</v>
      </c>
      <c r="CA356" s="1" t="s">
        <v>104</v>
      </c>
      <c r="CB356" s="1" t="s">
        <v>104</v>
      </c>
      <c r="CC356" s="1" t="s">
        <v>104</v>
      </c>
      <c r="CD356" s="1" t="s">
        <v>104</v>
      </c>
      <c r="CE356" s="1" t="s">
        <v>104</v>
      </c>
      <c r="CF356" s="1" t="s">
        <v>104</v>
      </c>
      <c r="CG356" s="1" t="s">
        <v>104</v>
      </c>
      <c r="CH356" s="1" t="s">
        <v>104</v>
      </c>
      <c r="CJ356" s="1">
        <v>0</v>
      </c>
      <c r="CK356" s="1">
        <v>0</v>
      </c>
      <c r="CL356" s="1">
        <v>0</v>
      </c>
      <c r="CM356" s="1" t="s">
        <v>104</v>
      </c>
    </row>
    <row r="357" spans="1:91" ht="14.25" customHeight="1" x14ac:dyDescent="0.3">
      <c r="A357" s="1" t="s">
        <v>2548</v>
      </c>
      <c r="B357" s="1" t="s">
        <v>507</v>
      </c>
      <c r="C357" s="1" t="s">
        <v>508</v>
      </c>
      <c r="E357" s="1" t="s">
        <v>2549</v>
      </c>
      <c r="F357" s="1" t="s">
        <v>95</v>
      </c>
      <c r="G357" s="1" t="s">
        <v>116</v>
      </c>
      <c r="H357" s="1">
        <v>0</v>
      </c>
      <c r="I357" s="1" t="s">
        <v>97</v>
      </c>
      <c r="J357" s="1" t="s">
        <v>2550</v>
      </c>
      <c r="M357" s="1" t="s">
        <v>2551</v>
      </c>
      <c r="N357" s="1">
        <v>1</v>
      </c>
      <c r="O357" s="1">
        <v>1</v>
      </c>
      <c r="P357" s="1" t="s">
        <v>1894</v>
      </c>
      <c r="Q357" s="1" t="s">
        <v>101</v>
      </c>
      <c r="R357" s="1" t="s">
        <v>2552</v>
      </c>
      <c r="S357" s="1" t="s">
        <v>103</v>
      </c>
      <c r="T357" s="1">
        <v>1</v>
      </c>
      <c r="U357" s="1">
        <v>1</v>
      </c>
      <c r="V357" s="1">
        <v>0</v>
      </c>
      <c r="W357" s="1">
        <v>0</v>
      </c>
      <c r="X357" s="1">
        <v>0</v>
      </c>
      <c r="Y357" s="1">
        <v>5</v>
      </c>
      <c r="Z357" s="1">
        <v>5</v>
      </c>
      <c r="AA357" s="1" t="s">
        <v>104</v>
      </c>
      <c r="AB357" s="1" t="s">
        <v>104</v>
      </c>
      <c r="AC357" s="1" t="s">
        <v>104</v>
      </c>
      <c r="AD357" s="1">
        <v>5</v>
      </c>
      <c r="AE357" s="1" t="s">
        <v>104</v>
      </c>
      <c r="AF357" s="1" t="s">
        <v>104</v>
      </c>
      <c r="AG357" s="1" t="s">
        <v>104</v>
      </c>
      <c r="AH357" s="1" t="s">
        <v>104</v>
      </c>
      <c r="AI357" s="1" t="s">
        <v>104</v>
      </c>
      <c r="AJ357" s="1" t="s">
        <v>104</v>
      </c>
      <c r="AK357" s="1" t="s">
        <v>104</v>
      </c>
      <c r="AL357" s="1" t="s">
        <v>104</v>
      </c>
      <c r="AM357" s="1" t="s">
        <v>104</v>
      </c>
      <c r="AO357" s="1">
        <v>5</v>
      </c>
      <c r="AP357" s="1" t="s">
        <v>2553</v>
      </c>
      <c r="AQ357" s="1" t="s">
        <v>2554</v>
      </c>
      <c r="AR357" s="1">
        <v>0</v>
      </c>
      <c r="AS357" s="1">
        <v>0</v>
      </c>
      <c r="AT357" s="1">
        <v>0</v>
      </c>
      <c r="AU357" s="1">
        <v>0</v>
      </c>
      <c r="AV357" s="1">
        <v>0</v>
      </c>
      <c r="AW357" s="1">
        <v>0</v>
      </c>
      <c r="AX357" s="1">
        <v>0</v>
      </c>
      <c r="AY357" s="1">
        <v>0</v>
      </c>
      <c r="AZ357" s="1">
        <v>0</v>
      </c>
      <c r="BA357" s="1">
        <v>0</v>
      </c>
      <c r="BB357" s="1">
        <v>0</v>
      </c>
      <c r="BC357" s="1">
        <v>0</v>
      </c>
      <c r="BD357" s="1">
        <v>0</v>
      </c>
      <c r="BE357" s="1">
        <v>0</v>
      </c>
      <c r="BF357" s="1">
        <v>0</v>
      </c>
      <c r="BG357" s="1">
        <v>0</v>
      </c>
      <c r="BH357" s="1">
        <v>0</v>
      </c>
      <c r="BI357" s="1">
        <v>0</v>
      </c>
      <c r="BJ357" s="1">
        <v>0</v>
      </c>
      <c r="BK357" s="1">
        <v>0</v>
      </c>
      <c r="BL357" s="1">
        <v>0</v>
      </c>
      <c r="BM357" s="1">
        <v>0</v>
      </c>
      <c r="BN357" s="1">
        <v>0</v>
      </c>
      <c r="BO357" s="1">
        <v>0</v>
      </c>
      <c r="BP357" s="1">
        <v>0</v>
      </c>
      <c r="BQ357" s="2" t="str">
        <f>HYPERLINK("http://www.d20pfsrd.com/magic/all-spells/m/mirage-arcana","Mirage Arcana")</f>
        <v>Mirage Arcana</v>
      </c>
      <c r="BR357" s="1">
        <v>357</v>
      </c>
      <c r="BS357" s="1" t="s">
        <v>104</v>
      </c>
      <c r="BU357" s="1" t="s">
        <v>2555</v>
      </c>
      <c r="BX357" s="1">
        <v>0</v>
      </c>
      <c r="BY357" s="1" t="s">
        <v>104</v>
      </c>
      <c r="BZ357" s="1" t="s">
        <v>104</v>
      </c>
      <c r="CA357" s="1">
        <v>5</v>
      </c>
      <c r="CB357" s="1" t="s">
        <v>104</v>
      </c>
      <c r="CC357" s="1">
        <v>5</v>
      </c>
      <c r="CD357" s="1" t="s">
        <v>104</v>
      </c>
      <c r="CE357" s="1" t="s">
        <v>104</v>
      </c>
      <c r="CF357" s="1" t="s">
        <v>104</v>
      </c>
      <c r="CG357" s="1" t="s">
        <v>104</v>
      </c>
      <c r="CH357" s="1" t="s">
        <v>104</v>
      </c>
      <c r="CJ357" s="1">
        <v>0</v>
      </c>
      <c r="CK357" s="1">
        <v>0</v>
      </c>
      <c r="CL357" s="1">
        <v>0</v>
      </c>
      <c r="CM357" s="1" t="s">
        <v>104</v>
      </c>
    </row>
    <row r="358" spans="1:91" ht="14.25" customHeight="1" x14ac:dyDescent="0.3">
      <c r="A358" s="1" t="s">
        <v>2556</v>
      </c>
      <c r="B358" s="1" t="s">
        <v>507</v>
      </c>
      <c r="C358" s="1" t="s">
        <v>1767</v>
      </c>
      <c r="E358" s="1" t="s">
        <v>2557</v>
      </c>
      <c r="F358" s="1" t="s">
        <v>95</v>
      </c>
      <c r="G358" s="1" t="s">
        <v>116</v>
      </c>
      <c r="H358" s="1">
        <v>0</v>
      </c>
      <c r="I358" s="1" t="s">
        <v>157</v>
      </c>
      <c r="L358" s="1" t="s">
        <v>158</v>
      </c>
      <c r="M358" s="1" t="s">
        <v>130</v>
      </c>
      <c r="N358" s="1">
        <v>0</v>
      </c>
      <c r="O358" s="1">
        <v>0</v>
      </c>
      <c r="R358" s="1" t="s">
        <v>2558</v>
      </c>
      <c r="S358" s="1" t="s">
        <v>103</v>
      </c>
      <c r="T358" s="1">
        <v>1</v>
      </c>
      <c r="U358" s="1">
        <v>1</v>
      </c>
      <c r="V358" s="1">
        <v>0</v>
      </c>
      <c r="W358" s="1">
        <v>0</v>
      </c>
      <c r="X358" s="1">
        <v>0</v>
      </c>
      <c r="Y358" s="1">
        <v>2</v>
      </c>
      <c r="Z358" s="1">
        <v>2</v>
      </c>
      <c r="AA358" s="1" t="s">
        <v>104</v>
      </c>
      <c r="AB358" s="1" t="s">
        <v>104</v>
      </c>
      <c r="AC358" s="1" t="s">
        <v>104</v>
      </c>
      <c r="AD358" s="1">
        <v>2</v>
      </c>
      <c r="AE358" s="1" t="s">
        <v>104</v>
      </c>
      <c r="AF358" s="1" t="s">
        <v>104</v>
      </c>
      <c r="AG358" s="1" t="s">
        <v>104</v>
      </c>
      <c r="AH358" s="1" t="s">
        <v>104</v>
      </c>
      <c r="AI358" s="1" t="s">
        <v>104</v>
      </c>
      <c r="AJ358" s="1" t="s">
        <v>104</v>
      </c>
      <c r="AK358" s="1" t="s">
        <v>104</v>
      </c>
      <c r="AL358" s="1">
        <v>2</v>
      </c>
      <c r="AM358" s="1">
        <v>2</v>
      </c>
      <c r="AO358" s="1">
        <v>2</v>
      </c>
      <c r="AP358" s="1" t="s">
        <v>2559</v>
      </c>
      <c r="AQ358" s="1" t="s">
        <v>2560</v>
      </c>
      <c r="AR358" s="1">
        <v>0</v>
      </c>
      <c r="AS358" s="1">
        <v>0</v>
      </c>
      <c r="AT358" s="1">
        <v>0</v>
      </c>
      <c r="AU358" s="1">
        <v>0</v>
      </c>
      <c r="AV358" s="1">
        <v>0</v>
      </c>
      <c r="AW358" s="1">
        <v>0</v>
      </c>
      <c r="AX358" s="1">
        <v>0</v>
      </c>
      <c r="AY358" s="1">
        <v>0</v>
      </c>
      <c r="AZ358" s="1">
        <v>0</v>
      </c>
      <c r="BA358" s="1">
        <v>0</v>
      </c>
      <c r="BB358" s="1">
        <v>0</v>
      </c>
      <c r="BC358" s="1">
        <v>0</v>
      </c>
      <c r="BD358" s="1">
        <v>0</v>
      </c>
      <c r="BE358" s="1">
        <v>0</v>
      </c>
      <c r="BF358" s="1">
        <v>0</v>
      </c>
      <c r="BG358" s="1">
        <v>0</v>
      </c>
      <c r="BH358" s="1">
        <v>0</v>
      </c>
      <c r="BI358" s="1">
        <v>0</v>
      </c>
      <c r="BJ358" s="1">
        <v>0</v>
      </c>
      <c r="BK358" s="1">
        <v>0</v>
      </c>
      <c r="BL358" s="1">
        <v>0</v>
      </c>
      <c r="BM358" s="1">
        <v>0</v>
      </c>
      <c r="BN358" s="1">
        <v>0</v>
      </c>
      <c r="BO358" s="1">
        <v>0</v>
      </c>
      <c r="BP358" s="1">
        <v>0</v>
      </c>
      <c r="BQ358" s="2" t="str">
        <f>HYPERLINK("http://www.d20pfsrd.com/magic/all-spells/m/mirror-image","Mirror Image")</f>
        <v>Mirror Image</v>
      </c>
      <c r="BR358" s="1">
        <v>358</v>
      </c>
      <c r="BS358" s="1" t="s">
        <v>104</v>
      </c>
      <c r="BU358" s="1" t="s">
        <v>2561</v>
      </c>
      <c r="BV358" s="1" t="s">
        <v>2562</v>
      </c>
      <c r="BX358" s="1">
        <v>1</v>
      </c>
      <c r="BY358" s="1">
        <v>2</v>
      </c>
      <c r="BZ358" s="1" t="s">
        <v>104</v>
      </c>
      <c r="CA358" s="1">
        <v>2</v>
      </c>
      <c r="CB358" s="1">
        <v>2</v>
      </c>
      <c r="CC358" s="1">
        <v>2</v>
      </c>
      <c r="CD358" s="1">
        <v>2</v>
      </c>
      <c r="CE358" s="1" t="s">
        <v>104</v>
      </c>
      <c r="CF358" s="1" t="s">
        <v>104</v>
      </c>
      <c r="CG358" s="1" t="s">
        <v>104</v>
      </c>
      <c r="CH358" s="1" t="s">
        <v>104</v>
      </c>
      <c r="CJ358" s="1">
        <v>0</v>
      </c>
      <c r="CK358" s="1">
        <v>0</v>
      </c>
      <c r="CL358" s="1">
        <v>0</v>
      </c>
      <c r="CM358" s="1" t="s">
        <v>104</v>
      </c>
    </row>
    <row r="359" spans="1:91" ht="14.25" customHeight="1" x14ac:dyDescent="0.3">
      <c r="A359" s="1" t="s">
        <v>2563</v>
      </c>
      <c r="B359" s="1" t="s">
        <v>507</v>
      </c>
      <c r="C359" s="1" t="s">
        <v>508</v>
      </c>
      <c r="E359" s="1" t="s">
        <v>2564</v>
      </c>
      <c r="F359" s="1" t="s">
        <v>95</v>
      </c>
      <c r="G359" s="1" t="s">
        <v>116</v>
      </c>
      <c r="H359" s="1">
        <v>0</v>
      </c>
      <c r="I359" s="1" t="s">
        <v>117</v>
      </c>
      <c r="L359" s="1" t="s">
        <v>2565</v>
      </c>
      <c r="M359" s="1" t="s">
        <v>201</v>
      </c>
      <c r="N359" s="1">
        <v>0</v>
      </c>
      <c r="O359" s="1">
        <v>0</v>
      </c>
      <c r="P359" s="1" t="s">
        <v>176</v>
      </c>
      <c r="Q359" s="1" t="s">
        <v>101</v>
      </c>
      <c r="R359" s="1" t="s">
        <v>2566</v>
      </c>
      <c r="S359" s="1" t="s">
        <v>103</v>
      </c>
      <c r="T359" s="1">
        <v>1</v>
      </c>
      <c r="U359" s="1">
        <v>1</v>
      </c>
      <c r="V359" s="1">
        <v>0</v>
      </c>
      <c r="W359" s="1">
        <v>0</v>
      </c>
      <c r="X359" s="1">
        <v>0</v>
      </c>
      <c r="Y359" s="1">
        <v>2</v>
      </c>
      <c r="Z359" s="1">
        <v>2</v>
      </c>
      <c r="AA359" s="1" t="s">
        <v>104</v>
      </c>
      <c r="AB359" s="1" t="s">
        <v>104</v>
      </c>
      <c r="AC359" s="1" t="s">
        <v>104</v>
      </c>
      <c r="AD359" s="1">
        <v>2</v>
      </c>
      <c r="AE359" s="1" t="s">
        <v>104</v>
      </c>
      <c r="AF359" s="1" t="s">
        <v>104</v>
      </c>
      <c r="AG359" s="1">
        <v>2</v>
      </c>
      <c r="AH359" s="1" t="s">
        <v>104</v>
      </c>
      <c r="AI359" s="1" t="s">
        <v>104</v>
      </c>
      <c r="AJ359" s="1" t="s">
        <v>104</v>
      </c>
      <c r="AK359" s="1" t="s">
        <v>104</v>
      </c>
      <c r="AL359" s="1" t="s">
        <v>104</v>
      </c>
      <c r="AM359" s="1" t="s">
        <v>104</v>
      </c>
      <c r="AO359" s="1">
        <v>2</v>
      </c>
      <c r="AQ359" s="1" t="s">
        <v>2567</v>
      </c>
      <c r="AR359" s="1">
        <v>0</v>
      </c>
      <c r="AS359" s="1">
        <v>0</v>
      </c>
      <c r="AT359" s="1">
        <v>0</v>
      </c>
      <c r="AU359" s="1">
        <v>0</v>
      </c>
      <c r="AV359" s="1">
        <v>0</v>
      </c>
      <c r="AW359" s="1">
        <v>0</v>
      </c>
      <c r="AX359" s="1">
        <v>0</v>
      </c>
      <c r="AY359" s="1">
        <v>0</v>
      </c>
      <c r="AZ359" s="1">
        <v>0</v>
      </c>
      <c r="BA359" s="1">
        <v>0</v>
      </c>
      <c r="BB359" s="1">
        <v>0</v>
      </c>
      <c r="BC359" s="1">
        <v>0</v>
      </c>
      <c r="BD359" s="1">
        <v>0</v>
      </c>
      <c r="BE359" s="1">
        <v>0</v>
      </c>
      <c r="BF359" s="1">
        <v>0</v>
      </c>
      <c r="BG359" s="1">
        <v>0</v>
      </c>
      <c r="BH359" s="1">
        <v>0</v>
      </c>
      <c r="BI359" s="1">
        <v>0</v>
      </c>
      <c r="BJ359" s="1">
        <v>0</v>
      </c>
      <c r="BK359" s="1">
        <v>0</v>
      </c>
      <c r="BL359" s="1">
        <v>0</v>
      </c>
      <c r="BM359" s="1">
        <v>0</v>
      </c>
      <c r="BN359" s="1">
        <v>0</v>
      </c>
      <c r="BO359" s="1">
        <v>0</v>
      </c>
      <c r="BP359" s="1">
        <v>0</v>
      </c>
      <c r="BQ359" s="2" t="str">
        <f>HYPERLINK("http://www.d20pfsrd.com/magic/all-spells/m/misdirection","Misdirection")</f>
        <v>Misdirection</v>
      </c>
      <c r="BR359" s="1">
        <v>359</v>
      </c>
      <c r="BS359" s="1" t="s">
        <v>104</v>
      </c>
      <c r="BX359" s="1">
        <v>0</v>
      </c>
      <c r="BY359" s="1" t="s">
        <v>104</v>
      </c>
      <c r="BZ359" s="1" t="s">
        <v>104</v>
      </c>
      <c r="CA359" s="1">
        <v>2</v>
      </c>
      <c r="CB359" s="1">
        <v>2</v>
      </c>
      <c r="CC359" s="1">
        <v>2</v>
      </c>
      <c r="CD359" s="1">
        <v>2</v>
      </c>
      <c r="CE359" s="1">
        <v>2</v>
      </c>
      <c r="CF359" s="1" t="s">
        <v>104</v>
      </c>
      <c r="CG359" s="1" t="s">
        <v>104</v>
      </c>
      <c r="CH359" s="1" t="s">
        <v>104</v>
      </c>
      <c r="CJ359" s="1">
        <v>0</v>
      </c>
      <c r="CK359" s="1">
        <v>0</v>
      </c>
      <c r="CL359" s="1">
        <v>0</v>
      </c>
      <c r="CM359" s="1">
        <v>2</v>
      </c>
    </row>
    <row r="360" spans="1:91" ht="14.25" customHeight="1" x14ac:dyDescent="0.3">
      <c r="A360" s="1" t="s">
        <v>2568</v>
      </c>
      <c r="B360" s="1" t="s">
        <v>507</v>
      </c>
      <c r="C360" s="1" t="s">
        <v>2569</v>
      </c>
      <c r="E360" s="1" t="s">
        <v>2570</v>
      </c>
      <c r="F360" s="1" t="s">
        <v>95</v>
      </c>
      <c r="G360" s="1" t="s">
        <v>1802</v>
      </c>
      <c r="H360" s="1">
        <v>0</v>
      </c>
      <c r="I360" s="1" t="s">
        <v>117</v>
      </c>
      <c r="K360" s="1" t="s">
        <v>2571</v>
      </c>
      <c r="L360" s="1" t="s">
        <v>158</v>
      </c>
      <c r="M360" s="1" t="s">
        <v>2572</v>
      </c>
      <c r="N360" s="1">
        <v>1</v>
      </c>
      <c r="O360" s="1">
        <v>0</v>
      </c>
      <c r="P360" s="1" t="s">
        <v>2573</v>
      </c>
      <c r="Q360" s="1" t="s">
        <v>101</v>
      </c>
      <c r="R360" s="1" t="s">
        <v>2574</v>
      </c>
      <c r="S360" s="1" t="s">
        <v>103</v>
      </c>
      <c r="T360" s="1">
        <v>0</v>
      </c>
      <c r="U360" s="1">
        <v>1</v>
      </c>
      <c r="V360" s="1">
        <v>0</v>
      </c>
      <c r="W360" s="1">
        <v>0</v>
      </c>
      <c r="X360" s="1">
        <v>0</v>
      </c>
      <c r="Y360" s="1">
        <v>6</v>
      </c>
      <c r="Z360" s="1">
        <v>6</v>
      </c>
      <c r="AA360" s="1" t="s">
        <v>104</v>
      </c>
      <c r="AB360" s="1" t="s">
        <v>104</v>
      </c>
      <c r="AC360" s="1" t="s">
        <v>104</v>
      </c>
      <c r="AD360" s="1">
        <v>5</v>
      </c>
      <c r="AE360" s="1" t="s">
        <v>104</v>
      </c>
      <c r="AF360" s="1">
        <v>6</v>
      </c>
      <c r="AG360" s="1" t="s">
        <v>104</v>
      </c>
      <c r="AH360" s="1" t="s">
        <v>104</v>
      </c>
      <c r="AI360" s="1" t="s">
        <v>104</v>
      </c>
      <c r="AJ360" s="1" t="s">
        <v>104</v>
      </c>
      <c r="AK360" s="1" t="s">
        <v>104</v>
      </c>
      <c r="AL360" s="1">
        <v>6</v>
      </c>
      <c r="AM360" s="1" t="s">
        <v>104</v>
      </c>
      <c r="AO360" s="1">
        <v>6</v>
      </c>
      <c r="AP360" s="1" t="s">
        <v>2575</v>
      </c>
      <c r="AQ360" s="1" t="s">
        <v>2576</v>
      </c>
      <c r="AR360" s="1">
        <v>0</v>
      </c>
      <c r="AS360" s="1">
        <v>0</v>
      </c>
      <c r="AT360" s="1">
        <v>0</v>
      </c>
      <c r="AU360" s="1">
        <v>0</v>
      </c>
      <c r="AV360" s="1">
        <v>0</v>
      </c>
      <c r="AW360" s="1">
        <v>0</v>
      </c>
      <c r="AX360" s="1">
        <v>0</v>
      </c>
      <c r="AY360" s="1">
        <v>0</v>
      </c>
      <c r="AZ360" s="1">
        <v>0</v>
      </c>
      <c r="BA360" s="1">
        <v>0</v>
      </c>
      <c r="BB360" s="1">
        <v>0</v>
      </c>
      <c r="BC360" s="1">
        <v>0</v>
      </c>
      <c r="BD360" s="1">
        <v>0</v>
      </c>
      <c r="BE360" s="1">
        <v>0</v>
      </c>
      <c r="BF360" s="1">
        <v>0</v>
      </c>
      <c r="BG360" s="1">
        <v>0</v>
      </c>
      <c r="BH360" s="1">
        <v>0</v>
      </c>
      <c r="BI360" s="1">
        <v>0</v>
      </c>
      <c r="BJ360" s="1">
        <v>0</v>
      </c>
      <c r="BK360" s="1">
        <v>0</v>
      </c>
      <c r="BL360" s="1">
        <v>0</v>
      </c>
      <c r="BM360" s="1">
        <v>0</v>
      </c>
      <c r="BN360" s="1">
        <v>0</v>
      </c>
      <c r="BO360" s="1">
        <v>0</v>
      </c>
      <c r="BP360" s="1">
        <v>0</v>
      </c>
      <c r="BQ360" s="2" t="str">
        <f>HYPERLINK("http://www.d20pfsrd.com/magic/all-spells/m/mislead","Mislead")</f>
        <v>Mislead</v>
      </c>
      <c r="BR360" s="1">
        <v>360</v>
      </c>
      <c r="BS360" s="1" t="s">
        <v>104</v>
      </c>
      <c r="BT360" s="1" t="s">
        <v>2577</v>
      </c>
      <c r="BU360" s="1" t="s">
        <v>2578</v>
      </c>
      <c r="BX360" s="1">
        <v>0</v>
      </c>
      <c r="BY360" s="1" t="s">
        <v>104</v>
      </c>
      <c r="BZ360" s="1" t="s">
        <v>104</v>
      </c>
      <c r="CA360" s="1">
        <v>6</v>
      </c>
      <c r="CB360" s="1" t="s">
        <v>104</v>
      </c>
      <c r="CC360" s="1">
        <v>5</v>
      </c>
      <c r="CD360" s="1">
        <v>5</v>
      </c>
      <c r="CE360" s="1">
        <v>6</v>
      </c>
      <c r="CF360" s="1" t="s">
        <v>104</v>
      </c>
      <c r="CG360" s="1" t="s">
        <v>104</v>
      </c>
      <c r="CH360" s="1" t="s">
        <v>104</v>
      </c>
      <c r="CJ360" s="1">
        <v>0</v>
      </c>
      <c r="CK360" s="1">
        <v>0</v>
      </c>
      <c r="CL360" s="1">
        <v>0</v>
      </c>
      <c r="CM360" s="1" t="s">
        <v>104</v>
      </c>
    </row>
    <row r="361" spans="1:91" ht="14.25" customHeight="1" x14ac:dyDescent="0.3">
      <c r="A361" s="1" t="s">
        <v>2579</v>
      </c>
      <c r="B361" s="1" t="s">
        <v>137</v>
      </c>
      <c r="E361" s="1" t="s">
        <v>2580</v>
      </c>
      <c r="F361" s="1" t="s">
        <v>287</v>
      </c>
      <c r="G361" s="1" t="s">
        <v>2581</v>
      </c>
      <c r="H361" s="1">
        <v>1</v>
      </c>
      <c r="I361" s="1" t="s">
        <v>157</v>
      </c>
      <c r="L361" s="1" t="s">
        <v>158</v>
      </c>
      <c r="M361" s="1" t="s">
        <v>119</v>
      </c>
      <c r="N361" s="1">
        <v>0</v>
      </c>
      <c r="O361" s="1">
        <v>0</v>
      </c>
      <c r="R361" s="1" t="s">
        <v>2582</v>
      </c>
      <c r="S361" s="1" t="s">
        <v>103</v>
      </c>
      <c r="T361" s="1">
        <v>1</v>
      </c>
      <c r="U361" s="1">
        <v>1</v>
      </c>
      <c r="V361" s="1">
        <v>1</v>
      </c>
      <c r="W361" s="1">
        <v>1</v>
      </c>
      <c r="X361" s="1">
        <v>0</v>
      </c>
      <c r="Y361" s="1" t="s">
        <v>104</v>
      </c>
      <c r="Z361" s="1">
        <v>4</v>
      </c>
      <c r="AA361" s="1" t="s">
        <v>104</v>
      </c>
      <c r="AB361" s="1" t="s">
        <v>104</v>
      </c>
      <c r="AC361" s="1" t="s">
        <v>104</v>
      </c>
      <c r="AD361" s="1" t="s">
        <v>104</v>
      </c>
      <c r="AE361" s="1" t="s">
        <v>104</v>
      </c>
      <c r="AF361" s="1" t="s">
        <v>104</v>
      </c>
      <c r="AG361" s="1" t="s">
        <v>104</v>
      </c>
      <c r="AH361" s="1" t="s">
        <v>104</v>
      </c>
      <c r="AI361" s="1" t="s">
        <v>104</v>
      </c>
      <c r="AJ361" s="1" t="s">
        <v>104</v>
      </c>
      <c r="AK361" s="1" t="s">
        <v>104</v>
      </c>
      <c r="AL361" s="1" t="s">
        <v>104</v>
      </c>
      <c r="AM361" s="1" t="s">
        <v>104</v>
      </c>
      <c r="AO361" s="1">
        <v>4</v>
      </c>
      <c r="AQ361" s="1" t="s">
        <v>2583</v>
      </c>
      <c r="AR361" s="1">
        <v>0</v>
      </c>
      <c r="AS361" s="1">
        <v>0</v>
      </c>
      <c r="AT361" s="1">
        <v>0</v>
      </c>
      <c r="AU361" s="1">
        <v>0</v>
      </c>
      <c r="AV361" s="1">
        <v>0</v>
      </c>
      <c r="AW361" s="1">
        <v>0</v>
      </c>
      <c r="AX361" s="1">
        <v>0</v>
      </c>
      <c r="AY361" s="1">
        <v>0</v>
      </c>
      <c r="AZ361" s="1">
        <v>0</v>
      </c>
      <c r="BA361" s="1">
        <v>0</v>
      </c>
      <c r="BB361" s="1">
        <v>0</v>
      </c>
      <c r="BC361" s="1">
        <v>0</v>
      </c>
      <c r="BD361" s="1">
        <v>0</v>
      </c>
      <c r="BE361" s="1">
        <v>0</v>
      </c>
      <c r="BF361" s="1">
        <v>0</v>
      </c>
      <c r="BG361" s="1">
        <v>0</v>
      </c>
      <c r="BH361" s="1">
        <v>0</v>
      </c>
      <c r="BI361" s="1">
        <v>0</v>
      </c>
      <c r="BJ361" s="1">
        <v>0</v>
      </c>
      <c r="BK361" s="1">
        <v>0</v>
      </c>
      <c r="BL361" s="1">
        <v>0</v>
      </c>
      <c r="BM361" s="1">
        <v>0</v>
      </c>
      <c r="BN361" s="1">
        <v>0</v>
      </c>
      <c r="BO361" s="1">
        <v>0</v>
      </c>
      <c r="BP361" s="1">
        <v>0</v>
      </c>
      <c r="BQ361" s="2" t="str">
        <f>HYPERLINK("http://www.d20pfsrd.com/magic/all-spells/m/mnemonic-enhancer","Mnemonic Enhancer")</f>
        <v>Mnemonic Enhancer</v>
      </c>
      <c r="BR361" s="1">
        <v>361</v>
      </c>
      <c r="BS361" s="1">
        <v>50</v>
      </c>
      <c r="BX361" s="1">
        <v>0</v>
      </c>
      <c r="BY361" s="1" t="s">
        <v>104</v>
      </c>
      <c r="BZ361" s="1" t="s">
        <v>104</v>
      </c>
      <c r="CA361" s="1" t="s">
        <v>104</v>
      </c>
      <c r="CB361" s="1" t="s">
        <v>104</v>
      </c>
      <c r="CC361" s="1" t="s">
        <v>104</v>
      </c>
      <c r="CD361" s="1" t="s">
        <v>104</v>
      </c>
      <c r="CE361" s="1" t="s">
        <v>104</v>
      </c>
      <c r="CF361" s="1" t="s">
        <v>104</v>
      </c>
      <c r="CG361" s="1" t="s">
        <v>104</v>
      </c>
      <c r="CH361" s="1" t="s">
        <v>104</v>
      </c>
      <c r="CJ361" s="1">
        <v>0</v>
      </c>
      <c r="CK361" s="1">
        <v>0</v>
      </c>
      <c r="CL361" s="1">
        <v>0</v>
      </c>
      <c r="CM361" s="1" t="s">
        <v>104</v>
      </c>
    </row>
    <row r="362" spans="1:91" ht="14.25" customHeight="1" x14ac:dyDescent="0.3">
      <c r="A362" s="1" t="s">
        <v>2584</v>
      </c>
      <c r="B362" s="1" t="s">
        <v>123</v>
      </c>
      <c r="C362" s="1" t="s">
        <v>124</v>
      </c>
      <c r="D362" s="1" t="s">
        <v>125</v>
      </c>
      <c r="E362" s="1" t="s">
        <v>2585</v>
      </c>
      <c r="F362" s="1" t="s">
        <v>1066</v>
      </c>
      <c r="G362" s="1" t="s">
        <v>116</v>
      </c>
      <c r="H362" s="1">
        <v>0</v>
      </c>
      <c r="I362" s="1" t="s">
        <v>117</v>
      </c>
      <c r="L362" s="1" t="s">
        <v>417</v>
      </c>
      <c r="M362" s="1" t="s">
        <v>298</v>
      </c>
      <c r="N362" s="1">
        <v>0</v>
      </c>
      <c r="O362" s="1">
        <v>0</v>
      </c>
      <c r="P362" s="1" t="s">
        <v>211</v>
      </c>
      <c r="Q362" s="1" t="s">
        <v>184</v>
      </c>
      <c r="R362" s="1" t="s">
        <v>2586</v>
      </c>
      <c r="S362" s="1" t="s">
        <v>103</v>
      </c>
      <c r="T362" s="1">
        <v>1</v>
      </c>
      <c r="U362" s="1">
        <v>1</v>
      </c>
      <c r="V362" s="1">
        <v>0</v>
      </c>
      <c r="W362" s="1">
        <v>0</v>
      </c>
      <c r="X362" s="1">
        <v>0</v>
      </c>
      <c r="Y362" s="1" t="s">
        <v>104</v>
      </c>
      <c r="Z362" s="1" t="s">
        <v>104</v>
      </c>
      <c r="AA362" s="1" t="s">
        <v>104</v>
      </c>
      <c r="AB362" s="1" t="s">
        <v>104</v>
      </c>
      <c r="AC362" s="1" t="s">
        <v>104</v>
      </c>
      <c r="AD362" s="1">
        <v>4</v>
      </c>
      <c r="AE362" s="1" t="s">
        <v>104</v>
      </c>
      <c r="AF362" s="1" t="s">
        <v>104</v>
      </c>
      <c r="AG362" s="1" t="s">
        <v>104</v>
      </c>
      <c r="AH362" s="1" t="s">
        <v>104</v>
      </c>
      <c r="AI362" s="1" t="s">
        <v>104</v>
      </c>
      <c r="AJ362" s="1" t="s">
        <v>104</v>
      </c>
      <c r="AK362" s="1" t="s">
        <v>104</v>
      </c>
      <c r="AL362" s="1" t="s">
        <v>104</v>
      </c>
      <c r="AM362" s="1" t="s">
        <v>104</v>
      </c>
      <c r="AO362" s="1">
        <v>4</v>
      </c>
      <c r="AP362" s="1" t="s">
        <v>2587</v>
      </c>
      <c r="AQ362" s="1" t="s">
        <v>2588</v>
      </c>
      <c r="AR362" s="1">
        <v>0</v>
      </c>
      <c r="AS362" s="1">
        <v>0</v>
      </c>
      <c r="AT362" s="1">
        <v>0</v>
      </c>
      <c r="AU362" s="1">
        <v>0</v>
      </c>
      <c r="AV362" s="1">
        <v>0</v>
      </c>
      <c r="AW362" s="1">
        <v>0</v>
      </c>
      <c r="AX362" s="1">
        <v>0</v>
      </c>
      <c r="AY362" s="1">
        <v>0</v>
      </c>
      <c r="AZ362" s="1">
        <v>0</v>
      </c>
      <c r="BA362" s="1">
        <v>0</v>
      </c>
      <c r="BB362" s="1">
        <v>0</v>
      </c>
      <c r="BC362" s="1">
        <v>0</v>
      </c>
      <c r="BD362" s="1">
        <v>0</v>
      </c>
      <c r="BE362" s="1">
        <v>0</v>
      </c>
      <c r="BF362" s="1">
        <v>0</v>
      </c>
      <c r="BG362" s="1">
        <v>0</v>
      </c>
      <c r="BH362" s="1">
        <v>0</v>
      </c>
      <c r="BI362" s="1">
        <v>0</v>
      </c>
      <c r="BJ362" s="1">
        <v>0</v>
      </c>
      <c r="BK362" s="1">
        <v>1</v>
      </c>
      <c r="BL362" s="1">
        <v>0</v>
      </c>
      <c r="BM362" s="1">
        <v>0</v>
      </c>
      <c r="BN362" s="1">
        <v>0</v>
      </c>
      <c r="BO362" s="1">
        <v>0</v>
      </c>
      <c r="BP362" s="1">
        <v>0</v>
      </c>
      <c r="BQ362" s="2" t="str">
        <f>HYPERLINK("http://www.d20pfsrd.com/magic/all-spells/m/modify-memory","Modify Memory")</f>
        <v>Modify Memory</v>
      </c>
      <c r="BR362" s="1">
        <v>362</v>
      </c>
      <c r="BS362" s="1" t="s">
        <v>104</v>
      </c>
      <c r="BX362" s="1">
        <v>0</v>
      </c>
      <c r="BY362" s="1" t="s">
        <v>104</v>
      </c>
      <c r="BZ362" s="1" t="s">
        <v>104</v>
      </c>
      <c r="CA362" s="1">
        <v>5</v>
      </c>
      <c r="CB362" s="1">
        <v>4</v>
      </c>
      <c r="CC362" s="1">
        <v>4</v>
      </c>
      <c r="CD362" s="1" t="s">
        <v>104</v>
      </c>
      <c r="CE362" s="1" t="s">
        <v>104</v>
      </c>
      <c r="CF362" s="1" t="s">
        <v>104</v>
      </c>
      <c r="CG362" s="1" t="s">
        <v>104</v>
      </c>
      <c r="CH362" s="1" t="s">
        <v>104</v>
      </c>
      <c r="CJ362" s="1">
        <v>0</v>
      </c>
      <c r="CK362" s="1">
        <v>0</v>
      </c>
      <c r="CL362" s="1">
        <v>0</v>
      </c>
      <c r="CM362" s="1" t="s">
        <v>104</v>
      </c>
    </row>
    <row r="363" spans="1:91" ht="14.25" customHeight="1" x14ac:dyDescent="0.3">
      <c r="A363" s="1" t="s">
        <v>2589</v>
      </c>
      <c r="B363" s="1" t="s">
        <v>172</v>
      </c>
      <c r="E363" s="1" t="s">
        <v>2590</v>
      </c>
      <c r="F363" s="1" t="s">
        <v>95</v>
      </c>
      <c r="G363" s="1" t="s">
        <v>116</v>
      </c>
      <c r="H363" s="1">
        <v>0</v>
      </c>
      <c r="I363" s="1" t="s">
        <v>157</v>
      </c>
      <c r="L363" s="1" t="s">
        <v>158</v>
      </c>
      <c r="M363" s="1" t="s">
        <v>2591</v>
      </c>
      <c r="N363" s="1">
        <v>0</v>
      </c>
      <c r="O363" s="1">
        <v>0</v>
      </c>
      <c r="R363" s="1" t="s">
        <v>2592</v>
      </c>
      <c r="S363" s="1" t="s">
        <v>103</v>
      </c>
      <c r="T363" s="1">
        <v>1</v>
      </c>
      <c r="U363" s="1">
        <v>1</v>
      </c>
      <c r="V363" s="1">
        <v>0</v>
      </c>
      <c r="W363" s="1">
        <v>0</v>
      </c>
      <c r="X363" s="1">
        <v>0</v>
      </c>
      <c r="Y363" s="1">
        <v>8</v>
      </c>
      <c r="Z363" s="1">
        <v>8</v>
      </c>
      <c r="AA363" s="1" t="s">
        <v>104</v>
      </c>
      <c r="AB363" s="1" t="s">
        <v>104</v>
      </c>
      <c r="AC363" s="1" t="s">
        <v>104</v>
      </c>
      <c r="AD363" s="1" t="s">
        <v>104</v>
      </c>
      <c r="AE363" s="1" t="s">
        <v>104</v>
      </c>
      <c r="AF363" s="1" t="s">
        <v>104</v>
      </c>
      <c r="AG363" s="1" t="s">
        <v>104</v>
      </c>
      <c r="AH363" s="1">
        <v>8</v>
      </c>
      <c r="AI363" s="1" t="s">
        <v>104</v>
      </c>
      <c r="AJ363" s="1" t="s">
        <v>104</v>
      </c>
      <c r="AK363" s="1" t="s">
        <v>104</v>
      </c>
      <c r="AL363" s="1" t="s">
        <v>104</v>
      </c>
      <c r="AM363" s="1" t="s">
        <v>104</v>
      </c>
      <c r="AO363" s="1">
        <v>8</v>
      </c>
      <c r="AP363" s="1" t="s">
        <v>2593</v>
      </c>
      <c r="AQ363" s="1" t="s">
        <v>2594</v>
      </c>
      <c r="AR363" s="1">
        <v>0</v>
      </c>
      <c r="AS363" s="1">
        <v>0</v>
      </c>
      <c r="AT363" s="1">
        <v>0</v>
      </c>
      <c r="AU363" s="1">
        <v>0</v>
      </c>
      <c r="AV363" s="1">
        <v>0</v>
      </c>
      <c r="AW363" s="1">
        <v>0</v>
      </c>
      <c r="AX363" s="1">
        <v>0</v>
      </c>
      <c r="AY363" s="1">
        <v>0</v>
      </c>
      <c r="AZ363" s="1">
        <v>0</v>
      </c>
      <c r="BA363" s="1">
        <v>0</v>
      </c>
      <c r="BB363" s="1">
        <v>0</v>
      </c>
      <c r="BC363" s="1">
        <v>0</v>
      </c>
      <c r="BD363" s="1">
        <v>0</v>
      </c>
      <c r="BE363" s="1">
        <v>0</v>
      </c>
      <c r="BF363" s="1">
        <v>0</v>
      </c>
      <c r="BG363" s="1">
        <v>0</v>
      </c>
      <c r="BH363" s="1">
        <v>0</v>
      </c>
      <c r="BI363" s="1">
        <v>0</v>
      </c>
      <c r="BJ363" s="1">
        <v>0</v>
      </c>
      <c r="BK363" s="1">
        <v>0</v>
      </c>
      <c r="BL363" s="1">
        <v>0</v>
      </c>
      <c r="BM363" s="1">
        <v>0</v>
      </c>
      <c r="BN363" s="1">
        <v>0</v>
      </c>
      <c r="BO363" s="1">
        <v>0</v>
      </c>
      <c r="BP363" s="1">
        <v>0</v>
      </c>
      <c r="BQ363" s="2" t="str">
        <f>HYPERLINK("http://www.d20pfsrd.com/magic/all-spells/m/moment-of-prescience","Moment of Prescience")</f>
        <v>Moment of Prescience</v>
      </c>
      <c r="BR363" s="1">
        <v>363</v>
      </c>
      <c r="BS363" s="1" t="s">
        <v>104</v>
      </c>
      <c r="BT363" s="1" t="s">
        <v>2595</v>
      </c>
      <c r="BU363" s="1" t="s">
        <v>2596</v>
      </c>
      <c r="BX363" s="1">
        <v>0</v>
      </c>
      <c r="BY363" s="1" t="s">
        <v>104</v>
      </c>
      <c r="BZ363" s="1" t="s">
        <v>104</v>
      </c>
      <c r="CA363" s="1">
        <v>8</v>
      </c>
      <c r="CB363" s="1" t="s">
        <v>104</v>
      </c>
      <c r="CC363" s="1" t="s">
        <v>104</v>
      </c>
      <c r="CD363" s="1" t="s">
        <v>104</v>
      </c>
      <c r="CE363" s="1" t="s">
        <v>104</v>
      </c>
      <c r="CF363" s="1" t="s">
        <v>104</v>
      </c>
      <c r="CG363" s="1" t="s">
        <v>104</v>
      </c>
      <c r="CH363" s="1" t="s">
        <v>104</v>
      </c>
      <c r="CJ363" s="1">
        <v>0</v>
      </c>
      <c r="CK363" s="1">
        <v>0</v>
      </c>
      <c r="CL363" s="1">
        <v>0</v>
      </c>
      <c r="CM363" s="1" t="s">
        <v>104</v>
      </c>
    </row>
    <row r="364" spans="1:91" ht="14.25" customHeight="1" x14ac:dyDescent="0.3">
      <c r="A364" s="1" t="s">
        <v>2597</v>
      </c>
      <c r="B364" s="1" t="s">
        <v>92</v>
      </c>
      <c r="C364" s="1" t="s">
        <v>903</v>
      </c>
      <c r="E364" s="1" t="s">
        <v>2598</v>
      </c>
      <c r="F364" s="1" t="s">
        <v>255</v>
      </c>
      <c r="G364" s="1" t="s">
        <v>2599</v>
      </c>
      <c r="H364" s="1">
        <v>0</v>
      </c>
      <c r="I364" s="1" t="s">
        <v>117</v>
      </c>
      <c r="K364" s="1" t="s">
        <v>2600</v>
      </c>
      <c r="M364" s="1" t="s">
        <v>166</v>
      </c>
      <c r="N364" s="1">
        <v>1</v>
      </c>
      <c r="O364" s="1">
        <v>0</v>
      </c>
      <c r="P364" s="1" t="s">
        <v>100</v>
      </c>
      <c r="Q364" s="1" t="s">
        <v>101</v>
      </c>
      <c r="R364" s="1" t="s">
        <v>2601</v>
      </c>
      <c r="S364" s="1" t="s">
        <v>103</v>
      </c>
      <c r="T364" s="1">
        <v>1</v>
      </c>
      <c r="U364" s="1">
        <v>1</v>
      </c>
      <c r="V364" s="1">
        <v>1</v>
      </c>
      <c r="W364" s="1">
        <v>0</v>
      </c>
      <c r="X364" s="1">
        <v>0</v>
      </c>
      <c r="Y364" s="1">
        <v>1</v>
      </c>
      <c r="Z364" s="1">
        <v>1</v>
      </c>
      <c r="AA364" s="1" t="s">
        <v>104</v>
      </c>
      <c r="AB364" s="1" t="s">
        <v>104</v>
      </c>
      <c r="AC364" s="1" t="s">
        <v>104</v>
      </c>
      <c r="AD364" s="1" t="s">
        <v>104</v>
      </c>
      <c r="AE364" s="1" t="s">
        <v>104</v>
      </c>
      <c r="AF364" s="1" t="s">
        <v>104</v>
      </c>
      <c r="AG364" s="1">
        <v>1</v>
      </c>
      <c r="AH364" s="1">
        <v>1</v>
      </c>
      <c r="AI364" s="1" t="s">
        <v>104</v>
      </c>
      <c r="AJ364" s="1" t="s">
        <v>104</v>
      </c>
      <c r="AK364" s="1" t="s">
        <v>104</v>
      </c>
      <c r="AL364" s="1">
        <v>1</v>
      </c>
      <c r="AM364" s="1" t="s">
        <v>104</v>
      </c>
      <c r="AO364" s="1">
        <v>1</v>
      </c>
      <c r="AQ364" s="1" t="s">
        <v>2602</v>
      </c>
      <c r="AR364" s="1">
        <v>0</v>
      </c>
      <c r="AS364" s="1">
        <v>0</v>
      </c>
      <c r="AT364" s="1">
        <v>0</v>
      </c>
      <c r="AU364" s="1">
        <v>0</v>
      </c>
      <c r="AV364" s="1">
        <v>0</v>
      </c>
      <c r="AW364" s="1">
        <v>0</v>
      </c>
      <c r="AX364" s="1">
        <v>0</v>
      </c>
      <c r="AY364" s="1">
        <v>0</v>
      </c>
      <c r="AZ364" s="1">
        <v>0</v>
      </c>
      <c r="BA364" s="1">
        <v>0</v>
      </c>
      <c r="BB364" s="1">
        <v>0</v>
      </c>
      <c r="BC364" s="1">
        <v>0</v>
      </c>
      <c r="BD364" s="1">
        <v>0</v>
      </c>
      <c r="BE364" s="1">
        <v>0</v>
      </c>
      <c r="BF364" s="1">
        <v>0</v>
      </c>
      <c r="BG364" s="1">
        <v>0</v>
      </c>
      <c r="BH364" s="1">
        <v>0</v>
      </c>
      <c r="BI364" s="1">
        <v>0</v>
      </c>
      <c r="BJ364" s="1">
        <v>0</v>
      </c>
      <c r="BK364" s="1">
        <v>0</v>
      </c>
      <c r="BL364" s="1">
        <v>0</v>
      </c>
      <c r="BM364" s="1">
        <v>0</v>
      </c>
      <c r="BN364" s="1">
        <v>0</v>
      </c>
      <c r="BO364" s="1">
        <v>0</v>
      </c>
      <c r="BP364" s="1">
        <v>0</v>
      </c>
      <c r="BQ364" s="2" t="str">
        <f>HYPERLINK("http://www.d20pfsrd.com/magic/all-spells/m/mount","Mount")</f>
        <v>Mount</v>
      </c>
      <c r="BR364" s="1">
        <v>364</v>
      </c>
      <c r="BS364" s="1" t="s">
        <v>104</v>
      </c>
      <c r="BX364" s="1">
        <v>0</v>
      </c>
      <c r="BY364" s="1">
        <v>1</v>
      </c>
      <c r="BZ364" s="1" t="s">
        <v>104</v>
      </c>
      <c r="CA364" s="1" t="s">
        <v>104</v>
      </c>
      <c r="CB364" s="1" t="s">
        <v>104</v>
      </c>
      <c r="CC364" s="1" t="s">
        <v>104</v>
      </c>
      <c r="CD364" s="1">
        <v>1</v>
      </c>
      <c r="CE364" s="1" t="s">
        <v>104</v>
      </c>
      <c r="CF364" s="1" t="s">
        <v>104</v>
      </c>
      <c r="CG364" s="1" t="s">
        <v>104</v>
      </c>
      <c r="CH364" s="1" t="s">
        <v>104</v>
      </c>
      <c r="CJ364" s="1">
        <v>0</v>
      </c>
      <c r="CK364" s="1">
        <v>0</v>
      </c>
      <c r="CL364" s="1">
        <v>0</v>
      </c>
      <c r="CM364" s="1">
        <v>1</v>
      </c>
    </row>
    <row r="365" spans="1:91" ht="14.25" customHeight="1" x14ac:dyDescent="0.3">
      <c r="A365" s="1" t="s">
        <v>2603</v>
      </c>
      <c r="B365" s="1" t="s">
        <v>137</v>
      </c>
      <c r="D365" s="1" t="s">
        <v>51</v>
      </c>
      <c r="E365" s="1" t="s">
        <v>2604</v>
      </c>
      <c r="F365" s="1" t="s">
        <v>145</v>
      </c>
      <c r="G365" s="1" t="s">
        <v>2605</v>
      </c>
      <c r="H365" s="1">
        <v>0</v>
      </c>
      <c r="I365" s="1" t="s">
        <v>97</v>
      </c>
      <c r="J365" s="1" t="s">
        <v>2606</v>
      </c>
      <c r="M365" s="1" t="s">
        <v>119</v>
      </c>
      <c r="N365" s="1">
        <v>0</v>
      </c>
      <c r="O365" s="1">
        <v>1</v>
      </c>
      <c r="P365" s="1" t="s">
        <v>100</v>
      </c>
      <c r="Q365" s="1" t="s">
        <v>101</v>
      </c>
      <c r="R365" s="1" t="s">
        <v>2607</v>
      </c>
      <c r="S365" s="1" t="s">
        <v>103</v>
      </c>
      <c r="T365" s="1">
        <v>1</v>
      </c>
      <c r="U365" s="1">
        <v>1</v>
      </c>
      <c r="V365" s="1">
        <v>1</v>
      </c>
      <c r="W365" s="1">
        <v>0</v>
      </c>
      <c r="X365" s="1">
        <v>0</v>
      </c>
      <c r="Y365" s="1">
        <v>6</v>
      </c>
      <c r="Z365" s="1">
        <v>6</v>
      </c>
      <c r="AA365" s="1" t="s">
        <v>104</v>
      </c>
      <c r="AB365" s="1">
        <v>6</v>
      </c>
      <c r="AC365" s="1" t="s">
        <v>104</v>
      </c>
      <c r="AD365" s="1" t="s">
        <v>104</v>
      </c>
      <c r="AE365" s="1" t="s">
        <v>104</v>
      </c>
      <c r="AF365" s="1" t="s">
        <v>104</v>
      </c>
      <c r="AG365" s="1" t="s">
        <v>104</v>
      </c>
      <c r="AH365" s="1" t="s">
        <v>104</v>
      </c>
      <c r="AI365" s="1" t="s">
        <v>104</v>
      </c>
      <c r="AJ365" s="1" t="s">
        <v>104</v>
      </c>
      <c r="AK365" s="1" t="s">
        <v>104</v>
      </c>
      <c r="AL365" s="1" t="s">
        <v>104</v>
      </c>
      <c r="AM365" s="1" t="s">
        <v>104</v>
      </c>
      <c r="AO365" s="1">
        <v>6</v>
      </c>
      <c r="AQ365" s="1" t="s">
        <v>2608</v>
      </c>
      <c r="AR365" s="1">
        <v>0</v>
      </c>
      <c r="AS365" s="1">
        <v>0</v>
      </c>
      <c r="AT365" s="1">
        <v>0</v>
      </c>
      <c r="AU365" s="1">
        <v>0</v>
      </c>
      <c r="AV365" s="1">
        <v>0</v>
      </c>
      <c r="AW365" s="1">
        <v>0</v>
      </c>
      <c r="AX365" s="1">
        <v>0</v>
      </c>
      <c r="AY365" s="1">
        <v>0</v>
      </c>
      <c r="AZ365" s="1">
        <v>1</v>
      </c>
      <c r="BA365" s="1">
        <v>0</v>
      </c>
      <c r="BB365" s="1">
        <v>0</v>
      </c>
      <c r="BC365" s="1">
        <v>0</v>
      </c>
      <c r="BD365" s="1">
        <v>0</v>
      </c>
      <c r="BE365" s="1">
        <v>0</v>
      </c>
      <c r="BF365" s="1">
        <v>0</v>
      </c>
      <c r="BG365" s="1">
        <v>0</v>
      </c>
      <c r="BH365" s="1">
        <v>0</v>
      </c>
      <c r="BI365" s="1">
        <v>0</v>
      </c>
      <c r="BJ365" s="1">
        <v>0</v>
      </c>
      <c r="BK365" s="1">
        <v>0</v>
      </c>
      <c r="BL365" s="1">
        <v>0</v>
      </c>
      <c r="BM365" s="1">
        <v>0</v>
      </c>
      <c r="BN365" s="1">
        <v>0</v>
      </c>
      <c r="BO365" s="1">
        <v>0</v>
      </c>
      <c r="BP365" s="1">
        <v>0</v>
      </c>
      <c r="BQ365" s="2" t="str">
        <f>HYPERLINK("http://www.d20pfsrd.com/magic/all-spells/m/move-earth","Move Earth")</f>
        <v>Move Earth</v>
      </c>
      <c r="BR365" s="1">
        <v>365</v>
      </c>
      <c r="BS365" s="1" t="s">
        <v>104</v>
      </c>
      <c r="BT365" s="1" t="s">
        <v>2609</v>
      </c>
      <c r="BV365" s="1" t="s">
        <v>2610</v>
      </c>
      <c r="BX365" s="1">
        <v>1</v>
      </c>
      <c r="BY365" s="1" t="s">
        <v>104</v>
      </c>
      <c r="BZ365" s="1" t="s">
        <v>104</v>
      </c>
      <c r="CA365" s="1" t="s">
        <v>104</v>
      </c>
      <c r="CB365" s="1" t="s">
        <v>104</v>
      </c>
      <c r="CC365" s="1" t="s">
        <v>104</v>
      </c>
      <c r="CD365" s="1" t="s">
        <v>104</v>
      </c>
      <c r="CE365" s="1" t="s">
        <v>104</v>
      </c>
      <c r="CF365" s="1" t="s">
        <v>104</v>
      </c>
      <c r="CG365" s="1" t="s">
        <v>104</v>
      </c>
      <c r="CH365" s="1">
        <v>6</v>
      </c>
      <c r="CJ365" s="1">
        <v>0</v>
      </c>
      <c r="CK365" s="1">
        <v>0</v>
      </c>
      <c r="CL365" s="1">
        <v>0</v>
      </c>
      <c r="CM365" s="1" t="s">
        <v>104</v>
      </c>
    </row>
    <row r="366" spans="1:91" ht="14.25" customHeight="1" x14ac:dyDescent="0.3">
      <c r="A366" s="1" t="s">
        <v>2611</v>
      </c>
      <c r="B366" s="1" t="s">
        <v>92</v>
      </c>
      <c r="C366" s="1" t="s">
        <v>523</v>
      </c>
      <c r="E366" s="1" t="s">
        <v>2612</v>
      </c>
      <c r="F366" s="1" t="s">
        <v>95</v>
      </c>
      <c r="G366" s="1" t="s">
        <v>2613</v>
      </c>
      <c r="H366" s="1">
        <v>0</v>
      </c>
      <c r="I366" s="1" t="s">
        <v>128</v>
      </c>
      <c r="L366" s="1" t="s">
        <v>2614</v>
      </c>
      <c r="M366" s="1" t="s">
        <v>2615</v>
      </c>
      <c r="N366" s="1">
        <v>0</v>
      </c>
      <c r="O366" s="1">
        <v>0</v>
      </c>
      <c r="P366" s="1" t="s">
        <v>148</v>
      </c>
      <c r="Q366" s="1" t="s">
        <v>149</v>
      </c>
      <c r="R366" s="1" t="s">
        <v>2616</v>
      </c>
      <c r="S366" s="1" t="s">
        <v>103</v>
      </c>
      <c r="T366" s="1">
        <v>1</v>
      </c>
      <c r="U366" s="1">
        <v>1</v>
      </c>
      <c r="V366" s="1">
        <v>1</v>
      </c>
      <c r="W366" s="1">
        <v>0</v>
      </c>
      <c r="X366" s="1">
        <v>1</v>
      </c>
      <c r="Y366" s="1" t="s">
        <v>104</v>
      </c>
      <c r="Z366" s="1" t="s">
        <v>104</v>
      </c>
      <c r="AA366" s="1">
        <v>4</v>
      </c>
      <c r="AB366" s="1">
        <v>3</v>
      </c>
      <c r="AC366" s="1">
        <v>3</v>
      </c>
      <c r="AD366" s="1">
        <v>4</v>
      </c>
      <c r="AE366" s="1">
        <v>4</v>
      </c>
      <c r="AF366" s="1">
        <v>4</v>
      </c>
      <c r="AG366" s="1" t="s">
        <v>104</v>
      </c>
      <c r="AH366" s="1">
        <v>4</v>
      </c>
      <c r="AI366" s="1">
        <v>4</v>
      </c>
      <c r="AJ366" s="1">
        <v>4</v>
      </c>
      <c r="AK366" s="1" t="s">
        <v>104</v>
      </c>
      <c r="AL366" s="1" t="s">
        <v>104</v>
      </c>
      <c r="AM366" s="1">
        <v>3</v>
      </c>
      <c r="AO366" s="1">
        <v>4</v>
      </c>
      <c r="AP366" s="1" t="s">
        <v>2617</v>
      </c>
      <c r="AQ366" s="1" t="s">
        <v>2618</v>
      </c>
      <c r="AR366" s="1">
        <v>0</v>
      </c>
      <c r="AS366" s="1">
        <v>0</v>
      </c>
      <c r="AT366" s="1">
        <v>0</v>
      </c>
      <c r="AU366" s="1">
        <v>0</v>
      </c>
      <c r="AV366" s="1">
        <v>0</v>
      </c>
      <c r="AW366" s="1">
        <v>0</v>
      </c>
      <c r="AX366" s="1">
        <v>0</v>
      </c>
      <c r="AY366" s="1">
        <v>0</v>
      </c>
      <c r="AZ366" s="1">
        <v>0</v>
      </c>
      <c r="BA366" s="1">
        <v>0</v>
      </c>
      <c r="BB366" s="1">
        <v>0</v>
      </c>
      <c r="BC366" s="1">
        <v>0</v>
      </c>
      <c r="BD366" s="1">
        <v>0</v>
      </c>
      <c r="BE366" s="1">
        <v>0</v>
      </c>
      <c r="BF366" s="1">
        <v>0</v>
      </c>
      <c r="BG366" s="1">
        <v>0</v>
      </c>
      <c r="BH366" s="1">
        <v>0</v>
      </c>
      <c r="BI366" s="1">
        <v>0</v>
      </c>
      <c r="BJ366" s="1">
        <v>0</v>
      </c>
      <c r="BK366" s="1">
        <v>0</v>
      </c>
      <c r="BL366" s="1">
        <v>0</v>
      </c>
      <c r="BM366" s="1">
        <v>0</v>
      </c>
      <c r="BN366" s="1">
        <v>0</v>
      </c>
      <c r="BO366" s="1">
        <v>0</v>
      </c>
      <c r="BP366" s="1">
        <v>0</v>
      </c>
      <c r="BQ366" s="2" t="str">
        <f>HYPERLINK("http://www.d20pfsrd.com/magic/all-spells/n/neutralize-poison","Neutralize Poison")</f>
        <v>Neutralize Poison</v>
      </c>
      <c r="BR366" s="1">
        <v>366</v>
      </c>
      <c r="BS366" s="1" t="s">
        <v>104</v>
      </c>
      <c r="BX366" s="1">
        <v>0</v>
      </c>
      <c r="BY366" s="1" t="s">
        <v>104</v>
      </c>
      <c r="BZ366" s="1">
        <v>4</v>
      </c>
      <c r="CA366" s="1" t="s">
        <v>104</v>
      </c>
      <c r="CB366" s="1" t="s">
        <v>104</v>
      </c>
      <c r="CC366" s="1" t="s">
        <v>104</v>
      </c>
      <c r="CD366" s="1" t="s">
        <v>104</v>
      </c>
      <c r="CE366" s="1">
        <v>4</v>
      </c>
      <c r="CF366" s="1" t="s">
        <v>104</v>
      </c>
      <c r="CG366" s="1" t="s">
        <v>104</v>
      </c>
      <c r="CH366" s="1">
        <v>3</v>
      </c>
      <c r="CJ366" s="1">
        <v>0</v>
      </c>
      <c r="CK366" s="1">
        <v>0</v>
      </c>
      <c r="CL366" s="1">
        <v>0</v>
      </c>
      <c r="CM366" s="1" t="s">
        <v>104</v>
      </c>
    </row>
    <row r="367" spans="1:91" ht="14.25" customHeight="1" x14ac:dyDescent="0.3">
      <c r="A367" s="1" t="s">
        <v>2619</v>
      </c>
      <c r="B367" s="1" t="s">
        <v>507</v>
      </c>
      <c r="C367" s="1" t="s">
        <v>1308</v>
      </c>
      <c r="D367" s="1" t="s">
        <v>2620</v>
      </c>
      <c r="E367" s="1" t="s">
        <v>2621</v>
      </c>
      <c r="F367" s="1" t="s">
        <v>287</v>
      </c>
      <c r="G367" s="1" t="s">
        <v>116</v>
      </c>
      <c r="H367" s="1">
        <v>0</v>
      </c>
      <c r="I367" s="1" t="s">
        <v>289</v>
      </c>
      <c r="L367" s="1" t="s">
        <v>417</v>
      </c>
      <c r="M367" s="1" t="s">
        <v>119</v>
      </c>
      <c r="N367" s="1">
        <v>0</v>
      </c>
      <c r="O367" s="1">
        <v>0</v>
      </c>
      <c r="P367" s="1" t="s">
        <v>418</v>
      </c>
      <c r="Q367" s="1" t="s">
        <v>184</v>
      </c>
      <c r="R367" s="1" t="s">
        <v>2622</v>
      </c>
      <c r="S367" s="1" t="s">
        <v>103</v>
      </c>
      <c r="T367" s="1">
        <v>1</v>
      </c>
      <c r="U367" s="1">
        <v>1</v>
      </c>
      <c r="V367" s="1">
        <v>0</v>
      </c>
      <c r="W367" s="1">
        <v>0</v>
      </c>
      <c r="X367" s="1">
        <v>0</v>
      </c>
      <c r="Y367" s="1">
        <v>5</v>
      </c>
      <c r="Z367" s="1">
        <v>5</v>
      </c>
      <c r="AA367" s="1" t="s">
        <v>104</v>
      </c>
      <c r="AB367" s="1" t="s">
        <v>104</v>
      </c>
      <c r="AC367" s="1" t="s">
        <v>104</v>
      </c>
      <c r="AD367" s="1">
        <v>5</v>
      </c>
      <c r="AE367" s="1" t="s">
        <v>104</v>
      </c>
      <c r="AF367" s="1">
        <v>5</v>
      </c>
      <c r="AG367" s="1" t="s">
        <v>104</v>
      </c>
      <c r="AH367" s="1" t="s">
        <v>104</v>
      </c>
      <c r="AI367" s="1" t="s">
        <v>104</v>
      </c>
      <c r="AJ367" s="1" t="s">
        <v>104</v>
      </c>
      <c r="AK367" s="1" t="s">
        <v>104</v>
      </c>
      <c r="AL367" s="1" t="s">
        <v>104</v>
      </c>
      <c r="AM367" s="1" t="s">
        <v>104</v>
      </c>
      <c r="AO367" s="1">
        <v>5</v>
      </c>
      <c r="AP367" s="1" t="s">
        <v>2623</v>
      </c>
      <c r="AQ367" s="1" t="s">
        <v>2624</v>
      </c>
      <c r="AR367" s="1">
        <v>0</v>
      </c>
      <c r="AS367" s="1">
        <v>0</v>
      </c>
      <c r="AT367" s="1">
        <v>0</v>
      </c>
      <c r="AU367" s="1">
        <v>0</v>
      </c>
      <c r="AV367" s="1">
        <v>0</v>
      </c>
      <c r="AW367" s="1">
        <v>0</v>
      </c>
      <c r="AX367" s="1">
        <v>0</v>
      </c>
      <c r="AY367" s="1">
        <v>0</v>
      </c>
      <c r="AZ367" s="1">
        <v>0</v>
      </c>
      <c r="BA367" s="1">
        <v>0</v>
      </c>
      <c r="BB367" s="1">
        <v>0</v>
      </c>
      <c r="BC367" s="1">
        <v>1</v>
      </c>
      <c r="BD367" s="1">
        <v>0</v>
      </c>
      <c r="BE367" s="1">
        <v>0</v>
      </c>
      <c r="BF367" s="1">
        <v>0</v>
      </c>
      <c r="BG367" s="1">
        <v>0</v>
      </c>
      <c r="BH367" s="1">
        <v>0</v>
      </c>
      <c r="BI367" s="1">
        <v>0</v>
      </c>
      <c r="BJ367" s="1">
        <v>0</v>
      </c>
      <c r="BK367" s="1">
        <v>1</v>
      </c>
      <c r="BL367" s="1">
        <v>0</v>
      </c>
      <c r="BM367" s="1">
        <v>0</v>
      </c>
      <c r="BN367" s="1">
        <v>0</v>
      </c>
      <c r="BO367" s="1">
        <v>0</v>
      </c>
      <c r="BP367" s="1">
        <v>0</v>
      </c>
      <c r="BQ367" s="2" t="str">
        <f>HYPERLINK("http://www.d20pfsrd.com/magic/all-spells/n/nightmare","Nightmare")</f>
        <v>Nightmare</v>
      </c>
      <c r="BR367" s="1">
        <v>367</v>
      </c>
      <c r="BS367" s="1" t="s">
        <v>104</v>
      </c>
      <c r="BV367" s="1" t="s">
        <v>2625</v>
      </c>
      <c r="BW367" s="1" t="s">
        <v>2626</v>
      </c>
      <c r="BX367" s="1">
        <v>1</v>
      </c>
      <c r="BY367" s="1" t="s">
        <v>104</v>
      </c>
      <c r="BZ367" s="1" t="s">
        <v>104</v>
      </c>
      <c r="CA367" s="1">
        <v>5</v>
      </c>
      <c r="CB367" s="1">
        <v>4</v>
      </c>
      <c r="CC367" s="1">
        <v>5</v>
      </c>
      <c r="CD367" s="1" t="s">
        <v>104</v>
      </c>
      <c r="CE367" s="1">
        <v>5</v>
      </c>
      <c r="CF367" s="1" t="s">
        <v>104</v>
      </c>
      <c r="CG367" s="1" t="s">
        <v>104</v>
      </c>
      <c r="CH367" s="1" t="s">
        <v>104</v>
      </c>
      <c r="CJ367" s="1">
        <v>0</v>
      </c>
      <c r="CK367" s="1">
        <v>0</v>
      </c>
      <c r="CL367" s="1">
        <v>0</v>
      </c>
      <c r="CM367" s="1" t="s">
        <v>104</v>
      </c>
    </row>
    <row r="368" spans="1:91" ht="14.25" customHeight="1" x14ac:dyDescent="0.3">
      <c r="A368" s="1" t="s">
        <v>2627</v>
      </c>
      <c r="B368" s="1" t="s">
        <v>162</v>
      </c>
      <c r="E368" s="1" t="s">
        <v>2628</v>
      </c>
      <c r="F368" s="1" t="s">
        <v>95</v>
      </c>
      <c r="G368" s="1" t="s">
        <v>2629</v>
      </c>
      <c r="H368" s="1">
        <v>1</v>
      </c>
      <c r="I368" s="1" t="s">
        <v>128</v>
      </c>
      <c r="L368" s="1" t="s">
        <v>2630</v>
      </c>
      <c r="M368" s="1" t="s">
        <v>201</v>
      </c>
      <c r="N368" s="1">
        <v>0</v>
      </c>
      <c r="O368" s="1">
        <v>0</v>
      </c>
      <c r="P368" s="1" t="s">
        <v>148</v>
      </c>
      <c r="Q368" s="1" t="s">
        <v>149</v>
      </c>
      <c r="R368" s="1" t="s">
        <v>2631</v>
      </c>
      <c r="S368" s="1" t="s">
        <v>103</v>
      </c>
      <c r="T368" s="1">
        <v>1</v>
      </c>
      <c r="U368" s="1">
        <v>1</v>
      </c>
      <c r="V368" s="1">
        <v>1</v>
      </c>
      <c r="W368" s="1">
        <v>0</v>
      </c>
      <c r="X368" s="1">
        <v>0</v>
      </c>
      <c r="Y368" s="1">
        <v>3</v>
      </c>
      <c r="Z368" s="1">
        <v>3</v>
      </c>
      <c r="AA368" s="1" t="s">
        <v>104</v>
      </c>
      <c r="AB368" s="1" t="s">
        <v>104</v>
      </c>
      <c r="AC368" s="1">
        <v>4</v>
      </c>
      <c r="AD368" s="1" t="s">
        <v>104</v>
      </c>
      <c r="AE368" s="1" t="s">
        <v>104</v>
      </c>
      <c r="AF368" s="1">
        <v>3</v>
      </c>
      <c r="AG368" s="1">
        <v>3</v>
      </c>
      <c r="AH368" s="1" t="s">
        <v>104</v>
      </c>
      <c r="AI368" s="1">
        <v>3</v>
      </c>
      <c r="AJ368" s="1" t="s">
        <v>104</v>
      </c>
      <c r="AK368" s="1">
        <v>3</v>
      </c>
      <c r="AL368" s="1" t="s">
        <v>104</v>
      </c>
      <c r="AM368" s="1" t="s">
        <v>104</v>
      </c>
      <c r="AO368" s="1">
        <v>3</v>
      </c>
      <c r="AP368" s="1" t="s">
        <v>2632</v>
      </c>
      <c r="AQ368" s="1" t="s">
        <v>2633</v>
      </c>
      <c r="AR368" s="1">
        <v>0</v>
      </c>
      <c r="AS368" s="1">
        <v>0</v>
      </c>
      <c r="AT368" s="1">
        <v>0</v>
      </c>
      <c r="AU368" s="1">
        <v>0</v>
      </c>
      <c r="AV368" s="1">
        <v>0</v>
      </c>
      <c r="AW368" s="1">
        <v>0</v>
      </c>
      <c r="AX368" s="1">
        <v>0</v>
      </c>
      <c r="AY368" s="1">
        <v>0</v>
      </c>
      <c r="AZ368" s="1">
        <v>0</v>
      </c>
      <c r="BA368" s="1">
        <v>0</v>
      </c>
      <c r="BB368" s="1">
        <v>0</v>
      </c>
      <c r="BC368" s="1">
        <v>0</v>
      </c>
      <c r="BD368" s="1">
        <v>0</v>
      </c>
      <c r="BE368" s="1">
        <v>0</v>
      </c>
      <c r="BF368" s="1">
        <v>0</v>
      </c>
      <c r="BG368" s="1">
        <v>0</v>
      </c>
      <c r="BH368" s="1">
        <v>0</v>
      </c>
      <c r="BI368" s="1">
        <v>0</v>
      </c>
      <c r="BJ368" s="1">
        <v>0</v>
      </c>
      <c r="BK368" s="1">
        <v>0</v>
      </c>
      <c r="BL368" s="1">
        <v>0</v>
      </c>
      <c r="BM368" s="1">
        <v>0</v>
      </c>
      <c r="BN368" s="1">
        <v>0</v>
      </c>
      <c r="BO368" s="1">
        <v>0</v>
      </c>
      <c r="BP368" s="1">
        <v>0</v>
      </c>
      <c r="BQ368" s="2" t="str">
        <f>HYPERLINK("http://www.d20pfsrd.com/magic/all-spells/n/nondetection","Nondetection")</f>
        <v>Nondetection</v>
      </c>
      <c r="BR368" s="1">
        <v>368</v>
      </c>
      <c r="BS368" s="1">
        <v>50</v>
      </c>
      <c r="BX368" s="1">
        <v>0</v>
      </c>
      <c r="BY368" s="1" t="s">
        <v>104</v>
      </c>
      <c r="BZ368" s="1" t="s">
        <v>104</v>
      </c>
      <c r="CA368" s="1">
        <v>3</v>
      </c>
      <c r="CB368" s="1">
        <v>2</v>
      </c>
      <c r="CC368" s="1">
        <v>3</v>
      </c>
      <c r="CD368" s="1">
        <v>3</v>
      </c>
      <c r="CE368" s="1">
        <v>3</v>
      </c>
      <c r="CF368" s="1" t="s">
        <v>104</v>
      </c>
      <c r="CG368" s="1" t="s">
        <v>104</v>
      </c>
      <c r="CH368" s="1">
        <v>4</v>
      </c>
      <c r="CJ368" s="1">
        <v>0</v>
      </c>
      <c r="CK368" s="1">
        <v>0</v>
      </c>
      <c r="CL368" s="1">
        <v>0</v>
      </c>
      <c r="CM368" s="1">
        <v>3</v>
      </c>
    </row>
    <row r="369" spans="1:91" ht="14.25" customHeight="1" x14ac:dyDescent="0.3">
      <c r="A369" s="1" t="s">
        <v>2634</v>
      </c>
      <c r="B369" s="1" t="s">
        <v>162</v>
      </c>
      <c r="E369" s="1" t="s">
        <v>2635</v>
      </c>
      <c r="F369" s="1" t="s">
        <v>95</v>
      </c>
      <c r="G369" s="1" t="s">
        <v>2636</v>
      </c>
      <c r="H369" s="1">
        <v>0</v>
      </c>
      <c r="I369" s="1" t="s">
        <v>128</v>
      </c>
      <c r="L369" s="1" t="s">
        <v>2637</v>
      </c>
      <c r="M369" s="1" t="s">
        <v>2638</v>
      </c>
      <c r="N369" s="1">
        <v>1</v>
      </c>
      <c r="O369" s="1">
        <v>0</v>
      </c>
      <c r="P369" s="1" t="s">
        <v>471</v>
      </c>
      <c r="Q369" s="1" t="s">
        <v>472</v>
      </c>
      <c r="R369" s="1" t="s">
        <v>2639</v>
      </c>
      <c r="S369" s="1" t="s">
        <v>103</v>
      </c>
      <c r="T369" s="1">
        <v>1</v>
      </c>
      <c r="U369" s="1">
        <v>1</v>
      </c>
      <c r="V369" s="1">
        <v>1</v>
      </c>
      <c r="W369" s="1">
        <v>0</v>
      </c>
      <c r="X369" s="1">
        <v>1</v>
      </c>
      <c r="Y369" s="1">
        <v>2</v>
      </c>
      <c r="Z369" s="1">
        <v>2</v>
      </c>
      <c r="AA369" s="1">
        <v>3</v>
      </c>
      <c r="AB369" s="1" t="s">
        <v>104</v>
      </c>
      <c r="AC369" s="1" t="s">
        <v>104</v>
      </c>
      <c r="AD369" s="1">
        <v>1</v>
      </c>
      <c r="AE369" s="1" t="s">
        <v>104</v>
      </c>
      <c r="AF369" s="1" t="s">
        <v>104</v>
      </c>
      <c r="AG369" s="1" t="s">
        <v>104</v>
      </c>
      <c r="AH369" s="1" t="s">
        <v>104</v>
      </c>
      <c r="AI369" s="1">
        <v>3</v>
      </c>
      <c r="AJ369" s="1">
        <v>3</v>
      </c>
      <c r="AK369" s="1" t="s">
        <v>104</v>
      </c>
      <c r="AL369" s="1" t="s">
        <v>104</v>
      </c>
      <c r="AM369" s="1" t="s">
        <v>104</v>
      </c>
      <c r="AO369" s="1">
        <v>2</v>
      </c>
      <c r="AQ369" s="1" t="s">
        <v>2640</v>
      </c>
      <c r="AR369" s="1">
        <v>0</v>
      </c>
      <c r="AS369" s="1">
        <v>0</v>
      </c>
      <c r="AT369" s="1">
        <v>0</v>
      </c>
      <c r="AU369" s="1">
        <v>0</v>
      </c>
      <c r="AV369" s="1">
        <v>0</v>
      </c>
      <c r="AW369" s="1">
        <v>0</v>
      </c>
      <c r="AX369" s="1">
        <v>0</v>
      </c>
      <c r="AY369" s="1">
        <v>0</v>
      </c>
      <c r="AZ369" s="1">
        <v>0</v>
      </c>
      <c r="BA369" s="1">
        <v>0</v>
      </c>
      <c r="BB369" s="1">
        <v>0</v>
      </c>
      <c r="BC369" s="1">
        <v>0</v>
      </c>
      <c r="BD369" s="1">
        <v>0</v>
      </c>
      <c r="BE369" s="1">
        <v>0</v>
      </c>
      <c r="BF369" s="1">
        <v>0</v>
      </c>
      <c r="BG369" s="1">
        <v>0</v>
      </c>
      <c r="BH369" s="1">
        <v>0</v>
      </c>
      <c r="BI369" s="1">
        <v>0</v>
      </c>
      <c r="BJ369" s="1">
        <v>0</v>
      </c>
      <c r="BK369" s="1">
        <v>0</v>
      </c>
      <c r="BL369" s="1">
        <v>0</v>
      </c>
      <c r="BM369" s="1">
        <v>0</v>
      </c>
      <c r="BN369" s="1">
        <v>0</v>
      </c>
      <c r="BO369" s="1">
        <v>0</v>
      </c>
      <c r="BP369" s="1">
        <v>0</v>
      </c>
      <c r="BQ369" s="2" t="str">
        <f>HYPERLINK("http://www.d20pfsrd.com/magic/all-spells/o/obscure-object","Obscure Object")</f>
        <v>Obscure Object</v>
      </c>
      <c r="BR369" s="1">
        <v>369</v>
      </c>
      <c r="BS369" s="1" t="s">
        <v>104</v>
      </c>
      <c r="BX369" s="1">
        <v>0</v>
      </c>
      <c r="BY369" s="1" t="s">
        <v>104</v>
      </c>
      <c r="BZ369" s="1" t="s">
        <v>104</v>
      </c>
      <c r="CA369" s="1">
        <v>2</v>
      </c>
      <c r="CB369" s="1" t="s">
        <v>104</v>
      </c>
      <c r="CC369" s="1">
        <v>1</v>
      </c>
      <c r="CD369" s="1">
        <v>2</v>
      </c>
      <c r="CE369" s="1">
        <v>3</v>
      </c>
      <c r="CF369" s="1" t="s">
        <v>104</v>
      </c>
      <c r="CG369" s="1" t="s">
        <v>104</v>
      </c>
      <c r="CH369" s="1" t="s">
        <v>104</v>
      </c>
      <c r="CJ369" s="1">
        <v>0</v>
      </c>
      <c r="CK369" s="1">
        <v>0</v>
      </c>
      <c r="CL369" s="1">
        <v>0</v>
      </c>
      <c r="CM369" s="1" t="s">
        <v>104</v>
      </c>
    </row>
    <row r="370" spans="1:91" ht="14.25" customHeight="1" x14ac:dyDescent="0.3">
      <c r="A370" s="1" t="s">
        <v>2641</v>
      </c>
      <c r="B370" s="1" t="s">
        <v>92</v>
      </c>
      <c r="C370" s="1" t="s">
        <v>93</v>
      </c>
      <c r="E370" s="1" t="s">
        <v>2642</v>
      </c>
      <c r="F370" s="1" t="s">
        <v>95</v>
      </c>
      <c r="G370" s="1" t="s">
        <v>116</v>
      </c>
      <c r="H370" s="1">
        <v>0</v>
      </c>
      <c r="I370" s="1" t="s">
        <v>697</v>
      </c>
      <c r="K370" s="1" t="s">
        <v>2643</v>
      </c>
      <c r="M370" s="1" t="s">
        <v>130</v>
      </c>
      <c r="N370" s="1">
        <v>1</v>
      </c>
      <c r="O370" s="1">
        <v>0</v>
      </c>
      <c r="P370" s="1" t="s">
        <v>100</v>
      </c>
      <c r="Q370" s="1" t="s">
        <v>101</v>
      </c>
      <c r="R370" s="1" t="s">
        <v>2644</v>
      </c>
      <c r="S370" s="1" t="s">
        <v>103</v>
      </c>
      <c r="T370" s="1">
        <v>1</v>
      </c>
      <c r="U370" s="1">
        <v>1</v>
      </c>
      <c r="V370" s="1">
        <v>0</v>
      </c>
      <c r="W370" s="1">
        <v>0</v>
      </c>
      <c r="X370" s="1">
        <v>0</v>
      </c>
      <c r="Y370" s="1">
        <v>1</v>
      </c>
      <c r="Z370" s="1">
        <v>1</v>
      </c>
      <c r="AA370" s="1">
        <v>1</v>
      </c>
      <c r="AB370" s="1">
        <v>1</v>
      </c>
      <c r="AC370" s="1" t="s">
        <v>104</v>
      </c>
      <c r="AD370" s="1" t="s">
        <v>104</v>
      </c>
      <c r="AE370" s="1" t="s">
        <v>104</v>
      </c>
      <c r="AF370" s="1" t="s">
        <v>104</v>
      </c>
      <c r="AG370" s="1" t="s">
        <v>104</v>
      </c>
      <c r="AH370" s="1">
        <v>1</v>
      </c>
      <c r="AI370" s="1" t="s">
        <v>104</v>
      </c>
      <c r="AJ370" s="1">
        <v>1</v>
      </c>
      <c r="AK370" s="1" t="s">
        <v>104</v>
      </c>
      <c r="AL370" s="1">
        <v>1</v>
      </c>
      <c r="AM370" s="1">
        <v>1</v>
      </c>
      <c r="AO370" s="1">
        <v>1</v>
      </c>
      <c r="AP370" s="1" t="s">
        <v>2645</v>
      </c>
      <c r="AQ370" s="1" t="s">
        <v>2646</v>
      </c>
      <c r="AR370" s="1">
        <v>0</v>
      </c>
      <c r="AS370" s="1">
        <v>0</v>
      </c>
      <c r="AT370" s="1">
        <v>0</v>
      </c>
      <c r="AU370" s="1">
        <v>0</v>
      </c>
      <c r="AV370" s="1">
        <v>0</v>
      </c>
      <c r="AW370" s="1">
        <v>0</v>
      </c>
      <c r="AX370" s="1">
        <v>0</v>
      </c>
      <c r="AY370" s="1">
        <v>0</v>
      </c>
      <c r="AZ370" s="1">
        <v>0</v>
      </c>
      <c r="BA370" s="1">
        <v>0</v>
      </c>
      <c r="BB370" s="1">
        <v>0</v>
      </c>
      <c r="BC370" s="1">
        <v>0</v>
      </c>
      <c r="BD370" s="1">
        <v>0</v>
      </c>
      <c r="BE370" s="1">
        <v>0</v>
      </c>
      <c r="BF370" s="1">
        <v>0</v>
      </c>
      <c r="BG370" s="1">
        <v>0</v>
      </c>
      <c r="BH370" s="1">
        <v>0</v>
      </c>
      <c r="BI370" s="1">
        <v>0</v>
      </c>
      <c r="BJ370" s="1">
        <v>0</v>
      </c>
      <c r="BK370" s="1">
        <v>0</v>
      </c>
      <c r="BL370" s="1">
        <v>0</v>
      </c>
      <c r="BM370" s="1">
        <v>0</v>
      </c>
      <c r="BN370" s="1">
        <v>0</v>
      </c>
      <c r="BO370" s="1">
        <v>0</v>
      </c>
      <c r="BP370" s="1">
        <v>0</v>
      </c>
      <c r="BQ370" s="2" t="str">
        <f>HYPERLINK("http://www.d20pfsrd.com/magic/all-spells/o/obscuring-mist","Obscuring Mist")</f>
        <v>Obscuring Mist</v>
      </c>
      <c r="BR370" s="1">
        <v>370</v>
      </c>
      <c r="BS370" s="1" t="s">
        <v>104</v>
      </c>
      <c r="BT370" s="1" t="s">
        <v>2647</v>
      </c>
      <c r="BU370" s="1" t="s">
        <v>2648</v>
      </c>
      <c r="BX370" s="1">
        <v>0</v>
      </c>
      <c r="BY370" s="1" t="s">
        <v>104</v>
      </c>
      <c r="BZ370" s="1">
        <v>1</v>
      </c>
      <c r="CA370" s="1" t="s">
        <v>104</v>
      </c>
      <c r="CB370" s="1" t="s">
        <v>104</v>
      </c>
      <c r="CC370" s="1">
        <v>1</v>
      </c>
      <c r="CD370" s="1" t="s">
        <v>104</v>
      </c>
      <c r="CE370" s="1">
        <v>1</v>
      </c>
      <c r="CF370" s="1" t="s">
        <v>104</v>
      </c>
      <c r="CG370" s="1" t="s">
        <v>104</v>
      </c>
      <c r="CH370" s="1">
        <v>1</v>
      </c>
      <c r="CJ370" s="1">
        <v>0</v>
      </c>
      <c r="CK370" s="1">
        <v>0</v>
      </c>
      <c r="CL370" s="1">
        <v>0</v>
      </c>
      <c r="CM370" s="1">
        <v>1</v>
      </c>
    </row>
    <row r="371" spans="1:91" ht="14.25" customHeight="1" x14ac:dyDescent="0.3">
      <c r="A371" s="1" t="s">
        <v>2649</v>
      </c>
      <c r="B371" s="1" t="s">
        <v>137</v>
      </c>
      <c r="E371" s="1" t="s">
        <v>2324</v>
      </c>
      <c r="F371" s="1" t="s">
        <v>95</v>
      </c>
      <c r="G371" s="1" t="s">
        <v>2650</v>
      </c>
      <c r="H371" s="1">
        <v>0</v>
      </c>
      <c r="I371" s="1" t="s">
        <v>117</v>
      </c>
      <c r="L371" s="1" t="s">
        <v>2651</v>
      </c>
      <c r="M371" s="1" t="s">
        <v>119</v>
      </c>
      <c r="N371" s="1">
        <v>0</v>
      </c>
      <c r="O371" s="1">
        <v>0</v>
      </c>
      <c r="P371" s="1" t="s">
        <v>471</v>
      </c>
      <c r="Q371" s="1" t="s">
        <v>472</v>
      </c>
      <c r="R371" s="1" t="s">
        <v>2652</v>
      </c>
      <c r="S371" s="1" t="s">
        <v>103</v>
      </c>
      <c r="T371" s="1">
        <v>1</v>
      </c>
      <c r="U371" s="1">
        <v>1</v>
      </c>
      <c r="V371" s="1">
        <v>0</v>
      </c>
      <c r="W371" s="1">
        <v>1</v>
      </c>
      <c r="X371" s="1">
        <v>0</v>
      </c>
      <c r="Y371" s="1">
        <v>0</v>
      </c>
      <c r="Z371" s="1">
        <v>0</v>
      </c>
      <c r="AA371" s="1" t="s">
        <v>104</v>
      </c>
      <c r="AB371" s="1" t="s">
        <v>104</v>
      </c>
      <c r="AC371" s="1" t="s">
        <v>104</v>
      </c>
      <c r="AD371" s="1">
        <v>0</v>
      </c>
      <c r="AE371" s="1" t="s">
        <v>104</v>
      </c>
      <c r="AF371" s="1" t="s">
        <v>104</v>
      </c>
      <c r="AG371" s="1">
        <v>0</v>
      </c>
      <c r="AH371" s="1" t="s">
        <v>104</v>
      </c>
      <c r="AI371" s="1" t="s">
        <v>104</v>
      </c>
      <c r="AJ371" s="1" t="s">
        <v>104</v>
      </c>
      <c r="AK371" s="1" t="s">
        <v>104</v>
      </c>
      <c r="AL371" s="1">
        <v>0</v>
      </c>
      <c r="AM371" s="1" t="s">
        <v>104</v>
      </c>
      <c r="AO371" s="1">
        <v>0</v>
      </c>
      <c r="AQ371" s="1" t="s">
        <v>2653</v>
      </c>
      <c r="AR371" s="1">
        <v>0</v>
      </c>
      <c r="AS371" s="1">
        <v>0</v>
      </c>
      <c r="AT371" s="1">
        <v>0</v>
      </c>
      <c r="AU371" s="1">
        <v>0</v>
      </c>
      <c r="AV371" s="1">
        <v>0</v>
      </c>
      <c r="AW371" s="1">
        <v>0</v>
      </c>
      <c r="AX371" s="1">
        <v>0</v>
      </c>
      <c r="AY371" s="1">
        <v>0</v>
      </c>
      <c r="AZ371" s="1">
        <v>0</v>
      </c>
      <c r="BA371" s="1">
        <v>0</v>
      </c>
      <c r="BB371" s="1">
        <v>0</v>
      </c>
      <c r="BC371" s="1">
        <v>0</v>
      </c>
      <c r="BD371" s="1">
        <v>0</v>
      </c>
      <c r="BE371" s="1">
        <v>0</v>
      </c>
      <c r="BF371" s="1">
        <v>0</v>
      </c>
      <c r="BG371" s="1">
        <v>0</v>
      </c>
      <c r="BH371" s="1">
        <v>0</v>
      </c>
      <c r="BI371" s="1">
        <v>0</v>
      </c>
      <c r="BJ371" s="1">
        <v>0</v>
      </c>
      <c r="BK371" s="1">
        <v>0</v>
      </c>
      <c r="BL371" s="1">
        <v>0</v>
      </c>
      <c r="BM371" s="1">
        <v>0</v>
      </c>
      <c r="BN371" s="1">
        <v>0</v>
      </c>
      <c r="BO371" s="1">
        <v>0</v>
      </c>
      <c r="BP371" s="1">
        <v>0</v>
      </c>
      <c r="BQ371" s="2" t="str">
        <f>HYPERLINK("http://www.d20pfsrd.com/magic/all-spells/o/open-close","Open/Close")</f>
        <v>Open/Close</v>
      </c>
      <c r="BR371" s="1">
        <v>371</v>
      </c>
      <c r="BS371" s="1" t="s">
        <v>104</v>
      </c>
      <c r="BX371" s="1">
        <v>0</v>
      </c>
      <c r="BY371" s="1" t="s">
        <v>104</v>
      </c>
      <c r="BZ371" s="1" t="s">
        <v>104</v>
      </c>
      <c r="CA371" s="1">
        <v>0</v>
      </c>
      <c r="CB371" s="1">
        <v>0</v>
      </c>
      <c r="CC371" s="1">
        <v>0</v>
      </c>
      <c r="CD371" s="1">
        <v>0</v>
      </c>
      <c r="CE371" s="1">
        <v>0</v>
      </c>
      <c r="CF371" s="1" t="s">
        <v>104</v>
      </c>
      <c r="CG371" s="1" t="s">
        <v>104</v>
      </c>
      <c r="CH371" s="1" t="s">
        <v>104</v>
      </c>
      <c r="CJ371" s="1">
        <v>0</v>
      </c>
      <c r="CK371" s="1">
        <v>0</v>
      </c>
      <c r="CL371" s="1">
        <v>0</v>
      </c>
      <c r="CM371" s="1">
        <v>0</v>
      </c>
    </row>
    <row r="372" spans="1:91" ht="14.25" customHeight="1" x14ac:dyDescent="0.3">
      <c r="A372" s="1" t="s">
        <v>2654</v>
      </c>
      <c r="B372" s="1" t="s">
        <v>434</v>
      </c>
      <c r="D372" s="1" t="s">
        <v>60</v>
      </c>
      <c r="E372" s="1" t="s">
        <v>626</v>
      </c>
      <c r="F372" s="1" t="s">
        <v>95</v>
      </c>
      <c r="G372" s="1" t="s">
        <v>116</v>
      </c>
      <c r="H372" s="1">
        <v>0</v>
      </c>
      <c r="I372" s="1" t="s">
        <v>109</v>
      </c>
      <c r="J372" s="1" t="s">
        <v>2655</v>
      </c>
      <c r="M372" s="1" t="s">
        <v>2030</v>
      </c>
      <c r="N372" s="1">
        <v>0</v>
      </c>
      <c r="O372" s="1">
        <v>0</v>
      </c>
      <c r="P372" s="1" t="s">
        <v>629</v>
      </c>
      <c r="Q372" s="1" t="s">
        <v>184</v>
      </c>
      <c r="R372" s="1" t="s">
        <v>2656</v>
      </c>
      <c r="S372" s="1" t="s">
        <v>103</v>
      </c>
      <c r="T372" s="1">
        <v>1</v>
      </c>
      <c r="U372" s="1">
        <v>1</v>
      </c>
      <c r="V372" s="1">
        <v>0</v>
      </c>
      <c r="W372" s="1">
        <v>0</v>
      </c>
      <c r="X372" s="1">
        <v>0</v>
      </c>
      <c r="Y372" s="1" t="s">
        <v>104</v>
      </c>
      <c r="Z372" s="1" t="s">
        <v>104</v>
      </c>
      <c r="AA372" s="1">
        <v>4</v>
      </c>
      <c r="AB372" s="1" t="s">
        <v>104</v>
      </c>
      <c r="AC372" s="1" t="s">
        <v>104</v>
      </c>
      <c r="AD372" s="1" t="s">
        <v>104</v>
      </c>
      <c r="AE372" s="1" t="s">
        <v>104</v>
      </c>
      <c r="AF372" s="1" t="s">
        <v>104</v>
      </c>
      <c r="AG372" s="1" t="s">
        <v>104</v>
      </c>
      <c r="AH372" s="1" t="s">
        <v>104</v>
      </c>
      <c r="AI372" s="1">
        <v>4</v>
      </c>
      <c r="AJ372" s="1">
        <v>4</v>
      </c>
      <c r="AK372" s="1" t="s">
        <v>104</v>
      </c>
      <c r="AL372" s="1" t="s">
        <v>104</v>
      </c>
      <c r="AM372" s="1" t="s">
        <v>104</v>
      </c>
      <c r="AO372" s="1">
        <v>4</v>
      </c>
      <c r="AP372" s="1" t="s">
        <v>2657</v>
      </c>
      <c r="AQ372" s="1" t="s">
        <v>2658</v>
      </c>
      <c r="AR372" s="1">
        <v>0</v>
      </c>
      <c r="AS372" s="1">
        <v>0</v>
      </c>
      <c r="AT372" s="1">
        <v>0</v>
      </c>
      <c r="AU372" s="1">
        <v>0</v>
      </c>
      <c r="AV372" s="1">
        <v>0</v>
      </c>
      <c r="AW372" s="1">
        <v>0</v>
      </c>
      <c r="AX372" s="1">
        <v>0</v>
      </c>
      <c r="AY372" s="1">
        <v>0</v>
      </c>
      <c r="AZ372" s="1">
        <v>0</v>
      </c>
      <c r="BA372" s="1">
        <v>0</v>
      </c>
      <c r="BB372" s="1">
        <v>0</v>
      </c>
      <c r="BC372" s="1">
        <v>0</v>
      </c>
      <c r="BD372" s="1">
        <v>0</v>
      </c>
      <c r="BE372" s="1">
        <v>0</v>
      </c>
      <c r="BF372" s="1">
        <v>0</v>
      </c>
      <c r="BG372" s="1">
        <v>0</v>
      </c>
      <c r="BH372" s="1">
        <v>0</v>
      </c>
      <c r="BI372" s="1">
        <v>1</v>
      </c>
      <c r="BJ372" s="1">
        <v>0</v>
      </c>
      <c r="BK372" s="1">
        <v>0</v>
      </c>
      <c r="BL372" s="1">
        <v>0</v>
      </c>
      <c r="BM372" s="1">
        <v>0</v>
      </c>
      <c r="BN372" s="1">
        <v>0</v>
      </c>
      <c r="BO372" s="1">
        <v>0</v>
      </c>
      <c r="BP372" s="1">
        <v>0</v>
      </c>
      <c r="BQ372" s="2" t="str">
        <f>HYPERLINK("http://www.d20pfsrd.com/magic/all-spells/o/order-s-wrath","Order's Wrath")</f>
        <v>Order's Wrath</v>
      </c>
      <c r="BR372" s="1">
        <v>372</v>
      </c>
      <c r="BS372" s="1" t="s">
        <v>104</v>
      </c>
      <c r="BV372" s="1" t="s">
        <v>2659</v>
      </c>
      <c r="BX372" s="1">
        <v>1</v>
      </c>
      <c r="BY372" s="1" t="s">
        <v>104</v>
      </c>
      <c r="BZ372" s="1" t="s">
        <v>104</v>
      </c>
      <c r="CA372" s="1" t="s">
        <v>104</v>
      </c>
      <c r="CB372" s="1" t="s">
        <v>104</v>
      </c>
      <c r="CC372" s="1" t="s">
        <v>104</v>
      </c>
      <c r="CD372" s="1" t="s">
        <v>104</v>
      </c>
      <c r="CE372" s="1" t="s">
        <v>104</v>
      </c>
      <c r="CF372" s="1" t="s">
        <v>104</v>
      </c>
      <c r="CG372" s="1" t="s">
        <v>104</v>
      </c>
      <c r="CH372" s="1" t="s">
        <v>104</v>
      </c>
      <c r="CJ372" s="1">
        <v>0</v>
      </c>
      <c r="CK372" s="1">
        <v>0</v>
      </c>
      <c r="CL372" s="1">
        <v>0</v>
      </c>
      <c r="CM372" s="1" t="s">
        <v>104</v>
      </c>
    </row>
    <row r="373" spans="1:91" ht="14.25" customHeight="1" x14ac:dyDescent="0.3">
      <c r="A373" s="1" t="s">
        <v>2660</v>
      </c>
      <c r="B373" s="1" t="s">
        <v>137</v>
      </c>
      <c r="E373" s="1" t="s">
        <v>2661</v>
      </c>
      <c r="F373" s="1" t="s">
        <v>95</v>
      </c>
      <c r="G373" s="1" t="s">
        <v>116</v>
      </c>
      <c r="H373" s="1">
        <v>0</v>
      </c>
      <c r="I373" s="1" t="s">
        <v>157</v>
      </c>
      <c r="L373" s="1" t="s">
        <v>158</v>
      </c>
      <c r="M373" s="1" t="s">
        <v>201</v>
      </c>
      <c r="N373" s="1">
        <v>0</v>
      </c>
      <c r="O373" s="1">
        <v>0</v>
      </c>
      <c r="R373" s="1" t="s">
        <v>2662</v>
      </c>
      <c r="S373" s="1" t="s">
        <v>103</v>
      </c>
      <c r="T373" s="1">
        <v>1</v>
      </c>
      <c r="U373" s="1">
        <v>1</v>
      </c>
      <c r="V373" s="1">
        <v>0</v>
      </c>
      <c r="W373" s="1">
        <v>0</v>
      </c>
      <c r="X373" s="1">
        <v>0</v>
      </c>
      <c r="Y373" s="1">
        <v>5</v>
      </c>
      <c r="Z373" s="1">
        <v>5</v>
      </c>
      <c r="AA373" s="1" t="s">
        <v>104</v>
      </c>
      <c r="AB373" s="1" t="s">
        <v>104</v>
      </c>
      <c r="AC373" s="1" t="s">
        <v>104</v>
      </c>
      <c r="AD373" s="1" t="s">
        <v>104</v>
      </c>
      <c r="AE373" s="1" t="s">
        <v>104</v>
      </c>
      <c r="AF373" s="1">
        <v>5</v>
      </c>
      <c r="AG373" s="1">
        <v>4</v>
      </c>
      <c r="AH373" s="1">
        <v>5</v>
      </c>
      <c r="AI373" s="1" t="s">
        <v>104</v>
      </c>
      <c r="AJ373" s="1" t="s">
        <v>104</v>
      </c>
      <c r="AK373" s="1" t="s">
        <v>104</v>
      </c>
      <c r="AL373" s="1">
        <v>5</v>
      </c>
      <c r="AM373" s="1" t="s">
        <v>104</v>
      </c>
      <c r="AO373" s="1">
        <v>5</v>
      </c>
      <c r="AP373" s="1" t="s">
        <v>2663</v>
      </c>
      <c r="AQ373" s="1" t="s">
        <v>2664</v>
      </c>
      <c r="AR373" s="1">
        <v>0</v>
      </c>
      <c r="AS373" s="1">
        <v>0</v>
      </c>
      <c r="AT373" s="1">
        <v>0</v>
      </c>
      <c r="AU373" s="1">
        <v>0</v>
      </c>
      <c r="AV373" s="1">
        <v>0</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v>
      </c>
      <c r="BM373" s="1">
        <v>0</v>
      </c>
      <c r="BN373" s="1">
        <v>0</v>
      </c>
      <c r="BO373" s="1">
        <v>0</v>
      </c>
      <c r="BP373" s="1">
        <v>0</v>
      </c>
      <c r="BQ373" s="2" t="str">
        <f>HYPERLINK("http://www.d20pfsrd.com/magic/all-spells/o/overland-flight","Overland Flight")</f>
        <v>Overland Flight</v>
      </c>
      <c r="BR373" s="1">
        <v>373</v>
      </c>
      <c r="BS373" s="1" t="s">
        <v>104</v>
      </c>
      <c r="BT373" s="1" t="s">
        <v>2665</v>
      </c>
      <c r="BX373" s="1">
        <v>0</v>
      </c>
      <c r="BY373" s="1" t="s">
        <v>104</v>
      </c>
      <c r="BZ373" s="1">
        <v>5</v>
      </c>
      <c r="CA373" s="1">
        <v>5</v>
      </c>
      <c r="CB373" s="1" t="s">
        <v>104</v>
      </c>
      <c r="CC373" s="1" t="s">
        <v>104</v>
      </c>
      <c r="CD373" s="1">
        <v>5</v>
      </c>
      <c r="CE373" s="1">
        <v>5</v>
      </c>
      <c r="CF373" s="1" t="s">
        <v>104</v>
      </c>
      <c r="CG373" s="1" t="s">
        <v>104</v>
      </c>
      <c r="CH373" s="1" t="s">
        <v>104</v>
      </c>
      <c r="CJ373" s="1">
        <v>0</v>
      </c>
      <c r="CK373" s="1">
        <v>0</v>
      </c>
      <c r="CL373" s="1">
        <v>0</v>
      </c>
      <c r="CM373" s="1">
        <v>5</v>
      </c>
    </row>
    <row r="374" spans="1:91" ht="14.25" customHeight="1" x14ac:dyDescent="0.3">
      <c r="A374" s="1" t="s">
        <v>2666</v>
      </c>
      <c r="B374" s="1" t="s">
        <v>137</v>
      </c>
      <c r="E374" s="1" t="s">
        <v>2667</v>
      </c>
      <c r="F374" s="1" t="s">
        <v>95</v>
      </c>
      <c r="G374" s="1" t="s">
        <v>2668</v>
      </c>
      <c r="H374" s="1">
        <v>0</v>
      </c>
      <c r="I374" s="1" t="s">
        <v>128</v>
      </c>
      <c r="L374" s="1" t="s">
        <v>374</v>
      </c>
      <c r="M374" s="1" t="s">
        <v>130</v>
      </c>
      <c r="N374" s="1">
        <v>0</v>
      </c>
      <c r="O374" s="1">
        <v>0</v>
      </c>
      <c r="P374" s="1" t="s">
        <v>375</v>
      </c>
      <c r="Q374" s="1" t="s">
        <v>184</v>
      </c>
      <c r="R374" s="1" t="s">
        <v>2669</v>
      </c>
      <c r="S374" s="1" t="s">
        <v>103</v>
      </c>
      <c r="T374" s="1">
        <v>1</v>
      </c>
      <c r="U374" s="1">
        <v>1</v>
      </c>
      <c r="V374" s="1">
        <v>1</v>
      </c>
      <c r="W374" s="1">
        <v>0</v>
      </c>
      <c r="X374" s="1">
        <v>1</v>
      </c>
      <c r="Y374" s="1">
        <v>2</v>
      </c>
      <c r="Z374" s="1">
        <v>2</v>
      </c>
      <c r="AA374" s="1">
        <v>2</v>
      </c>
      <c r="AB374" s="1">
        <v>2</v>
      </c>
      <c r="AC374" s="1">
        <v>2</v>
      </c>
      <c r="AD374" s="1" t="s">
        <v>104</v>
      </c>
      <c r="AE374" s="1">
        <v>2</v>
      </c>
      <c r="AF374" s="1">
        <v>2</v>
      </c>
      <c r="AG374" s="1">
        <v>2</v>
      </c>
      <c r="AH374" s="1" t="s">
        <v>104</v>
      </c>
      <c r="AI374" s="1" t="s">
        <v>104</v>
      </c>
      <c r="AJ374" s="1">
        <v>2</v>
      </c>
      <c r="AK374" s="1" t="s">
        <v>104</v>
      </c>
      <c r="AL374" s="1" t="s">
        <v>104</v>
      </c>
      <c r="AM374" s="1" t="s">
        <v>104</v>
      </c>
      <c r="AO374" s="1">
        <v>2</v>
      </c>
      <c r="AQ374" s="1" t="s">
        <v>2670</v>
      </c>
      <c r="AR374" s="1">
        <v>0</v>
      </c>
      <c r="AS374" s="1">
        <v>0</v>
      </c>
      <c r="AT374" s="1">
        <v>0</v>
      </c>
      <c r="AU374" s="1">
        <v>0</v>
      </c>
      <c r="AV374" s="1">
        <v>0</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0</v>
      </c>
      <c r="BM374" s="1">
        <v>0</v>
      </c>
      <c r="BN374" s="1">
        <v>0</v>
      </c>
      <c r="BO374" s="1">
        <v>0</v>
      </c>
      <c r="BP374" s="1">
        <v>0</v>
      </c>
      <c r="BQ374" s="2" t="str">
        <f>HYPERLINK("http://www.d20pfsrd.com/magic/all-spells/o/owl-s-wisdom","Owl's Wisdom")</f>
        <v>Owl's Wisdom</v>
      </c>
      <c r="BR374" s="1">
        <v>374</v>
      </c>
      <c r="BS374" s="1" t="s">
        <v>104</v>
      </c>
      <c r="BU374" s="1" t="s">
        <v>2671</v>
      </c>
      <c r="BX374" s="1">
        <v>0</v>
      </c>
      <c r="BY374" s="1" t="s">
        <v>104</v>
      </c>
      <c r="BZ374" s="1">
        <v>2</v>
      </c>
      <c r="CA374" s="1">
        <v>2</v>
      </c>
      <c r="CB374" s="1">
        <v>2</v>
      </c>
      <c r="CC374" s="1" t="s">
        <v>104</v>
      </c>
      <c r="CD374" s="1" t="s">
        <v>104</v>
      </c>
      <c r="CE374" s="1" t="s">
        <v>104</v>
      </c>
      <c r="CF374" s="1" t="s">
        <v>104</v>
      </c>
      <c r="CG374" s="1" t="s">
        <v>104</v>
      </c>
      <c r="CH374" s="1">
        <v>2</v>
      </c>
      <c r="CJ374" s="1">
        <v>0</v>
      </c>
      <c r="CK374" s="1">
        <v>0</v>
      </c>
      <c r="CL374" s="1">
        <v>0</v>
      </c>
      <c r="CM374" s="1">
        <v>2</v>
      </c>
    </row>
    <row r="375" spans="1:91" ht="14.25" customHeight="1" x14ac:dyDescent="0.3">
      <c r="A375" s="1" t="s">
        <v>2672</v>
      </c>
      <c r="B375" s="1" t="s">
        <v>137</v>
      </c>
      <c r="E375" s="1" t="s">
        <v>2673</v>
      </c>
      <c r="F375" s="1" t="s">
        <v>95</v>
      </c>
      <c r="G375" s="1" t="s">
        <v>2668</v>
      </c>
      <c r="H375" s="1">
        <v>0</v>
      </c>
      <c r="I375" s="1" t="s">
        <v>117</v>
      </c>
      <c r="L375" s="1" t="s">
        <v>541</v>
      </c>
      <c r="M375" s="1" t="s">
        <v>130</v>
      </c>
      <c r="N375" s="1">
        <v>0</v>
      </c>
      <c r="O375" s="1">
        <v>0</v>
      </c>
      <c r="P375" s="1" t="s">
        <v>375</v>
      </c>
      <c r="Q375" s="1" t="s">
        <v>184</v>
      </c>
      <c r="R375" s="1" t="s">
        <v>2674</v>
      </c>
      <c r="S375" s="1" t="s">
        <v>103</v>
      </c>
      <c r="T375" s="1">
        <v>1</v>
      </c>
      <c r="U375" s="1">
        <v>1</v>
      </c>
      <c r="V375" s="1">
        <v>1</v>
      </c>
      <c r="W375" s="1">
        <v>0</v>
      </c>
      <c r="X375" s="1">
        <v>1</v>
      </c>
      <c r="Y375" s="1">
        <v>6</v>
      </c>
      <c r="Z375" s="1">
        <v>6</v>
      </c>
      <c r="AA375" s="1">
        <v>6</v>
      </c>
      <c r="AB375" s="1">
        <v>6</v>
      </c>
      <c r="AC375" s="1" t="s">
        <v>104</v>
      </c>
      <c r="AD375" s="1" t="s">
        <v>104</v>
      </c>
      <c r="AE375" s="1" t="s">
        <v>104</v>
      </c>
      <c r="AF375" s="1" t="s">
        <v>104</v>
      </c>
      <c r="AG375" s="1">
        <v>4</v>
      </c>
      <c r="AH375" s="1" t="s">
        <v>104</v>
      </c>
      <c r="AI375" s="1" t="s">
        <v>104</v>
      </c>
      <c r="AJ375" s="1">
        <v>6</v>
      </c>
      <c r="AK375" s="1" t="s">
        <v>104</v>
      </c>
      <c r="AL375" s="1" t="s">
        <v>104</v>
      </c>
      <c r="AM375" s="1" t="s">
        <v>104</v>
      </c>
      <c r="AO375" s="1">
        <v>6</v>
      </c>
      <c r="AQ375" s="1" t="s">
        <v>2675</v>
      </c>
      <c r="AR375" s="1">
        <v>0</v>
      </c>
      <c r="AS375" s="1">
        <v>0</v>
      </c>
      <c r="AT375" s="1">
        <v>0</v>
      </c>
      <c r="AU375" s="1">
        <v>0</v>
      </c>
      <c r="AV375" s="1">
        <v>0</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0</v>
      </c>
      <c r="BM375" s="1">
        <v>0</v>
      </c>
      <c r="BN375" s="1">
        <v>0</v>
      </c>
      <c r="BO375" s="1">
        <v>0</v>
      </c>
      <c r="BP375" s="1">
        <v>0</v>
      </c>
      <c r="BQ375" s="2" t="str">
        <f>HYPERLINK("http://www.d20pfsrd.com/magic/all-spells/o/owl-s-wisdom","Owl's Wisdom, Mass")</f>
        <v>Owl's Wisdom, Mass</v>
      </c>
      <c r="BR375" s="1">
        <v>375</v>
      </c>
      <c r="BS375" s="1" t="s">
        <v>104</v>
      </c>
      <c r="BX375" s="1">
        <v>0</v>
      </c>
      <c r="BY375" s="1" t="s">
        <v>104</v>
      </c>
      <c r="BZ375" s="1">
        <v>6</v>
      </c>
      <c r="CA375" s="1">
        <v>6</v>
      </c>
      <c r="CB375" s="1" t="s">
        <v>104</v>
      </c>
      <c r="CC375" s="1" t="s">
        <v>104</v>
      </c>
      <c r="CD375" s="1" t="s">
        <v>104</v>
      </c>
      <c r="CE375" s="1" t="s">
        <v>104</v>
      </c>
      <c r="CF375" s="1" t="s">
        <v>104</v>
      </c>
      <c r="CG375" s="1" t="s">
        <v>104</v>
      </c>
      <c r="CH375" s="1">
        <v>6</v>
      </c>
      <c r="CJ375" s="1">
        <v>0</v>
      </c>
      <c r="CK375" s="1">
        <v>0</v>
      </c>
      <c r="CL375" s="1">
        <v>0</v>
      </c>
      <c r="CM375" s="1">
        <v>6</v>
      </c>
    </row>
    <row r="376" spans="1:91" ht="14.25" customHeight="1" x14ac:dyDescent="0.3">
      <c r="A376" s="1" t="s">
        <v>2676</v>
      </c>
      <c r="B376" s="1" t="s">
        <v>137</v>
      </c>
      <c r="E376" s="1" t="s">
        <v>2677</v>
      </c>
      <c r="F376" s="1" t="s">
        <v>95</v>
      </c>
      <c r="G376" s="1" t="s">
        <v>2678</v>
      </c>
      <c r="H376" s="1">
        <v>0</v>
      </c>
      <c r="I376" s="1" t="s">
        <v>128</v>
      </c>
      <c r="K376" s="1" t="s">
        <v>2679</v>
      </c>
      <c r="M376" s="1" t="s">
        <v>201</v>
      </c>
      <c r="N376" s="1">
        <v>1</v>
      </c>
      <c r="O376" s="1">
        <v>0</v>
      </c>
      <c r="P376" s="1" t="s">
        <v>100</v>
      </c>
      <c r="Q376" s="1" t="s">
        <v>101</v>
      </c>
      <c r="R376" s="1" t="s">
        <v>2680</v>
      </c>
      <c r="S376" s="1" t="s">
        <v>103</v>
      </c>
      <c r="T376" s="1">
        <v>1</v>
      </c>
      <c r="U376" s="1">
        <v>1</v>
      </c>
      <c r="V376" s="1">
        <v>1</v>
      </c>
      <c r="W376" s="1">
        <v>0</v>
      </c>
      <c r="X376" s="1">
        <v>0</v>
      </c>
      <c r="Y376" s="1">
        <v>5</v>
      </c>
      <c r="Z376" s="1">
        <v>5</v>
      </c>
      <c r="AA376" s="1" t="s">
        <v>104</v>
      </c>
      <c r="AB376" s="1" t="s">
        <v>104</v>
      </c>
      <c r="AC376" s="1" t="s">
        <v>104</v>
      </c>
      <c r="AD376" s="1" t="s">
        <v>104</v>
      </c>
      <c r="AE376" s="1" t="s">
        <v>104</v>
      </c>
      <c r="AF376" s="1" t="s">
        <v>104</v>
      </c>
      <c r="AG376" s="1" t="s">
        <v>104</v>
      </c>
      <c r="AH376" s="1" t="s">
        <v>104</v>
      </c>
      <c r="AI376" s="1" t="s">
        <v>104</v>
      </c>
      <c r="AJ376" s="1" t="s">
        <v>104</v>
      </c>
      <c r="AK376" s="1" t="s">
        <v>104</v>
      </c>
      <c r="AL376" s="1" t="s">
        <v>104</v>
      </c>
      <c r="AM376" s="1" t="s">
        <v>104</v>
      </c>
      <c r="AO376" s="1">
        <v>5</v>
      </c>
      <c r="AQ376" s="1" t="s">
        <v>2681</v>
      </c>
      <c r="AR376" s="1">
        <v>0</v>
      </c>
      <c r="AS376" s="1">
        <v>0</v>
      </c>
      <c r="AT376" s="1">
        <v>0</v>
      </c>
      <c r="AU376" s="1">
        <v>0</v>
      </c>
      <c r="AV376" s="1">
        <v>0</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2" t="str">
        <f>HYPERLINK("http://www.d20pfsrd.com/magic/all-spells/p/passwall","Passwall")</f>
        <v>Passwall</v>
      </c>
      <c r="BR376" s="1">
        <v>376</v>
      </c>
      <c r="BS376" s="1" t="s">
        <v>104</v>
      </c>
      <c r="BU376" s="1" t="s">
        <v>2682</v>
      </c>
      <c r="BX376" s="1">
        <v>0</v>
      </c>
      <c r="BY376" s="1" t="s">
        <v>104</v>
      </c>
      <c r="BZ376" s="1" t="s">
        <v>104</v>
      </c>
      <c r="CA376" s="1">
        <v>5</v>
      </c>
      <c r="CB376" s="1" t="s">
        <v>104</v>
      </c>
      <c r="CC376" s="1">
        <v>5</v>
      </c>
      <c r="CD376" s="1" t="s">
        <v>104</v>
      </c>
      <c r="CE376" s="1" t="s">
        <v>104</v>
      </c>
      <c r="CF376" s="1" t="s">
        <v>104</v>
      </c>
      <c r="CG376" s="1" t="s">
        <v>104</v>
      </c>
      <c r="CH376" s="1" t="s">
        <v>104</v>
      </c>
      <c r="CJ376" s="1">
        <v>0</v>
      </c>
      <c r="CK376" s="1">
        <v>0</v>
      </c>
      <c r="CL376" s="1">
        <v>0</v>
      </c>
      <c r="CM376" s="1" t="s">
        <v>104</v>
      </c>
    </row>
    <row r="377" spans="1:91" ht="14.25" customHeight="1" x14ac:dyDescent="0.3">
      <c r="A377" s="1" t="s">
        <v>2683</v>
      </c>
      <c r="B377" s="1" t="s">
        <v>137</v>
      </c>
      <c r="E377" s="1" t="s">
        <v>2684</v>
      </c>
      <c r="F377" s="1" t="s">
        <v>95</v>
      </c>
      <c r="G377" s="1" t="s">
        <v>127</v>
      </c>
      <c r="H377" s="1">
        <v>0</v>
      </c>
      <c r="I377" s="1" t="s">
        <v>128</v>
      </c>
      <c r="L377" s="1" t="s">
        <v>2685</v>
      </c>
      <c r="M377" s="1" t="s">
        <v>201</v>
      </c>
      <c r="N377" s="1">
        <v>1</v>
      </c>
      <c r="O377" s="1">
        <v>0</v>
      </c>
      <c r="P377" s="1" t="s">
        <v>375</v>
      </c>
      <c r="Q377" s="1" t="s">
        <v>131</v>
      </c>
      <c r="R377" s="1" t="s">
        <v>2686</v>
      </c>
      <c r="S377" s="1" t="s">
        <v>103</v>
      </c>
      <c r="T377" s="1">
        <v>1</v>
      </c>
      <c r="U377" s="1">
        <v>1</v>
      </c>
      <c r="V377" s="1">
        <v>0</v>
      </c>
      <c r="W377" s="1">
        <v>0</v>
      </c>
      <c r="X377" s="1">
        <v>1</v>
      </c>
      <c r="Y377" s="1" t="s">
        <v>104</v>
      </c>
      <c r="Z377" s="1" t="s">
        <v>104</v>
      </c>
      <c r="AA377" s="1" t="s">
        <v>104</v>
      </c>
      <c r="AB377" s="1">
        <v>1</v>
      </c>
      <c r="AC377" s="1">
        <v>1</v>
      </c>
      <c r="AD377" s="1" t="s">
        <v>104</v>
      </c>
      <c r="AE377" s="1" t="s">
        <v>104</v>
      </c>
      <c r="AF377" s="1" t="s">
        <v>104</v>
      </c>
      <c r="AG377" s="1" t="s">
        <v>104</v>
      </c>
      <c r="AH377" s="1" t="s">
        <v>104</v>
      </c>
      <c r="AI377" s="1" t="s">
        <v>104</v>
      </c>
      <c r="AJ377" s="1" t="s">
        <v>104</v>
      </c>
      <c r="AK377" s="1" t="s">
        <v>104</v>
      </c>
      <c r="AL377" s="1" t="s">
        <v>104</v>
      </c>
      <c r="AM377" s="1" t="s">
        <v>104</v>
      </c>
      <c r="AO377" s="1">
        <v>1</v>
      </c>
      <c r="AQ377" s="1" t="s">
        <v>2687</v>
      </c>
      <c r="AR377" s="1">
        <v>0</v>
      </c>
      <c r="AS377" s="1">
        <v>0</v>
      </c>
      <c r="AT377" s="1">
        <v>0</v>
      </c>
      <c r="AU377" s="1">
        <v>0</v>
      </c>
      <c r="AV377" s="1">
        <v>0</v>
      </c>
      <c r="AW377" s="1">
        <v>0</v>
      </c>
      <c r="AX377" s="1">
        <v>0</v>
      </c>
      <c r="AY377" s="1">
        <v>0</v>
      </c>
      <c r="AZ377" s="1">
        <v>0</v>
      </c>
      <c r="BA377" s="1">
        <v>0</v>
      </c>
      <c r="BB377" s="1">
        <v>0</v>
      </c>
      <c r="BC377" s="1">
        <v>0</v>
      </c>
      <c r="BD377" s="1">
        <v>0</v>
      </c>
      <c r="BE377" s="1">
        <v>0</v>
      </c>
      <c r="BF377" s="1">
        <v>0</v>
      </c>
      <c r="BG377" s="1">
        <v>0</v>
      </c>
      <c r="BH377" s="1">
        <v>0</v>
      </c>
      <c r="BI377" s="1">
        <v>0</v>
      </c>
      <c r="BJ377" s="1">
        <v>0</v>
      </c>
      <c r="BK377" s="1">
        <v>0</v>
      </c>
      <c r="BL377" s="1">
        <v>0</v>
      </c>
      <c r="BM377" s="1">
        <v>0</v>
      </c>
      <c r="BN377" s="1">
        <v>0</v>
      </c>
      <c r="BO377" s="1">
        <v>0</v>
      </c>
      <c r="BP377" s="1">
        <v>0</v>
      </c>
      <c r="BQ377" s="2" t="str">
        <f>HYPERLINK("http://www.d20pfsrd.com/magic/all-spells/p/pass-without-trace","Pass without Trace")</f>
        <v>Pass without Trace</v>
      </c>
      <c r="BR377" s="1">
        <v>377</v>
      </c>
      <c r="BS377" s="1" t="s">
        <v>104</v>
      </c>
      <c r="BX377" s="1">
        <v>0</v>
      </c>
      <c r="BY377" s="1" t="s">
        <v>104</v>
      </c>
      <c r="BZ377" s="1">
        <v>1</v>
      </c>
      <c r="CA377" s="1" t="s">
        <v>104</v>
      </c>
      <c r="CB377" s="1" t="s">
        <v>104</v>
      </c>
      <c r="CC377" s="1" t="s">
        <v>104</v>
      </c>
      <c r="CD377" s="1">
        <v>1</v>
      </c>
      <c r="CE377" s="1" t="s">
        <v>104</v>
      </c>
      <c r="CF377" s="1" t="s">
        <v>104</v>
      </c>
      <c r="CG377" s="1" t="s">
        <v>104</v>
      </c>
      <c r="CH377" s="1">
        <v>1</v>
      </c>
      <c r="CJ377" s="1">
        <v>0</v>
      </c>
      <c r="CK377" s="1">
        <v>0</v>
      </c>
      <c r="CL377" s="1">
        <v>0</v>
      </c>
      <c r="CM377" s="1" t="s">
        <v>104</v>
      </c>
    </row>
    <row r="378" spans="1:91" ht="14.25" customHeight="1" x14ac:dyDescent="0.3">
      <c r="A378" s="1" t="s">
        <v>2688</v>
      </c>
      <c r="B378" s="1" t="s">
        <v>303</v>
      </c>
      <c r="E378" s="1" t="s">
        <v>2689</v>
      </c>
      <c r="F378" s="1" t="s">
        <v>2690</v>
      </c>
      <c r="G378" s="1" t="s">
        <v>2691</v>
      </c>
      <c r="H378" s="1">
        <v>1</v>
      </c>
      <c r="I378" s="1" t="s">
        <v>145</v>
      </c>
      <c r="L378" s="1" t="s">
        <v>145</v>
      </c>
      <c r="M378" s="1" t="s">
        <v>2486</v>
      </c>
      <c r="N378" s="1">
        <v>0</v>
      </c>
      <c r="O378" s="1">
        <v>0</v>
      </c>
      <c r="P378" s="1" t="s">
        <v>100</v>
      </c>
      <c r="Q378" s="1" t="s">
        <v>101</v>
      </c>
      <c r="R378" s="1" t="s">
        <v>2692</v>
      </c>
      <c r="S378" s="1" t="s">
        <v>103</v>
      </c>
      <c r="T378" s="1">
        <v>1</v>
      </c>
      <c r="U378" s="1">
        <v>1</v>
      </c>
      <c r="V378" s="1">
        <v>1</v>
      </c>
      <c r="W378" s="1">
        <v>0</v>
      </c>
      <c r="X378" s="1">
        <v>0</v>
      </c>
      <c r="Y378" s="1">
        <v>5</v>
      </c>
      <c r="Z378" s="1">
        <v>5</v>
      </c>
      <c r="AA378" s="1" t="s">
        <v>104</v>
      </c>
      <c r="AB378" s="1" t="s">
        <v>104</v>
      </c>
      <c r="AC378" s="1" t="s">
        <v>104</v>
      </c>
      <c r="AD378" s="1" t="s">
        <v>104</v>
      </c>
      <c r="AE378" s="1" t="s">
        <v>104</v>
      </c>
      <c r="AF378" s="1" t="s">
        <v>104</v>
      </c>
      <c r="AG378" s="1" t="s">
        <v>104</v>
      </c>
      <c r="AH378" s="1" t="s">
        <v>104</v>
      </c>
      <c r="AI378" s="1" t="s">
        <v>104</v>
      </c>
      <c r="AJ378" s="1" t="s">
        <v>104</v>
      </c>
      <c r="AK378" s="1" t="s">
        <v>104</v>
      </c>
      <c r="AL378" s="1" t="s">
        <v>104</v>
      </c>
      <c r="AM378" s="1" t="s">
        <v>104</v>
      </c>
      <c r="AO378" s="1">
        <v>5</v>
      </c>
      <c r="AQ378" s="1" t="s">
        <v>2693</v>
      </c>
      <c r="AR378" s="1">
        <v>0</v>
      </c>
      <c r="AS378" s="1">
        <v>0</v>
      </c>
      <c r="AT378" s="1">
        <v>0</v>
      </c>
      <c r="AU378" s="1">
        <v>0</v>
      </c>
      <c r="AV378" s="1">
        <v>0</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2" t="str">
        <f>HYPERLINK("http://www.d20pfsrd.com/magic/all-spells/p/permanency","Permanency")</f>
        <v>Permanency</v>
      </c>
      <c r="BR378" s="1">
        <v>378</v>
      </c>
      <c r="BS378" s="1">
        <v>0</v>
      </c>
      <c r="BX378" s="1">
        <v>0</v>
      </c>
      <c r="BY378" s="1" t="s">
        <v>104</v>
      </c>
      <c r="BZ378" s="1" t="s">
        <v>104</v>
      </c>
      <c r="CA378" s="1">
        <v>5</v>
      </c>
      <c r="CB378" s="1" t="s">
        <v>104</v>
      </c>
      <c r="CC378" s="1" t="s">
        <v>104</v>
      </c>
      <c r="CD378" s="1" t="s">
        <v>104</v>
      </c>
      <c r="CE378" s="1" t="s">
        <v>104</v>
      </c>
      <c r="CF378" s="1" t="s">
        <v>104</v>
      </c>
      <c r="CG378" s="1" t="s">
        <v>104</v>
      </c>
      <c r="CH378" s="1" t="s">
        <v>104</v>
      </c>
      <c r="CJ378" s="1">
        <v>0</v>
      </c>
      <c r="CK378" s="1">
        <v>0</v>
      </c>
      <c r="CL378" s="1">
        <v>0</v>
      </c>
      <c r="CM378" s="1" t="s">
        <v>104</v>
      </c>
    </row>
    <row r="379" spans="1:91" ht="14.25" customHeight="1" x14ac:dyDescent="0.3">
      <c r="A379" s="1" t="s">
        <v>2694</v>
      </c>
      <c r="B379" s="1" t="s">
        <v>507</v>
      </c>
      <c r="C379" s="1" t="s">
        <v>1767</v>
      </c>
      <c r="E379" s="1" t="s">
        <v>2695</v>
      </c>
      <c r="F379" s="1" t="s">
        <v>95</v>
      </c>
      <c r="G379" s="1" t="s">
        <v>2469</v>
      </c>
      <c r="H379" s="1">
        <v>0</v>
      </c>
      <c r="I379" s="1" t="s">
        <v>97</v>
      </c>
      <c r="K379" s="1" t="s">
        <v>2696</v>
      </c>
      <c r="M379" s="1" t="s">
        <v>298</v>
      </c>
      <c r="N379" s="1">
        <v>1</v>
      </c>
      <c r="O379" s="1">
        <v>0</v>
      </c>
      <c r="P379" s="1" t="s">
        <v>1894</v>
      </c>
      <c r="Q379" s="1" t="s">
        <v>101</v>
      </c>
      <c r="R379" s="1" t="s">
        <v>2697</v>
      </c>
      <c r="S379" s="1" t="s">
        <v>103</v>
      </c>
      <c r="T379" s="1">
        <v>1</v>
      </c>
      <c r="U379" s="1">
        <v>1</v>
      </c>
      <c r="V379" s="1">
        <v>0</v>
      </c>
      <c r="W379" s="1">
        <v>1</v>
      </c>
      <c r="X379" s="1">
        <v>0</v>
      </c>
      <c r="Y379" s="1">
        <v>6</v>
      </c>
      <c r="Z379" s="1">
        <v>6</v>
      </c>
      <c r="AA379" s="1" t="s">
        <v>104</v>
      </c>
      <c r="AB379" s="1" t="s">
        <v>104</v>
      </c>
      <c r="AC379" s="1" t="s">
        <v>104</v>
      </c>
      <c r="AD379" s="1">
        <v>6</v>
      </c>
      <c r="AE379" s="1" t="s">
        <v>104</v>
      </c>
      <c r="AF379" s="1" t="s">
        <v>104</v>
      </c>
      <c r="AG379" s="1" t="s">
        <v>104</v>
      </c>
      <c r="AH379" s="1" t="s">
        <v>104</v>
      </c>
      <c r="AI379" s="1" t="s">
        <v>104</v>
      </c>
      <c r="AJ379" s="1" t="s">
        <v>104</v>
      </c>
      <c r="AK379" s="1" t="s">
        <v>104</v>
      </c>
      <c r="AL379" s="1" t="s">
        <v>104</v>
      </c>
      <c r="AM379" s="1" t="s">
        <v>104</v>
      </c>
      <c r="AO379" s="1">
        <v>6</v>
      </c>
      <c r="AQ379" s="1" t="s">
        <v>2698</v>
      </c>
      <c r="AR379" s="1">
        <v>0</v>
      </c>
      <c r="AS379" s="1">
        <v>0</v>
      </c>
      <c r="AT379" s="1">
        <v>0</v>
      </c>
      <c r="AU379" s="1">
        <v>0</v>
      </c>
      <c r="AV379" s="1">
        <v>0</v>
      </c>
      <c r="AW379" s="1">
        <v>0</v>
      </c>
      <c r="AX379" s="1">
        <v>0</v>
      </c>
      <c r="AY379" s="1">
        <v>0</v>
      </c>
      <c r="AZ379" s="1">
        <v>0</v>
      </c>
      <c r="BA379" s="1">
        <v>0</v>
      </c>
      <c r="BB379" s="1">
        <v>0</v>
      </c>
      <c r="BC379" s="1">
        <v>0</v>
      </c>
      <c r="BD379" s="1">
        <v>0</v>
      </c>
      <c r="BE379" s="1">
        <v>0</v>
      </c>
      <c r="BF379" s="1">
        <v>0</v>
      </c>
      <c r="BG379" s="1">
        <v>0</v>
      </c>
      <c r="BH379" s="1">
        <v>0</v>
      </c>
      <c r="BI379" s="1">
        <v>0</v>
      </c>
      <c r="BJ379" s="1">
        <v>0</v>
      </c>
      <c r="BK379" s="1">
        <v>0</v>
      </c>
      <c r="BL379" s="1">
        <v>0</v>
      </c>
      <c r="BM379" s="1">
        <v>0</v>
      </c>
      <c r="BN379" s="1">
        <v>0</v>
      </c>
      <c r="BO379" s="1">
        <v>0</v>
      </c>
      <c r="BP379" s="1">
        <v>0</v>
      </c>
      <c r="BQ379" s="2" t="str">
        <f>HYPERLINK("http://www.d20pfsrd.com/magic/all-spells/p/permanent-image","Permanent Image")</f>
        <v>Permanent Image</v>
      </c>
      <c r="BR379" s="1">
        <v>379</v>
      </c>
      <c r="BS379" s="1" t="s">
        <v>104</v>
      </c>
      <c r="BX379" s="1">
        <v>0</v>
      </c>
      <c r="BY379" s="1" t="s">
        <v>104</v>
      </c>
      <c r="BZ379" s="1" t="s">
        <v>104</v>
      </c>
      <c r="CA379" s="1">
        <v>6</v>
      </c>
      <c r="CB379" s="1" t="s">
        <v>104</v>
      </c>
      <c r="CC379" s="1">
        <v>6</v>
      </c>
      <c r="CD379" s="1">
        <v>6</v>
      </c>
      <c r="CE379" s="1" t="s">
        <v>104</v>
      </c>
      <c r="CF379" s="1" t="s">
        <v>104</v>
      </c>
      <c r="CG379" s="1" t="s">
        <v>104</v>
      </c>
      <c r="CH379" s="1" t="s">
        <v>104</v>
      </c>
      <c r="CJ379" s="1">
        <v>0</v>
      </c>
      <c r="CK379" s="1">
        <v>0</v>
      </c>
      <c r="CL379" s="1">
        <v>0</v>
      </c>
      <c r="CM379" s="1" t="s">
        <v>104</v>
      </c>
    </row>
    <row r="380" spans="1:91" ht="14.25" customHeight="1" x14ac:dyDescent="0.3">
      <c r="A380" s="1" t="s">
        <v>2699</v>
      </c>
      <c r="B380" s="1" t="s">
        <v>507</v>
      </c>
      <c r="C380" s="1" t="s">
        <v>1767</v>
      </c>
      <c r="E380" s="1" t="s">
        <v>2700</v>
      </c>
      <c r="F380" s="1" t="s">
        <v>95</v>
      </c>
      <c r="G380" s="1" t="s">
        <v>2469</v>
      </c>
      <c r="H380" s="1">
        <v>0</v>
      </c>
      <c r="I380" s="1" t="s">
        <v>97</v>
      </c>
      <c r="K380" s="1" t="s">
        <v>2470</v>
      </c>
      <c r="M380" s="1" t="s">
        <v>130</v>
      </c>
      <c r="N380" s="1">
        <v>1</v>
      </c>
      <c r="O380" s="1">
        <v>0</v>
      </c>
      <c r="P380" s="1" t="s">
        <v>1894</v>
      </c>
      <c r="Q380" s="1" t="s">
        <v>101</v>
      </c>
      <c r="R380" s="1" t="s">
        <v>2701</v>
      </c>
      <c r="S380" s="1" t="s">
        <v>103</v>
      </c>
      <c r="T380" s="1">
        <v>1</v>
      </c>
      <c r="U380" s="1">
        <v>1</v>
      </c>
      <c r="V380" s="1">
        <v>0</v>
      </c>
      <c r="W380" s="1">
        <v>1</v>
      </c>
      <c r="X380" s="1">
        <v>0</v>
      </c>
      <c r="Y380" s="1">
        <v>5</v>
      </c>
      <c r="Z380" s="1">
        <v>5</v>
      </c>
      <c r="AA380" s="1" t="s">
        <v>104</v>
      </c>
      <c r="AB380" s="1" t="s">
        <v>104</v>
      </c>
      <c r="AC380" s="1" t="s">
        <v>104</v>
      </c>
      <c r="AD380" s="1">
        <v>5</v>
      </c>
      <c r="AE380" s="1" t="s">
        <v>104</v>
      </c>
      <c r="AF380" s="1" t="s">
        <v>104</v>
      </c>
      <c r="AG380" s="1" t="s">
        <v>104</v>
      </c>
      <c r="AH380" s="1" t="s">
        <v>104</v>
      </c>
      <c r="AI380" s="1" t="s">
        <v>104</v>
      </c>
      <c r="AJ380" s="1" t="s">
        <v>104</v>
      </c>
      <c r="AK380" s="1" t="s">
        <v>104</v>
      </c>
      <c r="AL380" s="1" t="s">
        <v>104</v>
      </c>
      <c r="AM380" s="1" t="s">
        <v>104</v>
      </c>
      <c r="AO380" s="1">
        <v>5</v>
      </c>
      <c r="AQ380" s="1" t="s">
        <v>2702</v>
      </c>
      <c r="AR380" s="1">
        <v>0</v>
      </c>
      <c r="AS380" s="1">
        <v>0</v>
      </c>
      <c r="AT380" s="1">
        <v>0</v>
      </c>
      <c r="AU380" s="1">
        <v>0</v>
      </c>
      <c r="AV380" s="1">
        <v>0</v>
      </c>
      <c r="AW380" s="1">
        <v>0</v>
      </c>
      <c r="AX380" s="1">
        <v>0</v>
      </c>
      <c r="AY380" s="1">
        <v>0</v>
      </c>
      <c r="AZ380" s="1">
        <v>0</v>
      </c>
      <c r="BA380" s="1">
        <v>0</v>
      </c>
      <c r="BB380" s="1">
        <v>0</v>
      </c>
      <c r="BC380" s="1">
        <v>0</v>
      </c>
      <c r="BD380" s="1">
        <v>0</v>
      </c>
      <c r="BE380" s="1">
        <v>0</v>
      </c>
      <c r="BF380" s="1">
        <v>0</v>
      </c>
      <c r="BG380" s="1">
        <v>0</v>
      </c>
      <c r="BH380" s="1">
        <v>0</v>
      </c>
      <c r="BI380" s="1">
        <v>0</v>
      </c>
      <c r="BJ380" s="1">
        <v>0</v>
      </c>
      <c r="BK380" s="1">
        <v>0</v>
      </c>
      <c r="BL380" s="1">
        <v>0</v>
      </c>
      <c r="BM380" s="1">
        <v>0</v>
      </c>
      <c r="BN380" s="1">
        <v>0</v>
      </c>
      <c r="BO380" s="1">
        <v>0</v>
      </c>
      <c r="BP380" s="1">
        <v>0</v>
      </c>
      <c r="BQ380" s="2" t="str">
        <f>HYPERLINK("http://www.d20pfsrd.com/magic/all-spells/p/persistent-image","Persistent Image")</f>
        <v>Persistent Image</v>
      </c>
      <c r="BR380" s="1">
        <v>380</v>
      </c>
      <c r="BS380" s="1" t="s">
        <v>104</v>
      </c>
      <c r="BT380" s="1" t="s">
        <v>2703</v>
      </c>
      <c r="BX380" s="1">
        <v>0</v>
      </c>
      <c r="BY380" s="1" t="s">
        <v>104</v>
      </c>
      <c r="BZ380" s="1" t="s">
        <v>104</v>
      </c>
      <c r="CA380" s="1">
        <v>5</v>
      </c>
      <c r="CB380" s="1">
        <v>4</v>
      </c>
      <c r="CC380" s="1">
        <v>5</v>
      </c>
      <c r="CD380" s="1">
        <v>5</v>
      </c>
      <c r="CE380" s="1" t="s">
        <v>104</v>
      </c>
      <c r="CF380" s="1" t="s">
        <v>104</v>
      </c>
      <c r="CG380" s="1" t="s">
        <v>104</v>
      </c>
      <c r="CH380" s="1" t="s">
        <v>104</v>
      </c>
      <c r="CJ380" s="1">
        <v>0</v>
      </c>
      <c r="CK380" s="1">
        <v>0</v>
      </c>
      <c r="CL380" s="1">
        <v>0</v>
      </c>
      <c r="CM380" s="1" t="s">
        <v>104</v>
      </c>
    </row>
    <row r="381" spans="1:91" ht="14.25" customHeight="1" x14ac:dyDescent="0.3">
      <c r="A381" s="1" t="s">
        <v>2704</v>
      </c>
      <c r="B381" s="1" t="s">
        <v>507</v>
      </c>
      <c r="C381" s="1" t="s">
        <v>1308</v>
      </c>
      <c r="D381" s="1" t="s">
        <v>347</v>
      </c>
      <c r="E381" s="1" t="s">
        <v>2705</v>
      </c>
      <c r="F381" s="1" t="s">
        <v>95</v>
      </c>
      <c r="G381" s="1" t="s">
        <v>116</v>
      </c>
      <c r="H381" s="1">
        <v>0</v>
      </c>
      <c r="I381" s="1" t="s">
        <v>109</v>
      </c>
      <c r="L381" s="1" t="s">
        <v>417</v>
      </c>
      <c r="M381" s="1" t="s">
        <v>119</v>
      </c>
      <c r="N381" s="1">
        <v>0</v>
      </c>
      <c r="O381" s="1">
        <v>0</v>
      </c>
      <c r="P381" s="1" t="s">
        <v>2706</v>
      </c>
      <c r="Q381" s="1" t="s">
        <v>184</v>
      </c>
      <c r="R381" s="1" t="s">
        <v>2707</v>
      </c>
      <c r="S381" s="1" t="s">
        <v>103</v>
      </c>
      <c r="T381" s="1">
        <v>1</v>
      </c>
      <c r="U381" s="1">
        <v>1</v>
      </c>
      <c r="V381" s="1">
        <v>0</v>
      </c>
      <c r="W381" s="1">
        <v>0</v>
      </c>
      <c r="X381" s="1">
        <v>0</v>
      </c>
      <c r="Y381" s="1">
        <v>4</v>
      </c>
      <c r="Z381" s="1">
        <v>4</v>
      </c>
      <c r="AA381" s="1" t="s">
        <v>104</v>
      </c>
      <c r="AB381" s="1" t="s">
        <v>104</v>
      </c>
      <c r="AC381" s="1" t="s">
        <v>104</v>
      </c>
      <c r="AD381" s="1" t="s">
        <v>104</v>
      </c>
      <c r="AE381" s="1" t="s">
        <v>104</v>
      </c>
      <c r="AF381" s="1" t="s">
        <v>104</v>
      </c>
      <c r="AG381" s="1" t="s">
        <v>104</v>
      </c>
      <c r="AH381" s="1">
        <v>4</v>
      </c>
      <c r="AI381" s="1" t="s">
        <v>104</v>
      </c>
      <c r="AJ381" s="1" t="s">
        <v>104</v>
      </c>
      <c r="AK381" s="1" t="s">
        <v>104</v>
      </c>
      <c r="AL381" s="1">
        <v>4</v>
      </c>
      <c r="AM381" s="1" t="s">
        <v>104</v>
      </c>
      <c r="AO381" s="1">
        <v>4</v>
      </c>
      <c r="AP381" s="1" t="s">
        <v>2708</v>
      </c>
      <c r="AQ381" s="1" t="s">
        <v>2709</v>
      </c>
      <c r="AR381" s="1">
        <v>0</v>
      </c>
      <c r="AS381" s="1">
        <v>0</v>
      </c>
      <c r="AT381" s="1">
        <v>0</v>
      </c>
      <c r="AU381" s="1">
        <v>0</v>
      </c>
      <c r="AV381" s="1">
        <v>0</v>
      </c>
      <c r="AW381" s="1">
        <v>0</v>
      </c>
      <c r="AX381" s="1">
        <v>0</v>
      </c>
      <c r="AY381" s="1">
        <v>0</v>
      </c>
      <c r="AZ381" s="1">
        <v>0</v>
      </c>
      <c r="BA381" s="1">
        <v>0</v>
      </c>
      <c r="BB381" s="1">
        <v>0</v>
      </c>
      <c r="BC381" s="1">
        <v>0</v>
      </c>
      <c r="BD381" s="1">
        <v>1</v>
      </c>
      <c r="BE381" s="1">
        <v>0</v>
      </c>
      <c r="BF381" s="1">
        <v>0</v>
      </c>
      <c r="BG381" s="1">
        <v>0</v>
      </c>
      <c r="BH381" s="1">
        <v>0</v>
      </c>
      <c r="BI381" s="1">
        <v>0</v>
      </c>
      <c r="BJ381" s="1">
        <v>0</v>
      </c>
      <c r="BK381" s="1">
        <v>1</v>
      </c>
      <c r="BL381" s="1">
        <v>0</v>
      </c>
      <c r="BM381" s="1">
        <v>0</v>
      </c>
      <c r="BN381" s="1">
        <v>0</v>
      </c>
      <c r="BO381" s="1">
        <v>0</v>
      </c>
      <c r="BP381" s="1">
        <v>0</v>
      </c>
      <c r="BQ381" s="2" t="str">
        <f>HYPERLINK("http://www.d20pfsrd.com/magic/all-spells/p/phantasmal-killer","Phantasmal Killer")</f>
        <v>Phantasmal Killer</v>
      </c>
      <c r="BR381" s="1">
        <v>381</v>
      </c>
      <c r="BS381" s="1" t="s">
        <v>104</v>
      </c>
      <c r="BV381" s="1" t="s">
        <v>2710</v>
      </c>
      <c r="BW381" s="1" t="s">
        <v>2711</v>
      </c>
      <c r="BX381" s="1">
        <v>1</v>
      </c>
      <c r="BY381" s="1">
        <v>4</v>
      </c>
      <c r="BZ381" s="1" t="s">
        <v>104</v>
      </c>
      <c r="CA381" s="1">
        <v>4</v>
      </c>
      <c r="CB381" s="1">
        <v>3</v>
      </c>
      <c r="CC381" s="1">
        <v>4</v>
      </c>
      <c r="CD381" s="1" t="s">
        <v>104</v>
      </c>
      <c r="CE381" s="1">
        <v>4</v>
      </c>
      <c r="CF381" s="1" t="s">
        <v>104</v>
      </c>
      <c r="CG381" s="1" t="s">
        <v>104</v>
      </c>
      <c r="CH381" s="1" t="s">
        <v>104</v>
      </c>
      <c r="CJ381" s="1">
        <v>0</v>
      </c>
      <c r="CK381" s="1">
        <v>0</v>
      </c>
      <c r="CL381" s="1">
        <v>0</v>
      </c>
      <c r="CM381" s="1" t="s">
        <v>104</v>
      </c>
    </row>
    <row r="382" spans="1:91" ht="14.25" customHeight="1" x14ac:dyDescent="0.3">
      <c r="A382" s="1" t="s">
        <v>2712</v>
      </c>
      <c r="B382" s="1" t="s">
        <v>92</v>
      </c>
      <c r="C382" s="1" t="s">
        <v>93</v>
      </c>
      <c r="E382" s="1" t="s">
        <v>2713</v>
      </c>
      <c r="F382" s="1" t="s">
        <v>287</v>
      </c>
      <c r="G382" s="1" t="s">
        <v>116</v>
      </c>
      <c r="H382" s="1">
        <v>0</v>
      </c>
      <c r="I382" s="1" t="s">
        <v>705</v>
      </c>
      <c r="K382" s="1" t="s">
        <v>2714</v>
      </c>
      <c r="M382" s="1" t="s">
        <v>620</v>
      </c>
      <c r="N382" s="1">
        <v>1</v>
      </c>
      <c r="O382" s="1">
        <v>0</v>
      </c>
      <c r="P382" s="1" t="s">
        <v>100</v>
      </c>
      <c r="Q382" s="1" t="s">
        <v>101</v>
      </c>
      <c r="R382" s="1" t="s">
        <v>2715</v>
      </c>
      <c r="S382" s="1" t="s">
        <v>103</v>
      </c>
      <c r="T382" s="1">
        <v>1</v>
      </c>
      <c r="U382" s="1">
        <v>1</v>
      </c>
      <c r="V382" s="1">
        <v>0</v>
      </c>
      <c r="W382" s="1">
        <v>0</v>
      </c>
      <c r="X382" s="1">
        <v>0</v>
      </c>
      <c r="Y382" s="1">
        <v>3</v>
      </c>
      <c r="Z382" s="1">
        <v>3</v>
      </c>
      <c r="AA382" s="1" t="s">
        <v>104</v>
      </c>
      <c r="AB382" s="1" t="s">
        <v>104</v>
      </c>
      <c r="AC382" s="1" t="s">
        <v>104</v>
      </c>
      <c r="AD382" s="1">
        <v>3</v>
      </c>
      <c r="AE382" s="1" t="s">
        <v>104</v>
      </c>
      <c r="AF382" s="1" t="s">
        <v>104</v>
      </c>
      <c r="AG382" s="1">
        <v>2</v>
      </c>
      <c r="AH382" s="1" t="s">
        <v>104</v>
      </c>
      <c r="AI382" s="1" t="s">
        <v>104</v>
      </c>
      <c r="AJ382" s="1" t="s">
        <v>104</v>
      </c>
      <c r="AK382" s="1" t="s">
        <v>104</v>
      </c>
      <c r="AL382" s="1">
        <v>3</v>
      </c>
      <c r="AM382" s="1" t="s">
        <v>104</v>
      </c>
      <c r="AO382" s="1">
        <v>3</v>
      </c>
      <c r="AQ382" s="1" t="s">
        <v>2716</v>
      </c>
      <c r="AR382" s="1">
        <v>0</v>
      </c>
      <c r="AS382" s="1">
        <v>0</v>
      </c>
      <c r="AT382" s="1">
        <v>0</v>
      </c>
      <c r="AU382" s="1">
        <v>0</v>
      </c>
      <c r="AV382" s="1">
        <v>0</v>
      </c>
      <c r="AW382" s="1">
        <v>0</v>
      </c>
      <c r="AX382" s="1">
        <v>0</v>
      </c>
      <c r="AY382" s="1">
        <v>0</v>
      </c>
      <c r="AZ382" s="1">
        <v>0</v>
      </c>
      <c r="BA382" s="1">
        <v>0</v>
      </c>
      <c r="BB382" s="1">
        <v>0</v>
      </c>
      <c r="BC382" s="1">
        <v>0</v>
      </c>
      <c r="BD382" s="1">
        <v>0</v>
      </c>
      <c r="BE382" s="1">
        <v>0</v>
      </c>
      <c r="BF382" s="1">
        <v>0</v>
      </c>
      <c r="BG382" s="1">
        <v>0</v>
      </c>
      <c r="BH382" s="1">
        <v>0</v>
      </c>
      <c r="BI382" s="1">
        <v>0</v>
      </c>
      <c r="BJ382" s="1">
        <v>0</v>
      </c>
      <c r="BK382" s="1">
        <v>0</v>
      </c>
      <c r="BL382" s="1">
        <v>0</v>
      </c>
      <c r="BM382" s="1">
        <v>0</v>
      </c>
      <c r="BN382" s="1">
        <v>0</v>
      </c>
      <c r="BO382" s="1">
        <v>0</v>
      </c>
      <c r="BP382" s="1">
        <v>0</v>
      </c>
      <c r="BQ382" s="2" t="str">
        <f>HYPERLINK("http://www.d20pfsrd.com/magic/all-spells/p/phantom-steed","Phantom Steed")</f>
        <v>Phantom Steed</v>
      </c>
      <c r="BR382" s="1">
        <v>382</v>
      </c>
      <c r="BS382" s="1" t="s">
        <v>104</v>
      </c>
      <c r="BV382" s="1" t="s">
        <v>2717</v>
      </c>
      <c r="BW382" s="1" t="s">
        <v>2718</v>
      </c>
      <c r="BX382" s="1">
        <v>1</v>
      </c>
      <c r="BY382" s="1">
        <v>3</v>
      </c>
      <c r="BZ382" s="1" t="s">
        <v>104</v>
      </c>
      <c r="CA382" s="1" t="s">
        <v>104</v>
      </c>
      <c r="CB382" s="1" t="s">
        <v>104</v>
      </c>
      <c r="CC382" s="1" t="s">
        <v>104</v>
      </c>
      <c r="CD382" s="1">
        <v>3</v>
      </c>
      <c r="CE382" s="1">
        <v>2</v>
      </c>
      <c r="CF382" s="1" t="s">
        <v>104</v>
      </c>
      <c r="CG382" s="1" t="s">
        <v>104</v>
      </c>
      <c r="CH382" s="1" t="s">
        <v>104</v>
      </c>
      <c r="CJ382" s="1">
        <v>0</v>
      </c>
      <c r="CK382" s="1">
        <v>0</v>
      </c>
      <c r="CL382" s="1">
        <v>0</v>
      </c>
      <c r="CM382" s="1">
        <v>2</v>
      </c>
    </row>
    <row r="383" spans="1:91" ht="14.25" customHeight="1" x14ac:dyDescent="0.3">
      <c r="A383" s="1" t="s">
        <v>2719</v>
      </c>
      <c r="B383" s="1" t="s">
        <v>507</v>
      </c>
      <c r="C383" s="1" t="s">
        <v>508</v>
      </c>
      <c r="E383" s="1" t="s">
        <v>2720</v>
      </c>
      <c r="F383" s="1" t="s">
        <v>95</v>
      </c>
      <c r="G383" s="1" t="s">
        <v>2721</v>
      </c>
      <c r="H383" s="1">
        <v>1</v>
      </c>
      <c r="I383" s="1" t="s">
        <v>128</v>
      </c>
      <c r="L383" s="1" t="s">
        <v>983</v>
      </c>
      <c r="M383" s="1" t="s">
        <v>298</v>
      </c>
      <c r="N383" s="1">
        <v>1</v>
      </c>
      <c r="O383" s="1">
        <v>0</v>
      </c>
      <c r="P383" s="1" t="s">
        <v>100</v>
      </c>
      <c r="Q383" s="1" t="s">
        <v>101</v>
      </c>
      <c r="R383" s="1" t="s">
        <v>2722</v>
      </c>
      <c r="S383" s="1" t="s">
        <v>103</v>
      </c>
      <c r="T383" s="1">
        <v>1</v>
      </c>
      <c r="U383" s="1">
        <v>1</v>
      </c>
      <c r="V383" s="1">
        <v>1</v>
      </c>
      <c r="W383" s="1">
        <v>0</v>
      </c>
      <c r="X383" s="1">
        <v>0</v>
      </c>
      <c r="Y383" s="1">
        <v>2</v>
      </c>
      <c r="Z383" s="1">
        <v>2</v>
      </c>
      <c r="AA383" s="1" t="s">
        <v>104</v>
      </c>
      <c r="AB383" s="1" t="s">
        <v>104</v>
      </c>
      <c r="AC383" s="1" t="s">
        <v>104</v>
      </c>
      <c r="AD383" s="1" t="s">
        <v>104</v>
      </c>
      <c r="AE383" s="1" t="s">
        <v>104</v>
      </c>
      <c r="AF383" s="1" t="s">
        <v>104</v>
      </c>
      <c r="AG383" s="1" t="s">
        <v>104</v>
      </c>
      <c r="AH383" s="1" t="s">
        <v>104</v>
      </c>
      <c r="AI383" s="1" t="s">
        <v>104</v>
      </c>
      <c r="AJ383" s="1" t="s">
        <v>104</v>
      </c>
      <c r="AK383" s="1" t="s">
        <v>104</v>
      </c>
      <c r="AL383" s="1" t="s">
        <v>104</v>
      </c>
      <c r="AM383" s="1" t="s">
        <v>104</v>
      </c>
      <c r="AO383" s="1">
        <v>2</v>
      </c>
      <c r="AQ383" s="1" t="s">
        <v>2723</v>
      </c>
      <c r="AR383" s="1">
        <v>0</v>
      </c>
      <c r="AS383" s="1">
        <v>0</v>
      </c>
      <c r="AT383" s="1">
        <v>0</v>
      </c>
      <c r="AU383" s="1">
        <v>0</v>
      </c>
      <c r="AV383" s="1">
        <v>0</v>
      </c>
      <c r="AW383" s="1">
        <v>0</v>
      </c>
      <c r="AX383" s="1">
        <v>0</v>
      </c>
      <c r="AY383" s="1">
        <v>0</v>
      </c>
      <c r="AZ383" s="1">
        <v>0</v>
      </c>
      <c r="BA383" s="1">
        <v>0</v>
      </c>
      <c r="BB383" s="1">
        <v>0</v>
      </c>
      <c r="BC383" s="1">
        <v>0</v>
      </c>
      <c r="BD383" s="1">
        <v>0</v>
      </c>
      <c r="BE383" s="1">
        <v>0</v>
      </c>
      <c r="BF383" s="1">
        <v>0</v>
      </c>
      <c r="BG383" s="1">
        <v>0</v>
      </c>
      <c r="BH383" s="1">
        <v>0</v>
      </c>
      <c r="BI383" s="1">
        <v>0</v>
      </c>
      <c r="BJ383" s="1">
        <v>0</v>
      </c>
      <c r="BK383" s="1">
        <v>0</v>
      </c>
      <c r="BL383" s="1">
        <v>0</v>
      </c>
      <c r="BM383" s="1">
        <v>0</v>
      </c>
      <c r="BN383" s="1">
        <v>0</v>
      </c>
      <c r="BO383" s="1">
        <v>0</v>
      </c>
      <c r="BP383" s="1">
        <v>0</v>
      </c>
      <c r="BQ383" s="2" t="str">
        <f>HYPERLINK("http://www.d20pfsrd.com/magic/all-spells/p/phantom-trap","Phantom Trap")</f>
        <v>Phantom Trap</v>
      </c>
      <c r="BR383" s="1">
        <v>383</v>
      </c>
      <c r="BS383" s="1">
        <v>50</v>
      </c>
      <c r="BX383" s="1">
        <v>0</v>
      </c>
      <c r="BY383" s="1" t="s">
        <v>104</v>
      </c>
      <c r="BZ383" s="1" t="s">
        <v>104</v>
      </c>
      <c r="CA383" s="1">
        <v>2</v>
      </c>
      <c r="CB383" s="1" t="s">
        <v>104</v>
      </c>
      <c r="CC383" s="1">
        <v>2</v>
      </c>
      <c r="CD383" s="1">
        <v>2</v>
      </c>
      <c r="CE383" s="1">
        <v>2</v>
      </c>
      <c r="CF383" s="1" t="s">
        <v>104</v>
      </c>
      <c r="CG383" s="1" t="s">
        <v>104</v>
      </c>
      <c r="CH383" s="1" t="s">
        <v>104</v>
      </c>
      <c r="CJ383" s="1">
        <v>0</v>
      </c>
      <c r="CK383" s="1">
        <v>0</v>
      </c>
      <c r="CL383" s="1">
        <v>0</v>
      </c>
      <c r="CM383" s="1" t="s">
        <v>104</v>
      </c>
    </row>
    <row r="384" spans="1:91" ht="14.25" customHeight="1" x14ac:dyDescent="0.3">
      <c r="A384" s="1" t="s">
        <v>2724</v>
      </c>
      <c r="B384" s="1" t="s">
        <v>92</v>
      </c>
      <c r="C384" s="1" t="s">
        <v>93</v>
      </c>
      <c r="E384" s="1" t="s">
        <v>313</v>
      </c>
      <c r="F384" s="1" t="s">
        <v>95</v>
      </c>
      <c r="G384" s="1" t="s">
        <v>237</v>
      </c>
      <c r="H384" s="1">
        <v>0</v>
      </c>
      <c r="I384" s="1" t="s">
        <v>128</v>
      </c>
      <c r="K384" s="1" t="s">
        <v>2725</v>
      </c>
      <c r="M384" s="1" t="s">
        <v>2726</v>
      </c>
      <c r="N384" s="1">
        <v>0</v>
      </c>
      <c r="O384" s="1">
        <v>0</v>
      </c>
      <c r="P384" s="1" t="s">
        <v>100</v>
      </c>
      <c r="Q384" s="1" t="s">
        <v>101</v>
      </c>
      <c r="R384" s="1" t="s">
        <v>2727</v>
      </c>
      <c r="S384" s="1" t="s">
        <v>103</v>
      </c>
      <c r="T384" s="1">
        <v>1</v>
      </c>
      <c r="U384" s="1">
        <v>0</v>
      </c>
      <c r="V384" s="1">
        <v>0</v>
      </c>
      <c r="W384" s="1">
        <v>0</v>
      </c>
      <c r="X384" s="1">
        <v>0</v>
      </c>
      <c r="Y384" s="1">
        <v>7</v>
      </c>
      <c r="Z384" s="1">
        <v>7</v>
      </c>
      <c r="AA384" s="1" t="s">
        <v>104</v>
      </c>
      <c r="AB384" s="1" t="s">
        <v>104</v>
      </c>
      <c r="AC384" s="1" t="s">
        <v>104</v>
      </c>
      <c r="AD384" s="1" t="s">
        <v>104</v>
      </c>
      <c r="AE384" s="1" t="s">
        <v>104</v>
      </c>
      <c r="AF384" s="1" t="s">
        <v>104</v>
      </c>
      <c r="AG384" s="1" t="s">
        <v>104</v>
      </c>
      <c r="AH384" s="1">
        <v>7</v>
      </c>
      <c r="AI384" s="1" t="s">
        <v>104</v>
      </c>
      <c r="AJ384" s="1" t="s">
        <v>104</v>
      </c>
      <c r="AK384" s="1" t="s">
        <v>104</v>
      </c>
      <c r="AL384" s="1" t="s">
        <v>104</v>
      </c>
      <c r="AM384" s="1" t="s">
        <v>104</v>
      </c>
      <c r="AO384" s="1">
        <v>7</v>
      </c>
      <c r="AP384" s="1" t="s">
        <v>2728</v>
      </c>
      <c r="AQ384" s="1" t="s">
        <v>2729</v>
      </c>
      <c r="AR384" s="1">
        <v>0</v>
      </c>
      <c r="AS384" s="1">
        <v>0</v>
      </c>
      <c r="AT384" s="1">
        <v>0</v>
      </c>
      <c r="AU384" s="1">
        <v>0</v>
      </c>
      <c r="AV384" s="1">
        <v>0</v>
      </c>
      <c r="AW384" s="1">
        <v>0</v>
      </c>
      <c r="AX384" s="1">
        <v>0</v>
      </c>
      <c r="AY384" s="1">
        <v>0</v>
      </c>
      <c r="AZ384" s="1">
        <v>0</v>
      </c>
      <c r="BA384" s="1">
        <v>0</v>
      </c>
      <c r="BB384" s="1">
        <v>0</v>
      </c>
      <c r="BC384" s="1">
        <v>0</v>
      </c>
      <c r="BD384" s="1">
        <v>0</v>
      </c>
      <c r="BE384" s="1">
        <v>0</v>
      </c>
      <c r="BF384" s="1">
        <v>0</v>
      </c>
      <c r="BG384" s="1">
        <v>0</v>
      </c>
      <c r="BH384" s="1">
        <v>0</v>
      </c>
      <c r="BI384" s="1">
        <v>0</v>
      </c>
      <c r="BJ384" s="1">
        <v>0</v>
      </c>
      <c r="BK384" s="1">
        <v>0</v>
      </c>
      <c r="BL384" s="1">
        <v>0</v>
      </c>
      <c r="BM384" s="1">
        <v>0</v>
      </c>
      <c r="BN384" s="1">
        <v>0</v>
      </c>
      <c r="BO384" s="1">
        <v>0</v>
      </c>
      <c r="BP384" s="1">
        <v>0</v>
      </c>
      <c r="BQ384" s="2" t="str">
        <f>HYPERLINK("http://www.d20pfsrd.com/magic/all-spells/p/phase-door","Phase Door")</f>
        <v>Phase Door</v>
      </c>
      <c r="BR384" s="1">
        <v>384</v>
      </c>
      <c r="BS384" s="1" t="s">
        <v>104</v>
      </c>
      <c r="BT384" s="1" t="s">
        <v>2730</v>
      </c>
      <c r="BX384" s="1">
        <v>0</v>
      </c>
      <c r="BY384" s="1" t="s">
        <v>104</v>
      </c>
      <c r="BZ384" s="1" t="s">
        <v>104</v>
      </c>
      <c r="CA384" s="1">
        <v>7</v>
      </c>
      <c r="CB384" s="1" t="s">
        <v>104</v>
      </c>
      <c r="CC384" s="1" t="s">
        <v>104</v>
      </c>
      <c r="CD384" s="1" t="s">
        <v>104</v>
      </c>
      <c r="CE384" s="1" t="s">
        <v>104</v>
      </c>
      <c r="CF384" s="1" t="s">
        <v>104</v>
      </c>
      <c r="CG384" s="1" t="s">
        <v>104</v>
      </c>
      <c r="CH384" s="1" t="s">
        <v>104</v>
      </c>
      <c r="CJ384" s="1">
        <v>0</v>
      </c>
      <c r="CK384" s="1">
        <v>0</v>
      </c>
      <c r="CL384" s="1">
        <v>0</v>
      </c>
      <c r="CM384" s="1" t="s">
        <v>104</v>
      </c>
    </row>
    <row r="385" spans="1:91" ht="14.25" customHeight="1" x14ac:dyDescent="0.3">
      <c r="A385" s="1" t="s">
        <v>2731</v>
      </c>
      <c r="B385" s="1" t="s">
        <v>92</v>
      </c>
      <c r="C385" s="1" t="s">
        <v>2732</v>
      </c>
      <c r="D385" s="1" t="s">
        <v>145</v>
      </c>
      <c r="E385" s="1" t="s">
        <v>2733</v>
      </c>
      <c r="F385" s="1" t="s">
        <v>287</v>
      </c>
      <c r="G385" s="1" t="s">
        <v>2734</v>
      </c>
      <c r="H385" s="1">
        <v>1</v>
      </c>
      <c r="I385" s="1" t="s">
        <v>117</v>
      </c>
      <c r="K385" s="1" t="s">
        <v>2735</v>
      </c>
      <c r="M385" s="1" t="s">
        <v>119</v>
      </c>
      <c r="N385" s="1">
        <v>0</v>
      </c>
      <c r="O385" s="1">
        <v>0</v>
      </c>
      <c r="P385" s="1" t="s">
        <v>100</v>
      </c>
      <c r="Q385" s="1" t="s">
        <v>101</v>
      </c>
      <c r="R385" s="1" t="s">
        <v>2736</v>
      </c>
      <c r="S385" s="1" t="s">
        <v>103</v>
      </c>
      <c r="T385" s="1">
        <v>1</v>
      </c>
      <c r="U385" s="1">
        <v>1</v>
      </c>
      <c r="V385" s="1">
        <v>1</v>
      </c>
      <c r="W385" s="1">
        <v>0</v>
      </c>
      <c r="X385" s="1">
        <v>1</v>
      </c>
      <c r="Y385" s="1" t="s">
        <v>104</v>
      </c>
      <c r="Z385" s="1" t="s">
        <v>104</v>
      </c>
      <c r="AA385" s="1">
        <v>4</v>
      </c>
      <c r="AB385" s="1" t="s">
        <v>104</v>
      </c>
      <c r="AC385" s="1" t="s">
        <v>104</v>
      </c>
      <c r="AD385" s="1" t="s">
        <v>104</v>
      </c>
      <c r="AE385" s="1" t="s">
        <v>104</v>
      </c>
      <c r="AF385" s="1" t="s">
        <v>104</v>
      </c>
      <c r="AG385" s="1" t="s">
        <v>104</v>
      </c>
      <c r="AH385" s="1" t="s">
        <v>104</v>
      </c>
      <c r="AI385" s="1" t="s">
        <v>104</v>
      </c>
      <c r="AJ385" s="1">
        <v>4</v>
      </c>
      <c r="AK385" s="1" t="s">
        <v>104</v>
      </c>
      <c r="AL385" s="1" t="s">
        <v>104</v>
      </c>
      <c r="AM385" s="1" t="s">
        <v>104</v>
      </c>
      <c r="AO385" s="1">
        <v>4</v>
      </c>
      <c r="AQ385" s="1" t="s">
        <v>2737</v>
      </c>
      <c r="AR385" s="1">
        <v>0</v>
      </c>
      <c r="AS385" s="1">
        <v>0</v>
      </c>
      <c r="AT385" s="1">
        <v>0</v>
      </c>
      <c r="AU385" s="1">
        <v>0</v>
      </c>
      <c r="AV385" s="1">
        <v>0</v>
      </c>
      <c r="AW385" s="1">
        <v>0</v>
      </c>
      <c r="AX385" s="1">
        <v>0</v>
      </c>
      <c r="AY385" s="1">
        <v>0</v>
      </c>
      <c r="AZ385" s="1">
        <v>0</v>
      </c>
      <c r="BA385" s="1">
        <v>0</v>
      </c>
      <c r="BB385" s="1">
        <v>0</v>
      </c>
      <c r="BC385" s="1">
        <v>0</v>
      </c>
      <c r="BD385" s="1">
        <v>0</v>
      </c>
      <c r="BE385" s="1">
        <v>0</v>
      </c>
      <c r="BF385" s="1">
        <v>0</v>
      </c>
      <c r="BG385" s="1">
        <v>0</v>
      </c>
      <c r="BH385" s="1">
        <v>0</v>
      </c>
      <c r="BI385" s="1">
        <v>0</v>
      </c>
      <c r="BJ385" s="1">
        <v>0</v>
      </c>
      <c r="BK385" s="1">
        <v>0</v>
      </c>
      <c r="BL385" s="1">
        <v>0</v>
      </c>
      <c r="BM385" s="1">
        <v>0</v>
      </c>
      <c r="BN385" s="1">
        <v>0</v>
      </c>
      <c r="BO385" s="1">
        <v>0</v>
      </c>
      <c r="BP385" s="1">
        <v>0</v>
      </c>
      <c r="BQ385" s="2" t="str">
        <f>HYPERLINK("http://www.d20pfsrd.com/magic/all-spells/p/planar-ally","Planar Ally, Lesser")</f>
        <v>Planar Ally, Lesser</v>
      </c>
      <c r="BR385" s="1">
        <v>385</v>
      </c>
      <c r="BS385" s="1">
        <v>500</v>
      </c>
      <c r="BX385" s="1">
        <v>0</v>
      </c>
      <c r="BY385" s="1" t="s">
        <v>104</v>
      </c>
      <c r="BZ385" s="1">
        <v>4</v>
      </c>
      <c r="CA385" s="1">
        <v>4</v>
      </c>
      <c r="CB385" s="1">
        <v>3</v>
      </c>
      <c r="CC385" s="1" t="s">
        <v>104</v>
      </c>
      <c r="CD385" s="1" t="s">
        <v>104</v>
      </c>
      <c r="CE385" s="1" t="s">
        <v>104</v>
      </c>
      <c r="CF385" s="1" t="s">
        <v>104</v>
      </c>
      <c r="CG385" s="1" t="s">
        <v>104</v>
      </c>
      <c r="CH385" s="1" t="s">
        <v>104</v>
      </c>
      <c r="CJ385" s="1">
        <v>0</v>
      </c>
      <c r="CK385" s="1">
        <v>0</v>
      </c>
      <c r="CL385" s="1">
        <v>0</v>
      </c>
      <c r="CM385" s="1" t="s">
        <v>104</v>
      </c>
    </row>
    <row r="386" spans="1:91" ht="14.25" customHeight="1" x14ac:dyDescent="0.3">
      <c r="A386" s="1" t="s">
        <v>2738</v>
      </c>
      <c r="B386" s="1" t="s">
        <v>92</v>
      </c>
      <c r="C386" s="1" t="s">
        <v>2732</v>
      </c>
      <c r="D386" s="1" t="s">
        <v>2739</v>
      </c>
      <c r="E386" s="1" t="s">
        <v>2740</v>
      </c>
      <c r="F386" s="1" t="s">
        <v>287</v>
      </c>
      <c r="G386" s="1" t="s">
        <v>2741</v>
      </c>
      <c r="H386" s="1">
        <v>1</v>
      </c>
      <c r="I386" s="1" t="s">
        <v>117</v>
      </c>
      <c r="K386" s="1" t="s">
        <v>2742</v>
      </c>
      <c r="M386" s="1" t="s">
        <v>119</v>
      </c>
      <c r="N386" s="1">
        <v>0</v>
      </c>
      <c r="O386" s="1">
        <v>0</v>
      </c>
      <c r="P386" s="1" t="s">
        <v>100</v>
      </c>
      <c r="Q386" s="1" t="s">
        <v>101</v>
      </c>
      <c r="R386" s="1" t="s">
        <v>2743</v>
      </c>
      <c r="S386" s="1" t="s">
        <v>103</v>
      </c>
      <c r="T386" s="1">
        <v>1</v>
      </c>
      <c r="U386" s="1">
        <v>1</v>
      </c>
      <c r="V386" s="1">
        <v>1</v>
      </c>
      <c r="W386" s="1">
        <v>0</v>
      </c>
      <c r="X386" s="1">
        <v>1</v>
      </c>
      <c r="Y386" s="1" t="s">
        <v>104</v>
      </c>
      <c r="Z386" s="1" t="s">
        <v>104</v>
      </c>
      <c r="AA386" s="1">
        <v>6</v>
      </c>
      <c r="AB386" s="1" t="s">
        <v>104</v>
      </c>
      <c r="AC386" s="1" t="s">
        <v>104</v>
      </c>
      <c r="AD386" s="1" t="s">
        <v>104</v>
      </c>
      <c r="AE386" s="1" t="s">
        <v>104</v>
      </c>
      <c r="AF386" s="1" t="s">
        <v>104</v>
      </c>
      <c r="AG386" s="1" t="s">
        <v>104</v>
      </c>
      <c r="AH386" s="1" t="s">
        <v>104</v>
      </c>
      <c r="AI386" s="1" t="s">
        <v>104</v>
      </c>
      <c r="AJ386" s="1">
        <v>6</v>
      </c>
      <c r="AK386" s="1" t="s">
        <v>104</v>
      </c>
      <c r="AL386" s="1" t="s">
        <v>104</v>
      </c>
      <c r="AM386" s="1" t="s">
        <v>104</v>
      </c>
      <c r="AO386" s="1">
        <v>6</v>
      </c>
      <c r="AP386" s="1" t="s">
        <v>2744</v>
      </c>
      <c r="AQ386" s="1" t="s">
        <v>2745</v>
      </c>
      <c r="AR386" s="1">
        <v>0</v>
      </c>
      <c r="AS386" s="1">
        <v>0</v>
      </c>
      <c r="AT386" s="1">
        <v>0</v>
      </c>
      <c r="AU386" s="1">
        <v>0</v>
      </c>
      <c r="AV386" s="1">
        <v>0</v>
      </c>
      <c r="AW386" s="1">
        <v>0</v>
      </c>
      <c r="AX386" s="1">
        <v>0</v>
      </c>
      <c r="AY386" s="1">
        <v>0</v>
      </c>
      <c r="AZ386" s="1">
        <v>0</v>
      </c>
      <c r="BA386" s="1">
        <v>0</v>
      </c>
      <c r="BB386" s="1">
        <v>0</v>
      </c>
      <c r="BC386" s="1">
        <v>0</v>
      </c>
      <c r="BD386" s="1">
        <v>0</v>
      </c>
      <c r="BE386" s="1">
        <v>0</v>
      </c>
      <c r="BF386" s="1">
        <v>0</v>
      </c>
      <c r="BG386" s="1">
        <v>0</v>
      </c>
      <c r="BH386" s="1">
        <v>0</v>
      </c>
      <c r="BI386" s="1">
        <v>0</v>
      </c>
      <c r="BJ386" s="1">
        <v>0</v>
      </c>
      <c r="BK386" s="1">
        <v>0</v>
      </c>
      <c r="BL386" s="1">
        <v>0</v>
      </c>
      <c r="BM386" s="1">
        <v>0</v>
      </c>
      <c r="BN386" s="1">
        <v>0</v>
      </c>
      <c r="BO386" s="1">
        <v>0</v>
      </c>
      <c r="BP386" s="1">
        <v>0</v>
      </c>
      <c r="BQ386" s="2" t="str">
        <f>HYPERLINK("http://www.d20pfsrd.com/magic/all-spells/p/planar-ally","Planar Ally")</f>
        <v>Planar Ally</v>
      </c>
      <c r="BR386" s="1">
        <v>386</v>
      </c>
      <c r="BS386" s="1">
        <v>1250</v>
      </c>
      <c r="BU386" s="1" t="s">
        <v>2746</v>
      </c>
      <c r="BX386" s="1">
        <v>0</v>
      </c>
      <c r="BY386" s="1" t="s">
        <v>104</v>
      </c>
      <c r="BZ386" s="1">
        <v>6</v>
      </c>
      <c r="CA386" s="1">
        <v>6</v>
      </c>
      <c r="CB386" s="1" t="s">
        <v>104</v>
      </c>
      <c r="CC386" s="1" t="s">
        <v>104</v>
      </c>
      <c r="CD386" s="1" t="s">
        <v>104</v>
      </c>
      <c r="CE386" s="1" t="s">
        <v>104</v>
      </c>
      <c r="CF386" s="1" t="s">
        <v>104</v>
      </c>
      <c r="CG386" s="1" t="s">
        <v>104</v>
      </c>
      <c r="CH386" s="1" t="s">
        <v>104</v>
      </c>
      <c r="CJ386" s="1">
        <v>0</v>
      </c>
      <c r="CK386" s="1">
        <v>0</v>
      </c>
      <c r="CL386" s="1">
        <v>0</v>
      </c>
      <c r="CM386" s="1" t="s">
        <v>104</v>
      </c>
    </row>
    <row r="387" spans="1:91" ht="14.25" customHeight="1" x14ac:dyDescent="0.3">
      <c r="A387" s="1" t="s">
        <v>2747</v>
      </c>
      <c r="B387" s="1" t="s">
        <v>92</v>
      </c>
      <c r="C387" s="1" t="s">
        <v>2732</v>
      </c>
      <c r="D387" s="1" t="s">
        <v>2739</v>
      </c>
      <c r="E387" s="1" t="s">
        <v>2748</v>
      </c>
      <c r="F387" s="1" t="s">
        <v>287</v>
      </c>
      <c r="G387" s="1" t="s">
        <v>2749</v>
      </c>
      <c r="H387" s="1">
        <v>1</v>
      </c>
      <c r="I387" s="1" t="s">
        <v>117</v>
      </c>
      <c r="K387" s="1" t="s">
        <v>2750</v>
      </c>
      <c r="M387" s="1" t="s">
        <v>119</v>
      </c>
      <c r="N387" s="1">
        <v>0</v>
      </c>
      <c r="O387" s="1">
        <v>0</v>
      </c>
      <c r="P387" s="1" t="s">
        <v>100</v>
      </c>
      <c r="Q387" s="1" t="s">
        <v>101</v>
      </c>
      <c r="R387" s="1" t="s">
        <v>2751</v>
      </c>
      <c r="S387" s="1" t="s">
        <v>103</v>
      </c>
      <c r="T387" s="1">
        <v>1</v>
      </c>
      <c r="U387" s="1">
        <v>1</v>
      </c>
      <c r="V387" s="1">
        <v>1</v>
      </c>
      <c r="W387" s="1">
        <v>0</v>
      </c>
      <c r="X387" s="1">
        <v>1</v>
      </c>
      <c r="Y387" s="1" t="s">
        <v>104</v>
      </c>
      <c r="Z387" s="1" t="s">
        <v>104</v>
      </c>
      <c r="AA387" s="1">
        <v>8</v>
      </c>
      <c r="AB387" s="1" t="s">
        <v>104</v>
      </c>
      <c r="AC387" s="1" t="s">
        <v>104</v>
      </c>
      <c r="AD387" s="1" t="s">
        <v>104</v>
      </c>
      <c r="AE387" s="1" t="s">
        <v>104</v>
      </c>
      <c r="AF387" s="1" t="s">
        <v>104</v>
      </c>
      <c r="AG387" s="1" t="s">
        <v>104</v>
      </c>
      <c r="AH387" s="1" t="s">
        <v>104</v>
      </c>
      <c r="AI387" s="1" t="s">
        <v>104</v>
      </c>
      <c r="AJ387" s="1">
        <v>8</v>
      </c>
      <c r="AK387" s="1" t="s">
        <v>104</v>
      </c>
      <c r="AL387" s="1" t="s">
        <v>104</v>
      </c>
      <c r="AM387" s="1" t="s">
        <v>104</v>
      </c>
      <c r="AO387" s="1">
        <v>8</v>
      </c>
      <c r="AP387" s="1" t="s">
        <v>2752</v>
      </c>
      <c r="AQ387" s="1" t="s">
        <v>2753</v>
      </c>
      <c r="AR387" s="1">
        <v>0</v>
      </c>
      <c r="AS387" s="1">
        <v>0</v>
      </c>
      <c r="AT387" s="1">
        <v>0</v>
      </c>
      <c r="AU387" s="1">
        <v>0</v>
      </c>
      <c r="AV387" s="1">
        <v>0</v>
      </c>
      <c r="AW387" s="1">
        <v>0</v>
      </c>
      <c r="AX387" s="1">
        <v>0</v>
      </c>
      <c r="AY387" s="1">
        <v>0</v>
      </c>
      <c r="AZ387" s="1">
        <v>0</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2" t="str">
        <f>HYPERLINK("http://www.d20pfsrd.com/magic/all-spells/p/planar-ally","Planar Ally, Greater")</f>
        <v>Planar Ally, Greater</v>
      </c>
      <c r="BR387" s="1">
        <v>387</v>
      </c>
      <c r="BS387" s="1">
        <v>2500</v>
      </c>
      <c r="BX387" s="1">
        <v>0</v>
      </c>
      <c r="BY387" s="1" t="s">
        <v>104</v>
      </c>
      <c r="BZ387" s="1">
        <v>8</v>
      </c>
      <c r="CA387" s="1">
        <v>8</v>
      </c>
      <c r="CB387" s="1" t="s">
        <v>104</v>
      </c>
      <c r="CC387" s="1" t="s">
        <v>104</v>
      </c>
      <c r="CD387" s="1" t="s">
        <v>104</v>
      </c>
      <c r="CE387" s="1" t="s">
        <v>104</v>
      </c>
      <c r="CF387" s="1" t="s">
        <v>104</v>
      </c>
      <c r="CG387" s="1" t="s">
        <v>104</v>
      </c>
      <c r="CH387" s="1" t="s">
        <v>104</v>
      </c>
      <c r="CJ387" s="1">
        <v>0</v>
      </c>
      <c r="CK387" s="1">
        <v>0</v>
      </c>
      <c r="CL387" s="1">
        <v>0</v>
      </c>
      <c r="CM387" s="1" t="s">
        <v>104</v>
      </c>
    </row>
    <row r="388" spans="1:91" ht="14.25" customHeight="1" x14ac:dyDescent="0.3">
      <c r="A388" s="1" t="s">
        <v>2754</v>
      </c>
      <c r="B388" s="1" t="s">
        <v>92</v>
      </c>
      <c r="C388" s="1" t="s">
        <v>2732</v>
      </c>
      <c r="D388" s="1" t="s">
        <v>145</v>
      </c>
      <c r="E388" s="1" t="s">
        <v>2755</v>
      </c>
      <c r="F388" s="1" t="s">
        <v>287</v>
      </c>
      <c r="G388" s="1" t="s">
        <v>116</v>
      </c>
      <c r="H388" s="1">
        <v>0</v>
      </c>
      <c r="I388" s="1" t="s">
        <v>2756</v>
      </c>
      <c r="L388" s="1" t="s">
        <v>2757</v>
      </c>
      <c r="M388" s="1" t="s">
        <v>119</v>
      </c>
      <c r="N388" s="1">
        <v>0</v>
      </c>
      <c r="O388" s="1">
        <v>0</v>
      </c>
      <c r="P388" s="1" t="s">
        <v>211</v>
      </c>
      <c r="Q388" s="1" t="s">
        <v>2758</v>
      </c>
      <c r="R388" s="1" t="s">
        <v>2759</v>
      </c>
      <c r="S388" s="1" t="s">
        <v>103</v>
      </c>
      <c r="T388" s="1">
        <v>1</v>
      </c>
      <c r="U388" s="1">
        <v>1</v>
      </c>
      <c r="V388" s="1">
        <v>0</v>
      </c>
      <c r="W388" s="1">
        <v>0</v>
      </c>
      <c r="X388" s="1">
        <v>0</v>
      </c>
      <c r="Y388" s="1">
        <v>5</v>
      </c>
      <c r="Z388" s="1">
        <v>5</v>
      </c>
      <c r="AA388" s="1" t="s">
        <v>104</v>
      </c>
      <c r="AB388" s="1" t="s">
        <v>104</v>
      </c>
      <c r="AC388" s="1" t="s">
        <v>104</v>
      </c>
      <c r="AD388" s="1" t="s">
        <v>104</v>
      </c>
      <c r="AE388" s="1" t="s">
        <v>104</v>
      </c>
      <c r="AF388" s="1" t="s">
        <v>104</v>
      </c>
      <c r="AG388" s="1">
        <v>4</v>
      </c>
      <c r="AH388" s="1" t="s">
        <v>104</v>
      </c>
      <c r="AI388" s="1" t="s">
        <v>104</v>
      </c>
      <c r="AJ388" s="1" t="s">
        <v>104</v>
      </c>
      <c r="AK388" s="1" t="s">
        <v>104</v>
      </c>
      <c r="AL388" s="1" t="s">
        <v>104</v>
      </c>
      <c r="AM388" s="1" t="s">
        <v>104</v>
      </c>
      <c r="AO388" s="1">
        <v>5</v>
      </c>
      <c r="AP388" s="1" t="s">
        <v>2760</v>
      </c>
      <c r="AQ388" s="1" t="s">
        <v>2761</v>
      </c>
      <c r="AR388" s="1">
        <v>0</v>
      </c>
      <c r="AS388" s="1">
        <v>0</v>
      </c>
      <c r="AT388" s="1">
        <v>0</v>
      </c>
      <c r="AU388" s="1">
        <v>0</v>
      </c>
      <c r="AV388" s="1">
        <v>0</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2" t="str">
        <f>HYPERLINK("http://www.d20pfsrd.com/magic/all-spells/p/planar-binding","Planar Binding, Lesser")</f>
        <v>Planar Binding, Lesser</v>
      </c>
      <c r="BR388" s="1">
        <v>388</v>
      </c>
      <c r="BS388" s="1" t="s">
        <v>104</v>
      </c>
      <c r="BU388" s="1" t="s">
        <v>2762</v>
      </c>
      <c r="BX388" s="1">
        <v>0</v>
      </c>
      <c r="BY388" s="1" t="s">
        <v>104</v>
      </c>
      <c r="BZ388" s="1" t="s">
        <v>104</v>
      </c>
      <c r="CA388" s="1">
        <v>5</v>
      </c>
      <c r="CB388" s="1">
        <v>4</v>
      </c>
      <c r="CC388" s="1" t="s">
        <v>104</v>
      </c>
      <c r="CD388" s="1">
        <v>5</v>
      </c>
      <c r="CE388" s="1" t="s">
        <v>104</v>
      </c>
      <c r="CF388" s="1" t="s">
        <v>104</v>
      </c>
      <c r="CG388" s="1" t="s">
        <v>104</v>
      </c>
      <c r="CH388" s="1" t="s">
        <v>104</v>
      </c>
      <c r="CJ388" s="1">
        <v>0</v>
      </c>
      <c r="CK388" s="1">
        <v>0</v>
      </c>
      <c r="CL388" s="1">
        <v>0</v>
      </c>
      <c r="CM388" s="1">
        <v>5</v>
      </c>
    </row>
    <row r="389" spans="1:91" ht="14.25" customHeight="1" x14ac:dyDescent="0.3">
      <c r="A389" s="1" t="s">
        <v>2763</v>
      </c>
      <c r="B389" s="1" t="s">
        <v>92</v>
      </c>
      <c r="C389" s="1" t="s">
        <v>2732</v>
      </c>
      <c r="D389" s="1" t="s">
        <v>2764</v>
      </c>
      <c r="E389" s="1" t="s">
        <v>2765</v>
      </c>
      <c r="F389" s="1" t="s">
        <v>287</v>
      </c>
      <c r="G389" s="1" t="s">
        <v>116</v>
      </c>
      <c r="H389" s="1">
        <v>0</v>
      </c>
      <c r="I389" s="1" t="s">
        <v>2756</v>
      </c>
      <c r="L389" s="1" t="s">
        <v>2766</v>
      </c>
      <c r="M389" s="1" t="s">
        <v>119</v>
      </c>
      <c r="N389" s="1">
        <v>0</v>
      </c>
      <c r="O389" s="1">
        <v>0</v>
      </c>
      <c r="P389" s="1" t="s">
        <v>211</v>
      </c>
      <c r="Q389" s="1" t="s">
        <v>2758</v>
      </c>
      <c r="R389" s="1" t="s">
        <v>2767</v>
      </c>
      <c r="S389" s="1" t="s">
        <v>103</v>
      </c>
      <c r="T389" s="1">
        <v>1</v>
      </c>
      <c r="U389" s="1">
        <v>1</v>
      </c>
      <c r="V389" s="1">
        <v>0</v>
      </c>
      <c r="W389" s="1">
        <v>0</v>
      </c>
      <c r="X389" s="1">
        <v>0</v>
      </c>
      <c r="Y389" s="1">
        <v>6</v>
      </c>
      <c r="Z389" s="1">
        <v>6</v>
      </c>
      <c r="AA389" s="1" t="s">
        <v>104</v>
      </c>
      <c r="AB389" s="1" t="s">
        <v>104</v>
      </c>
      <c r="AC389" s="1" t="s">
        <v>104</v>
      </c>
      <c r="AD389" s="1" t="s">
        <v>104</v>
      </c>
      <c r="AE389" s="1" t="s">
        <v>104</v>
      </c>
      <c r="AF389" s="1" t="s">
        <v>104</v>
      </c>
      <c r="AG389" s="1">
        <v>5</v>
      </c>
      <c r="AH389" s="1" t="s">
        <v>104</v>
      </c>
      <c r="AI389" s="1" t="s">
        <v>104</v>
      </c>
      <c r="AJ389" s="1" t="s">
        <v>104</v>
      </c>
      <c r="AK389" s="1" t="s">
        <v>104</v>
      </c>
      <c r="AL389" s="1" t="s">
        <v>104</v>
      </c>
      <c r="AM389" s="1" t="s">
        <v>104</v>
      </c>
      <c r="AO389" s="1">
        <v>6</v>
      </c>
      <c r="AP389" s="1" t="s">
        <v>2768</v>
      </c>
      <c r="AQ389" s="1" t="s">
        <v>2769</v>
      </c>
      <c r="AR389" s="1">
        <v>0</v>
      </c>
      <c r="AS389" s="1">
        <v>0</v>
      </c>
      <c r="AT389" s="1">
        <v>0</v>
      </c>
      <c r="AU389" s="1">
        <v>0</v>
      </c>
      <c r="AV389" s="1">
        <v>0</v>
      </c>
      <c r="AW389" s="1">
        <v>0</v>
      </c>
      <c r="AX389" s="1">
        <v>0</v>
      </c>
      <c r="AY389" s="1">
        <v>0</v>
      </c>
      <c r="AZ389" s="1">
        <v>0</v>
      </c>
      <c r="BA389" s="1">
        <v>0</v>
      </c>
      <c r="BB389" s="1">
        <v>0</v>
      </c>
      <c r="BC389" s="1">
        <v>0</v>
      </c>
      <c r="BD389" s="1">
        <v>0</v>
      </c>
      <c r="BE389" s="1">
        <v>0</v>
      </c>
      <c r="BF389" s="1">
        <v>0</v>
      </c>
      <c r="BG389" s="1">
        <v>0</v>
      </c>
      <c r="BH389" s="1">
        <v>0</v>
      </c>
      <c r="BI389" s="1">
        <v>0</v>
      </c>
      <c r="BJ389" s="1">
        <v>0</v>
      </c>
      <c r="BK389" s="1">
        <v>0</v>
      </c>
      <c r="BL389" s="1">
        <v>0</v>
      </c>
      <c r="BM389" s="1">
        <v>0</v>
      </c>
      <c r="BN389" s="1">
        <v>0</v>
      </c>
      <c r="BO389" s="1">
        <v>0</v>
      </c>
      <c r="BP389" s="1">
        <v>0</v>
      </c>
      <c r="BQ389" s="2" t="str">
        <f>HYPERLINK("http://www.d20pfsrd.com/magic/all-spells/p/planar-binding","Planar Binding")</f>
        <v>Planar Binding</v>
      </c>
      <c r="BR389" s="1">
        <v>389</v>
      </c>
      <c r="BS389" s="1" t="s">
        <v>104</v>
      </c>
      <c r="BT389" s="1" t="s">
        <v>2770</v>
      </c>
      <c r="BU389" s="1" t="s">
        <v>2771</v>
      </c>
      <c r="BX389" s="1">
        <v>0</v>
      </c>
      <c r="BY389" s="1" t="s">
        <v>104</v>
      </c>
      <c r="BZ389" s="1" t="s">
        <v>104</v>
      </c>
      <c r="CA389" s="1">
        <v>6</v>
      </c>
      <c r="CB389" s="1" t="s">
        <v>104</v>
      </c>
      <c r="CC389" s="1" t="s">
        <v>104</v>
      </c>
      <c r="CD389" s="1">
        <v>6</v>
      </c>
      <c r="CE389" s="1" t="s">
        <v>104</v>
      </c>
      <c r="CF389" s="1" t="s">
        <v>104</v>
      </c>
      <c r="CG389" s="1" t="s">
        <v>104</v>
      </c>
      <c r="CH389" s="1" t="s">
        <v>104</v>
      </c>
      <c r="CJ389" s="1">
        <v>0</v>
      </c>
      <c r="CK389" s="1">
        <v>0</v>
      </c>
      <c r="CL389" s="1">
        <v>0</v>
      </c>
      <c r="CM389" s="1">
        <v>6</v>
      </c>
    </row>
    <row r="390" spans="1:91" ht="14.25" customHeight="1" x14ac:dyDescent="0.3">
      <c r="A390" s="1" t="s">
        <v>2772</v>
      </c>
      <c r="B390" s="1" t="s">
        <v>92</v>
      </c>
      <c r="C390" s="1" t="s">
        <v>2732</v>
      </c>
      <c r="D390" s="1" t="s">
        <v>2764</v>
      </c>
      <c r="E390" s="1" t="s">
        <v>415</v>
      </c>
      <c r="F390" s="1" t="s">
        <v>287</v>
      </c>
      <c r="G390" s="1" t="s">
        <v>116</v>
      </c>
      <c r="H390" s="1">
        <v>0</v>
      </c>
      <c r="I390" s="1" t="s">
        <v>2756</v>
      </c>
      <c r="L390" s="1" t="s">
        <v>2773</v>
      </c>
      <c r="M390" s="1" t="s">
        <v>119</v>
      </c>
      <c r="N390" s="1">
        <v>0</v>
      </c>
      <c r="O390" s="1">
        <v>0</v>
      </c>
      <c r="P390" s="1" t="s">
        <v>211</v>
      </c>
      <c r="Q390" s="1" t="s">
        <v>2758</v>
      </c>
      <c r="R390" s="1" t="s">
        <v>2774</v>
      </c>
      <c r="S390" s="1" t="s">
        <v>103</v>
      </c>
      <c r="T390" s="1">
        <v>1</v>
      </c>
      <c r="U390" s="1">
        <v>1</v>
      </c>
      <c r="V390" s="1">
        <v>0</v>
      </c>
      <c r="W390" s="1">
        <v>0</v>
      </c>
      <c r="X390" s="1">
        <v>0</v>
      </c>
      <c r="Y390" s="1">
        <v>8</v>
      </c>
      <c r="Z390" s="1">
        <v>8</v>
      </c>
      <c r="AA390" s="1" t="s">
        <v>104</v>
      </c>
      <c r="AB390" s="1" t="s">
        <v>104</v>
      </c>
      <c r="AC390" s="1" t="s">
        <v>104</v>
      </c>
      <c r="AD390" s="1" t="s">
        <v>104</v>
      </c>
      <c r="AE390" s="1" t="s">
        <v>104</v>
      </c>
      <c r="AF390" s="1" t="s">
        <v>104</v>
      </c>
      <c r="AG390" s="1">
        <v>6</v>
      </c>
      <c r="AH390" s="1" t="s">
        <v>104</v>
      </c>
      <c r="AI390" s="1" t="s">
        <v>104</v>
      </c>
      <c r="AJ390" s="1" t="s">
        <v>104</v>
      </c>
      <c r="AK390" s="1" t="s">
        <v>104</v>
      </c>
      <c r="AL390" s="1" t="s">
        <v>104</v>
      </c>
      <c r="AM390" s="1" t="s">
        <v>104</v>
      </c>
      <c r="AO390" s="1">
        <v>8</v>
      </c>
      <c r="AP390" s="1" t="s">
        <v>2775</v>
      </c>
      <c r="AQ390" s="1" t="s">
        <v>2776</v>
      </c>
      <c r="AR390" s="1">
        <v>0</v>
      </c>
      <c r="AS390" s="1">
        <v>0</v>
      </c>
      <c r="AT390" s="1">
        <v>0</v>
      </c>
      <c r="AU390" s="1">
        <v>0</v>
      </c>
      <c r="AV390" s="1">
        <v>0</v>
      </c>
      <c r="AW390" s="1">
        <v>0</v>
      </c>
      <c r="AX390" s="1">
        <v>0</v>
      </c>
      <c r="AY390" s="1">
        <v>0</v>
      </c>
      <c r="AZ390" s="1">
        <v>0</v>
      </c>
      <c r="BA390" s="1">
        <v>0</v>
      </c>
      <c r="BB390" s="1">
        <v>0</v>
      </c>
      <c r="BC390" s="1">
        <v>0</v>
      </c>
      <c r="BD390" s="1">
        <v>0</v>
      </c>
      <c r="BE390" s="1">
        <v>0</v>
      </c>
      <c r="BF390" s="1">
        <v>0</v>
      </c>
      <c r="BG390" s="1">
        <v>0</v>
      </c>
      <c r="BH390" s="1">
        <v>0</v>
      </c>
      <c r="BI390" s="1">
        <v>0</v>
      </c>
      <c r="BJ390" s="1">
        <v>0</v>
      </c>
      <c r="BK390" s="1">
        <v>0</v>
      </c>
      <c r="BL390" s="1">
        <v>0</v>
      </c>
      <c r="BM390" s="1">
        <v>0</v>
      </c>
      <c r="BN390" s="1">
        <v>0</v>
      </c>
      <c r="BO390" s="1">
        <v>0</v>
      </c>
      <c r="BP390" s="1">
        <v>0</v>
      </c>
      <c r="BQ390" s="2" t="str">
        <f>HYPERLINK("http://www.d20pfsrd.com/magic/all-spells/p/planar-binding","Planar Binding, Greater")</f>
        <v>Planar Binding, Greater</v>
      </c>
      <c r="BR390" s="1">
        <v>390</v>
      </c>
      <c r="BS390" s="1" t="s">
        <v>104</v>
      </c>
      <c r="BT390" s="1" t="s">
        <v>2777</v>
      </c>
      <c r="BU390" s="1" t="s">
        <v>2778</v>
      </c>
      <c r="BX390" s="1">
        <v>0</v>
      </c>
      <c r="BY390" s="1" t="s">
        <v>104</v>
      </c>
      <c r="BZ390" s="1" t="s">
        <v>104</v>
      </c>
      <c r="CA390" s="1">
        <v>8</v>
      </c>
      <c r="CB390" s="1" t="s">
        <v>104</v>
      </c>
      <c r="CC390" s="1" t="s">
        <v>104</v>
      </c>
      <c r="CD390" s="1" t="s">
        <v>104</v>
      </c>
      <c r="CE390" s="1" t="s">
        <v>104</v>
      </c>
      <c r="CF390" s="1" t="s">
        <v>104</v>
      </c>
      <c r="CG390" s="1" t="s">
        <v>104</v>
      </c>
      <c r="CH390" s="1" t="s">
        <v>104</v>
      </c>
      <c r="CJ390" s="1">
        <v>0</v>
      </c>
      <c r="CK390" s="1">
        <v>0</v>
      </c>
      <c r="CL390" s="1">
        <v>0</v>
      </c>
      <c r="CM390" s="1">
        <v>6</v>
      </c>
    </row>
    <row r="391" spans="1:91" ht="14.25" customHeight="1" x14ac:dyDescent="0.3">
      <c r="A391" s="1" t="s">
        <v>2779</v>
      </c>
      <c r="B391" s="1" t="s">
        <v>92</v>
      </c>
      <c r="C391" s="1" t="s">
        <v>1160</v>
      </c>
      <c r="E391" s="1" t="s">
        <v>2780</v>
      </c>
      <c r="F391" s="1" t="s">
        <v>95</v>
      </c>
      <c r="G391" s="1" t="s">
        <v>2781</v>
      </c>
      <c r="H391" s="1">
        <v>0</v>
      </c>
      <c r="I391" s="1" t="s">
        <v>128</v>
      </c>
      <c r="L391" s="1" t="s">
        <v>2782</v>
      </c>
      <c r="M391" s="1" t="s">
        <v>119</v>
      </c>
      <c r="N391" s="1">
        <v>0</v>
      </c>
      <c r="O391" s="1">
        <v>0</v>
      </c>
      <c r="P391" s="1" t="s">
        <v>211</v>
      </c>
      <c r="Q391" s="1" t="s">
        <v>184</v>
      </c>
      <c r="R391" s="1" t="s">
        <v>2783</v>
      </c>
      <c r="S391" s="1" t="s">
        <v>103</v>
      </c>
      <c r="T391" s="1">
        <v>1</v>
      </c>
      <c r="U391" s="1">
        <v>1</v>
      </c>
      <c r="V391" s="1">
        <v>0</v>
      </c>
      <c r="W391" s="1">
        <v>0</v>
      </c>
      <c r="X391" s="1">
        <v>0</v>
      </c>
      <c r="Y391" s="1">
        <v>7</v>
      </c>
      <c r="Z391" s="1">
        <v>7</v>
      </c>
      <c r="AA391" s="1">
        <v>5</v>
      </c>
      <c r="AB391" s="1" t="s">
        <v>104</v>
      </c>
      <c r="AC391" s="1" t="s">
        <v>104</v>
      </c>
      <c r="AD391" s="1" t="s">
        <v>104</v>
      </c>
      <c r="AE391" s="1" t="s">
        <v>104</v>
      </c>
      <c r="AF391" s="1" t="s">
        <v>104</v>
      </c>
      <c r="AG391" s="1">
        <v>5</v>
      </c>
      <c r="AH391" s="1">
        <v>7</v>
      </c>
      <c r="AI391" s="1" t="s">
        <v>104</v>
      </c>
      <c r="AJ391" s="1">
        <v>5</v>
      </c>
      <c r="AK391" s="1" t="s">
        <v>104</v>
      </c>
      <c r="AL391" s="1" t="s">
        <v>104</v>
      </c>
      <c r="AM391" s="1" t="s">
        <v>104</v>
      </c>
      <c r="AO391" s="1">
        <v>7</v>
      </c>
      <c r="AP391" s="1" t="s">
        <v>2784</v>
      </c>
      <c r="AQ391" s="1" t="s">
        <v>2785</v>
      </c>
      <c r="AR391" s="1">
        <v>0</v>
      </c>
      <c r="AS391" s="1">
        <v>0</v>
      </c>
      <c r="AT391" s="1">
        <v>0</v>
      </c>
      <c r="AU391" s="1">
        <v>0</v>
      </c>
      <c r="AV391" s="1">
        <v>0</v>
      </c>
      <c r="AW391" s="1">
        <v>0</v>
      </c>
      <c r="AX391" s="1">
        <v>0</v>
      </c>
      <c r="AY391" s="1">
        <v>0</v>
      </c>
      <c r="AZ391" s="1">
        <v>0</v>
      </c>
      <c r="BA391" s="1">
        <v>0</v>
      </c>
      <c r="BB391" s="1">
        <v>0</v>
      </c>
      <c r="BC391" s="1">
        <v>0</v>
      </c>
      <c r="BD391" s="1">
        <v>0</v>
      </c>
      <c r="BE391" s="1">
        <v>0</v>
      </c>
      <c r="BF391" s="1">
        <v>0</v>
      </c>
      <c r="BG391" s="1">
        <v>0</v>
      </c>
      <c r="BH391" s="1">
        <v>0</v>
      </c>
      <c r="BI391" s="1">
        <v>0</v>
      </c>
      <c r="BJ391" s="1">
        <v>0</v>
      </c>
      <c r="BK391" s="1">
        <v>0</v>
      </c>
      <c r="BL391" s="1">
        <v>0</v>
      </c>
      <c r="BM391" s="1">
        <v>0</v>
      </c>
      <c r="BN391" s="1">
        <v>0</v>
      </c>
      <c r="BO391" s="1">
        <v>0</v>
      </c>
      <c r="BP391" s="1">
        <v>0</v>
      </c>
      <c r="BQ391" s="2" t="str">
        <f>HYPERLINK("http://www.d20pfsrd.com/magic/all-spells/p/plane-shift","Plane Shift")</f>
        <v>Plane Shift</v>
      </c>
      <c r="BR391" s="1">
        <v>391</v>
      </c>
      <c r="BS391" s="1" t="s">
        <v>104</v>
      </c>
      <c r="BT391" s="1" t="s">
        <v>2786</v>
      </c>
      <c r="BV391" s="1" t="s">
        <v>2787</v>
      </c>
      <c r="BW391" s="1" t="s">
        <v>2788</v>
      </c>
      <c r="BX391" s="1">
        <v>1</v>
      </c>
      <c r="BY391" s="1" t="s">
        <v>104</v>
      </c>
      <c r="BZ391" s="1">
        <v>7</v>
      </c>
      <c r="CA391" s="1">
        <v>5</v>
      </c>
      <c r="CB391" s="1">
        <v>4</v>
      </c>
      <c r="CC391" s="1" t="s">
        <v>104</v>
      </c>
      <c r="CD391" s="1" t="s">
        <v>104</v>
      </c>
      <c r="CE391" s="1">
        <v>5</v>
      </c>
      <c r="CF391" s="1" t="s">
        <v>104</v>
      </c>
      <c r="CG391" s="1" t="s">
        <v>104</v>
      </c>
      <c r="CH391" s="1" t="s">
        <v>104</v>
      </c>
      <c r="CJ391" s="1">
        <v>0</v>
      </c>
      <c r="CK391" s="1">
        <v>0</v>
      </c>
      <c r="CL391" s="1">
        <v>0</v>
      </c>
      <c r="CM391" s="1">
        <v>6</v>
      </c>
    </row>
    <row r="392" spans="1:91" ht="14.25" customHeight="1" x14ac:dyDescent="0.3">
      <c r="A392" s="1" t="s">
        <v>2789</v>
      </c>
      <c r="B392" s="1" t="s">
        <v>137</v>
      </c>
      <c r="E392" s="1" t="s">
        <v>1170</v>
      </c>
      <c r="F392" s="1" t="s">
        <v>95</v>
      </c>
      <c r="G392" s="1" t="s">
        <v>127</v>
      </c>
      <c r="H392" s="1">
        <v>0</v>
      </c>
      <c r="I392" s="1" t="s">
        <v>145</v>
      </c>
      <c r="J392" s="1" t="s">
        <v>145</v>
      </c>
      <c r="L392" s="1" t="s">
        <v>145</v>
      </c>
      <c r="M392" s="1" t="s">
        <v>119</v>
      </c>
      <c r="N392" s="1">
        <v>0</v>
      </c>
      <c r="O392" s="1">
        <v>0</v>
      </c>
      <c r="P392" s="1" t="s">
        <v>100</v>
      </c>
      <c r="Q392" s="1" t="s">
        <v>101</v>
      </c>
      <c r="R392" s="1" t="s">
        <v>2790</v>
      </c>
      <c r="S392" s="1" t="s">
        <v>103</v>
      </c>
      <c r="T392" s="1">
        <v>1</v>
      </c>
      <c r="U392" s="1">
        <v>1</v>
      </c>
      <c r="V392" s="1">
        <v>0</v>
      </c>
      <c r="W392" s="1">
        <v>0</v>
      </c>
      <c r="X392" s="1">
        <v>1</v>
      </c>
      <c r="Y392" s="1" t="s">
        <v>104</v>
      </c>
      <c r="Z392" s="1" t="s">
        <v>104</v>
      </c>
      <c r="AA392" s="1" t="s">
        <v>104</v>
      </c>
      <c r="AB392" s="1">
        <v>3</v>
      </c>
      <c r="AC392" s="1">
        <v>3</v>
      </c>
      <c r="AD392" s="1" t="s">
        <v>104</v>
      </c>
      <c r="AE392" s="1" t="s">
        <v>104</v>
      </c>
      <c r="AF392" s="1" t="s">
        <v>104</v>
      </c>
      <c r="AG392" s="1" t="s">
        <v>104</v>
      </c>
      <c r="AH392" s="1" t="s">
        <v>104</v>
      </c>
      <c r="AI392" s="1" t="s">
        <v>104</v>
      </c>
      <c r="AJ392" s="1" t="s">
        <v>104</v>
      </c>
      <c r="AK392" s="1" t="s">
        <v>104</v>
      </c>
      <c r="AL392" s="1" t="s">
        <v>104</v>
      </c>
      <c r="AM392" s="1" t="s">
        <v>104</v>
      </c>
      <c r="AO392" s="1">
        <v>3</v>
      </c>
      <c r="AP392" s="1" t="s">
        <v>2791</v>
      </c>
      <c r="AQ392" s="1" t="s">
        <v>2792</v>
      </c>
      <c r="AR392" s="1">
        <v>0</v>
      </c>
      <c r="AS392" s="1">
        <v>0</v>
      </c>
      <c r="AT392" s="1">
        <v>0</v>
      </c>
      <c r="AU392" s="1">
        <v>0</v>
      </c>
      <c r="AV392" s="1">
        <v>0</v>
      </c>
      <c r="AW392" s="1">
        <v>0</v>
      </c>
      <c r="AX392" s="1">
        <v>0</v>
      </c>
      <c r="AY392" s="1">
        <v>0</v>
      </c>
      <c r="AZ392" s="1">
        <v>0</v>
      </c>
      <c r="BA392" s="1">
        <v>0</v>
      </c>
      <c r="BB392" s="1">
        <v>0</v>
      </c>
      <c r="BC392" s="1">
        <v>0</v>
      </c>
      <c r="BD392" s="1">
        <v>0</v>
      </c>
      <c r="BE392" s="1">
        <v>0</v>
      </c>
      <c r="BF392" s="1">
        <v>0</v>
      </c>
      <c r="BG392" s="1">
        <v>0</v>
      </c>
      <c r="BH392" s="1">
        <v>0</v>
      </c>
      <c r="BI392" s="1">
        <v>0</v>
      </c>
      <c r="BJ392" s="1">
        <v>0</v>
      </c>
      <c r="BK392" s="1">
        <v>0</v>
      </c>
      <c r="BL392" s="1">
        <v>0</v>
      </c>
      <c r="BM392" s="1">
        <v>0</v>
      </c>
      <c r="BN392" s="1">
        <v>0</v>
      </c>
      <c r="BO392" s="1">
        <v>0</v>
      </c>
      <c r="BP392" s="1">
        <v>0</v>
      </c>
      <c r="BQ392" s="2" t="str">
        <f>HYPERLINK("http://www.d20pfsrd.com/magic/all-spells/p/plant-growth","Plant Growth")</f>
        <v>Plant Growth</v>
      </c>
      <c r="BR392" s="1">
        <v>392</v>
      </c>
      <c r="BS392" s="1" t="s">
        <v>104</v>
      </c>
      <c r="BX392" s="1">
        <v>0</v>
      </c>
      <c r="BY392" s="1" t="s">
        <v>104</v>
      </c>
      <c r="BZ392" s="1" t="s">
        <v>104</v>
      </c>
      <c r="CA392" s="1" t="s">
        <v>104</v>
      </c>
      <c r="CB392" s="1" t="s">
        <v>104</v>
      </c>
      <c r="CC392" s="1" t="s">
        <v>104</v>
      </c>
      <c r="CD392" s="1" t="s">
        <v>104</v>
      </c>
      <c r="CE392" s="1" t="s">
        <v>104</v>
      </c>
      <c r="CF392" s="1" t="s">
        <v>104</v>
      </c>
      <c r="CG392" s="1" t="s">
        <v>104</v>
      </c>
      <c r="CH392" s="1">
        <v>3</v>
      </c>
      <c r="CJ392" s="1">
        <v>0</v>
      </c>
      <c r="CK392" s="1">
        <v>0</v>
      </c>
      <c r="CL392" s="1">
        <v>0</v>
      </c>
      <c r="CM392" s="1" t="s">
        <v>104</v>
      </c>
    </row>
    <row r="393" spans="1:91" ht="14.25" customHeight="1" x14ac:dyDescent="0.3">
      <c r="A393" s="1" t="s">
        <v>2793</v>
      </c>
      <c r="B393" s="1" t="s">
        <v>137</v>
      </c>
      <c r="C393" s="1" t="s">
        <v>154</v>
      </c>
      <c r="E393" s="1" t="s">
        <v>2794</v>
      </c>
      <c r="F393" s="1" t="s">
        <v>95</v>
      </c>
      <c r="G393" s="1" t="s">
        <v>156</v>
      </c>
      <c r="H393" s="1">
        <v>0</v>
      </c>
      <c r="I393" s="1" t="s">
        <v>157</v>
      </c>
      <c r="L393" s="1" t="s">
        <v>158</v>
      </c>
      <c r="M393" s="1" t="s">
        <v>130</v>
      </c>
      <c r="N393" s="1">
        <v>1</v>
      </c>
      <c r="O393" s="1">
        <v>0</v>
      </c>
      <c r="R393" s="1" t="s">
        <v>2795</v>
      </c>
      <c r="S393" s="1" t="s">
        <v>103</v>
      </c>
      <c r="T393" s="1">
        <v>1</v>
      </c>
      <c r="U393" s="1">
        <v>1</v>
      </c>
      <c r="V393" s="1">
        <v>1</v>
      </c>
      <c r="W393" s="1">
        <v>0</v>
      </c>
      <c r="X393" s="1">
        <v>0</v>
      </c>
      <c r="Y393" s="1">
        <v>5</v>
      </c>
      <c r="Z393" s="1">
        <v>5</v>
      </c>
      <c r="AA393" s="1" t="s">
        <v>104</v>
      </c>
      <c r="AB393" s="1" t="s">
        <v>104</v>
      </c>
      <c r="AC393" s="1" t="s">
        <v>104</v>
      </c>
      <c r="AD393" s="1" t="s">
        <v>104</v>
      </c>
      <c r="AE393" s="1" t="s">
        <v>104</v>
      </c>
      <c r="AF393" s="1">
        <v>5</v>
      </c>
      <c r="AG393" s="1" t="s">
        <v>104</v>
      </c>
      <c r="AH393" s="1" t="s">
        <v>104</v>
      </c>
      <c r="AI393" s="1" t="s">
        <v>104</v>
      </c>
      <c r="AJ393" s="1" t="s">
        <v>104</v>
      </c>
      <c r="AK393" s="1" t="s">
        <v>104</v>
      </c>
      <c r="AL393" s="1" t="s">
        <v>104</v>
      </c>
      <c r="AM393" s="1" t="s">
        <v>104</v>
      </c>
      <c r="AO393" s="1">
        <v>5</v>
      </c>
      <c r="AQ393" s="1" t="s">
        <v>2796</v>
      </c>
      <c r="AR393" s="1">
        <v>0</v>
      </c>
      <c r="AS393" s="1">
        <v>0</v>
      </c>
      <c r="AT393" s="1">
        <v>0</v>
      </c>
      <c r="AU393" s="1">
        <v>0</v>
      </c>
      <c r="AV393" s="1">
        <v>0</v>
      </c>
      <c r="AW393" s="1">
        <v>0</v>
      </c>
      <c r="AX393" s="1">
        <v>0</v>
      </c>
      <c r="AY393" s="1">
        <v>0</v>
      </c>
      <c r="AZ393" s="1">
        <v>0</v>
      </c>
      <c r="BA393" s="1">
        <v>0</v>
      </c>
      <c r="BB393" s="1">
        <v>0</v>
      </c>
      <c r="BC393" s="1">
        <v>0</v>
      </c>
      <c r="BD393" s="1">
        <v>0</v>
      </c>
      <c r="BE393" s="1">
        <v>0</v>
      </c>
      <c r="BF393" s="1">
        <v>0</v>
      </c>
      <c r="BG393" s="1">
        <v>0</v>
      </c>
      <c r="BH393" s="1">
        <v>0</v>
      </c>
      <c r="BI393" s="1">
        <v>0</v>
      </c>
      <c r="BJ393" s="1">
        <v>0</v>
      </c>
      <c r="BK393" s="1">
        <v>0</v>
      </c>
      <c r="BL393" s="1">
        <v>0</v>
      </c>
      <c r="BM393" s="1">
        <v>0</v>
      </c>
      <c r="BN393" s="1">
        <v>0</v>
      </c>
      <c r="BO393" s="1">
        <v>0</v>
      </c>
      <c r="BP393" s="1">
        <v>0</v>
      </c>
      <c r="BQ393" s="2" t="str">
        <f>HYPERLINK("http://www.d20pfsrd.com/magic/all-spells/p/plant-shape-i","Plant Shape I")</f>
        <v>Plant Shape I</v>
      </c>
      <c r="BR393" s="1">
        <v>393</v>
      </c>
      <c r="BS393" s="1" t="s">
        <v>104</v>
      </c>
      <c r="BX393" s="1">
        <v>0</v>
      </c>
      <c r="BY393" s="1" t="s">
        <v>104</v>
      </c>
      <c r="BZ393" s="1" t="s">
        <v>104</v>
      </c>
      <c r="CA393" s="1" t="s">
        <v>104</v>
      </c>
      <c r="CB393" s="1" t="s">
        <v>104</v>
      </c>
      <c r="CC393" s="1" t="s">
        <v>104</v>
      </c>
      <c r="CD393" s="1" t="s">
        <v>104</v>
      </c>
      <c r="CE393" s="1" t="s">
        <v>104</v>
      </c>
      <c r="CF393" s="1" t="s">
        <v>104</v>
      </c>
      <c r="CG393" s="1" t="s">
        <v>104</v>
      </c>
      <c r="CH393" s="1" t="s">
        <v>104</v>
      </c>
      <c r="CJ393" s="1">
        <v>0</v>
      </c>
      <c r="CK393" s="1">
        <v>0</v>
      </c>
      <c r="CL393" s="1">
        <v>0</v>
      </c>
      <c r="CM393" s="1" t="s">
        <v>104</v>
      </c>
    </row>
    <row r="394" spans="1:91" ht="14.25" customHeight="1" x14ac:dyDescent="0.3">
      <c r="A394" s="1" t="s">
        <v>2797</v>
      </c>
      <c r="B394" s="1" t="s">
        <v>137</v>
      </c>
      <c r="C394" s="1" t="s">
        <v>154</v>
      </c>
      <c r="E394" s="1" t="s">
        <v>2798</v>
      </c>
      <c r="F394" s="1" t="s">
        <v>95</v>
      </c>
      <c r="G394" s="1" t="s">
        <v>156</v>
      </c>
      <c r="H394" s="1">
        <v>0</v>
      </c>
      <c r="I394" s="1" t="s">
        <v>157</v>
      </c>
      <c r="L394" s="1" t="s">
        <v>158</v>
      </c>
      <c r="M394" s="1" t="s">
        <v>130</v>
      </c>
      <c r="N394" s="1">
        <v>1</v>
      </c>
      <c r="O394" s="1">
        <v>0</v>
      </c>
      <c r="R394" s="1" t="s">
        <v>2799</v>
      </c>
      <c r="S394" s="1" t="s">
        <v>103</v>
      </c>
      <c r="T394" s="1">
        <v>1</v>
      </c>
      <c r="U394" s="1">
        <v>1</v>
      </c>
      <c r="V394" s="1">
        <v>1</v>
      </c>
      <c r="W394" s="1">
        <v>0</v>
      </c>
      <c r="X394" s="1">
        <v>0</v>
      </c>
      <c r="Y394" s="1">
        <v>6</v>
      </c>
      <c r="Z394" s="1">
        <v>6</v>
      </c>
      <c r="AA394" s="1" t="s">
        <v>104</v>
      </c>
      <c r="AB394" s="1" t="s">
        <v>104</v>
      </c>
      <c r="AC394" s="1" t="s">
        <v>104</v>
      </c>
      <c r="AD394" s="1" t="s">
        <v>104</v>
      </c>
      <c r="AE394" s="1" t="s">
        <v>104</v>
      </c>
      <c r="AF394" s="1">
        <v>6</v>
      </c>
      <c r="AG394" s="1" t="s">
        <v>104</v>
      </c>
      <c r="AH394" s="1" t="s">
        <v>104</v>
      </c>
      <c r="AI394" s="1" t="s">
        <v>104</v>
      </c>
      <c r="AJ394" s="1" t="s">
        <v>104</v>
      </c>
      <c r="AK394" s="1" t="s">
        <v>104</v>
      </c>
      <c r="AL394" s="1" t="s">
        <v>104</v>
      </c>
      <c r="AM394" s="1" t="s">
        <v>104</v>
      </c>
      <c r="AO394" s="1">
        <v>6</v>
      </c>
      <c r="AQ394" s="1" t="s">
        <v>2800</v>
      </c>
      <c r="AR394" s="1">
        <v>0</v>
      </c>
      <c r="AS394" s="1">
        <v>0</v>
      </c>
      <c r="AT394" s="1">
        <v>0</v>
      </c>
      <c r="AU394" s="1">
        <v>0</v>
      </c>
      <c r="AV394" s="1">
        <v>0</v>
      </c>
      <c r="AW394" s="1">
        <v>0</v>
      </c>
      <c r="AX394" s="1">
        <v>0</v>
      </c>
      <c r="AY394" s="1">
        <v>0</v>
      </c>
      <c r="AZ394" s="1">
        <v>0</v>
      </c>
      <c r="BA394" s="1">
        <v>0</v>
      </c>
      <c r="BB394" s="1">
        <v>0</v>
      </c>
      <c r="BC394" s="1">
        <v>0</v>
      </c>
      <c r="BD394" s="1">
        <v>0</v>
      </c>
      <c r="BE394" s="1">
        <v>0</v>
      </c>
      <c r="BF394" s="1">
        <v>0</v>
      </c>
      <c r="BG394" s="1">
        <v>0</v>
      </c>
      <c r="BH394" s="1">
        <v>0</v>
      </c>
      <c r="BI394" s="1">
        <v>0</v>
      </c>
      <c r="BJ394" s="1">
        <v>0</v>
      </c>
      <c r="BK394" s="1">
        <v>0</v>
      </c>
      <c r="BL394" s="1">
        <v>0</v>
      </c>
      <c r="BM394" s="1">
        <v>0</v>
      </c>
      <c r="BN394" s="1">
        <v>0</v>
      </c>
      <c r="BO394" s="1">
        <v>0</v>
      </c>
      <c r="BP394" s="1">
        <v>0</v>
      </c>
      <c r="BQ394" s="2" t="str">
        <f>HYPERLINK("http://www.d20pfsrd.com/magic/all-spells/p/plant-shape-i#TOC-Plant-Shape-II","Plant Shape II")</f>
        <v>Plant Shape II</v>
      </c>
      <c r="BR394" s="1">
        <v>394</v>
      </c>
      <c r="BS394" s="1" t="s">
        <v>104</v>
      </c>
      <c r="BX394" s="1">
        <v>0</v>
      </c>
      <c r="BY394" s="1" t="s">
        <v>104</v>
      </c>
      <c r="BZ394" s="1" t="s">
        <v>104</v>
      </c>
      <c r="CA394" s="1" t="s">
        <v>104</v>
      </c>
      <c r="CB394" s="1" t="s">
        <v>104</v>
      </c>
      <c r="CC394" s="1" t="s">
        <v>104</v>
      </c>
      <c r="CD394" s="1" t="s">
        <v>104</v>
      </c>
      <c r="CE394" s="1" t="s">
        <v>104</v>
      </c>
      <c r="CF394" s="1" t="s">
        <v>104</v>
      </c>
      <c r="CG394" s="1" t="s">
        <v>104</v>
      </c>
      <c r="CH394" s="1" t="s">
        <v>104</v>
      </c>
      <c r="CJ394" s="1">
        <v>0</v>
      </c>
      <c r="CK394" s="1">
        <v>0</v>
      </c>
      <c r="CL394" s="1">
        <v>0</v>
      </c>
      <c r="CM394" s="1" t="s">
        <v>104</v>
      </c>
    </row>
    <row r="395" spans="1:91" ht="14.25" customHeight="1" x14ac:dyDescent="0.3">
      <c r="A395" s="1" t="s">
        <v>2801</v>
      </c>
      <c r="B395" s="1" t="s">
        <v>137</v>
      </c>
      <c r="C395" s="1" t="s">
        <v>154</v>
      </c>
      <c r="E395" s="1" t="s">
        <v>843</v>
      </c>
      <c r="F395" s="1" t="s">
        <v>95</v>
      </c>
      <c r="G395" s="1" t="s">
        <v>156</v>
      </c>
      <c r="H395" s="1">
        <v>0</v>
      </c>
      <c r="I395" s="1" t="s">
        <v>157</v>
      </c>
      <c r="L395" s="1" t="s">
        <v>158</v>
      </c>
      <c r="M395" s="1" t="s">
        <v>130</v>
      </c>
      <c r="N395" s="1">
        <v>1</v>
      </c>
      <c r="O395" s="1">
        <v>0</v>
      </c>
      <c r="R395" s="1" t="s">
        <v>2802</v>
      </c>
      <c r="S395" s="1" t="s">
        <v>103</v>
      </c>
      <c r="T395" s="1">
        <v>1</v>
      </c>
      <c r="U395" s="1">
        <v>1</v>
      </c>
      <c r="V395" s="1">
        <v>1</v>
      </c>
      <c r="W395" s="1">
        <v>0</v>
      </c>
      <c r="X395" s="1">
        <v>0</v>
      </c>
      <c r="Y395" s="1">
        <v>7</v>
      </c>
      <c r="Z395" s="1">
        <v>7</v>
      </c>
      <c r="AA395" s="1" t="s">
        <v>104</v>
      </c>
      <c r="AB395" s="1" t="s">
        <v>104</v>
      </c>
      <c r="AC395" s="1" t="s">
        <v>104</v>
      </c>
      <c r="AD395" s="1" t="s">
        <v>104</v>
      </c>
      <c r="AE395" s="1" t="s">
        <v>104</v>
      </c>
      <c r="AF395" s="1" t="s">
        <v>104</v>
      </c>
      <c r="AG395" s="1" t="s">
        <v>104</v>
      </c>
      <c r="AH395" s="1" t="s">
        <v>104</v>
      </c>
      <c r="AI395" s="1" t="s">
        <v>104</v>
      </c>
      <c r="AJ395" s="1" t="s">
        <v>104</v>
      </c>
      <c r="AK395" s="1" t="s">
        <v>104</v>
      </c>
      <c r="AL395" s="1" t="s">
        <v>104</v>
      </c>
      <c r="AM395" s="1" t="s">
        <v>104</v>
      </c>
      <c r="AO395" s="1">
        <v>7</v>
      </c>
      <c r="AQ395" s="1" t="s">
        <v>2803</v>
      </c>
      <c r="AR395" s="1">
        <v>0</v>
      </c>
      <c r="AS395" s="1">
        <v>0</v>
      </c>
      <c r="AT395" s="1">
        <v>0</v>
      </c>
      <c r="AU395" s="1">
        <v>0</v>
      </c>
      <c r="AV395" s="1">
        <v>0</v>
      </c>
      <c r="AW395" s="1">
        <v>0</v>
      </c>
      <c r="AX395" s="1">
        <v>0</v>
      </c>
      <c r="AY395" s="1">
        <v>0</v>
      </c>
      <c r="AZ395" s="1">
        <v>0</v>
      </c>
      <c r="BA395" s="1">
        <v>0</v>
      </c>
      <c r="BB395" s="1">
        <v>0</v>
      </c>
      <c r="BC395" s="1">
        <v>0</v>
      </c>
      <c r="BD395" s="1">
        <v>0</v>
      </c>
      <c r="BE395" s="1">
        <v>0</v>
      </c>
      <c r="BF395" s="1">
        <v>0</v>
      </c>
      <c r="BG395" s="1">
        <v>0</v>
      </c>
      <c r="BH395" s="1">
        <v>0</v>
      </c>
      <c r="BI395" s="1">
        <v>0</v>
      </c>
      <c r="BJ395" s="1">
        <v>0</v>
      </c>
      <c r="BK395" s="1">
        <v>0</v>
      </c>
      <c r="BL395" s="1">
        <v>0</v>
      </c>
      <c r="BM395" s="1">
        <v>0</v>
      </c>
      <c r="BN395" s="1">
        <v>0</v>
      </c>
      <c r="BO395" s="1">
        <v>0</v>
      </c>
      <c r="BP395" s="1">
        <v>0</v>
      </c>
      <c r="BQ395" s="2" t="str">
        <f>HYPERLINK("http://www.d20pfsrd.com/magic/all-spells/p/plant-shape-i#TOC-Plant-Shape-III","Plant Shape III")</f>
        <v>Plant Shape III</v>
      </c>
      <c r="BR395" s="1">
        <v>395</v>
      </c>
      <c r="BS395" s="1" t="s">
        <v>104</v>
      </c>
      <c r="BT395" s="1" t="s">
        <v>2804</v>
      </c>
      <c r="BX395" s="1">
        <v>0</v>
      </c>
      <c r="BY395" s="1" t="s">
        <v>104</v>
      </c>
      <c r="BZ395" s="1" t="s">
        <v>104</v>
      </c>
      <c r="CA395" s="1" t="s">
        <v>104</v>
      </c>
      <c r="CB395" s="1" t="s">
        <v>104</v>
      </c>
      <c r="CC395" s="1" t="s">
        <v>104</v>
      </c>
      <c r="CD395" s="1" t="s">
        <v>104</v>
      </c>
      <c r="CE395" s="1" t="s">
        <v>104</v>
      </c>
      <c r="CF395" s="1" t="s">
        <v>104</v>
      </c>
      <c r="CG395" s="1" t="s">
        <v>104</v>
      </c>
      <c r="CH395" s="1" t="s">
        <v>104</v>
      </c>
      <c r="CJ395" s="1">
        <v>0</v>
      </c>
      <c r="CK395" s="1">
        <v>0</v>
      </c>
      <c r="CL395" s="1">
        <v>0</v>
      </c>
      <c r="CM395" s="1" t="s">
        <v>104</v>
      </c>
    </row>
    <row r="396" spans="1:91" ht="14.25" customHeight="1" x14ac:dyDescent="0.3">
      <c r="A396" s="1" t="s">
        <v>2805</v>
      </c>
      <c r="B396" s="1" t="s">
        <v>216</v>
      </c>
      <c r="D396" s="1" t="s">
        <v>64</v>
      </c>
      <c r="E396" s="1" t="s">
        <v>2806</v>
      </c>
      <c r="F396" s="1" t="s">
        <v>95</v>
      </c>
      <c r="G396" s="1" t="s">
        <v>127</v>
      </c>
      <c r="H396" s="1">
        <v>0</v>
      </c>
      <c r="I396" s="1" t="s">
        <v>128</v>
      </c>
      <c r="L396" s="1" t="s">
        <v>129</v>
      </c>
      <c r="M396" s="1" t="s">
        <v>723</v>
      </c>
      <c r="N396" s="1">
        <v>0</v>
      </c>
      <c r="O396" s="1">
        <v>0</v>
      </c>
      <c r="P396" s="1" t="s">
        <v>2807</v>
      </c>
      <c r="Q396" s="1" t="s">
        <v>184</v>
      </c>
      <c r="R396" s="1" t="s">
        <v>2808</v>
      </c>
      <c r="S396" s="1" t="s">
        <v>103</v>
      </c>
      <c r="T396" s="1">
        <v>1</v>
      </c>
      <c r="U396" s="1">
        <v>1</v>
      </c>
      <c r="V396" s="1">
        <v>0</v>
      </c>
      <c r="W396" s="1">
        <v>0</v>
      </c>
      <c r="X396" s="1">
        <v>1</v>
      </c>
      <c r="Y396" s="1" t="s">
        <v>104</v>
      </c>
      <c r="Z396" s="1" t="s">
        <v>104</v>
      </c>
      <c r="AA396" s="1">
        <v>4</v>
      </c>
      <c r="AB396" s="1">
        <v>3</v>
      </c>
      <c r="AC396" s="1" t="s">
        <v>104</v>
      </c>
      <c r="AD396" s="1" t="s">
        <v>104</v>
      </c>
      <c r="AE396" s="1" t="s">
        <v>104</v>
      </c>
      <c r="AF396" s="1" t="s">
        <v>104</v>
      </c>
      <c r="AG396" s="1" t="s">
        <v>104</v>
      </c>
      <c r="AH396" s="1">
        <v>4</v>
      </c>
      <c r="AI396" s="1" t="s">
        <v>104</v>
      </c>
      <c r="AJ396" s="1">
        <v>4</v>
      </c>
      <c r="AK396" s="1">
        <v>4</v>
      </c>
      <c r="AL396" s="1" t="s">
        <v>104</v>
      </c>
      <c r="AM396" s="1" t="s">
        <v>104</v>
      </c>
      <c r="AO396" s="1">
        <v>4</v>
      </c>
      <c r="AP396" s="1" t="s">
        <v>2809</v>
      </c>
      <c r="AQ396" s="1" t="s">
        <v>2810</v>
      </c>
      <c r="AR396" s="1">
        <v>0</v>
      </c>
      <c r="AS396" s="1">
        <v>0</v>
      </c>
      <c r="AT396" s="1">
        <v>0</v>
      </c>
      <c r="AU396" s="1">
        <v>0</v>
      </c>
      <c r="AV396" s="1">
        <v>0</v>
      </c>
      <c r="AW396" s="1">
        <v>0</v>
      </c>
      <c r="AX396" s="1">
        <v>0</v>
      </c>
      <c r="AY396" s="1">
        <v>0</v>
      </c>
      <c r="AZ396" s="1">
        <v>0</v>
      </c>
      <c r="BA396" s="1">
        <v>0</v>
      </c>
      <c r="BB396" s="1">
        <v>0</v>
      </c>
      <c r="BC396" s="1">
        <v>0</v>
      </c>
      <c r="BD396" s="1">
        <v>0</v>
      </c>
      <c r="BE396" s="1">
        <v>0</v>
      </c>
      <c r="BF396" s="1">
        <v>0</v>
      </c>
      <c r="BG396" s="1">
        <v>0</v>
      </c>
      <c r="BH396" s="1">
        <v>0</v>
      </c>
      <c r="BI396" s="1">
        <v>0</v>
      </c>
      <c r="BJ396" s="1">
        <v>0</v>
      </c>
      <c r="BK396" s="1">
        <v>0</v>
      </c>
      <c r="BL396" s="1">
        <v>0</v>
      </c>
      <c r="BM396" s="1">
        <v>1</v>
      </c>
      <c r="BN396" s="1">
        <v>0</v>
      </c>
      <c r="BO396" s="1">
        <v>0</v>
      </c>
      <c r="BP396" s="1">
        <v>0</v>
      </c>
      <c r="BQ396" s="2" t="str">
        <f>HYPERLINK("http://www.d20pfsrd.com/magic/all-spells/p/poison","Poison")</f>
        <v>Poison</v>
      </c>
      <c r="BR396" s="1">
        <v>396</v>
      </c>
      <c r="BS396" s="1" t="s">
        <v>104</v>
      </c>
      <c r="BT396" s="1" t="s">
        <v>2811</v>
      </c>
      <c r="BX396" s="1">
        <v>0</v>
      </c>
      <c r="BY396" s="1" t="s">
        <v>104</v>
      </c>
      <c r="BZ396" s="1">
        <v>4</v>
      </c>
      <c r="CA396" s="1" t="s">
        <v>104</v>
      </c>
      <c r="CB396" s="1" t="s">
        <v>104</v>
      </c>
      <c r="CC396" s="1">
        <v>4</v>
      </c>
      <c r="CD396" s="1">
        <v>4</v>
      </c>
      <c r="CE396" s="1" t="s">
        <v>104</v>
      </c>
      <c r="CF396" s="1" t="s">
        <v>104</v>
      </c>
      <c r="CG396" s="1" t="s">
        <v>104</v>
      </c>
      <c r="CH396" s="1">
        <v>3</v>
      </c>
      <c r="CJ396" s="1">
        <v>0</v>
      </c>
      <c r="CK396" s="1">
        <v>0</v>
      </c>
      <c r="CL396" s="1">
        <v>0</v>
      </c>
      <c r="CM396" s="1" t="s">
        <v>104</v>
      </c>
    </row>
    <row r="397" spans="1:91" ht="14.25" customHeight="1" x14ac:dyDescent="0.3">
      <c r="A397" s="1" t="s">
        <v>2812</v>
      </c>
      <c r="B397" s="1" t="s">
        <v>434</v>
      </c>
      <c r="D397" s="1" t="s">
        <v>46</v>
      </c>
      <c r="E397" s="1" t="s">
        <v>1688</v>
      </c>
      <c r="F397" s="1" t="s">
        <v>95</v>
      </c>
      <c r="G397" s="1" t="s">
        <v>2813</v>
      </c>
      <c r="H397" s="1">
        <v>0</v>
      </c>
      <c r="I397" s="1" t="s">
        <v>109</v>
      </c>
      <c r="K397" s="1" t="s">
        <v>1148</v>
      </c>
      <c r="M397" s="1" t="s">
        <v>119</v>
      </c>
      <c r="N397" s="1">
        <v>0</v>
      </c>
      <c r="O397" s="1">
        <v>0</v>
      </c>
      <c r="P397" s="1" t="s">
        <v>100</v>
      </c>
      <c r="Q397" s="1" t="s">
        <v>184</v>
      </c>
      <c r="R397" s="1" t="s">
        <v>2814</v>
      </c>
      <c r="S397" s="1" t="s">
        <v>103</v>
      </c>
      <c r="T397" s="1">
        <v>1</v>
      </c>
      <c r="U397" s="1">
        <v>1</v>
      </c>
      <c r="V397" s="1">
        <v>0</v>
      </c>
      <c r="W397" s="1">
        <v>0</v>
      </c>
      <c r="X397" s="1">
        <v>0</v>
      </c>
      <c r="Y397" s="1">
        <v>8</v>
      </c>
      <c r="Z397" s="1">
        <v>8</v>
      </c>
      <c r="AA397" s="1" t="s">
        <v>104</v>
      </c>
      <c r="AB397" s="1" t="s">
        <v>104</v>
      </c>
      <c r="AC397" s="1" t="s">
        <v>104</v>
      </c>
      <c r="AD397" s="1" t="s">
        <v>104</v>
      </c>
      <c r="AE397" s="1" t="s">
        <v>104</v>
      </c>
      <c r="AF397" s="1" t="s">
        <v>104</v>
      </c>
      <c r="AG397" s="1" t="s">
        <v>104</v>
      </c>
      <c r="AH397" s="1" t="s">
        <v>104</v>
      </c>
      <c r="AI397" s="1" t="s">
        <v>104</v>
      </c>
      <c r="AJ397" s="1" t="s">
        <v>104</v>
      </c>
      <c r="AK397" s="1" t="s">
        <v>104</v>
      </c>
      <c r="AL397" s="1" t="s">
        <v>104</v>
      </c>
      <c r="AM397" s="1" t="s">
        <v>104</v>
      </c>
      <c r="AO397" s="1">
        <v>8</v>
      </c>
      <c r="AP397" s="1" t="s">
        <v>2815</v>
      </c>
      <c r="AQ397" s="1" t="s">
        <v>2816</v>
      </c>
      <c r="AR397" s="1">
        <v>0</v>
      </c>
      <c r="AS397" s="1">
        <v>0</v>
      </c>
      <c r="AT397" s="1">
        <v>0</v>
      </c>
      <c r="AU397" s="1">
        <v>1</v>
      </c>
      <c r="AV397" s="1">
        <v>0</v>
      </c>
      <c r="AW397" s="1">
        <v>0</v>
      </c>
      <c r="AX397" s="1">
        <v>0</v>
      </c>
      <c r="AY397" s="1">
        <v>0</v>
      </c>
      <c r="AZ397" s="1">
        <v>0</v>
      </c>
      <c r="BA397" s="1">
        <v>0</v>
      </c>
      <c r="BB397" s="1">
        <v>0</v>
      </c>
      <c r="BC397" s="1">
        <v>0</v>
      </c>
      <c r="BD397" s="1">
        <v>0</v>
      </c>
      <c r="BE397" s="1">
        <v>0</v>
      </c>
      <c r="BF397" s="1">
        <v>0</v>
      </c>
      <c r="BG397" s="1">
        <v>0</v>
      </c>
      <c r="BH397" s="1">
        <v>0</v>
      </c>
      <c r="BI397" s="1">
        <v>0</v>
      </c>
      <c r="BJ397" s="1">
        <v>0</v>
      </c>
      <c r="BK397" s="1">
        <v>0</v>
      </c>
      <c r="BL397" s="1">
        <v>0</v>
      </c>
      <c r="BM397" s="1">
        <v>0</v>
      </c>
      <c r="BN397" s="1">
        <v>0</v>
      </c>
      <c r="BO397" s="1">
        <v>0</v>
      </c>
      <c r="BP397" s="1">
        <v>0</v>
      </c>
      <c r="BQ397" s="2" t="str">
        <f>HYPERLINK("http://www.d20pfsrd.com/magic/all-spells/p/polar-ray","Polar Ray")</f>
        <v>Polar Ray</v>
      </c>
      <c r="BR397" s="1">
        <v>397</v>
      </c>
      <c r="BS397" s="1" t="s">
        <v>104</v>
      </c>
      <c r="BT397" s="1" t="s">
        <v>2817</v>
      </c>
      <c r="BU397" s="1" t="s">
        <v>2818</v>
      </c>
      <c r="BV397" s="1" t="s">
        <v>2819</v>
      </c>
      <c r="BX397" s="1">
        <v>1</v>
      </c>
      <c r="BY397" s="1" t="s">
        <v>104</v>
      </c>
      <c r="BZ397" s="1" t="s">
        <v>104</v>
      </c>
      <c r="CA397" s="1" t="s">
        <v>104</v>
      </c>
      <c r="CB397" s="1" t="s">
        <v>104</v>
      </c>
      <c r="CC397" s="1" t="s">
        <v>104</v>
      </c>
      <c r="CD397" s="1" t="s">
        <v>104</v>
      </c>
      <c r="CE397" s="1" t="s">
        <v>104</v>
      </c>
      <c r="CF397" s="1" t="s">
        <v>104</v>
      </c>
      <c r="CG397" s="1" t="s">
        <v>104</v>
      </c>
      <c r="CH397" s="1" t="s">
        <v>104</v>
      </c>
      <c r="CJ397" s="1">
        <v>0</v>
      </c>
      <c r="CK397" s="1">
        <v>0</v>
      </c>
      <c r="CL397" s="1">
        <v>0</v>
      </c>
      <c r="CM397" s="1" t="s">
        <v>104</v>
      </c>
    </row>
    <row r="398" spans="1:91" ht="14.25" customHeight="1" x14ac:dyDescent="0.3">
      <c r="A398" s="1" t="s">
        <v>2820</v>
      </c>
      <c r="B398" s="1" t="s">
        <v>137</v>
      </c>
      <c r="C398" s="1" t="s">
        <v>154</v>
      </c>
      <c r="E398" s="1" t="s">
        <v>2794</v>
      </c>
      <c r="F398" s="1" t="s">
        <v>95</v>
      </c>
      <c r="G398" s="1" t="s">
        <v>2821</v>
      </c>
      <c r="H398" s="1">
        <v>0</v>
      </c>
      <c r="I398" s="1" t="s">
        <v>128</v>
      </c>
      <c r="L398" s="1" t="s">
        <v>129</v>
      </c>
      <c r="M398" s="1" t="s">
        <v>1339</v>
      </c>
      <c r="N398" s="1">
        <v>1</v>
      </c>
      <c r="O398" s="1">
        <v>0</v>
      </c>
      <c r="P398" s="1" t="s">
        <v>375</v>
      </c>
      <c r="Q398" s="1" t="s">
        <v>131</v>
      </c>
      <c r="R398" s="1" t="s">
        <v>2822</v>
      </c>
      <c r="S398" s="1" t="s">
        <v>103</v>
      </c>
      <c r="T398" s="1">
        <v>1</v>
      </c>
      <c r="U398" s="1">
        <v>1</v>
      </c>
      <c r="V398" s="1">
        <v>1</v>
      </c>
      <c r="W398" s="1">
        <v>0</v>
      </c>
      <c r="X398" s="1">
        <v>0</v>
      </c>
      <c r="Y398" s="1">
        <v>5</v>
      </c>
      <c r="Z398" s="1">
        <v>5</v>
      </c>
      <c r="AA398" s="1" t="s">
        <v>104</v>
      </c>
      <c r="AB398" s="1" t="s">
        <v>104</v>
      </c>
      <c r="AC398" s="1" t="s">
        <v>104</v>
      </c>
      <c r="AD398" s="1" t="s">
        <v>104</v>
      </c>
      <c r="AE398" s="1" t="s">
        <v>104</v>
      </c>
      <c r="AF398" s="1">
        <v>5</v>
      </c>
      <c r="AG398" s="1" t="s">
        <v>104</v>
      </c>
      <c r="AH398" s="1" t="s">
        <v>104</v>
      </c>
      <c r="AI398" s="1" t="s">
        <v>104</v>
      </c>
      <c r="AJ398" s="1" t="s">
        <v>104</v>
      </c>
      <c r="AK398" s="1" t="s">
        <v>104</v>
      </c>
      <c r="AL398" s="1" t="s">
        <v>104</v>
      </c>
      <c r="AM398" s="1">
        <v>4</v>
      </c>
      <c r="AO398" s="1">
        <v>5</v>
      </c>
      <c r="AQ398" s="1" t="s">
        <v>2823</v>
      </c>
      <c r="AR398" s="1">
        <v>0</v>
      </c>
      <c r="AS398" s="1">
        <v>0</v>
      </c>
      <c r="AT398" s="1">
        <v>0</v>
      </c>
      <c r="AU398" s="1">
        <v>0</v>
      </c>
      <c r="AV398" s="1">
        <v>0</v>
      </c>
      <c r="AW398" s="1">
        <v>0</v>
      </c>
      <c r="AX398" s="1">
        <v>0</v>
      </c>
      <c r="AY398" s="1">
        <v>0</v>
      </c>
      <c r="AZ398" s="1">
        <v>0</v>
      </c>
      <c r="BA398" s="1">
        <v>0</v>
      </c>
      <c r="BB398" s="1">
        <v>0</v>
      </c>
      <c r="BC398" s="1">
        <v>0</v>
      </c>
      <c r="BD398" s="1">
        <v>0</v>
      </c>
      <c r="BE398" s="1">
        <v>0</v>
      </c>
      <c r="BF398" s="1">
        <v>0</v>
      </c>
      <c r="BG398" s="1">
        <v>0</v>
      </c>
      <c r="BH398" s="1">
        <v>0</v>
      </c>
      <c r="BI398" s="1">
        <v>0</v>
      </c>
      <c r="BJ398" s="1">
        <v>0</v>
      </c>
      <c r="BK398" s="1">
        <v>0</v>
      </c>
      <c r="BL398" s="1">
        <v>0</v>
      </c>
      <c r="BM398" s="1">
        <v>0</v>
      </c>
      <c r="BN398" s="1">
        <v>0</v>
      </c>
      <c r="BO398" s="1">
        <v>0</v>
      </c>
      <c r="BP398" s="1">
        <v>0</v>
      </c>
      <c r="BQ398" s="2" t="str">
        <f>HYPERLINK("http://www.d20pfsrd.com/magic/all-spells/p/polymorph","Polymorph")</f>
        <v>Polymorph</v>
      </c>
      <c r="BR398" s="1">
        <v>398</v>
      </c>
      <c r="BS398" s="1" t="s">
        <v>104</v>
      </c>
      <c r="BU398" s="1" t="s">
        <v>2824</v>
      </c>
      <c r="BX398" s="1">
        <v>0</v>
      </c>
      <c r="BY398" s="1" t="s">
        <v>104</v>
      </c>
      <c r="BZ398" s="1" t="s">
        <v>104</v>
      </c>
      <c r="CA398" s="1" t="s">
        <v>104</v>
      </c>
      <c r="CB398" s="1" t="s">
        <v>104</v>
      </c>
      <c r="CC398" s="1" t="s">
        <v>104</v>
      </c>
      <c r="CD398" s="1" t="s">
        <v>104</v>
      </c>
      <c r="CE398" s="1" t="s">
        <v>104</v>
      </c>
      <c r="CF398" s="1" t="s">
        <v>104</v>
      </c>
      <c r="CG398" s="1" t="s">
        <v>104</v>
      </c>
      <c r="CH398" s="1" t="s">
        <v>104</v>
      </c>
      <c r="CJ398" s="1">
        <v>0</v>
      </c>
      <c r="CK398" s="1">
        <v>0</v>
      </c>
      <c r="CL398" s="1">
        <v>0</v>
      </c>
      <c r="CM398" s="1" t="s">
        <v>104</v>
      </c>
    </row>
    <row r="399" spans="1:91" ht="14.25" customHeight="1" x14ac:dyDescent="0.3">
      <c r="A399" s="1" t="s">
        <v>2825</v>
      </c>
      <c r="B399" s="1" t="s">
        <v>137</v>
      </c>
      <c r="C399" s="1" t="s">
        <v>154</v>
      </c>
      <c r="E399" s="1" t="s">
        <v>843</v>
      </c>
      <c r="F399" s="1" t="s">
        <v>95</v>
      </c>
      <c r="G399" s="1" t="s">
        <v>2821</v>
      </c>
      <c r="H399" s="1">
        <v>0</v>
      </c>
      <c r="I399" s="1" t="s">
        <v>128</v>
      </c>
      <c r="L399" s="1" t="s">
        <v>129</v>
      </c>
      <c r="M399" s="1" t="s">
        <v>1339</v>
      </c>
      <c r="N399" s="1">
        <v>1</v>
      </c>
      <c r="O399" s="1">
        <v>0</v>
      </c>
      <c r="P399" s="1" t="s">
        <v>375</v>
      </c>
      <c r="Q399" s="1" t="s">
        <v>131</v>
      </c>
      <c r="R399" s="1" t="s">
        <v>2826</v>
      </c>
      <c r="S399" s="1" t="s">
        <v>103</v>
      </c>
      <c r="T399" s="1">
        <v>1</v>
      </c>
      <c r="U399" s="1">
        <v>1</v>
      </c>
      <c r="V399" s="1">
        <v>1</v>
      </c>
      <c r="W399" s="1">
        <v>0</v>
      </c>
      <c r="X399" s="1">
        <v>0</v>
      </c>
      <c r="Y399" s="1">
        <v>7</v>
      </c>
      <c r="Z399" s="1">
        <v>7</v>
      </c>
      <c r="AA399" s="1" t="s">
        <v>104</v>
      </c>
      <c r="AB399" s="1" t="s">
        <v>104</v>
      </c>
      <c r="AC399" s="1" t="s">
        <v>104</v>
      </c>
      <c r="AD399" s="1" t="s">
        <v>104</v>
      </c>
      <c r="AE399" s="1" t="s">
        <v>104</v>
      </c>
      <c r="AF399" s="1" t="s">
        <v>104</v>
      </c>
      <c r="AG399" s="1" t="s">
        <v>104</v>
      </c>
      <c r="AH399" s="1" t="s">
        <v>104</v>
      </c>
      <c r="AI399" s="1" t="s">
        <v>104</v>
      </c>
      <c r="AJ399" s="1" t="s">
        <v>104</v>
      </c>
      <c r="AK399" s="1" t="s">
        <v>104</v>
      </c>
      <c r="AL399" s="1" t="s">
        <v>104</v>
      </c>
      <c r="AM399" s="1" t="s">
        <v>104</v>
      </c>
      <c r="AO399" s="1">
        <v>7</v>
      </c>
      <c r="AQ399" s="1" t="s">
        <v>2827</v>
      </c>
      <c r="AR399" s="1">
        <v>0</v>
      </c>
      <c r="AS399" s="1">
        <v>0</v>
      </c>
      <c r="AT399" s="1">
        <v>0</v>
      </c>
      <c r="AU399" s="1">
        <v>0</v>
      </c>
      <c r="AV399" s="1">
        <v>0</v>
      </c>
      <c r="AW399" s="1">
        <v>0</v>
      </c>
      <c r="AX399" s="1">
        <v>0</v>
      </c>
      <c r="AY399" s="1">
        <v>0</v>
      </c>
      <c r="AZ399" s="1">
        <v>0</v>
      </c>
      <c r="BA399" s="1">
        <v>0</v>
      </c>
      <c r="BB399" s="1">
        <v>0</v>
      </c>
      <c r="BC399" s="1">
        <v>0</v>
      </c>
      <c r="BD399" s="1">
        <v>0</v>
      </c>
      <c r="BE399" s="1">
        <v>0</v>
      </c>
      <c r="BF399" s="1">
        <v>0</v>
      </c>
      <c r="BG399" s="1">
        <v>0</v>
      </c>
      <c r="BH399" s="1">
        <v>0</v>
      </c>
      <c r="BI399" s="1">
        <v>0</v>
      </c>
      <c r="BJ399" s="1">
        <v>0</v>
      </c>
      <c r="BK399" s="1">
        <v>0</v>
      </c>
      <c r="BL399" s="1">
        <v>0</v>
      </c>
      <c r="BM399" s="1">
        <v>0</v>
      </c>
      <c r="BN399" s="1">
        <v>0</v>
      </c>
      <c r="BO399" s="1">
        <v>0</v>
      </c>
      <c r="BP399" s="1">
        <v>0</v>
      </c>
      <c r="BQ399" s="2" t="str">
        <f>HYPERLINK("http://www.d20pfsrd.com/magic/all-spells/p/polymorph","Polymorph, Greater")</f>
        <v>Polymorph, Greater</v>
      </c>
      <c r="BR399" s="1">
        <v>399</v>
      </c>
      <c r="BS399" s="1" t="s">
        <v>104</v>
      </c>
      <c r="BT399" s="1" t="s">
        <v>2828</v>
      </c>
      <c r="BX399" s="1">
        <v>0</v>
      </c>
      <c r="BY399" s="1" t="s">
        <v>104</v>
      </c>
      <c r="BZ399" s="1" t="s">
        <v>104</v>
      </c>
      <c r="CA399" s="1" t="s">
        <v>104</v>
      </c>
      <c r="CB399" s="1" t="s">
        <v>104</v>
      </c>
      <c r="CC399" s="1" t="s">
        <v>104</v>
      </c>
      <c r="CD399" s="1" t="s">
        <v>104</v>
      </c>
      <c r="CE399" s="1" t="s">
        <v>104</v>
      </c>
      <c r="CF399" s="1" t="s">
        <v>104</v>
      </c>
      <c r="CG399" s="1" t="s">
        <v>104</v>
      </c>
      <c r="CH399" s="1" t="s">
        <v>104</v>
      </c>
      <c r="CJ399" s="1">
        <v>0</v>
      </c>
      <c r="CK399" s="1">
        <v>0</v>
      </c>
      <c r="CL399" s="1">
        <v>0</v>
      </c>
      <c r="CM399" s="1" t="s">
        <v>104</v>
      </c>
    </row>
    <row r="400" spans="1:91" ht="14.25" customHeight="1" x14ac:dyDescent="0.3">
      <c r="A400" s="1" t="s">
        <v>2829</v>
      </c>
      <c r="B400" s="1" t="s">
        <v>137</v>
      </c>
      <c r="C400" s="1" t="s">
        <v>154</v>
      </c>
      <c r="E400" s="1" t="s">
        <v>1688</v>
      </c>
      <c r="F400" s="1" t="s">
        <v>95</v>
      </c>
      <c r="G400" s="1" t="s">
        <v>2830</v>
      </c>
      <c r="H400" s="1">
        <v>0</v>
      </c>
      <c r="I400" s="1" t="s">
        <v>117</v>
      </c>
      <c r="L400" s="1" t="s">
        <v>2831</v>
      </c>
      <c r="M400" s="1" t="s">
        <v>145</v>
      </c>
      <c r="N400" s="1">
        <v>0</v>
      </c>
      <c r="O400" s="1">
        <v>0</v>
      </c>
      <c r="P400" s="1" t="s">
        <v>2832</v>
      </c>
      <c r="Q400" s="1" t="s">
        <v>472</v>
      </c>
      <c r="R400" s="1" t="s">
        <v>2833</v>
      </c>
      <c r="S400" s="1" t="s">
        <v>103</v>
      </c>
      <c r="T400" s="1">
        <v>1</v>
      </c>
      <c r="U400" s="1">
        <v>1</v>
      </c>
      <c r="V400" s="1">
        <v>1</v>
      </c>
      <c r="W400" s="1">
        <v>0</v>
      </c>
      <c r="X400" s="1">
        <v>1</v>
      </c>
      <c r="Y400" s="1">
        <v>8</v>
      </c>
      <c r="Z400" s="1">
        <v>8</v>
      </c>
      <c r="AA400" s="1" t="s">
        <v>104</v>
      </c>
      <c r="AB400" s="1" t="s">
        <v>104</v>
      </c>
      <c r="AC400" s="1" t="s">
        <v>104</v>
      </c>
      <c r="AD400" s="1" t="s">
        <v>104</v>
      </c>
      <c r="AE400" s="1" t="s">
        <v>104</v>
      </c>
      <c r="AF400" s="1" t="s">
        <v>104</v>
      </c>
      <c r="AG400" s="1" t="s">
        <v>104</v>
      </c>
      <c r="AH400" s="1" t="s">
        <v>104</v>
      </c>
      <c r="AI400" s="1" t="s">
        <v>104</v>
      </c>
      <c r="AJ400" s="1" t="s">
        <v>104</v>
      </c>
      <c r="AK400" s="1" t="s">
        <v>104</v>
      </c>
      <c r="AL400" s="1" t="s">
        <v>104</v>
      </c>
      <c r="AM400" s="1" t="s">
        <v>104</v>
      </c>
      <c r="AO400" s="1">
        <v>8</v>
      </c>
      <c r="AP400" s="1" t="s">
        <v>2834</v>
      </c>
      <c r="AQ400" s="1" t="s">
        <v>2835</v>
      </c>
      <c r="AR400" s="1">
        <v>0</v>
      </c>
      <c r="AS400" s="1">
        <v>0</v>
      </c>
      <c r="AT400" s="1">
        <v>0</v>
      </c>
      <c r="AU400" s="1">
        <v>0</v>
      </c>
      <c r="AV400" s="1">
        <v>0</v>
      </c>
      <c r="AW400" s="1">
        <v>0</v>
      </c>
      <c r="AX400" s="1">
        <v>0</v>
      </c>
      <c r="AY400" s="1">
        <v>0</v>
      </c>
      <c r="AZ400" s="1">
        <v>0</v>
      </c>
      <c r="BA400" s="1">
        <v>0</v>
      </c>
      <c r="BB400" s="1">
        <v>0</v>
      </c>
      <c r="BC400" s="1">
        <v>0</v>
      </c>
      <c r="BD400" s="1">
        <v>0</v>
      </c>
      <c r="BE400" s="1">
        <v>0</v>
      </c>
      <c r="BF400" s="1">
        <v>0</v>
      </c>
      <c r="BG400" s="1">
        <v>0</v>
      </c>
      <c r="BH400" s="1">
        <v>0</v>
      </c>
      <c r="BI400" s="1">
        <v>0</v>
      </c>
      <c r="BJ400" s="1">
        <v>0</v>
      </c>
      <c r="BK400" s="1">
        <v>0</v>
      </c>
      <c r="BL400" s="1">
        <v>0</v>
      </c>
      <c r="BM400" s="1">
        <v>0</v>
      </c>
      <c r="BN400" s="1">
        <v>0</v>
      </c>
      <c r="BO400" s="1">
        <v>0</v>
      </c>
      <c r="BP400" s="1">
        <v>0</v>
      </c>
      <c r="BQ400" s="2" t="str">
        <f>HYPERLINK("http://www.d20pfsrd.com/magic/all-spells/p/polymorph-any-object","Polymorph Any Object")</f>
        <v>Polymorph Any Object</v>
      </c>
      <c r="BR400" s="1">
        <v>400</v>
      </c>
      <c r="BS400" s="1" t="s">
        <v>104</v>
      </c>
      <c r="BT400" s="1" t="s">
        <v>2836</v>
      </c>
      <c r="BX400" s="1">
        <v>0</v>
      </c>
      <c r="BY400" s="1" t="s">
        <v>104</v>
      </c>
      <c r="BZ400" s="1" t="s">
        <v>104</v>
      </c>
      <c r="CA400" s="1" t="s">
        <v>104</v>
      </c>
      <c r="CB400" s="1" t="s">
        <v>104</v>
      </c>
      <c r="CC400" s="1" t="s">
        <v>104</v>
      </c>
      <c r="CD400" s="1" t="s">
        <v>104</v>
      </c>
      <c r="CE400" s="1" t="s">
        <v>104</v>
      </c>
      <c r="CF400" s="1" t="s">
        <v>104</v>
      </c>
      <c r="CG400" s="1" t="s">
        <v>104</v>
      </c>
      <c r="CH400" s="1" t="s">
        <v>104</v>
      </c>
      <c r="CJ400" s="1">
        <v>0</v>
      </c>
      <c r="CK400" s="1">
        <v>0</v>
      </c>
      <c r="CL400" s="1">
        <v>0</v>
      </c>
      <c r="CM400" s="1" t="s">
        <v>104</v>
      </c>
    </row>
    <row r="401" spans="1:91" ht="14.25" customHeight="1" x14ac:dyDescent="0.3">
      <c r="A401" s="1" t="s">
        <v>2837</v>
      </c>
      <c r="B401" s="1" t="s">
        <v>123</v>
      </c>
      <c r="C401" s="1" t="s">
        <v>124</v>
      </c>
      <c r="D401" s="1" t="s">
        <v>125</v>
      </c>
      <c r="E401" s="1" t="s">
        <v>2012</v>
      </c>
      <c r="F401" s="1" t="s">
        <v>95</v>
      </c>
      <c r="G401" s="1" t="s">
        <v>237</v>
      </c>
      <c r="H401" s="1">
        <v>0</v>
      </c>
      <c r="I401" s="1" t="s">
        <v>117</v>
      </c>
      <c r="L401" s="1" t="s">
        <v>2838</v>
      </c>
      <c r="M401" s="1" t="s">
        <v>145</v>
      </c>
      <c r="N401" s="1">
        <v>0</v>
      </c>
      <c r="O401" s="1">
        <v>0</v>
      </c>
      <c r="P401" s="1" t="s">
        <v>100</v>
      </c>
      <c r="Q401" s="1" t="s">
        <v>184</v>
      </c>
      <c r="R401" s="1" t="s">
        <v>2839</v>
      </c>
      <c r="S401" s="1" t="s">
        <v>103</v>
      </c>
      <c r="T401" s="1">
        <v>1</v>
      </c>
      <c r="U401" s="1">
        <v>0</v>
      </c>
      <c r="V401" s="1">
        <v>0</v>
      </c>
      <c r="W401" s="1">
        <v>0</v>
      </c>
      <c r="X401" s="1">
        <v>0</v>
      </c>
      <c r="Y401" s="1">
        <v>7</v>
      </c>
      <c r="Z401" s="1">
        <v>7</v>
      </c>
      <c r="AA401" s="1" t="s">
        <v>104</v>
      </c>
      <c r="AB401" s="1" t="s">
        <v>104</v>
      </c>
      <c r="AC401" s="1" t="s">
        <v>104</v>
      </c>
      <c r="AD401" s="1" t="s">
        <v>104</v>
      </c>
      <c r="AE401" s="1" t="s">
        <v>104</v>
      </c>
      <c r="AF401" s="1" t="s">
        <v>104</v>
      </c>
      <c r="AG401" s="1" t="s">
        <v>104</v>
      </c>
      <c r="AH401" s="1">
        <v>7</v>
      </c>
      <c r="AI401" s="1" t="s">
        <v>104</v>
      </c>
      <c r="AJ401" s="1" t="s">
        <v>104</v>
      </c>
      <c r="AK401" s="1" t="s">
        <v>104</v>
      </c>
      <c r="AL401" s="1" t="s">
        <v>104</v>
      </c>
      <c r="AM401" s="1" t="s">
        <v>104</v>
      </c>
      <c r="AO401" s="1">
        <v>7</v>
      </c>
      <c r="AP401" s="1" t="s">
        <v>2840</v>
      </c>
      <c r="AQ401" s="1" t="s">
        <v>2841</v>
      </c>
      <c r="AR401" s="1">
        <v>0</v>
      </c>
      <c r="AS401" s="1">
        <v>0</v>
      </c>
      <c r="AT401" s="1">
        <v>0</v>
      </c>
      <c r="AU401" s="1">
        <v>0</v>
      </c>
      <c r="AV401" s="1">
        <v>0</v>
      </c>
      <c r="AW401" s="1">
        <v>0</v>
      </c>
      <c r="AX401" s="1">
        <v>0</v>
      </c>
      <c r="AY401" s="1">
        <v>0</v>
      </c>
      <c r="AZ401" s="1">
        <v>0</v>
      </c>
      <c r="BA401" s="1">
        <v>0</v>
      </c>
      <c r="BB401" s="1">
        <v>0</v>
      </c>
      <c r="BC401" s="1">
        <v>0</v>
      </c>
      <c r="BD401" s="1">
        <v>0</v>
      </c>
      <c r="BE401" s="1">
        <v>0</v>
      </c>
      <c r="BF401" s="1">
        <v>0</v>
      </c>
      <c r="BG401" s="1">
        <v>0</v>
      </c>
      <c r="BH401" s="1">
        <v>0</v>
      </c>
      <c r="BI401" s="1">
        <v>0</v>
      </c>
      <c r="BJ401" s="1">
        <v>0</v>
      </c>
      <c r="BK401" s="1">
        <v>1</v>
      </c>
      <c r="BL401" s="1">
        <v>0</v>
      </c>
      <c r="BM401" s="1">
        <v>0</v>
      </c>
      <c r="BN401" s="1">
        <v>0</v>
      </c>
      <c r="BO401" s="1">
        <v>0</v>
      </c>
      <c r="BP401" s="1">
        <v>0</v>
      </c>
      <c r="BQ401" s="2" t="str">
        <f>HYPERLINK("http://www.d20pfsrd.com/magic/all-spells/p/power-word-blind","Power Word Blind")</f>
        <v>Power Word Blind</v>
      </c>
      <c r="BR401" s="1">
        <v>401</v>
      </c>
      <c r="BS401" s="1" t="s">
        <v>104</v>
      </c>
      <c r="BT401" s="1" t="s">
        <v>2842</v>
      </c>
      <c r="BX401" s="1">
        <v>0</v>
      </c>
      <c r="BY401" s="1" t="s">
        <v>104</v>
      </c>
      <c r="BZ401" s="1" t="s">
        <v>104</v>
      </c>
      <c r="CA401" s="1">
        <v>7</v>
      </c>
      <c r="CB401" s="1" t="s">
        <v>104</v>
      </c>
      <c r="CC401" s="1">
        <v>6</v>
      </c>
      <c r="CD401" s="1" t="s">
        <v>104</v>
      </c>
      <c r="CE401" s="1" t="s">
        <v>104</v>
      </c>
      <c r="CF401" s="1" t="s">
        <v>104</v>
      </c>
      <c r="CG401" s="1" t="s">
        <v>104</v>
      </c>
      <c r="CH401" s="1" t="s">
        <v>104</v>
      </c>
      <c r="CJ401" s="1">
        <v>0</v>
      </c>
      <c r="CK401" s="1">
        <v>0</v>
      </c>
      <c r="CL401" s="1">
        <v>0</v>
      </c>
      <c r="CM401" s="1" t="s">
        <v>104</v>
      </c>
    </row>
    <row r="402" spans="1:91" ht="14.25" customHeight="1" x14ac:dyDescent="0.3">
      <c r="A402" s="1" t="s">
        <v>2843</v>
      </c>
      <c r="B402" s="1" t="s">
        <v>123</v>
      </c>
      <c r="C402" s="1" t="s">
        <v>124</v>
      </c>
      <c r="D402" s="1" t="s">
        <v>2844</v>
      </c>
      <c r="E402" s="1" t="s">
        <v>2007</v>
      </c>
      <c r="F402" s="1" t="s">
        <v>95</v>
      </c>
      <c r="G402" s="1" t="s">
        <v>237</v>
      </c>
      <c r="H402" s="1">
        <v>0</v>
      </c>
      <c r="I402" s="1" t="s">
        <v>117</v>
      </c>
      <c r="L402" s="1" t="s">
        <v>2845</v>
      </c>
      <c r="M402" s="1" t="s">
        <v>119</v>
      </c>
      <c r="N402" s="1">
        <v>0</v>
      </c>
      <c r="O402" s="1">
        <v>0</v>
      </c>
      <c r="P402" s="1" t="s">
        <v>100</v>
      </c>
      <c r="Q402" s="1" t="s">
        <v>184</v>
      </c>
      <c r="R402" s="1" t="s">
        <v>2846</v>
      </c>
      <c r="S402" s="1" t="s">
        <v>103</v>
      </c>
      <c r="T402" s="1">
        <v>1</v>
      </c>
      <c r="U402" s="1">
        <v>0</v>
      </c>
      <c r="V402" s="1">
        <v>0</v>
      </c>
      <c r="W402" s="1">
        <v>0</v>
      </c>
      <c r="X402" s="1">
        <v>0</v>
      </c>
      <c r="Y402" s="1">
        <v>9</v>
      </c>
      <c r="Z402" s="1">
        <v>9</v>
      </c>
      <c r="AA402" s="1" t="s">
        <v>104</v>
      </c>
      <c r="AB402" s="1" t="s">
        <v>104</v>
      </c>
      <c r="AC402" s="1" t="s">
        <v>104</v>
      </c>
      <c r="AD402" s="1" t="s">
        <v>104</v>
      </c>
      <c r="AE402" s="1" t="s">
        <v>104</v>
      </c>
      <c r="AF402" s="1" t="s">
        <v>104</v>
      </c>
      <c r="AG402" s="1" t="s">
        <v>104</v>
      </c>
      <c r="AH402" s="1">
        <v>9</v>
      </c>
      <c r="AI402" s="1" t="s">
        <v>104</v>
      </c>
      <c r="AJ402" s="1" t="s">
        <v>104</v>
      </c>
      <c r="AK402" s="1" t="s">
        <v>104</v>
      </c>
      <c r="AL402" s="1" t="s">
        <v>104</v>
      </c>
      <c r="AM402" s="1" t="s">
        <v>104</v>
      </c>
      <c r="AO402" s="1">
        <v>9</v>
      </c>
      <c r="AP402" s="1" t="s">
        <v>2847</v>
      </c>
      <c r="AQ402" s="1" t="s">
        <v>2848</v>
      </c>
      <c r="AR402" s="1">
        <v>0</v>
      </c>
      <c r="AS402" s="1">
        <v>0</v>
      </c>
      <c r="AT402" s="1">
        <v>0</v>
      </c>
      <c r="AU402" s="1">
        <v>0</v>
      </c>
      <c r="AV402" s="1">
        <v>0</v>
      </c>
      <c r="AW402" s="1">
        <v>0</v>
      </c>
      <c r="AX402" s="1">
        <v>1</v>
      </c>
      <c r="AY402" s="1">
        <v>0</v>
      </c>
      <c r="AZ402" s="1">
        <v>0</v>
      </c>
      <c r="BA402" s="1">
        <v>0</v>
      </c>
      <c r="BB402" s="1">
        <v>0</v>
      </c>
      <c r="BC402" s="1">
        <v>0</v>
      </c>
      <c r="BD402" s="1">
        <v>0</v>
      </c>
      <c r="BE402" s="1">
        <v>0</v>
      </c>
      <c r="BF402" s="1">
        <v>0</v>
      </c>
      <c r="BG402" s="1">
        <v>0</v>
      </c>
      <c r="BH402" s="1">
        <v>0</v>
      </c>
      <c r="BI402" s="1">
        <v>0</v>
      </c>
      <c r="BJ402" s="1">
        <v>0</v>
      </c>
      <c r="BK402" s="1">
        <v>1</v>
      </c>
      <c r="BL402" s="1">
        <v>0</v>
      </c>
      <c r="BM402" s="1">
        <v>0</v>
      </c>
      <c r="BN402" s="1">
        <v>0</v>
      </c>
      <c r="BO402" s="1">
        <v>0</v>
      </c>
      <c r="BP402" s="1">
        <v>0</v>
      </c>
      <c r="BQ402" s="2" t="str">
        <f>HYPERLINK("http://www.d20pfsrd.com/magic/all-spells/p/power-word-kill","Power Word Kill")</f>
        <v>Power Word Kill</v>
      </c>
      <c r="BR402" s="1">
        <v>402</v>
      </c>
      <c r="BS402" s="1" t="s">
        <v>104</v>
      </c>
      <c r="BT402" s="1" t="s">
        <v>2849</v>
      </c>
      <c r="BU402" s="1" t="s">
        <v>2850</v>
      </c>
      <c r="BV402" s="1" t="s">
        <v>2851</v>
      </c>
      <c r="BW402" s="1" t="s">
        <v>2852</v>
      </c>
      <c r="BX402" s="1">
        <v>1</v>
      </c>
      <c r="BY402" s="1" t="s">
        <v>104</v>
      </c>
      <c r="BZ402" s="1" t="s">
        <v>104</v>
      </c>
      <c r="CA402" s="1">
        <v>9</v>
      </c>
      <c r="CB402" s="1" t="s">
        <v>104</v>
      </c>
      <c r="CC402" s="1" t="s">
        <v>104</v>
      </c>
      <c r="CD402" s="1" t="s">
        <v>104</v>
      </c>
      <c r="CE402" s="1" t="s">
        <v>104</v>
      </c>
      <c r="CF402" s="1" t="s">
        <v>104</v>
      </c>
      <c r="CG402" s="1" t="s">
        <v>104</v>
      </c>
      <c r="CH402" s="1" t="s">
        <v>104</v>
      </c>
      <c r="CJ402" s="1">
        <v>0</v>
      </c>
      <c r="CK402" s="1">
        <v>0</v>
      </c>
      <c r="CL402" s="1">
        <v>0</v>
      </c>
      <c r="CM402" s="1" t="s">
        <v>104</v>
      </c>
    </row>
    <row r="403" spans="1:91" ht="14.25" customHeight="1" x14ac:dyDescent="0.3">
      <c r="A403" s="1" t="s">
        <v>2853</v>
      </c>
      <c r="B403" s="1" t="s">
        <v>123</v>
      </c>
      <c r="C403" s="1" t="s">
        <v>124</v>
      </c>
      <c r="D403" s="1" t="s">
        <v>125</v>
      </c>
      <c r="E403" s="1" t="s">
        <v>2590</v>
      </c>
      <c r="F403" s="1" t="s">
        <v>95</v>
      </c>
      <c r="G403" s="1" t="s">
        <v>237</v>
      </c>
      <c r="H403" s="1">
        <v>0</v>
      </c>
      <c r="I403" s="1" t="s">
        <v>117</v>
      </c>
      <c r="L403" s="1" t="s">
        <v>2854</v>
      </c>
      <c r="M403" s="1" t="s">
        <v>2855</v>
      </c>
      <c r="N403" s="1">
        <v>0</v>
      </c>
      <c r="O403" s="1">
        <v>0</v>
      </c>
      <c r="P403" s="1" t="s">
        <v>100</v>
      </c>
      <c r="Q403" s="1" t="s">
        <v>184</v>
      </c>
      <c r="R403" s="1" t="s">
        <v>2856</v>
      </c>
      <c r="S403" s="1" t="s">
        <v>103</v>
      </c>
      <c r="T403" s="1">
        <v>1</v>
      </c>
      <c r="U403" s="1">
        <v>0</v>
      </c>
      <c r="V403" s="1">
        <v>0</v>
      </c>
      <c r="W403" s="1">
        <v>0</v>
      </c>
      <c r="X403" s="1">
        <v>0</v>
      </c>
      <c r="Y403" s="1">
        <v>8</v>
      </c>
      <c r="Z403" s="1">
        <v>8</v>
      </c>
      <c r="AA403" s="1" t="s">
        <v>104</v>
      </c>
      <c r="AB403" s="1" t="s">
        <v>104</v>
      </c>
      <c r="AC403" s="1" t="s">
        <v>104</v>
      </c>
      <c r="AD403" s="1" t="s">
        <v>104</v>
      </c>
      <c r="AE403" s="1" t="s">
        <v>104</v>
      </c>
      <c r="AF403" s="1" t="s">
        <v>104</v>
      </c>
      <c r="AG403" s="1" t="s">
        <v>104</v>
      </c>
      <c r="AH403" s="1">
        <v>8</v>
      </c>
      <c r="AI403" s="1" t="s">
        <v>104</v>
      </c>
      <c r="AJ403" s="1" t="s">
        <v>104</v>
      </c>
      <c r="AK403" s="1" t="s">
        <v>104</v>
      </c>
      <c r="AL403" s="1" t="s">
        <v>104</v>
      </c>
      <c r="AM403" s="1" t="s">
        <v>104</v>
      </c>
      <c r="AO403" s="1">
        <v>8</v>
      </c>
      <c r="AP403" s="1" t="s">
        <v>2857</v>
      </c>
      <c r="AQ403" s="1" t="s">
        <v>2858</v>
      </c>
      <c r="AR403" s="1">
        <v>0</v>
      </c>
      <c r="AS403" s="1">
        <v>0</v>
      </c>
      <c r="AT403" s="1">
        <v>0</v>
      </c>
      <c r="AU403" s="1">
        <v>0</v>
      </c>
      <c r="AV403" s="1">
        <v>0</v>
      </c>
      <c r="AW403" s="1">
        <v>0</v>
      </c>
      <c r="AX403" s="1">
        <v>0</v>
      </c>
      <c r="AY403" s="1">
        <v>0</v>
      </c>
      <c r="AZ403" s="1">
        <v>0</v>
      </c>
      <c r="BA403" s="1">
        <v>0</v>
      </c>
      <c r="BB403" s="1">
        <v>0</v>
      </c>
      <c r="BC403" s="1">
        <v>0</v>
      </c>
      <c r="BD403" s="1">
        <v>0</v>
      </c>
      <c r="BE403" s="1">
        <v>0</v>
      </c>
      <c r="BF403" s="1">
        <v>0</v>
      </c>
      <c r="BG403" s="1">
        <v>0</v>
      </c>
      <c r="BH403" s="1">
        <v>0</v>
      </c>
      <c r="BI403" s="1">
        <v>0</v>
      </c>
      <c r="BJ403" s="1">
        <v>0</v>
      </c>
      <c r="BK403" s="1">
        <v>1</v>
      </c>
      <c r="BL403" s="1">
        <v>0</v>
      </c>
      <c r="BM403" s="1">
        <v>0</v>
      </c>
      <c r="BN403" s="1">
        <v>0</v>
      </c>
      <c r="BO403" s="1">
        <v>0</v>
      </c>
      <c r="BP403" s="1">
        <v>0</v>
      </c>
      <c r="BQ403" s="2" t="str">
        <f>HYPERLINK("http://www.d20pfsrd.com/magic/all-spells/p/power-word-stun","Power Word Stun")</f>
        <v>Power Word Stun</v>
      </c>
      <c r="BR403" s="1">
        <v>403</v>
      </c>
      <c r="BS403" s="1" t="s">
        <v>104</v>
      </c>
      <c r="BT403" s="1" t="s">
        <v>2859</v>
      </c>
      <c r="BX403" s="1">
        <v>0</v>
      </c>
      <c r="BY403" s="1" t="s">
        <v>104</v>
      </c>
      <c r="BZ403" s="1" t="s">
        <v>104</v>
      </c>
      <c r="CA403" s="1">
        <v>8</v>
      </c>
      <c r="CB403" s="1" t="s">
        <v>104</v>
      </c>
      <c r="CC403" s="1" t="s">
        <v>104</v>
      </c>
      <c r="CD403" s="1" t="s">
        <v>104</v>
      </c>
      <c r="CE403" s="1" t="s">
        <v>104</v>
      </c>
      <c r="CF403" s="1" t="s">
        <v>104</v>
      </c>
      <c r="CG403" s="1" t="s">
        <v>104</v>
      </c>
      <c r="CH403" s="1" t="s">
        <v>104</v>
      </c>
      <c r="CJ403" s="1">
        <v>0</v>
      </c>
      <c r="CK403" s="1">
        <v>0</v>
      </c>
      <c r="CL403" s="1">
        <v>0</v>
      </c>
      <c r="CM403" s="1" t="s">
        <v>104</v>
      </c>
    </row>
    <row r="404" spans="1:91" ht="14.25" customHeight="1" x14ac:dyDescent="0.3">
      <c r="A404" s="1" t="s">
        <v>2860</v>
      </c>
      <c r="B404" s="1" t="s">
        <v>123</v>
      </c>
      <c r="C404" s="1" t="s">
        <v>124</v>
      </c>
      <c r="D404" s="1" t="s">
        <v>125</v>
      </c>
      <c r="E404" s="1" t="s">
        <v>2861</v>
      </c>
      <c r="F404" s="1" t="s">
        <v>95</v>
      </c>
      <c r="G404" s="1" t="s">
        <v>127</v>
      </c>
      <c r="H404" s="1">
        <v>0</v>
      </c>
      <c r="I404" s="1" t="s">
        <v>448</v>
      </c>
      <c r="J404" s="1" t="s">
        <v>2862</v>
      </c>
      <c r="M404" s="1" t="s">
        <v>111</v>
      </c>
      <c r="N404" s="1">
        <v>0</v>
      </c>
      <c r="O404" s="1">
        <v>0</v>
      </c>
      <c r="P404" s="1" t="s">
        <v>100</v>
      </c>
      <c r="Q404" s="1" t="s">
        <v>184</v>
      </c>
      <c r="R404" s="1" t="s">
        <v>2863</v>
      </c>
      <c r="S404" s="1" t="s">
        <v>103</v>
      </c>
      <c r="T404" s="1">
        <v>1</v>
      </c>
      <c r="U404" s="1">
        <v>1</v>
      </c>
      <c r="V404" s="1">
        <v>0</v>
      </c>
      <c r="W404" s="1">
        <v>0</v>
      </c>
      <c r="X404" s="1">
        <v>1</v>
      </c>
      <c r="Y404" s="1" t="s">
        <v>104</v>
      </c>
      <c r="Z404" s="1" t="s">
        <v>104</v>
      </c>
      <c r="AA404" s="1">
        <v>3</v>
      </c>
      <c r="AB404" s="1" t="s">
        <v>104</v>
      </c>
      <c r="AC404" s="1" t="s">
        <v>104</v>
      </c>
      <c r="AD404" s="1" t="s">
        <v>104</v>
      </c>
      <c r="AE404" s="1">
        <v>3</v>
      </c>
      <c r="AF404" s="1" t="s">
        <v>104</v>
      </c>
      <c r="AG404" s="1" t="s">
        <v>104</v>
      </c>
      <c r="AH404" s="1" t="s">
        <v>104</v>
      </c>
      <c r="AI404" s="1">
        <v>3</v>
      </c>
      <c r="AJ404" s="1">
        <v>3</v>
      </c>
      <c r="AK404" s="1" t="s">
        <v>104</v>
      </c>
      <c r="AL404" s="1" t="s">
        <v>104</v>
      </c>
      <c r="AM404" s="1" t="s">
        <v>104</v>
      </c>
      <c r="AO404" s="1">
        <v>3</v>
      </c>
      <c r="AP404" s="1" t="s">
        <v>2864</v>
      </c>
      <c r="AQ404" s="1" t="s">
        <v>2865</v>
      </c>
      <c r="AR404" s="1">
        <v>0</v>
      </c>
      <c r="AS404" s="1">
        <v>0</v>
      </c>
      <c r="AT404" s="1">
        <v>0</v>
      </c>
      <c r="AU404" s="1">
        <v>0</v>
      </c>
      <c r="AV404" s="1">
        <v>0</v>
      </c>
      <c r="AW404" s="1">
        <v>0</v>
      </c>
      <c r="AX404" s="1">
        <v>0</v>
      </c>
      <c r="AY404" s="1">
        <v>0</v>
      </c>
      <c r="AZ404" s="1">
        <v>0</v>
      </c>
      <c r="BA404" s="1">
        <v>0</v>
      </c>
      <c r="BB404" s="1">
        <v>0</v>
      </c>
      <c r="BC404" s="1">
        <v>0</v>
      </c>
      <c r="BD404" s="1">
        <v>0</v>
      </c>
      <c r="BE404" s="1">
        <v>0</v>
      </c>
      <c r="BF404" s="1">
        <v>0</v>
      </c>
      <c r="BG404" s="1">
        <v>0</v>
      </c>
      <c r="BH404" s="1">
        <v>0</v>
      </c>
      <c r="BI404" s="1">
        <v>0</v>
      </c>
      <c r="BJ404" s="1">
        <v>0</v>
      </c>
      <c r="BK404" s="1">
        <v>1</v>
      </c>
      <c r="BL404" s="1">
        <v>0</v>
      </c>
      <c r="BM404" s="1">
        <v>0</v>
      </c>
      <c r="BN404" s="1">
        <v>0</v>
      </c>
      <c r="BO404" s="1">
        <v>0</v>
      </c>
      <c r="BP404" s="1">
        <v>0</v>
      </c>
      <c r="BQ404" s="2" t="str">
        <f>HYPERLINK("http://www.d20pfsrd.com/magic/all-spells/p/prayer","Prayer")</f>
        <v>Prayer</v>
      </c>
      <c r="BR404" s="1">
        <v>404</v>
      </c>
      <c r="BS404" s="1" t="s">
        <v>104</v>
      </c>
      <c r="BU404" s="1" t="s">
        <v>2866</v>
      </c>
      <c r="BV404" s="1" t="s">
        <v>2867</v>
      </c>
      <c r="BX404" s="1">
        <v>1</v>
      </c>
      <c r="BY404" s="1" t="s">
        <v>104</v>
      </c>
      <c r="BZ404" s="1" t="s">
        <v>104</v>
      </c>
      <c r="CA404" s="1" t="s">
        <v>104</v>
      </c>
      <c r="CB404" s="1" t="s">
        <v>104</v>
      </c>
      <c r="CC404" s="1" t="s">
        <v>104</v>
      </c>
      <c r="CD404" s="1" t="s">
        <v>104</v>
      </c>
      <c r="CE404" s="1" t="s">
        <v>104</v>
      </c>
      <c r="CF404" s="1" t="s">
        <v>104</v>
      </c>
      <c r="CG404" s="1" t="s">
        <v>104</v>
      </c>
      <c r="CH404" s="1" t="s">
        <v>104</v>
      </c>
      <c r="CJ404" s="1">
        <v>0</v>
      </c>
      <c r="CK404" s="1">
        <v>0</v>
      </c>
      <c r="CL404" s="1">
        <v>0</v>
      </c>
      <c r="CM404" s="1" t="s">
        <v>104</v>
      </c>
    </row>
    <row r="405" spans="1:91" ht="14.25" customHeight="1" x14ac:dyDescent="0.3">
      <c r="A405" s="1" t="s">
        <v>2868</v>
      </c>
      <c r="B405" s="1" t="s">
        <v>303</v>
      </c>
      <c r="E405" s="1" t="s">
        <v>2869</v>
      </c>
      <c r="F405" s="1" t="s">
        <v>95</v>
      </c>
      <c r="G405" s="1" t="s">
        <v>116</v>
      </c>
      <c r="H405" s="1">
        <v>0</v>
      </c>
      <c r="I405" s="1" t="s">
        <v>256</v>
      </c>
      <c r="J405" s="1" t="s">
        <v>145</v>
      </c>
      <c r="K405" s="1" t="s">
        <v>145</v>
      </c>
      <c r="L405" s="1" t="s">
        <v>145</v>
      </c>
      <c r="M405" s="1" t="s">
        <v>273</v>
      </c>
      <c r="N405" s="1">
        <v>0</v>
      </c>
      <c r="O405" s="1">
        <v>0</v>
      </c>
      <c r="P405" s="1" t="s">
        <v>145</v>
      </c>
      <c r="Q405" s="1" t="s">
        <v>101</v>
      </c>
      <c r="R405" s="1" t="s">
        <v>2870</v>
      </c>
      <c r="S405" s="1" t="s">
        <v>103</v>
      </c>
      <c r="T405" s="1">
        <v>1</v>
      </c>
      <c r="U405" s="1">
        <v>1</v>
      </c>
      <c r="V405" s="1">
        <v>0</v>
      </c>
      <c r="W405" s="1">
        <v>0</v>
      </c>
      <c r="X405" s="1">
        <v>0</v>
      </c>
      <c r="Y405" s="1">
        <v>0</v>
      </c>
      <c r="Z405" s="1">
        <v>0</v>
      </c>
      <c r="AA405" s="1" t="s">
        <v>104</v>
      </c>
      <c r="AB405" s="1" t="s">
        <v>104</v>
      </c>
      <c r="AC405" s="1" t="s">
        <v>104</v>
      </c>
      <c r="AD405" s="1">
        <v>0</v>
      </c>
      <c r="AE405" s="1" t="s">
        <v>104</v>
      </c>
      <c r="AF405" s="1" t="s">
        <v>104</v>
      </c>
      <c r="AG405" s="1" t="s">
        <v>104</v>
      </c>
      <c r="AH405" s="1" t="s">
        <v>104</v>
      </c>
      <c r="AI405" s="1" t="s">
        <v>104</v>
      </c>
      <c r="AJ405" s="1" t="s">
        <v>104</v>
      </c>
      <c r="AK405" s="1" t="s">
        <v>104</v>
      </c>
      <c r="AL405" s="1">
        <v>0</v>
      </c>
      <c r="AM405" s="1" t="s">
        <v>104</v>
      </c>
      <c r="AO405" s="1">
        <v>0</v>
      </c>
      <c r="AQ405" s="1" t="s">
        <v>2871</v>
      </c>
      <c r="AR405" s="1">
        <v>0</v>
      </c>
      <c r="AS405" s="1">
        <v>0</v>
      </c>
      <c r="AT405" s="1">
        <v>0</v>
      </c>
      <c r="AU405" s="1">
        <v>0</v>
      </c>
      <c r="AV405" s="1">
        <v>0</v>
      </c>
      <c r="AW405" s="1">
        <v>0</v>
      </c>
      <c r="AX405" s="1">
        <v>0</v>
      </c>
      <c r="AY405" s="1">
        <v>0</v>
      </c>
      <c r="AZ405" s="1">
        <v>0</v>
      </c>
      <c r="BA405" s="1">
        <v>0</v>
      </c>
      <c r="BB405" s="1">
        <v>0</v>
      </c>
      <c r="BC405" s="1">
        <v>0</v>
      </c>
      <c r="BD405" s="1">
        <v>0</v>
      </c>
      <c r="BE405" s="1">
        <v>0</v>
      </c>
      <c r="BF405" s="1">
        <v>0</v>
      </c>
      <c r="BG405" s="1">
        <v>0</v>
      </c>
      <c r="BH405" s="1">
        <v>0</v>
      </c>
      <c r="BI405" s="1">
        <v>0</v>
      </c>
      <c r="BJ405" s="1">
        <v>0</v>
      </c>
      <c r="BK405" s="1">
        <v>0</v>
      </c>
      <c r="BL405" s="1">
        <v>0</v>
      </c>
      <c r="BM405" s="1">
        <v>0</v>
      </c>
      <c r="BN405" s="1">
        <v>0</v>
      </c>
      <c r="BO405" s="1">
        <v>0</v>
      </c>
      <c r="BP405" s="1">
        <v>0</v>
      </c>
      <c r="BQ405" s="2" t="str">
        <f>HYPERLINK("http://www.d20pfsrd.com/magic/all-spells/p/prestidigitation","Prestidigitation")</f>
        <v>Prestidigitation</v>
      </c>
      <c r="BR405" s="1">
        <v>405</v>
      </c>
      <c r="BS405" s="1" t="s">
        <v>104</v>
      </c>
      <c r="BX405" s="1">
        <v>0</v>
      </c>
      <c r="BY405" s="1" t="s">
        <v>104</v>
      </c>
      <c r="BZ405" s="1" t="s">
        <v>104</v>
      </c>
      <c r="CA405" s="1">
        <v>0</v>
      </c>
      <c r="CB405" s="1">
        <v>0</v>
      </c>
      <c r="CC405" s="1">
        <v>0</v>
      </c>
      <c r="CD405" s="1" t="s">
        <v>104</v>
      </c>
      <c r="CE405" s="1" t="s">
        <v>104</v>
      </c>
      <c r="CF405" s="1" t="s">
        <v>104</v>
      </c>
      <c r="CG405" s="1" t="s">
        <v>104</v>
      </c>
      <c r="CH405" s="1" t="s">
        <v>104</v>
      </c>
      <c r="CJ405" s="1">
        <v>0</v>
      </c>
      <c r="CK405" s="1">
        <v>0</v>
      </c>
      <c r="CL405" s="1">
        <v>0</v>
      </c>
      <c r="CM405" s="1" t="s">
        <v>104</v>
      </c>
    </row>
    <row r="406" spans="1:91" ht="14.25" customHeight="1" x14ac:dyDescent="0.3">
      <c r="A406" s="1" t="s">
        <v>2872</v>
      </c>
      <c r="B406" s="1" t="s">
        <v>162</v>
      </c>
      <c r="E406" s="1" t="s">
        <v>2513</v>
      </c>
      <c r="F406" s="1" t="s">
        <v>95</v>
      </c>
      <c r="G406" s="1" t="s">
        <v>237</v>
      </c>
      <c r="H406" s="1">
        <v>0</v>
      </c>
      <c r="I406" s="1" t="s">
        <v>256</v>
      </c>
      <c r="K406" s="1" t="s">
        <v>2873</v>
      </c>
      <c r="M406" s="1" t="s">
        <v>265</v>
      </c>
      <c r="N406" s="1">
        <v>1</v>
      </c>
      <c r="O406" s="1">
        <v>0</v>
      </c>
      <c r="P406" s="1" t="s">
        <v>145</v>
      </c>
      <c r="Q406" s="1" t="s">
        <v>145</v>
      </c>
      <c r="R406" s="1" t="s">
        <v>2874</v>
      </c>
      <c r="S406" s="1" t="s">
        <v>103</v>
      </c>
      <c r="T406" s="1">
        <v>1</v>
      </c>
      <c r="U406" s="1">
        <v>0</v>
      </c>
      <c r="V406" s="1">
        <v>0</v>
      </c>
      <c r="W406" s="1">
        <v>0</v>
      </c>
      <c r="X406" s="1">
        <v>0</v>
      </c>
      <c r="Y406" s="1">
        <v>9</v>
      </c>
      <c r="Z406" s="1">
        <v>9</v>
      </c>
      <c r="AA406" s="1" t="s">
        <v>104</v>
      </c>
      <c r="AB406" s="1" t="s">
        <v>104</v>
      </c>
      <c r="AC406" s="1" t="s">
        <v>104</v>
      </c>
      <c r="AD406" s="1" t="s">
        <v>104</v>
      </c>
      <c r="AE406" s="1" t="s">
        <v>104</v>
      </c>
      <c r="AF406" s="1" t="s">
        <v>104</v>
      </c>
      <c r="AG406" s="1" t="s">
        <v>104</v>
      </c>
      <c r="AH406" s="1" t="s">
        <v>104</v>
      </c>
      <c r="AI406" s="1" t="s">
        <v>104</v>
      </c>
      <c r="AJ406" s="1" t="s">
        <v>104</v>
      </c>
      <c r="AK406" s="1" t="s">
        <v>104</v>
      </c>
      <c r="AL406" s="1" t="s">
        <v>104</v>
      </c>
      <c r="AM406" s="1" t="s">
        <v>104</v>
      </c>
      <c r="AO406" s="1">
        <v>9</v>
      </c>
      <c r="AP406" s="1" t="s">
        <v>2875</v>
      </c>
      <c r="AQ406" s="1" t="s">
        <v>2876</v>
      </c>
      <c r="AR406" s="1">
        <v>0</v>
      </c>
      <c r="AS406" s="1">
        <v>0</v>
      </c>
      <c r="AT406" s="1">
        <v>0</v>
      </c>
      <c r="AU406" s="1">
        <v>0</v>
      </c>
      <c r="AV406" s="1">
        <v>0</v>
      </c>
      <c r="AW406" s="1">
        <v>0</v>
      </c>
      <c r="AX406" s="1">
        <v>0</v>
      </c>
      <c r="AY406" s="1">
        <v>0</v>
      </c>
      <c r="AZ406" s="1">
        <v>0</v>
      </c>
      <c r="BA406" s="1">
        <v>0</v>
      </c>
      <c r="BB406" s="1">
        <v>0</v>
      </c>
      <c r="BC406" s="1">
        <v>0</v>
      </c>
      <c r="BD406" s="1">
        <v>0</v>
      </c>
      <c r="BE406" s="1">
        <v>0</v>
      </c>
      <c r="BF406" s="1">
        <v>0</v>
      </c>
      <c r="BG406" s="1">
        <v>0</v>
      </c>
      <c r="BH406" s="1">
        <v>0</v>
      </c>
      <c r="BI406" s="1">
        <v>0</v>
      </c>
      <c r="BJ406" s="1">
        <v>0</v>
      </c>
      <c r="BK406" s="1">
        <v>0</v>
      </c>
      <c r="BL406" s="1">
        <v>0</v>
      </c>
      <c r="BM406" s="1">
        <v>0</v>
      </c>
      <c r="BN406" s="1">
        <v>0</v>
      </c>
      <c r="BO406" s="1">
        <v>0</v>
      </c>
      <c r="BP406" s="1">
        <v>0</v>
      </c>
      <c r="BQ406" s="2" t="str">
        <f>HYPERLINK("http://www.d20pfsrd.com/magic/all-spells/p/prismatic-sphere","Prismatic Sphere")</f>
        <v>Prismatic Sphere</v>
      </c>
      <c r="BR406" s="1">
        <v>406</v>
      </c>
      <c r="BS406" s="1" t="s">
        <v>104</v>
      </c>
      <c r="BV406" s="1" t="s">
        <v>2877</v>
      </c>
      <c r="BX406" s="1">
        <v>1</v>
      </c>
      <c r="BY406" s="1" t="s">
        <v>104</v>
      </c>
      <c r="BZ406" s="1" t="s">
        <v>104</v>
      </c>
      <c r="CA406" s="1" t="s">
        <v>104</v>
      </c>
      <c r="CB406" s="1" t="s">
        <v>104</v>
      </c>
      <c r="CC406" s="1" t="s">
        <v>104</v>
      </c>
      <c r="CD406" s="1" t="s">
        <v>104</v>
      </c>
      <c r="CE406" s="1" t="s">
        <v>104</v>
      </c>
      <c r="CF406" s="1" t="s">
        <v>104</v>
      </c>
      <c r="CG406" s="1" t="s">
        <v>104</v>
      </c>
      <c r="CH406" s="1" t="s">
        <v>104</v>
      </c>
      <c r="CJ406" s="1">
        <v>0</v>
      </c>
      <c r="CK406" s="1">
        <v>0</v>
      </c>
      <c r="CL406" s="1">
        <v>0</v>
      </c>
      <c r="CM406" s="1" t="s">
        <v>104</v>
      </c>
    </row>
    <row r="407" spans="1:91" ht="14.25" customHeight="1" x14ac:dyDescent="0.3">
      <c r="A407" s="1" t="s">
        <v>2878</v>
      </c>
      <c r="B407" s="1" t="s">
        <v>434</v>
      </c>
      <c r="E407" s="1" t="s">
        <v>843</v>
      </c>
      <c r="F407" s="1" t="s">
        <v>95</v>
      </c>
      <c r="G407" s="1" t="s">
        <v>116</v>
      </c>
      <c r="H407" s="1">
        <v>0</v>
      </c>
      <c r="I407" s="1" t="s">
        <v>776</v>
      </c>
      <c r="J407" s="1" t="s">
        <v>549</v>
      </c>
      <c r="M407" s="1" t="s">
        <v>119</v>
      </c>
      <c r="N407" s="1">
        <v>0</v>
      </c>
      <c r="O407" s="1">
        <v>0</v>
      </c>
      <c r="P407" s="1" t="s">
        <v>145</v>
      </c>
      <c r="Q407" s="1" t="s">
        <v>184</v>
      </c>
      <c r="R407" s="1" t="s">
        <v>2879</v>
      </c>
      <c r="S407" s="1" t="s">
        <v>103</v>
      </c>
      <c r="T407" s="1">
        <v>1</v>
      </c>
      <c r="U407" s="1">
        <v>1</v>
      </c>
      <c r="V407" s="1">
        <v>0</v>
      </c>
      <c r="W407" s="1">
        <v>0</v>
      </c>
      <c r="X407" s="1">
        <v>0</v>
      </c>
      <c r="Y407" s="1">
        <v>7</v>
      </c>
      <c r="Z407" s="1">
        <v>7</v>
      </c>
      <c r="AA407" s="1" t="s">
        <v>104</v>
      </c>
      <c r="AB407" s="1" t="s">
        <v>104</v>
      </c>
      <c r="AC407" s="1" t="s">
        <v>104</v>
      </c>
      <c r="AD407" s="1" t="s">
        <v>104</v>
      </c>
      <c r="AE407" s="1" t="s">
        <v>104</v>
      </c>
      <c r="AF407" s="1" t="s">
        <v>104</v>
      </c>
      <c r="AG407" s="1" t="s">
        <v>104</v>
      </c>
      <c r="AH407" s="1" t="s">
        <v>104</v>
      </c>
      <c r="AI407" s="1" t="s">
        <v>104</v>
      </c>
      <c r="AJ407" s="1" t="s">
        <v>104</v>
      </c>
      <c r="AK407" s="1" t="s">
        <v>104</v>
      </c>
      <c r="AL407" s="1" t="s">
        <v>104</v>
      </c>
      <c r="AM407" s="1" t="s">
        <v>104</v>
      </c>
      <c r="AO407" s="1">
        <v>7</v>
      </c>
      <c r="AQ407" s="1" t="s">
        <v>2880</v>
      </c>
      <c r="AR407" s="1">
        <v>0</v>
      </c>
      <c r="AS407" s="1">
        <v>0</v>
      </c>
      <c r="AT407" s="1">
        <v>0</v>
      </c>
      <c r="AU407" s="1">
        <v>0</v>
      </c>
      <c r="AV407" s="1">
        <v>0</v>
      </c>
      <c r="AW407" s="1">
        <v>0</v>
      </c>
      <c r="AX407" s="1">
        <v>0</v>
      </c>
      <c r="AY407" s="1">
        <v>0</v>
      </c>
      <c r="AZ407" s="1">
        <v>0</v>
      </c>
      <c r="BA407" s="1">
        <v>0</v>
      </c>
      <c r="BB407" s="1">
        <v>0</v>
      </c>
      <c r="BC407" s="1">
        <v>0</v>
      </c>
      <c r="BD407" s="1">
        <v>0</v>
      </c>
      <c r="BE407" s="1">
        <v>0</v>
      </c>
      <c r="BF407" s="1">
        <v>0</v>
      </c>
      <c r="BG407" s="1">
        <v>0</v>
      </c>
      <c r="BH407" s="1">
        <v>0</v>
      </c>
      <c r="BI407" s="1">
        <v>0</v>
      </c>
      <c r="BJ407" s="1">
        <v>0</v>
      </c>
      <c r="BK407" s="1">
        <v>0</v>
      </c>
      <c r="BL407" s="1">
        <v>0</v>
      </c>
      <c r="BM407" s="1">
        <v>0</v>
      </c>
      <c r="BN407" s="1">
        <v>0</v>
      </c>
      <c r="BO407" s="1">
        <v>0</v>
      </c>
      <c r="BP407" s="1">
        <v>0</v>
      </c>
      <c r="BQ407" s="2" t="str">
        <f>HYPERLINK("http://www.d20pfsrd.com/magic/all-spells/p/prismatic-spray","Prismatic Spray")</f>
        <v>Prismatic Spray</v>
      </c>
      <c r="BR407" s="1">
        <v>407</v>
      </c>
      <c r="BS407" s="1" t="s">
        <v>104</v>
      </c>
      <c r="BX407" s="1">
        <v>0</v>
      </c>
      <c r="BY407" s="1" t="s">
        <v>104</v>
      </c>
      <c r="BZ407" s="1" t="s">
        <v>104</v>
      </c>
      <c r="CA407" s="1" t="s">
        <v>104</v>
      </c>
      <c r="CB407" s="1" t="s">
        <v>104</v>
      </c>
      <c r="CC407" s="1" t="s">
        <v>104</v>
      </c>
      <c r="CD407" s="1" t="s">
        <v>104</v>
      </c>
      <c r="CE407" s="1" t="s">
        <v>104</v>
      </c>
      <c r="CF407" s="1" t="s">
        <v>104</v>
      </c>
      <c r="CG407" s="1" t="s">
        <v>104</v>
      </c>
      <c r="CH407" s="1" t="s">
        <v>104</v>
      </c>
      <c r="CJ407" s="1">
        <v>0</v>
      </c>
      <c r="CK407" s="1">
        <v>0</v>
      </c>
      <c r="CL407" s="1">
        <v>0</v>
      </c>
      <c r="CM407" s="1" t="s">
        <v>104</v>
      </c>
    </row>
    <row r="408" spans="1:91" ht="14.25" customHeight="1" x14ac:dyDescent="0.3">
      <c r="A408" s="1" t="s">
        <v>2881</v>
      </c>
      <c r="B408" s="1" t="s">
        <v>162</v>
      </c>
      <c r="E408" s="1" t="s">
        <v>688</v>
      </c>
      <c r="F408" s="1" t="s">
        <v>95</v>
      </c>
      <c r="G408" s="1" t="s">
        <v>116</v>
      </c>
      <c r="H408" s="1">
        <v>0</v>
      </c>
      <c r="I408" s="1" t="s">
        <v>117</v>
      </c>
      <c r="K408" s="1" t="s">
        <v>2882</v>
      </c>
      <c r="M408" s="1" t="s">
        <v>140</v>
      </c>
      <c r="N408" s="1">
        <v>1</v>
      </c>
      <c r="O408" s="1">
        <v>0</v>
      </c>
      <c r="P408" s="1" t="s">
        <v>145</v>
      </c>
      <c r="Q408" s="1" t="s">
        <v>145</v>
      </c>
      <c r="R408" s="1" t="s">
        <v>2883</v>
      </c>
      <c r="S408" s="1" t="s">
        <v>103</v>
      </c>
      <c r="T408" s="1">
        <v>1</v>
      </c>
      <c r="U408" s="1">
        <v>1</v>
      </c>
      <c r="V408" s="1">
        <v>0</v>
      </c>
      <c r="W408" s="1">
        <v>0</v>
      </c>
      <c r="X408" s="1">
        <v>0</v>
      </c>
      <c r="Y408" s="1">
        <v>8</v>
      </c>
      <c r="Z408" s="1">
        <v>8</v>
      </c>
      <c r="AA408" s="1" t="s">
        <v>104</v>
      </c>
      <c r="AB408" s="1" t="s">
        <v>104</v>
      </c>
      <c r="AC408" s="1" t="s">
        <v>104</v>
      </c>
      <c r="AD408" s="1" t="s">
        <v>104</v>
      </c>
      <c r="AE408" s="1" t="s">
        <v>104</v>
      </c>
      <c r="AF408" s="1" t="s">
        <v>104</v>
      </c>
      <c r="AG408" s="1" t="s">
        <v>104</v>
      </c>
      <c r="AH408" s="1" t="s">
        <v>104</v>
      </c>
      <c r="AI408" s="1" t="s">
        <v>104</v>
      </c>
      <c r="AJ408" s="1" t="s">
        <v>104</v>
      </c>
      <c r="AK408" s="1" t="s">
        <v>104</v>
      </c>
      <c r="AL408" s="1" t="s">
        <v>104</v>
      </c>
      <c r="AM408" s="1" t="s">
        <v>104</v>
      </c>
      <c r="AO408" s="1">
        <v>8</v>
      </c>
      <c r="AP408" s="1" t="s">
        <v>2884</v>
      </c>
      <c r="AQ408" s="1" t="s">
        <v>2885</v>
      </c>
      <c r="AR408" s="1">
        <v>0</v>
      </c>
      <c r="AS408" s="1">
        <v>0</v>
      </c>
      <c r="AT408" s="1">
        <v>0</v>
      </c>
      <c r="AU408" s="1">
        <v>0</v>
      </c>
      <c r="AV408" s="1">
        <v>0</v>
      </c>
      <c r="AW408" s="1">
        <v>0</v>
      </c>
      <c r="AX408" s="1">
        <v>0</v>
      </c>
      <c r="AY408" s="1">
        <v>0</v>
      </c>
      <c r="AZ408" s="1">
        <v>0</v>
      </c>
      <c r="BA408" s="1">
        <v>0</v>
      </c>
      <c r="BB408" s="1">
        <v>0</v>
      </c>
      <c r="BC408" s="1">
        <v>0</v>
      </c>
      <c r="BD408" s="1">
        <v>0</v>
      </c>
      <c r="BE408" s="1">
        <v>0</v>
      </c>
      <c r="BF408" s="1">
        <v>0</v>
      </c>
      <c r="BG408" s="1">
        <v>0</v>
      </c>
      <c r="BH408" s="1">
        <v>0</v>
      </c>
      <c r="BI408" s="1">
        <v>0</v>
      </c>
      <c r="BJ408" s="1">
        <v>0</v>
      </c>
      <c r="BK408" s="1">
        <v>0</v>
      </c>
      <c r="BL408" s="1">
        <v>0</v>
      </c>
      <c r="BM408" s="1">
        <v>0</v>
      </c>
      <c r="BN408" s="1">
        <v>0</v>
      </c>
      <c r="BO408" s="1">
        <v>0</v>
      </c>
      <c r="BP408" s="1">
        <v>0</v>
      </c>
      <c r="BQ408" s="2" t="str">
        <f>HYPERLINK("http://www.d20pfsrd.com/magic/all-spells/p/prismatic-wall","Prismatic Wall")</f>
        <v>Prismatic Wall</v>
      </c>
      <c r="BR408" s="1">
        <v>408</v>
      </c>
      <c r="BS408" s="1" t="s">
        <v>104</v>
      </c>
      <c r="BX408" s="1">
        <v>0</v>
      </c>
      <c r="BY408" s="1" t="s">
        <v>104</v>
      </c>
      <c r="BZ408" s="1" t="s">
        <v>104</v>
      </c>
      <c r="CA408" s="1">
        <v>8</v>
      </c>
      <c r="CB408" s="1" t="s">
        <v>104</v>
      </c>
      <c r="CC408" s="1" t="s">
        <v>104</v>
      </c>
      <c r="CD408" s="1" t="s">
        <v>104</v>
      </c>
      <c r="CE408" s="1" t="s">
        <v>104</v>
      </c>
      <c r="CF408" s="1" t="s">
        <v>104</v>
      </c>
      <c r="CG408" s="1" t="s">
        <v>104</v>
      </c>
      <c r="CH408" s="1" t="s">
        <v>104</v>
      </c>
      <c r="CJ408" s="1">
        <v>0</v>
      </c>
      <c r="CK408" s="1">
        <v>0</v>
      </c>
      <c r="CL408" s="1">
        <v>0</v>
      </c>
      <c r="CM408" s="1" t="s">
        <v>104</v>
      </c>
    </row>
    <row r="409" spans="1:91" ht="14.25" customHeight="1" x14ac:dyDescent="0.3">
      <c r="A409" s="1" t="s">
        <v>2886</v>
      </c>
      <c r="B409" s="1" t="s">
        <v>172</v>
      </c>
      <c r="E409" s="1" t="s">
        <v>2590</v>
      </c>
      <c r="F409" s="1" t="s">
        <v>191</v>
      </c>
      <c r="G409" s="1" t="s">
        <v>2887</v>
      </c>
      <c r="H409" s="1">
        <v>0</v>
      </c>
      <c r="I409" s="1" t="s">
        <v>2888</v>
      </c>
      <c r="K409" s="1" t="s">
        <v>2889</v>
      </c>
      <c r="M409" s="1" t="s">
        <v>2890</v>
      </c>
      <c r="N409" s="1">
        <v>1</v>
      </c>
      <c r="O409" s="1">
        <v>0</v>
      </c>
      <c r="P409" s="1" t="s">
        <v>100</v>
      </c>
      <c r="Q409" s="1" t="s">
        <v>101</v>
      </c>
      <c r="R409" s="1" t="s">
        <v>2891</v>
      </c>
      <c r="S409" s="1" t="s">
        <v>103</v>
      </c>
      <c r="T409" s="1">
        <v>1</v>
      </c>
      <c r="U409" s="1">
        <v>1</v>
      </c>
      <c r="V409" s="1">
        <v>1</v>
      </c>
      <c r="W409" s="1">
        <v>0</v>
      </c>
      <c r="X409" s="1">
        <v>0</v>
      </c>
      <c r="Y409" s="1">
        <v>8</v>
      </c>
      <c r="Z409" s="1">
        <v>8</v>
      </c>
      <c r="AA409" s="1" t="s">
        <v>104</v>
      </c>
      <c r="AB409" s="1" t="s">
        <v>104</v>
      </c>
      <c r="AC409" s="1" t="s">
        <v>104</v>
      </c>
      <c r="AD409" s="1" t="s">
        <v>104</v>
      </c>
      <c r="AE409" s="1" t="s">
        <v>104</v>
      </c>
      <c r="AF409" s="1" t="s">
        <v>104</v>
      </c>
      <c r="AG409" s="1" t="s">
        <v>104</v>
      </c>
      <c r="AH409" s="1">
        <v>8</v>
      </c>
      <c r="AI409" s="1" t="s">
        <v>104</v>
      </c>
      <c r="AJ409" s="1" t="s">
        <v>104</v>
      </c>
      <c r="AK409" s="1" t="s">
        <v>104</v>
      </c>
      <c r="AL409" s="1" t="s">
        <v>104</v>
      </c>
      <c r="AM409" s="1" t="s">
        <v>104</v>
      </c>
      <c r="AO409" s="1">
        <v>8</v>
      </c>
      <c r="AQ409" s="1" t="s">
        <v>2892</v>
      </c>
      <c r="AR409" s="1">
        <v>0</v>
      </c>
      <c r="AS409" s="1">
        <v>0</v>
      </c>
      <c r="AT409" s="1">
        <v>0</v>
      </c>
      <c r="AU409" s="1">
        <v>0</v>
      </c>
      <c r="AV409" s="1">
        <v>0</v>
      </c>
      <c r="AW409" s="1">
        <v>0</v>
      </c>
      <c r="AX409" s="1">
        <v>0</v>
      </c>
      <c r="AY409" s="1">
        <v>0</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2" t="str">
        <f>HYPERLINK("http://www.d20pfsrd.com/magic/all-spells/p/prying-eyes","Prying Eyes, Greater")</f>
        <v>Prying Eyes, Greater</v>
      </c>
      <c r="BR409" s="1">
        <v>409</v>
      </c>
      <c r="BS409" s="1" t="s">
        <v>104</v>
      </c>
      <c r="BT409" s="1" t="s">
        <v>2893</v>
      </c>
      <c r="BX409" s="1">
        <v>0</v>
      </c>
      <c r="BY409" s="1" t="s">
        <v>104</v>
      </c>
      <c r="BZ409" s="1" t="s">
        <v>104</v>
      </c>
      <c r="CA409" s="1">
        <v>8</v>
      </c>
      <c r="CB409" s="1" t="s">
        <v>104</v>
      </c>
      <c r="CC409" s="1" t="s">
        <v>104</v>
      </c>
      <c r="CD409" s="1" t="s">
        <v>104</v>
      </c>
      <c r="CE409" s="1" t="s">
        <v>104</v>
      </c>
      <c r="CF409" s="1" t="s">
        <v>104</v>
      </c>
      <c r="CG409" s="1" t="s">
        <v>104</v>
      </c>
      <c r="CH409" s="1" t="s">
        <v>104</v>
      </c>
      <c r="CJ409" s="1">
        <v>0</v>
      </c>
      <c r="CK409" s="1">
        <v>0</v>
      </c>
      <c r="CL409" s="1">
        <v>0</v>
      </c>
      <c r="CM409" s="1" t="s">
        <v>104</v>
      </c>
    </row>
    <row r="410" spans="1:91" ht="14.25" customHeight="1" x14ac:dyDescent="0.3">
      <c r="A410" s="1" t="s">
        <v>2894</v>
      </c>
      <c r="B410" s="1" t="s">
        <v>434</v>
      </c>
      <c r="D410" s="1" t="s">
        <v>56</v>
      </c>
      <c r="E410" s="1" t="s">
        <v>1839</v>
      </c>
      <c r="F410" s="1" t="s">
        <v>95</v>
      </c>
      <c r="G410" s="1" t="s">
        <v>116</v>
      </c>
      <c r="H410" s="1">
        <v>0</v>
      </c>
      <c r="I410" s="1" t="s">
        <v>705</v>
      </c>
      <c r="K410" s="1" t="s">
        <v>2895</v>
      </c>
      <c r="M410" s="1" t="s">
        <v>130</v>
      </c>
      <c r="N410" s="1">
        <v>1</v>
      </c>
      <c r="O410" s="1">
        <v>0</v>
      </c>
      <c r="P410" s="1" t="s">
        <v>100</v>
      </c>
      <c r="Q410" s="1" t="s">
        <v>184</v>
      </c>
      <c r="R410" s="1" t="s">
        <v>2896</v>
      </c>
      <c r="S410" s="1" t="s">
        <v>103</v>
      </c>
      <c r="T410" s="1">
        <v>1</v>
      </c>
      <c r="U410" s="1">
        <v>1</v>
      </c>
      <c r="V410" s="1">
        <v>0</v>
      </c>
      <c r="W410" s="1">
        <v>0</v>
      </c>
      <c r="X410" s="1">
        <v>0</v>
      </c>
      <c r="Y410" s="1" t="s">
        <v>104</v>
      </c>
      <c r="Z410" s="1" t="s">
        <v>104</v>
      </c>
      <c r="AA410" s="1" t="s">
        <v>104</v>
      </c>
      <c r="AB410" s="1">
        <v>1</v>
      </c>
      <c r="AC410" s="1" t="s">
        <v>104</v>
      </c>
      <c r="AD410" s="1" t="s">
        <v>104</v>
      </c>
      <c r="AE410" s="1" t="s">
        <v>104</v>
      </c>
      <c r="AF410" s="1" t="s">
        <v>104</v>
      </c>
      <c r="AG410" s="1" t="s">
        <v>104</v>
      </c>
      <c r="AH410" s="1" t="s">
        <v>104</v>
      </c>
      <c r="AI410" s="1" t="s">
        <v>104</v>
      </c>
      <c r="AJ410" s="1" t="s">
        <v>104</v>
      </c>
      <c r="AK410" s="1" t="s">
        <v>104</v>
      </c>
      <c r="AL410" s="1" t="s">
        <v>104</v>
      </c>
      <c r="AM410" s="1" t="s">
        <v>104</v>
      </c>
      <c r="AO410" s="1">
        <v>1</v>
      </c>
      <c r="AP410" s="1" t="s">
        <v>2897</v>
      </c>
      <c r="AQ410" s="1" t="s">
        <v>2898</v>
      </c>
      <c r="AR410" s="1">
        <v>0</v>
      </c>
      <c r="AS410" s="1">
        <v>0</v>
      </c>
      <c r="AT410" s="1">
        <v>0</v>
      </c>
      <c r="AU410" s="1">
        <v>0</v>
      </c>
      <c r="AV410" s="1">
        <v>0</v>
      </c>
      <c r="AW410" s="1">
        <v>0</v>
      </c>
      <c r="AX410" s="1">
        <v>0</v>
      </c>
      <c r="AY410" s="1">
        <v>0</v>
      </c>
      <c r="AZ410" s="1">
        <v>0</v>
      </c>
      <c r="BA410" s="1">
        <v>0</v>
      </c>
      <c r="BB410" s="1">
        <v>0</v>
      </c>
      <c r="BC410" s="1">
        <v>0</v>
      </c>
      <c r="BD410" s="1">
        <v>0</v>
      </c>
      <c r="BE410" s="1">
        <v>1</v>
      </c>
      <c r="BF410" s="1">
        <v>0</v>
      </c>
      <c r="BG410" s="1">
        <v>0</v>
      </c>
      <c r="BH410" s="1">
        <v>0</v>
      </c>
      <c r="BI410" s="1">
        <v>0</v>
      </c>
      <c r="BJ410" s="1">
        <v>0</v>
      </c>
      <c r="BK410" s="1">
        <v>0</v>
      </c>
      <c r="BL410" s="1">
        <v>0</v>
      </c>
      <c r="BM410" s="1">
        <v>0</v>
      </c>
      <c r="BN410" s="1">
        <v>0</v>
      </c>
      <c r="BO410" s="1">
        <v>0</v>
      </c>
      <c r="BP410" s="1">
        <v>0</v>
      </c>
      <c r="BQ410" s="2" t="str">
        <f>HYPERLINK("http://www.d20pfsrd.com/magic/all-spells/p/produce-flame","Produce Flame")</f>
        <v>Produce Flame</v>
      </c>
      <c r="BR410" s="1">
        <v>410</v>
      </c>
      <c r="BS410" s="1" t="s">
        <v>104</v>
      </c>
      <c r="BX410" s="1">
        <v>0</v>
      </c>
      <c r="BY410" s="1" t="s">
        <v>104</v>
      </c>
      <c r="BZ410" s="1">
        <v>1</v>
      </c>
      <c r="CA410" s="1" t="s">
        <v>104</v>
      </c>
      <c r="CB410" s="1" t="s">
        <v>104</v>
      </c>
      <c r="CC410" s="1" t="s">
        <v>104</v>
      </c>
      <c r="CD410" s="1" t="s">
        <v>104</v>
      </c>
      <c r="CE410" s="1" t="s">
        <v>104</v>
      </c>
      <c r="CF410" s="1" t="s">
        <v>104</v>
      </c>
      <c r="CG410" s="1" t="s">
        <v>104</v>
      </c>
      <c r="CH410" s="1">
        <v>1</v>
      </c>
      <c r="CJ410" s="1">
        <v>0</v>
      </c>
      <c r="CK410" s="1">
        <v>0</v>
      </c>
      <c r="CL410" s="1">
        <v>0</v>
      </c>
      <c r="CM410" s="1" t="s">
        <v>104</v>
      </c>
    </row>
    <row r="411" spans="1:91" ht="14.25" customHeight="1" x14ac:dyDescent="0.3">
      <c r="A411" s="1" t="s">
        <v>2899</v>
      </c>
      <c r="B411" s="1" t="s">
        <v>507</v>
      </c>
      <c r="C411" s="1" t="s">
        <v>1767</v>
      </c>
      <c r="E411" s="1" t="s">
        <v>2900</v>
      </c>
      <c r="F411" s="1" t="s">
        <v>95</v>
      </c>
      <c r="G411" s="1" t="s">
        <v>2901</v>
      </c>
      <c r="H411" s="1">
        <v>1</v>
      </c>
      <c r="I411" s="1" t="s">
        <v>97</v>
      </c>
      <c r="K411" s="1" t="s">
        <v>2902</v>
      </c>
      <c r="M411" s="1" t="s">
        <v>2903</v>
      </c>
      <c r="N411" s="1">
        <v>0</v>
      </c>
      <c r="O411" s="1">
        <v>0</v>
      </c>
      <c r="P411" s="1" t="s">
        <v>1894</v>
      </c>
      <c r="Q411" s="1" t="s">
        <v>101</v>
      </c>
      <c r="R411" s="1" t="s">
        <v>2904</v>
      </c>
      <c r="S411" s="1" t="s">
        <v>103</v>
      </c>
      <c r="T411" s="1">
        <v>1</v>
      </c>
      <c r="U411" s="1">
        <v>1</v>
      </c>
      <c r="V411" s="1">
        <v>1</v>
      </c>
      <c r="W411" s="1">
        <v>0</v>
      </c>
      <c r="X411" s="1">
        <v>0</v>
      </c>
      <c r="Y411" s="1">
        <v>6</v>
      </c>
      <c r="Z411" s="1">
        <v>6</v>
      </c>
      <c r="AA411" s="1" t="s">
        <v>104</v>
      </c>
      <c r="AB411" s="1" t="s">
        <v>104</v>
      </c>
      <c r="AC411" s="1" t="s">
        <v>104</v>
      </c>
      <c r="AD411" s="1">
        <v>6</v>
      </c>
      <c r="AE411" s="1" t="s">
        <v>104</v>
      </c>
      <c r="AF411" s="1" t="s">
        <v>104</v>
      </c>
      <c r="AG411" s="1" t="s">
        <v>104</v>
      </c>
      <c r="AH411" s="1" t="s">
        <v>104</v>
      </c>
      <c r="AI411" s="1" t="s">
        <v>104</v>
      </c>
      <c r="AJ411" s="1" t="s">
        <v>104</v>
      </c>
      <c r="AK411" s="1" t="s">
        <v>104</v>
      </c>
      <c r="AL411" s="1" t="s">
        <v>104</v>
      </c>
      <c r="AM411" s="1" t="s">
        <v>104</v>
      </c>
      <c r="AO411" s="1">
        <v>6</v>
      </c>
      <c r="AQ411" s="1" t="s">
        <v>2905</v>
      </c>
      <c r="AR411" s="1">
        <v>0</v>
      </c>
      <c r="AS411" s="1">
        <v>0</v>
      </c>
      <c r="AT411" s="1">
        <v>0</v>
      </c>
      <c r="AU411" s="1">
        <v>0</v>
      </c>
      <c r="AV411" s="1">
        <v>0</v>
      </c>
      <c r="AW411" s="1">
        <v>0</v>
      </c>
      <c r="AX411" s="1">
        <v>0</v>
      </c>
      <c r="AY411" s="1">
        <v>0</v>
      </c>
      <c r="AZ411" s="1">
        <v>0</v>
      </c>
      <c r="BA411" s="1">
        <v>0</v>
      </c>
      <c r="BB411" s="1">
        <v>0</v>
      </c>
      <c r="BC411" s="1">
        <v>0</v>
      </c>
      <c r="BD411" s="1">
        <v>0</v>
      </c>
      <c r="BE411" s="1">
        <v>0</v>
      </c>
      <c r="BF411" s="1">
        <v>0</v>
      </c>
      <c r="BG411" s="1">
        <v>0</v>
      </c>
      <c r="BH411" s="1">
        <v>0</v>
      </c>
      <c r="BI411" s="1">
        <v>0</v>
      </c>
      <c r="BJ411" s="1">
        <v>0</v>
      </c>
      <c r="BK411" s="1">
        <v>0</v>
      </c>
      <c r="BL411" s="1">
        <v>0</v>
      </c>
      <c r="BM411" s="1">
        <v>0</v>
      </c>
      <c r="BN411" s="1">
        <v>0</v>
      </c>
      <c r="BO411" s="1">
        <v>0</v>
      </c>
      <c r="BP411" s="1">
        <v>0</v>
      </c>
      <c r="BQ411" s="2" t="str">
        <f>HYPERLINK("http://www.d20pfsrd.com/magic/all-spells/p/programmed-image","Programmed Image")</f>
        <v>Programmed Image</v>
      </c>
      <c r="BR411" s="1">
        <v>411</v>
      </c>
      <c r="BS411" s="1">
        <v>25</v>
      </c>
      <c r="BU411" s="1" t="s">
        <v>2906</v>
      </c>
      <c r="BX411" s="1">
        <v>0</v>
      </c>
      <c r="BY411" s="1" t="s">
        <v>104</v>
      </c>
      <c r="BZ411" s="1" t="s">
        <v>104</v>
      </c>
      <c r="CA411" s="1">
        <v>6</v>
      </c>
      <c r="CB411" s="1" t="s">
        <v>104</v>
      </c>
      <c r="CC411" s="1">
        <v>6</v>
      </c>
      <c r="CD411" s="1" t="s">
        <v>104</v>
      </c>
      <c r="CE411" s="1" t="s">
        <v>104</v>
      </c>
      <c r="CF411" s="1" t="s">
        <v>104</v>
      </c>
      <c r="CG411" s="1" t="s">
        <v>104</v>
      </c>
      <c r="CH411" s="1" t="s">
        <v>104</v>
      </c>
      <c r="CJ411" s="1">
        <v>0</v>
      </c>
      <c r="CK411" s="1">
        <v>0</v>
      </c>
      <c r="CL411" s="1">
        <v>0</v>
      </c>
      <c r="CM411" s="1" t="s">
        <v>104</v>
      </c>
    </row>
    <row r="412" spans="1:91" ht="14.25" customHeight="1" x14ac:dyDescent="0.3">
      <c r="A412" s="1" t="s">
        <v>2907</v>
      </c>
      <c r="B412" s="1" t="s">
        <v>507</v>
      </c>
      <c r="C412" s="1" t="s">
        <v>65</v>
      </c>
      <c r="D412" s="1" t="s">
        <v>65</v>
      </c>
      <c r="E412" s="1" t="s">
        <v>2908</v>
      </c>
      <c r="F412" s="1" t="s">
        <v>95</v>
      </c>
      <c r="G412" s="1" t="s">
        <v>2909</v>
      </c>
      <c r="H412" s="1">
        <v>1</v>
      </c>
      <c r="I412" s="1" t="s">
        <v>109</v>
      </c>
      <c r="K412" s="1" t="s">
        <v>2910</v>
      </c>
      <c r="M412" s="1" t="s">
        <v>111</v>
      </c>
      <c r="N412" s="1">
        <v>1</v>
      </c>
      <c r="O412" s="1">
        <v>0</v>
      </c>
      <c r="P412" s="1" t="s">
        <v>1894</v>
      </c>
      <c r="Q412" s="1" t="s">
        <v>101</v>
      </c>
      <c r="R412" s="1" t="s">
        <v>2911</v>
      </c>
      <c r="S412" s="1" t="s">
        <v>103</v>
      </c>
      <c r="T412" s="1">
        <v>1</v>
      </c>
      <c r="U412" s="1">
        <v>1</v>
      </c>
      <c r="V412" s="1">
        <v>1</v>
      </c>
      <c r="W412" s="1">
        <v>0</v>
      </c>
      <c r="X412" s="1">
        <v>0</v>
      </c>
      <c r="Y412" s="1">
        <v>7</v>
      </c>
      <c r="Z412" s="1">
        <v>7</v>
      </c>
      <c r="AA412" s="1" t="s">
        <v>104</v>
      </c>
      <c r="AB412" s="1" t="s">
        <v>104</v>
      </c>
      <c r="AC412" s="1" t="s">
        <v>104</v>
      </c>
      <c r="AD412" s="1">
        <v>6</v>
      </c>
      <c r="AE412" s="1" t="s">
        <v>104</v>
      </c>
      <c r="AF412" s="1" t="s">
        <v>104</v>
      </c>
      <c r="AG412" s="1" t="s">
        <v>104</v>
      </c>
      <c r="AH412" s="1" t="s">
        <v>104</v>
      </c>
      <c r="AI412" s="1" t="s">
        <v>104</v>
      </c>
      <c r="AJ412" s="1" t="s">
        <v>104</v>
      </c>
      <c r="AK412" s="1" t="s">
        <v>104</v>
      </c>
      <c r="AL412" s="1" t="s">
        <v>104</v>
      </c>
      <c r="AM412" s="1" t="s">
        <v>104</v>
      </c>
      <c r="AO412" s="1">
        <v>7</v>
      </c>
      <c r="AP412" s="1" t="s">
        <v>2912</v>
      </c>
      <c r="AQ412" s="1" t="s">
        <v>2913</v>
      </c>
      <c r="AR412" s="1">
        <v>0</v>
      </c>
      <c r="AS412" s="1">
        <v>0</v>
      </c>
      <c r="AT412" s="1">
        <v>0</v>
      </c>
      <c r="AU412" s="1">
        <v>0</v>
      </c>
      <c r="AV412" s="1">
        <v>0</v>
      </c>
      <c r="AW412" s="1">
        <v>0</v>
      </c>
      <c r="AX412" s="1">
        <v>0</v>
      </c>
      <c r="AY412" s="1">
        <v>0</v>
      </c>
      <c r="AZ412" s="1">
        <v>0</v>
      </c>
      <c r="BA412" s="1">
        <v>0</v>
      </c>
      <c r="BB412" s="1">
        <v>0</v>
      </c>
      <c r="BC412" s="1">
        <v>0</v>
      </c>
      <c r="BD412" s="1">
        <v>0</v>
      </c>
      <c r="BE412" s="1">
        <v>0</v>
      </c>
      <c r="BF412" s="1">
        <v>0</v>
      </c>
      <c r="BG412" s="1">
        <v>0</v>
      </c>
      <c r="BH412" s="1">
        <v>0</v>
      </c>
      <c r="BI412" s="1">
        <v>0</v>
      </c>
      <c r="BJ412" s="1">
        <v>0</v>
      </c>
      <c r="BK412" s="1">
        <v>0</v>
      </c>
      <c r="BL412" s="1">
        <v>0</v>
      </c>
      <c r="BM412" s="1">
        <v>0</v>
      </c>
      <c r="BN412" s="1">
        <v>1</v>
      </c>
      <c r="BO412" s="1">
        <v>0</v>
      </c>
      <c r="BP412" s="1">
        <v>0</v>
      </c>
      <c r="BQ412" s="2" t="str">
        <f>HYPERLINK("http://www.d20pfsrd.com/magic/all-spells/p/project-image","Project Image")</f>
        <v>Project Image</v>
      </c>
      <c r="BR412" s="1">
        <v>412</v>
      </c>
      <c r="BS412" s="1">
        <v>5</v>
      </c>
      <c r="BX412" s="1">
        <v>0</v>
      </c>
      <c r="BY412" s="1" t="s">
        <v>104</v>
      </c>
      <c r="BZ412" s="1" t="s">
        <v>104</v>
      </c>
      <c r="CA412" s="1">
        <v>7</v>
      </c>
      <c r="CB412" s="1" t="s">
        <v>104</v>
      </c>
      <c r="CC412" s="1">
        <v>6</v>
      </c>
      <c r="CD412" s="1">
        <v>6</v>
      </c>
      <c r="CE412" s="1" t="s">
        <v>104</v>
      </c>
      <c r="CF412" s="1" t="s">
        <v>104</v>
      </c>
      <c r="CG412" s="1" t="s">
        <v>104</v>
      </c>
      <c r="CH412" s="1" t="s">
        <v>104</v>
      </c>
      <c r="CJ412" s="1">
        <v>0</v>
      </c>
      <c r="CK412" s="1">
        <v>0</v>
      </c>
      <c r="CL412" s="1">
        <v>0</v>
      </c>
      <c r="CM412" s="1" t="s">
        <v>104</v>
      </c>
    </row>
    <row r="413" spans="1:91" ht="14.25" customHeight="1" x14ac:dyDescent="0.3">
      <c r="A413" s="1" t="s">
        <v>2914</v>
      </c>
      <c r="B413" s="1" t="s">
        <v>162</v>
      </c>
      <c r="E413" s="1" t="s">
        <v>2915</v>
      </c>
      <c r="F413" s="1" t="s">
        <v>95</v>
      </c>
      <c r="G413" s="1" t="s">
        <v>2916</v>
      </c>
      <c r="H413" s="1">
        <v>0</v>
      </c>
      <c r="I413" s="1" t="s">
        <v>128</v>
      </c>
      <c r="L413" s="1" t="s">
        <v>374</v>
      </c>
      <c r="M413" s="1" t="s">
        <v>2591</v>
      </c>
      <c r="N413" s="1">
        <v>0</v>
      </c>
      <c r="O413" s="1">
        <v>0</v>
      </c>
      <c r="P413" s="1" t="s">
        <v>375</v>
      </c>
      <c r="Q413" s="1" t="s">
        <v>131</v>
      </c>
      <c r="R413" s="1" t="s">
        <v>2917</v>
      </c>
      <c r="S413" s="1" t="s">
        <v>103</v>
      </c>
      <c r="T413" s="1">
        <v>1</v>
      </c>
      <c r="U413" s="1">
        <v>1</v>
      </c>
      <c r="V413" s="1">
        <v>0</v>
      </c>
      <c r="W413" s="1">
        <v>0</v>
      </c>
      <c r="X413" s="1">
        <v>0</v>
      </c>
      <c r="Y413" s="1">
        <v>2</v>
      </c>
      <c r="Z413" s="1">
        <v>2</v>
      </c>
      <c r="AA413" s="1" t="s">
        <v>104</v>
      </c>
      <c r="AB413" s="1" t="s">
        <v>104</v>
      </c>
      <c r="AC413" s="1" t="s">
        <v>104</v>
      </c>
      <c r="AD413" s="1" t="s">
        <v>104</v>
      </c>
      <c r="AE413" s="1" t="s">
        <v>104</v>
      </c>
      <c r="AF413" s="1">
        <v>2</v>
      </c>
      <c r="AG413" s="1">
        <v>2</v>
      </c>
      <c r="AH413" s="1" t="s">
        <v>104</v>
      </c>
      <c r="AI413" s="1" t="s">
        <v>104</v>
      </c>
      <c r="AJ413" s="1" t="s">
        <v>104</v>
      </c>
      <c r="AK413" s="1" t="s">
        <v>104</v>
      </c>
      <c r="AL413" s="1" t="s">
        <v>104</v>
      </c>
      <c r="AM413" s="1" t="s">
        <v>104</v>
      </c>
      <c r="AO413" s="1">
        <v>2</v>
      </c>
      <c r="AQ413" s="1" t="s">
        <v>2918</v>
      </c>
      <c r="AR413" s="1">
        <v>0</v>
      </c>
      <c r="AS413" s="1">
        <v>0</v>
      </c>
      <c r="AT413" s="1">
        <v>0</v>
      </c>
      <c r="AU413" s="1">
        <v>0</v>
      </c>
      <c r="AV413" s="1">
        <v>0</v>
      </c>
      <c r="AW413" s="1">
        <v>0</v>
      </c>
      <c r="AX413" s="1">
        <v>0</v>
      </c>
      <c r="AY413" s="1">
        <v>0</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2" t="str">
        <f>HYPERLINK("http://www.d20pfsrd.com/magic/all-spells/p/protection-from-arrows","Protection from Arrows")</f>
        <v>Protection from Arrows</v>
      </c>
      <c r="BR413" s="1">
        <v>413</v>
      </c>
      <c r="BS413" s="1" t="s">
        <v>104</v>
      </c>
      <c r="BV413" s="1" t="s">
        <v>2919</v>
      </c>
      <c r="BX413" s="1">
        <v>1</v>
      </c>
      <c r="BY413" s="1">
        <v>2</v>
      </c>
      <c r="BZ413" s="1" t="s">
        <v>104</v>
      </c>
      <c r="CA413" s="1">
        <v>2</v>
      </c>
      <c r="CB413" s="1" t="s">
        <v>104</v>
      </c>
      <c r="CC413" s="1" t="s">
        <v>104</v>
      </c>
      <c r="CD413" s="1" t="s">
        <v>104</v>
      </c>
      <c r="CE413" s="1">
        <v>2</v>
      </c>
      <c r="CF413" s="1" t="s">
        <v>104</v>
      </c>
      <c r="CG413" s="1" t="s">
        <v>104</v>
      </c>
      <c r="CH413" s="1" t="s">
        <v>104</v>
      </c>
      <c r="CJ413" s="1">
        <v>0</v>
      </c>
      <c r="CK413" s="1">
        <v>0</v>
      </c>
      <c r="CL413" s="1">
        <v>0</v>
      </c>
      <c r="CM413" s="1">
        <v>2</v>
      </c>
    </row>
    <row r="414" spans="1:91" ht="14.25" customHeight="1" x14ac:dyDescent="0.3">
      <c r="A414" s="1" t="s">
        <v>2920</v>
      </c>
      <c r="B414" s="1" t="s">
        <v>162</v>
      </c>
      <c r="D414" s="1" t="s">
        <v>60</v>
      </c>
      <c r="E414" s="1" t="s">
        <v>2921</v>
      </c>
      <c r="F414" s="1" t="s">
        <v>95</v>
      </c>
      <c r="G414" s="1" t="s">
        <v>2922</v>
      </c>
      <c r="H414" s="1">
        <v>0</v>
      </c>
      <c r="I414" s="1" t="s">
        <v>128</v>
      </c>
      <c r="L414" s="1" t="s">
        <v>374</v>
      </c>
      <c r="M414" s="1" t="s">
        <v>437</v>
      </c>
      <c r="N414" s="1">
        <v>1</v>
      </c>
      <c r="O414" s="1">
        <v>0</v>
      </c>
      <c r="P414" s="1" t="s">
        <v>375</v>
      </c>
      <c r="Q414" s="1" t="s">
        <v>2376</v>
      </c>
      <c r="R414" s="1" t="s">
        <v>2923</v>
      </c>
      <c r="S414" s="1" t="s">
        <v>103</v>
      </c>
      <c r="T414" s="1">
        <v>1</v>
      </c>
      <c r="U414" s="1">
        <v>1</v>
      </c>
      <c r="V414" s="1">
        <v>1</v>
      </c>
      <c r="W414" s="1">
        <v>0</v>
      </c>
      <c r="X414" s="1">
        <v>1</v>
      </c>
      <c r="Y414" s="1">
        <v>1</v>
      </c>
      <c r="Z414" s="1">
        <v>1</v>
      </c>
      <c r="AA414" s="1">
        <v>1</v>
      </c>
      <c r="AB414" s="1" t="s">
        <v>104</v>
      </c>
      <c r="AC414" s="1" t="s">
        <v>104</v>
      </c>
      <c r="AD414" s="1" t="s">
        <v>104</v>
      </c>
      <c r="AE414" s="1">
        <v>1</v>
      </c>
      <c r="AF414" s="1" t="s">
        <v>104</v>
      </c>
      <c r="AG414" s="1">
        <v>1</v>
      </c>
      <c r="AH414" s="1" t="s">
        <v>104</v>
      </c>
      <c r="AI414" s="1">
        <v>1</v>
      </c>
      <c r="AJ414" s="1">
        <v>1</v>
      </c>
      <c r="AK414" s="1" t="s">
        <v>104</v>
      </c>
      <c r="AL414" s="1" t="s">
        <v>104</v>
      </c>
      <c r="AM414" s="1">
        <v>1</v>
      </c>
      <c r="AO414" s="1">
        <v>1</v>
      </c>
      <c r="AP414" s="1" t="s">
        <v>2924</v>
      </c>
      <c r="AQ414" s="1" t="s">
        <v>2925</v>
      </c>
      <c r="AR414" s="1">
        <v>0</v>
      </c>
      <c r="AS414" s="1">
        <v>0</v>
      </c>
      <c r="AT414" s="1">
        <v>0</v>
      </c>
      <c r="AU414" s="1">
        <v>0</v>
      </c>
      <c r="AV414" s="1">
        <v>0</v>
      </c>
      <c r="AW414" s="1">
        <v>0</v>
      </c>
      <c r="AX414" s="1">
        <v>0</v>
      </c>
      <c r="AY414" s="1">
        <v>0</v>
      </c>
      <c r="AZ414" s="1">
        <v>0</v>
      </c>
      <c r="BA414" s="1">
        <v>0</v>
      </c>
      <c r="BB414" s="1">
        <v>0</v>
      </c>
      <c r="BC414" s="1">
        <v>0</v>
      </c>
      <c r="BD414" s="1">
        <v>0</v>
      </c>
      <c r="BE414" s="1">
        <v>0</v>
      </c>
      <c r="BF414" s="1">
        <v>0</v>
      </c>
      <c r="BG414" s="1">
        <v>0</v>
      </c>
      <c r="BH414" s="1">
        <v>0</v>
      </c>
      <c r="BI414" s="1">
        <v>1</v>
      </c>
      <c r="BJ414" s="1">
        <v>0</v>
      </c>
      <c r="BK414" s="1">
        <v>0</v>
      </c>
      <c r="BL414" s="1">
        <v>0</v>
      </c>
      <c r="BM414" s="1">
        <v>0</v>
      </c>
      <c r="BN414" s="1">
        <v>0</v>
      </c>
      <c r="BO414" s="1">
        <v>0</v>
      </c>
      <c r="BP414" s="1">
        <v>0</v>
      </c>
      <c r="BQ414" s="2" t="str">
        <f>HYPERLINK("http://www.d20pfsrd.com/magic/all-spells/p/protection-from-chaos","Protection from Chaos")</f>
        <v>Protection from Chaos</v>
      </c>
      <c r="BR414" s="1">
        <v>414</v>
      </c>
      <c r="BS414" s="1" t="s">
        <v>104</v>
      </c>
      <c r="BV414" s="1" t="s">
        <v>2926</v>
      </c>
      <c r="BX414" s="1">
        <v>1</v>
      </c>
      <c r="BY414" s="1">
        <v>1</v>
      </c>
      <c r="BZ414" s="1">
        <v>1</v>
      </c>
      <c r="CA414" s="1" t="s">
        <v>104</v>
      </c>
      <c r="CB414" s="1">
        <v>1</v>
      </c>
      <c r="CC414" s="1" t="s">
        <v>104</v>
      </c>
      <c r="CD414" s="1" t="s">
        <v>104</v>
      </c>
      <c r="CE414" s="1">
        <v>1</v>
      </c>
      <c r="CF414" s="1" t="s">
        <v>104</v>
      </c>
      <c r="CG414" s="1" t="s">
        <v>104</v>
      </c>
      <c r="CH414" s="1" t="s">
        <v>104</v>
      </c>
      <c r="CJ414" s="1">
        <v>0</v>
      </c>
      <c r="CK414" s="1">
        <v>0</v>
      </c>
      <c r="CL414" s="1">
        <v>0</v>
      </c>
      <c r="CM414" s="1">
        <v>1</v>
      </c>
    </row>
    <row r="415" spans="1:91" ht="14.25" customHeight="1" x14ac:dyDescent="0.3">
      <c r="A415" s="1" t="s">
        <v>2927</v>
      </c>
      <c r="B415" s="1" t="s">
        <v>162</v>
      </c>
      <c r="D415" s="1" t="s">
        <v>58</v>
      </c>
      <c r="E415" s="1" t="s">
        <v>2928</v>
      </c>
      <c r="F415" s="1" t="s">
        <v>95</v>
      </c>
      <c r="G415" s="1" t="s">
        <v>2922</v>
      </c>
      <c r="H415" s="1">
        <v>0</v>
      </c>
      <c r="I415" s="1" t="s">
        <v>128</v>
      </c>
      <c r="L415" s="1" t="s">
        <v>374</v>
      </c>
      <c r="M415" s="1" t="s">
        <v>437</v>
      </c>
      <c r="N415" s="1">
        <v>1</v>
      </c>
      <c r="O415" s="1">
        <v>0</v>
      </c>
      <c r="P415" s="1" t="s">
        <v>375</v>
      </c>
      <c r="Q415" s="1" t="s">
        <v>2376</v>
      </c>
      <c r="R415" s="1" t="s">
        <v>2929</v>
      </c>
      <c r="S415" s="1" t="s">
        <v>103</v>
      </c>
      <c r="T415" s="1">
        <v>1</v>
      </c>
      <c r="U415" s="1">
        <v>1</v>
      </c>
      <c r="V415" s="1">
        <v>1</v>
      </c>
      <c r="W415" s="1">
        <v>0</v>
      </c>
      <c r="X415" s="1">
        <v>1</v>
      </c>
      <c r="Y415" s="1">
        <v>1</v>
      </c>
      <c r="Z415" s="1">
        <v>1</v>
      </c>
      <c r="AA415" s="1">
        <v>1</v>
      </c>
      <c r="AB415" s="1" t="s">
        <v>104</v>
      </c>
      <c r="AC415" s="1" t="s">
        <v>104</v>
      </c>
      <c r="AD415" s="1" t="s">
        <v>104</v>
      </c>
      <c r="AE415" s="1">
        <v>1</v>
      </c>
      <c r="AF415" s="1" t="s">
        <v>104</v>
      </c>
      <c r="AG415" s="1">
        <v>1</v>
      </c>
      <c r="AH415" s="1" t="s">
        <v>104</v>
      </c>
      <c r="AI415" s="1">
        <v>1</v>
      </c>
      <c r="AJ415" s="1">
        <v>1</v>
      </c>
      <c r="AK415" s="1" t="s">
        <v>104</v>
      </c>
      <c r="AL415" s="1" t="s">
        <v>104</v>
      </c>
      <c r="AM415" s="1">
        <v>1</v>
      </c>
      <c r="AO415" s="1">
        <v>1</v>
      </c>
      <c r="AP415" s="1" t="s">
        <v>2930</v>
      </c>
      <c r="AQ415" s="1" t="s">
        <v>2925</v>
      </c>
      <c r="AR415" s="1">
        <v>0</v>
      </c>
      <c r="AS415" s="1">
        <v>0</v>
      </c>
      <c r="AT415" s="1">
        <v>0</v>
      </c>
      <c r="AU415" s="1">
        <v>0</v>
      </c>
      <c r="AV415" s="1">
        <v>0</v>
      </c>
      <c r="AW415" s="1">
        <v>0</v>
      </c>
      <c r="AX415" s="1">
        <v>0</v>
      </c>
      <c r="AY415" s="1">
        <v>0</v>
      </c>
      <c r="AZ415" s="1">
        <v>0</v>
      </c>
      <c r="BA415" s="1">
        <v>0</v>
      </c>
      <c r="BB415" s="1">
        <v>0</v>
      </c>
      <c r="BC415" s="1">
        <v>0</v>
      </c>
      <c r="BD415" s="1">
        <v>0</v>
      </c>
      <c r="BE415" s="1">
        <v>0</v>
      </c>
      <c r="BF415" s="1">
        <v>0</v>
      </c>
      <c r="BG415" s="1">
        <v>1</v>
      </c>
      <c r="BH415" s="1">
        <v>0</v>
      </c>
      <c r="BI415" s="1">
        <v>0</v>
      </c>
      <c r="BJ415" s="1">
        <v>0</v>
      </c>
      <c r="BK415" s="1">
        <v>0</v>
      </c>
      <c r="BL415" s="1">
        <v>0</v>
      </c>
      <c r="BM415" s="1">
        <v>0</v>
      </c>
      <c r="BN415" s="1">
        <v>0</v>
      </c>
      <c r="BO415" s="1">
        <v>0</v>
      </c>
      <c r="BP415" s="1">
        <v>0</v>
      </c>
      <c r="BQ415" s="2" t="str">
        <f>HYPERLINK("http://www.d20pfsrd.com/magic/all-spells/p/protection-from-evil","Protection from Evil")</f>
        <v>Protection from Evil</v>
      </c>
      <c r="BR415" s="1">
        <v>416</v>
      </c>
      <c r="BS415" s="1" t="s">
        <v>104</v>
      </c>
      <c r="BU415" s="1" t="s">
        <v>2931</v>
      </c>
      <c r="BV415" s="1" t="s">
        <v>2932</v>
      </c>
      <c r="BX415" s="1">
        <v>1</v>
      </c>
      <c r="BY415" s="1">
        <v>1</v>
      </c>
      <c r="BZ415" s="1">
        <v>1</v>
      </c>
      <c r="CA415" s="1" t="s">
        <v>104</v>
      </c>
      <c r="CB415" s="1">
        <v>1</v>
      </c>
      <c r="CC415" s="1" t="s">
        <v>104</v>
      </c>
      <c r="CD415" s="1" t="s">
        <v>104</v>
      </c>
      <c r="CE415" s="1">
        <v>1</v>
      </c>
      <c r="CF415" s="1" t="s">
        <v>104</v>
      </c>
      <c r="CG415" s="1" t="s">
        <v>104</v>
      </c>
      <c r="CH415" s="1" t="s">
        <v>104</v>
      </c>
      <c r="CJ415" s="1">
        <v>0</v>
      </c>
      <c r="CK415" s="1">
        <v>0</v>
      </c>
      <c r="CL415" s="1">
        <v>0</v>
      </c>
      <c r="CM415" s="1">
        <v>1</v>
      </c>
    </row>
    <row r="416" spans="1:91" ht="14.25" customHeight="1" x14ac:dyDescent="0.3">
      <c r="A416" s="1" t="s">
        <v>2933</v>
      </c>
      <c r="B416" s="1" t="s">
        <v>162</v>
      </c>
      <c r="D416" s="1" t="s">
        <v>54</v>
      </c>
      <c r="E416" s="1" t="s">
        <v>2934</v>
      </c>
      <c r="F416" s="1" t="s">
        <v>95</v>
      </c>
      <c r="G416" s="1" t="s">
        <v>2922</v>
      </c>
      <c r="H416" s="1">
        <v>0</v>
      </c>
      <c r="I416" s="1" t="s">
        <v>128</v>
      </c>
      <c r="L416" s="1" t="s">
        <v>374</v>
      </c>
      <c r="M416" s="1" t="s">
        <v>437</v>
      </c>
      <c r="N416" s="1">
        <v>1</v>
      </c>
      <c r="O416" s="1">
        <v>0</v>
      </c>
      <c r="P416" s="1" t="s">
        <v>375</v>
      </c>
      <c r="Q416" s="1" t="s">
        <v>2376</v>
      </c>
      <c r="R416" s="1" t="s">
        <v>2935</v>
      </c>
      <c r="S416" s="1" t="s">
        <v>103</v>
      </c>
      <c r="T416" s="1">
        <v>1</v>
      </c>
      <c r="U416" s="1">
        <v>1</v>
      </c>
      <c r="V416" s="1">
        <v>1</v>
      </c>
      <c r="W416" s="1">
        <v>0</v>
      </c>
      <c r="X416" s="1">
        <v>1</v>
      </c>
      <c r="Y416" s="1">
        <v>1</v>
      </c>
      <c r="Z416" s="1">
        <v>1</v>
      </c>
      <c r="AA416" s="1">
        <v>1</v>
      </c>
      <c r="AB416" s="1" t="s">
        <v>104</v>
      </c>
      <c r="AC416" s="1" t="s">
        <v>104</v>
      </c>
      <c r="AD416" s="1" t="s">
        <v>104</v>
      </c>
      <c r="AE416" s="1" t="s">
        <v>104</v>
      </c>
      <c r="AF416" s="1" t="s">
        <v>104</v>
      </c>
      <c r="AG416" s="1">
        <v>1</v>
      </c>
      <c r="AH416" s="1" t="s">
        <v>104</v>
      </c>
      <c r="AI416" s="1">
        <v>1</v>
      </c>
      <c r="AJ416" s="1">
        <v>1</v>
      </c>
      <c r="AK416" s="1">
        <v>1</v>
      </c>
      <c r="AL416" s="1" t="s">
        <v>104</v>
      </c>
      <c r="AM416" s="1">
        <v>1</v>
      </c>
      <c r="AO416" s="1">
        <v>1</v>
      </c>
      <c r="AP416" s="1" t="s">
        <v>2936</v>
      </c>
      <c r="AQ416" s="1" t="s">
        <v>2937</v>
      </c>
      <c r="AR416" s="1">
        <v>0</v>
      </c>
      <c r="AS416" s="1">
        <v>0</v>
      </c>
      <c r="AT416" s="1">
        <v>0</v>
      </c>
      <c r="AU416" s="1">
        <v>0</v>
      </c>
      <c r="AV416" s="1">
        <v>0</v>
      </c>
      <c r="AW416" s="1">
        <v>0</v>
      </c>
      <c r="AX416" s="1">
        <v>0</v>
      </c>
      <c r="AY416" s="1">
        <v>0</v>
      </c>
      <c r="AZ416" s="1">
        <v>0</v>
      </c>
      <c r="BA416" s="1">
        <v>0</v>
      </c>
      <c r="BB416" s="1">
        <v>0</v>
      </c>
      <c r="BC416" s="1">
        <v>1</v>
      </c>
      <c r="BD416" s="1">
        <v>0</v>
      </c>
      <c r="BE416" s="1">
        <v>0</v>
      </c>
      <c r="BF416" s="1">
        <v>0</v>
      </c>
      <c r="BG416" s="1">
        <v>0</v>
      </c>
      <c r="BH416" s="1">
        <v>0</v>
      </c>
      <c r="BI416" s="1">
        <v>0</v>
      </c>
      <c r="BJ416" s="1">
        <v>0</v>
      </c>
      <c r="BK416" s="1">
        <v>0</v>
      </c>
      <c r="BL416" s="1">
        <v>0</v>
      </c>
      <c r="BM416" s="1">
        <v>0</v>
      </c>
      <c r="BN416" s="1">
        <v>0</v>
      </c>
      <c r="BO416" s="1">
        <v>0</v>
      </c>
      <c r="BP416" s="1">
        <v>0</v>
      </c>
      <c r="BQ416" s="2" t="str">
        <f>HYPERLINK("http://www.d20pfsrd.com/magic/all-spells/p/protection-from-good","Protection from Good")</f>
        <v>Protection from Good</v>
      </c>
      <c r="BR416" s="1">
        <v>417</v>
      </c>
      <c r="BS416" s="1" t="s">
        <v>104</v>
      </c>
      <c r="BT416" s="1" t="s">
        <v>2938</v>
      </c>
      <c r="BV416" s="1" t="s">
        <v>2939</v>
      </c>
      <c r="BX416" s="1">
        <v>1</v>
      </c>
      <c r="BY416" s="1">
        <v>1</v>
      </c>
      <c r="BZ416" s="1">
        <v>1</v>
      </c>
      <c r="CA416" s="1" t="s">
        <v>104</v>
      </c>
      <c r="CB416" s="1">
        <v>1</v>
      </c>
      <c r="CC416" s="1" t="s">
        <v>104</v>
      </c>
      <c r="CD416" s="1" t="s">
        <v>104</v>
      </c>
      <c r="CE416" s="1">
        <v>1</v>
      </c>
      <c r="CF416" s="1" t="s">
        <v>104</v>
      </c>
      <c r="CG416" s="1" t="s">
        <v>104</v>
      </c>
      <c r="CH416" s="1" t="s">
        <v>104</v>
      </c>
      <c r="CJ416" s="1">
        <v>0</v>
      </c>
      <c r="CK416" s="1">
        <v>0</v>
      </c>
      <c r="CL416" s="1">
        <v>0</v>
      </c>
      <c r="CM416" s="1">
        <v>1</v>
      </c>
    </row>
    <row r="417" spans="1:91" ht="14.25" customHeight="1" x14ac:dyDescent="0.3">
      <c r="A417" s="1" t="s">
        <v>2940</v>
      </c>
      <c r="B417" s="1" t="s">
        <v>162</v>
      </c>
      <c r="D417" s="1" t="s">
        <v>45</v>
      </c>
      <c r="E417" s="1" t="s">
        <v>2934</v>
      </c>
      <c r="F417" s="1" t="s">
        <v>95</v>
      </c>
      <c r="G417" s="1" t="s">
        <v>2922</v>
      </c>
      <c r="H417" s="1">
        <v>0</v>
      </c>
      <c r="I417" s="1" t="s">
        <v>128</v>
      </c>
      <c r="L417" s="1" t="s">
        <v>374</v>
      </c>
      <c r="M417" s="1" t="s">
        <v>437</v>
      </c>
      <c r="N417" s="1">
        <v>1</v>
      </c>
      <c r="O417" s="1">
        <v>0</v>
      </c>
      <c r="P417" s="1" t="s">
        <v>375</v>
      </c>
      <c r="Q417" s="1" t="s">
        <v>2376</v>
      </c>
      <c r="R417" s="1" t="s">
        <v>2941</v>
      </c>
      <c r="S417" s="1" t="s">
        <v>103</v>
      </c>
      <c r="T417" s="1">
        <v>1</v>
      </c>
      <c r="U417" s="1">
        <v>1</v>
      </c>
      <c r="V417" s="1">
        <v>1</v>
      </c>
      <c r="W417" s="1">
        <v>0</v>
      </c>
      <c r="X417" s="1">
        <v>1</v>
      </c>
      <c r="Y417" s="1">
        <v>1</v>
      </c>
      <c r="Z417" s="1">
        <v>1</v>
      </c>
      <c r="AA417" s="1">
        <v>1</v>
      </c>
      <c r="AB417" s="1" t="s">
        <v>104</v>
      </c>
      <c r="AC417" s="1" t="s">
        <v>104</v>
      </c>
      <c r="AD417" s="1" t="s">
        <v>104</v>
      </c>
      <c r="AE417" s="1" t="s">
        <v>104</v>
      </c>
      <c r="AF417" s="1" t="s">
        <v>104</v>
      </c>
      <c r="AG417" s="1">
        <v>1</v>
      </c>
      <c r="AH417" s="1" t="s">
        <v>104</v>
      </c>
      <c r="AI417" s="1">
        <v>1</v>
      </c>
      <c r="AJ417" s="1">
        <v>1</v>
      </c>
      <c r="AK417" s="1">
        <v>1</v>
      </c>
      <c r="AL417" s="1" t="s">
        <v>104</v>
      </c>
      <c r="AM417" s="1">
        <v>1</v>
      </c>
      <c r="AO417" s="1">
        <v>1</v>
      </c>
      <c r="AP417" s="1" t="s">
        <v>2942</v>
      </c>
      <c r="AQ417" s="1" t="s">
        <v>2937</v>
      </c>
      <c r="AR417" s="1">
        <v>0</v>
      </c>
      <c r="AS417" s="1">
        <v>0</v>
      </c>
      <c r="AT417" s="1">
        <v>1</v>
      </c>
      <c r="AU417" s="1">
        <v>0</v>
      </c>
      <c r="AV417" s="1">
        <v>0</v>
      </c>
      <c r="AW417" s="1">
        <v>0</v>
      </c>
      <c r="AX417" s="1">
        <v>0</v>
      </c>
      <c r="AY417" s="1">
        <v>0</v>
      </c>
      <c r="AZ417" s="1">
        <v>0</v>
      </c>
      <c r="BA417" s="1">
        <v>0</v>
      </c>
      <c r="BB417" s="1">
        <v>0</v>
      </c>
      <c r="BC417" s="1">
        <v>0</v>
      </c>
      <c r="BD417" s="1">
        <v>0</v>
      </c>
      <c r="BE417" s="1">
        <v>0</v>
      </c>
      <c r="BF417" s="1">
        <v>0</v>
      </c>
      <c r="BG417" s="1">
        <v>0</v>
      </c>
      <c r="BH417" s="1">
        <v>0</v>
      </c>
      <c r="BI417" s="1">
        <v>0</v>
      </c>
      <c r="BJ417" s="1">
        <v>0</v>
      </c>
      <c r="BK417" s="1">
        <v>0</v>
      </c>
      <c r="BL417" s="1">
        <v>0</v>
      </c>
      <c r="BM417" s="1">
        <v>0</v>
      </c>
      <c r="BN417" s="1">
        <v>0</v>
      </c>
      <c r="BO417" s="1">
        <v>0</v>
      </c>
      <c r="BP417" s="1">
        <v>0</v>
      </c>
      <c r="BQ417" s="2" t="str">
        <f>HYPERLINK("http://www.d20pfsrd.com/magic/all-spells/p/protection-from-law","Protection from Law")</f>
        <v>Protection from Law</v>
      </c>
      <c r="BR417" s="1">
        <v>418</v>
      </c>
      <c r="BS417" s="1" t="s">
        <v>104</v>
      </c>
      <c r="BV417" s="1" t="s">
        <v>2943</v>
      </c>
      <c r="BX417" s="1">
        <v>1</v>
      </c>
      <c r="BY417" s="1">
        <v>1</v>
      </c>
      <c r="BZ417" s="1">
        <v>1</v>
      </c>
      <c r="CA417" s="1" t="s">
        <v>104</v>
      </c>
      <c r="CB417" s="1">
        <v>1</v>
      </c>
      <c r="CC417" s="1" t="s">
        <v>104</v>
      </c>
      <c r="CD417" s="1" t="s">
        <v>104</v>
      </c>
      <c r="CE417" s="1">
        <v>1</v>
      </c>
      <c r="CF417" s="1" t="s">
        <v>104</v>
      </c>
      <c r="CG417" s="1" t="s">
        <v>104</v>
      </c>
      <c r="CH417" s="1" t="s">
        <v>104</v>
      </c>
      <c r="CJ417" s="1">
        <v>0</v>
      </c>
      <c r="CK417" s="1">
        <v>0</v>
      </c>
      <c r="CL417" s="1">
        <v>0</v>
      </c>
      <c r="CM417" s="1">
        <v>1</v>
      </c>
    </row>
    <row r="418" spans="1:91" ht="14.25" customHeight="1" x14ac:dyDescent="0.3">
      <c r="A418" s="1" t="s">
        <v>2944</v>
      </c>
      <c r="B418" s="1" t="s">
        <v>162</v>
      </c>
      <c r="E418" s="1" t="s">
        <v>415</v>
      </c>
      <c r="F418" s="1" t="s">
        <v>95</v>
      </c>
      <c r="G418" s="1" t="s">
        <v>2945</v>
      </c>
      <c r="H418" s="1">
        <v>1</v>
      </c>
      <c r="I418" s="1" t="s">
        <v>128</v>
      </c>
      <c r="L418" s="1" t="s">
        <v>2946</v>
      </c>
      <c r="M418" s="1" t="s">
        <v>140</v>
      </c>
      <c r="N418" s="1">
        <v>0</v>
      </c>
      <c r="O418" s="1">
        <v>0</v>
      </c>
      <c r="P418" s="1" t="s">
        <v>375</v>
      </c>
      <c r="Q418" s="1" t="s">
        <v>131</v>
      </c>
      <c r="R418" s="1" t="s">
        <v>2947</v>
      </c>
      <c r="S418" s="1" t="s">
        <v>103</v>
      </c>
      <c r="T418" s="1">
        <v>1</v>
      </c>
      <c r="U418" s="1">
        <v>1</v>
      </c>
      <c r="V418" s="1">
        <v>1</v>
      </c>
      <c r="W418" s="1">
        <v>1</v>
      </c>
      <c r="X418" s="1">
        <v>0</v>
      </c>
      <c r="Y418" s="1">
        <v>8</v>
      </c>
      <c r="Z418" s="1">
        <v>8</v>
      </c>
      <c r="AA418" s="1" t="s">
        <v>104</v>
      </c>
      <c r="AB418" s="1" t="s">
        <v>104</v>
      </c>
      <c r="AC418" s="1" t="s">
        <v>104</v>
      </c>
      <c r="AD418" s="1" t="s">
        <v>104</v>
      </c>
      <c r="AE418" s="1" t="s">
        <v>104</v>
      </c>
      <c r="AF418" s="1" t="s">
        <v>104</v>
      </c>
      <c r="AG418" s="1">
        <v>6</v>
      </c>
      <c r="AH418" s="1" t="s">
        <v>104</v>
      </c>
      <c r="AI418" s="1" t="s">
        <v>104</v>
      </c>
      <c r="AJ418" s="1" t="s">
        <v>104</v>
      </c>
      <c r="AK418" s="1" t="s">
        <v>104</v>
      </c>
      <c r="AL418" s="1" t="s">
        <v>104</v>
      </c>
      <c r="AM418" s="1" t="s">
        <v>104</v>
      </c>
      <c r="AO418" s="1">
        <v>8</v>
      </c>
      <c r="AP418" s="1" t="s">
        <v>2948</v>
      </c>
      <c r="AQ418" s="1" t="s">
        <v>2949</v>
      </c>
      <c r="AR418" s="1">
        <v>0</v>
      </c>
      <c r="AS418" s="1">
        <v>0</v>
      </c>
      <c r="AT418" s="1">
        <v>0</v>
      </c>
      <c r="AU418" s="1">
        <v>0</v>
      </c>
      <c r="AV418" s="1">
        <v>0</v>
      </c>
      <c r="AW418" s="1">
        <v>0</v>
      </c>
      <c r="AX418" s="1">
        <v>0</v>
      </c>
      <c r="AY418" s="1">
        <v>0</v>
      </c>
      <c r="AZ418" s="1">
        <v>0</v>
      </c>
      <c r="BA418" s="1">
        <v>0</v>
      </c>
      <c r="BB418" s="1">
        <v>0</v>
      </c>
      <c r="BC418" s="1">
        <v>0</v>
      </c>
      <c r="BD418" s="1">
        <v>0</v>
      </c>
      <c r="BE418" s="1">
        <v>0</v>
      </c>
      <c r="BF418" s="1">
        <v>0</v>
      </c>
      <c r="BG418" s="1">
        <v>0</v>
      </c>
      <c r="BH418" s="1">
        <v>0</v>
      </c>
      <c r="BI418" s="1">
        <v>0</v>
      </c>
      <c r="BJ418" s="1">
        <v>0</v>
      </c>
      <c r="BK418" s="1">
        <v>0</v>
      </c>
      <c r="BL418" s="1">
        <v>0</v>
      </c>
      <c r="BM418" s="1">
        <v>0</v>
      </c>
      <c r="BN418" s="1">
        <v>0</v>
      </c>
      <c r="BO418" s="1">
        <v>0</v>
      </c>
      <c r="BP418" s="1">
        <v>0</v>
      </c>
      <c r="BQ418" s="2" t="str">
        <f>HYPERLINK("http://www.d20pfsrd.com/magic/all-spells/p/protection-from-spells","Protection from Spells")</f>
        <v>Protection from Spells</v>
      </c>
      <c r="BR418" s="1">
        <v>419</v>
      </c>
      <c r="BS418" s="1">
        <v>500</v>
      </c>
      <c r="BU418" s="1" t="s">
        <v>2950</v>
      </c>
      <c r="BX418" s="1">
        <v>0</v>
      </c>
      <c r="BY418" s="1" t="s">
        <v>104</v>
      </c>
      <c r="BZ418" s="1" t="s">
        <v>104</v>
      </c>
      <c r="CA418" s="1">
        <v>8</v>
      </c>
      <c r="CB418" s="1" t="s">
        <v>104</v>
      </c>
      <c r="CC418" s="1" t="s">
        <v>104</v>
      </c>
      <c r="CD418" s="1" t="s">
        <v>104</v>
      </c>
      <c r="CE418" s="1" t="s">
        <v>104</v>
      </c>
      <c r="CF418" s="1" t="s">
        <v>104</v>
      </c>
      <c r="CG418" s="1" t="s">
        <v>104</v>
      </c>
      <c r="CH418" s="1" t="s">
        <v>104</v>
      </c>
      <c r="CJ418" s="1">
        <v>0</v>
      </c>
      <c r="CK418" s="1">
        <v>0</v>
      </c>
      <c r="CL418" s="1">
        <v>0</v>
      </c>
      <c r="CM418" s="1">
        <v>6</v>
      </c>
    </row>
    <row r="419" spans="1:91" ht="14.25" customHeight="1" x14ac:dyDescent="0.3">
      <c r="A419" s="1" t="s">
        <v>2951</v>
      </c>
      <c r="B419" s="1" t="s">
        <v>137</v>
      </c>
      <c r="E419" s="1" t="s">
        <v>2952</v>
      </c>
      <c r="F419" s="1" t="s">
        <v>95</v>
      </c>
      <c r="G419" s="1" t="s">
        <v>116</v>
      </c>
      <c r="H419" s="1">
        <v>0</v>
      </c>
      <c r="I419" s="1" t="s">
        <v>256</v>
      </c>
      <c r="L419" s="1" t="s">
        <v>2953</v>
      </c>
      <c r="M419" s="1" t="s">
        <v>119</v>
      </c>
      <c r="N419" s="1">
        <v>0</v>
      </c>
      <c r="O419" s="1">
        <v>0</v>
      </c>
      <c r="P419" s="1" t="s">
        <v>471</v>
      </c>
      <c r="Q419" s="1" t="s">
        <v>472</v>
      </c>
      <c r="R419" s="1" t="s">
        <v>2954</v>
      </c>
      <c r="S419" s="1" t="s">
        <v>103</v>
      </c>
      <c r="T419" s="1">
        <v>1</v>
      </c>
      <c r="U419" s="1">
        <v>1</v>
      </c>
      <c r="V419" s="1">
        <v>0</v>
      </c>
      <c r="W419" s="1">
        <v>0</v>
      </c>
      <c r="X419" s="1">
        <v>0</v>
      </c>
      <c r="Y419" s="1" t="s">
        <v>104</v>
      </c>
      <c r="Z419" s="1" t="s">
        <v>104</v>
      </c>
      <c r="AA419" s="1">
        <v>0</v>
      </c>
      <c r="AB419" s="1">
        <v>0</v>
      </c>
      <c r="AC419" s="1" t="s">
        <v>104</v>
      </c>
      <c r="AD419" s="1" t="s">
        <v>104</v>
      </c>
      <c r="AE419" s="1" t="s">
        <v>104</v>
      </c>
      <c r="AF419" s="1" t="s">
        <v>104</v>
      </c>
      <c r="AG419" s="1" t="s">
        <v>104</v>
      </c>
      <c r="AH419" s="1" t="s">
        <v>104</v>
      </c>
      <c r="AI419" s="1" t="s">
        <v>104</v>
      </c>
      <c r="AJ419" s="1">
        <v>0</v>
      </c>
      <c r="AK419" s="1" t="s">
        <v>104</v>
      </c>
      <c r="AL419" s="1" t="s">
        <v>104</v>
      </c>
      <c r="AM419" s="1">
        <v>0</v>
      </c>
      <c r="AO419" s="1">
        <v>0</v>
      </c>
      <c r="AQ419" s="1" t="s">
        <v>2955</v>
      </c>
      <c r="AR419" s="1">
        <v>0</v>
      </c>
      <c r="AS419" s="1">
        <v>0</v>
      </c>
      <c r="AT419" s="1">
        <v>0</v>
      </c>
      <c r="AU419" s="1">
        <v>0</v>
      </c>
      <c r="AV419" s="1">
        <v>0</v>
      </c>
      <c r="AW419" s="1">
        <v>0</v>
      </c>
      <c r="AX419" s="1">
        <v>0</v>
      </c>
      <c r="AY419" s="1">
        <v>0</v>
      </c>
      <c r="AZ419" s="1">
        <v>0</v>
      </c>
      <c r="BA419" s="1">
        <v>0</v>
      </c>
      <c r="BB419" s="1">
        <v>0</v>
      </c>
      <c r="BC419" s="1">
        <v>0</v>
      </c>
      <c r="BD419" s="1">
        <v>0</v>
      </c>
      <c r="BE419" s="1">
        <v>0</v>
      </c>
      <c r="BF419" s="1">
        <v>0</v>
      </c>
      <c r="BG419" s="1">
        <v>0</v>
      </c>
      <c r="BH419" s="1">
        <v>0</v>
      </c>
      <c r="BI419" s="1">
        <v>0</v>
      </c>
      <c r="BJ419" s="1">
        <v>0</v>
      </c>
      <c r="BK419" s="1">
        <v>0</v>
      </c>
      <c r="BL419" s="1">
        <v>0</v>
      </c>
      <c r="BM419" s="1">
        <v>0</v>
      </c>
      <c r="BN419" s="1">
        <v>0</v>
      </c>
      <c r="BO419" s="1">
        <v>0</v>
      </c>
      <c r="BP419" s="1">
        <v>0</v>
      </c>
      <c r="BQ419" s="2" t="str">
        <f>HYPERLINK("http://www.d20pfsrd.com/magic/all-spells/p/purify-food-and-drink","Purify Food and Drink")</f>
        <v>Purify Food and Drink</v>
      </c>
      <c r="BR419" s="1">
        <v>420</v>
      </c>
      <c r="BS419" s="1" t="s">
        <v>104</v>
      </c>
      <c r="BX419" s="1">
        <v>0</v>
      </c>
      <c r="BY419" s="1" t="s">
        <v>104</v>
      </c>
      <c r="BZ419" s="1">
        <v>0</v>
      </c>
      <c r="CA419" s="1" t="s">
        <v>104</v>
      </c>
      <c r="CB419" s="1" t="s">
        <v>104</v>
      </c>
      <c r="CC419" s="1" t="s">
        <v>104</v>
      </c>
      <c r="CD419" s="1">
        <v>0</v>
      </c>
      <c r="CE419" s="1" t="s">
        <v>104</v>
      </c>
      <c r="CF419" s="1" t="s">
        <v>104</v>
      </c>
      <c r="CG419" s="1" t="s">
        <v>104</v>
      </c>
      <c r="CH419" s="1">
        <v>0</v>
      </c>
      <c r="CJ419" s="1">
        <v>0</v>
      </c>
      <c r="CK419" s="1">
        <v>0</v>
      </c>
      <c r="CL419" s="1">
        <v>0</v>
      </c>
      <c r="CM419" s="1" t="s">
        <v>104</v>
      </c>
    </row>
    <row r="420" spans="1:91" ht="14.25" customHeight="1" x14ac:dyDescent="0.3">
      <c r="A420" s="1" t="s">
        <v>2956</v>
      </c>
      <c r="B420" s="1" t="s">
        <v>137</v>
      </c>
      <c r="E420" s="1" t="s">
        <v>2957</v>
      </c>
      <c r="F420" s="1" t="s">
        <v>95</v>
      </c>
      <c r="G420" s="1" t="s">
        <v>2958</v>
      </c>
      <c r="H420" s="1">
        <v>0</v>
      </c>
      <c r="I420" s="1" t="s">
        <v>97</v>
      </c>
      <c r="L420" s="1" t="s">
        <v>2959</v>
      </c>
      <c r="M420" s="1" t="s">
        <v>2960</v>
      </c>
      <c r="N420" s="1">
        <v>0</v>
      </c>
      <c r="O420" s="1">
        <v>0</v>
      </c>
      <c r="P420" s="1" t="s">
        <v>2961</v>
      </c>
      <c r="Q420" s="1" t="s">
        <v>2962</v>
      </c>
      <c r="R420" s="1" t="s">
        <v>2963</v>
      </c>
      <c r="S420" s="1" t="s">
        <v>103</v>
      </c>
      <c r="T420" s="1">
        <v>1</v>
      </c>
      <c r="U420" s="1">
        <v>1</v>
      </c>
      <c r="V420" s="1">
        <v>1</v>
      </c>
      <c r="W420" s="1">
        <v>0</v>
      </c>
      <c r="X420" s="1">
        <v>0</v>
      </c>
      <c r="Y420" s="1">
        <v>2</v>
      </c>
      <c r="Z420" s="1">
        <v>2</v>
      </c>
      <c r="AA420" s="1" t="s">
        <v>104</v>
      </c>
      <c r="AB420" s="1" t="s">
        <v>104</v>
      </c>
      <c r="AC420" s="1" t="s">
        <v>104</v>
      </c>
      <c r="AD420" s="1">
        <v>2</v>
      </c>
      <c r="AE420" s="1" t="s">
        <v>104</v>
      </c>
      <c r="AF420" s="1" t="s">
        <v>104</v>
      </c>
      <c r="AG420" s="1" t="s">
        <v>104</v>
      </c>
      <c r="AH420" s="1" t="s">
        <v>104</v>
      </c>
      <c r="AI420" s="1" t="s">
        <v>104</v>
      </c>
      <c r="AJ420" s="1" t="s">
        <v>104</v>
      </c>
      <c r="AK420" s="1" t="s">
        <v>104</v>
      </c>
      <c r="AL420" s="1">
        <v>2</v>
      </c>
      <c r="AM420" s="1" t="s">
        <v>104</v>
      </c>
      <c r="AO420" s="1">
        <v>2</v>
      </c>
      <c r="AP420" s="1" t="s">
        <v>2964</v>
      </c>
      <c r="AQ420" s="1" t="s">
        <v>2965</v>
      </c>
      <c r="AR420" s="1">
        <v>0</v>
      </c>
      <c r="AS420" s="1">
        <v>0</v>
      </c>
      <c r="AT420" s="1">
        <v>0</v>
      </c>
      <c r="AU420" s="1">
        <v>0</v>
      </c>
      <c r="AV420" s="1">
        <v>0</v>
      </c>
      <c r="AW420" s="1">
        <v>0</v>
      </c>
      <c r="AX420" s="1">
        <v>0</v>
      </c>
      <c r="AY420" s="1">
        <v>0</v>
      </c>
      <c r="AZ420" s="1">
        <v>0</v>
      </c>
      <c r="BA420" s="1">
        <v>0</v>
      </c>
      <c r="BB420" s="1">
        <v>0</v>
      </c>
      <c r="BC420" s="1">
        <v>0</v>
      </c>
      <c r="BD420" s="1">
        <v>0</v>
      </c>
      <c r="BE420" s="1">
        <v>0</v>
      </c>
      <c r="BF420" s="1">
        <v>0</v>
      </c>
      <c r="BG420" s="1">
        <v>0</v>
      </c>
      <c r="BH420" s="1">
        <v>0</v>
      </c>
      <c r="BI420" s="1">
        <v>0</v>
      </c>
      <c r="BJ420" s="1">
        <v>0</v>
      </c>
      <c r="BK420" s="1">
        <v>0</v>
      </c>
      <c r="BL420" s="1">
        <v>0</v>
      </c>
      <c r="BM420" s="1">
        <v>0</v>
      </c>
      <c r="BN420" s="1">
        <v>0</v>
      </c>
      <c r="BO420" s="1">
        <v>0</v>
      </c>
      <c r="BP420" s="1">
        <v>0</v>
      </c>
      <c r="BQ420" s="2" t="str">
        <f>HYPERLINK("http://www.d20pfsrd.com/magic/all-spells/p/pyrotechnics","Pyrotechnics")</f>
        <v>Pyrotechnics</v>
      </c>
      <c r="BR420" s="1">
        <v>421</v>
      </c>
      <c r="BS420" s="1" t="s">
        <v>104</v>
      </c>
      <c r="BX420" s="1">
        <v>0</v>
      </c>
      <c r="BY420" s="1">
        <v>2</v>
      </c>
      <c r="BZ420" s="1" t="s">
        <v>104</v>
      </c>
      <c r="CA420" s="1">
        <v>2</v>
      </c>
      <c r="CB420" s="1" t="s">
        <v>104</v>
      </c>
      <c r="CC420" s="1">
        <v>2</v>
      </c>
      <c r="CD420" s="1" t="s">
        <v>104</v>
      </c>
      <c r="CE420" s="1" t="s">
        <v>104</v>
      </c>
      <c r="CF420" s="1" t="s">
        <v>104</v>
      </c>
      <c r="CG420" s="1" t="s">
        <v>104</v>
      </c>
      <c r="CH420" s="1" t="s">
        <v>104</v>
      </c>
      <c r="CJ420" s="1">
        <v>0</v>
      </c>
      <c r="CK420" s="1">
        <v>0</v>
      </c>
      <c r="CL420" s="1">
        <v>0</v>
      </c>
      <c r="CM420" s="1" t="s">
        <v>104</v>
      </c>
    </row>
    <row r="421" spans="1:91" ht="14.25" customHeight="1" x14ac:dyDescent="0.3">
      <c r="A421" s="1" t="s">
        <v>2966</v>
      </c>
      <c r="B421" s="1" t="s">
        <v>137</v>
      </c>
      <c r="E421" s="1" t="s">
        <v>2967</v>
      </c>
      <c r="F421" s="1" t="s">
        <v>95</v>
      </c>
      <c r="G421" s="1" t="s">
        <v>127</v>
      </c>
      <c r="H421" s="1">
        <v>0</v>
      </c>
      <c r="I421" s="1" t="s">
        <v>109</v>
      </c>
      <c r="J421" s="1" t="s">
        <v>2968</v>
      </c>
      <c r="L421" s="1" t="s">
        <v>2969</v>
      </c>
      <c r="M421" s="1" t="s">
        <v>119</v>
      </c>
      <c r="N421" s="1">
        <v>0</v>
      </c>
      <c r="O421" s="1">
        <v>1</v>
      </c>
      <c r="P421" s="1" t="s">
        <v>2970</v>
      </c>
      <c r="Q421" s="1" t="s">
        <v>2971</v>
      </c>
      <c r="R421" s="1" t="s">
        <v>2972</v>
      </c>
      <c r="S421" s="1" t="s">
        <v>103</v>
      </c>
      <c r="T421" s="1">
        <v>1</v>
      </c>
      <c r="U421" s="1">
        <v>1</v>
      </c>
      <c r="V421" s="1">
        <v>0</v>
      </c>
      <c r="W421" s="1">
        <v>0</v>
      </c>
      <c r="X421" s="1">
        <v>1</v>
      </c>
      <c r="Y421" s="1" t="s">
        <v>104</v>
      </c>
      <c r="Z421" s="1" t="s">
        <v>104</v>
      </c>
      <c r="AA421" s="1" t="s">
        <v>104</v>
      </c>
      <c r="AB421" s="1">
        <v>3</v>
      </c>
      <c r="AC421" s="1" t="s">
        <v>104</v>
      </c>
      <c r="AD421" s="1" t="s">
        <v>104</v>
      </c>
      <c r="AE421" s="1" t="s">
        <v>104</v>
      </c>
      <c r="AF421" s="1" t="s">
        <v>104</v>
      </c>
      <c r="AG421" s="1" t="s">
        <v>104</v>
      </c>
      <c r="AH421" s="1" t="s">
        <v>104</v>
      </c>
      <c r="AI421" s="1" t="s">
        <v>104</v>
      </c>
      <c r="AJ421" s="1" t="s">
        <v>104</v>
      </c>
      <c r="AK421" s="1" t="s">
        <v>104</v>
      </c>
      <c r="AL421" s="1" t="s">
        <v>104</v>
      </c>
      <c r="AM421" s="1" t="s">
        <v>104</v>
      </c>
      <c r="AO421" s="1">
        <v>3</v>
      </c>
      <c r="AQ421" s="1" t="s">
        <v>2973</v>
      </c>
      <c r="AR421" s="1">
        <v>0</v>
      </c>
      <c r="AS421" s="1">
        <v>0</v>
      </c>
      <c r="AT421" s="1">
        <v>0</v>
      </c>
      <c r="AU421" s="1">
        <v>0</v>
      </c>
      <c r="AV421" s="1">
        <v>0</v>
      </c>
      <c r="AW421" s="1">
        <v>0</v>
      </c>
      <c r="AX421" s="1">
        <v>0</v>
      </c>
      <c r="AY421" s="1">
        <v>0</v>
      </c>
      <c r="AZ421" s="1">
        <v>0</v>
      </c>
      <c r="BA421" s="1">
        <v>0</v>
      </c>
      <c r="BB421" s="1">
        <v>0</v>
      </c>
      <c r="BC421" s="1">
        <v>0</v>
      </c>
      <c r="BD421" s="1">
        <v>0</v>
      </c>
      <c r="BE421" s="1">
        <v>0</v>
      </c>
      <c r="BF421" s="1">
        <v>0</v>
      </c>
      <c r="BG421" s="1">
        <v>0</v>
      </c>
      <c r="BH421" s="1">
        <v>0</v>
      </c>
      <c r="BI421" s="1">
        <v>0</v>
      </c>
      <c r="BJ421" s="1">
        <v>0</v>
      </c>
      <c r="BK421" s="1">
        <v>0</v>
      </c>
      <c r="BL421" s="1">
        <v>0</v>
      </c>
      <c r="BM421" s="1">
        <v>0</v>
      </c>
      <c r="BN421" s="1">
        <v>0</v>
      </c>
      <c r="BO421" s="1">
        <v>0</v>
      </c>
      <c r="BP421" s="1">
        <v>0</v>
      </c>
      <c r="BQ421" s="2" t="str">
        <f>HYPERLINK("http://www.d20pfsrd.com/magic/all-spells/q/quench","Quench")</f>
        <v>Quench</v>
      </c>
      <c r="BR421" s="1">
        <v>422</v>
      </c>
      <c r="BS421" s="1" t="s">
        <v>104</v>
      </c>
      <c r="BX421" s="1">
        <v>0</v>
      </c>
      <c r="BY421" s="1" t="s">
        <v>104</v>
      </c>
      <c r="BZ421" s="1" t="s">
        <v>104</v>
      </c>
      <c r="CA421" s="1" t="s">
        <v>104</v>
      </c>
      <c r="CB421" s="1" t="s">
        <v>104</v>
      </c>
      <c r="CC421" s="1" t="s">
        <v>104</v>
      </c>
      <c r="CD421" s="1" t="s">
        <v>104</v>
      </c>
      <c r="CE421" s="1" t="s">
        <v>104</v>
      </c>
      <c r="CF421" s="1" t="s">
        <v>104</v>
      </c>
      <c r="CG421" s="1" t="s">
        <v>104</v>
      </c>
      <c r="CH421" s="1">
        <v>3</v>
      </c>
      <c r="CJ421" s="1">
        <v>0</v>
      </c>
      <c r="CK421" s="1">
        <v>0</v>
      </c>
      <c r="CL421" s="1">
        <v>0</v>
      </c>
      <c r="CM421" s="1" t="s">
        <v>104</v>
      </c>
    </row>
    <row r="422" spans="1:91" ht="14.25" customHeight="1" x14ac:dyDescent="0.3">
      <c r="A422" s="1" t="s">
        <v>2974</v>
      </c>
      <c r="B422" s="1" t="s">
        <v>123</v>
      </c>
      <c r="C422" s="1" t="s">
        <v>124</v>
      </c>
      <c r="D422" s="1" t="s">
        <v>271</v>
      </c>
      <c r="E422" s="1" t="s">
        <v>2975</v>
      </c>
      <c r="F422" s="1" t="s">
        <v>95</v>
      </c>
      <c r="G422" s="1" t="s">
        <v>116</v>
      </c>
      <c r="H422" s="1">
        <v>0</v>
      </c>
      <c r="I422" s="1" t="s">
        <v>109</v>
      </c>
      <c r="L422" s="1" t="s">
        <v>2976</v>
      </c>
      <c r="M422" s="1" t="s">
        <v>2313</v>
      </c>
      <c r="N422" s="1">
        <v>1</v>
      </c>
      <c r="O422" s="1">
        <v>0</v>
      </c>
      <c r="P422" s="1" t="s">
        <v>100</v>
      </c>
      <c r="Q422" s="1" t="s">
        <v>184</v>
      </c>
      <c r="R422" s="1" t="s">
        <v>2977</v>
      </c>
      <c r="S422" s="1" t="s">
        <v>103</v>
      </c>
      <c r="T422" s="1">
        <v>1</v>
      </c>
      <c r="U422" s="1">
        <v>1</v>
      </c>
      <c r="V422" s="1">
        <v>0</v>
      </c>
      <c r="W422" s="1">
        <v>0</v>
      </c>
      <c r="X422" s="1">
        <v>0</v>
      </c>
      <c r="Y422" s="1">
        <v>3</v>
      </c>
      <c r="Z422" s="1">
        <v>3</v>
      </c>
      <c r="AA422" s="1" t="s">
        <v>104</v>
      </c>
      <c r="AB422" s="1" t="s">
        <v>104</v>
      </c>
      <c r="AC422" s="1" t="s">
        <v>104</v>
      </c>
      <c r="AD422" s="1">
        <v>2</v>
      </c>
      <c r="AE422" s="1" t="s">
        <v>104</v>
      </c>
      <c r="AF422" s="1">
        <v>3</v>
      </c>
      <c r="AG422" s="1">
        <v>3</v>
      </c>
      <c r="AH422" s="1">
        <v>3</v>
      </c>
      <c r="AI422" s="1" t="s">
        <v>104</v>
      </c>
      <c r="AJ422" s="1" t="s">
        <v>104</v>
      </c>
      <c r="AK422" s="1" t="s">
        <v>104</v>
      </c>
      <c r="AL422" s="1" t="s">
        <v>104</v>
      </c>
      <c r="AM422" s="1" t="s">
        <v>104</v>
      </c>
      <c r="AO422" s="1">
        <v>3</v>
      </c>
      <c r="AP422" s="1" t="s">
        <v>2978</v>
      </c>
      <c r="AQ422" s="1" t="s">
        <v>2979</v>
      </c>
      <c r="AR422" s="1">
        <v>0</v>
      </c>
      <c r="AS422" s="1">
        <v>0</v>
      </c>
      <c r="AT422" s="1">
        <v>0</v>
      </c>
      <c r="AU422" s="1">
        <v>0</v>
      </c>
      <c r="AV422" s="1">
        <v>0</v>
      </c>
      <c r="AW422" s="1">
        <v>0</v>
      </c>
      <c r="AX422" s="1">
        <v>0</v>
      </c>
      <c r="AY422" s="1">
        <v>0</v>
      </c>
      <c r="AZ422" s="1">
        <v>0</v>
      </c>
      <c r="BA422" s="1">
        <v>0</v>
      </c>
      <c r="BB422" s="1">
        <v>1</v>
      </c>
      <c r="BC422" s="1">
        <v>0</v>
      </c>
      <c r="BD422" s="1">
        <v>0</v>
      </c>
      <c r="BE422" s="1">
        <v>0</v>
      </c>
      <c r="BF422" s="1">
        <v>0</v>
      </c>
      <c r="BG422" s="1">
        <v>0</v>
      </c>
      <c r="BH422" s="1">
        <v>0</v>
      </c>
      <c r="BI422" s="1">
        <v>0</v>
      </c>
      <c r="BJ422" s="1">
        <v>0</v>
      </c>
      <c r="BK422" s="1">
        <v>1</v>
      </c>
      <c r="BL422" s="1">
        <v>0</v>
      </c>
      <c r="BM422" s="1">
        <v>0</v>
      </c>
      <c r="BN422" s="1">
        <v>0</v>
      </c>
      <c r="BO422" s="1">
        <v>0</v>
      </c>
      <c r="BP422" s="1">
        <v>0</v>
      </c>
      <c r="BQ422" s="2" t="str">
        <f>HYPERLINK("http://www.d20pfsrd.com/magic/all-spells/r/rage","Rage")</f>
        <v>Rage</v>
      </c>
      <c r="BR422" s="1">
        <v>423</v>
      </c>
      <c r="BS422" s="1" t="s">
        <v>104</v>
      </c>
      <c r="BT422" s="1" t="s">
        <v>2980</v>
      </c>
      <c r="BX422" s="1">
        <v>0</v>
      </c>
      <c r="BY422" s="1">
        <v>3</v>
      </c>
      <c r="BZ422" s="1" t="s">
        <v>104</v>
      </c>
      <c r="CA422" s="1">
        <v>3</v>
      </c>
      <c r="CB422" s="1" t="s">
        <v>104</v>
      </c>
      <c r="CC422" s="1">
        <v>2</v>
      </c>
      <c r="CD422" s="1" t="s">
        <v>104</v>
      </c>
      <c r="CE422" s="1" t="s">
        <v>104</v>
      </c>
      <c r="CF422" s="1" t="s">
        <v>104</v>
      </c>
      <c r="CG422" s="1" t="s">
        <v>104</v>
      </c>
      <c r="CH422" s="1" t="s">
        <v>104</v>
      </c>
      <c r="CJ422" s="1">
        <v>0</v>
      </c>
      <c r="CK422" s="1">
        <v>0</v>
      </c>
      <c r="CL422" s="1">
        <v>0</v>
      </c>
      <c r="CM422" s="1">
        <v>3</v>
      </c>
    </row>
    <row r="423" spans="1:91" ht="14.25" customHeight="1" x14ac:dyDescent="0.3">
      <c r="A423" s="1" t="s">
        <v>2981</v>
      </c>
      <c r="B423" s="1" t="s">
        <v>507</v>
      </c>
      <c r="C423" s="1" t="s">
        <v>720</v>
      </c>
      <c r="D423" s="1" t="s">
        <v>125</v>
      </c>
      <c r="E423" s="1" t="s">
        <v>2982</v>
      </c>
      <c r="F423" s="1" t="s">
        <v>95</v>
      </c>
      <c r="G423" s="1" t="s">
        <v>2983</v>
      </c>
      <c r="H423" s="1">
        <v>0</v>
      </c>
      <c r="I423" s="1" t="s">
        <v>109</v>
      </c>
      <c r="K423" s="1" t="s">
        <v>2984</v>
      </c>
      <c r="M423" s="1" t="s">
        <v>2985</v>
      </c>
      <c r="N423" s="1">
        <v>1</v>
      </c>
      <c r="O423" s="1">
        <v>0</v>
      </c>
      <c r="P423" s="1" t="s">
        <v>211</v>
      </c>
      <c r="Q423" s="1" t="s">
        <v>184</v>
      </c>
      <c r="R423" s="1" t="s">
        <v>2986</v>
      </c>
      <c r="S423" s="1" t="s">
        <v>103</v>
      </c>
      <c r="T423" s="1">
        <v>1</v>
      </c>
      <c r="U423" s="1">
        <v>1</v>
      </c>
      <c r="V423" s="1">
        <v>1</v>
      </c>
      <c r="W423" s="1">
        <v>1</v>
      </c>
      <c r="X423" s="1">
        <v>0</v>
      </c>
      <c r="Y423" s="1">
        <v>4</v>
      </c>
      <c r="Z423" s="1">
        <v>4</v>
      </c>
      <c r="AA423" s="1" t="s">
        <v>104</v>
      </c>
      <c r="AB423" s="1" t="s">
        <v>104</v>
      </c>
      <c r="AC423" s="1" t="s">
        <v>104</v>
      </c>
      <c r="AD423" s="1">
        <v>4</v>
      </c>
      <c r="AE423" s="1" t="s">
        <v>104</v>
      </c>
      <c r="AF423" s="1" t="s">
        <v>104</v>
      </c>
      <c r="AG423" s="1" t="s">
        <v>104</v>
      </c>
      <c r="AH423" s="1" t="s">
        <v>104</v>
      </c>
      <c r="AI423" s="1" t="s">
        <v>104</v>
      </c>
      <c r="AJ423" s="1" t="s">
        <v>104</v>
      </c>
      <c r="AK423" s="1" t="s">
        <v>104</v>
      </c>
      <c r="AL423" s="1" t="s">
        <v>104</v>
      </c>
      <c r="AM423" s="1" t="s">
        <v>104</v>
      </c>
      <c r="AO423" s="1">
        <v>4</v>
      </c>
      <c r="AQ423" s="1" t="s">
        <v>2987</v>
      </c>
      <c r="AR423" s="1">
        <v>0</v>
      </c>
      <c r="AS423" s="1">
        <v>0</v>
      </c>
      <c r="AT423" s="1">
        <v>0</v>
      </c>
      <c r="AU423" s="1">
        <v>0</v>
      </c>
      <c r="AV423" s="1">
        <v>0</v>
      </c>
      <c r="AW423" s="1">
        <v>0</v>
      </c>
      <c r="AX423" s="1">
        <v>0</v>
      </c>
      <c r="AY423" s="1">
        <v>0</v>
      </c>
      <c r="AZ423" s="1">
        <v>0</v>
      </c>
      <c r="BA423" s="1">
        <v>0</v>
      </c>
      <c r="BB423" s="1">
        <v>0</v>
      </c>
      <c r="BC423" s="1">
        <v>0</v>
      </c>
      <c r="BD423" s="1">
        <v>0</v>
      </c>
      <c r="BE423" s="1">
        <v>0</v>
      </c>
      <c r="BF423" s="1">
        <v>0</v>
      </c>
      <c r="BG423" s="1">
        <v>0</v>
      </c>
      <c r="BH423" s="1">
        <v>0</v>
      </c>
      <c r="BI423" s="1">
        <v>0</v>
      </c>
      <c r="BJ423" s="1">
        <v>0</v>
      </c>
      <c r="BK423" s="1">
        <v>1</v>
      </c>
      <c r="BL423" s="1">
        <v>0</v>
      </c>
      <c r="BM423" s="1">
        <v>0</v>
      </c>
      <c r="BN423" s="1">
        <v>0</v>
      </c>
      <c r="BO423" s="1">
        <v>0</v>
      </c>
      <c r="BP423" s="1">
        <v>0</v>
      </c>
      <c r="BQ423" s="2" t="str">
        <f>HYPERLINK("http://www.d20pfsrd.com/magic/all-spells/r/rainbow-pattern","Rainbow Pattern")</f>
        <v>Rainbow Pattern</v>
      </c>
      <c r="BR423" s="1">
        <v>424</v>
      </c>
      <c r="BS423" s="1" t="s">
        <v>104</v>
      </c>
      <c r="BU423" s="1" t="s">
        <v>2988</v>
      </c>
      <c r="BX423" s="1">
        <v>0</v>
      </c>
      <c r="BY423" s="1" t="s">
        <v>104</v>
      </c>
      <c r="BZ423" s="1" t="s">
        <v>104</v>
      </c>
      <c r="CA423" s="1">
        <v>4</v>
      </c>
      <c r="CB423" s="1" t="s">
        <v>104</v>
      </c>
      <c r="CC423" s="1" t="s">
        <v>104</v>
      </c>
      <c r="CD423" s="1" t="s">
        <v>104</v>
      </c>
      <c r="CE423" s="1" t="s">
        <v>104</v>
      </c>
      <c r="CF423" s="1" t="s">
        <v>104</v>
      </c>
      <c r="CG423" s="1" t="s">
        <v>104</v>
      </c>
      <c r="CH423" s="1" t="s">
        <v>104</v>
      </c>
      <c r="CJ423" s="1">
        <v>0</v>
      </c>
      <c r="CK423" s="1">
        <v>0</v>
      </c>
      <c r="CL423" s="1">
        <v>0</v>
      </c>
      <c r="CM423" s="1" t="s">
        <v>104</v>
      </c>
    </row>
    <row r="424" spans="1:91" ht="14.25" customHeight="1" x14ac:dyDescent="0.3">
      <c r="A424" s="1" t="s">
        <v>2989</v>
      </c>
      <c r="B424" s="1" t="s">
        <v>92</v>
      </c>
      <c r="C424" s="1" t="s">
        <v>523</v>
      </c>
      <c r="E424" s="1" t="s">
        <v>2990</v>
      </c>
      <c r="F424" s="1" t="s">
        <v>191</v>
      </c>
      <c r="G424" s="1" t="s">
        <v>2991</v>
      </c>
      <c r="H424" s="1">
        <v>1</v>
      </c>
      <c r="I424" s="1" t="s">
        <v>128</v>
      </c>
      <c r="L424" s="1" t="s">
        <v>2992</v>
      </c>
      <c r="M424" s="1" t="s">
        <v>119</v>
      </c>
      <c r="N424" s="1">
        <v>0</v>
      </c>
      <c r="O424" s="1">
        <v>0</v>
      </c>
      <c r="P424" s="1" t="s">
        <v>195</v>
      </c>
      <c r="Q424" s="1" t="s">
        <v>131</v>
      </c>
      <c r="R424" s="1" t="s">
        <v>2993</v>
      </c>
      <c r="S424" s="1" t="s">
        <v>103</v>
      </c>
      <c r="T424" s="1">
        <v>1</v>
      </c>
      <c r="U424" s="1">
        <v>1</v>
      </c>
      <c r="V424" s="1">
        <v>1</v>
      </c>
      <c r="W424" s="1">
        <v>0</v>
      </c>
      <c r="X424" s="1">
        <v>1</v>
      </c>
      <c r="Y424" s="1" t="s">
        <v>104</v>
      </c>
      <c r="Z424" s="1" t="s">
        <v>104</v>
      </c>
      <c r="AA424" s="1">
        <v>5</v>
      </c>
      <c r="AB424" s="1" t="s">
        <v>104</v>
      </c>
      <c r="AC424" s="1" t="s">
        <v>104</v>
      </c>
      <c r="AD424" s="1" t="s">
        <v>104</v>
      </c>
      <c r="AE424" s="1" t="s">
        <v>104</v>
      </c>
      <c r="AF424" s="1" t="s">
        <v>104</v>
      </c>
      <c r="AG424" s="1" t="s">
        <v>104</v>
      </c>
      <c r="AH424" s="1">
        <v>6</v>
      </c>
      <c r="AI424" s="1" t="s">
        <v>104</v>
      </c>
      <c r="AJ424" s="1">
        <v>5</v>
      </c>
      <c r="AK424" s="1" t="s">
        <v>104</v>
      </c>
      <c r="AL424" s="1" t="s">
        <v>104</v>
      </c>
      <c r="AM424" s="1">
        <v>5</v>
      </c>
      <c r="AO424" s="1">
        <v>5</v>
      </c>
      <c r="AP424" s="1" t="s">
        <v>2994</v>
      </c>
      <c r="AQ424" s="1" t="s">
        <v>2995</v>
      </c>
      <c r="AR424" s="1">
        <v>0</v>
      </c>
      <c r="AS424" s="1">
        <v>0</v>
      </c>
      <c r="AT424" s="1">
        <v>0</v>
      </c>
      <c r="AU424" s="1">
        <v>0</v>
      </c>
      <c r="AV424" s="1">
        <v>0</v>
      </c>
      <c r="AW424" s="1">
        <v>0</v>
      </c>
      <c r="AX424" s="1">
        <v>0</v>
      </c>
      <c r="AY424" s="1">
        <v>0</v>
      </c>
      <c r="AZ424" s="1">
        <v>0</v>
      </c>
      <c r="BA424" s="1">
        <v>0</v>
      </c>
      <c r="BB424" s="1">
        <v>0</v>
      </c>
      <c r="BC424" s="1">
        <v>0</v>
      </c>
      <c r="BD424" s="1">
        <v>0</v>
      </c>
      <c r="BE424" s="1">
        <v>0</v>
      </c>
      <c r="BF424" s="1">
        <v>0</v>
      </c>
      <c r="BG424" s="1">
        <v>0</v>
      </c>
      <c r="BH424" s="1">
        <v>0</v>
      </c>
      <c r="BI424" s="1">
        <v>0</v>
      </c>
      <c r="BJ424" s="1">
        <v>0</v>
      </c>
      <c r="BK424" s="1">
        <v>0</v>
      </c>
      <c r="BL424" s="1">
        <v>0</v>
      </c>
      <c r="BM424" s="1">
        <v>0</v>
      </c>
      <c r="BN424" s="1">
        <v>0</v>
      </c>
      <c r="BO424" s="1">
        <v>0</v>
      </c>
      <c r="BP424" s="1">
        <v>0</v>
      </c>
      <c r="BQ424" s="2" t="str">
        <f>HYPERLINK("http://www.d20pfsrd.com/magic/all-spells/r/raise-dead","Raise Dead")</f>
        <v>Raise Dead</v>
      </c>
      <c r="BR424" s="1">
        <v>425</v>
      </c>
      <c r="BS424" s="1">
        <v>5000</v>
      </c>
      <c r="BX424" s="1">
        <v>0</v>
      </c>
      <c r="BY424" s="1" t="s">
        <v>104</v>
      </c>
      <c r="BZ424" s="1">
        <v>6</v>
      </c>
      <c r="CA424" s="1" t="s">
        <v>104</v>
      </c>
      <c r="CB424" s="1" t="s">
        <v>104</v>
      </c>
      <c r="CC424" s="1" t="s">
        <v>104</v>
      </c>
      <c r="CD424" s="1" t="s">
        <v>104</v>
      </c>
      <c r="CE424" s="1">
        <v>5</v>
      </c>
      <c r="CF424" s="1" t="s">
        <v>104</v>
      </c>
      <c r="CG424" s="1" t="s">
        <v>104</v>
      </c>
      <c r="CH424" s="1" t="s">
        <v>104</v>
      </c>
      <c r="CJ424" s="1">
        <v>0</v>
      </c>
      <c r="CK424" s="1">
        <v>0</v>
      </c>
      <c r="CL424" s="1">
        <v>0</v>
      </c>
      <c r="CM424" s="1" t="s">
        <v>104</v>
      </c>
    </row>
    <row r="425" spans="1:91" ht="14.25" customHeight="1" x14ac:dyDescent="0.3">
      <c r="A425" s="1" t="s">
        <v>2996</v>
      </c>
      <c r="B425" s="1" t="s">
        <v>216</v>
      </c>
      <c r="E425" s="1" t="s">
        <v>2997</v>
      </c>
      <c r="F425" s="1" t="s">
        <v>95</v>
      </c>
      <c r="G425" s="1" t="s">
        <v>116</v>
      </c>
      <c r="H425" s="1">
        <v>0</v>
      </c>
      <c r="I425" s="1" t="s">
        <v>117</v>
      </c>
      <c r="K425" s="1" t="s">
        <v>1148</v>
      </c>
      <c r="M425" s="1" t="s">
        <v>111</v>
      </c>
      <c r="N425" s="1">
        <v>0</v>
      </c>
      <c r="O425" s="1">
        <v>0</v>
      </c>
      <c r="P425" s="1" t="s">
        <v>2051</v>
      </c>
      <c r="Q425" s="1" t="s">
        <v>184</v>
      </c>
      <c r="R425" s="1" t="s">
        <v>2998</v>
      </c>
      <c r="S425" s="1" t="s">
        <v>103</v>
      </c>
      <c r="T425" s="1">
        <v>1</v>
      </c>
      <c r="U425" s="1">
        <v>1</v>
      </c>
      <c r="V425" s="1">
        <v>0</v>
      </c>
      <c r="W425" s="1">
        <v>0</v>
      </c>
      <c r="X425" s="1">
        <v>0</v>
      </c>
      <c r="Y425" s="1">
        <v>1</v>
      </c>
      <c r="Z425" s="1">
        <v>1</v>
      </c>
      <c r="AA425" s="1" t="s">
        <v>104</v>
      </c>
      <c r="AB425" s="1" t="s">
        <v>104</v>
      </c>
      <c r="AC425" s="1" t="s">
        <v>104</v>
      </c>
      <c r="AD425" s="1" t="s">
        <v>104</v>
      </c>
      <c r="AE425" s="1" t="s">
        <v>104</v>
      </c>
      <c r="AF425" s="1" t="s">
        <v>104</v>
      </c>
      <c r="AG425" s="1" t="s">
        <v>104</v>
      </c>
      <c r="AH425" s="1">
        <v>1</v>
      </c>
      <c r="AI425" s="1" t="s">
        <v>104</v>
      </c>
      <c r="AJ425" s="1" t="s">
        <v>104</v>
      </c>
      <c r="AK425" s="1" t="s">
        <v>104</v>
      </c>
      <c r="AL425" s="1">
        <v>1</v>
      </c>
      <c r="AM425" s="1" t="s">
        <v>104</v>
      </c>
      <c r="AO425" s="1">
        <v>1</v>
      </c>
      <c r="AQ425" s="1" t="s">
        <v>2999</v>
      </c>
      <c r="AR425" s="1">
        <v>0</v>
      </c>
      <c r="AS425" s="1">
        <v>0</v>
      </c>
      <c r="AT425" s="1">
        <v>0</v>
      </c>
      <c r="AU425" s="1">
        <v>0</v>
      </c>
      <c r="AV425" s="1">
        <v>0</v>
      </c>
      <c r="AW425" s="1">
        <v>0</v>
      </c>
      <c r="AX425" s="1">
        <v>0</v>
      </c>
      <c r="AY425" s="1">
        <v>0</v>
      </c>
      <c r="AZ425" s="1">
        <v>0</v>
      </c>
      <c r="BA425" s="1">
        <v>0</v>
      </c>
      <c r="BB425" s="1">
        <v>0</v>
      </c>
      <c r="BC425" s="1">
        <v>0</v>
      </c>
      <c r="BD425" s="1">
        <v>0</v>
      </c>
      <c r="BE425" s="1">
        <v>0</v>
      </c>
      <c r="BF425" s="1">
        <v>0</v>
      </c>
      <c r="BG425" s="1">
        <v>0</v>
      </c>
      <c r="BH425" s="1">
        <v>0</v>
      </c>
      <c r="BI425" s="1">
        <v>0</v>
      </c>
      <c r="BJ425" s="1">
        <v>0</v>
      </c>
      <c r="BK425" s="1">
        <v>0</v>
      </c>
      <c r="BL425" s="1">
        <v>0</v>
      </c>
      <c r="BM425" s="1">
        <v>0</v>
      </c>
      <c r="BN425" s="1">
        <v>0</v>
      </c>
      <c r="BO425" s="1">
        <v>0</v>
      </c>
      <c r="BP425" s="1">
        <v>0</v>
      </c>
      <c r="BQ425" s="2" t="str">
        <f>HYPERLINK("http://www.d20pfsrd.com/magic/all-spells/r/ray-of-enfeeblement","Ray of Enfeeblement")</f>
        <v>Ray of Enfeeblement</v>
      </c>
      <c r="BR425" s="1">
        <v>426</v>
      </c>
      <c r="BS425" s="1" t="s">
        <v>104</v>
      </c>
      <c r="BT425" s="1" t="s">
        <v>3000</v>
      </c>
      <c r="BV425" s="1" t="s">
        <v>3001</v>
      </c>
      <c r="BX425" s="1">
        <v>1</v>
      </c>
      <c r="BY425" s="1">
        <v>1</v>
      </c>
      <c r="BZ425" s="1" t="s">
        <v>104</v>
      </c>
      <c r="CA425" s="1" t="s">
        <v>104</v>
      </c>
      <c r="CB425" s="1" t="s">
        <v>104</v>
      </c>
      <c r="CC425" s="1">
        <v>1</v>
      </c>
      <c r="CD425" s="1" t="s">
        <v>104</v>
      </c>
      <c r="CE425" s="1" t="s">
        <v>104</v>
      </c>
      <c r="CF425" s="1" t="s">
        <v>104</v>
      </c>
      <c r="CG425" s="1" t="s">
        <v>104</v>
      </c>
      <c r="CH425" s="1" t="s">
        <v>104</v>
      </c>
      <c r="CJ425" s="1">
        <v>0</v>
      </c>
      <c r="CK425" s="1">
        <v>0</v>
      </c>
      <c r="CL425" s="1">
        <v>0</v>
      </c>
      <c r="CM425" s="1" t="s">
        <v>104</v>
      </c>
    </row>
    <row r="426" spans="1:91" ht="14.25" customHeight="1" x14ac:dyDescent="0.3">
      <c r="A426" s="1" t="s">
        <v>3002</v>
      </c>
      <c r="B426" s="1" t="s">
        <v>216</v>
      </c>
      <c r="E426" s="1" t="s">
        <v>3003</v>
      </c>
      <c r="F426" s="1" t="s">
        <v>95</v>
      </c>
      <c r="G426" s="1" t="s">
        <v>3004</v>
      </c>
      <c r="H426" s="1">
        <v>0</v>
      </c>
      <c r="I426" s="1" t="s">
        <v>117</v>
      </c>
      <c r="K426" s="1" t="s">
        <v>1148</v>
      </c>
      <c r="M426" s="1" t="s">
        <v>130</v>
      </c>
      <c r="N426" s="1">
        <v>0</v>
      </c>
      <c r="O426" s="1">
        <v>0</v>
      </c>
      <c r="P426" s="1" t="s">
        <v>712</v>
      </c>
      <c r="Q426" s="1" t="s">
        <v>184</v>
      </c>
      <c r="R426" s="1" t="s">
        <v>3005</v>
      </c>
      <c r="S426" s="1" t="s">
        <v>103</v>
      </c>
      <c r="T426" s="1">
        <v>1</v>
      </c>
      <c r="U426" s="1">
        <v>1</v>
      </c>
      <c r="V426" s="1">
        <v>1</v>
      </c>
      <c r="W426" s="1">
        <v>0</v>
      </c>
      <c r="X426" s="1">
        <v>0</v>
      </c>
      <c r="Y426" s="1">
        <v>3</v>
      </c>
      <c r="Z426" s="1">
        <v>3</v>
      </c>
      <c r="AA426" s="1" t="s">
        <v>104</v>
      </c>
      <c r="AB426" s="1" t="s">
        <v>104</v>
      </c>
      <c r="AC426" s="1" t="s">
        <v>104</v>
      </c>
      <c r="AD426" s="1" t="s">
        <v>104</v>
      </c>
      <c r="AE426" s="1" t="s">
        <v>104</v>
      </c>
      <c r="AF426" s="1" t="s">
        <v>104</v>
      </c>
      <c r="AG426" s="1" t="s">
        <v>104</v>
      </c>
      <c r="AH426" s="1">
        <v>3</v>
      </c>
      <c r="AI426" s="1" t="s">
        <v>104</v>
      </c>
      <c r="AJ426" s="1" t="s">
        <v>104</v>
      </c>
      <c r="AK426" s="1" t="s">
        <v>104</v>
      </c>
      <c r="AL426" s="1">
        <v>3</v>
      </c>
      <c r="AM426" s="1" t="s">
        <v>104</v>
      </c>
      <c r="AO426" s="1">
        <v>3</v>
      </c>
      <c r="AQ426" s="1" t="s">
        <v>3006</v>
      </c>
      <c r="AR426" s="1">
        <v>0</v>
      </c>
      <c r="AS426" s="1">
        <v>0</v>
      </c>
      <c r="AT426" s="1">
        <v>0</v>
      </c>
      <c r="AU426" s="1">
        <v>0</v>
      </c>
      <c r="AV426" s="1">
        <v>0</v>
      </c>
      <c r="AW426" s="1">
        <v>0</v>
      </c>
      <c r="AX426" s="1">
        <v>0</v>
      </c>
      <c r="AY426" s="1">
        <v>0</v>
      </c>
      <c r="AZ426" s="1">
        <v>0</v>
      </c>
      <c r="BA426" s="1">
        <v>0</v>
      </c>
      <c r="BB426" s="1">
        <v>0</v>
      </c>
      <c r="BC426" s="1">
        <v>0</v>
      </c>
      <c r="BD426" s="1">
        <v>0</v>
      </c>
      <c r="BE426" s="1">
        <v>0</v>
      </c>
      <c r="BF426" s="1">
        <v>0</v>
      </c>
      <c r="BG426" s="1">
        <v>0</v>
      </c>
      <c r="BH426" s="1">
        <v>0</v>
      </c>
      <c r="BI426" s="1">
        <v>0</v>
      </c>
      <c r="BJ426" s="1">
        <v>0</v>
      </c>
      <c r="BK426" s="1">
        <v>0</v>
      </c>
      <c r="BL426" s="1">
        <v>0</v>
      </c>
      <c r="BM426" s="1">
        <v>0</v>
      </c>
      <c r="BN426" s="1">
        <v>0</v>
      </c>
      <c r="BO426" s="1">
        <v>0</v>
      </c>
      <c r="BP426" s="1">
        <v>0</v>
      </c>
      <c r="BQ426" s="2" t="str">
        <f>HYPERLINK("http://www.d20pfsrd.com/magic/all-spells/r/ray-of-exhaustion","Ray of Exhaustion")</f>
        <v>Ray of Exhaustion</v>
      </c>
      <c r="BR426" s="1">
        <v>427</v>
      </c>
      <c r="BS426" s="1" t="s">
        <v>104</v>
      </c>
      <c r="BT426" s="1" t="s">
        <v>3007</v>
      </c>
      <c r="BX426" s="1">
        <v>0</v>
      </c>
      <c r="BY426" s="1">
        <v>3</v>
      </c>
      <c r="BZ426" s="1" t="s">
        <v>104</v>
      </c>
      <c r="CA426" s="1" t="s">
        <v>104</v>
      </c>
      <c r="CB426" s="1" t="s">
        <v>104</v>
      </c>
      <c r="CC426" s="1">
        <v>3</v>
      </c>
      <c r="CD426" s="1" t="s">
        <v>104</v>
      </c>
      <c r="CE426" s="1">
        <v>3</v>
      </c>
      <c r="CF426" s="1" t="s">
        <v>104</v>
      </c>
      <c r="CG426" s="1" t="s">
        <v>104</v>
      </c>
      <c r="CH426" s="1" t="s">
        <v>104</v>
      </c>
      <c r="CJ426" s="1">
        <v>0</v>
      </c>
      <c r="CK426" s="1">
        <v>0</v>
      </c>
      <c r="CL426" s="1">
        <v>0</v>
      </c>
      <c r="CM426" s="1" t="s">
        <v>104</v>
      </c>
    </row>
    <row r="427" spans="1:91" ht="14.25" customHeight="1" x14ac:dyDescent="0.3">
      <c r="A427" s="1" t="s">
        <v>3008</v>
      </c>
      <c r="B427" s="1" t="s">
        <v>434</v>
      </c>
      <c r="D427" s="1" t="s">
        <v>46</v>
      </c>
      <c r="E427" s="1" t="s">
        <v>3009</v>
      </c>
      <c r="F427" s="1" t="s">
        <v>95</v>
      </c>
      <c r="G427" s="1" t="s">
        <v>116</v>
      </c>
      <c r="H427" s="1">
        <v>0</v>
      </c>
      <c r="I427" s="1" t="s">
        <v>117</v>
      </c>
      <c r="K427" s="1" t="s">
        <v>1148</v>
      </c>
      <c r="M427" s="1" t="s">
        <v>119</v>
      </c>
      <c r="N427" s="1">
        <v>0</v>
      </c>
      <c r="O427" s="1">
        <v>0</v>
      </c>
      <c r="P427" s="1" t="s">
        <v>100</v>
      </c>
      <c r="Q427" s="1" t="s">
        <v>184</v>
      </c>
      <c r="R427" s="1" t="s">
        <v>3010</v>
      </c>
      <c r="S427" s="1" t="s">
        <v>103</v>
      </c>
      <c r="T427" s="1">
        <v>1</v>
      </c>
      <c r="U427" s="1">
        <v>1</v>
      </c>
      <c r="V427" s="1">
        <v>0</v>
      </c>
      <c r="W427" s="1">
        <v>0</v>
      </c>
      <c r="X427" s="1">
        <v>0</v>
      </c>
      <c r="Y427" s="1">
        <v>0</v>
      </c>
      <c r="Z427" s="1">
        <v>0</v>
      </c>
      <c r="AA427" s="1" t="s">
        <v>104</v>
      </c>
      <c r="AB427" s="1" t="s">
        <v>104</v>
      </c>
      <c r="AC427" s="1" t="s">
        <v>104</v>
      </c>
      <c r="AD427" s="1" t="s">
        <v>104</v>
      </c>
      <c r="AE427" s="1" t="s">
        <v>104</v>
      </c>
      <c r="AF427" s="1" t="s">
        <v>104</v>
      </c>
      <c r="AG427" s="1" t="s">
        <v>104</v>
      </c>
      <c r="AH427" s="1" t="s">
        <v>104</v>
      </c>
      <c r="AI427" s="1" t="s">
        <v>104</v>
      </c>
      <c r="AJ427" s="1" t="s">
        <v>104</v>
      </c>
      <c r="AK427" s="1" t="s">
        <v>104</v>
      </c>
      <c r="AL427" s="1">
        <v>0</v>
      </c>
      <c r="AM427" s="1" t="s">
        <v>104</v>
      </c>
      <c r="AO427" s="1">
        <v>0</v>
      </c>
      <c r="AQ427" s="1" t="s">
        <v>3011</v>
      </c>
      <c r="AR427" s="1">
        <v>0</v>
      </c>
      <c r="AS427" s="1">
        <v>0</v>
      </c>
      <c r="AT427" s="1">
        <v>0</v>
      </c>
      <c r="AU427" s="1">
        <v>1</v>
      </c>
      <c r="AV427" s="1">
        <v>0</v>
      </c>
      <c r="AW427" s="1">
        <v>0</v>
      </c>
      <c r="AX427" s="1">
        <v>0</v>
      </c>
      <c r="AY427" s="1">
        <v>0</v>
      </c>
      <c r="AZ427" s="1">
        <v>0</v>
      </c>
      <c r="BA427" s="1">
        <v>0</v>
      </c>
      <c r="BB427" s="1">
        <v>0</v>
      </c>
      <c r="BC427" s="1">
        <v>0</v>
      </c>
      <c r="BD427" s="1">
        <v>0</v>
      </c>
      <c r="BE427" s="1">
        <v>0</v>
      </c>
      <c r="BF427" s="1">
        <v>0</v>
      </c>
      <c r="BG427" s="1">
        <v>0</v>
      </c>
      <c r="BH427" s="1">
        <v>0</v>
      </c>
      <c r="BI427" s="1">
        <v>0</v>
      </c>
      <c r="BJ427" s="1">
        <v>0</v>
      </c>
      <c r="BK427" s="1">
        <v>0</v>
      </c>
      <c r="BL427" s="1">
        <v>0</v>
      </c>
      <c r="BM427" s="1">
        <v>0</v>
      </c>
      <c r="BN427" s="1">
        <v>0</v>
      </c>
      <c r="BO427" s="1">
        <v>0</v>
      </c>
      <c r="BP427" s="1">
        <v>0</v>
      </c>
      <c r="BQ427" s="2" t="str">
        <f>HYPERLINK("http://www.d20pfsrd.com/magic/all-spells/r/ray-of-frost","Ray of Frost")</f>
        <v>Ray of Frost</v>
      </c>
      <c r="BR427" s="1">
        <v>428</v>
      </c>
      <c r="BS427" s="1" t="s">
        <v>104</v>
      </c>
      <c r="BX427" s="1">
        <v>0</v>
      </c>
      <c r="BY427" s="1" t="s">
        <v>104</v>
      </c>
      <c r="BZ427" s="1" t="s">
        <v>104</v>
      </c>
      <c r="CA427" s="1" t="s">
        <v>104</v>
      </c>
      <c r="CB427" s="1" t="s">
        <v>104</v>
      </c>
      <c r="CC427" s="1" t="s">
        <v>104</v>
      </c>
      <c r="CD427" s="1" t="s">
        <v>104</v>
      </c>
      <c r="CE427" s="1" t="s">
        <v>104</v>
      </c>
      <c r="CF427" s="1" t="s">
        <v>104</v>
      </c>
      <c r="CG427" s="1" t="s">
        <v>104</v>
      </c>
      <c r="CH427" s="1" t="s">
        <v>104</v>
      </c>
      <c r="CJ427" s="1">
        <v>0</v>
      </c>
      <c r="CK427" s="1">
        <v>0</v>
      </c>
      <c r="CL427" s="1">
        <v>0</v>
      </c>
      <c r="CM427" s="1" t="s">
        <v>104</v>
      </c>
    </row>
    <row r="428" spans="1:91" ht="14.25" customHeight="1" x14ac:dyDescent="0.3">
      <c r="A428" s="1" t="s">
        <v>3012</v>
      </c>
      <c r="B428" s="1" t="s">
        <v>172</v>
      </c>
      <c r="E428" s="1" t="s">
        <v>3013</v>
      </c>
      <c r="F428" s="1" t="s">
        <v>95</v>
      </c>
      <c r="G428" s="1" t="s">
        <v>3014</v>
      </c>
      <c r="H428" s="1">
        <v>0</v>
      </c>
      <c r="I428" s="1" t="s">
        <v>157</v>
      </c>
      <c r="L428" s="1" t="s">
        <v>158</v>
      </c>
      <c r="M428" s="1" t="s">
        <v>140</v>
      </c>
      <c r="N428" s="1">
        <v>0</v>
      </c>
      <c r="O428" s="1">
        <v>0</v>
      </c>
      <c r="R428" s="1" t="s">
        <v>3015</v>
      </c>
      <c r="S428" s="1" t="s">
        <v>103</v>
      </c>
      <c r="T428" s="1">
        <v>1</v>
      </c>
      <c r="U428" s="1">
        <v>1</v>
      </c>
      <c r="V428" s="1">
        <v>0</v>
      </c>
      <c r="W428" s="1">
        <v>1</v>
      </c>
      <c r="X428" s="1">
        <v>0</v>
      </c>
      <c r="Y428" s="1">
        <v>0</v>
      </c>
      <c r="Z428" s="1">
        <v>0</v>
      </c>
      <c r="AA428" s="1">
        <v>0</v>
      </c>
      <c r="AB428" s="1">
        <v>0</v>
      </c>
      <c r="AC428" s="1">
        <v>1</v>
      </c>
      <c r="AD428" s="1">
        <v>0</v>
      </c>
      <c r="AE428" s="1">
        <v>1</v>
      </c>
      <c r="AF428" s="1" t="s">
        <v>104</v>
      </c>
      <c r="AG428" s="1">
        <v>0</v>
      </c>
      <c r="AH428" s="1">
        <v>0</v>
      </c>
      <c r="AI428" s="1">
        <v>0</v>
      </c>
      <c r="AJ428" s="1">
        <v>0</v>
      </c>
      <c r="AK428" s="1">
        <v>1</v>
      </c>
      <c r="AL428" s="1">
        <v>0</v>
      </c>
      <c r="AM428" s="1">
        <v>0</v>
      </c>
      <c r="AO428" s="1">
        <v>0</v>
      </c>
      <c r="AQ428" s="1" t="s">
        <v>3016</v>
      </c>
      <c r="AR428" s="1">
        <v>0</v>
      </c>
      <c r="AS428" s="1">
        <v>0</v>
      </c>
      <c r="AT428" s="1">
        <v>0</v>
      </c>
      <c r="AU428" s="1">
        <v>0</v>
      </c>
      <c r="AV428" s="1">
        <v>0</v>
      </c>
      <c r="AW428" s="1">
        <v>0</v>
      </c>
      <c r="AX428" s="1">
        <v>0</v>
      </c>
      <c r="AY428" s="1">
        <v>0</v>
      </c>
      <c r="AZ428" s="1">
        <v>0</v>
      </c>
      <c r="BA428" s="1">
        <v>0</v>
      </c>
      <c r="BB428" s="1">
        <v>0</v>
      </c>
      <c r="BC428" s="1">
        <v>0</v>
      </c>
      <c r="BD428" s="1">
        <v>0</v>
      </c>
      <c r="BE428" s="1">
        <v>0</v>
      </c>
      <c r="BF428" s="1">
        <v>0</v>
      </c>
      <c r="BG428" s="1">
        <v>0</v>
      </c>
      <c r="BH428" s="1">
        <v>0</v>
      </c>
      <c r="BI428" s="1">
        <v>0</v>
      </c>
      <c r="BJ428" s="1">
        <v>0</v>
      </c>
      <c r="BK428" s="1">
        <v>0</v>
      </c>
      <c r="BL428" s="1">
        <v>0</v>
      </c>
      <c r="BM428" s="1">
        <v>0</v>
      </c>
      <c r="BN428" s="1">
        <v>0</v>
      </c>
      <c r="BO428" s="1">
        <v>0</v>
      </c>
      <c r="BP428" s="1">
        <v>0</v>
      </c>
      <c r="BQ428" s="2" t="str">
        <f>HYPERLINK("http://www.d20pfsrd.com/magic/all-spells/r/read-magic","Read Magic")</f>
        <v>Read Magic</v>
      </c>
      <c r="BR428" s="1">
        <v>429</v>
      </c>
      <c r="BS428" s="1" t="s">
        <v>104</v>
      </c>
      <c r="BX428" s="1">
        <v>0</v>
      </c>
      <c r="BY428" s="1" t="s">
        <v>104</v>
      </c>
      <c r="BZ428" s="1">
        <v>0</v>
      </c>
      <c r="CA428" s="1">
        <v>0</v>
      </c>
      <c r="CB428" s="1">
        <v>0</v>
      </c>
      <c r="CC428" s="1">
        <v>0</v>
      </c>
      <c r="CD428" s="1">
        <v>0</v>
      </c>
      <c r="CE428" s="1">
        <v>0</v>
      </c>
      <c r="CF428" s="1" t="s">
        <v>104</v>
      </c>
      <c r="CG428" s="1" t="s">
        <v>104</v>
      </c>
      <c r="CH428" s="1">
        <v>0</v>
      </c>
      <c r="CJ428" s="1">
        <v>0</v>
      </c>
      <c r="CK428" s="1">
        <v>0</v>
      </c>
      <c r="CL428" s="1">
        <v>0</v>
      </c>
      <c r="CM428" s="1">
        <v>0</v>
      </c>
    </row>
    <row r="429" spans="1:91" ht="14.25" customHeight="1" x14ac:dyDescent="0.3">
      <c r="A429" s="1" t="s">
        <v>3017</v>
      </c>
      <c r="B429" s="1" t="s">
        <v>137</v>
      </c>
      <c r="E429" s="1" t="s">
        <v>1391</v>
      </c>
      <c r="F429" s="1" t="s">
        <v>255</v>
      </c>
      <c r="G429" s="1" t="s">
        <v>3018</v>
      </c>
      <c r="H429" s="1">
        <v>0</v>
      </c>
      <c r="I429" s="1" t="s">
        <v>117</v>
      </c>
      <c r="L429" s="1" t="s">
        <v>637</v>
      </c>
      <c r="M429" s="1" t="s">
        <v>437</v>
      </c>
      <c r="N429" s="1">
        <v>1</v>
      </c>
      <c r="O429" s="1">
        <v>0</v>
      </c>
      <c r="P429" s="1" t="s">
        <v>183</v>
      </c>
      <c r="Q429" s="1" t="s">
        <v>184</v>
      </c>
      <c r="R429" s="1" t="s">
        <v>3019</v>
      </c>
      <c r="S429" s="1" t="s">
        <v>103</v>
      </c>
      <c r="T429" s="1">
        <v>1</v>
      </c>
      <c r="U429" s="1">
        <v>1</v>
      </c>
      <c r="V429" s="1">
        <v>1</v>
      </c>
      <c r="W429" s="1">
        <v>0</v>
      </c>
      <c r="X429" s="1">
        <v>0</v>
      </c>
      <c r="Y429" s="1">
        <v>1</v>
      </c>
      <c r="Z429" s="1">
        <v>1</v>
      </c>
      <c r="AA429" s="1" t="s">
        <v>104</v>
      </c>
      <c r="AB429" s="1" t="s">
        <v>104</v>
      </c>
      <c r="AC429" s="1" t="s">
        <v>104</v>
      </c>
      <c r="AD429" s="1" t="s">
        <v>104</v>
      </c>
      <c r="AE429" s="1" t="s">
        <v>104</v>
      </c>
      <c r="AF429" s="1">
        <v>1</v>
      </c>
      <c r="AG429" s="1">
        <v>1</v>
      </c>
      <c r="AH429" s="1">
        <v>1</v>
      </c>
      <c r="AI429" s="1" t="s">
        <v>104</v>
      </c>
      <c r="AJ429" s="1" t="s">
        <v>104</v>
      </c>
      <c r="AK429" s="1" t="s">
        <v>104</v>
      </c>
      <c r="AL429" s="1">
        <v>1</v>
      </c>
      <c r="AM429" s="1" t="s">
        <v>104</v>
      </c>
      <c r="AO429" s="1">
        <v>1</v>
      </c>
      <c r="AQ429" s="1" t="s">
        <v>3020</v>
      </c>
      <c r="AR429" s="1">
        <v>0</v>
      </c>
      <c r="AS429" s="1">
        <v>0</v>
      </c>
      <c r="AT429" s="1">
        <v>0</v>
      </c>
      <c r="AU429" s="1">
        <v>0</v>
      </c>
      <c r="AV429" s="1">
        <v>0</v>
      </c>
      <c r="AW429" s="1">
        <v>0</v>
      </c>
      <c r="AX429" s="1">
        <v>0</v>
      </c>
      <c r="AY429" s="1">
        <v>0</v>
      </c>
      <c r="AZ429" s="1">
        <v>0</v>
      </c>
      <c r="BA429" s="1">
        <v>0</v>
      </c>
      <c r="BB429" s="1">
        <v>0</v>
      </c>
      <c r="BC429" s="1">
        <v>0</v>
      </c>
      <c r="BD429" s="1">
        <v>0</v>
      </c>
      <c r="BE429" s="1">
        <v>0</v>
      </c>
      <c r="BF429" s="1">
        <v>0</v>
      </c>
      <c r="BG429" s="1">
        <v>0</v>
      </c>
      <c r="BH429" s="1">
        <v>0</v>
      </c>
      <c r="BI429" s="1">
        <v>0</v>
      </c>
      <c r="BJ429" s="1">
        <v>0</v>
      </c>
      <c r="BK429" s="1">
        <v>0</v>
      </c>
      <c r="BL429" s="1">
        <v>0</v>
      </c>
      <c r="BM429" s="1">
        <v>0</v>
      </c>
      <c r="BN429" s="1">
        <v>0</v>
      </c>
      <c r="BO429" s="1">
        <v>0</v>
      </c>
      <c r="BP429" s="1">
        <v>0</v>
      </c>
      <c r="BQ429" s="2" t="str">
        <f>HYPERLINK("http://www.d20pfsrd.com/magic/all-spells/r/reduce-person","Reduce Person")</f>
        <v>Reduce Person</v>
      </c>
      <c r="BR429" s="1">
        <v>430</v>
      </c>
      <c r="BS429" s="1" t="s">
        <v>104</v>
      </c>
      <c r="BV429" s="1" t="s">
        <v>3021</v>
      </c>
      <c r="BX429" s="1">
        <v>1</v>
      </c>
      <c r="BY429" s="1">
        <v>1</v>
      </c>
      <c r="BZ429" s="1" t="s">
        <v>104</v>
      </c>
      <c r="CA429" s="1">
        <v>1</v>
      </c>
      <c r="CB429" s="1">
        <v>1</v>
      </c>
      <c r="CC429" s="1" t="s">
        <v>104</v>
      </c>
      <c r="CD429" s="1">
        <v>1</v>
      </c>
      <c r="CE429" s="1" t="s">
        <v>104</v>
      </c>
      <c r="CF429" s="1" t="s">
        <v>104</v>
      </c>
      <c r="CG429" s="1" t="s">
        <v>104</v>
      </c>
      <c r="CH429" s="1" t="s">
        <v>104</v>
      </c>
      <c r="CJ429" s="1">
        <v>0</v>
      </c>
      <c r="CK429" s="1">
        <v>0</v>
      </c>
      <c r="CL429" s="1">
        <v>0</v>
      </c>
      <c r="CM429" s="1">
        <v>1</v>
      </c>
    </row>
    <row r="430" spans="1:91" ht="14.25" customHeight="1" x14ac:dyDescent="0.3">
      <c r="A430" s="1" t="s">
        <v>3022</v>
      </c>
      <c r="B430" s="1" t="s">
        <v>137</v>
      </c>
      <c r="E430" s="1" t="s">
        <v>3023</v>
      </c>
      <c r="F430" s="1" t="s">
        <v>95</v>
      </c>
      <c r="G430" s="1" t="s">
        <v>116</v>
      </c>
      <c r="H430" s="1">
        <v>0</v>
      </c>
      <c r="I430" s="1" t="s">
        <v>128</v>
      </c>
      <c r="L430" s="1" t="s">
        <v>3024</v>
      </c>
      <c r="M430" s="1" t="s">
        <v>201</v>
      </c>
      <c r="N430" s="1">
        <v>1</v>
      </c>
      <c r="O430" s="1">
        <v>0</v>
      </c>
      <c r="P430" s="1" t="s">
        <v>100</v>
      </c>
      <c r="Q430" s="1" t="s">
        <v>101</v>
      </c>
      <c r="R430" s="1" t="s">
        <v>3025</v>
      </c>
      <c r="S430" s="1" t="s">
        <v>103</v>
      </c>
      <c r="T430" s="1">
        <v>1</v>
      </c>
      <c r="U430" s="1">
        <v>1</v>
      </c>
      <c r="V430" s="1">
        <v>0</v>
      </c>
      <c r="W430" s="1">
        <v>0</v>
      </c>
      <c r="X430" s="1">
        <v>0</v>
      </c>
      <c r="Y430" s="1" t="s">
        <v>104</v>
      </c>
      <c r="Z430" s="1" t="s">
        <v>104</v>
      </c>
      <c r="AA430" s="1" t="s">
        <v>104</v>
      </c>
      <c r="AB430" s="1">
        <v>2</v>
      </c>
      <c r="AC430" s="1">
        <v>3</v>
      </c>
      <c r="AD430" s="1" t="s">
        <v>104</v>
      </c>
      <c r="AE430" s="1" t="s">
        <v>104</v>
      </c>
      <c r="AF430" s="1" t="s">
        <v>104</v>
      </c>
      <c r="AG430" s="1" t="s">
        <v>104</v>
      </c>
      <c r="AH430" s="1" t="s">
        <v>104</v>
      </c>
      <c r="AI430" s="1" t="s">
        <v>104</v>
      </c>
      <c r="AJ430" s="1" t="s">
        <v>104</v>
      </c>
      <c r="AK430" s="1" t="s">
        <v>104</v>
      </c>
      <c r="AL430" s="1" t="s">
        <v>104</v>
      </c>
      <c r="AM430" s="1" t="s">
        <v>104</v>
      </c>
      <c r="AO430" s="1">
        <v>2</v>
      </c>
      <c r="AQ430" s="1" t="s">
        <v>3026</v>
      </c>
      <c r="AR430" s="1">
        <v>0</v>
      </c>
      <c r="AS430" s="1">
        <v>0</v>
      </c>
      <c r="AT430" s="1">
        <v>0</v>
      </c>
      <c r="AU430" s="1">
        <v>0</v>
      </c>
      <c r="AV430" s="1">
        <v>0</v>
      </c>
      <c r="AW430" s="1">
        <v>0</v>
      </c>
      <c r="AX430" s="1">
        <v>0</v>
      </c>
      <c r="AY430" s="1">
        <v>0</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2" t="str">
        <f>HYPERLINK("http://www.d20pfsrd.com/magic/all-spells/r/reduce-animal","Reduce Animal")</f>
        <v>Reduce Animal</v>
      </c>
      <c r="BR430" s="1">
        <v>431</v>
      </c>
      <c r="BS430" s="1" t="s">
        <v>104</v>
      </c>
      <c r="BX430" s="1">
        <v>0</v>
      </c>
      <c r="BY430" s="1" t="s">
        <v>104</v>
      </c>
      <c r="BZ430" s="1" t="s">
        <v>104</v>
      </c>
      <c r="CA430" s="1" t="s">
        <v>104</v>
      </c>
      <c r="CB430" s="1" t="s">
        <v>104</v>
      </c>
      <c r="CC430" s="1" t="s">
        <v>104</v>
      </c>
      <c r="CD430" s="1" t="s">
        <v>104</v>
      </c>
      <c r="CE430" s="1" t="s">
        <v>104</v>
      </c>
      <c r="CF430" s="1" t="s">
        <v>104</v>
      </c>
      <c r="CG430" s="1" t="s">
        <v>104</v>
      </c>
      <c r="CH430" s="1">
        <v>2</v>
      </c>
      <c r="CJ430" s="1">
        <v>0</v>
      </c>
      <c r="CK430" s="1">
        <v>0</v>
      </c>
      <c r="CL430" s="1">
        <v>0</v>
      </c>
      <c r="CM430" s="1" t="s">
        <v>104</v>
      </c>
    </row>
    <row r="431" spans="1:91" ht="14.25" customHeight="1" x14ac:dyDescent="0.3">
      <c r="A431" s="1" t="s">
        <v>3027</v>
      </c>
      <c r="B431" s="1" t="s">
        <v>137</v>
      </c>
      <c r="E431" s="1" t="s">
        <v>1399</v>
      </c>
      <c r="F431" s="1" t="s">
        <v>255</v>
      </c>
      <c r="G431" s="1" t="s">
        <v>3018</v>
      </c>
      <c r="H431" s="1">
        <v>0</v>
      </c>
      <c r="I431" s="1" t="s">
        <v>117</v>
      </c>
      <c r="L431" s="1" t="s">
        <v>3028</v>
      </c>
      <c r="M431" s="1" t="s">
        <v>130</v>
      </c>
      <c r="N431" s="1">
        <v>1</v>
      </c>
      <c r="O431" s="1">
        <v>0</v>
      </c>
      <c r="P431" s="1" t="s">
        <v>183</v>
      </c>
      <c r="Q431" s="1" t="s">
        <v>184</v>
      </c>
      <c r="R431" s="1" t="s">
        <v>3029</v>
      </c>
      <c r="S431" s="1" t="s">
        <v>103</v>
      </c>
      <c r="T431" s="1">
        <v>1</v>
      </c>
      <c r="U431" s="1">
        <v>1</v>
      </c>
      <c r="V431" s="1">
        <v>1</v>
      </c>
      <c r="W431" s="1">
        <v>0</v>
      </c>
      <c r="X431" s="1">
        <v>0</v>
      </c>
      <c r="Y431" s="1">
        <v>4</v>
      </c>
      <c r="Z431" s="1">
        <v>4</v>
      </c>
      <c r="AA431" s="1" t="s">
        <v>104</v>
      </c>
      <c r="AB431" s="1" t="s">
        <v>104</v>
      </c>
      <c r="AC431" s="1" t="s">
        <v>104</v>
      </c>
      <c r="AD431" s="1" t="s">
        <v>104</v>
      </c>
      <c r="AE431" s="1" t="s">
        <v>104</v>
      </c>
      <c r="AF431" s="1" t="s">
        <v>104</v>
      </c>
      <c r="AG431" s="1">
        <v>3</v>
      </c>
      <c r="AH431" s="1" t="s">
        <v>104</v>
      </c>
      <c r="AI431" s="1" t="s">
        <v>104</v>
      </c>
      <c r="AJ431" s="1" t="s">
        <v>104</v>
      </c>
      <c r="AK431" s="1" t="s">
        <v>104</v>
      </c>
      <c r="AL431" s="1" t="s">
        <v>104</v>
      </c>
      <c r="AM431" s="1" t="s">
        <v>104</v>
      </c>
      <c r="AO431" s="1">
        <v>4</v>
      </c>
      <c r="AQ431" s="1" t="s">
        <v>3030</v>
      </c>
      <c r="AR431" s="1">
        <v>0</v>
      </c>
      <c r="AS431" s="1">
        <v>0</v>
      </c>
      <c r="AT431" s="1">
        <v>0</v>
      </c>
      <c r="AU431" s="1">
        <v>0</v>
      </c>
      <c r="AV431" s="1">
        <v>0</v>
      </c>
      <c r="AW431" s="1">
        <v>0</v>
      </c>
      <c r="AX431" s="1">
        <v>0</v>
      </c>
      <c r="AY431" s="1">
        <v>0</v>
      </c>
      <c r="AZ431" s="1">
        <v>0</v>
      </c>
      <c r="BA431" s="1">
        <v>0</v>
      </c>
      <c r="BB431" s="1">
        <v>0</v>
      </c>
      <c r="BC431" s="1">
        <v>0</v>
      </c>
      <c r="BD431" s="1">
        <v>0</v>
      </c>
      <c r="BE431" s="1">
        <v>0</v>
      </c>
      <c r="BF431" s="1">
        <v>0</v>
      </c>
      <c r="BG431" s="1">
        <v>0</v>
      </c>
      <c r="BH431" s="1">
        <v>0</v>
      </c>
      <c r="BI431" s="1">
        <v>0</v>
      </c>
      <c r="BJ431" s="1">
        <v>0</v>
      </c>
      <c r="BK431" s="1">
        <v>0</v>
      </c>
      <c r="BL431" s="1">
        <v>0</v>
      </c>
      <c r="BM431" s="1">
        <v>0</v>
      </c>
      <c r="BN431" s="1">
        <v>0</v>
      </c>
      <c r="BO431" s="1">
        <v>0</v>
      </c>
      <c r="BP431" s="1">
        <v>0</v>
      </c>
      <c r="BQ431" s="2" t="str">
        <f>HYPERLINK("http://www.d20pfsrd.com/magic/all-spells/r/reduce-person","Reduce Person, Mass")</f>
        <v>Reduce Person, Mass</v>
      </c>
      <c r="BR431" s="1">
        <v>432</v>
      </c>
      <c r="BS431" s="1" t="s">
        <v>104</v>
      </c>
      <c r="BX431" s="1">
        <v>0</v>
      </c>
      <c r="BY431" s="1">
        <v>4</v>
      </c>
      <c r="BZ431" s="1" t="s">
        <v>104</v>
      </c>
      <c r="CA431" s="1">
        <v>4</v>
      </c>
      <c r="CB431" s="1" t="s">
        <v>104</v>
      </c>
      <c r="CC431" s="1" t="s">
        <v>104</v>
      </c>
      <c r="CD431" s="1" t="s">
        <v>104</v>
      </c>
      <c r="CE431" s="1" t="s">
        <v>104</v>
      </c>
      <c r="CF431" s="1" t="s">
        <v>104</v>
      </c>
      <c r="CG431" s="1" t="s">
        <v>104</v>
      </c>
      <c r="CH431" s="1" t="s">
        <v>104</v>
      </c>
      <c r="CJ431" s="1">
        <v>0</v>
      </c>
      <c r="CK431" s="1">
        <v>0</v>
      </c>
      <c r="CL431" s="1">
        <v>0</v>
      </c>
      <c r="CM431" s="1">
        <v>4</v>
      </c>
    </row>
    <row r="432" spans="1:91" ht="14.25" customHeight="1" x14ac:dyDescent="0.3">
      <c r="A432" s="1" t="s">
        <v>3031</v>
      </c>
      <c r="B432" s="1" t="s">
        <v>92</v>
      </c>
      <c r="C432" s="1" t="s">
        <v>1160</v>
      </c>
      <c r="E432" s="1" t="s">
        <v>3032</v>
      </c>
      <c r="F432" s="1" t="s">
        <v>95</v>
      </c>
      <c r="G432" s="1" t="s">
        <v>3033</v>
      </c>
      <c r="H432" s="1">
        <v>1</v>
      </c>
      <c r="I432" s="1" t="s">
        <v>128</v>
      </c>
      <c r="L432" s="1" t="s">
        <v>983</v>
      </c>
      <c r="M432" s="1" t="s">
        <v>1457</v>
      </c>
      <c r="N432" s="1">
        <v>0</v>
      </c>
      <c r="O432" s="1">
        <v>0</v>
      </c>
      <c r="P432" s="1" t="s">
        <v>100</v>
      </c>
      <c r="Q432" s="1" t="s">
        <v>101</v>
      </c>
      <c r="R432" s="1" t="s">
        <v>3034</v>
      </c>
      <c r="S432" s="1" t="s">
        <v>103</v>
      </c>
      <c r="T432" s="1">
        <v>1</v>
      </c>
      <c r="U432" s="1">
        <v>1</v>
      </c>
      <c r="V432" s="1">
        <v>1</v>
      </c>
      <c r="W432" s="1">
        <v>0</v>
      </c>
      <c r="X432" s="1">
        <v>0</v>
      </c>
      <c r="Y432" s="1">
        <v>9</v>
      </c>
      <c r="Z432" s="1">
        <v>9</v>
      </c>
      <c r="AA432" s="1">
        <v>7</v>
      </c>
      <c r="AB432" s="1" t="s">
        <v>104</v>
      </c>
      <c r="AC432" s="1" t="s">
        <v>104</v>
      </c>
      <c r="AD432" s="1" t="s">
        <v>104</v>
      </c>
      <c r="AE432" s="1" t="s">
        <v>104</v>
      </c>
      <c r="AF432" s="1" t="s">
        <v>104</v>
      </c>
      <c r="AG432" s="1" t="s">
        <v>104</v>
      </c>
      <c r="AH432" s="1">
        <v>9</v>
      </c>
      <c r="AI432" s="1" t="s">
        <v>104</v>
      </c>
      <c r="AJ432" s="1">
        <v>7</v>
      </c>
      <c r="AK432" s="1" t="s">
        <v>104</v>
      </c>
      <c r="AL432" s="1" t="s">
        <v>104</v>
      </c>
      <c r="AM432" s="1" t="s">
        <v>104</v>
      </c>
      <c r="AO432" s="1">
        <v>9</v>
      </c>
      <c r="AP432" s="1" t="s">
        <v>3035</v>
      </c>
      <c r="AQ432" s="1" t="s">
        <v>3036</v>
      </c>
      <c r="AR432" s="1">
        <v>0</v>
      </c>
      <c r="AS432" s="1">
        <v>0</v>
      </c>
      <c r="AT432" s="1">
        <v>0</v>
      </c>
      <c r="AU432" s="1">
        <v>0</v>
      </c>
      <c r="AV432" s="1">
        <v>0</v>
      </c>
      <c r="AW432" s="1">
        <v>0</v>
      </c>
      <c r="AX432" s="1">
        <v>0</v>
      </c>
      <c r="AY432" s="1">
        <v>0</v>
      </c>
      <c r="AZ432" s="1">
        <v>0</v>
      </c>
      <c r="BA432" s="1">
        <v>0</v>
      </c>
      <c r="BB432" s="1">
        <v>0</v>
      </c>
      <c r="BC432" s="1">
        <v>0</v>
      </c>
      <c r="BD432" s="1">
        <v>0</v>
      </c>
      <c r="BE432" s="1">
        <v>0</v>
      </c>
      <c r="BF432" s="1">
        <v>0</v>
      </c>
      <c r="BG432" s="1">
        <v>0</v>
      </c>
      <c r="BH432" s="1">
        <v>0</v>
      </c>
      <c r="BI432" s="1">
        <v>0</v>
      </c>
      <c r="BJ432" s="1">
        <v>0</v>
      </c>
      <c r="BK432" s="1">
        <v>0</v>
      </c>
      <c r="BL432" s="1">
        <v>0</v>
      </c>
      <c r="BM432" s="1">
        <v>0</v>
      </c>
      <c r="BN432" s="1">
        <v>0</v>
      </c>
      <c r="BO432" s="1">
        <v>0</v>
      </c>
      <c r="BP432" s="1">
        <v>0</v>
      </c>
      <c r="BQ432" s="2" t="str">
        <f>HYPERLINK("http://www.d20pfsrd.com/magic/all-spells/r/refuge","Refuge")</f>
        <v>Refuge</v>
      </c>
      <c r="BR432" s="1">
        <v>433</v>
      </c>
      <c r="BS432" s="1">
        <v>1500</v>
      </c>
      <c r="BU432" s="1" t="s">
        <v>3037</v>
      </c>
      <c r="BX432" s="1">
        <v>0</v>
      </c>
      <c r="BY432" s="1" t="s">
        <v>104</v>
      </c>
      <c r="BZ432" s="1" t="s">
        <v>104</v>
      </c>
      <c r="CA432" s="1">
        <v>8</v>
      </c>
      <c r="CB432" s="1" t="s">
        <v>104</v>
      </c>
      <c r="CC432" s="1" t="s">
        <v>104</v>
      </c>
      <c r="CD432" s="1" t="s">
        <v>104</v>
      </c>
      <c r="CE432" s="1" t="s">
        <v>104</v>
      </c>
      <c r="CF432" s="1" t="s">
        <v>104</v>
      </c>
      <c r="CG432" s="1" t="s">
        <v>104</v>
      </c>
      <c r="CH432" s="1" t="s">
        <v>104</v>
      </c>
      <c r="CJ432" s="1">
        <v>0</v>
      </c>
      <c r="CK432" s="1">
        <v>0</v>
      </c>
      <c r="CL432" s="1">
        <v>0</v>
      </c>
      <c r="CM432" s="1" t="s">
        <v>104</v>
      </c>
    </row>
    <row r="433" spans="1:91" ht="14.25" customHeight="1" x14ac:dyDescent="0.3">
      <c r="A433" s="1" t="s">
        <v>3038</v>
      </c>
      <c r="B433" s="1" t="s">
        <v>92</v>
      </c>
      <c r="C433" s="1" t="s">
        <v>523</v>
      </c>
      <c r="E433" s="1" t="s">
        <v>3039</v>
      </c>
      <c r="F433" s="1" t="s">
        <v>3040</v>
      </c>
      <c r="G433" s="1" t="s">
        <v>127</v>
      </c>
      <c r="H433" s="1">
        <v>0</v>
      </c>
      <c r="I433" s="1" t="s">
        <v>128</v>
      </c>
      <c r="L433" s="1" t="s">
        <v>129</v>
      </c>
      <c r="M433" s="1" t="s">
        <v>119</v>
      </c>
      <c r="N433" s="1">
        <v>0</v>
      </c>
      <c r="O433" s="1">
        <v>0</v>
      </c>
      <c r="P433" s="1" t="s">
        <v>1058</v>
      </c>
      <c r="Q433" s="1" t="s">
        <v>131</v>
      </c>
      <c r="R433" s="1" t="s">
        <v>3041</v>
      </c>
      <c r="S433" s="1" t="s">
        <v>103</v>
      </c>
      <c r="T433" s="1">
        <v>1</v>
      </c>
      <c r="U433" s="1">
        <v>1</v>
      </c>
      <c r="V433" s="1">
        <v>0</v>
      </c>
      <c r="W433" s="1">
        <v>0</v>
      </c>
      <c r="X433" s="1">
        <v>1</v>
      </c>
      <c r="Y433" s="1" t="s">
        <v>104</v>
      </c>
      <c r="Z433" s="1" t="s">
        <v>104</v>
      </c>
      <c r="AA433" s="1">
        <v>7</v>
      </c>
      <c r="AB433" s="1">
        <v>9</v>
      </c>
      <c r="AC433" s="1" t="s">
        <v>104</v>
      </c>
      <c r="AD433" s="1" t="s">
        <v>104</v>
      </c>
      <c r="AE433" s="1" t="s">
        <v>104</v>
      </c>
      <c r="AF433" s="1" t="s">
        <v>104</v>
      </c>
      <c r="AG433" s="1" t="s">
        <v>104</v>
      </c>
      <c r="AH433" s="1">
        <v>7</v>
      </c>
      <c r="AI433" s="1" t="s">
        <v>104</v>
      </c>
      <c r="AJ433" s="1">
        <v>7</v>
      </c>
      <c r="AK433" s="1" t="s">
        <v>104</v>
      </c>
      <c r="AL433" s="1" t="s">
        <v>104</v>
      </c>
      <c r="AM433" s="1" t="s">
        <v>104</v>
      </c>
      <c r="AO433" s="1">
        <v>7</v>
      </c>
      <c r="AP433" s="1" t="s">
        <v>3042</v>
      </c>
      <c r="AQ433" s="1" t="s">
        <v>3043</v>
      </c>
      <c r="AR433" s="1">
        <v>0</v>
      </c>
      <c r="AS433" s="1">
        <v>0</v>
      </c>
      <c r="AT433" s="1">
        <v>0</v>
      </c>
      <c r="AU433" s="1">
        <v>0</v>
      </c>
      <c r="AV433" s="1">
        <v>0</v>
      </c>
      <c r="AW433" s="1">
        <v>0</v>
      </c>
      <c r="AX433" s="1">
        <v>0</v>
      </c>
      <c r="AY433" s="1">
        <v>0</v>
      </c>
      <c r="AZ433" s="1">
        <v>0</v>
      </c>
      <c r="BA433" s="1">
        <v>0</v>
      </c>
      <c r="BB433" s="1">
        <v>0</v>
      </c>
      <c r="BC433" s="1">
        <v>0</v>
      </c>
      <c r="BD433" s="1">
        <v>0</v>
      </c>
      <c r="BE433" s="1">
        <v>0</v>
      </c>
      <c r="BF433" s="1">
        <v>0</v>
      </c>
      <c r="BG433" s="1">
        <v>0</v>
      </c>
      <c r="BH433" s="1">
        <v>0</v>
      </c>
      <c r="BI433" s="1">
        <v>0</v>
      </c>
      <c r="BJ433" s="1">
        <v>0</v>
      </c>
      <c r="BK433" s="1">
        <v>0</v>
      </c>
      <c r="BL433" s="1">
        <v>0</v>
      </c>
      <c r="BM433" s="1">
        <v>0</v>
      </c>
      <c r="BN433" s="1">
        <v>0</v>
      </c>
      <c r="BO433" s="1">
        <v>0</v>
      </c>
      <c r="BP433" s="1">
        <v>0</v>
      </c>
      <c r="BQ433" s="2" t="str">
        <f>HYPERLINK("http://www.d20pfsrd.com/magic/all-spells/r/regenerate","Regenerate")</f>
        <v>Regenerate</v>
      </c>
      <c r="BR433" s="1">
        <v>434</v>
      </c>
      <c r="BS433" s="1" t="s">
        <v>104</v>
      </c>
      <c r="BV433" s="1" t="s">
        <v>3044</v>
      </c>
      <c r="BX433" s="1">
        <v>1</v>
      </c>
      <c r="BY433" s="1" t="s">
        <v>104</v>
      </c>
      <c r="BZ433" s="1">
        <v>7</v>
      </c>
      <c r="CA433" s="1" t="s">
        <v>104</v>
      </c>
      <c r="CB433" s="1" t="s">
        <v>104</v>
      </c>
      <c r="CC433" s="1" t="s">
        <v>104</v>
      </c>
      <c r="CD433" s="1" t="s">
        <v>104</v>
      </c>
      <c r="CE433" s="1" t="s">
        <v>104</v>
      </c>
      <c r="CF433" s="1" t="s">
        <v>104</v>
      </c>
      <c r="CG433" s="1" t="s">
        <v>104</v>
      </c>
      <c r="CH433" s="1" t="s">
        <v>104</v>
      </c>
      <c r="CJ433" s="1">
        <v>0</v>
      </c>
      <c r="CK433" s="1">
        <v>0</v>
      </c>
      <c r="CL433" s="1">
        <v>0</v>
      </c>
      <c r="CM433" s="1" t="s">
        <v>104</v>
      </c>
    </row>
    <row r="434" spans="1:91" ht="14.25" customHeight="1" x14ac:dyDescent="0.3">
      <c r="A434" s="1" t="s">
        <v>3045</v>
      </c>
      <c r="B434" s="1" t="s">
        <v>137</v>
      </c>
      <c r="E434" s="1" t="s">
        <v>3046</v>
      </c>
      <c r="F434" s="1" t="s">
        <v>287</v>
      </c>
      <c r="G434" s="1" t="s">
        <v>3047</v>
      </c>
      <c r="H434" s="1">
        <v>1</v>
      </c>
      <c r="I434" s="1" t="s">
        <v>128</v>
      </c>
      <c r="L434" s="1" t="s">
        <v>2992</v>
      </c>
      <c r="M434" s="1" t="s">
        <v>119</v>
      </c>
      <c r="N434" s="1">
        <v>0</v>
      </c>
      <c r="O434" s="1">
        <v>0</v>
      </c>
      <c r="P434" s="1" t="s">
        <v>195</v>
      </c>
      <c r="Q434" s="1" t="s">
        <v>131</v>
      </c>
      <c r="R434" s="1" t="s">
        <v>3048</v>
      </c>
      <c r="S434" s="1" t="s">
        <v>103</v>
      </c>
      <c r="T434" s="1">
        <v>1</v>
      </c>
      <c r="U434" s="1">
        <v>1</v>
      </c>
      <c r="V434" s="1">
        <v>1</v>
      </c>
      <c r="W434" s="1">
        <v>0</v>
      </c>
      <c r="X434" s="1">
        <v>1</v>
      </c>
      <c r="Y434" s="1" t="s">
        <v>104</v>
      </c>
      <c r="Z434" s="1" t="s">
        <v>104</v>
      </c>
      <c r="AA434" s="1" t="s">
        <v>104</v>
      </c>
      <c r="AB434" s="1">
        <v>4</v>
      </c>
      <c r="AC434" s="1" t="s">
        <v>104</v>
      </c>
      <c r="AD434" s="1" t="s">
        <v>104</v>
      </c>
      <c r="AE434" s="1" t="s">
        <v>104</v>
      </c>
      <c r="AF434" s="1" t="s">
        <v>104</v>
      </c>
      <c r="AG434" s="1" t="s">
        <v>104</v>
      </c>
      <c r="AH434" s="1">
        <v>5</v>
      </c>
      <c r="AI434" s="1" t="s">
        <v>104</v>
      </c>
      <c r="AJ434" s="1" t="s">
        <v>104</v>
      </c>
      <c r="AK434" s="1" t="s">
        <v>104</v>
      </c>
      <c r="AL434" s="1" t="s">
        <v>104</v>
      </c>
      <c r="AM434" s="1" t="s">
        <v>104</v>
      </c>
      <c r="AO434" s="1">
        <v>4</v>
      </c>
      <c r="AQ434" s="1" t="s">
        <v>3049</v>
      </c>
      <c r="AR434" s="1">
        <v>0</v>
      </c>
      <c r="AS434" s="1">
        <v>0</v>
      </c>
      <c r="AT434" s="1">
        <v>0</v>
      </c>
      <c r="AU434" s="1">
        <v>0</v>
      </c>
      <c r="AV434" s="1">
        <v>0</v>
      </c>
      <c r="AW434" s="1">
        <v>0</v>
      </c>
      <c r="AX434" s="1">
        <v>0</v>
      </c>
      <c r="AY434" s="1">
        <v>0</v>
      </c>
      <c r="AZ434" s="1">
        <v>0</v>
      </c>
      <c r="BA434" s="1">
        <v>0</v>
      </c>
      <c r="BB434" s="1">
        <v>0</v>
      </c>
      <c r="BC434" s="1">
        <v>0</v>
      </c>
      <c r="BD434" s="1">
        <v>0</v>
      </c>
      <c r="BE434" s="1">
        <v>0</v>
      </c>
      <c r="BF434" s="1">
        <v>0</v>
      </c>
      <c r="BG434" s="1">
        <v>0</v>
      </c>
      <c r="BH434" s="1">
        <v>0</v>
      </c>
      <c r="BI434" s="1">
        <v>0</v>
      </c>
      <c r="BJ434" s="1">
        <v>0</v>
      </c>
      <c r="BK434" s="1">
        <v>0</v>
      </c>
      <c r="BL434" s="1">
        <v>0</v>
      </c>
      <c r="BM434" s="1">
        <v>0</v>
      </c>
      <c r="BN434" s="1">
        <v>0</v>
      </c>
      <c r="BO434" s="1">
        <v>0</v>
      </c>
      <c r="BP434" s="1">
        <v>0</v>
      </c>
      <c r="BQ434" s="2" t="str">
        <f>HYPERLINK("http://www.d20pfsrd.com/magic/all-spells/r/reincarnate","Reincarnate")</f>
        <v>Reincarnate</v>
      </c>
      <c r="BR434" s="1">
        <v>435</v>
      </c>
      <c r="BS434" s="1">
        <v>1000</v>
      </c>
      <c r="BX434" s="1">
        <v>0</v>
      </c>
      <c r="BY434" s="1" t="s">
        <v>104</v>
      </c>
      <c r="BZ434" s="1">
        <v>4</v>
      </c>
      <c r="CA434" s="1" t="s">
        <v>104</v>
      </c>
      <c r="CB434" s="1">
        <v>4</v>
      </c>
      <c r="CC434" s="1" t="s">
        <v>104</v>
      </c>
      <c r="CD434" s="1" t="s">
        <v>104</v>
      </c>
      <c r="CE434" s="1" t="s">
        <v>104</v>
      </c>
      <c r="CF434" s="1" t="s">
        <v>104</v>
      </c>
      <c r="CG434" s="1" t="s">
        <v>104</v>
      </c>
      <c r="CH434" s="1">
        <v>4</v>
      </c>
      <c r="CJ434" s="1">
        <v>0</v>
      </c>
      <c r="CK434" s="1">
        <v>0</v>
      </c>
      <c r="CL434" s="1">
        <v>0</v>
      </c>
      <c r="CM434" s="1" t="s">
        <v>104</v>
      </c>
    </row>
    <row r="435" spans="1:91" ht="14.25" customHeight="1" x14ac:dyDescent="0.3">
      <c r="A435" s="1" t="s">
        <v>3050</v>
      </c>
      <c r="B435" s="1" t="s">
        <v>92</v>
      </c>
      <c r="C435" s="1" t="s">
        <v>523</v>
      </c>
      <c r="E435" s="1" t="s">
        <v>3051</v>
      </c>
      <c r="F435" s="1" t="s">
        <v>95</v>
      </c>
      <c r="G435" s="1" t="s">
        <v>116</v>
      </c>
      <c r="H435" s="1">
        <v>0</v>
      </c>
      <c r="I435" s="1" t="s">
        <v>128</v>
      </c>
      <c r="L435" s="1" t="s">
        <v>374</v>
      </c>
      <c r="M435" s="1" t="s">
        <v>119</v>
      </c>
      <c r="N435" s="1">
        <v>0</v>
      </c>
      <c r="O435" s="1">
        <v>0</v>
      </c>
      <c r="P435" s="1" t="s">
        <v>1058</v>
      </c>
      <c r="Q435" s="1" t="s">
        <v>131</v>
      </c>
      <c r="R435" s="1" t="s">
        <v>3052</v>
      </c>
      <c r="S435" s="1" t="s">
        <v>103</v>
      </c>
      <c r="T435" s="1">
        <v>1</v>
      </c>
      <c r="U435" s="1">
        <v>1</v>
      </c>
      <c r="V435" s="1">
        <v>0</v>
      </c>
      <c r="W435" s="1">
        <v>0</v>
      </c>
      <c r="X435" s="1">
        <v>0</v>
      </c>
      <c r="Y435" s="1" t="s">
        <v>104</v>
      </c>
      <c r="Z435" s="1" t="s">
        <v>104</v>
      </c>
      <c r="AA435" s="1">
        <v>3</v>
      </c>
      <c r="AB435" s="1" t="s">
        <v>104</v>
      </c>
      <c r="AC435" s="1" t="s">
        <v>104</v>
      </c>
      <c r="AD435" s="1" t="s">
        <v>104</v>
      </c>
      <c r="AE435" s="1">
        <v>3</v>
      </c>
      <c r="AF435" s="1">
        <v>3</v>
      </c>
      <c r="AG435" s="1" t="s">
        <v>104</v>
      </c>
      <c r="AH435" s="1">
        <v>3</v>
      </c>
      <c r="AI435" s="1" t="s">
        <v>104</v>
      </c>
      <c r="AJ435" s="1">
        <v>3</v>
      </c>
      <c r="AK435" s="1" t="s">
        <v>104</v>
      </c>
      <c r="AL435" s="1" t="s">
        <v>104</v>
      </c>
      <c r="AM435" s="1" t="s">
        <v>104</v>
      </c>
      <c r="AO435" s="1">
        <v>3</v>
      </c>
      <c r="AP435" s="1" t="s">
        <v>3053</v>
      </c>
      <c r="AQ435" s="1" t="s">
        <v>3054</v>
      </c>
      <c r="AR435" s="1">
        <v>0</v>
      </c>
      <c r="AS435" s="1">
        <v>0</v>
      </c>
      <c r="AT435" s="1">
        <v>0</v>
      </c>
      <c r="AU435" s="1">
        <v>0</v>
      </c>
      <c r="AV435" s="1">
        <v>0</v>
      </c>
      <c r="AW435" s="1">
        <v>0</v>
      </c>
      <c r="AX435" s="1">
        <v>0</v>
      </c>
      <c r="AY435" s="1">
        <v>0</v>
      </c>
      <c r="AZ435" s="1">
        <v>0</v>
      </c>
      <c r="BA435" s="1">
        <v>0</v>
      </c>
      <c r="BB435" s="1">
        <v>0</v>
      </c>
      <c r="BC435" s="1">
        <v>0</v>
      </c>
      <c r="BD435" s="1">
        <v>0</v>
      </c>
      <c r="BE435" s="1">
        <v>0</v>
      </c>
      <c r="BF435" s="1">
        <v>0</v>
      </c>
      <c r="BG435" s="1">
        <v>0</v>
      </c>
      <c r="BH435" s="1">
        <v>0</v>
      </c>
      <c r="BI435" s="1">
        <v>0</v>
      </c>
      <c r="BJ435" s="1">
        <v>0</v>
      </c>
      <c r="BK435" s="1">
        <v>0</v>
      </c>
      <c r="BL435" s="1">
        <v>0</v>
      </c>
      <c r="BM435" s="1">
        <v>0</v>
      </c>
      <c r="BN435" s="1">
        <v>0</v>
      </c>
      <c r="BO435" s="1">
        <v>0</v>
      </c>
      <c r="BP435" s="1">
        <v>0</v>
      </c>
      <c r="BQ435" s="2" t="str">
        <f>HYPERLINK("http://www.d20pfsrd.com/magic/all-spells/r/remove-blindness-deafness","Remove Blindness/Deafness")</f>
        <v>Remove Blindness/Deafness</v>
      </c>
      <c r="BR435" s="1">
        <v>436</v>
      </c>
      <c r="BS435" s="1" t="s">
        <v>104</v>
      </c>
      <c r="BX435" s="1">
        <v>0</v>
      </c>
      <c r="BY435" s="1" t="s">
        <v>104</v>
      </c>
      <c r="BZ435" s="1">
        <v>3</v>
      </c>
      <c r="CA435" s="1" t="s">
        <v>104</v>
      </c>
      <c r="CB435" s="1" t="s">
        <v>104</v>
      </c>
      <c r="CC435" s="1">
        <v>3</v>
      </c>
      <c r="CD435" s="1" t="s">
        <v>104</v>
      </c>
      <c r="CE435" s="1">
        <v>3</v>
      </c>
      <c r="CF435" s="1" t="s">
        <v>104</v>
      </c>
      <c r="CG435" s="1" t="s">
        <v>104</v>
      </c>
      <c r="CH435" s="1" t="s">
        <v>104</v>
      </c>
      <c r="CJ435" s="1">
        <v>0</v>
      </c>
      <c r="CK435" s="1">
        <v>0</v>
      </c>
      <c r="CL435" s="1">
        <v>0</v>
      </c>
      <c r="CM435" s="1" t="s">
        <v>104</v>
      </c>
    </row>
    <row r="436" spans="1:91" ht="14.25" customHeight="1" x14ac:dyDescent="0.3">
      <c r="A436" s="1" t="s">
        <v>3055</v>
      </c>
      <c r="B436" s="1" t="s">
        <v>162</v>
      </c>
      <c r="E436" s="1" t="s">
        <v>3056</v>
      </c>
      <c r="F436" s="1" t="s">
        <v>95</v>
      </c>
      <c r="G436" s="1" t="s">
        <v>116</v>
      </c>
      <c r="H436" s="1">
        <v>0</v>
      </c>
      <c r="I436" s="1" t="s">
        <v>128</v>
      </c>
      <c r="L436" s="1" t="s">
        <v>2630</v>
      </c>
      <c r="M436" s="1" t="s">
        <v>119</v>
      </c>
      <c r="N436" s="1">
        <v>0</v>
      </c>
      <c r="O436" s="1">
        <v>0</v>
      </c>
      <c r="P436" s="1" t="s">
        <v>375</v>
      </c>
      <c r="Q436" s="1" t="s">
        <v>131</v>
      </c>
      <c r="R436" s="1" t="s">
        <v>3057</v>
      </c>
      <c r="S436" s="1" t="s">
        <v>103</v>
      </c>
      <c r="T436" s="1">
        <v>1</v>
      </c>
      <c r="U436" s="1">
        <v>1</v>
      </c>
      <c r="V436" s="1">
        <v>0</v>
      </c>
      <c r="W436" s="1">
        <v>0</v>
      </c>
      <c r="X436" s="1">
        <v>0</v>
      </c>
      <c r="Y436" s="1">
        <v>4</v>
      </c>
      <c r="Z436" s="1">
        <v>4</v>
      </c>
      <c r="AA436" s="1">
        <v>3</v>
      </c>
      <c r="AB436" s="1" t="s">
        <v>104</v>
      </c>
      <c r="AC436" s="1" t="s">
        <v>104</v>
      </c>
      <c r="AD436" s="1">
        <v>3</v>
      </c>
      <c r="AE436" s="1">
        <v>3</v>
      </c>
      <c r="AF436" s="1">
        <v>3</v>
      </c>
      <c r="AG436" s="1" t="s">
        <v>104</v>
      </c>
      <c r="AH436" s="1">
        <v>3</v>
      </c>
      <c r="AI436" s="1">
        <v>3</v>
      </c>
      <c r="AJ436" s="1">
        <v>3</v>
      </c>
      <c r="AK436" s="1" t="s">
        <v>104</v>
      </c>
      <c r="AL436" s="1" t="s">
        <v>104</v>
      </c>
      <c r="AM436" s="1">
        <v>3</v>
      </c>
      <c r="AO436" s="1">
        <v>4</v>
      </c>
      <c r="AP436" s="1" t="s">
        <v>3058</v>
      </c>
      <c r="AQ436" s="1" t="s">
        <v>3059</v>
      </c>
      <c r="AR436" s="1">
        <v>0</v>
      </c>
      <c r="AS436" s="1">
        <v>0</v>
      </c>
      <c r="AT436" s="1">
        <v>0</v>
      </c>
      <c r="AU436" s="1">
        <v>0</v>
      </c>
      <c r="AV436" s="1">
        <v>0</v>
      </c>
      <c r="AW436" s="1">
        <v>0</v>
      </c>
      <c r="AX436" s="1">
        <v>0</v>
      </c>
      <c r="AY436" s="1">
        <v>0</v>
      </c>
      <c r="AZ436" s="1">
        <v>0</v>
      </c>
      <c r="BA436" s="1">
        <v>0</v>
      </c>
      <c r="BB436" s="1">
        <v>0</v>
      </c>
      <c r="BC436" s="1">
        <v>0</v>
      </c>
      <c r="BD436" s="1">
        <v>0</v>
      </c>
      <c r="BE436" s="1">
        <v>0</v>
      </c>
      <c r="BF436" s="1">
        <v>0</v>
      </c>
      <c r="BG436" s="1">
        <v>0</v>
      </c>
      <c r="BH436" s="1">
        <v>0</v>
      </c>
      <c r="BI436" s="1">
        <v>0</v>
      </c>
      <c r="BJ436" s="1">
        <v>0</v>
      </c>
      <c r="BK436" s="1">
        <v>0</v>
      </c>
      <c r="BL436" s="1">
        <v>0</v>
      </c>
      <c r="BM436" s="1">
        <v>0</v>
      </c>
      <c r="BN436" s="1">
        <v>0</v>
      </c>
      <c r="BO436" s="1">
        <v>0</v>
      </c>
      <c r="BP436" s="1">
        <v>0</v>
      </c>
      <c r="BQ436" s="2" t="str">
        <f>HYPERLINK("http://www.d20pfsrd.com/magic/all-spells/r/remove-curse","Remove Curse")</f>
        <v>Remove Curse</v>
      </c>
      <c r="BR436" s="1">
        <v>437</v>
      </c>
      <c r="BS436" s="1" t="s">
        <v>104</v>
      </c>
      <c r="BT436" s="1" t="s">
        <v>3060</v>
      </c>
      <c r="BX436" s="1">
        <v>0</v>
      </c>
      <c r="BY436" s="1" t="s">
        <v>104</v>
      </c>
      <c r="BZ436" s="1">
        <v>3</v>
      </c>
      <c r="CA436" s="1" t="s">
        <v>104</v>
      </c>
      <c r="CB436" s="1">
        <v>3</v>
      </c>
      <c r="CC436" s="1">
        <v>3</v>
      </c>
      <c r="CD436" s="1" t="s">
        <v>104</v>
      </c>
      <c r="CE436" s="1">
        <v>3</v>
      </c>
      <c r="CF436" s="1" t="s">
        <v>104</v>
      </c>
      <c r="CG436" s="1" t="s">
        <v>104</v>
      </c>
      <c r="CH436" s="1" t="s">
        <v>104</v>
      </c>
      <c r="CJ436" s="1">
        <v>0</v>
      </c>
      <c r="CK436" s="1">
        <v>0</v>
      </c>
      <c r="CL436" s="1">
        <v>0</v>
      </c>
      <c r="CM436" s="1" t="s">
        <v>104</v>
      </c>
    </row>
    <row r="437" spans="1:91" ht="14.25" customHeight="1" x14ac:dyDescent="0.3">
      <c r="A437" s="1" t="s">
        <v>3061</v>
      </c>
      <c r="B437" s="1" t="s">
        <v>92</v>
      </c>
      <c r="C437" s="1" t="s">
        <v>523</v>
      </c>
      <c r="E437" s="1" t="s">
        <v>3062</v>
      </c>
      <c r="F437" s="1" t="s">
        <v>95</v>
      </c>
      <c r="G437" s="1" t="s">
        <v>116</v>
      </c>
      <c r="H437" s="1">
        <v>0</v>
      </c>
      <c r="I437" s="1" t="s">
        <v>128</v>
      </c>
      <c r="L437" s="1" t="s">
        <v>374</v>
      </c>
      <c r="M437" s="1" t="s">
        <v>119</v>
      </c>
      <c r="N437" s="1">
        <v>0</v>
      </c>
      <c r="O437" s="1">
        <v>0</v>
      </c>
      <c r="P437" s="1" t="s">
        <v>1058</v>
      </c>
      <c r="Q437" s="1" t="s">
        <v>131</v>
      </c>
      <c r="R437" s="1" t="s">
        <v>3063</v>
      </c>
      <c r="S437" s="1" t="s">
        <v>103</v>
      </c>
      <c r="T437" s="1">
        <v>1</v>
      </c>
      <c r="U437" s="1">
        <v>1</v>
      </c>
      <c r="V437" s="1">
        <v>0</v>
      </c>
      <c r="W437" s="1">
        <v>0</v>
      </c>
      <c r="X437" s="1">
        <v>0</v>
      </c>
      <c r="Y437" s="1" t="s">
        <v>104</v>
      </c>
      <c r="Z437" s="1" t="s">
        <v>104</v>
      </c>
      <c r="AA437" s="1">
        <v>3</v>
      </c>
      <c r="AB437" s="1">
        <v>3</v>
      </c>
      <c r="AC437" s="1">
        <v>3</v>
      </c>
      <c r="AD437" s="1" t="s">
        <v>104</v>
      </c>
      <c r="AE437" s="1" t="s">
        <v>104</v>
      </c>
      <c r="AF437" s="1">
        <v>3</v>
      </c>
      <c r="AG437" s="1" t="s">
        <v>104</v>
      </c>
      <c r="AH437" s="1">
        <v>3</v>
      </c>
      <c r="AI437" s="1">
        <v>3</v>
      </c>
      <c r="AJ437" s="1">
        <v>3</v>
      </c>
      <c r="AK437" s="1" t="s">
        <v>104</v>
      </c>
      <c r="AL437" s="1" t="s">
        <v>104</v>
      </c>
      <c r="AM437" s="1">
        <v>3</v>
      </c>
      <c r="AO437" s="1">
        <v>3</v>
      </c>
      <c r="AP437" s="1" t="s">
        <v>3064</v>
      </c>
      <c r="AQ437" s="1" t="s">
        <v>3065</v>
      </c>
      <c r="AR437" s="1">
        <v>0</v>
      </c>
      <c r="AS437" s="1">
        <v>0</v>
      </c>
      <c r="AT437" s="1">
        <v>0</v>
      </c>
      <c r="AU437" s="1">
        <v>0</v>
      </c>
      <c r="AV437" s="1">
        <v>0</v>
      </c>
      <c r="AW437" s="1">
        <v>0</v>
      </c>
      <c r="AX437" s="1">
        <v>0</v>
      </c>
      <c r="AY437" s="1">
        <v>0</v>
      </c>
      <c r="AZ437" s="1">
        <v>0</v>
      </c>
      <c r="BA437" s="1">
        <v>0</v>
      </c>
      <c r="BB437" s="1">
        <v>0</v>
      </c>
      <c r="BC437" s="1">
        <v>0</v>
      </c>
      <c r="BD437" s="1">
        <v>0</v>
      </c>
      <c r="BE437" s="1">
        <v>0</v>
      </c>
      <c r="BF437" s="1">
        <v>0</v>
      </c>
      <c r="BG437" s="1">
        <v>0</v>
      </c>
      <c r="BH437" s="1">
        <v>0</v>
      </c>
      <c r="BI437" s="1">
        <v>0</v>
      </c>
      <c r="BJ437" s="1">
        <v>0</v>
      </c>
      <c r="BK437" s="1">
        <v>0</v>
      </c>
      <c r="BL437" s="1">
        <v>0</v>
      </c>
      <c r="BM437" s="1">
        <v>0</v>
      </c>
      <c r="BN437" s="1">
        <v>0</v>
      </c>
      <c r="BO437" s="1">
        <v>0</v>
      </c>
      <c r="BP437" s="1">
        <v>0</v>
      </c>
      <c r="BQ437" s="2" t="str">
        <f>HYPERLINK("http://www.d20pfsrd.com/magic/all-spells/r/remove-disease","Remove Disease")</f>
        <v>Remove Disease</v>
      </c>
      <c r="BR437" s="1">
        <v>438</v>
      </c>
      <c r="BS437" s="1" t="s">
        <v>104</v>
      </c>
      <c r="BU437" s="1" t="s">
        <v>1924</v>
      </c>
      <c r="BX437" s="1">
        <v>0</v>
      </c>
      <c r="BY437" s="1" t="s">
        <v>104</v>
      </c>
      <c r="BZ437" s="1" t="s">
        <v>104</v>
      </c>
      <c r="CA437" s="1" t="s">
        <v>104</v>
      </c>
      <c r="CB437" s="1" t="s">
        <v>104</v>
      </c>
      <c r="CC437" s="1" t="s">
        <v>104</v>
      </c>
      <c r="CD437" s="1" t="s">
        <v>104</v>
      </c>
      <c r="CE437" s="1">
        <v>3</v>
      </c>
      <c r="CF437" s="1" t="s">
        <v>104</v>
      </c>
      <c r="CG437" s="1" t="s">
        <v>104</v>
      </c>
      <c r="CH437" s="1">
        <v>3</v>
      </c>
      <c r="CJ437" s="1">
        <v>0</v>
      </c>
      <c r="CK437" s="1">
        <v>0</v>
      </c>
      <c r="CL437" s="1">
        <v>0</v>
      </c>
      <c r="CM437" s="1" t="s">
        <v>104</v>
      </c>
    </row>
    <row r="438" spans="1:91" ht="14.25" customHeight="1" x14ac:dyDescent="0.3">
      <c r="A438" s="1" t="s">
        <v>3066</v>
      </c>
      <c r="B438" s="1" t="s">
        <v>162</v>
      </c>
      <c r="E438" s="1" t="s">
        <v>3067</v>
      </c>
      <c r="F438" s="1" t="s">
        <v>95</v>
      </c>
      <c r="G438" s="1" t="s">
        <v>116</v>
      </c>
      <c r="H438" s="1">
        <v>0</v>
      </c>
      <c r="I438" s="1" t="s">
        <v>117</v>
      </c>
      <c r="L438" s="1" t="s">
        <v>3068</v>
      </c>
      <c r="M438" s="1" t="s">
        <v>861</v>
      </c>
      <c r="N438" s="1">
        <v>0</v>
      </c>
      <c r="O438" s="1">
        <v>0</v>
      </c>
      <c r="P438" s="1" t="s">
        <v>375</v>
      </c>
      <c r="Q438" s="1" t="s">
        <v>131</v>
      </c>
      <c r="R438" s="1" t="s">
        <v>3069</v>
      </c>
      <c r="S438" s="1" t="s">
        <v>103</v>
      </c>
      <c r="T438" s="1">
        <v>1</v>
      </c>
      <c r="U438" s="1">
        <v>1</v>
      </c>
      <c r="V438" s="1">
        <v>0</v>
      </c>
      <c r="W438" s="1">
        <v>0</v>
      </c>
      <c r="X438" s="1">
        <v>0</v>
      </c>
      <c r="Y438" s="1" t="s">
        <v>104</v>
      </c>
      <c r="Z438" s="1" t="s">
        <v>104</v>
      </c>
      <c r="AA438" s="1">
        <v>1</v>
      </c>
      <c r="AB438" s="1" t="s">
        <v>104</v>
      </c>
      <c r="AC438" s="1" t="s">
        <v>104</v>
      </c>
      <c r="AD438" s="1">
        <v>1</v>
      </c>
      <c r="AE438" s="1" t="s">
        <v>104</v>
      </c>
      <c r="AF438" s="1" t="s">
        <v>104</v>
      </c>
      <c r="AG438" s="1" t="s">
        <v>104</v>
      </c>
      <c r="AH438" s="1" t="s">
        <v>104</v>
      </c>
      <c r="AI438" s="1">
        <v>1</v>
      </c>
      <c r="AJ438" s="1">
        <v>1</v>
      </c>
      <c r="AK438" s="1" t="s">
        <v>104</v>
      </c>
      <c r="AL438" s="1" t="s">
        <v>104</v>
      </c>
      <c r="AM438" s="1" t="s">
        <v>104</v>
      </c>
      <c r="AO438" s="1">
        <v>1</v>
      </c>
      <c r="AP438" s="1" t="s">
        <v>3070</v>
      </c>
      <c r="AQ438" s="1" t="s">
        <v>3071</v>
      </c>
      <c r="AR438" s="1">
        <v>0</v>
      </c>
      <c r="AS438" s="1">
        <v>0</v>
      </c>
      <c r="AT438" s="1">
        <v>0</v>
      </c>
      <c r="AU438" s="1">
        <v>0</v>
      </c>
      <c r="AV438" s="1">
        <v>0</v>
      </c>
      <c r="AW438" s="1">
        <v>0</v>
      </c>
      <c r="AX438" s="1">
        <v>0</v>
      </c>
      <c r="AY438" s="1">
        <v>0</v>
      </c>
      <c r="AZ438" s="1">
        <v>0</v>
      </c>
      <c r="BA438" s="1">
        <v>0</v>
      </c>
      <c r="BB438" s="1">
        <v>0</v>
      </c>
      <c r="BC438" s="1">
        <v>0</v>
      </c>
      <c r="BD438" s="1">
        <v>0</v>
      </c>
      <c r="BE438" s="1">
        <v>0</v>
      </c>
      <c r="BF438" s="1">
        <v>0</v>
      </c>
      <c r="BG438" s="1">
        <v>0</v>
      </c>
      <c r="BH438" s="1">
        <v>0</v>
      </c>
      <c r="BI438" s="1">
        <v>0</v>
      </c>
      <c r="BJ438" s="1">
        <v>0</v>
      </c>
      <c r="BK438" s="1">
        <v>0</v>
      </c>
      <c r="BL438" s="1">
        <v>0</v>
      </c>
      <c r="BM438" s="1">
        <v>0</v>
      </c>
      <c r="BN438" s="1">
        <v>0</v>
      </c>
      <c r="BO438" s="1">
        <v>0</v>
      </c>
      <c r="BP438" s="1">
        <v>0</v>
      </c>
      <c r="BQ438" s="2" t="str">
        <f>HYPERLINK("http://www.d20pfsrd.com/magic/all-spells/r/remove-fear","Remove Fear")</f>
        <v>Remove Fear</v>
      </c>
      <c r="BR438" s="1">
        <v>439</v>
      </c>
      <c r="BS438" s="1" t="s">
        <v>104</v>
      </c>
      <c r="BU438" s="1" t="s">
        <v>953</v>
      </c>
      <c r="BX438" s="1">
        <v>0</v>
      </c>
      <c r="BY438" s="1" t="s">
        <v>104</v>
      </c>
      <c r="BZ438" s="1">
        <v>1</v>
      </c>
      <c r="CA438" s="1">
        <v>1</v>
      </c>
      <c r="CB438" s="1">
        <v>1</v>
      </c>
      <c r="CC438" s="1">
        <v>1</v>
      </c>
      <c r="CD438" s="1" t="s">
        <v>104</v>
      </c>
      <c r="CE438" s="1">
        <v>1</v>
      </c>
      <c r="CF438" s="1" t="s">
        <v>104</v>
      </c>
      <c r="CG438" s="1" t="s">
        <v>104</v>
      </c>
      <c r="CH438" s="1" t="s">
        <v>104</v>
      </c>
      <c r="CJ438" s="1">
        <v>0</v>
      </c>
      <c r="CK438" s="1">
        <v>0</v>
      </c>
      <c r="CL438" s="1">
        <v>0</v>
      </c>
      <c r="CM438" s="1" t="s">
        <v>104</v>
      </c>
    </row>
    <row r="439" spans="1:91" ht="14.25" customHeight="1" x14ac:dyDescent="0.3">
      <c r="A439" s="1" t="s">
        <v>3072</v>
      </c>
      <c r="B439" s="1" t="s">
        <v>92</v>
      </c>
      <c r="C439" s="1" t="s">
        <v>523</v>
      </c>
      <c r="E439" s="1" t="s">
        <v>3073</v>
      </c>
      <c r="F439" s="1" t="s">
        <v>95</v>
      </c>
      <c r="G439" s="1" t="s">
        <v>116</v>
      </c>
      <c r="H439" s="1">
        <v>0</v>
      </c>
      <c r="I439" s="1" t="s">
        <v>117</v>
      </c>
      <c r="L439" s="1" t="s">
        <v>3074</v>
      </c>
      <c r="M439" s="1" t="s">
        <v>119</v>
      </c>
      <c r="N439" s="1">
        <v>0</v>
      </c>
      <c r="O439" s="1">
        <v>0</v>
      </c>
      <c r="P439" s="1" t="s">
        <v>375</v>
      </c>
      <c r="Q439" s="1" t="s">
        <v>131</v>
      </c>
      <c r="R439" s="1" t="s">
        <v>3075</v>
      </c>
      <c r="S439" s="1" t="s">
        <v>103</v>
      </c>
      <c r="T439" s="1">
        <v>1</v>
      </c>
      <c r="U439" s="1">
        <v>1</v>
      </c>
      <c r="V439" s="1">
        <v>0</v>
      </c>
      <c r="W439" s="1">
        <v>0</v>
      </c>
      <c r="X439" s="1">
        <v>0</v>
      </c>
      <c r="Y439" s="1" t="s">
        <v>104</v>
      </c>
      <c r="Z439" s="1" t="s">
        <v>104</v>
      </c>
      <c r="AA439" s="1">
        <v>2</v>
      </c>
      <c r="AB439" s="1" t="s">
        <v>104</v>
      </c>
      <c r="AC439" s="1" t="s">
        <v>104</v>
      </c>
      <c r="AD439" s="1" t="s">
        <v>104</v>
      </c>
      <c r="AE439" s="1">
        <v>2</v>
      </c>
      <c r="AF439" s="1" t="s">
        <v>104</v>
      </c>
      <c r="AG439" s="1" t="s">
        <v>104</v>
      </c>
      <c r="AH439" s="1" t="s">
        <v>104</v>
      </c>
      <c r="AI439" s="1">
        <v>2</v>
      </c>
      <c r="AJ439" s="1">
        <v>2</v>
      </c>
      <c r="AK439" s="1" t="s">
        <v>104</v>
      </c>
      <c r="AL439" s="1" t="s">
        <v>104</v>
      </c>
      <c r="AM439" s="1" t="s">
        <v>104</v>
      </c>
      <c r="AO439" s="1">
        <v>2</v>
      </c>
      <c r="AP439" s="1" t="s">
        <v>3076</v>
      </c>
      <c r="AQ439" s="1" t="s">
        <v>3077</v>
      </c>
      <c r="AR439" s="1">
        <v>0</v>
      </c>
      <c r="AS439" s="1">
        <v>0</v>
      </c>
      <c r="AT439" s="1">
        <v>0</v>
      </c>
      <c r="AU439" s="1">
        <v>0</v>
      </c>
      <c r="AV439" s="1">
        <v>0</v>
      </c>
      <c r="AW439" s="1">
        <v>0</v>
      </c>
      <c r="AX439" s="1">
        <v>0</v>
      </c>
      <c r="AY439" s="1">
        <v>0</v>
      </c>
      <c r="AZ439" s="1">
        <v>0</v>
      </c>
      <c r="BA439" s="1">
        <v>0</v>
      </c>
      <c r="BB439" s="1">
        <v>0</v>
      </c>
      <c r="BC439" s="1">
        <v>0</v>
      </c>
      <c r="BD439" s="1">
        <v>0</v>
      </c>
      <c r="BE439" s="1">
        <v>0</v>
      </c>
      <c r="BF439" s="1">
        <v>0</v>
      </c>
      <c r="BG439" s="1">
        <v>0</v>
      </c>
      <c r="BH439" s="1">
        <v>0</v>
      </c>
      <c r="BI439" s="1">
        <v>0</v>
      </c>
      <c r="BJ439" s="1">
        <v>0</v>
      </c>
      <c r="BK439" s="1">
        <v>0</v>
      </c>
      <c r="BL439" s="1">
        <v>0</v>
      </c>
      <c r="BM439" s="1">
        <v>0</v>
      </c>
      <c r="BN439" s="1">
        <v>0</v>
      </c>
      <c r="BO439" s="1">
        <v>0</v>
      </c>
      <c r="BP439" s="1">
        <v>0</v>
      </c>
      <c r="BQ439" s="2" t="str">
        <f>HYPERLINK("http://www.d20pfsrd.com/magic/all-spells/r/remove-paralysis","Remove Paralysis")</f>
        <v>Remove Paralysis</v>
      </c>
      <c r="BR439" s="1">
        <v>440</v>
      </c>
      <c r="BS439" s="1" t="s">
        <v>104</v>
      </c>
      <c r="BX439" s="1">
        <v>0</v>
      </c>
      <c r="BY439" s="1" t="s">
        <v>104</v>
      </c>
      <c r="BZ439" s="1">
        <v>2</v>
      </c>
      <c r="CA439" s="1" t="s">
        <v>104</v>
      </c>
      <c r="CB439" s="1" t="s">
        <v>104</v>
      </c>
      <c r="CC439" s="1" t="s">
        <v>104</v>
      </c>
      <c r="CD439" s="1" t="s">
        <v>104</v>
      </c>
      <c r="CE439" s="1">
        <v>2</v>
      </c>
      <c r="CF439" s="1" t="s">
        <v>104</v>
      </c>
      <c r="CG439" s="1" t="s">
        <v>104</v>
      </c>
      <c r="CH439" s="1" t="s">
        <v>104</v>
      </c>
      <c r="CJ439" s="1">
        <v>0</v>
      </c>
      <c r="CK439" s="1">
        <v>0</v>
      </c>
      <c r="CL439" s="1">
        <v>0</v>
      </c>
      <c r="CM439" s="1" t="s">
        <v>104</v>
      </c>
    </row>
    <row r="440" spans="1:91" ht="14.25" customHeight="1" x14ac:dyDescent="0.3">
      <c r="A440" s="1" t="s">
        <v>3078</v>
      </c>
      <c r="B440" s="1" t="s">
        <v>162</v>
      </c>
      <c r="D440" s="1" t="s">
        <v>51</v>
      </c>
      <c r="E440" s="1" t="s">
        <v>837</v>
      </c>
      <c r="F440" s="1" t="s">
        <v>95</v>
      </c>
      <c r="G440" s="1" t="s">
        <v>116</v>
      </c>
      <c r="H440" s="1">
        <v>0</v>
      </c>
      <c r="I440" s="1" t="s">
        <v>776</v>
      </c>
      <c r="J440" s="1" t="s">
        <v>3079</v>
      </c>
      <c r="M440" s="1" t="s">
        <v>111</v>
      </c>
      <c r="N440" s="1">
        <v>1</v>
      </c>
      <c r="O440" s="1">
        <v>0</v>
      </c>
      <c r="P440" s="1" t="s">
        <v>100</v>
      </c>
      <c r="Q440" s="1" t="s">
        <v>101</v>
      </c>
      <c r="R440" s="1" t="s">
        <v>3080</v>
      </c>
      <c r="S440" s="1" t="s">
        <v>103</v>
      </c>
      <c r="T440" s="1">
        <v>1</v>
      </c>
      <c r="U440" s="1">
        <v>1</v>
      </c>
      <c r="V440" s="1">
        <v>0</v>
      </c>
      <c r="W440" s="1">
        <v>0</v>
      </c>
      <c r="X440" s="1">
        <v>0</v>
      </c>
      <c r="Y440" s="1" t="s">
        <v>104</v>
      </c>
      <c r="Z440" s="1" t="s">
        <v>104</v>
      </c>
      <c r="AA440" s="1" t="s">
        <v>104</v>
      </c>
      <c r="AB440" s="1">
        <v>8</v>
      </c>
      <c r="AC440" s="1" t="s">
        <v>104</v>
      </c>
      <c r="AD440" s="1" t="s">
        <v>104</v>
      </c>
      <c r="AE440" s="1" t="s">
        <v>104</v>
      </c>
      <c r="AF440" s="1" t="s">
        <v>104</v>
      </c>
      <c r="AG440" s="1" t="s">
        <v>104</v>
      </c>
      <c r="AH440" s="1" t="s">
        <v>104</v>
      </c>
      <c r="AI440" s="1" t="s">
        <v>104</v>
      </c>
      <c r="AJ440" s="1" t="s">
        <v>104</v>
      </c>
      <c r="AK440" s="1" t="s">
        <v>104</v>
      </c>
      <c r="AL440" s="1" t="s">
        <v>104</v>
      </c>
      <c r="AM440" s="1" t="s">
        <v>104</v>
      </c>
      <c r="AO440" s="1">
        <v>8</v>
      </c>
      <c r="AQ440" s="1" t="s">
        <v>3081</v>
      </c>
      <c r="AR440" s="1">
        <v>0</v>
      </c>
      <c r="AS440" s="1">
        <v>0</v>
      </c>
      <c r="AT440" s="1">
        <v>0</v>
      </c>
      <c r="AU440" s="1">
        <v>0</v>
      </c>
      <c r="AV440" s="1">
        <v>0</v>
      </c>
      <c r="AW440" s="1">
        <v>0</v>
      </c>
      <c r="AX440" s="1">
        <v>0</v>
      </c>
      <c r="AY440" s="1">
        <v>0</v>
      </c>
      <c r="AZ440" s="1">
        <v>1</v>
      </c>
      <c r="BA440" s="1">
        <v>0</v>
      </c>
      <c r="BB440" s="1">
        <v>0</v>
      </c>
      <c r="BC440" s="1">
        <v>0</v>
      </c>
      <c r="BD440" s="1">
        <v>0</v>
      </c>
      <c r="BE440" s="1">
        <v>0</v>
      </c>
      <c r="BF440" s="1">
        <v>0</v>
      </c>
      <c r="BG440" s="1">
        <v>0</v>
      </c>
      <c r="BH440" s="1">
        <v>0</v>
      </c>
      <c r="BI440" s="1">
        <v>0</v>
      </c>
      <c r="BJ440" s="1">
        <v>0</v>
      </c>
      <c r="BK440" s="1">
        <v>0</v>
      </c>
      <c r="BL440" s="1">
        <v>0</v>
      </c>
      <c r="BM440" s="1">
        <v>0</v>
      </c>
      <c r="BN440" s="1">
        <v>0</v>
      </c>
      <c r="BO440" s="1">
        <v>0</v>
      </c>
      <c r="BP440" s="1">
        <v>0</v>
      </c>
      <c r="BQ440" s="2" t="str">
        <f>HYPERLINK("http://www.d20pfsrd.com/magic/all-spells/r/repel-metal-or-stone","Repel Metal or Stone")</f>
        <v>Repel Metal or Stone</v>
      </c>
      <c r="BR440" s="1">
        <v>441</v>
      </c>
      <c r="BS440" s="1" t="s">
        <v>104</v>
      </c>
      <c r="BT440" s="1" t="s">
        <v>3082</v>
      </c>
      <c r="BU440" s="1" t="s">
        <v>3083</v>
      </c>
      <c r="BX440" s="1">
        <v>0</v>
      </c>
      <c r="BY440" s="1" t="s">
        <v>104</v>
      </c>
      <c r="BZ440" s="1" t="s">
        <v>104</v>
      </c>
      <c r="CA440" s="1" t="s">
        <v>104</v>
      </c>
      <c r="CB440" s="1" t="s">
        <v>104</v>
      </c>
      <c r="CC440" s="1" t="s">
        <v>104</v>
      </c>
      <c r="CD440" s="1" t="s">
        <v>104</v>
      </c>
      <c r="CE440" s="1" t="s">
        <v>104</v>
      </c>
      <c r="CF440" s="1" t="s">
        <v>104</v>
      </c>
      <c r="CG440" s="1" t="s">
        <v>104</v>
      </c>
      <c r="CH440" s="1" t="s">
        <v>104</v>
      </c>
      <c r="CJ440" s="1">
        <v>0</v>
      </c>
      <c r="CK440" s="1">
        <v>0</v>
      </c>
      <c r="CL440" s="1">
        <v>0</v>
      </c>
      <c r="CM440" s="1" t="s">
        <v>104</v>
      </c>
    </row>
    <row r="441" spans="1:91" ht="14.25" customHeight="1" x14ac:dyDescent="0.3">
      <c r="A441" s="1" t="s">
        <v>3084</v>
      </c>
      <c r="B441" s="1" t="s">
        <v>162</v>
      </c>
      <c r="D441" s="1" t="s">
        <v>63</v>
      </c>
      <c r="E441" s="1" t="s">
        <v>3085</v>
      </c>
      <c r="F441" s="1" t="s">
        <v>95</v>
      </c>
      <c r="G441" s="1" t="s">
        <v>127</v>
      </c>
      <c r="H441" s="1">
        <v>0</v>
      </c>
      <c r="I441" s="1" t="s">
        <v>256</v>
      </c>
      <c r="J441" s="1" t="s">
        <v>3086</v>
      </c>
      <c r="M441" s="1" t="s">
        <v>140</v>
      </c>
      <c r="N441" s="1">
        <v>1</v>
      </c>
      <c r="O441" s="1">
        <v>0</v>
      </c>
      <c r="P441" s="1" t="s">
        <v>176</v>
      </c>
      <c r="Q441" s="1" t="s">
        <v>184</v>
      </c>
      <c r="R441" s="1" t="s">
        <v>3087</v>
      </c>
      <c r="S441" s="1" t="s">
        <v>103</v>
      </c>
      <c r="T441" s="1">
        <v>1</v>
      </c>
      <c r="U441" s="1">
        <v>1</v>
      </c>
      <c r="V441" s="1">
        <v>0</v>
      </c>
      <c r="W441" s="1">
        <v>0</v>
      </c>
      <c r="X441" s="1">
        <v>1</v>
      </c>
      <c r="Y441" s="1" t="s">
        <v>104</v>
      </c>
      <c r="Z441" s="1" t="s">
        <v>104</v>
      </c>
      <c r="AA441" s="1">
        <v>4</v>
      </c>
      <c r="AB441" s="1">
        <v>4</v>
      </c>
      <c r="AC441" s="1">
        <v>3</v>
      </c>
      <c r="AD441" s="1">
        <v>4</v>
      </c>
      <c r="AE441" s="1" t="s">
        <v>104</v>
      </c>
      <c r="AF441" s="1" t="s">
        <v>104</v>
      </c>
      <c r="AG441" s="1" t="s">
        <v>104</v>
      </c>
      <c r="AH441" s="1" t="s">
        <v>104</v>
      </c>
      <c r="AI441" s="1" t="s">
        <v>104</v>
      </c>
      <c r="AJ441" s="1">
        <v>4</v>
      </c>
      <c r="AK441" s="1" t="s">
        <v>104</v>
      </c>
      <c r="AL441" s="1" t="s">
        <v>104</v>
      </c>
      <c r="AM441" s="1" t="s">
        <v>104</v>
      </c>
      <c r="AO441" s="1">
        <v>4</v>
      </c>
      <c r="AQ441" s="1" t="s">
        <v>3088</v>
      </c>
      <c r="AR441" s="1">
        <v>0</v>
      </c>
      <c r="AS441" s="1">
        <v>0</v>
      </c>
      <c r="AT441" s="1">
        <v>0</v>
      </c>
      <c r="AU441" s="1">
        <v>0</v>
      </c>
      <c r="AV441" s="1">
        <v>0</v>
      </c>
      <c r="AW441" s="1">
        <v>0</v>
      </c>
      <c r="AX441" s="1">
        <v>0</v>
      </c>
      <c r="AY441" s="1">
        <v>0</v>
      </c>
      <c r="AZ441" s="1">
        <v>0</v>
      </c>
      <c r="BA441" s="1">
        <v>0</v>
      </c>
      <c r="BB441" s="1">
        <v>0</v>
      </c>
      <c r="BC441" s="1">
        <v>0</v>
      </c>
      <c r="BD441" s="1">
        <v>0</v>
      </c>
      <c r="BE441" s="1">
        <v>0</v>
      </c>
      <c r="BF441" s="1">
        <v>0</v>
      </c>
      <c r="BG441" s="1">
        <v>0</v>
      </c>
      <c r="BH441" s="1">
        <v>0</v>
      </c>
      <c r="BI441" s="1">
        <v>0</v>
      </c>
      <c r="BJ441" s="1">
        <v>0</v>
      </c>
      <c r="BK441" s="1">
        <v>0</v>
      </c>
      <c r="BL441" s="1">
        <v>1</v>
      </c>
      <c r="BM441" s="1">
        <v>0</v>
      </c>
      <c r="BN441" s="1">
        <v>0</v>
      </c>
      <c r="BO441" s="1">
        <v>0</v>
      </c>
      <c r="BP441" s="1">
        <v>0</v>
      </c>
      <c r="BQ441" s="2" t="str">
        <f>HYPERLINK("http://www.d20pfsrd.com/magic/all-spells/r/repel-vermin","Repel Vermin")</f>
        <v>Repel Vermin</v>
      </c>
      <c r="BR441" s="1">
        <v>442</v>
      </c>
      <c r="BS441" s="1" t="s">
        <v>104</v>
      </c>
      <c r="BT441" s="1" t="s">
        <v>3089</v>
      </c>
      <c r="BX441" s="1">
        <v>0</v>
      </c>
      <c r="BY441" s="1" t="s">
        <v>104</v>
      </c>
      <c r="BZ441" s="1">
        <v>4</v>
      </c>
      <c r="CA441" s="1" t="s">
        <v>104</v>
      </c>
      <c r="CB441" s="1" t="s">
        <v>104</v>
      </c>
      <c r="CC441" s="1" t="s">
        <v>104</v>
      </c>
      <c r="CD441" s="1" t="s">
        <v>104</v>
      </c>
      <c r="CE441" s="1" t="s">
        <v>104</v>
      </c>
      <c r="CF441" s="1" t="s">
        <v>104</v>
      </c>
      <c r="CG441" s="1" t="s">
        <v>104</v>
      </c>
      <c r="CH441" s="1">
        <v>3</v>
      </c>
      <c r="CJ441" s="1">
        <v>0</v>
      </c>
      <c r="CK441" s="1">
        <v>0</v>
      </c>
      <c r="CL441" s="1">
        <v>0</v>
      </c>
      <c r="CM441" s="1" t="s">
        <v>104</v>
      </c>
    </row>
    <row r="442" spans="1:91" ht="14.25" customHeight="1" x14ac:dyDescent="0.3">
      <c r="A442" s="1" t="s">
        <v>3090</v>
      </c>
      <c r="B442" s="1" t="s">
        <v>137</v>
      </c>
      <c r="E442" s="1" t="s">
        <v>3091</v>
      </c>
      <c r="F442" s="1" t="s">
        <v>95</v>
      </c>
      <c r="G442" s="1" t="s">
        <v>116</v>
      </c>
      <c r="H442" s="1">
        <v>0</v>
      </c>
      <c r="I442" s="1" t="s">
        <v>776</v>
      </c>
      <c r="J442" s="1" t="s">
        <v>3092</v>
      </c>
      <c r="M442" s="1" t="s">
        <v>437</v>
      </c>
      <c r="N442" s="1">
        <v>1</v>
      </c>
      <c r="O442" s="1">
        <v>0</v>
      </c>
      <c r="P442" s="1" t="s">
        <v>100</v>
      </c>
      <c r="Q442" s="1" t="s">
        <v>101</v>
      </c>
      <c r="R442" s="1" t="s">
        <v>3093</v>
      </c>
      <c r="S442" s="1" t="s">
        <v>103</v>
      </c>
      <c r="T442" s="1">
        <v>1</v>
      </c>
      <c r="U442" s="1">
        <v>1</v>
      </c>
      <c r="V442" s="1">
        <v>0</v>
      </c>
      <c r="W442" s="1">
        <v>0</v>
      </c>
      <c r="X442" s="1">
        <v>0</v>
      </c>
      <c r="Y442" s="1" t="s">
        <v>104</v>
      </c>
      <c r="Z442" s="1" t="s">
        <v>104</v>
      </c>
      <c r="AA442" s="1" t="s">
        <v>104</v>
      </c>
      <c r="AB442" s="1">
        <v>6</v>
      </c>
      <c r="AC442" s="1" t="s">
        <v>104</v>
      </c>
      <c r="AD442" s="1" t="s">
        <v>104</v>
      </c>
      <c r="AE442" s="1" t="s">
        <v>104</v>
      </c>
      <c r="AF442" s="1" t="s">
        <v>104</v>
      </c>
      <c r="AG442" s="1" t="s">
        <v>104</v>
      </c>
      <c r="AH442" s="1" t="s">
        <v>104</v>
      </c>
      <c r="AI442" s="1" t="s">
        <v>104</v>
      </c>
      <c r="AJ442" s="1" t="s">
        <v>104</v>
      </c>
      <c r="AK442" s="1" t="s">
        <v>104</v>
      </c>
      <c r="AL442" s="1" t="s">
        <v>104</v>
      </c>
      <c r="AM442" s="1" t="s">
        <v>104</v>
      </c>
      <c r="AO442" s="1">
        <v>6</v>
      </c>
      <c r="AP442" s="1" t="s">
        <v>3094</v>
      </c>
      <c r="AQ442" s="1" t="s">
        <v>3095</v>
      </c>
      <c r="AR442" s="1">
        <v>0</v>
      </c>
      <c r="AS442" s="1">
        <v>0</v>
      </c>
      <c r="AT442" s="1">
        <v>0</v>
      </c>
      <c r="AU442" s="1">
        <v>0</v>
      </c>
      <c r="AV442" s="1">
        <v>0</v>
      </c>
      <c r="AW442" s="1">
        <v>0</v>
      </c>
      <c r="AX442" s="1">
        <v>0</v>
      </c>
      <c r="AY442" s="1">
        <v>0</v>
      </c>
      <c r="AZ442" s="1">
        <v>0</v>
      </c>
      <c r="BA442" s="1">
        <v>0</v>
      </c>
      <c r="BB442" s="1">
        <v>0</v>
      </c>
      <c r="BC442" s="1">
        <v>0</v>
      </c>
      <c r="BD442" s="1">
        <v>0</v>
      </c>
      <c r="BE442" s="1">
        <v>0</v>
      </c>
      <c r="BF442" s="1">
        <v>0</v>
      </c>
      <c r="BG442" s="1">
        <v>0</v>
      </c>
      <c r="BH442" s="1">
        <v>0</v>
      </c>
      <c r="BI442" s="1">
        <v>0</v>
      </c>
      <c r="BJ442" s="1">
        <v>0</v>
      </c>
      <c r="BK442" s="1">
        <v>0</v>
      </c>
      <c r="BL442" s="1">
        <v>0</v>
      </c>
      <c r="BM442" s="1">
        <v>0</v>
      </c>
      <c r="BN442" s="1">
        <v>0</v>
      </c>
      <c r="BO442" s="1">
        <v>0</v>
      </c>
      <c r="BP442" s="1">
        <v>0</v>
      </c>
      <c r="BQ442" s="2" t="str">
        <f>HYPERLINK("http://www.d20pfsrd.com/magic/all-spells/r/repel-wood","Repel Wood")</f>
        <v>Repel Wood</v>
      </c>
      <c r="BR442" s="1">
        <v>443</v>
      </c>
      <c r="BS442" s="1" t="s">
        <v>104</v>
      </c>
      <c r="BU442" s="1" t="s">
        <v>3096</v>
      </c>
      <c r="BV442" s="1" t="s">
        <v>3097</v>
      </c>
      <c r="BW442" s="1" t="s">
        <v>3098</v>
      </c>
      <c r="BX442" s="1">
        <v>1</v>
      </c>
      <c r="BY442" s="1" t="s">
        <v>104</v>
      </c>
      <c r="BZ442" s="1" t="s">
        <v>104</v>
      </c>
      <c r="CA442" s="1" t="s">
        <v>104</v>
      </c>
      <c r="CB442" s="1" t="s">
        <v>104</v>
      </c>
      <c r="CC442" s="1" t="s">
        <v>104</v>
      </c>
      <c r="CD442" s="1" t="s">
        <v>104</v>
      </c>
      <c r="CE442" s="1" t="s">
        <v>104</v>
      </c>
      <c r="CF442" s="1" t="s">
        <v>104</v>
      </c>
      <c r="CG442" s="1" t="s">
        <v>104</v>
      </c>
      <c r="CH442" s="1">
        <v>6</v>
      </c>
      <c r="CJ442" s="1">
        <v>0</v>
      </c>
      <c r="CK442" s="1">
        <v>0</v>
      </c>
      <c r="CL442" s="1">
        <v>0</v>
      </c>
      <c r="CM442" s="1" t="s">
        <v>104</v>
      </c>
    </row>
    <row r="443" spans="1:91" ht="14.25" customHeight="1" x14ac:dyDescent="0.3">
      <c r="A443" s="1" t="s">
        <v>3099</v>
      </c>
      <c r="B443" s="1" t="s">
        <v>162</v>
      </c>
      <c r="E443" s="1" t="s">
        <v>3100</v>
      </c>
      <c r="F443" s="1" t="s">
        <v>95</v>
      </c>
      <c r="G443" s="1" t="s">
        <v>3101</v>
      </c>
      <c r="H443" s="1">
        <v>1</v>
      </c>
      <c r="I443" s="1" t="s">
        <v>3102</v>
      </c>
      <c r="J443" s="1" t="s">
        <v>3103</v>
      </c>
      <c r="M443" s="1" t="s">
        <v>111</v>
      </c>
      <c r="N443" s="1">
        <v>1</v>
      </c>
      <c r="O443" s="1">
        <v>0</v>
      </c>
      <c r="P443" s="1" t="s">
        <v>211</v>
      </c>
      <c r="Q443" s="1" t="s">
        <v>184</v>
      </c>
      <c r="R443" s="1" t="s">
        <v>3104</v>
      </c>
      <c r="S443" s="1" t="s">
        <v>103</v>
      </c>
      <c r="T443" s="1">
        <v>1</v>
      </c>
      <c r="U443" s="1">
        <v>1</v>
      </c>
      <c r="V443" s="1">
        <v>0</v>
      </c>
      <c r="W443" s="1">
        <v>1</v>
      </c>
      <c r="X443" s="1">
        <v>1</v>
      </c>
      <c r="Y443" s="1">
        <v>6</v>
      </c>
      <c r="Z443" s="1">
        <v>6</v>
      </c>
      <c r="AA443" s="1">
        <v>7</v>
      </c>
      <c r="AB443" s="1" t="s">
        <v>104</v>
      </c>
      <c r="AC443" s="1" t="s">
        <v>104</v>
      </c>
      <c r="AD443" s="1" t="s">
        <v>104</v>
      </c>
      <c r="AE443" s="1" t="s">
        <v>104</v>
      </c>
      <c r="AF443" s="1" t="s">
        <v>104</v>
      </c>
      <c r="AG443" s="1">
        <v>5</v>
      </c>
      <c r="AH443" s="1" t="s">
        <v>104</v>
      </c>
      <c r="AI443" s="1">
        <v>6</v>
      </c>
      <c r="AJ443" s="1">
        <v>7</v>
      </c>
      <c r="AK443" s="1" t="s">
        <v>104</v>
      </c>
      <c r="AL443" s="1" t="s">
        <v>104</v>
      </c>
      <c r="AM443" s="1" t="s">
        <v>104</v>
      </c>
      <c r="AO443" s="1">
        <v>6</v>
      </c>
      <c r="AP443" s="1" t="s">
        <v>3105</v>
      </c>
      <c r="AQ443" s="1" t="s">
        <v>3106</v>
      </c>
      <c r="AR443" s="1">
        <v>0</v>
      </c>
      <c r="AS443" s="1">
        <v>0</v>
      </c>
      <c r="AT443" s="1">
        <v>0</v>
      </c>
      <c r="AU443" s="1">
        <v>0</v>
      </c>
      <c r="AV443" s="1">
        <v>0</v>
      </c>
      <c r="AW443" s="1">
        <v>0</v>
      </c>
      <c r="AX443" s="1">
        <v>0</v>
      </c>
      <c r="AY443" s="1">
        <v>0</v>
      </c>
      <c r="AZ443" s="1">
        <v>0</v>
      </c>
      <c r="BA443" s="1">
        <v>0</v>
      </c>
      <c r="BB443" s="1">
        <v>0</v>
      </c>
      <c r="BC443" s="1">
        <v>0</v>
      </c>
      <c r="BD443" s="1">
        <v>0</v>
      </c>
      <c r="BE443" s="1">
        <v>0</v>
      </c>
      <c r="BF443" s="1">
        <v>0</v>
      </c>
      <c r="BG443" s="1">
        <v>0</v>
      </c>
      <c r="BH443" s="1">
        <v>0</v>
      </c>
      <c r="BI443" s="1">
        <v>0</v>
      </c>
      <c r="BJ443" s="1">
        <v>0</v>
      </c>
      <c r="BK443" s="1">
        <v>0</v>
      </c>
      <c r="BL443" s="1">
        <v>0</v>
      </c>
      <c r="BM443" s="1">
        <v>0</v>
      </c>
      <c r="BN443" s="1">
        <v>0</v>
      </c>
      <c r="BO443" s="1">
        <v>0</v>
      </c>
      <c r="BP443" s="1">
        <v>0</v>
      </c>
      <c r="BQ443" s="2" t="str">
        <f>HYPERLINK("http://www.d20pfsrd.com/magic/all-spells/r/repulsion","Repulsion")</f>
        <v>Repulsion</v>
      </c>
      <c r="BR443" s="1">
        <v>444</v>
      </c>
      <c r="BS443" s="1">
        <v>50</v>
      </c>
      <c r="BT443" s="1" t="s">
        <v>3107</v>
      </c>
      <c r="BU443" s="1" t="s">
        <v>3108</v>
      </c>
      <c r="BX443" s="1">
        <v>0</v>
      </c>
      <c r="BY443" s="1" t="s">
        <v>104</v>
      </c>
      <c r="BZ443" s="1" t="s">
        <v>104</v>
      </c>
      <c r="CA443" s="1">
        <v>7</v>
      </c>
      <c r="CB443" s="1" t="s">
        <v>104</v>
      </c>
      <c r="CC443" s="1" t="s">
        <v>104</v>
      </c>
      <c r="CD443" s="1">
        <v>6</v>
      </c>
      <c r="CE443" s="1">
        <v>6</v>
      </c>
      <c r="CF443" s="1" t="s">
        <v>104</v>
      </c>
      <c r="CG443" s="1" t="s">
        <v>104</v>
      </c>
      <c r="CH443" s="1" t="s">
        <v>104</v>
      </c>
      <c r="CJ443" s="1">
        <v>0</v>
      </c>
      <c r="CK443" s="1">
        <v>0</v>
      </c>
      <c r="CL443" s="1">
        <v>0</v>
      </c>
      <c r="CM443" s="1">
        <v>6</v>
      </c>
    </row>
    <row r="444" spans="1:91" ht="14.25" customHeight="1" x14ac:dyDescent="0.3">
      <c r="A444" s="1" t="s">
        <v>3109</v>
      </c>
      <c r="B444" s="1" t="s">
        <v>434</v>
      </c>
      <c r="D444" s="1" t="s">
        <v>57</v>
      </c>
      <c r="E444" s="1" t="s">
        <v>1814</v>
      </c>
      <c r="F444" s="1" t="s">
        <v>95</v>
      </c>
      <c r="G444" s="1" t="s">
        <v>3110</v>
      </c>
      <c r="H444" s="1">
        <v>0</v>
      </c>
      <c r="I444" s="1" t="s">
        <v>117</v>
      </c>
      <c r="K444" s="1" t="s">
        <v>3111</v>
      </c>
      <c r="M444" s="1" t="s">
        <v>130</v>
      </c>
      <c r="N444" s="1">
        <v>1</v>
      </c>
      <c r="O444" s="1">
        <v>0</v>
      </c>
      <c r="P444" s="1" t="s">
        <v>1605</v>
      </c>
      <c r="Q444" s="1" t="s">
        <v>184</v>
      </c>
      <c r="R444" s="1" t="s">
        <v>3112</v>
      </c>
      <c r="S444" s="1" t="s">
        <v>103</v>
      </c>
      <c r="T444" s="1">
        <v>1</v>
      </c>
      <c r="U444" s="1">
        <v>1</v>
      </c>
      <c r="V444" s="1">
        <v>0</v>
      </c>
      <c r="W444" s="1">
        <v>1</v>
      </c>
      <c r="X444" s="1">
        <v>0</v>
      </c>
      <c r="Y444" s="1">
        <v>4</v>
      </c>
      <c r="Z444" s="1">
        <v>4</v>
      </c>
      <c r="AA444" s="1" t="s">
        <v>104</v>
      </c>
      <c r="AB444" s="1" t="s">
        <v>104</v>
      </c>
      <c r="AC444" s="1" t="s">
        <v>104</v>
      </c>
      <c r="AD444" s="1" t="s">
        <v>104</v>
      </c>
      <c r="AE444" s="1" t="s">
        <v>104</v>
      </c>
      <c r="AF444" s="1" t="s">
        <v>104</v>
      </c>
      <c r="AG444" s="1" t="s">
        <v>104</v>
      </c>
      <c r="AH444" s="1" t="s">
        <v>104</v>
      </c>
      <c r="AI444" s="1" t="s">
        <v>104</v>
      </c>
      <c r="AJ444" s="1" t="s">
        <v>104</v>
      </c>
      <c r="AK444" s="1" t="s">
        <v>104</v>
      </c>
      <c r="AL444" s="1" t="s">
        <v>104</v>
      </c>
      <c r="AM444" s="1" t="s">
        <v>104</v>
      </c>
      <c r="AO444" s="1">
        <v>4</v>
      </c>
      <c r="AQ444" s="1" t="s">
        <v>3113</v>
      </c>
      <c r="AR444" s="1">
        <v>0</v>
      </c>
      <c r="AS444" s="1">
        <v>0</v>
      </c>
      <c r="AT444" s="1">
        <v>0</v>
      </c>
      <c r="AU444" s="1">
        <v>0</v>
      </c>
      <c r="AV444" s="1">
        <v>0</v>
      </c>
      <c r="AW444" s="1">
        <v>0</v>
      </c>
      <c r="AX444" s="1">
        <v>0</v>
      </c>
      <c r="AY444" s="1">
        <v>0</v>
      </c>
      <c r="AZ444" s="1">
        <v>0</v>
      </c>
      <c r="BA444" s="1">
        <v>0</v>
      </c>
      <c r="BB444" s="1">
        <v>0</v>
      </c>
      <c r="BC444" s="1">
        <v>0</v>
      </c>
      <c r="BD444" s="1">
        <v>0</v>
      </c>
      <c r="BE444" s="1">
        <v>0</v>
      </c>
      <c r="BF444" s="1">
        <v>1</v>
      </c>
      <c r="BG444" s="1">
        <v>0</v>
      </c>
      <c r="BH444" s="1">
        <v>0</v>
      </c>
      <c r="BI444" s="1">
        <v>0</v>
      </c>
      <c r="BJ444" s="1">
        <v>0</v>
      </c>
      <c r="BK444" s="1">
        <v>0</v>
      </c>
      <c r="BL444" s="1">
        <v>0</v>
      </c>
      <c r="BM444" s="1">
        <v>0</v>
      </c>
      <c r="BN444" s="1">
        <v>0</v>
      </c>
      <c r="BO444" s="1">
        <v>0</v>
      </c>
      <c r="BP444" s="1">
        <v>0</v>
      </c>
      <c r="BQ444" s="2" t="str">
        <f>HYPERLINK("http://www.d20pfsrd.com/magic/all-spells/r/resilient-sphere","Resilient Sphere")</f>
        <v>Resilient Sphere</v>
      </c>
      <c r="BR444" s="1">
        <v>445</v>
      </c>
      <c r="BS444" s="1" t="s">
        <v>104</v>
      </c>
      <c r="BX444" s="1">
        <v>0</v>
      </c>
      <c r="BY444" s="1" t="s">
        <v>104</v>
      </c>
      <c r="BZ444" s="1" t="s">
        <v>104</v>
      </c>
      <c r="CA444" s="1">
        <v>4</v>
      </c>
      <c r="CB444" s="1" t="s">
        <v>104</v>
      </c>
      <c r="CC444" s="1" t="s">
        <v>104</v>
      </c>
      <c r="CD444" s="1">
        <v>4</v>
      </c>
      <c r="CE444" s="1" t="s">
        <v>104</v>
      </c>
      <c r="CF444" s="1" t="s">
        <v>104</v>
      </c>
      <c r="CG444" s="1" t="s">
        <v>104</v>
      </c>
      <c r="CH444" s="1" t="s">
        <v>104</v>
      </c>
      <c r="CJ444" s="1">
        <v>0</v>
      </c>
      <c r="CK444" s="1">
        <v>0</v>
      </c>
      <c r="CL444" s="1">
        <v>0</v>
      </c>
      <c r="CM444" s="1" t="s">
        <v>104</v>
      </c>
    </row>
    <row r="445" spans="1:91" ht="14.25" customHeight="1" x14ac:dyDescent="0.3">
      <c r="A445" s="1" t="s">
        <v>3114</v>
      </c>
      <c r="B445" s="1" t="s">
        <v>162</v>
      </c>
      <c r="E445" s="1" t="s">
        <v>3115</v>
      </c>
      <c r="F445" s="1" t="s">
        <v>95</v>
      </c>
      <c r="G445" s="1" t="s">
        <v>3116</v>
      </c>
      <c r="H445" s="1">
        <v>0</v>
      </c>
      <c r="I445" s="1" t="s">
        <v>128</v>
      </c>
      <c r="L445" s="1" t="s">
        <v>374</v>
      </c>
      <c r="M445" s="1" t="s">
        <v>191</v>
      </c>
      <c r="N445" s="1">
        <v>0</v>
      </c>
      <c r="O445" s="1">
        <v>0</v>
      </c>
      <c r="P445" s="1" t="s">
        <v>375</v>
      </c>
      <c r="Q445" s="1" t="s">
        <v>131</v>
      </c>
      <c r="R445" s="1" t="s">
        <v>3117</v>
      </c>
      <c r="S445" s="1" t="s">
        <v>103</v>
      </c>
      <c r="T445" s="1">
        <v>1</v>
      </c>
      <c r="U445" s="1">
        <v>1</v>
      </c>
      <c r="V445" s="1">
        <v>1</v>
      </c>
      <c r="W445" s="1">
        <v>0</v>
      </c>
      <c r="X445" s="1">
        <v>1</v>
      </c>
      <c r="Y445" s="1">
        <v>0</v>
      </c>
      <c r="Z445" s="1">
        <v>0</v>
      </c>
      <c r="AA445" s="1">
        <v>0</v>
      </c>
      <c r="AB445" s="1">
        <v>0</v>
      </c>
      <c r="AC445" s="1" t="s">
        <v>104</v>
      </c>
      <c r="AD445" s="1">
        <v>0</v>
      </c>
      <c r="AE445" s="1">
        <v>1</v>
      </c>
      <c r="AF445" s="1" t="s">
        <v>104</v>
      </c>
      <c r="AG445" s="1">
        <v>0</v>
      </c>
      <c r="AH445" s="1">
        <v>0</v>
      </c>
      <c r="AI445" s="1">
        <v>0</v>
      </c>
      <c r="AJ445" s="1">
        <v>0</v>
      </c>
      <c r="AK445" s="1" t="s">
        <v>104</v>
      </c>
      <c r="AL445" s="1" t="s">
        <v>104</v>
      </c>
      <c r="AM445" s="1" t="s">
        <v>104</v>
      </c>
      <c r="AO445" s="1">
        <v>0</v>
      </c>
      <c r="AQ445" s="1" t="s">
        <v>3118</v>
      </c>
      <c r="AR445" s="1">
        <v>0</v>
      </c>
      <c r="AS445" s="1">
        <v>0</v>
      </c>
      <c r="AT445" s="1">
        <v>0</v>
      </c>
      <c r="AU445" s="1">
        <v>0</v>
      </c>
      <c r="AV445" s="1">
        <v>0</v>
      </c>
      <c r="AW445" s="1">
        <v>0</v>
      </c>
      <c r="AX445" s="1">
        <v>0</v>
      </c>
      <c r="AY445" s="1">
        <v>0</v>
      </c>
      <c r="AZ445" s="1">
        <v>0</v>
      </c>
      <c r="BA445" s="1">
        <v>0</v>
      </c>
      <c r="BB445" s="1">
        <v>0</v>
      </c>
      <c r="BC445" s="1">
        <v>0</v>
      </c>
      <c r="BD445" s="1">
        <v>0</v>
      </c>
      <c r="BE445" s="1">
        <v>0</v>
      </c>
      <c r="BF445" s="1">
        <v>0</v>
      </c>
      <c r="BG445" s="1">
        <v>0</v>
      </c>
      <c r="BH445" s="1">
        <v>0</v>
      </c>
      <c r="BI445" s="1">
        <v>0</v>
      </c>
      <c r="BJ445" s="1">
        <v>0</v>
      </c>
      <c r="BK445" s="1">
        <v>0</v>
      </c>
      <c r="BL445" s="1">
        <v>0</v>
      </c>
      <c r="BM445" s="1">
        <v>0</v>
      </c>
      <c r="BN445" s="1">
        <v>0</v>
      </c>
      <c r="BO445" s="1">
        <v>0</v>
      </c>
      <c r="BP445" s="1">
        <v>0</v>
      </c>
      <c r="BQ445" s="2" t="str">
        <f>HYPERLINK("http://www.d20pfsrd.com/magic/all-spells/r/resistance","Resistance")</f>
        <v>Resistance</v>
      </c>
      <c r="BR445" s="1">
        <v>446</v>
      </c>
      <c r="BS445" s="1" t="s">
        <v>104</v>
      </c>
      <c r="BX445" s="1">
        <v>0</v>
      </c>
      <c r="BY445" s="1" t="s">
        <v>104</v>
      </c>
      <c r="BZ445" s="1">
        <v>0</v>
      </c>
      <c r="CA445" s="1">
        <v>0</v>
      </c>
      <c r="CB445" s="1">
        <v>0</v>
      </c>
      <c r="CC445" s="1" t="s">
        <v>104</v>
      </c>
      <c r="CD445" s="1">
        <v>0</v>
      </c>
      <c r="CE445" s="1">
        <v>0</v>
      </c>
      <c r="CF445" s="1" t="s">
        <v>104</v>
      </c>
      <c r="CG445" s="1" t="s">
        <v>104</v>
      </c>
      <c r="CH445" s="1">
        <v>0</v>
      </c>
      <c r="CJ445" s="1">
        <v>0</v>
      </c>
      <c r="CK445" s="1">
        <v>0</v>
      </c>
      <c r="CL445" s="1">
        <v>0</v>
      </c>
      <c r="CM445" s="1">
        <v>0</v>
      </c>
    </row>
    <row r="446" spans="1:91" ht="14.25" customHeight="1" x14ac:dyDescent="0.3">
      <c r="A446" s="1" t="s">
        <v>3119</v>
      </c>
      <c r="B446" s="1" t="s">
        <v>162</v>
      </c>
      <c r="E446" s="1" t="s">
        <v>3120</v>
      </c>
      <c r="F446" s="1" t="s">
        <v>95</v>
      </c>
      <c r="G446" s="1" t="s">
        <v>127</v>
      </c>
      <c r="H446" s="1">
        <v>0</v>
      </c>
      <c r="I446" s="1" t="s">
        <v>128</v>
      </c>
      <c r="L446" s="1" t="s">
        <v>374</v>
      </c>
      <c r="M446" s="1" t="s">
        <v>140</v>
      </c>
      <c r="N446" s="1">
        <v>0</v>
      </c>
      <c r="O446" s="1">
        <v>0</v>
      </c>
      <c r="P446" s="1" t="s">
        <v>1058</v>
      </c>
      <c r="Q446" s="1" t="s">
        <v>131</v>
      </c>
      <c r="R446" s="1" t="s">
        <v>3121</v>
      </c>
      <c r="S446" s="1" t="s">
        <v>103</v>
      </c>
      <c r="T446" s="1">
        <v>1</v>
      </c>
      <c r="U446" s="1">
        <v>1</v>
      </c>
      <c r="V446" s="1">
        <v>0</v>
      </c>
      <c r="W446" s="1">
        <v>0</v>
      </c>
      <c r="X446" s="1">
        <v>1</v>
      </c>
      <c r="Y446" s="1">
        <v>2</v>
      </c>
      <c r="Z446" s="1">
        <v>2</v>
      </c>
      <c r="AA446" s="1">
        <v>2</v>
      </c>
      <c r="AB446" s="1">
        <v>2</v>
      </c>
      <c r="AC446" s="1">
        <v>1</v>
      </c>
      <c r="AD446" s="1" t="s">
        <v>104</v>
      </c>
      <c r="AE446" s="1">
        <v>2</v>
      </c>
      <c r="AF446" s="1">
        <v>2</v>
      </c>
      <c r="AG446" s="1">
        <v>2</v>
      </c>
      <c r="AH446" s="1" t="s">
        <v>104</v>
      </c>
      <c r="AI446" s="1">
        <v>2</v>
      </c>
      <c r="AJ446" s="1">
        <v>2</v>
      </c>
      <c r="AK446" s="1" t="s">
        <v>104</v>
      </c>
      <c r="AL446" s="1" t="s">
        <v>104</v>
      </c>
      <c r="AM446" s="1">
        <v>2</v>
      </c>
      <c r="AO446" s="1">
        <v>2</v>
      </c>
      <c r="AQ446" s="1" t="s">
        <v>3122</v>
      </c>
      <c r="AR446" s="1">
        <v>0</v>
      </c>
      <c r="AS446" s="1">
        <v>0</v>
      </c>
      <c r="AT446" s="1">
        <v>0</v>
      </c>
      <c r="AU446" s="1">
        <v>0</v>
      </c>
      <c r="AV446" s="1">
        <v>0</v>
      </c>
      <c r="AW446" s="1">
        <v>0</v>
      </c>
      <c r="AX446" s="1">
        <v>0</v>
      </c>
      <c r="AY446" s="1">
        <v>0</v>
      </c>
      <c r="AZ446" s="1">
        <v>0</v>
      </c>
      <c r="BA446" s="1">
        <v>0</v>
      </c>
      <c r="BB446" s="1">
        <v>0</v>
      </c>
      <c r="BC446" s="1">
        <v>0</v>
      </c>
      <c r="BD446" s="1">
        <v>0</v>
      </c>
      <c r="BE446" s="1">
        <v>0</v>
      </c>
      <c r="BF446" s="1">
        <v>0</v>
      </c>
      <c r="BG446" s="1">
        <v>0</v>
      </c>
      <c r="BH446" s="1">
        <v>0</v>
      </c>
      <c r="BI446" s="1">
        <v>0</v>
      </c>
      <c r="BJ446" s="1">
        <v>0</v>
      </c>
      <c r="BK446" s="1">
        <v>0</v>
      </c>
      <c r="BL446" s="1">
        <v>0</v>
      </c>
      <c r="BM446" s="1">
        <v>0</v>
      </c>
      <c r="BN446" s="1">
        <v>0</v>
      </c>
      <c r="BO446" s="1">
        <v>0</v>
      </c>
      <c r="BP446" s="1">
        <v>0</v>
      </c>
      <c r="BQ446" s="2" t="str">
        <f>HYPERLINK("http://www.d20pfsrd.com/magic/all-spells/r/resist-energy","Resist Energy")</f>
        <v>Resist Energy</v>
      </c>
      <c r="BR446" s="1">
        <v>447</v>
      </c>
      <c r="BS446" s="1" t="s">
        <v>104</v>
      </c>
      <c r="BT446" s="1" t="s">
        <v>3123</v>
      </c>
      <c r="BU446" s="1" t="s">
        <v>3124</v>
      </c>
      <c r="BV446" s="1" t="s">
        <v>3125</v>
      </c>
      <c r="BX446" s="1">
        <v>1</v>
      </c>
      <c r="BY446" s="1">
        <v>2</v>
      </c>
      <c r="BZ446" s="1">
        <v>2</v>
      </c>
      <c r="CA446" s="1">
        <v>2</v>
      </c>
      <c r="CB446" s="1" t="s">
        <v>104</v>
      </c>
      <c r="CC446" s="1" t="s">
        <v>104</v>
      </c>
      <c r="CD446" s="1">
        <v>2</v>
      </c>
      <c r="CE446" s="1">
        <v>2</v>
      </c>
      <c r="CF446" s="1" t="s">
        <v>104</v>
      </c>
      <c r="CG446" s="1" t="s">
        <v>104</v>
      </c>
      <c r="CH446" s="1">
        <v>1</v>
      </c>
      <c r="CJ446" s="1">
        <v>0</v>
      </c>
      <c r="CK446" s="1">
        <v>0</v>
      </c>
      <c r="CL446" s="1">
        <v>0</v>
      </c>
      <c r="CM446" s="1">
        <v>2</v>
      </c>
    </row>
    <row r="447" spans="1:91" ht="14.25" customHeight="1" x14ac:dyDescent="0.3">
      <c r="A447" s="1" t="s">
        <v>3126</v>
      </c>
      <c r="B447" s="1" t="s">
        <v>92</v>
      </c>
      <c r="C447" s="1" t="s">
        <v>523</v>
      </c>
      <c r="E447" s="1" t="s">
        <v>3127</v>
      </c>
      <c r="F447" s="1" t="s">
        <v>1519</v>
      </c>
      <c r="G447" s="1" t="s">
        <v>3128</v>
      </c>
      <c r="H447" s="1">
        <v>1</v>
      </c>
      <c r="I447" s="1" t="s">
        <v>128</v>
      </c>
      <c r="L447" s="1" t="s">
        <v>374</v>
      </c>
      <c r="M447" s="1" t="s">
        <v>119</v>
      </c>
      <c r="N447" s="1">
        <v>0</v>
      </c>
      <c r="O447" s="1">
        <v>0</v>
      </c>
      <c r="P447" s="1" t="s">
        <v>375</v>
      </c>
      <c r="Q447" s="1" t="s">
        <v>131</v>
      </c>
      <c r="R447" s="1" t="s">
        <v>3129</v>
      </c>
      <c r="S447" s="1" t="s">
        <v>103</v>
      </c>
      <c r="T447" s="1">
        <v>1</v>
      </c>
      <c r="U447" s="1">
        <v>1</v>
      </c>
      <c r="V447" s="1">
        <v>1</v>
      </c>
      <c r="W447" s="1">
        <v>0</v>
      </c>
      <c r="X447" s="1">
        <v>0</v>
      </c>
      <c r="Y447" s="1" t="s">
        <v>104</v>
      </c>
      <c r="Z447" s="1" t="s">
        <v>104</v>
      </c>
      <c r="AA447" s="1">
        <v>4</v>
      </c>
      <c r="AB447" s="1" t="s">
        <v>104</v>
      </c>
      <c r="AC447" s="1" t="s">
        <v>104</v>
      </c>
      <c r="AD447" s="1" t="s">
        <v>104</v>
      </c>
      <c r="AE447" s="1">
        <v>4</v>
      </c>
      <c r="AF447" s="1" t="s">
        <v>104</v>
      </c>
      <c r="AG447" s="1" t="s">
        <v>104</v>
      </c>
      <c r="AH447" s="1" t="s">
        <v>104</v>
      </c>
      <c r="AI447" s="1" t="s">
        <v>104</v>
      </c>
      <c r="AJ447" s="1">
        <v>4</v>
      </c>
      <c r="AK447" s="1" t="s">
        <v>104</v>
      </c>
      <c r="AL447" s="1" t="s">
        <v>104</v>
      </c>
      <c r="AM447" s="1">
        <v>4</v>
      </c>
      <c r="AO447" s="1">
        <v>4</v>
      </c>
      <c r="AQ447" s="1" t="s">
        <v>3130</v>
      </c>
      <c r="AR447" s="1">
        <v>0</v>
      </c>
      <c r="AS447" s="1">
        <v>0</v>
      </c>
      <c r="AT447" s="1">
        <v>0</v>
      </c>
      <c r="AU447" s="1">
        <v>0</v>
      </c>
      <c r="AV447" s="1">
        <v>0</v>
      </c>
      <c r="AW447" s="1">
        <v>0</v>
      </c>
      <c r="AX447" s="1">
        <v>0</v>
      </c>
      <c r="AY447" s="1">
        <v>0</v>
      </c>
      <c r="AZ447" s="1">
        <v>0</v>
      </c>
      <c r="BA447" s="1">
        <v>0</v>
      </c>
      <c r="BB447" s="1">
        <v>0</v>
      </c>
      <c r="BC447" s="1">
        <v>0</v>
      </c>
      <c r="BD447" s="1">
        <v>0</v>
      </c>
      <c r="BE447" s="1">
        <v>0</v>
      </c>
      <c r="BF447" s="1">
        <v>0</v>
      </c>
      <c r="BG447" s="1">
        <v>0</v>
      </c>
      <c r="BH447" s="1">
        <v>0</v>
      </c>
      <c r="BI447" s="1">
        <v>0</v>
      </c>
      <c r="BJ447" s="1">
        <v>0</v>
      </c>
      <c r="BK447" s="1">
        <v>0</v>
      </c>
      <c r="BL447" s="1">
        <v>0</v>
      </c>
      <c r="BM447" s="1">
        <v>0</v>
      </c>
      <c r="BN447" s="1">
        <v>0</v>
      </c>
      <c r="BO447" s="1">
        <v>0</v>
      </c>
      <c r="BP447" s="1">
        <v>0</v>
      </c>
      <c r="BQ447" s="2" t="str">
        <f>HYPERLINK("http://www.d20pfsrd.com/magic/all-spells/r/restoration","Restoration")</f>
        <v>Restoration</v>
      </c>
      <c r="BR447" s="1">
        <v>448</v>
      </c>
      <c r="BS447" s="1">
        <v>100</v>
      </c>
      <c r="BU447" s="1" t="s">
        <v>3131</v>
      </c>
      <c r="BX447" s="1">
        <v>0</v>
      </c>
      <c r="BY447" s="1" t="s">
        <v>104</v>
      </c>
      <c r="BZ447" s="1">
        <v>4</v>
      </c>
      <c r="CA447" s="1" t="s">
        <v>104</v>
      </c>
      <c r="CB447" s="1" t="s">
        <v>104</v>
      </c>
      <c r="CC447" s="1">
        <v>4</v>
      </c>
      <c r="CD447" s="1" t="s">
        <v>104</v>
      </c>
      <c r="CE447" s="1">
        <v>4</v>
      </c>
      <c r="CF447" s="1" t="s">
        <v>104</v>
      </c>
      <c r="CG447" s="1" t="s">
        <v>104</v>
      </c>
      <c r="CH447" s="1" t="s">
        <v>104</v>
      </c>
      <c r="CJ447" s="1">
        <v>0</v>
      </c>
      <c r="CK447" s="1">
        <v>0</v>
      </c>
      <c r="CL447" s="1">
        <v>0</v>
      </c>
      <c r="CM447" s="1" t="s">
        <v>104</v>
      </c>
    </row>
    <row r="448" spans="1:91" ht="14.25" customHeight="1" x14ac:dyDescent="0.3">
      <c r="A448" s="1" t="s">
        <v>3132</v>
      </c>
      <c r="B448" s="1" t="s">
        <v>92</v>
      </c>
      <c r="C448" s="1" t="s">
        <v>523</v>
      </c>
      <c r="E448" s="1" t="s">
        <v>3133</v>
      </c>
      <c r="F448" s="1" t="s">
        <v>191</v>
      </c>
      <c r="G448" s="1" t="s">
        <v>3134</v>
      </c>
      <c r="H448" s="1">
        <v>1</v>
      </c>
      <c r="I448" s="1" t="s">
        <v>128</v>
      </c>
      <c r="L448" s="1" t="s">
        <v>374</v>
      </c>
      <c r="M448" s="1" t="s">
        <v>119</v>
      </c>
      <c r="N448" s="1">
        <v>0</v>
      </c>
      <c r="O448" s="1">
        <v>0</v>
      </c>
      <c r="P448" s="1" t="s">
        <v>375</v>
      </c>
      <c r="Q448" s="1" t="s">
        <v>131</v>
      </c>
      <c r="R448" s="1" t="s">
        <v>3135</v>
      </c>
      <c r="S448" s="1" t="s">
        <v>103</v>
      </c>
      <c r="T448" s="1">
        <v>1</v>
      </c>
      <c r="U448" s="1">
        <v>1</v>
      </c>
      <c r="V448" s="1">
        <v>1</v>
      </c>
      <c r="W448" s="1">
        <v>0</v>
      </c>
      <c r="X448" s="1">
        <v>0</v>
      </c>
      <c r="Y448" s="1" t="s">
        <v>104</v>
      </c>
      <c r="Z448" s="1" t="s">
        <v>104</v>
      </c>
      <c r="AA448" s="1">
        <v>7</v>
      </c>
      <c r="AB448" s="1" t="s">
        <v>104</v>
      </c>
      <c r="AC448" s="1" t="s">
        <v>104</v>
      </c>
      <c r="AD448" s="1" t="s">
        <v>104</v>
      </c>
      <c r="AE448" s="1" t="s">
        <v>104</v>
      </c>
      <c r="AF448" s="1" t="s">
        <v>104</v>
      </c>
      <c r="AG448" s="1" t="s">
        <v>104</v>
      </c>
      <c r="AH448" s="1" t="s">
        <v>104</v>
      </c>
      <c r="AI448" s="1" t="s">
        <v>104</v>
      </c>
      <c r="AJ448" s="1">
        <v>7</v>
      </c>
      <c r="AK448" s="1" t="s">
        <v>104</v>
      </c>
      <c r="AL448" s="1" t="s">
        <v>104</v>
      </c>
      <c r="AM448" s="1" t="s">
        <v>104</v>
      </c>
      <c r="AO448" s="1">
        <v>7</v>
      </c>
      <c r="AQ448" s="1" t="s">
        <v>3136</v>
      </c>
      <c r="AR448" s="1">
        <v>0</v>
      </c>
      <c r="AS448" s="1">
        <v>0</v>
      </c>
      <c r="AT448" s="1">
        <v>0</v>
      </c>
      <c r="AU448" s="1">
        <v>0</v>
      </c>
      <c r="AV448" s="1">
        <v>0</v>
      </c>
      <c r="AW448" s="1">
        <v>0</v>
      </c>
      <c r="AX448" s="1">
        <v>0</v>
      </c>
      <c r="AY448" s="1">
        <v>0</v>
      </c>
      <c r="AZ448" s="1">
        <v>0</v>
      </c>
      <c r="BA448" s="1">
        <v>0</v>
      </c>
      <c r="BB448" s="1">
        <v>0</v>
      </c>
      <c r="BC448" s="1">
        <v>0</v>
      </c>
      <c r="BD448" s="1">
        <v>0</v>
      </c>
      <c r="BE448" s="1">
        <v>0</v>
      </c>
      <c r="BF448" s="1">
        <v>0</v>
      </c>
      <c r="BG448" s="1">
        <v>0</v>
      </c>
      <c r="BH448" s="1">
        <v>0</v>
      </c>
      <c r="BI448" s="1">
        <v>0</v>
      </c>
      <c r="BJ448" s="1">
        <v>0</v>
      </c>
      <c r="BK448" s="1">
        <v>0</v>
      </c>
      <c r="BL448" s="1">
        <v>0</v>
      </c>
      <c r="BM448" s="1">
        <v>0</v>
      </c>
      <c r="BN448" s="1">
        <v>0</v>
      </c>
      <c r="BO448" s="1">
        <v>0</v>
      </c>
      <c r="BP448" s="1">
        <v>0</v>
      </c>
      <c r="BQ448" s="2" t="str">
        <f>HYPERLINK("http://www.d20pfsrd.com/magic/all-spells/r/restoration#TOC-Restoration-Greater","Restoration, Greater")</f>
        <v>Restoration, Greater</v>
      </c>
      <c r="BR448" s="1">
        <v>449</v>
      </c>
      <c r="BS448" s="1">
        <v>5000</v>
      </c>
      <c r="BU448" s="1" t="s">
        <v>3137</v>
      </c>
      <c r="BX448" s="1">
        <v>0</v>
      </c>
      <c r="BY448" s="1" t="s">
        <v>104</v>
      </c>
      <c r="BZ448" s="1">
        <v>7</v>
      </c>
      <c r="CA448" s="1" t="s">
        <v>104</v>
      </c>
      <c r="CB448" s="1" t="s">
        <v>104</v>
      </c>
      <c r="CC448" s="1" t="s">
        <v>104</v>
      </c>
      <c r="CD448" s="1" t="s">
        <v>104</v>
      </c>
      <c r="CE448" s="1" t="s">
        <v>104</v>
      </c>
      <c r="CF448" s="1" t="s">
        <v>104</v>
      </c>
      <c r="CG448" s="1" t="s">
        <v>104</v>
      </c>
      <c r="CH448" s="1" t="s">
        <v>104</v>
      </c>
      <c r="CJ448" s="1">
        <v>0</v>
      </c>
      <c r="CK448" s="1">
        <v>0</v>
      </c>
      <c r="CL448" s="1">
        <v>0</v>
      </c>
      <c r="CM448" s="1" t="s">
        <v>104</v>
      </c>
    </row>
    <row r="449" spans="1:91" ht="14.25" customHeight="1" x14ac:dyDescent="0.3">
      <c r="A449" s="1" t="s">
        <v>3138</v>
      </c>
      <c r="B449" s="1" t="s">
        <v>92</v>
      </c>
      <c r="C449" s="1" t="s">
        <v>523</v>
      </c>
      <c r="E449" s="1" t="s">
        <v>3139</v>
      </c>
      <c r="F449" s="1" t="s">
        <v>1519</v>
      </c>
      <c r="G449" s="1" t="s">
        <v>116</v>
      </c>
      <c r="H449" s="1">
        <v>0</v>
      </c>
      <c r="I449" s="1" t="s">
        <v>128</v>
      </c>
      <c r="L449" s="1" t="s">
        <v>374</v>
      </c>
      <c r="M449" s="1" t="s">
        <v>119</v>
      </c>
      <c r="N449" s="1">
        <v>0</v>
      </c>
      <c r="O449" s="1">
        <v>0</v>
      </c>
      <c r="P449" s="1" t="s">
        <v>375</v>
      </c>
      <c r="Q449" s="1" t="s">
        <v>131</v>
      </c>
      <c r="R449" s="1" t="s">
        <v>3140</v>
      </c>
      <c r="S449" s="1" t="s">
        <v>103</v>
      </c>
      <c r="T449" s="1">
        <v>1</v>
      </c>
      <c r="U449" s="1">
        <v>1</v>
      </c>
      <c r="V449" s="1">
        <v>0</v>
      </c>
      <c r="W449" s="1">
        <v>0</v>
      </c>
      <c r="X449" s="1">
        <v>0</v>
      </c>
      <c r="Y449" s="1" t="s">
        <v>104</v>
      </c>
      <c r="Z449" s="1" t="s">
        <v>104</v>
      </c>
      <c r="AA449" s="1">
        <v>2</v>
      </c>
      <c r="AB449" s="1">
        <v>2</v>
      </c>
      <c r="AC449" s="1" t="s">
        <v>104</v>
      </c>
      <c r="AD449" s="1" t="s">
        <v>104</v>
      </c>
      <c r="AE449" s="1">
        <v>1</v>
      </c>
      <c r="AF449" s="1">
        <v>2</v>
      </c>
      <c r="AG449" s="1" t="s">
        <v>104</v>
      </c>
      <c r="AH449" s="1" t="s">
        <v>104</v>
      </c>
      <c r="AI449" s="1">
        <v>2</v>
      </c>
      <c r="AJ449" s="1">
        <v>2</v>
      </c>
      <c r="AK449" s="1" t="s">
        <v>104</v>
      </c>
      <c r="AL449" s="1" t="s">
        <v>104</v>
      </c>
      <c r="AM449" s="1" t="s">
        <v>104</v>
      </c>
      <c r="AO449" s="1">
        <v>2</v>
      </c>
      <c r="AQ449" s="1" t="s">
        <v>3141</v>
      </c>
      <c r="AR449" s="1">
        <v>0</v>
      </c>
      <c r="AS449" s="1">
        <v>0</v>
      </c>
      <c r="AT449" s="1">
        <v>0</v>
      </c>
      <c r="AU449" s="1">
        <v>0</v>
      </c>
      <c r="AV449" s="1">
        <v>0</v>
      </c>
      <c r="AW449" s="1">
        <v>0</v>
      </c>
      <c r="AX449" s="1">
        <v>0</v>
      </c>
      <c r="AY449" s="1">
        <v>0</v>
      </c>
      <c r="AZ449" s="1">
        <v>0</v>
      </c>
      <c r="BA449" s="1">
        <v>0</v>
      </c>
      <c r="BB449" s="1">
        <v>0</v>
      </c>
      <c r="BC449" s="1">
        <v>0</v>
      </c>
      <c r="BD449" s="1">
        <v>0</v>
      </c>
      <c r="BE449" s="1">
        <v>0</v>
      </c>
      <c r="BF449" s="1">
        <v>0</v>
      </c>
      <c r="BG449" s="1">
        <v>0</v>
      </c>
      <c r="BH449" s="1">
        <v>0</v>
      </c>
      <c r="BI449" s="1">
        <v>0</v>
      </c>
      <c r="BJ449" s="1">
        <v>0</v>
      </c>
      <c r="BK449" s="1">
        <v>0</v>
      </c>
      <c r="BL449" s="1">
        <v>0</v>
      </c>
      <c r="BM449" s="1">
        <v>0</v>
      </c>
      <c r="BN449" s="1">
        <v>0</v>
      </c>
      <c r="BO449" s="1">
        <v>0</v>
      </c>
      <c r="BP449" s="1">
        <v>0</v>
      </c>
      <c r="BQ449" s="2" t="str">
        <f>HYPERLINK("http://www.d20pfsrd.com/magic/all-spells/r/restoration#TOC-Restoration-Lesser","Restoration, Lesser")</f>
        <v>Restoration, Lesser</v>
      </c>
      <c r="BR449" s="1">
        <v>450</v>
      </c>
      <c r="BS449" s="1" t="s">
        <v>104</v>
      </c>
      <c r="BU449" s="1" t="s">
        <v>935</v>
      </c>
      <c r="BX449" s="1">
        <v>0</v>
      </c>
      <c r="BY449" s="1" t="s">
        <v>104</v>
      </c>
      <c r="BZ449" s="1">
        <v>2</v>
      </c>
      <c r="CA449" s="1" t="s">
        <v>104</v>
      </c>
      <c r="CB449" s="1" t="s">
        <v>104</v>
      </c>
      <c r="CC449" s="1">
        <v>2</v>
      </c>
      <c r="CD449" s="1" t="s">
        <v>104</v>
      </c>
      <c r="CE449" s="1">
        <v>2</v>
      </c>
      <c r="CF449" s="1" t="s">
        <v>104</v>
      </c>
      <c r="CG449" s="1" t="s">
        <v>104</v>
      </c>
      <c r="CH449" s="1">
        <v>2</v>
      </c>
      <c r="CJ449" s="1">
        <v>0</v>
      </c>
      <c r="CK449" s="1">
        <v>0</v>
      </c>
      <c r="CL449" s="1">
        <v>0</v>
      </c>
      <c r="CM449" s="1" t="s">
        <v>104</v>
      </c>
    </row>
    <row r="450" spans="1:91" ht="14.25" customHeight="1" x14ac:dyDescent="0.3">
      <c r="A450" s="1" t="s">
        <v>3142</v>
      </c>
      <c r="B450" s="1" t="s">
        <v>92</v>
      </c>
      <c r="C450" s="1" t="s">
        <v>523</v>
      </c>
      <c r="E450" s="1" t="s">
        <v>1078</v>
      </c>
      <c r="F450" s="1" t="s">
        <v>191</v>
      </c>
      <c r="G450" s="1" t="s">
        <v>3143</v>
      </c>
      <c r="H450" s="1">
        <v>1</v>
      </c>
      <c r="I450" s="1" t="s">
        <v>128</v>
      </c>
      <c r="L450" s="1" t="s">
        <v>2992</v>
      </c>
      <c r="M450" s="1" t="s">
        <v>119</v>
      </c>
      <c r="N450" s="1">
        <v>0</v>
      </c>
      <c r="O450" s="1">
        <v>0</v>
      </c>
      <c r="P450" s="1" t="s">
        <v>195</v>
      </c>
      <c r="Q450" s="1" t="s">
        <v>131</v>
      </c>
      <c r="R450" s="1" t="s">
        <v>3144</v>
      </c>
      <c r="S450" s="1" t="s">
        <v>103</v>
      </c>
      <c r="T450" s="1">
        <v>1</v>
      </c>
      <c r="U450" s="1">
        <v>1</v>
      </c>
      <c r="V450" s="1">
        <v>1</v>
      </c>
      <c r="W450" s="1">
        <v>0</v>
      </c>
      <c r="X450" s="1">
        <v>1</v>
      </c>
      <c r="Y450" s="1" t="s">
        <v>104</v>
      </c>
      <c r="Z450" s="1" t="s">
        <v>104</v>
      </c>
      <c r="AA450" s="1">
        <v>7</v>
      </c>
      <c r="AB450" s="1" t="s">
        <v>104</v>
      </c>
      <c r="AC450" s="1" t="s">
        <v>104</v>
      </c>
      <c r="AD450" s="1" t="s">
        <v>104</v>
      </c>
      <c r="AE450" s="1" t="s">
        <v>104</v>
      </c>
      <c r="AF450" s="1" t="s">
        <v>104</v>
      </c>
      <c r="AG450" s="1" t="s">
        <v>104</v>
      </c>
      <c r="AH450" s="1">
        <v>8</v>
      </c>
      <c r="AI450" s="1" t="s">
        <v>104</v>
      </c>
      <c r="AJ450" s="1">
        <v>7</v>
      </c>
      <c r="AK450" s="1" t="s">
        <v>104</v>
      </c>
      <c r="AL450" s="1" t="s">
        <v>104</v>
      </c>
      <c r="AM450" s="1" t="s">
        <v>104</v>
      </c>
      <c r="AO450" s="1">
        <v>7</v>
      </c>
      <c r="AP450" s="1" t="s">
        <v>3145</v>
      </c>
      <c r="AQ450" s="1" t="s">
        <v>3146</v>
      </c>
      <c r="AR450" s="1">
        <v>0</v>
      </c>
      <c r="AS450" s="1">
        <v>0</v>
      </c>
      <c r="AT450" s="1">
        <v>0</v>
      </c>
      <c r="AU450" s="1">
        <v>0</v>
      </c>
      <c r="AV450" s="1">
        <v>0</v>
      </c>
      <c r="AW450" s="1">
        <v>0</v>
      </c>
      <c r="AX450" s="1">
        <v>0</v>
      </c>
      <c r="AY450" s="1">
        <v>0</v>
      </c>
      <c r="AZ450" s="1">
        <v>0</v>
      </c>
      <c r="BA450" s="1">
        <v>0</v>
      </c>
      <c r="BB450" s="1">
        <v>0</v>
      </c>
      <c r="BC450" s="1">
        <v>0</v>
      </c>
      <c r="BD450" s="1">
        <v>0</v>
      </c>
      <c r="BE450" s="1">
        <v>0</v>
      </c>
      <c r="BF450" s="1">
        <v>0</v>
      </c>
      <c r="BG450" s="1">
        <v>0</v>
      </c>
      <c r="BH450" s="1">
        <v>0</v>
      </c>
      <c r="BI450" s="1">
        <v>0</v>
      </c>
      <c r="BJ450" s="1">
        <v>0</v>
      </c>
      <c r="BK450" s="1">
        <v>0</v>
      </c>
      <c r="BL450" s="1">
        <v>0</v>
      </c>
      <c r="BM450" s="1">
        <v>0</v>
      </c>
      <c r="BN450" s="1">
        <v>0</v>
      </c>
      <c r="BO450" s="1">
        <v>0</v>
      </c>
      <c r="BP450" s="1">
        <v>0</v>
      </c>
      <c r="BQ450" s="2" t="str">
        <f>HYPERLINK("http://www.d20pfsrd.com/magic/all-spells/r/resurrection","Resurrection")</f>
        <v>Resurrection</v>
      </c>
      <c r="BR450" s="1">
        <v>451</v>
      </c>
      <c r="BS450" s="1">
        <v>10000</v>
      </c>
      <c r="BX450" s="1">
        <v>0</v>
      </c>
      <c r="BY450" s="1" t="s">
        <v>104</v>
      </c>
      <c r="BZ450" s="1">
        <v>8</v>
      </c>
      <c r="CA450" s="1" t="s">
        <v>104</v>
      </c>
      <c r="CB450" s="1" t="s">
        <v>104</v>
      </c>
      <c r="CC450" s="1" t="s">
        <v>104</v>
      </c>
      <c r="CD450" s="1" t="s">
        <v>104</v>
      </c>
      <c r="CE450" s="1" t="s">
        <v>104</v>
      </c>
      <c r="CF450" s="1" t="s">
        <v>104</v>
      </c>
      <c r="CG450" s="1" t="s">
        <v>104</v>
      </c>
      <c r="CH450" s="1" t="s">
        <v>104</v>
      </c>
      <c r="CJ450" s="1">
        <v>0</v>
      </c>
      <c r="CK450" s="1">
        <v>0</v>
      </c>
      <c r="CL450" s="1">
        <v>0</v>
      </c>
      <c r="CM450" s="1" t="s">
        <v>104</v>
      </c>
    </row>
    <row r="451" spans="1:91" ht="14.25" customHeight="1" x14ac:dyDescent="0.3">
      <c r="A451" s="1" t="s">
        <v>3147</v>
      </c>
      <c r="B451" s="1" t="s">
        <v>137</v>
      </c>
      <c r="E451" s="1" t="s">
        <v>1533</v>
      </c>
      <c r="F451" s="1" t="s">
        <v>95</v>
      </c>
      <c r="G451" s="1" t="s">
        <v>3148</v>
      </c>
      <c r="H451" s="1">
        <v>0</v>
      </c>
      <c r="I451" s="1" t="s">
        <v>109</v>
      </c>
      <c r="J451" s="1" t="s">
        <v>3149</v>
      </c>
      <c r="M451" s="1" t="s">
        <v>426</v>
      </c>
      <c r="N451" s="1">
        <v>1</v>
      </c>
      <c r="O451" s="1">
        <v>1</v>
      </c>
      <c r="P451" s="1" t="s">
        <v>195</v>
      </c>
      <c r="Q451" s="1" t="s">
        <v>101</v>
      </c>
      <c r="R451" s="1" t="s">
        <v>3150</v>
      </c>
      <c r="S451" s="1" t="s">
        <v>103</v>
      </c>
      <c r="T451" s="1">
        <v>1</v>
      </c>
      <c r="U451" s="1">
        <v>1</v>
      </c>
      <c r="V451" s="1">
        <v>1</v>
      </c>
      <c r="W451" s="1">
        <v>0</v>
      </c>
      <c r="X451" s="1">
        <v>1</v>
      </c>
      <c r="Y451" s="1">
        <v>7</v>
      </c>
      <c r="Z451" s="1">
        <v>7</v>
      </c>
      <c r="AA451" s="1" t="s">
        <v>104</v>
      </c>
      <c r="AB451" s="1">
        <v>8</v>
      </c>
      <c r="AC451" s="1" t="s">
        <v>104</v>
      </c>
      <c r="AD451" s="1" t="s">
        <v>104</v>
      </c>
      <c r="AE451" s="1" t="s">
        <v>104</v>
      </c>
      <c r="AF451" s="1" t="s">
        <v>104</v>
      </c>
      <c r="AG451" s="1" t="s">
        <v>104</v>
      </c>
      <c r="AH451" s="1" t="s">
        <v>104</v>
      </c>
      <c r="AI451" s="1" t="s">
        <v>104</v>
      </c>
      <c r="AJ451" s="1" t="s">
        <v>104</v>
      </c>
      <c r="AK451" s="1" t="s">
        <v>104</v>
      </c>
      <c r="AL451" s="1" t="s">
        <v>104</v>
      </c>
      <c r="AM451" s="1" t="s">
        <v>104</v>
      </c>
      <c r="AO451" s="1">
        <v>7</v>
      </c>
      <c r="AP451" s="1" t="s">
        <v>3151</v>
      </c>
      <c r="AQ451" s="1" t="s">
        <v>3152</v>
      </c>
      <c r="AR451" s="1">
        <v>0</v>
      </c>
      <c r="AS451" s="1">
        <v>0</v>
      </c>
      <c r="AT451" s="1">
        <v>0</v>
      </c>
      <c r="AU451" s="1">
        <v>0</v>
      </c>
      <c r="AV451" s="1">
        <v>0</v>
      </c>
      <c r="AW451" s="1">
        <v>0</v>
      </c>
      <c r="AX451" s="1">
        <v>0</v>
      </c>
      <c r="AY451" s="1">
        <v>0</v>
      </c>
      <c r="AZ451" s="1">
        <v>0</v>
      </c>
      <c r="BA451" s="1">
        <v>0</v>
      </c>
      <c r="BB451" s="1">
        <v>0</v>
      </c>
      <c r="BC451" s="1">
        <v>0</v>
      </c>
      <c r="BD451" s="1">
        <v>0</v>
      </c>
      <c r="BE451" s="1">
        <v>0</v>
      </c>
      <c r="BF451" s="1">
        <v>0</v>
      </c>
      <c r="BG451" s="1">
        <v>0</v>
      </c>
      <c r="BH451" s="1">
        <v>0</v>
      </c>
      <c r="BI451" s="1">
        <v>0</v>
      </c>
      <c r="BJ451" s="1">
        <v>0</v>
      </c>
      <c r="BK451" s="1">
        <v>0</v>
      </c>
      <c r="BL451" s="1">
        <v>0</v>
      </c>
      <c r="BM451" s="1">
        <v>0</v>
      </c>
      <c r="BN451" s="1">
        <v>0</v>
      </c>
      <c r="BO451" s="1">
        <v>0</v>
      </c>
      <c r="BP451" s="1">
        <v>0</v>
      </c>
      <c r="BQ451" s="2" t="str">
        <f>HYPERLINK("http://www.d20pfsrd.com/magic/all-spells/r/reverse-gravity","Reverse Gravity")</f>
        <v>Reverse Gravity</v>
      </c>
      <c r="BR451" s="1">
        <v>452</v>
      </c>
      <c r="BS451" s="1" t="s">
        <v>104</v>
      </c>
      <c r="BT451" s="1" t="s">
        <v>3153</v>
      </c>
      <c r="BU451" s="1" t="s">
        <v>3154</v>
      </c>
      <c r="BV451" s="1" t="s">
        <v>3155</v>
      </c>
      <c r="BW451" s="1" t="s">
        <v>3156</v>
      </c>
      <c r="BX451" s="1">
        <v>1</v>
      </c>
      <c r="BY451" s="1" t="s">
        <v>104</v>
      </c>
      <c r="BZ451" s="1" t="s">
        <v>104</v>
      </c>
      <c r="CA451" s="1">
        <v>7</v>
      </c>
      <c r="CB451" s="1" t="s">
        <v>104</v>
      </c>
      <c r="CC451" s="1" t="s">
        <v>104</v>
      </c>
      <c r="CD451" s="1" t="s">
        <v>104</v>
      </c>
      <c r="CE451" s="1" t="s">
        <v>104</v>
      </c>
      <c r="CF451" s="1" t="s">
        <v>104</v>
      </c>
      <c r="CG451" s="1" t="s">
        <v>104</v>
      </c>
      <c r="CH451" s="1" t="s">
        <v>104</v>
      </c>
      <c r="CJ451" s="1">
        <v>0</v>
      </c>
      <c r="CK451" s="1">
        <v>0</v>
      </c>
      <c r="CL451" s="1">
        <v>0</v>
      </c>
      <c r="CM451" s="1" t="s">
        <v>104</v>
      </c>
    </row>
    <row r="452" spans="1:91" ht="14.25" customHeight="1" x14ac:dyDescent="0.3">
      <c r="A452" s="1" t="s">
        <v>3157</v>
      </c>
      <c r="B452" s="1" t="s">
        <v>137</v>
      </c>
      <c r="E452" s="1" t="s">
        <v>3158</v>
      </c>
      <c r="F452" s="1" t="s">
        <v>95</v>
      </c>
      <c r="G452" s="1" t="s">
        <v>127</v>
      </c>
      <c r="H452" s="1">
        <v>0</v>
      </c>
      <c r="I452" s="1" t="s">
        <v>157</v>
      </c>
      <c r="L452" s="1" t="s">
        <v>158</v>
      </c>
      <c r="M452" s="1" t="s">
        <v>111</v>
      </c>
      <c r="N452" s="1">
        <v>1</v>
      </c>
      <c r="O452" s="1">
        <v>0</v>
      </c>
      <c r="R452" s="1" t="s">
        <v>3159</v>
      </c>
      <c r="S452" s="1" t="s">
        <v>103</v>
      </c>
      <c r="T452" s="1">
        <v>1</v>
      </c>
      <c r="U452" s="1">
        <v>1</v>
      </c>
      <c r="V452" s="1">
        <v>0</v>
      </c>
      <c r="W452" s="1">
        <v>0</v>
      </c>
      <c r="X452" s="1">
        <v>1</v>
      </c>
      <c r="Y452" s="1" t="s">
        <v>104</v>
      </c>
      <c r="Z452" s="1" t="s">
        <v>104</v>
      </c>
      <c r="AA452" s="1">
        <v>5</v>
      </c>
      <c r="AB452" s="1" t="s">
        <v>104</v>
      </c>
      <c r="AC452" s="1" t="s">
        <v>104</v>
      </c>
      <c r="AD452" s="1" t="s">
        <v>104</v>
      </c>
      <c r="AE452" s="1" t="s">
        <v>104</v>
      </c>
      <c r="AF452" s="1" t="s">
        <v>104</v>
      </c>
      <c r="AG452" s="1" t="s">
        <v>104</v>
      </c>
      <c r="AH452" s="1" t="s">
        <v>104</v>
      </c>
      <c r="AI452" s="1">
        <v>5</v>
      </c>
      <c r="AJ452" s="1">
        <v>5</v>
      </c>
      <c r="AK452" s="1" t="s">
        <v>104</v>
      </c>
      <c r="AL452" s="1" t="s">
        <v>104</v>
      </c>
      <c r="AM452" s="1" t="s">
        <v>104</v>
      </c>
      <c r="AO452" s="1">
        <v>5</v>
      </c>
      <c r="AP452" s="1" t="s">
        <v>3160</v>
      </c>
      <c r="AQ452" s="1" t="s">
        <v>3161</v>
      </c>
      <c r="AR452" s="1">
        <v>0</v>
      </c>
      <c r="AS452" s="1">
        <v>0</v>
      </c>
      <c r="AT452" s="1">
        <v>0</v>
      </c>
      <c r="AU452" s="1">
        <v>0</v>
      </c>
      <c r="AV452" s="1">
        <v>0</v>
      </c>
      <c r="AW452" s="1">
        <v>0</v>
      </c>
      <c r="AX452" s="1">
        <v>0</v>
      </c>
      <c r="AY452" s="1">
        <v>0</v>
      </c>
      <c r="AZ452" s="1">
        <v>0</v>
      </c>
      <c r="BA452" s="1">
        <v>0</v>
      </c>
      <c r="BB452" s="1">
        <v>0</v>
      </c>
      <c r="BC452" s="1">
        <v>0</v>
      </c>
      <c r="BD452" s="1">
        <v>0</v>
      </c>
      <c r="BE452" s="1">
        <v>0</v>
      </c>
      <c r="BF452" s="1">
        <v>0</v>
      </c>
      <c r="BG452" s="1">
        <v>0</v>
      </c>
      <c r="BH452" s="1">
        <v>0</v>
      </c>
      <c r="BI452" s="1">
        <v>0</v>
      </c>
      <c r="BJ452" s="1">
        <v>0</v>
      </c>
      <c r="BK452" s="1">
        <v>0</v>
      </c>
      <c r="BL452" s="1">
        <v>0</v>
      </c>
      <c r="BM452" s="1">
        <v>0</v>
      </c>
      <c r="BN452" s="1">
        <v>0</v>
      </c>
      <c r="BO452" s="1">
        <v>0</v>
      </c>
      <c r="BP452" s="1">
        <v>0</v>
      </c>
      <c r="BQ452" s="2" t="str">
        <f>HYPERLINK("http://www.d20pfsrd.com/magic/all-spells/r/righteous-might","Righteous Might")</f>
        <v>Righteous Might</v>
      </c>
      <c r="BR452" s="1">
        <v>453</v>
      </c>
      <c r="BS452" s="1" t="s">
        <v>104</v>
      </c>
      <c r="BU452" s="1" t="s">
        <v>3162</v>
      </c>
      <c r="BX452" s="1">
        <v>0</v>
      </c>
      <c r="BY452" s="1" t="s">
        <v>104</v>
      </c>
      <c r="BZ452" s="1" t="s">
        <v>104</v>
      </c>
      <c r="CA452" s="1" t="s">
        <v>104</v>
      </c>
      <c r="CB452" s="1" t="s">
        <v>104</v>
      </c>
      <c r="CC452" s="1" t="s">
        <v>104</v>
      </c>
      <c r="CD452" s="1" t="s">
        <v>104</v>
      </c>
      <c r="CE452" s="1" t="s">
        <v>104</v>
      </c>
      <c r="CF452" s="1" t="s">
        <v>104</v>
      </c>
      <c r="CG452" s="1" t="s">
        <v>104</v>
      </c>
      <c r="CH452" s="1" t="s">
        <v>104</v>
      </c>
      <c r="CJ452" s="1">
        <v>0</v>
      </c>
      <c r="CK452" s="1">
        <v>0</v>
      </c>
      <c r="CL452" s="1">
        <v>0</v>
      </c>
      <c r="CM452" s="1" t="s">
        <v>104</v>
      </c>
    </row>
    <row r="453" spans="1:91" ht="14.25" customHeight="1" x14ac:dyDescent="0.3">
      <c r="A453" s="1" t="s">
        <v>3163</v>
      </c>
      <c r="B453" s="1" t="s">
        <v>137</v>
      </c>
      <c r="E453" s="1" t="s">
        <v>3164</v>
      </c>
      <c r="F453" s="1" t="s">
        <v>95</v>
      </c>
      <c r="G453" s="1" t="s">
        <v>3165</v>
      </c>
      <c r="H453" s="1">
        <v>0</v>
      </c>
      <c r="I453" s="1" t="s">
        <v>128</v>
      </c>
      <c r="L453" s="1" t="s">
        <v>3166</v>
      </c>
      <c r="M453" s="1" t="s">
        <v>201</v>
      </c>
      <c r="N453" s="1">
        <v>1</v>
      </c>
      <c r="O453" s="1">
        <v>0</v>
      </c>
      <c r="P453" s="1" t="s">
        <v>100</v>
      </c>
      <c r="Q453" s="1" t="s">
        <v>101</v>
      </c>
      <c r="R453" s="1" t="s">
        <v>3167</v>
      </c>
      <c r="S453" s="1" t="s">
        <v>103</v>
      </c>
      <c r="T453" s="1">
        <v>1</v>
      </c>
      <c r="U453" s="1">
        <v>1</v>
      </c>
      <c r="V453" s="1">
        <v>1</v>
      </c>
      <c r="W453" s="1">
        <v>0</v>
      </c>
      <c r="X453" s="1">
        <v>0</v>
      </c>
      <c r="Y453" s="1">
        <v>2</v>
      </c>
      <c r="Z453" s="1">
        <v>2</v>
      </c>
      <c r="AA453" s="1" t="s">
        <v>104</v>
      </c>
      <c r="AB453" s="1" t="s">
        <v>104</v>
      </c>
      <c r="AC453" s="1" t="s">
        <v>104</v>
      </c>
      <c r="AD453" s="1" t="s">
        <v>104</v>
      </c>
      <c r="AE453" s="1" t="s">
        <v>104</v>
      </c>
      <c r="AF453" s="1" t="s">
        <v>104</v>
      </c>
      <c r="AG453" s="1" t="s">
        <v>104</v>
      </c>
      <c r="AH453" s="1" t="s">
        <v>104</v>
      </c>
      <c r="AI453" s="1" t="s">
        <v>104</v>
      </c>
      <c r="AJ453" s="1" t="s">
        <v>104</v>
      </c>
      <c r="AK453" s="1" t="s">
        <v>104</v>
      </c>
      <c r="AL453" s="1" t="s">
        <v>104</v>
      </c>
      <c r="AM453" s="1" t="s">
        <v>104</v>
      </c>
      <c r="AO453" s="1">
        <v>2</v>
      </c>
      <c r="AQ453" s="1" t="s">
        <v>3168</v>
      </c>
      <c r="AR453" s="1">
        <v>0</v>
      </c>
      <c r="AS453" s="1">
        <v>0</v>
      </c>
      <c r="AT453" s="1">
        <v>0</v>
      </c>
      <c r="AU453" s="1">
        <v>0</v>
      </c>
      <c r="AV453" s="1">
        <v>0</v>
      </c>
      <c r="AW453" s="1">
        <v>0</v>
      </c>
      <c r="AX453" s="1">
        <v>0</v>
      </c>
      <c r="AY453" s="1">
        <v>0</v>
      </c>
      <c r="AZ453" s="1">
        <v>0</v>
      </c>
      <c r="BA453" s="1">
        <v>0</v>
      </c>
      <c r="BB453" s="1">
        <v>0</v>
      </c>
      <c r="BC453" s="1">
        <v>0</v>
      </c>
      <c r="BD453" s="1">
        <v>0</v>
      </c>
      <c r="BE453" s="1">
        <v>0</v>
      </c>
      <c r="BF453" s="1">
        <v>0</v>
      </c>
      <c r="BG453" s="1">
        <v>0</v>
      </c>
      <c r="BH453" s="1">
        <v>0</v>
      </c>
      <c r="BI453" s="1">
        <v>0</v>
      </c>
      <c r="BJ453" s="1">
        <v>0</v>
      </c>
      <c r="BK453" s="1">
        <v>0</v>
      </c>
      <c r="BL453" s="1">
        <v>0</v>
      </c>
      <c r="BM453" s="1">
        <v>0</v>
      </c>
      <c r="BN453" s="1">
        <v>0</v>
      </c>
      <c r="BO453" s="1">
        <v>0</v>
      </c>
      <c r="BP453" s="1">
        <v>0</v>
      </c>
      <c r="BQ453" s="2" t="str">
        <f>HYPERLINK("http://www.d20pfsrd.com/magic/all-spells/r/rope-trick","Rope Trick")</f>
        <v>Rope Trick</v>
      </c>
      <c r="BR453" s="1">
        <v>454</v>
      </c>
      <c r="BS453" s="1" t="s">
        <v>104</v>
      </c>
      <c r="BU453" s="1" t="s">
        <v>3169</v>
      </c>
      <c r="BX453" s="1">
        <v>0</v>
      </c>
      <c r="BY453" s="1" t="s">
        <v>104</v>
      </c>
      <c r="BZ453" s="1" t="s">
        <v>104</v>
      </c>
      <c r="CA453" s="1">
        <v>2</v>
      </c>
      <c r="CB453" s="1">
        <v>2</v>
      </c>
      <c r="CC453" s="1" t="s">
        <v>104</v>
      </c>
      <c r="CD453" s="1">
        <v>2</v>
      </c>
      <c r="CE453" s="1" t="s">
        <v>104</v>
      </c>
      <c r="CF453" s="1" t="s">
        <v>104</v>
      </c>
      <c r="CG453" s="1" t="s">
        <v>104</v>
      </c>
      <c r="CH453" s="1" t="s">
        <v>104</v>
      </c>
      <c r="CJ453" s="1">
        <v>0</v>
      </c>
      <c r="CK453" s="1">
        <v>0</v>
      </c>
      <c r="CL453" s="1">
        <v>0</v>
      </c>
      <c r="CM453" s="1" t="s">
        <v>104</v>
      </c>
    </row>
    <row r="454" spans="1:91" ht="14.25" customHeight="1" x14ac:dyDescent="0.3">
      <c r="A454" s="1" t="s">
        <v>3170</v>
      </c>
      <c r="B454" s="1" t="s">
        <v>137</v>
      </c>
      <c r="E454" s="1" t="s">
        <v>3171</v>
      </c>
      <c r="F454" s="1" t="s">
        <v>95</v>
      </c>
      <c r="G454" s="1" t="s">
        <v>127</v>
      </c>
      <c r="H454" s="1">
        <v>0</v>
      </c>
      <c r="I454" s="1" t="s">
        <v>128</v>
      </c>
      <c r="L454" s="1" t="s">
        <v>3172</v>
      </c>
      <c r="M454" s="1" t="s">
        <v>145</v>
      </c>
      <c r="N454" s="1">
        <v>0</v>
      </c>
      <c r="O454" s="1">
        <v>0</v>
      </c>
      <c r="P454" s="1" t="s">
        <v>100</v>
      </c>
      <c r="Q454" s="1" t="s">
        <v>101</v>
      </c>
      <c r="R454" s="1" t="s">
        <v>3173</v>
      </c>
      <c r="S454" s="1" t="s">
        <v>103</v>
      </c>
      <c r="T454" s="1">
        <v>1</v>
      </c>
      <c r="U454" s="1">
        <v>1</v>
      </c>
      <c r="V454" s="1">
        <v>0</v>
      </c>
      <c r="W454" s="1">
        <v>0</v>
      </c>
      <c r="X454" s="1">
        <v>1</v>
      </c>
      <c r="Y454" s="1" t="s">
        <v>104</v>
      </c>
      <c r="Z454" s="1" t="s">
        <v>104</v>
      </c>
      <c r="AA454" s="1" t="s">
        <v>104</v>
      </c>
      <c r="AB454" s="1">
        <v>4</v>
      </c>
      <c r="AC454" s="1" t="s">
        <v>104</v>
      </c>
      <c r="AD454" s="1" t="s">
        <v>104</v>
      </c>
      <c r="AE454" s="1" t="s">
        <v>104</v>
      </c>
      <c r="AF454" s="1" t="s">
        <v>104</v>
      </c>
      <c r="AG454" s="1" t="s">
        <v>104</v>
      </c>
      <c r="AH454" s="1" t="s">
        <v>104</v>
      </c>
      <c r="AI454" s="1" t="s">
        <v>104</v>
      </c>
      <c r="AJ454" s="1" t="s">
        <v>104</v>
      </c>
      <c r="AK454" s="1" t="s">
        <v>104</v>
      </c>
      <c r="AL454" s="1" t="s">
        <v>104</v>
      </c>
      <c r="AM454" s="1" t="s">
        <v>104</v>
      </c>
      <c r="AO454" s="1">
        <v>4</v>
      </c>
      <c r="AP454" s="1" t="s">
        <v>3174</v>
      </c>
      <c r="AQ454" s="1" t="s">
        <v>3175</v>
      </c>
      <c r="AR454" s="1">
        <v>0</v>
      </c>
      <c r="AS454" s="1">
        <v>0</v>
      </c>
      <c r="AT454" s="1">
        <v>0</v>
      </c>
      <c r="AU454" s="1">
        <v>0</v>
      </c>
      <c r="AV454" s="1">
        <v>0</v>
      </c>
      <c r="AW454" s="1">
        <v>0</v>
      </c>
      <c r="AX454" s="1">
        <v>0</v>
      </c>
      <c r="AY454" s="1">
        <v>0</v>
      </c>
      <c r="AZ454" s="1">
        <v>0</v>
      </c>
      <c r="BA454" s="1">
        <v>0</v>
      </c>
      <c r="BB454" s="1">
        <v>0</v>
      </c>
      <c r="BC454" s="1">
        <v>0</v>
      </c>
      <c r="BD454" s="1">
        <v>0</v>
      </c>
      <c r="BE454" s="1">
        <v>0</v>
      </c>
      <c r="BF454" s="1">
        <v>0</v>
      </c>
      <c r="BG454" s="1">
        <v>0</v>
      </c>
      <c r="BH454" s="1">
        <v>0</v>
      </c>
      <c r="BI454" s="1">
        <v>0</v>
      </c>
      <c r="BJ454" s="1">
        <v>0</v>
      </c>
      <c r="BK454" s="1">
        <v>0</v>
      </c>
      <c r="BL454" s="1">
        <v>0</v>
      </c>
      <c r="BM454" s="1">
        <v>0</v>
      </c>
      <c r="BN454" s="1">
        <v>0</v>
      </c>
      <c r="BO454" s="1">
        <v>0</v>
      </c>
      <c r="BP454" s="1">
        <v>0</v>
      </c>
      <c r="BQ454" s="2" t="str">
        <f>HYPERLINK("http://www.d20pfsrd.com/magic/all-spells/r/rusting-grasp","Rusting Grasp")</f>
        <v>Rusting Grasp</v>
      </c>
      <c r="BR454" s="1">
        <v>455</v>
      </c>
      <c r="BS454" s="1" t="s">
        <v>104</v>
      </c>
      <c r="BX454" s="1">
        <v>0</v>
      </c>
      <c r="BY454" s="1" t="s">
        <v>104</v>
      </c>
      <c r="BZ454" s="1" t="s">
        <v>104</v>
      </c>
      <c r="CA454" s="1" t="s">
        <v>104</v>
      </c>
      <c r="CB454" s="1" t="s">
        <v>104</v>
      </c>
      <c r="CC454" s="1" t="s">
        <v>104</v>
      </c>
      <c r="CD454" s="1">
        <v>4</v>
      </c>
      <c r="CE454" s="1" t="s">
        <v>104</v>
      </c>
      <c r="CF454" s="1" t="s">
        <v>104</v>
      </c>
      <c r="CG454" s="1" t="s">
        <v>104</v>
      </c>
      <c r="CH454" s="1">
        <v>4</v>
      </c>
      <c r="CJ454" s="1">
        <v>0</v>
      </c>
      <c r="CK454" s="1">
        <v>0</v>
      </c>
      <c r="CL454" s="1">
        <v>0</v>
      </c>
      <c r="CM454" s="1" t="s">
        <v>104</v>
      </c>
    </row>
    <row r="455" spans="1:91" ht="14.25" customHeight="1" x14ac:dyDescent="0.3">
      <c r="A455" s="1" t="s">
        <v>3176</v>
      </c>
      <c r="B455" s="1" t="s">
        <v>162</v>
      </c>
      <c r="E455" s="1" t="s">
        <v>3177</v>
      </c>
      <c r="F455" s="1" t="s">
        <v>95</v>
      </c>
      <c r="G455" s="1" t="s">
        <v>127</v>
      </c>
      <c r="H455" s="1">
        <v>0</v>
      </c>
      <c r="I455" s="1" t="s">
        <v>128</v>
      </c>
      <c r="L455" s="1" t="s">
        <v>374</v>
      </c>
      <c r="M455" s="1" t="s">
        <v>111</v>
      </c>
      <c r="N455" s="1">
        <v>0</v>
      </c>
      <c r="O455" s="1">
        <v>0</v>
      </c>
      <c r="P455" s="1" t="s">
        <v>211</v>
      </c>
      <c r="Q455" s="1" t="s">
        <v>101</v>
      </c>
      <c r="R455" s="1" t="s">
        <v>3178</v>
      </c>
      <c r="S455" s="1" t="s">
        <v>103</v>
      </c>
      <c r="T455" s="1">
        <v>1</v>
      </c>
      <c r="U455" s="1">
        <v>1</v>
      </c>
      <c r="V455" s="1">
        <v>0</v>
      </c>
      <c r="W455" s="1">
        <v>0</v>
      </c>
      <c r="X455" s="1">
        <v>1</v>
      </c>
      <c r="Y455" s="1" t="s">
        <v>104</v>
      </c>
      <c r="Z455" s="1" t="s">
        <v>104</v>
      </c>
      <c r="AA455" s="1">
        <v>1</v>
      </c>
      <c r="AB455" s="1" t="s">
        <v>104</v>
      </c>
      <c r="AC455" s="1" t="s">
        <v>104</v>
      </c>
      <c r="AD455" s="1" t="s">
        <v>104</v>
      </c>
      <c r="AE455" s="1" t="s">
        <v>104</v>
      </c>
      <c r="AF455" s="1" t="s">
        <v>104</v>
      </c>
      <c r="AG455" s="1" t="s">
        <v>104</v>
      </c>
      <c r="AH455" s="1" t="s">
        <v>104</v>
      </c>
      <c r="AI455" s="1">
        <v>1</v>
      </c>
      <c r="AJ455" s="1">
        <v>1</v>
      </c>
      <c r="AK455" s="1" t="s">
        <v>104</v>
      </c>
      <c r="AL455" s="1" t="s">
        <v>104</v>
      </c>
      <c r="AM455" s="1" t="s">
        <v>104</v>
      </c>
      <c r="AO455" s="1">
        <v>1</v>
      </c>
      <c r="AP455" s="1" t="s">
        <v>3179</v>
      </c>
      <c r="AQ455" s="1" t="s">
        <v>3180</v>
      </c>
      <c r="AR455" s="1">
        <v>0</v>
      </c>
      <c r="AS455" s="1">
        <v>0</v>
      </c>
      <c r="AT455" s="1">
        <v>0</v>
      </c>
      <c r="AU455" s="1">
        <v>0</v>
      </c>
      <c r="AV455" s="1">
        <v>0</v>
      </c>
      <c r="AW455" s="1">
        <v>0</v>
      </c>
      <c r="AX455" s="1">
        <v>0</v>
      </c>
      <c r="AY455" s="1">
        <v>0</v>
      </c>
      <c r="AZ455" s="1">
        <v>0</v>
      </c>
      <c r="BA455" s="1">
        <v>0</v>
      </c>
      <c r="BB455" s="1">
        <v>0</v>
      </c>
      <c r="BC455" s="1">
        <v>0</v>
      </c>
      <c r="BD455" s="1">
        <v>0</v>
      </c>
      <c r="BE455" s="1">
        <v>0</v>
      </c>
      <c r="BF455" s="1">
        <v>0</v>
      </c>
      <c r="BG455" s="1">
        <v>0</v>
      </c>
      <c r="BH455" s="1">
        <v>0</v>
      </c>
      <c r="BI455" s="1">
        <v>0</v>
      </c>
      <c r="BJ455" s="1">
        <v>0</v>
      </c>
      <c r="BK455" s="1">
        <v>0</v>
      </c>
      <c r="BL455" s="1">
        <v>0</v>
      </c>
      <c r="BM455" s="1">
        <v>0</v>
      </c>
      <c r="BN455" s="1">
        <v>0</v>
      </c>
      <c r="BO455" s="1">
        <v>0</v>
      </c>
      <c r="BP455" s="1">
        <v>0</v>
      </c>
      <c r="BQ455" s="2" t="str">
        <f>HYPERLINK("http://www.d20pfsrd.com/magic/all-spells/s/sanctuary","Sanctuary")</f>
        <v>Sanctuary</v>
      </c>
      <c r="BR455" s="1">
        <v>456</v>
      </c>
      <c r="BS455" s="1" t="s">
        <v>104</v>
      </c>
      <c r="BU455" s="1" t="s">
        <v>3181</v>
      </c>
      <c r="BV455" s="1" t="s">
        <v>3182</v>
      </c>
      <c r="BW455" s="1" t="s">
        <v>3183</v>
      </c>
      <c r="BX455" s="1">
        <v>1</v>
      </c>
      <c r="BY455" s="1" t="s">
        <v>104</v>
      </c>
      <c r="BZ455" s="1" t="s">
        <v>104</v>
      </c>
      <c r="CA455" s="1" t="s">
        <v>104</v>
      </c>
      <c r="CB455" s="1" t="s">
        <v>104</v>
      </c>
      <c r="CC455" s="1" t="s">
        <v>104</v>
      </c>
      <c r="CD455" s="1" t="s">
        <v>104</v>
      </c>
      <c r="CE455" s="1">
        <v>1</v>
      </c>
      <c r="CF455" s="1" t="s">
        <v>104</v>
      </c>
      <c r="CG455" s="1" t="s">
        <v>104</v>
      </c>
      <c r="CH455" s="1" t="s">
        <v>104</v>
      </c>
      <c r="CJ455" s="1">
        <v>0</v>
      </c>
      <c r="CK455" s="1">
        <v>0</v>
      </c>
      <c r="CL455" s="1">
        <v>0</v>
      </c>
      <c r="CM455" s="1" t="s">
        <v>104</v>
      </c>
    </row>
    <row r="456" spans="1:91" ht="14.25" customHeight="1" x14ac:dyDescent="0.3">
      <c r="A456" s="1" t="s">
        <v>3184</v>
      </c>
      <c r="B456" s="1" t="s">
        <v>216</v>
      </c>
      <c r="D456" s="1" t="s">
        <v>3185</v>
      </c>
      <c r="E456" s="1" t="s">
        <v>3186</v>
      </c>
      <c r="F456" s="1" t="s">
        <v>95</v>
      </c>
      <c r="G456" s="1" t="s">
        <v>3187</v>
      </c>
      <c r="H456" s="1">
        <v>0</v>
      </c>
      <c r="I456" s="1" t="s">
        <v>109</v>
      </c>
      <c r="L456" s="1" t="s">
        <v>3188</v>
      </c>
      <c r="M456" s="1" t="s">
        <v>3189</v>
      </c>
      <c r="N456" s="1">
        <v>0</v>
      </c>
      <c r="O456" s="1">
        <v>0</v>
      </c>
      <c r="P456" s="1" t="s">
        <v>276</v>
      </c>
      <c r="Q456" s="1" t="s">
        <v>184</v>
      </c>
      <c r="R456" s="1" t="s">
        <v>3190</v>
      </c>
      <c r="S456" s="1" t="s">
        <v>103</v>
      </c>
      <c r="T456" s="1">
        <v>1</v>
      </c>
      <c r="U456" s="1">
        <v>1</v>
      </c>
      <c r="V456" s="1">
        <v>1</v>
      </c>
      <c r="W456" s="1">
        <v>0</v>
      </c>
      <c r="X456" s="1">
        <v>0</v>
      </c>
      <c r="Y456" s="1">
        <v>2</v>
      </c>
      <c r="Z456" s="1">
        <v>2</v>
      </c>
      <c r="AA456" s="1" t="s">
        <v>104</v>
      </c>
      <c r="AB456" s="1" t="s">
        <v>104</v>
      </c>
      <c r="AC456" s="1" t="s">
        <v>104</v>
      </c>
      <c r="AD456" s="1">
        <v>2</v>
      </c>
      <c r="AE456" s="1" t="s">
        <v>104</v>
      </c>
      <c r="AF456" s="1" t="s">
        <v>104</v>
      </c>
      <c r="AG456" s="1" t="s">
        <v>104</v>
      </c>
      <c r="AH456" s="1">
        <v>2</v>
      </c>
      <c r="AI456" s="1" t="s">
        <v>104</v>
      </c>
      <c r="AJ456" s="1" t="s">
        <v>104</v>
      </c>
      <c r="AK456" s="1">
        <v>2</v>
      </c>
      <c r="AL456" s="1" t="s">
        <v>104</v>
      </c>
      <c r="AM456" s="1" t="s">
        <v>104</v>
      </c>
      <c r="AO456" s="1">
        <v>2</v>
      </c>
      <c r="AP456" s="1" t="s">
        <v>3191</v>
      </c>
      <c r="AQ456" s="1" t="s">
        <v>3192</v>
      </c>
      <c r="AR456" s="1">
        <v>0</v>
      </c>
      <c r="AS456" s="1">
        <v>0</v>
      </c>
      <c r="AT456" s="1">
        <v>0</v>
      </c>
      <c r="AU456" s="1">
        <v>0</v>
      </c>
      <c r="AV456" s="1">
        <v>0</v>
      </c>
      <c r="AW456" s="1">
        <v>0</v>
      </c>
      <c r="AX456" s="1">
        <v>0</v>
      </c>
      <c r="AY456" s="1">
        <v>0</v>
      </c>
      <c r="AZ456" s="1">
        <v>0</v>
      </c>
      <c r="BA456" s="1">
        <v>0</v>
      </c>
      <c r="BB456" s="1">
        <v>1</v>
      </c>
      <c r="BC456" s="1">
        <v>0</v>
      </c>
      <c r="BD456" s="1">
        <v>1</v>
      </c>
      <c r="BE456" s="1">
        <v>0</v>
      </c>
      <c r="BF456" s="1">
        <v>0</v>
      </c>
      <c r="BG456" s="1">
        <v>0</v>
      </c>
      <c r="BH456" s="1">
        <v>0</v>
      </c>
      <c r="BI456" s="1">
        <v>0</v>
      </c>
      <c r="BJ456" s="1">
        <v>0</v>
      </c>
      <c r="BK456" s="1">
        <v>1</v>
      </c>
      <c r="BL456" s="1">
        <v>0</v>
      </c>
      <c r="BM456" s="1">
        <v>0</v>
      </c>
      <c r="BN456" s="1">
        <v>0</v>
      </c>
      <c r="BO456" s="1">
        <v>0</v>
      </c>
      <c r="BP456" s="1">
        <v>0</v>
      </c>
      <c r="BQ456" s="2" t="str">
        <f>HYPERLINK("http://www.d20pfsrd.com/magic/all-spells/s/scare","Scare")</f>
        <v>Scare</v>
      </c>
      <c r="BR456" s="1">
        <v>457</v>
      </c>
      <c r="BS456" s="1" t="s">
        <v>104</v>
      </c>
      <c r="BX456" s="1">
        <v>0</v>
      </c>
      <c r="BY456" s="1" t="s">
        <v>104</v>
      </c>
      <c r="BZ456" s="1">
        <v>2</v>
      </c>
      <c r="CA456" s="1">
        <v>2</v>
      </c>
      <c r="CB456" s="1">
        <v>2</v>
      </c>
      <c r="CC456" s="1">
        <v>2</v>
      </c>
      <c r="CD456" s="1">
        <v>2</v>
      </c>
      <c r="CE456" s="1">
        <v>2</v>
      </c>
      <c r="CF456" s="1" t="s">
        <v>104</v>
      </c>
      <c r="CG456" s="1" t="s">
        <v>104</v>
      </c>
      <c r="CH456" s="1" t="s">
        <v>104</v>
      </c>
      <c r="CJ456" s="1">
        <v>0</v>
      </c>
      <c r="CK456" s="1">
        <v>0</v>
      </c>
      <c r="CL456" s="1">
        <v>0</v>
      </c>
      <c r="CM456" s="1" t="s">
        <v>104</v>
      </c>
    </row>
    <row r="457" spans="1:91" ht="14.25" customHeight="1" x14ac:dyDescent="0.3">
      <c r="A457" s="1" t="s">
        <v>3193</v>
      </c>
      <c r="B457" s="1" t="s">
        <v>507</v>
      </c>
      <c r="C457" s="1" t="s">
        <v>720</v>
      </c>
      <c r="D457" s="1" t="s">
        <v>125</v>
      </c>
      <c r="E457" s="1" t="s">
        <v>688</v>
      </c>
      <c r="F457" s="1" t="s">
        <v>95</v>
      </c>
      <c r="G457" s="1" t="s">
        <v>3194</v>
      </c>
      <c r="H457" s="1">
        <v>0</v>
      </c>
      <c r="I457" s="1" t="s">
        <v>117</v>
      </c>
      <c r="K457" s="1" t="s">
        <v>3195</v>
      </c>
      <c r="M457" s="1" t="s">
        <v>2537</v>
      </c>
      <c r="N457" s="1">
        <v>0</v>
      </c>
      <c r="O457" s="1">
        <v>0</v>
      </c>
      <c r="P457" s="1" t="s">
        <v>100</v>
      </c>
      <c r="Q457" s="1" t="s">
        <v>184</v>
      </c>
      <c r="R457" s="1" t="s">
        <v>3196</v>
      </c>
      <c r="S457" s="1" t="s">
        <v>103</v>
      </c>
      <c r="T457" s="1">
        <v>1</v>
      </c>
      <c r="U457" s="1">
        <v>1</v>
      </c>
      <c r="V457" s="1">
        <v>1</v>
      </c>
      <c r="W457" s="1">
        <v>0</v>
      </c>
      <c r="X457" s="1">
        <v>0</v>
      </c>
      <c r="Y457" s="1">
        <v>8</v>
      </c>
      <c r="Z457" s="1">
        <v>8</v>
      </c>
      <c r="AA457" s="1" t="s">
        <v>104</v>
      </c>
      <c r="AB457" s="1" t="s">
        <v>104</v>
      </c>
      <c r="AC457" s="1" t="s">
        <v>104</v>
      </c>
      <c r="AD457" s="1" t="s">
        <v>104</v>
      </c>
      <c r="AE457" s="1" t="s">
        <v>104</v>
      </c>
      <c r="AF457" s="1" t="s">
        <v>104</v>
      </c>
      <c r="AG457" s="1" t="s">
        <v>104</v>
      </c>
      <c r="AH457" s="1" t="s">
        <v>104</v>
      </c>
      <c r="AI457" s="1" t="s">
        <v>104</v>
      </c>
      <c r="AJ457" s="1" t="s">
        <v>104</v>
      </c>
      <c r="AK457" s="1" t="s">
        <v>104</v>
      </c>
      <c r="AL457" s="1" t="s">
        <v>104</v>
      </c>
      <c r="AM457" s="1" t="s">
        <v>104</v>
      </c>
      <c r="AO457" s="1">
        <v>8</v>
      </c>
      <c r="AP457" s="1" t="s">
        <v>3197</v>
      </c>
      <c r="AQ457" s="1" t="s">
        <v>3198</v>
      </c>
      <c r="AR457" s="1">
        <v>0</v>
      </c>
      <c r="AS457" s="1">
        <v>0</v>
      </c>
      <c r="AT457" s="1">
        <v>0</v>
      </c>
      <c r="AU457" s="1">
        <v>0</v>
      </c>
      <c r="AV457" s="1">
        <v>0</v>
      </c>
      <c r="AW457" s="1">
        <v>0</v>
      </c>
      <c r="AX457" s="1">
        <v>0</v>
      </c>
      <c r="AY457" s="1">
        <v>0</v>
      </c>
      <c r="AZ457" s="1">
        <v>0</v>
      </c>
      <c r="BA457" s="1">
        <v>0</v>
      </c>
      <c r="BB457" s="1">
        <v>0</v>
      </c>
      <c r="BC457" s="1">
        <v>0</v>
      </c>
      <c r="BD457" s="1">
        <v>0</v>
      </c>
      <c r="BE457" s="1">
        <v>0</v>
      </c>
      <c r="BF457" s="1">
        <v>0</v>
      </c>
      <c r="BG457" s="1">
        <v>0</v>
      </c>
      <c r="BH457" s="1">
        <v>0</v>
      </c>
      <c r="BI457" s="1">
        <v>0</v>
      </c>
      <c r="BJ457" s="1">
        <v>0</v>
      </c>
      <c r="BK457" s="1">
        <v>1</v>
      </c>
      <c r="BL457" s="1">
        <v>0</v>
      </c>
      <c r="BM457" s="1">
        <v>0</v>
      </c>
      <c r="BN457" s="1">
        <v>0</v>
      </c>
      <c r="BO457" s="1">
        <v>0</v>
      </c>
      <c r="BP457" s="1">
        <v>0</v>
      </c>
      <c r="BQ457" s="2" t="str">
        <f>HYPERLINK("http://www.d20pfsrd.com/magic/all-spells/s/scintillating-pattern","Scintillating Pattern")</f>
        <v>Scintillating Pattern</v>
      </c>
      <c r="BR457" s="1">
        <v>458</v>
      </c>
      <c r="BS457" s="1" t="s">
        <v>104</v>
      </c>
      <c r="BU457" s="1" t="s">
        <v>3199</v>
      </c>
      <c r="BX457" s="1">
        <v>0</v>
      </c>
      <c r="BY457" s="1" t="s">
        <v>104</v>
      </c>
      <c r="BZ457" s="1" t="s">
        <v>104</v>
      </c>
      <c r="CA457" s="1">
        <v>8</v>
      </c>
      <c r="CB457" s="1" t="s">
        <v>104</v>
      </c>
      <c r="CC457" s="1" t="s">
        <v>104</v>
      </c>
      <c r="CD457" s="1" t="s">
        <v>104</v>
      </c>
      <c r="CE457" s="1" t="s">
        <v>104</v>
      </c>
      <c r="CF457" s="1" t="s">
        <v>104</v>
      </c>
      <c r="CG457" s="1" t="s">
        <v>104</v>
      </c>
      <c r="CH457" s="1" t="s">
        <v>104</v>
      </c>
      <c r="CJ457" s="1">
        <v>0</v>
      </c>
      <c r="CK457" s="1">
        <v>0</v>
      </c>
      <c r="CL457" s="1">
        <v>0</v>
      </c>
      <c r="CM457" s="1" t="s">
        <v>104</v>
      </c>
    </row>
    <row r="458" spans="1:91" ht="14.25" customHeight="1" x14ac:dyDescent="0.3">
      <c r="A458" s="1" t="s">
        <v>3200</v>
      </c>
      <c r="B458" s="1" t="s">
        <v>434</v>
      </c>
      <c r="D458" s="1" t="s">
        <v>56</v>
      </c>
      <c r="E458" s="1" t="s">
        <v>94</v>
      </c>
      <c r="F458" s="1" t="s">
        <v>95</v>
      </c>
      <c r="G458" s="1" t="s">
        <v>116</v>
      </c>
      <c r="H458" s="1">
        <v>0</v>
      </c>
      <c r="I458" s="1" t="s">
        <v>117</v>
      </c>
      <c r="K458" s="1" t="s">
        <v>3201</v>
      </c>
      <c r="M458" s="1" t="s">
        <v>119</v>
      </c>
      <c r="N458" s="1">
        <v>0</v>
      </c>
      <c r="O458" s="1">
        <v>0</v>
      </c>
      <c r="P458" s="1" t="s">
        <v>100</v>
      </c>
      <c r="Q458" s="1" t="s">
        <v>184</v>
      </c>
      <c r="R458" s="1" t="s">
        <v>3202</v>
      </c>
      <c r="S458" s="1" t="s">
        <v>103</v>
      </c>
      <c r="T458" s="1">
        <v>1</v>
      </c>
      <c r="U458" s="1">
        <v>1</v>
      </c>
      <c r="V458" s="1">
        <v>0</v>
      </c>
      <c r="W458" s="1">
        <v>0</v>
      </c>
      <c r="X458" s="1">
        <v>0</v>
      </c>
      <c r="Y458" s="1">
        <v>2</v>
      </c>
      <c r="Z458" s="1">
        <v>2</v>
      </c>
      <c r="AA458" s="1" t="s">
        <v>104</v>
      </c>
      <c r="AB458" s="1" t="s">
        <v>104</v>
      </c>
      <c r="AC458" s="1" t="s">
        <v>104</v>
      </c>
      <c r="AD458" s="1" t="s">
        <v>104</v>
      </c>
      <c r="AE458" s="1" t="s">
        <v>104</v>
      </c>
      <c r="AF458" s="1" t="s">
        <v>104</v>
      </c>
      <c r="AG458" s="1" t="s">
        <v>104</v>
      </c>
      <c r="AH458" s="1" t="s">
        <v>104</v>
      </c>
      <c r="AI458" s="1" t="s">
        <v>104</v>
      </c>
      <c r="AJ458" s="1" t="s">
        <v>104</v>
      </c>
      <c r="AK458" s="1" t="s">
        <v>104</v>
      </c>
      <c r="AL458" s="1">
        <v>2</v>
      </c>
      <c r="AM458" s="1">
        <v>2</v>
      </c>
      <c r="AO458" s="1">
        <v>2</v>
      </c>
      <c r="AQ458" s="1" t="s">
        <v>3203</v>
      </c>
      <c r="AR458" s="1">
        <v>0</v>
      </c>
      <c r="AS458" s="1">
        <v>0</v>
      </c>
      <c r="AT458" s="1">
        <v>0</v>
      </c>
      <c r="AU458" s="1">
        <v>0</v>
      </c>
      <c r="AV458" s="1">
        <v>0</v>
      </c>
      <c r="AW458" s="1">
        <v>0</v>
      </c>
      <c r="AX458" s="1">
        <v>0</v>
      </c>
      <c r="AY458" s="1">
        <v>0</v>
      </c>
      <c r="AZ458" s="1">
        <v>0</v>
      </c>
      <c r="BA458" s="1">
        <v>0</v>
      </c>
      <c r="BB458" s="1">
        <v>0</v>
      </c>
      <c r="BC458" s="1">
        <v>0</v>
      </c>
      <c r="BD458" s="1">
        <v>0</v>
      </c>
      <c r="BE458" s="1">
        <v>1</v>
      </c>
      <c r="BF458" s="1">
        <v>0</v>
      </c>
      <c r="BG458" s="1">
        <v>0</v>
      </c>
      <c r="BH458" s="1">
        <v>0</v>
      </c>
      <c r="BI458" s="1">
        <v>0</v>
      </c>
      <c r="BJ458" s="1">
        <v>0</v>
      </c>
      <c r="BK458" s="1">
        <v>0</v>
      </c>
      <c r="BL458" s="1">
        <v>0</v>
      </c>
      <c r="BM458" s="1">
        <v>0</v>
      </c>
      <c r="BN458" s="1">
        <v>0</v>
      </c>
      <c r="BO458" s="1">
        <v>0</v>
      </c>
      <c r="BP458" s="1">
        <v>0</v>
      </c>
      <c r="BQ458" s="2" t="str">
        <f>HYPERLINK("http://www.d20pfsrd.com/magic/all-spells/s/scorching-ray","Scorching Ray")</f>
        <v>Scorching Ray</v>
      </c>
      <c r="BR458" s="1">
        <v>459</v>
      </c>
      <c r="BS458" s="1" t="s">
        <v>104</v>
      </c>
      <c r="BT458" s="1" t="s">
        <v>3204</v>
      </c>
      <c r="BV458" s="1" t="s">
        <v>3205</v>
      </c>
      <c r="BX458" s="1">
        <v>1</v>
      </c>
      <c r="BY458" s="1">
        <v>2</v>
      </c>
      <c r="BZ458" s="1" t="s">
        <v>104</v>
      </c>
      <c r="CA458" s="1" t="s">
        <v>104</v>
      </c>
      <c r="CB458" s="1" t="s">
        <v>104</v>
      </c>
      <c r="CC458" s="1" t="s">
        <v>104</v>
      </c>
      <c r="CD458" s="1" t="s">
        <v>104</v>
      </c>
      <c r="CE458" s="1" t="s">
        <v>104</v>
      </c>
      <c r="CF458" s="1" t="s">
        <v>104</v>
      </c>
      <c r="CG458" s="1" t="s">
        <v>104</v>
      </c>
      <c r="CH458" s="1" t="s">
        <v>104</v>
      </c>
      <c r="CJ458" s="1">
        <v>0</v>
      </c>
      <c r="CK458" s="1">
        <v>0</v>
      </c>
      <c r="CL458" s="1">
        <v>0</v>
      </c>
      <c r="CM458" s="1" t="s">
        <v>104</v>
      </c>
    </row>
    <row r="459" spans="1:91" ht="14.25" customHeight="1" x14ac:dyDescent="0.3">
      <c r="A459" s="1" t="s">
        <v>3206</v>
      </c>
      <c r="B459" s="1" t="s">
        <v>507</v>
      </c>
      <c r="C459" s="1" t="s">
        <v>508</v>
      </c>
      <c r="E459" s="1" t="s">
        <v>688</v>
      </c>
      <c r="F459" s="1" t="s">
        <v>287</v>
      </c>
      <c r="G459" s="1" t="s">
        <v>116</v>
      </c>
      <c r="H459" s="1">
        <v>0</v>
      </c>
      <c r="I459" s="1" t="s">
        <v>117</v>
      </c>
      <c r="J459" s="1" t="s">
        <v>2356</v>
      </c>
      <c r="M459" s="1" t="s">
        <v>341</v>
      </c>
      <c r="N459" s="1">
        <v>0</v>
      </c>
      <c r="O459" s="1">
        <v>1</v>
      </c>
      <c r="P459" s="1" t="s">
        <v>2573</v>
      </c>
      <c r="Q459" s="1" t="s">
        <v>101</v>
      </c>
      <c r="R459" s="1" t="s">
        <v>3207</v>
      </c>
      <c r="S459" s="1" t="s">
        <v>103</v>
      </c>
      <c r="T459" s="1">
        <v>1</v>
      </c>
      <c r="U459" s="1">
        <v>1</v>
      </c>
      <c r="V459" s="1">
        <v>0</v>
      </c>
      <c r="W459" s="1">
        <v>0</v>
      </c>
      <c r="X459" s="1">
        <v>0</v>
      </c>
      <c r="Y459" s="1">
        <v>8</v>
      </c>
      <c r="Z459" s="1">
        <v>8</v>
      </c>
      <c r="AA459" s="1" t="s">
        <v>104</v>
      </c>
      <c r="AB459" s="1" t="s">
        <v>104</v>
      </c>
      <c r="AC459" s="1" t="s">
        <v>104</v>
      </c>
      <c r="AD459" s="1" t="s">
        <v>104</v>
      </c>
      <c r="AE459" s="1" t="s">
        <v>104</v>
      </c>
      <c r="AF459" s="1" t="s">
        <v>104</v>
      </c>
      <c r="AG459" s="1" t="s">
        <v>104</v>
      </c>
      <c r="AH459" s="1" t="s">
        <v>104</v>
      </c>
      <c r="AI459" s="1" t="s">
        <v>104</v>
      </c>
      <c r="AJ459" s="1" t="s">
        <v>104</v>
      </c>
      <c r="AK459" s="1" t="s">
        <v>104</v>
      </c>
      <c r="AL459" s="1" t="s">
        <v>104</v>
      </c>
      <c r="AM459" s="1" t="s">
        <v>104</v>
      </c>
      <c r="AO459" s="1">
        <v>8</v>
      </c>
      <c r="AP459" s="1" t="s">
        <v>3208</v>
      </c>
      <c r="AQ459" s="1" t="s">
        <v>3209</v>
      </c>
      <c r="AR459" s="1">
        <v>0</v>
      </c>
      <c r="AS459" s="1">
        <v>0</v>
      </c>
      <c r="AT459" s="1">
        <v>0</v>
      </c>
      <c r="AU459" s="1">
        <v>0</v>
      </c>
      <c r="AV459" s="1">
        <v>0</v>
      </c>
      <c r="AW459" s="1">
        <v>0</v>
      </c>
      <c r="AX459" s="1">
        <v>0</v>
      </c>
      <c r="AY459" s="1">
        <v>0</v>
      </c>
      <c r="AZ459" s="1">
        <v>0</v>
      </c>
      <c r="BA459" s="1">
        <v>0</v>
      </c>
      <c r="BB459" s="1">
        <v>0</v>
      </c>
      <c r="BC459" s="1">
        <v>0</v>
      </c>
      <c r="BD459" s="1">
        <v>0</v>
      </c>
      <c r="BE459" s="1">
        <v>0</v>
      </c>
      <c r="BF459" s="1">
        <v>0</v>
      </c>
      <c r="BG459" s="1">
        <v>0</v>
      </c>
      <c r="BH459" s="1">
        <v>0</v>
      </c>
      <c r="BI459" s="1">
        <v>0</v>
      </c>
      <c r="BJ459" s="1">
        <v>0</v>
      </c>
      <c r="BK459" s="1">
        <v>0</v>
      </c>
      <c r="BL459" s="1">
        <v>0</v>
      </c>
      <c r="BM459" s="1">
        <v>0</v>
      </c>
      <c r="BN459" s="1">
        <v>0</v>
      </c>
      <c r="BO459" s="1">
        <v>0</v>
      </c>
      <c r="BP459" s="1">
        <v>0</v>
      </c>
      <c r="BQ459" s="2" t="str">
        <f>HYPERLINK("http://www.d20pfsrd.com/magic/all-spells/s/screen","Screen")</f>
        <v>Screen</v>
      </c>
      <c r="BR459" s="1">
        <v>460</v>
      </c>
      <c r="BS459" s="1" t="s">
        <v>104</v>
      </c>
      <c r="BU459" s="1" t="s">
        <v>3210</v>
      </c>
      <c r="BX459" s="1">
        <v>0</v>
      </c>
      <c r="BY459" s="1" t="s">
        <v>104</v>
      </c>
      <c r="BZ459" s="1" t="s">
        <v>104</v>
      </c>
      <c r="CA459" s="1">
        <v>8</v>
      </c>
      <c r="CB459" s="1" t="s">
        <v>104</v>
      </c>
      <c r="CC459" s="1" t="s">
        <v>104</v>
      </c>
      <c r="CD459" s="1" t="s">
        <v>104</v>
      </c>
      <c r="CE459" s="1" t="s">
        <v>104</v>
      </c>
      <c r="CF459" s="1" t="s">
        <v>104</v>
      </c>
      <c r="CG459" s="1" t="s">
        <v>104</v>
      </c>
      <c r="CH459" s="1" t="s">
        <v>104</v>
      </c>
      <c r="CJ459" s="1">
        <v>0</v>
      </c>
      <c r="CK459" s="1">
        <v>0</v>
      </c>
      <c r="CL459" s="1">
        <v>0</v>
      </c>
      <c r="CM459" s="1" t="s">
        <v>104</v>
      </c>
    </row>
    <row r="460" spans="1:91" ht="14.25" customHeight="1" x14ac:dyDescent="0.3">
      <c r="A460" s="1" t="s">
        <v>3211</v>
      </c>
      <c r="B460" s="1" t="s">
        <v>172</v>
      </c>
      <c r="C460" s="1" t="s">
        <v>285</v>
      </c>
      <c r="E460" s="1" t="s">
        <v>3212</v>
      </c>
      <c r="F460" s="1" t="s">
        <v>273</v>
      </c>
      <c r="G460" s="1" t="s">
        <v>3213</v>
      </c>
      <c r="H460" s="1">
        <v>1</v>
      </c>
      <c r="I460" s="1" t="s">
        <v>145</v>
      </c>
      <c r="K460" s="1" t="s">
        <v>290</v>
      </c>
      <c r="M460" s="1" t="s">
        <v>130</v>
      </c>
      <c r="N460" s="1">
        <v>0</v>
      </c>
      <c r="O460" s="1">
        <v>0</v>
      </c>
      <c r="P460" s="1" t="s">
        <v>211</v>
      </c>
      <c r="Q460" s="1" t="s">
        <v>184</v>
      </c>
      <c r="R460" s="1" t="s">
        <v>3214</v>
      </c>
      <c r="S460" s="1" t="s">
        <v>103</v>
      </c>
      <c r="T460" s="1">
        <v>1</v>
      </c>
      <c r="U460" s="1">
        <v>1</v>
      </c>
      <c r="V460" s="1">
        <v>1</v>
      </c>
      <c r="W460" s="1">
        <v>0</v>
      </c>
      <c r="X460" s="1">
        <v>1</v>
      </c>
      <c r="Y460" s="1">
        <v>4</v>
      </c>
      <c r="Z460" s="1">
        <v>4</v>
      </c>
      <c r="AA460" s="1">
        <v>5</v>
      </c>
      <c r="AB460" s="1">
        <v>4</v>
      </c>
      <c r="AC460" s="1" t="s">
        <v>104</v>
      </c>
      <c r="AD460" s="1">
        <v>3</v>
      </c>
      <c r="AE460" s="1" t="s">
        <v>104</v>
      </c>
      <c r="AF460" s="1" t="s">
        <v>104</v>
      </c>
      <c r="AG460" s="1" t="s">
        <v>104</v>
      </c>
      <c r="AH460" s="1">
        <v>4</v>
      </c>
      <c r="AI460" s="1" t="s">
        <v>104</v>
      </c>
      <c r="AJ460" s="1">
        <v>5</v>
      </c>
      <c r="AK460" s="1" t="s">
        <v>104</v>
      </c>
      <c r="AL460" s="1" t="s">
        <v>104</v>
      </c>
      <c r="AM460" s="1" t="s">
        <v>104</v>
      </c>
      <c r="AO460" s="1">
        <v>4</v>
      </c>
      <c r="AQ460" s="1" t="s">
        <v>3215</v>
      </c>
      <c r="AR460" s="1">
        <v>0</v>
      </c>
      <c r="AS460" s="1">
        <v>0</v>
      </c>
      <c r="AT460" s="1">
        <v>0</v>
      </c>
      <c r="AU460" s="1">
        <v>0</v>
      </c>
      <c r="AV460" s="1">
        <v>0</v>
      </c>
      <c r="AW460" s="1">
        <v>0</v>
      </c>
      <c r="AX460" s="1">
        <v>0</v>
      </c>
      <c r="AY460" s="1">
        <v>0</v>
      </c>
      <c r="AZ460" s="1">
        <v>0</v>
      </c>
      <c r="BA460" s="1">
        <v>0</v>
      </c>
      <c r="BB460" s="1">
        <v>0</v>
      </c>
      <c r="BC460" s="1">
        <v>0</v>
      </c>
      <c r="BD460" s="1">
        <v>0</v>
      </c>
      <c r="BE460" s="1">
        <v>0</v>
      </c>
      <c r="BF460" s="1">
        <v>0</v>
      </c>
      <c r="BG460" s="1">
        <v>0</v>
      </c>
      <c r="BH460" s="1">
        <v>0</v>
      </c>
      <c r="BI460" s="1">
        <v>0</v>
      </c>
      <c r="BJ460" s="1">
        <v>0</v>
      </c>
      <c r="BK460" s="1">
        <v>0</v>
      </c>
      <c r="BL460" s="1">
        <v>0</v>
      </c>
      <c r="BM460" s="1">
        <v>0</v>
      </c>
      <c r="BN460" s="1">
        <v>0</v>
      </c>
      <c r="BO460" s="1">
        <v>0</v>
      </c>
      <c r="BP460" s="1">
        <v>0</v>
      </c>
      <c r="BQ460" s="2" t="str">
        <f>HYPERLINK("http://www.d20pfsrd.com/magic/all-spells/s/scrying","Scrying")</f>
        <v>Scrying</v>
      </c>
      <c r="BR460" s="1">
        <v>461</v>
      </c>
      <c r="BS460" s="1">
        <v>1000</v>
      </c>
      <c r="BX460" s="1">
        <v>0</v>
      </c>
      <c r="BY460" s="1" t="s">
        <v>104</v>
      </c>
      <c r="BZ460" s="1">
        <v>4</v>
      </c>
      <c r="CA460" s="1">
        <v>4</v>
      </c>
      <c r="CB460" s="1">
        <v>3</v>
      </c>
      <c r="CC460" s="1">
        <v>3</v>
      </c>
      <c r="CD460" s="1">
        <v>4</v>
      </c>
      <c r="CE460" s="1">
        <v>5</v>
      </c>
      <c r="CF460" s="1" t="s">
        <v>104</v>
      </c>
      <c r="CG460" s="1" t="s">
        <v>104</v>
      </c>
      <c r="CH460" s="1">
        <v>4</v>
      </c>
      <c r="CJ460" s="1">
        <v>0</v>
      </c>
      <c r="CK460" s="1">
        <v>0</v>
      </c>
      <c r="CL460" s="1">
        <v>0</v>
      </c>
      <c r="CM460" s="1" t="s">
        <v>104</v>
      </c>
    </row>
    <row r="461" spans="1:91" ht="14.25" customHeight="1" x14ac:dyDescent="0.3">
      <c r="A461" s="1" t="s">
        <v>3216</v>
      </c>
      <c r="B461" s="1" t="s">
        <v>172</v>
      </c>
      <c r="C461" s="1" t="s">
        <v>285</v>
      </c>
      <c r="E461" s="1" t="s">
        <v>3217</v>
      </c>
      <c r="F461" s="1" t="s">
        <v>95</v>
      </c>
      <c r="G461" s="1" t="s">
        <v>116</v>
      </c>
      <c r="H461" s="1">
        <v>0</v>
      </c>
      <c r="I461" s="1" t="s">
        <v>145</v>
      </c>
      <c r="K461" s="1" t="s">
        <v>290</v>
      </c>
      <c r="M461" s="1" t="s">
        <v>201</v>
      </c>
      <c r="N461" s="1">
        <v>0</v>
      </c>
      <c r="O461" s="1">
        <v>0</v>
      </c>
      <c r="P461" s="1" t="s">
        <v>211</v>
      </c>
      <c r="Q461" s="1" t="s">
        <v>184</v>
      </c>
      <c r="R461" s="1" t="s">
        <v>3218</v>
      </c>
      <c r="S461" s="1" t="s">
        <v>103</v>
      </c>
      <c r="T461" s="1">
        <v>1</v>
      </c>
      <c r="U461" s="1">
        <v>1</v>
      </c>
      <c r="V461" s="1">
        <v>0</v>
      </c>
      <c r="W461" s="1">
        <v>0</v>
      </c>
      <c r="X461" s="1">
        <v>0</v>
      </c>
      <c r="Y461" s="1">
        <v>7</v>
      </c>
      <c r="Z461" s="1">
        <v>7</v>
      </c>
      <c r="AA461" s="1">
        <v>7</v>
      </c>
      <c r="AB461" s="1">
        <v>7</v>
      </c>
      <c r="AC461" s="1" t="s">
        <v>104</v>
      </c>
      <c r="AD461" s="1">
        <v>6</v>
      </c>
      <c r="AE461" s="1" t="s">
        <v>104</v>
      </c>
      <c r="AF461" s="1" t="s">
        <v>104</v>
      </c>
      <c r="AG461" s="1" t="s">
        <v>104</v>
      </c>
      <c r="AH461" s="1">
        <v>7</v>
      </c>
      <c r="AI461" s="1" t="s">
        <v>104</v>
      </c>
      <c r="AJ461" s="1">
        <v>7</v>
      </c>
      <c r="AK461" s="1" t="s">
        <v>104</v>
      </c>
      <c r="AL461" s="1" t="s">
        <v>104</v>
      </c>
      <c r="AM461" s="1" t="s">
        <v>104</v>
      </c>
      <c r="AO461" s="1">
        <v>7</v>
      </c>
      <c r="AQ461" s="1" t="s">
        <v>3219</v>
      </c>
      <c r="AR461" s="1">
        <v>0</v>
      </c>
      <c r="AS461" s="1">
        <v>0</v>
      </c>
      <c r="AT461" s="1">
        <v>0</v>
      </c>
      <c r="AU461" s="1">
        <v>0</v>
      </c>
      <c r="AV461" s="1">
        <v>0</v>
      </c>
      <c r="AW461" s="1">
        <v>0</v>
      </c>
      <c r="AX461" s="1">
        <v>0</v>
      </c>
      <c r="AY461" s="1">
        <v>0</v>
      </c>
      <c r="AZ461" s="1">
        <v>0</v>
      </c>
      <c r="BA461" s="1">
        <v>0</v>
      </c>
      <c r="BB461" s="1">
        <v>0</v>
      </c>
      <c r="BC461" s="1">
        <v>0</v>
      </c>
      <c r="BD461" s="1">
        <v>0</v>
      </c>
      <c r="BE461" s="1">
        <v>0</v>
      </c>
      <c r="BF461" s="1">
        <v>0</v>
      </c>
      <c r="BG461" s="1">
        <v>0</v>
      </c>
      <c r="BH461" s="1">
        <v>0</v>
      </c>
      <c r="BI461" s="1">
        <v>0</v>
      </c>
      <c r="BJ461" s="1">
        <v>0</v>
      </c>
      <c r="BK461" s="1">
        <v>0</v>
      </c>
      <c r="BL461" s="1">
        <v>0</v>
      </c>
      <c r="BM461" s="1">
        <v>0</v>
      </c>
      <c r="BN461" s="1">
        <v>0</v>
      </c>
      <c r="BO461" s="1">
        <v>0</v>
      </c>
      <c r="BP461" s="1">
        <v>0</v>
      </c>
      <c r="BQ461" s="2" t="str">
        <f>HYPERLINK("http://www.d20pfsrd.com/magic/all-spells/s/scrying","Scrying, Greater")</f>
        <v>Scrying, Greater</v>
      </c>
      <c r="BR461" s="1">
        <v>462</v>
      </c>
      <c r="BS461" s="1" t="s">
        <v>104</v>
      </c>
      <c r="BX461" s="1">
        <v>0</v>
      </c>
      <c r="BY461" s="1" t="s">
        <v>104</v>
      </c>
      <c r="BZ461" s="1">
        <v>7</v>
      </c>
      <c r="CA461" s="1">
        <v>7</v>
      </c>
      <c r="CB461" s="1" t="s">
        <v>104</v>
      </c>
      <c r="CC461" s="1">
        <v>6</v>
      </c>
      <c r="CD461" s="1">
        <v>6</v>
      </c>
      <c r="CE461" s="1" t="s">
        <v>104</v>
      </c>
      <c r="CF461" s="1" t="s">
        <v>104</v>
      </c>
      <c r="CG461" s="1" t="s">
        <v>104</v>
      </c>
      <c r="CH461" s="1" t="s">
        <v>104</v>
      </c>
      <c r="CJ461" s="1">
        <v>0</v>
      </c>
      <c r="CK461" s="1">
        <v>0</v>
      </c>
      <c r="CL461" s="1">
        <v>0</v>
      </c>
      <c r="CM461" s="1" t="s">
        <v>104</v>
      </c>
    </row>
    <row r="462" spans="1:91" ht="14.25" customHeight="1" x14ac:dyDescent="0.3">
      <c r="A462" s="1" t="s">
        <v>3220</v>
      </c>
      <c r="B462" s="1" t="s">
        <v>137</v>
      </c>
      <c r="E462" s="1" t="s">
        <v>1846</v>
      </c>
      <c r="F462" s="1" t="s">
        <v>95</v>
      </c>
      <c r="G462" s="1" t="s">
        <v>116</v>
      </c>
      <c r="H462" s="1">
        <v>0</v>
      </c>
      <c r="I462" s="1" t="s">
        <v>117</v>
      </c>
      <c r="L462" s="1" t="s">
        <v>3221</v>
      </c>
      <c r="M462" s="1" t="s">
        <v>201</v>
      </c>
      <c r="N462" s="1">
        <v>1</v>
      </c>
      <c r="O462" s="1">
        <v>0</v>
      </c>
      <c r="P462" s="1" t="s">
        <v>471</v>
      </c>
      <c r="Q462" s="1" t="s">
        <v>472</v>
      </c>
      <c r="R462" s="1" t="s">
        <v>3222</v>
      </c>
      <c r="S462" s="1" t="s">
        <v>103</v>
      </c>
      <c r="T462" s="1">
        <v>1</v>
      </c>
      <c r="U462" s="1">
        <v>1</v>
      </c>
      <c r="V462" s="1">
        <v>0</v>
      </c>
      <c r="W462" s="1">
        <v>0</v>
      </c>
      <c r="X462" s="1">
        <v>0</v>
      </c>
      <c r="Y462" s="1" t="s">
        <v>104</v>
      </c>
      <c r="Z462" s="1" t="s">
        <v>104</v>
      </c>
      <c r="AA462" s="1" t="s">
        <v>104</v>
      </c>
      <c r="AB462" s="1" t="s">
        <v>104</v>
      </c>
      <c r="AC462" s="1" t="s">
        <v>104</v>
      </c>
      <c r="AD462" s="1">
        <v>3</v>
      </c>
      <c r="AE462" s="1" t="s">
        <v>104</v>
      </c>
      <c r="AF462" s="1" t="s">
        <v>104</v>
      </c>
      <c r="AG462" s="1" t="s">
        <v>104</v>
      </c>
      <c r="AH462" s="1" t="s">
        <v>104</v>
      </c>
      <c r="AI462" s="1" t="s">
        <v>104</v>
      </c>
      <c r="AJ462" s="1" t="s">
        <v>104</v>
      </c>
      <c r="AK462" s="1" t="s">
        <v>104</v>
      </c>
      <c r="AL462" s="1" t="s">
        <v>104</v>
      </c>
      <c r="AM462" s="1" t="s">
        <v>104</v>
      </c>
      <c r="AO462" s="1">
        <v>3</v>
      </c>
      <c r="AQ462" s="1" t="s">
        <v>3223</v>
      </c>
      <c r="AR462" s="1">
        <v>0</v>
      </c>
      <c r="AS462" s="1">
        <v>0</v>
      </c>
      <c r="AT462" s="1">
        <v>0</v>
      </c>
      <c r="AU462" s="1">
        <v>0</v>
      </c>
      <c r="AV462" s="1">
        <v>0</v>
      </c>
      <c r="AW462" s="1">
        <v>0</v>
      </c>
      <c r="AX462" s="1">
        <v>0</v>
      </c>
      <c r="AY462" s="1">
        <v>0</v>
      </c>
      <c r="AZ462" s="1">
        <v>0</v>
      </c>
      <c r="BA462" s="1">
        <v>0</v>
      </c>
      <c r="BB462" s="1">
        <v>0</v>
      </c>
      <c r="BC462" s="1">
        <v>0</v>
      </c>
      <c r="BD462" s="1">
        <v>0</v>
      </c>
      <c r="BE462" s="1">
        <v>0</v>
      </c>
      <c r="BF462" s="1">
        <v>0</v>
      </c>
      <c r="BG462" s="1">
        <v>0</v>
      </c>
      <c r="BH462" s="1">
        <v>0</v>
      </c>
      <c r="BI462" s="1">
        <v>0</v>
      </c>
      <c r="BJ462" s="1">
        <v>0</v>
      </c>
      <c r="BK462" s="1">
        <v>0</v>
      </c>
      <c r="BL462" s="1">
        <v>0</v>
      </c>
      <c r="BM462" s="1">
        <v>0</v>
      </c>
      <c r="BN462" s="1">
        <v>0</v>
      </c>
      <c r="BO462" s="1">
        <v>0</v>
      </c>
      <c r="BP462" s="1">
        <v>0</v>
      </c>
      <c r="BQ462" s="2" t="str">
        <f>HYPERLINK("http://www.d20pfsrd.com/magic/all-spells/s/sculpt-sound","Sculpt Sound")</f>
        <v>Sculpt Sound</v>
      </c>
      <c r="BR462" s="1">
        <v>463</v>
      </c>
      <c r="BS462" s="1" t="s">
        <v>104</v>
      </c>
      <c r="BX462" s="1">
        <v>0</v>
      </c>
      <c r="BY462" s="1" t="s">
        <v>104</v>
      </c>
      <c r="BZ462" s="1" t="s">
        <v>104</v>
      </c>
      <c r="CA462" s="1" t="s">
        <v>104</v>
      </c>
      <c r="CB462" s="1" t="s">
        <v>104</v>
      </c>
      <c r="CC462" s="1" t="s">
        <v>104</v>
      </c>
      <c r="CD462" s="1" t="s">
        <v>104</v>
      </c>
      <c r="CE462" s="1" t="s">
        <v>104</v>
      </c>
      <c r="CF462" s="1" t="s">
        <v>104</v>
      </c>
      <c r="CG462" s="1" t="s">
        <v>104</v>
      </c>
      <c r="CH462" s="1" t="s">
        <v>104</v>
      </c>
      <c r="CJ462" s="1">
        <v>0</v>
      </c>
      <c r="CK462" s="1">
        <v>0</v>
      </c>
      <c r="CL462" s="1">
        <v>0</v>
      </c>
      <c r="CM462" s="1" t="s">
        <v>104</v>
      </c>
    </row>
    <row r="463" spans="1:91" ht="14.25" customHeight="1" x14ac:dyDescent="0.3">
      <c r="A463" s="1" t="s">
        <v>3224</v>
      </c>
      <c r="B463" s="1" t="s">
        <v>434</v>
      </c>
      <c r="E463" s="1" t="s">
        <v>3225</v>
      </c>
      <c r="F463" s="1" t="s">
        <v>95</v>
      </c>
      <c r="G463" s="1" t="s">
        <v>116</v>
      </c>
      <c r="H463" s="1">
        <v>0</v>
      </c>
      <c r="I463" s="1" t="s">
        <v>109</v>
      </c>
      <c r="K463" s="1" t="s">
        <v>1148</v>
      </c>
      <c r="M463" s="1" t="s">
        <v>119</v>
      </c>
      <c r="N463" s="1">
        <v>0</v>
      </c>
      <c r="O463" s="1">
        <v>0</v>
      </c>
      <c r="P463" s="1" t="s">
        <v>100</v>
      </c>
      <c r="Q463" s="1" t="s">
        <v>184</v>
      </c>
      <c r="R463" s="1" t="s">
        <v>3226</v>
      </c>
      <c r="S463" s="1" t="s">
        <v>103</v>
      </c>
      <c r="T463" s="1">
        <v>1</v>
      </c>
      <c r="U463" s="1">
        <v>1</v>
      </c>
      <c r="V463" s="1">
        <v>0</v>
      </c>
      <c r="W463" s="1">
        <v>0</v>
      </c>
      <c r="X463" s="1">
        <v>0</v>
      </c>
      <c r="Y463" s="1" t="s">
        <v>104</v>
      </c>
      <c r="Z463" s="1" t="s">
        <v>104</v>
      </c>
      <c r="AA463" s="1">
        <v>3</v>
      </c>
      <c r="AB463" s="1" t="s">
        <v>104</v>
      </c>
      <c r="AC463" s="1" t="s">
        <v>104</v>
      </c>
      <c r="AD463" s="1" t="s">
        <v>104</v>
      </c>
      <c r="AE463" s="1" t="s">
        <v>104</v>
      </c>
      <c r="AF463" s="1" t="s">
        <v>104</v>
      </c>
      <c r="AG463" s="1" t="s">
        <v>104</v>
      </c>
      <c r="AH463" s="1" t="s">
        <v>104</v>
      </c>
      <c r="AI463" s="1">
        <v>3</v>
      </c>
      <c r="AJ463" s="1">
        <v>3</v>
      </c>
      <c r="AK463" s="1" t="s">
        <v>104</v>
      </c>
      <c r="AL463" s="1" t="s">
        <v>104</v>
      </c>
      <c r="AM463" s="1" t="s">
        <v>104</v>
      </c>
      <c r="AO463" s="1">
        <v>3</v>
      </c>
      <c r="AP463" s="1" t="s">
        <v>3227</v>
      </c>
      <c r="AQ463" s="1" t="s">
        <v>3228</v>
      </c>
      <c r="AR463" s="1">
        <v>0</v>
      </c>
      <c r="AS463" s="1">
        <v>0</v>
      </c>
      <c r="AT463" s="1">
        <v>0</v>
      </c>
      <c r="AU463" s="1">
        <v>0</v>
      </c>
      <c r="AV463" s="1">
        <v>0</v>
      </c>
      <c r="AW463" s="1">
        <v>0</v>
      </c>
      <c r="AX463" s="1">
        <v>0</v>
      </c>
      <c r="AY463" s="1">
        <v>0</v>
      </c>
      <c r="AZ463" s="1">
        <v>0</v>
      </c>
      <c r="BA463" s="1">
        <v>0</v>
      </c>
      <c r="BB463" s="1">
        <v>0</v>
      </c>
      <c r="BC463" s="1">
        <v>0</v>
      </c>
      <c r="BD463" s="1">
        <v>0</v>
      </c>
      <c r="BE463" s="1">
        <v>0</v>
      </c>
      <c r="BF463" s="1">
        <v>0</v>
      </c>
      <c r="BG463" s="1">
        <v>0</v>
      </c>
      <c r="BH463" s="1">
        <v>0</v>
      </c>
      <c r="BI463" s="1">
        <v>0</v>
      </c>
      <c r="BJ463" s="1">
        <v>0</v>
      </c>
      <c r="BK463" s="1">
        <v>0</v>
      </c>
      <c r="BL463" s="1">
        <v>0</v>
      </c>
      <c r="BM463" s="1">
        <v>0</v>
      </c>
      <c r="BN463" s="1">
        <v>0</v>
      </c>
      <c r="BO463" s="1">
        <v>0</v>
      </c>
      <c r="BP463" s="1">
        <v>0</v>
      </c>
      <c r="BQ463" s="2" t="str">
        <f>HYPERLINK("http://www.d20pfsrd.com/magic/all-spells/s/searing-light","Searing Light")</f>
        <v>Searing Light</v>
      </c>
      <c r="BR463" s="1">
        <v>464</v>
      </c>
      <c r="BS463" s="1" t="s">
        <v>104</v>
      </c>
      <c r="BV463" s="1" t="s">
        <v>3229</v>
      </c>
      <c r="BX463" s="1">
        <v>1</v>
      </c>
      <c r="BY463" s="1" t="s">
        <v>104</v>
      </c>
      <c r="BZ463" s="1" t="s">
        <v>104</v>
      </c>
      <c r="CA463" s="1" t="s">
        <v>104</v>
      </c>
      <c r="CB463" s="1" t="s">
        <v>104</v>
      </c>
      <c r="CC463" s="1" t="s">
        <v>104</v>
      </c>
      <c r="CD463" s="1" t="s">
        <v>104</v>
      </c>
      <c r="CE463" s="1" t="s">
        <v>104</v>
      </c>
      <c r="CF463" s="1" t="s">
        <v>104</v>
      </c>
      <c r="CG463" s="1" t="s">
        <v>104</v>
      </c>
      <c r="CH463" s="1" t="s">
        <v>104</v>
      </c>
      <c r="CJ463" s="1">
        <v>0</v>
      </c>
      <c r="CK463" s="1">
        <v>0</v>
      </c>
      <c r="CL463" s="1">
        <v>0</v>
      </c>
      <c r="CM463" s="1" t="s">
        <v>104</v>
      </c>
    </row>
    <row r="464" spans="1:91" ht="14.25" customHeight="1" x14ac:dyDescent="0.3">
      <c r="A464" s="1" t="s">
        <v>3230</v>
      </c>
      <c r="B464" s="1" t="s">
        <v>92</v>
      </c>
      <c r="C464" s="1" t="s">
        <v>903</v>
      </c>
      <c r="E464" s="1" t="s">
        <v>3231</v>
      </c>
      <c r="F464" s="1" t="s">
        <v>287</v>
      </c>
      <c r="G464" s="1" t="s">
        <v>3232</v>
      </c>
      <c r="H464" s="1">
        <v>0</v>
      </c>
      <c r="I464" s="1" t="s">
        <v>145</v>
      </c>
      <c r="L464" s="1" t="s">
        <v>3233</v>
      </c>
      <c r="M464" s="1" t="s">
        <v>3234</v>
      </c>
      <c r="N464" s="1">
        <v>0</v>
      </c>
      <c r="O464" s="1">
        <v>0</v>
      </c>
      <c r="P464" s="1" t="s">
        <v>100</v>
      </c>
      <c r="Q464" s="1" t="s">
        <v>101</v>
      </c>
      <c r="R464" s="1" t="s">
        <v>3235</v>
      </c>
      <c r="S464" s="1" t="s">
        <v>103</v>
      </c>
      <c r="T464" s="1">
        <v>1</v>
      </c>
      <c r="U464" s="1">
        <v>1</v>
      </c>
      <c r="V464" s="1">
        <v>0</v>
      </c>
      <c r="W464" s="1">
        <v>1</v>
      </c>
      <c r="X464" s="1">
        <v>0</v>
      </c>
      <c r="Y464" s="1">
        <v>5</v>
      </c>
      <c r="Z464" s="1">
        <v>5</v>
      </c>
      <c r="AA464" s="1" t="s">
        <v>104</v>
      </c>
      <c r="AB464" s="1" t="s">
        <v>104</v>
      </c>
      <c r="AC464" s="1" t="s">
        <v>104</v>
      </c>
      <c r="AD464" s="1" t="s">
        <v>104</v>
      </c>
      <c r="AE464" s="1" t="s">
        <v>104</v>
      </c>
      <c r="AF464" s="1" t="s">
        <v>104</v>
      </c>
      <c r="AG464" s="1" t="s">
        <v>104</v>
      </c>
      <c r="AH464" s="1">
        <v>5</v>
      </c>
      <c r="AI464" s="1" t="s">
        <v>104</v>
      </c>
      <c r="AJ464" s="1" t="s">
        <v>104</v>
      </c>
      <c r="AK464" s="1" t="s">
        <v>104</v>
      </c>
      <c r="AL464" s="1" t="s">
        <v>104</v>
      </c>
      <c r="AM464" s="1" t="s">
        <v>104</v>
      </c>
      <c r="AO464" s="1">
        <v>5</v>
      </c>
      <c r="AQ464" s="1" t="s">
        <v>3236</v>
      </c>
      <c r="AR464" s="1">
        <v>0</v>
      </c>
      <c r="AS464" s="1">
        <v>0</v>
      </c>
      <c r="AT464" s="1">
        <v>0</v>
      </c>
      <c r="AU464" s="1">
        <v>0</v>
      </c>
      <c r="AV464" s="1">
        <v>0</v>
      </c>
      <c r="AW464" s="1">
        <v>0</v>
      </c>
      <c r="AX464" s="1">
        <v>0</v>
      </c>
      <c r="AY464" s="1">
        <v>0</v>
      </c>
      <c r="AZ464" s="1">
        <v>0</v>
      </c>
      <c r="BA464" s="1">
        <v>0</v>
      </c>
      <c r="BB464" s="1">
        <v>0</v>
      </c>
      <c r="BC464" s="1">
        <v>0</v>
      </c>
      <c r="BD464" s="1">
        <v>0</v>
      </c>
      <c r="BE464" s="1">
        <v>0</v>
      </c>
      <c r="BF464" s="1">
        <v>0</v>
      </c>
      <c r="BG464" s="1">
        <v>0</v>
      </c>
      <c r="BH464" s="1">
        <v>0</v>
      </c>
      <c r="BI464" s="1">
        <v>0</v>
      </c>
      <c r="BJ464" s="1">
        <v>0</v>
      </c>
      <c r="BK464" s="1">
        <v>0</v>
      </c>
      <c r="BL464" s="1">
        <v>0</v>
      </c>
      <c r="BM464" s="1">
        <v>0</v>
      </c>
      <c r="BN464" s="1">
        <v>0</v>
      </c>
      <c r="BO464" s="1">
        <v>0</v>
      </c>
      <c r="BP464" s="1">
        <v>0</v>
      </c>
      <c r="BQ464" s="2" t="str">
        <f>HYPERLINK("http://www.d20pfsrd.com/magic/all-spells/s/secret-chest","Secret Chest")</f>
        <v>Secret Chest</v>
      </c>
      <c r="BR464" s="1">
        <v>465</v>
      </c>
      <c r="BS464" s="1" t="s">
        <v>104</v>
      </c>
      <c r="BX464" s="1">
        <v>0</v>
      </c>
      <c r="BY464" s="1" t="s">
        <v>104</v>
      </c>
      <c r="BZ464" s="1" t="s">
        <v>104</v>
      </c>
      <c r="CA464" s="1">
        <v>5</v>
      </c>
      <c r="CB464" s="1" t="s">
        <v>104</v>
      </c>
      <c r="CC464" s="1">
        <v>5</v>
      </c>
      <c r="CD464" s="1">
        <v>5</v>
      </c>
      <c r="CE464" s="1">
        <v>5</v>
      </c>
      <c r="CF464" s="1" t="s">
        <v>104</v>
      </c>
      <c r="CG464" s="1" t="s">
        <v>104</v>
      </c>
      <c r="CH464" s="1" t="s">
        <v>104</v>
      </c>
      <c r="CJ464" s="1">
        <v>0</v>
      </c>
      <c r="CK464" s="1">
        <v>0</v>
      </c>
      <c r="CL464" s="1">
        <v>0</v>
      </c>
      <c r="CM464" s="1" t="s">
        <v>104</v>
      </c>
    </row>
    <row r="465" spans="1:91" ht="14.25" customHeight="1" x14ac:dyDescent="0.3">
      <c r="A465" s="1" t="s">
        <v>3237</v>
      </c>
      <c r="B465" s="1" t="s">
        <v>137</v>
      </c>
      <c r="E465" s="1" t="s">
        <v>3238</v>
      </c>
      <c r="F465" s="1" t="s">
        <v>287</v>
      </c>
      <c r="G465" s="1" t="s">
        <v>3239</v>
      </c>
      <c r="H465" s="1">
        <v>0</v>
      </c>
      <c r="I465" s="1" t="s">
        <v>128</v>
      </c>
      <c r="L465" s="1" t="s">
        <v>3240</v>
      </c>
      <c r="M465" s="1" t="s">
        <v>298</v>
      </c>
      <c r="N465" s="1">
        <v>0</v>
      </c>
      <c r="O465" s="1">
        <v>0</v>
      </c>
      <c r="P465" s="1" t="s">
        <v>100</v>
      </c>
      <c r="Q465" s="1" t="s">
        <v>101</v>
      </c>
      <c r="R465" s="1" t="s">
        <v>3241</v>
      </c>
      <c r="S465" s="1" t="s">
        <v>103</v>
      </c>
      <c r="T465" s="1">
        <v>1</v>
      </c>
      <c r="U465" s="1">
        <v>1</v>
      </c>
      <c r="V465" s="1">
        <v>1</v>
      </c>
      <c r="W465" s="1">
        <v>0</v>
      </c>
      <c r="X465" s="1">
        <v>0</v>
      </c>
      <c r="Y465" s="1">
        <v>3</v>
      </c>
      <c r="Z465" s="1">
        <v>3</v>
      </c>
      <c r="AA465" s="1" t="s">
        <v>104</v>
      </c>
      <c r="AB465" s="1" t="s">
        <v>104</v>
      </c>
      <c r="AC465" s="1" t="s">
        <v>104</v>
      </c>
      <c r="AD465" s="1">
        <v>3</v>
      </c>
      <c r="AE465" s="1" t="s">
        <v>104</v>
      </c>
      <c r="AF465" s="1" t="s">
        <v>104</v>
      </c>
      <c r="AG465" s="1" t="s">
        <v>104</v>
      </c>
      <c r="AH465" s="1" t="s">
        <v>104</v>
      </c>
      <c r="AI465" s="1" t="s">
        <v>104</v>
      </c>
      <c r="AJ465" s="1" t="s">
        <v>104</v>
      </c>
      <c r="AK465" s="1" t="s">
        <v>104</v>
      </c>
      <c r="AL465" s="1" t="s">
        <v>104</v>
      </c>
      <c r="AM465" s="1" t="s">
        <v>104</v>
      </c>
      <c r="AO465" s="1">
        <v>3</v>
      </c>
      <c r="AP465" s="1" t="s">
        <v>3242</v>
      </c>
      <c r="AQ465" s="1" t="s">
        <v>3243</v>
      </c>
      <c r="AR465" s="1">
        <v>0</v>
      </c>
      <c r="AS465" s="1">
        <v>0</v>
      </c>
      <c r="AT465" s="1">
        <v>0</v>
      </c>
      <c r="AU465" s="1">
        <v>0</v>
      </c>
      <c r="AV465" s="1">
        <v>0</v>
      </c>
      <c r="AW465" s="1">
        <v>0</v>
      </c>
      <c r="AX465" s="1">
        <v>0</v>
      </c>
      <c r="AY465" s="1">
        <v>0</v>
      </c>
      <c r="AZ465" s="1">
        <v>0</v>
      </c>
      <c r="BA465" s="1">
        <v>0</v>
      </c>
      <c r="BB465" s="1">
        <v>0</v>
      </c>
      <c r="BC465" s="1">
        <v>0</v>
      </c>
      <c r="BD465" s="1">
        <v>0</v>
      </c>
      <c r="BE465" s="1">
        <v>0</v>
      </c>
      <c r="BF465" s="1">
        <v>0</v>
      </c>
      <c r="BG465" s="1">
        <v>0</v>
      </c>
      <c r="BH465" s="1">
        <v>0</v>
      </c>
      <c r="BI465" s="1">
        <v>0</v>
      </c>
      <c r="BJ465" s="1">
        <v>0</v>
      </c>
      <c r="BK465" s="1">
        <v>0</v>
      </c>
      <c r="BL465" s="1">
        <v>0</v>
      </c>
      <c r="BM465" s="1">
        <v>0</v>
      </c>
      <c r="BN465" s="1">
        <v>0</v>
      </c>
      <c r="BO465" s="1">
        <v>0</v>
      </c>
      <c r="BP465" s="1">
        <v>0</v>
      </c>
      <c r="BQ465" s="2" t="str">
        <f>HYPERLINK("http://www.d20pfsrd.com/magic/all-spells/s/secret-page","Secret Page")</f>
        <v>Secret Page</v>
      </c>
      <c r="BR465" s="1">
        <v>466</v>
      </c>
      <c r="BS465" s="1" t="s">
        <v>104</v>
      </c>
      <c r="BX465" s="1">
        <v>0</v>
      </c>
      <c r="BY465" s="1" t="s">
        <v>104</v>
      </c>
      <c r="BZ465" s="1" t="s">
        <v>104</v>
      </c>
      <c r="CA465" s="1" t="s">
        <v>104</v>
      </c>
      <c r="CB465" s="1" t="s">
        <v>104</v>
      </c>
      <c r="CC465" s="1">
        <v>3</v>
      </c>
      <c r="CD465" s="1">
        <v>3</v>
      </c>
      <c r="CE465" s="1" t="s">
        <v>104</v>
      </c>
      <c r="CF465" s="1" t="s">
        <v>104</v>
      </c>
      <c r="CG465" s="1" t="s">
        <v>104</v>
      </c>
      <c r="CH465" s="1" t="s">
        <v>104</v>
      </c>
      <c r="CJ465" s="1">
        <v>0</v>
      </c>
      <c r="CK465" s="1">
        <v>0</v>
      </c>
      <c r="CL465" s="1">
        <v>0</v>
      </c>
      <c r="CM465" s="1" t="s">
        <v>104</v>
      </c>
    </row>
    <row r="466" spans="1:91" ht="14.25" customHeight="1" x14ac:dyDescent="0.3">
      <c r="A466" s="1" t="s">
        <v>3244</v>
      </c>
      <c r="B466" s="1" t="s">
        <v>92</v>
      </c>
      <c r="C466" s="1" t="s">
        <v>93</v>
      </c>
      <c r="E466" s="1" t="s">
        <v>3245</v>
      </c>
      <c r="F466" s="1" t="s">
        <v>287</v>
      </c>
      <c r="G466" s="1" t="s">
        <v>3246</v>
      </c>
      <c r="H466" s="1">
        <v>0</v>
      </c>
      <c r="I466" s="1" t="s">
        <v>117</v>
      </c>
      <c r="K466" s="1" t="s">
        <v>3247</v>
      </c>
      <c r="M466" s="1" t="s">
        <v>166</v>
      </c>
      <c r="N466" s="1">
        <v>1</v>
      </c>
      <c r="O466" s="1">
        <v>0</v>
      </c>
      <c r="P466" s="1" t="s">
        <v>100</v>
      </c>
      <c r="Q466" s="1" t="s">
        <v>101</v>
      </c>
      <c r="R466" s="1" t="s">
        <v>3248</v>
      </c>
      <c r="S466" s="1" t="s">
        <v>103</v>
      </c>
      <c r="T466" s="1">
        <v>1</v>
      </c>
      <c r="U466" s="1">
        <v>1</v>
      </c>
      <c r="V466" s="1">
        <v>1</v>
      </c>
      <c r="W466" s="1">
        <v>0</v>
      </c>
      <c r="X466" s="1">
        <v>0</v>
      </c>
      <c r="Y466" s="1">
        <v>4</v>
      </c>
      <c r="Z466" s="1">
        <v>4</v>
      </c>
      <c r="AA466" s="1" t="s">
        <v>104</v>
      </c>
      <c r="AB466" s="1" t="s">
        <v>104</v>
      </c>
      <c r="AC466" s="1" t="s">
        <v>104</v>
      </c>
      <c r="AD466" s="1">
        <v>4</v>
      </c>
      <c r="AE466" s="1" t="s">
        <v>104</v>
      </c>
      <c r="AF466" s="1" t="s">
        <v>104</v>
      </c>
      <c r="AG466" s="1" t="s">
        <v>104</v>
      </c>
      <c r="AH466" s="1">
        <v>4</v>
      </c>
      <c r="AI466" s="1" t="s">
        <v>104</v>
      </c>
      <c r="AJ466" s="1" t="s">
        <v>104</v>
      </c>
      <c r="AK466" s="1" t="s">
        <v>104</v>
      </c>
      <c r="AL466" s="1" t="s">
        <v>104</v>
      </c>
      <c r="AM466" s="1" t="s">
        <v>104</v>
      </c>
      <c r="AO466" s="1">
        <v>4</v>
      </c>
      <c r="AQ466" s="1" t="s">
        <v>3249</v>
      </c>
      <c r="AR466" s="1">
        <v>0</v>
      </c>
      <c r="AS466" s="1">
        <v>0</v>
      </c>
      <c r="AT466" s="1">
        <v>0</v>
      </c>
      <c r="AU466" s="1">
        <v>0</v>
      </c>
      <c r="AV466" s="1">
        <v>0</v>
      </c>
      <c r="AW466" s="1">
        <v>0</v>
      </c>
      <c r="AX466" s="1">
        <v>0</v>
      </c>
      <c r="AY466" s="1">
        <v>0</v>
      </c>
      <c r="AZ466" s="1">
        <v>0</v>
      </c>
      <c r="BA466" s="1">
        <v>0</v>
      </c>
      <c r="BB466" s="1">
        <v>0</v>
      </c>
      <c r="BC466" s="1">
        <v>0</v>
      </c>
      <c r="BD466" s="1">
        <v>0</v>
      </c>
      <c r="BE466" s="1">
        <v>0</v>
      </c>
      <c r="BF466" s="1">
        <v>0</v>
      </c>
      <c r="BG466" s="1">
        <v>0</v>
      </c>
      <c r="BH466" s="1">
        <v>0</v>
      </c>
      <c r="BI466" s="1">
        <v>0</v>
      </c>
      <c r="BJ466" s="1">
        <v>0</v>
      </c>
      <c r="BK466" s="1">
        <v>0</v>
      </c>
      <c r="BL466" s="1">
        <v>0</v>
      </c>
      <c r="BM466" s="1">
        <v>0</v>
      </c>
      <c r="BN466" s="1">
        <v>0</v>
      </c>
      <c r="BO466" s="1">
        <v>0</v>
      </c>
      <c r="BP466" s="1">
        <v>0</v>
      </c>
      <c r="BQ466" s="2" t="str">
        <f>HYPERLINK("http://www.d20pfsrd.com/magic/all-spells/s/secure-shelter","Secure Shelter")</f>
        <v>Secure Shelter</v>
      </c>
      <c r="BR466" s="1">
        <v>467</v>
      </c>
      <c r="BS466" s="1" t="s">
        <v>104</v>
      </c>
      <c r="BX466" s="1">
        <v>0</v>
      </c>
      <c r="BY466" s="1" t="s">
        <v>104</v>
      </c>
      <c r="BZ466" s="1" t="s">
        <v>104</v>
      </c>
      <c r="CA466" s="1" t="s">
        <v>104</v>
      </c>
      <c r="CB466" s="1" t="s">
        <v>104</v>
      </c>
      <c r="CC466" s="1" t="s">
        <v>104</v>
      </c>
      <c r="CD466" s="1" t="s">
        <v>104</v>
      </c>
      <c r="CE466" s="1" t="s">
        <v>104</v>
      </c>
      <c r="CF466" s="1" t="s">
        <v>104</v>
      </c>
      <c r="CG466" s="1" t="s">
        <v>104</v>
      </c>
      <c r="CH466" s="1" t="s">
        <v>104</v>
      </c>
      <c r="CJ466" s="1">
        <v>0</v>
      </c>
      <c r="CK466" s="1">
        <v>0</v>
      </c>
      <c r="CL466" s="1">
        <v>0</v>
      </c>
      <c r="CM466" s="1" t="s">
        <v>104</v>
      </c>
    </row>
    <row r="467" spans="1:91" ht="14.25" customHeight="1" x14ac:dyDescent="0.3">
      <c r="A467" s="1" t="s">
        <v>3250</v>
      </c>
      <c r="B467" s="1" t="s">
        <v>172</v>
      </c>
      <c r="E467" s="1" t="s">
        <v>3251</v>
      </c>
      <c r="F467" s="1" t="s">
        <v>95</v>
      </c>
      <c r="G467" s="1" t="s">
        <v>3252</v>
      </c>
      <c r="H467" s="1">
        <v>0</v>
      </c>
      <c r="I467" s="1" t="s">
        <v>157</v>
      </c>
      <c r="L467" s="1" t="s">
        <v>158</v>
      </c>
      <c r="M467" s="1" t="s">
        <v>140</v>
      </c>
      <c r="N467" s="1">
        <v>1</v>
      </c>
      <c r="O467" s="1">
        <v>0</v>
      </c>
      <c r="R467" s="1" t="s">
        <v>3253</v>
      </c>
      <c r="S467" s="1" t="s">
        <v>103</v>
      </c>
      <c r="T467" s="1">
        <v>1</v>
      </c>
      <c r="U467" s="1">
        <v>1</v>
      </c>
      <c r="V467" s="1">
        <v>1</v>
      </c>
      <c r="W467" s="1">
        <v>0</v>
      </c>
      <c r="X467" s="1">
        <v>0</v>
      </c>
      <c r="Y467" s="1">
        <v>2</v>
      </c>
      <c r="Z467" s="1">
        <v>2</v>
      </c>
      <c r="AA467" s="1" t="s">
        <v>104</v>
      </c>
      <c r="AB467" s="1" t="s">
        <v>104</v>
      </c>
      <c r="AC467" s="1" t="s">
        <v>104</v>
      </c>
      <c r="AD467" s="1">
        <v>3</v>
      </c>
      <c r="AE467" s="1" t="s">
        <v>104</v>
      </c>
      <c r="AF467" s="1">
        <v>2</v>
      </c>
      <c r="AG467" s="1">
        <v>2</v>
      </c>
      <c r="AH467" s="1">
        <v>2</v>
      </c>
      <c r="AI467" s="1">
        <v>2</v>
      </c>
      <c r="AJ467" s="1" t="s">
        <v>104</v>
      </c>
      <c r="AK467" s="1" t="s">
        <v>104</v>
      </c>
      <c r="AL467" s="1" t="s">
        <v>104</v>
      </c>
      <c r="AM467" s="1">
        <v>2</v>
      </c>
      <c r="AO467" s="1">
        <v>2</v>
      </c>
      <c r="AP467" s="1" t="s">
        <v>3254</v>
      </c>
      <c r="AQ467" s="1" t="s">
        <v>3255</v>
      </c>
      <c r="AR467" s="1">
        <v>0</v>
      </c>
      <c r="AS467" s="1">
        <v>0</v>
      </c>
      <c r="AT467" s="1">
        <v>0</v>
      </c>
      <c r="AU467" s="1">
        <v>0</v>
      </c>
      <c r="AV467" s="1">
        <v>0</v>
      </c>
      <c r="AW467" s="1">
        <v>0</v>
      </c>
      <c r="AX467" s="1">
        <v>0</v>
      </c>
      <c r="AY467" s="1">
        <v>0</v>
      </c>
      <c r="AZ467" s="1">
        <v>0</v>
      </c>
      <c r="BA467" s="1">
        <v>0</v>
      </c>
      <c r="BB467" s="1">
        <v>0</v>
      </c>
      <c r="BC467" s="1">
        <v>0</v>
      </c>
      <c r="BD467" s="1">
        <v>0</v>
      </c>
      <c r="BE467" s="1">
        <v>0</v>
      </c>
      <c r="BF467" s="1">
        <v>0</v>
      </c>
      <c r="BG467" s="1">
        <v>0</v>
      </c>
      <c r="BH467" s="1">
        <v>0</v>
      </c>
      <c r="BI467" s="1">
        <v>0</v>
      </c>
      <c r="BJ467" s="1">
        <v>0</v>
      </c>
      <c r="BK467" s="1">
        <v>0</v>
      </c>
      <c r="BL467" s="1">
        <v>0</v>
      </c>
      <c r="BM467" s="1">
        <v>0</v>
      </c>
      <c r="BN467" s="1">
        <v>0</v>
      </c>
      <c r="BO467" s="1">
        <v>0</v>
      </c>
      <c r="BP467" s="1">
        <v>0</v>
      </c>
      <c r="BQ467" s="2" t="str">
        <f>HYPERLINK("http://www.d20pfsrd.com/magic/all-spells/s/see-invisibility","See Invisibility")</f>
        <v>See Invisibility</v>
      </c>
      <c r="BR467" s="1">
        <v>468</v>
      </c>
      <c r="BS467" s="1" t="s">
        <v>104</v>
      </c>
      <c r="BT467" s="1" t="s">
        <v>3256</v>
      </c>
      <c r="BU467" s="1" t="s">
        <v>3257</v>
      </c>
      <c r="BX467" s="1">
        <v>0</v>
      </c>
      <c r="BY467" s="1">
        <v>2</v>
      </c>
      <c r="BZ467" s="1" t="s">
        <v>104</v>
      </c>
      <c r="CA467" s="1">
        <v>2</v>
      </c>
      <c r="CB467" s="1" t="s">
        <v>104</v>
      </c>
      <c r="CC467" s="1">
        <v>3</v>
      </c>
      <c r="CD467" s="1">
        <v>2</v>
      </c>
      <c r="CE467" s="1">
        <v>2</v>
      </c>
      <c r="CF467" s="1" t="s">
        <v>104</v>
      </c>
      <c r="CG467" s="1" t="s">
        <v>104</v>
      </c>
      <c r="CH467" s="1" t="s">
        <v>104</v>
      </c>
      <c r="CJ467" s="1">
        <v>0</v>
      </c>
      <c r="CK467" s="1">
        <v>0</v>
      </c>
      <c r="CL467" s="1">
        <v>0</v>
      </c>
      <c r="CM467" s="1">
        <v>2</v>
      </c>
    </row>
    <row r="468" spans="1:91" ht="14.25" customHeight="1" x14ac:dyDescent="0.3">
      <c r="A468" s="1" t="s">
        <v>3258</v>
      </c>
      <c r="B468" s="1" t="s">
        <v>507</v>
      </c>
      <c r="C468" s="1" t="s">
        <v>508</v>
      </c>
      <c r="E468" s="1" t="s">
        <v>2700</v>
      </c>
      <c r="F468" s="1" t="s">
        <v>95</v>
      </c>
      <c r="G468" s="1" t="s">
        <v>116</v>
      </c>
      <c r="H468" s="1">
        <v>0</v>
      </c>
      <c r="I468" s="1" t="s">
        <v>117</v>
      </c>
      <c r="L468" s="1" t="s">
        <v>3259</v>
      </c>
      <c r="M468" s="1" t="s">
        <v>3260</v>
      </c>
      <c r="N468" s="1">
        <v>1</v>
      </c>
      <c r="O468" s="1">
        <v>0</v>
      </c>
      <c r="P468" s="1" t="s">
        <v>3261</v>
      </c>
      <c r="Q468" s="1" t="s">
        <v>2962</v>
      </c>
      <c r="R468" s="1" t="s">
        <v>3262</v>
      </c>
      <c r="S468" s="1" t="s">
        <v>103</v>
      </c>
      <c r="T468" s="1">
        <v>1</v>
      </c>
      <c r="U468" s="1">
        <v>1</v>
      </c>
      <c r="V468" s="1">
        <v>0</v>
      </c>
      <c r="W468" s="1">
        <v>0</v>
      </c>
      <c r="X468" s="1">
        <v>0</v>
      </c>
      <c r="Y468" s="1">
        <v>5</v>
      </c>
      <c r="Z468" s="1">
        <v>5</v>
      </c>
      <c r="AA468" s="1" t="s">
        <v>104</v>
      </c>
      <c r="AB468" s="1" t="s">
        <v>104</v>
      </c>
      <c r="AC468" s="1" t="s">
        <v>104</v>
      </c>
      <c r="AD468" s="1">
        <v>5</v>
      </c>
      <c r="AE468" s="1" t="s">
        <v>104</v>
      </c>
      <c r="AF468" s="1" t="s">
        <v>104</v>
      </c>
      <c r="AG468" s="1" t="s">
        <v>104</v>
      </c>
      <c r="AH468" s="1" t="s">
        <v>104</v>
      </c>
      <c r="AI468" s="1" t="s">
        <v>104</v>
      </c>
      <c r="AJ468" s="1" t="s">
        <v>104</v>
      </c>
      <c r="AK468" s="1" t="s">
        <v>104</v>
      </c>
      <c r="AL468" s="1" t="s">
        <v>104</v>
      </c>
      <c r="AM468" s="1" t="s">
        <v>104</v>
      </c>
      <c r="AO468" s="1">
        <v>5</v>
      </c>
      <c r="AQ468" s="1" t="s">
        <v>3263</v>
      </c>
      <c r="AR468" s="1">
        <v>0</v>
      </c>
      <c r="AS468" s="1">
        <v>0</v>
      </c>
      <c r="AT468" s="1">
        <v>0</v>
      </c>
      <c r="AU468" s="1">
        <v>0</v>
      </c>
      <c r="AV468" s="1">
        <v>0</v>
      </c>
      <c r="AW468" s="1">
        <v>0</v>
      </c>
      <c r="AX468" s="1">
        <v>0</v>
      </c>
      <c r="AY468" s="1">
        <v>0</v>
      </c>
      <c r="AZ468" s="1">
        <v>0</v>
      </c>
      <c r="BA468" s="1">
        <v>0</v>
      </c>
      <c r="BB468" s="1">
        <v>0</v>
      </c>
      <c r="BC468" s="1">
        <v>0</v>
      </c>
      <c r="BD468" s="1">
        <v>0</v>
      </c>
      <c r="BE468" s="1">
        <v>0</v>
      </c>
      <c r="BF468" s="1">
        <v>0</v>
      </c>
      <c r="BG468" s="1">
        <v>0</v>
      </c>
      <c r="BH468" s="1">
        <v>0</v>
      </c>
      <c r="BI468" s="1">
        <v>0</v>
      </c>
      <c r="BJ468" s="1">
        <v>0</v>
      </c>
      <c r="BK468" s="1">
        <v>0</v>
      </c>
      <c r="BL468" s="1">
        <v>0</v>
      </c>
      <c r="BM468" s="1">
        <v>0</v>
      </c>
      <c r="BN468" s="1">
        <v>0</v>
      </c>
      <c r="BO468" s="1">
        <v>0</v>
      </c>
      <c r="BP468" s="1">
        <v>0</v>
      </c>
      <c r="BQ468" s="2" t="str">
        <f>HYPERLINK("http://www.d20pfsrd.com/magic/all-spells/s/seeming","Seeming")</f>
        <v>Seeming</v>
      </c>
      <c r="BR468" s="1">
        <v>469</v>
      </c>
      <c r="BS468" s="1" t="s">
        <v>104</v>
      </c>
      <c r="BX468" s="1">
        <v>0</v>
      </c>
      <c r="BY468" s="1" t="s">
        <v>104</v>
      </c>
      <c r="BZ468" s="1" t="s">
        <v>104</v>
      </c>
      <c r="CA468" s="1">
        <v>5</v>
      </c>
      <c r="CB468" s="1">
        <v>4</v>
      </c>
      <c r="CC468" s="1">
        <v>5</v>
      </c>
      <c r="CD468" s="1">
        <v>5</v>
      </c>
      <c r="CE468" s="1" t="s">
        <v>104</v>
      </c>
      <c r="CF468" s="1" t="s">
        <v>104</v>
      </c>
      <c r="CG468" s="1" t="s">
        <v>104</v>
      </c>
      <c r="CH468" s="1" t="s">
        <v>104</v>
      </c>
      <c r="CJ468" s="1">
        <v>0</v>
      </c>
      <c r="CK468" s="1">
        <v>0</v>
      </c>
      <c r="CL468" s="1">
        <v>0</v>
      </c>
      <c r="CM468" s="1" t="s">
        <v>104</v>
      </c>
    </row>
    <row r="469" spans="1:91" ht="14.25" customHeight="1" x14ac:dyDescent="0.3">
      <c r="A469" s="1" t="s">
        <v>3264</v>
      </c>
      <c r="B469" s="1" t="s">
        <v>434</v>
      </c>
      <c r="E469" s="1" t="s">
        <v>3265</v>
      </c>
      <c r="F469" s="1" t="s">
        <v>287</v>
      </c>
      <c r="G469" s="1" t="s">
        <v>1064</v>
      </c>
      <c r="H469" s="1">
        <v>0</v>
      </c>
      <c r="I469" s="1" t="s">
        <v>145</v>
      </c>
      <c r="L469" s="1" t="s">
        <v>1065</v>
      </c>
      <c r="M469" s="1" t="s">
        <v>1066</v>
      </c>
      <c r="N469" s="1">
        <v>0</v>
      </c>
      <c r="O469" s="1">
        <v>0</v>
      </c>
      <c r="P469" s="1" t="s">
        <v>100</v>
      </c>
      <c r="Q469" s="1" t="s">
        <v>101</v>
      </c>
      <c r="R469" s="1" t="s">
        <v>3266</v>
      </c>
      <c r="S469" s="1" t="s">
        <v>103</v>
      </c>
      <c r="T469" s="1">
        <v>1</v>
      </c>
      <c r="U469" s="1">
        <v>1</v>
      </c>
      <c r="V469" s="1">
        <v>1</v>
      </c>
      <c r="W469" s="1">
        <v>0</v>
      </c>
      <c r="X469" s="1">
        <v>1</v>
      </c>
      <c r="Y469" s="1">
        <v>5</v>
      </c>
      <c r="Z469" s="1">
        <v>5</v>
      </c>
      <c r="AA469" s="1">
        <v>4</v>
      </c>
      <c r="AB469" s="1" t="s">
        <v>104</v>
      </c>
      <c r="AC469" s="1" t="s">
        <v>104</v>
      </c>
      <c r="AD469" s="1" t="s">
        <v>104</v>
      </c>
      <c r="AE469" s="1" t="s">
        <v>104</v>
      </c>
      <c r="AF469" s="1">
        <v>5</v>
      </c>
      <c r="AG469" s="1">
        <v>4</v>
      </c>
      <c r="AH469" s="1" t="s">
        <v>104</v>
      </c>
      <c r="AI469" s="1">
        <v>4</v>
      </c>
      <c r="AJ469" s="1">
        <v>4</v>
      </c>
      <c r="AK469" s="1" t="s">
        <v>104</v>
      </c>
      <c r="AL469" s="1" t="s">
        <v>104</v>
      </c>
      <c r="AM469" s="1" t="s">
        <v>104</v>
      </c>
      <c r="AO469" s="1">
        <v>5</v>
      </c>
      <c r="AQ469" s="1" t="s">
        <v>3267</v>
      </c>
      <c r="AR469" s="1">
        <v>0</v>
      </c>
      <c r="AS469" s="1">
        <v>0</v>
      </c>
      <c r="AT469" s="1">
        <v>0</v>
      </c>
      <c r="AU469" s="1">
        <v>0</v>
      </c>
      <c r="AV469" s="1">
        <v>0</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0</v>
      </c>
      <c r="BM469" s="1">
        <v>0</v>
      </c>
      <c r="BN469" s="1">
        <v>0</v>
      </c>
      <c r="BO469" s="1">
        <v>0</v>
      </c>
      <c r="BP469" s="1">
        <v>0</v>
      </c>
      <c r="BQ469" s="2" t="str">
        <f>HYPERLINK("http://www.d20pfsrd.com/magic/all-spells/s/sending","Sending")</f>
        <v>Sending</v>
      </c>
      <c r="BR469" s="1">
        <v>470</v>
      </c>
      <c r="BS469" s="1" t="s">
        <v>104</v>
      </c>
      <c r="BX469" s="1">
        <v>0</v>
      </c>
      <c r="BY469" s="1" t="s">
        <v>104</v>
      </c>
      <c r="BZ469" s="1">
        <v>4</v>
      </c>
      <c r="CA469" s="1">
        <v>4</v>
      </c>
      <c r="CB469" s="1">
        <v>3</v>
      </c>
      <c r="CC469" s="1">
        <v>3</v>
      </c>
      <c r="CD469" s="1">
        <v>4</v>
      </c>
      <c r="CE469" s="1">
        <v>5</v>
      </c>
      <c r="CF469" s="1" t="s">
        <v>104</v>
      </c>
      <c r="CG469" s="1" t="s">
        <v>104</v>
      </c>
      <c r="CH469" s="1" t="s">
        <v>104</v>
      </c>
      <c r="CJ469" s="1">
        <v>0</v>
      </c>
      <c r="CK469" s="1">
        <v>0</v>
      </c>
      <c r="CL469" s="1">
        <v>0</v>
      </c>
      <c r="CM469" s="1">
        <v>5</v>
      </c>
    </row>
    <row r="470" spans="1:91" ht="14.25" customHeight="1" x14ac:dyDescent="0.3">
      <c r="A470" s="1" t="s">
        <v>3268</v>
      </c>
      <c r="B470" s="1" t="s">
        <v>92</v>
      </c>
      <c r="C470" s="1" t="s">
        <v>93</v>
      </c>
      <c r="D470" s="1" t="s">
        <v>57</v>
      </c>
      <c r="E470" s="1" t="s">
        <v>3269</v>
      </c>
      <c r="F470" s="1" t="s">
        <v>287</v>
      </c>
      <c r="G470" s="1" t="s">
        <v>3270</v>
      </c>
      <c r="H470" s="1">
        <v>1</v>
      </c>
      <c r="I470" s="1" t="s">
        <v>128</v>
      </c>
      <c r="L470" s="1" t="s">
        <v>3271</v>
      </c>
      <c r="M470" s="1" t="s">
        <v>3272</v>
      </c>
      <c r="N470" s="1">
        <v>0</v>
      </c>
      <c r="O470" s="1">
        <v>0</v>
      </c>
      <c r="P470" s="1" t="s">
        <v>1605</v>
      </c>
      <c r="Q470" s="1" t="s">
        <v>101</v>
      </c>
      <c r="R470" s="1" t="s">
        <v>3273</v>
      </c>
      <c r="S470" s="1" t="s">
        <v>103</v>
      </c>
      <c r="T470" s="1">
        <v>1</v>
      </c>
      <c r="U470" s="1">
        <v>1</v>
      </c>
      <c r="V470" s="1">
        <v>1</v>
      </c>
      <c r="W470" s="1">
        <v>0</v>
      </c>
      <c r="X470" s="1">
        <v>0</v>
      </c>
      <c r="Y470" s="1">
        <v>3</v>
      </c>
      <c r="Z470" s="1">
        <v>3</v>
      </c>
      <c r="AA470" s="1" t="s">
        <v>104</v>
      </c>
      <c r="AB470" s="1" t="s">
        <v>104</v>
      </c>
      <c r="AC470" s="1" t="s">
        <v>104</v>
      </c>
      <c r="AD470" s="1">
        <v>3</v>
      </c>
      <c r="AE470" s="1" t="s">
        <v>104</v>
      </c>
      <c r="AF470" s="1" t="s">
        <v>104</v>
      </c>
      <c r="AG470" s="1" t="s">
        <v>104</v>
      </c>
      <c r="AH470" s="1">
        <v>3</v>
      </c>
      <c r="AI470" s="1" t="s">
        <v>104</v>
      </c>
      <c r="AJ470" s="1" t="s">
        <v>104</v>
      </c>
      <c r="AK470" s="1" t="s">
        <v>104</v>
      </c>
      <c r="AL470" s="1" t="s">
        <v>104</v>
      </c>
      <c r="AM470" s="1" t="s">
        <v>104</v>
      </c>
      <c r="AO470" s="1">
        <v>3</v>
      </c>
      <c r="AQ470" s="1" t="s">
        <v>3274</v>
      </c>
      <c r="AR470" s="1">
        <v>0</v>
      </c>
      <c r="AS470" s="1">
        <v>0</v>
      </c>
      <c r="AT470" s="1">
        <v>0</v>
      </c>
      <c r="AU470" s="1">
        <v>0</v>
      </c>
      <c r="AV470" s="1">
        <v>0</v>
      </c>
      <c r="AW470" s="1">
        <v>0</v>
      </c>
      <c r="AX470" s="1">
        <v>0</v>
      </c>
      <c r="AY470" s="1">
        <v>0</v>
      </c>
      <c r="AZ470" s="1">
        <v>0</v>
      </c>
      <c r="BA470" s="1">
        <v>0</v>
      </c>
      <c r="BB470" s="1">
        <v>0</v>
      </c>
      <c r="BC470" s="1">
        <v>0</v>
      </c>
      <c r="BD470" s="1">
        <v>0</v>
      </c>
      <c r="BE470" s="1">
        <v>0</v>
      </c>
      <c r="BF470" s="1">
        <v>1</v>
      </c>
      <c r="BG470" s="1">
        <v>0</v>
      </c>
      <c r="BH470" s="1">
        <v>0</v>
      </c>
      <c r="BI470" s="1">
        <v>0</v>
      </c>
      <c r="BJ470" s="1">
        <v>0</v>
      </c>
      <c r="BK470" s="1">
        <v>0</v>
      </c>
      <c r="BL470" s="1">
        <v>0</v>
      </c>
      <c r="BM470" s="1">
        <v>0</v>
      </c>
      <c r="BN470" s="1">
        <v>0</v>
      </c>
      <c r="BO470" s="1">
        <v>0</v>
      </c>
      <c r="BP470" s="1">
        <v>0</v>
      </c>
      <c r="BQ470" s="2" t="str">
        <f>HYPERLINK("http://www.d20pfsrd.com/magic/all-spells/s/sepia-snake-sigil","Sepia Snake Sigil")</f>
        <v>Sepia Snake Sigil</v>
      </c>
      <c r="BR470" s="1">
        <v>471</v>
      </c>
      <c r="BS470" s="1">
        <v>500</v>
      </c>
      <c r="BX470" s="1">
        <v>0</v>
      </c>
      <c r="BY470" s="1" t="s">
        <v>104</v>
      </c>
      <c r="BZ470" s="1" t="s">
        <v>104</v>
      </c>
      <c r="CA470" s="1" t="s">
        <v>104</v>
      </c>
      <c r="CB470" s="1" t="s">
        <v>104</v>
      </c>
      <c r="CC470" s="1" t="s">
        <v>104</v>
      </c>
      <c r="CD470" s="1">
        <v>3</v>
      </c>
      <c r="CE470" s="1" t="s">
        <v>104</v>
      </c>
      <c r="CF470" s="1" t="s">
        <v>104</v>
      </c>
      <c r="CG470" s="1" t="s">
        <v>104</v>
      </c>
      <c r="CH470" s="1" t="s">
        <v>104</v>
      </c>
      <c r="CJ470" s="1">
        <v>0</v>
      </c>
      <c r="CK470" s="1">
        <v>0</v>
      </c>
      <c r="CL470" s="1">
        <v>0</v>
      </c>
      <c r="CM470" s="1" t="s">
        <v>104</v>
      </c>
    </row>
    <row r="471" spans="1:91" ht="14.25" customHeight="1" x14ac:dyDescent="0.3">
      <c r="A471" s="1" t="s">
        <v>3275</v>
      </c>
      <c r="B471" s="1" t="s">
        <v>162</v>
      </c>
      <c r="E471" s="1" t="s">
        <v>3276</v>
      </c>
      <c r="F471" s="1" t="s">
        <v>95</v>
      </c>
      <c r="G471" s="1" t="s">
        <v>3277</v>
      </c>
      <c r="H471" s="1">
        <v>0</v>
      </c>
      <c r="I471" s="1" t="s">
        <v>128</v>
      </c>
      <c r="L471" s="1" t="s">
        <v>3278</v>
      </c>
      <c r="M471" s="1" t="s">
        <v>194</v>
      </c>
      <c r="N471" s="1">
        <v>1</v>
      </c>
      <c r="O471" s="1">
        <v>0</v>
      </c>
      <c r="P471" s="1" t="s">
        <v>2970</v>
      </c>
      <c r="Q471" s="1" t="s">
        <v>2971</v>
      </c>
      <c r="R471" s="1" t="s">
        <v>3279</v>
      </c>
      <c r="S471" s="1" t="s">
        <v>103</v>
      </c>
      <c r="T471" s="1">
        <v>1</v>
      </c>
      <c r="U471" s="1">
        <v>1</v>
      </c>
      <c r="V471" s="1">
        <v>1</v>
      </c>
      <c r="W471" s="1">
        <v>0</v>
      </c>
      <c r="X471" s="1">
        <v>0</v>
      </c>
      <c r="Y471" s="1">
        <v>7</v>
      </c>
      <c r="Z471" s="1">
        <v>7</v>
      </c>
      <c r="AA471" s="1" t="s">
        <v>104</v>
      </c>
      <c r="AB471" s="1" t="s">
        <v>104</v>
      </c>
      <c r="AC471" s="1" t="s">
        <v>104</v>
      </c>
      <c r="AD471" s="1" t="s">
        <v>104</v>
      </c>
      <c r="AE471" s="1" t="s">
        <v>104</v>
      </c>
      <c r="AF471" s="1" t="s">
        <v>104</v>
      </c>
      <c r="AG471" s="1">
        <v>5</v>
      </c>
      <c r="AH471" s="1" t="s">
        <v>104</v>
      </c>
      <c r="AI471" s="1" t="s">
        <v>104</v>
      </c>
      <c r="AJ471" s="1" t="s">
        <v>104</v>
      </c>
      <c r="AK471" s="1" t="s">
        <v>104</v>
      </c>
      <c r="AL471" s="1" t="s">
        <v>104</v>
      </c>
      <c r="AM471" s="1" t="s">
        <v>104</v>
      </c>
      <c r="AO471" s="1">
        <v>7</v>
      </c>
      <c r="AQ471" s="1" t="s">
        <v>3280</v>
      </c>
      <c r="AR471" s="1">
        <v>0</v>
      </c>
      <c r="AS471" s="1">
        <v>0</v>
      </c>
      <c r="AT471" s="1">
        <v>0</v>
      </c>
      <c r="AU471" s="1">
        <v>0</v>
      </c>
      <c r="AV471" s="1">
        <v>0</v>
      </c>
      <c r="AW471" s="1">
        <v>0</v>
      </c>
      <c r="AX471" s="1">
        <v>0</v>
      </c>
      <c r="AY471" s="1">
        <v>0</v>
      </c>
      <c r="AZ471" s="1">
        <v>0</v>
      </c>
      <c r="BA471" s="1">
        <v>0</v>
      </c>
      <c r="BB471" s="1">
        <v>0</v>
      </c>
      <c r="BC471" s="1">
        <v>0</v>
      </c>
      <c r="BD471" s="1">
        <v>0</v>
      </c>
      <c r="BE471" s="1">
        <v>0</v>
      </c>
      <c r="BF471" s="1">
        <v>0</v>
      </c>
      <c r="BG471" s="1">
        <v>0</v>
      </c>
      <c r="BH471" s="1">
        <v>0</v>
      </c>
      <c r="BI471" s="1">
        <v>0</v>
      </c>
      <c r="BJ471" s="1">
        <v>0</v>
      </c>
      <c r="BK471" s="1">
        <v>0</v>
      </c>
      <c r="BL471" s="1">
        <v>0</v>
      </c>
      <c r="BM471" s="1">
        <v>0</v>
      </c>
      <c r="BN471" s="1">
        <v>0</v>
      </c>
      <c r="BO471" s="1">
        <v>0</v>
      </c>
      <c r="BP471" s="1">
        <v>0</v>
      </c>
      <c r="BQ471" s="2" t="str">
        <f>HYPERLINK("http://www.d20pfsrd.com/magic/all-spells/s/sequester","Sequester")</f>
        <v>Sequester</v>
      </c>
      <c r="BR471" s="1">
        <v>472</v>
      </c>
      <c r="BS471" s="1" t="s">
        <v>104</v>
      </c>
      <c r="BX471" s="1">
        <v>0</v>
      </c>
      <c r="BY471" s="1" t="s">
        <v>104</v>
      </c>
      <c r="BZ471" s="1" t="s">
        <v>104</v>
      </c>
      <c r="CA471" s="1">
        <v>7</v>
      </c>
      <c r="CB471" s="1" t="s">
        <v>104</v>
      </c>
      <c r="CC471" s="1" t="s">
        <v>104</v>
      </c>
      <c r="CD471" s="1" t="s">
        <v>104</v>
      </c>
      <c r="CE471" s="1" t="s">
        <v>104</v>
      </c>
      <c r="CF471" s="1" t="s">
        <v>104</v>
      </c>
      <c r="CG471" s="1" t="s">
        <v>104</v>
      </c>
      <c r="CH471" s="1" t="s">
        <v>104</v>
      </c>
      <c r="CJ471" s="1">
        <v>0</v>
      </c>
      <c r="CK471" s="1">
        <v>0</v>
      </c>
      <c r="CL471" s="1">
        <v>0</v>
      </c>
      <c r="CM471" s="1">
        <v>6</v>
      </c>
    </row>
    <row r="472" spans="1:91" ht="14.25" customHeight="1" x14ac:dyDescent="0.3">
      <c r="A472" s="1" t="s">
        <v>3281</v>
      </c>
      <c r="B472" s="1" t="s">
        <v>507</v>
      </c>
      <c r="C472" s="1" t="s">
        <v>65</v>
      </c>
      <c r="D472" s="1" t="s">
        <v>65</v>
      </c>
      <c r="E472" s="1" t="s">
        <v>3282</v>
      </c>
      <c r="F472" s="1" t="s">
        <v>95</v>
      </c>
      <c r="G472" s="1" t="s">
        <v>116</v>
      </c>
      <c r="H472" s="1">
        <v>0</v>
      </c>
      <c r="I472" s="1" t="s">
        <v>145</v>
      </c>
      <c r="K472" s="1" t="s">
        <v>145</v>
      </c>
      <c r="M472" s="1" t="s">
        <v>145</v>
      </c>
      <c r="N472" s="1">
        <v>0</v>
      </c>
      <c r="O472" s="1">
        <v>0</v>
      </c>
      <c r="P472" s="1" t="s">
        <v>3283</v>
      </c>
      <c r="Q472" s="1" t="s">
        <v>3284</v>
      </c>
      <c r="R472" s="1" t="s">
        <v>3285</v>
      </c>
      <c r="S472" s="1" t="s">
        <v>103</v>
      </c>
      <c r="T472" s="1">
        <v>1</v>
      </c>
      <c r="U472" s="1">
        <v>1</v>
      </c>
      <c r="V472" s="1">
        <v>0</v>
      </c>
      <c r="W472" s="1">
        <v>0</v>
      </c>
      <c r="X472" s="1">
        <v>0</v>
      </c>
      <c r="Y472" s="1">
        <v>4</v>
      </c>
      <c r="Z472" s="1">
        <v>4</v>
      </c>
      <c r="AA472" s="1" t="s">
        <v>104</v>
      </c>
      <c r="AB472" s="1" t="s">
        <v>104</v>
      </c>
      <c r="AC472" s="1" t="s">
        <v>104</v>
      </c>
      <c r="AD472" s="1">
        <v>4</v>
      </c>
      <c r="AE472" s="1" t="s">
        <v>104</v>
      </c>
      <c r="AF472" s="1" t="s">
        <v>104</v>
      </c>
      <c r="AG472" s="1" t="s">
        <v>104</v>
      </c>
      <c r="AH472" s="1" t="s">
        <v>104</v>
      </c>
      <c r="AI472" s="1" t="s">
        <v>104</v>
      </c>
      <c r="AJ472" s="1" t="s">
        <v>104</v>
      </c>
      <c r="AK472" s="1" t="s">
        <v>104</v>
      </c>
      <c r="AL472" s="1" t="s">
        <v>104</v>
      </c>
      <c r="AM472" s="1" t="s">
        <v>104</v>
      </c>
      <c r="AO472" s="1">
        <v>4</v>
      </c>
      <c r="AP472" s="1" t="s">
        <v>3286</v>
      </c>
      <c r="AQ472" s="1" t="s">
        <v>3287</v>
      </c>
      <c r="AR472" s="1">
        <v>0</v>
      </c>
      <c r="AS472" s="1">
        <v>0</v>
      </c>
      <c r="AT472" s="1">
        <v>0</v>
      </c>
      <c r="AU472" s="1">
        <v>0</v>
      </c>
      <c r="AV472" s="1">
        <v>0</v>
      </c>
      <c r="AW472" s="1">
        <v>0</v>
      </c>
      <c r="AX472" s="1">
        <v>0</v>
      </c>
      <c r="AY472" s="1">
        <v>0</v>
      </c>
      <c r="AZ472" s="1">
        <v>0</v>
      </c>
      <c r="BA472" s="1">
        <v>0</v>
      </c>
      <c r="BB472" s="1">
        <v>0</v>
      </c>
      <c r="BC472" s="1">
        <v>0</v>
      </c>
      <c r="BD472" s="1">
        <v>0</v>
      </c>
      <c r="BE472" s="1">
        <v>0</v>
      </c>
      <c r="BF472" s="1">
        <v>0</v>
      </c>
      <c r="BG472" s="1">
        <v>0</v>
      </c>
      <c r="BH472" s="1">
        <v>0</v>
      </c>
      <c r="BI472" s="1">
        <v>0</v>
      </c>
      <c r="BJ472" s="1">
        <v>0</v>
      </c>
      <c r="BK472" s="1">
        <v>0</v>
      </c>
      <c r="BL472" s="1">
        <v>0</v>
      </c>
      <c r="BM472" s="1">
        <v>0</v>
      </c>
      <c r="BN472" s="1">
        <v>1</v>
      </c>
      <c r="BO472" s="1">
        <v>0</v>
      </c>
      <c r="BP472" s="1">
        <v>0</v>
      </c>
      <c r="BQ472" s="2" t="str">
        <f>HYPERLINK("http://www.d20pfsrd.com/magic/all-spells/s/shadow-conjuration","Shadow Conjuration")</f>
        <v>Shadow Conjuration</v>
      </c>
      <c r="BR472" s="1">
        <v>473</v>
      </c>
      <c r="BS472" s="1" t="s">
        <v>104</v>
      </c>
      <c r="BT472" s="1" t="s">
        <v>3288</v>
      </c>
      <c r="BU472" s="1" t="s">
        <v>3289</v>
      </c>
      <c r="BX472" s="1">
        <v>0</v>
      </c>
      <c r="BY472" s="1" t="s">
        <v>104</v>
      </c>
      <c r="BZ472" s="1" t="s">
        <v>104</v>
      </c>
      <c r="CA472" s="1" t="s">
        <v>104</v>
      </c>
      <c r="CB472" s="1" t="s">
        <v>104</v>
      </c>
      <c r="CC472" s="1">
        <v>4</v>
      </c>
      <c r="CD472" s="1" t="s">
        <v>104</v>
      </c>
      <c r="CE472" s="1">
        <v>4</v>
      </c>
      <c r="CF472" s="1" t="s">
        <v>104</v>
      </c>
      <c r="CG472" s="1" t="s">
        <v>104</v>
      </c>
      <c r="CH472" s="1" t="s">
        <v>104</v>
      </c>
      <c r="CJ472" s="1">
        <v>0</v>
      </c>
      <c r="CK472" s="1">
        <v>0</v>
      </c>
      <c r="CL472" s="1">
        <v>0</v>
      </c>
      <c r="CM472" s="1" t="s">
        <v>104</v>
      </c>
    </row>
    <row r="473" spans="1:91" ht="14.25" customHeight="1" x14ac:dyDescent="0.3">
      <c r="A473" s="1" t="s">
        <v>3290</v>
      </c>
      <c r="B473" s="1" t="s">
        <v>507</v>
      </c>
      <c r="C473" s="1" t="s">
        <v>65</v>
      </c>
      <c r="D473" s="1" t="s">
        <v>65</v>
      </c>
      <c r="E473" s="1" t="s">
        <v>2513</v>
      </c>
      <c r="F473" s="1" t="s">
        <v>95</v>
      </c>
      <c r="G473" s="1" t="s">
        <v>116</v>
      </c>
      <c r="H473" s="1">
        <v>0</v>
      </c>
      <c r="I473" s="1" t="s">
        <v>145</v>
      </c>
      <c r="K473" s="1" t="s">
        <v>145</v>
      </c>
      <c r="M473" s="1" t="s">
        <v>145</v>
      </c>
      <c r="N473" s="1">
        <v>0</v>
      </c>
      <c r="O473" s="1">
        <v>0</v>
      </c>
      <c r="P473" s="1" t="s">
        <v>3283</v>
      </c>
      <c r="Q473" s="1" t="s">
        <v>3284</v>
      </c>
      <c r="R473" s="1" t="s">
        <v>3291</v>
      </c>
      <c r="S473" s="1" t="s">
        <v>103</v>
      </c>
      <c r="T473" s="1">
        <v>1</v>
      </c>
      <c r="U473" s="1">
        <v>1</v>
      </c>
      <c r="V473" s="1">
        <v>0</v>
      </c>
      <c r="W473" s="1">
        <v>0</v>
      </c>
      <c r="X473" s="1">
        <v>0</v>
      </c>
      <c r="Y473" s="1">
        <v>9</v>
      </c>
      <c r="Z473" s="1">
        <v>9</v>
      </c>
      <c r="AA473" s="1" t="s">
        <v>104</v>
      </c>
      <c r="AB473" s="1" t="s">
        <v>104</v>
      </c>
      <c r="AC473" s="1" t="s">
        <v>104</v>
      </c>
      <c r="AD473" s="1" t="s">
        <v>104</v>
      </c>
      <c r="AE473" s="1" t="s">
        <v>104</v>
      </c>
      <c r="AF473" s="1" t="s">
        <v>104</v>
      </c>
      <c r="AG473" s="1" t="s">
        <v>104</v>
      </c>
      <c r="AH473" s="1" t="s">
        <v>104</v>
      </c>
      <c r="AI473" s="1" t="s">
        <v>104</v>
      </c>
      <c r="AJ473" s="1" t="s">
        <v>104</v>
      </c>
      <c r="AK473" s="1" t="s">
        <v>104</v>
      </c>
      <c r="AL473" s="1" t="s">
        <v>104</v>
      </c>
      <c r="AM473" s="1" t="s">
        <v>104</v>
      </c>
      <c r="AO473" s="1">
        <v>9</v>
      </c>
      <c r="AP473" s="1" t="s">
        <v>3292</v>
      </c>
      <c r="AQ473" s="1" t="s">
        <v>3293</v>
      </c>
      <c r="AR473" s="1">
        <v>0</v>
      </c>
      <c r="AS473" s="1">
        <v>0</v>
      </c>
      <c r="AT473" s="1">
        <v>0</v>
      </c>
      <c r="AU473" s="1">
        <v>0</v>
      </c>
      <c r="AV473" s="1">
        <v>0</v>
      </c>
      <c r="AW473" s="1">
        <v>0</v>
      </c>
      <c r="AX473" s="1">
        <v>0</v>
      </c>
      <c r="AY473" s="1">
        <v>0</v>
      </c>
      <c r="AZ473" s="1">
        <v>0</v>
      </c>
      <c r="BA473" s="1">
        <v>0</v>
      </c>
      <c r="BB473" s="1">
        <v>0</v>
      </c>
      <c r="BC473" s="1">
        <v>0</v>
      </c>
      <c r="BD473" s="1">
        <v>0</v>
      </c>
      <c r="BE473" s="1">
        <v>0</v>
      </c>
      <c r="BF473" s="1">
        <v>0</v>
      </c>
      <c r="BG473" s="1">
        <v>0</v>
      </c>
      <c r="BH473" s="1">
        <v>0</v>
      </c>
      <c r="BI473" s="1">
        <v>0</v>
      </c>
      <c r="BJ473" s="1">
        <v>0</v>
      </c>
      <c r="BK473" s="1">
        <v>0</v>
      </c>
      <c r="BL473" s="1">
        <v>0</v>
      </c>
      <c r="BM473" s="1">
        <v>0</v>
      </c>
      <c r="BN473" s="1">
        <v>1</v>
      </c>
      <c r="BO473" s="1">
        <v>0</v>
      </c>
      <c r="BP473" s="1">
        <v>0</v>
      </c>
      <c r="BQ473" s="2" t="str">
        <f>HYPERLINK("http://www.d20pfsrd.com/magic/all-spells/s/shades","Shades")</f>
        <v>Shades</v>
      </c>
      <c r="BR473" s="1">
        <v>474</v>
      </c>
      <c r="BS473" s="1" t="s">
        <v>104</v>
      </c>
      <c r="BT473" s="1" t="s">
        <v>3294</v>
      </c>
      <c r="BU473" s="1" t="s">
        <v>3295</v>
      </c>
      <c r="BX473" s="1">
        <v>0</v>
      </c>
      <c r="BY473" s="1" t="s">
        <v>104</v>
      </c>
      <c r="BZ473" s="1" t="s">
        <v>104</v>
      </c>
      <c r="CA473" s="1" t="s">
        <v>104</v>
      </c>
      <c r="CB473" s="1" t="s">
        <v>104</v>
      </c>
      <c r="CC473" s="1" t="s">
        <v>104</v>
      </c>
      <c r="CD473" s="1" t="s">
        <v>104</v>
      </c>
      <c r="CE473" s="1" t="s">
        <v>104</v>
      </c>
      <c r="CF473" s="1" t="s">
        <v>104</v>
      </c>
      <c r="CG473" s="1" t="s">
        <v>104</v>
      </c>
      <c r="CH473" s="1" t="s">
        <v>104</v>
      </c>
      <c r="CJ473" s="1">
        <v>0</v>
      </c>
      <c r="CK473" s="1">
        <v>0</v>
      </c>
      <c r="CL473" s="1">
        <v>0</v>
      </c>
      <c r="CM473" s="1" t="s">
        <v>104</v>
      </c>
    </row>
    <row r="474" spans="1:91" ht="14.25" customHeight="1" x14ac:dyDescent="0.3">
      <c r="A474" s="1" t="s">
        <v>3296</v>
      </c>
      <c r="B474" s="1" t="s">
        <v>507</v>
      </c>
      <c r="C474" s="1" t="s">
        <v>65</v>
      </c>
      <c r="D474" s="1" t="s">
        <v>65</v>
      </c>
      <c r="E474" s="1" t="s">
        <v>843</v>
      </c>
      <c r="F474" s="1" t="s">
        <v>95</v>
      </c>
      <c r="G474" s="1" t="s">
        <v>116</v>
      </c>
      <c r="H474" s="1">
        <v>0</v>
      </c>
      <c r="I474" s="1" t="s">
        <v>145</v>
      </c>
      <c r="K474" s="1" t="s">
        <v>145</v>
      </c>
      <c r="M474" s="1" t="s">
        <v>145</v>
      </c>
      <c r="N474" s="1">
        <v>0</v>
      </c>
      <c r="O474" s="1">
        <v>0</v>
      </c>
      <c r="P474" s="1" t="s">
        <v>3283</v>
      </c>
      <c r="Q474" s="1" t="s">
        <v>3284</v>
      </c>
      <c r="R474" s="1" t="s">
        <v>3297</v>
      </c>
      <c r="S474" s="1" t="s">
        <v>103</v>
      </c>
      <c r="T474" s="1">
        <v>1</v>
      </c>
      <c r="U474" s="1">
        <v>1</v>
      </c>
      <c r="V474" s="1">
        <v>0</v>
      </c>
      <c r="W474" s="1">
        <v>0</v>
      </c>
      <c r="X474" s="1">
        <v>0</v>
      </c>
      <c r="Y474" s="1">
        <v>7</v>
      </c>
      <c r="Z474" s="1">
        <v>7</v>
      </c>
      <c r="AA474" s="1" t="s">
        <v>104</v>
      </c>
      <c r="AB474" s="1" t="s">
        <v>104</v>
      </c>
      <c r="AC474" s="1" t="s">
        <v>104</v>
      </c>
      <c r="AD474" s="1" t="s">
        <v>104</v>
      </c>
      <c r="AE474" s="1" t="s">
        <v>104</v>
      </c>
      <c r="AF474" s="1" t="s">
        <v>104</v>
      </c>
      <c r="AG474" s="1" t="s">
        <v>104</v>
      </c>
      <c r="AH474" s="1" t="s">
        <v>104</v>
      </c>
      <c r="AI474" s="1" t="s">
        <v>104</v>
      </c>
      <c r="AJ474" s="1" t="s">
        <v>104</v>
      </c>
      <c r="AK474" s="1" t="s">
        <v>104</v>
      </c>
      <c r="AL474" s="1" t="s">
        <v>104</v>
      </c>
      <c r="AM474" s="1" t="s">
        <v>104</v>
      </c>
      <c r="AO474" s="1">
        <v>7</v>
      </c>
      <c r="AQ474" s="1" t="s">
        <v>3298</v>
      </c>
      <c r="AR474" s="1">
        <v>0</v>
      </c>
      <c r="AS474" s="1">
        <v>0</v>
      </c>
      <c r="AT474" s="1">
        <v>0</v>
      </c>
      <c r="AU474" s="1">
        <v>0</v>
      </c>
      <c r="AV474" s="1">
        <v>0</v>
      </c>
      <c r="AW474" s="1">
        <v>0</v>
      </c>
      <c r="AX474" s="1">
        <v>0</v>
      </c>
      <c r="AY474" s="1">
        <v>0</v>
      </c>
      <c r="AZ474" s="1">
        <v>0</v>
      </c>
      <c r="BA474" s="1">
        <v>0</v>
      </c>
      <c r="BB474" s="1">
        <v>0</v>
      </c>
      <c r="BC474" s="1">
        <v>0</v>
      </c>
      <c r="BD474" s="1">
        <v>0</v>
      </c>
      <c r="BE474" s="1">
        <v>0</v>
      </c>
      <c r="BF474" s="1">
        <v>0</v>
      </c>
      <c r="BG474" s="1">
        <v>0</v>
      </c>
      <c r="BH474" s="1">
        <v>0</v>
      </c>
      <c r="BI474" s="1">
        <v>0</v>
      </c>
      <c r="BJ474" s="1">
        <v>0</v>
      </c>
      <c r="BK474" s="1">
        <v>0</v>
      </c>
      <c r="BL474" s="1">
        <v>0</v>
      </c>
      <c r="BM474" s="1">
        <v>0</v>
      </c>
      <c r="BN474" s="1">
        <v>1</v>
      </c>
      <c r="BO474" s="1">
        <v>0</v>
      </c>
      <c r="BP474" s="1">
        <v>0</v>
      </c>
      <c r="BQ474" s="2" t="str">
        <f>HYPERLINK("http://www.d20pfsrd.com/magic/all-spells/s/shadow-conjuration","Shadow Conjuration, Greater")</f>
        <v>Shadow Conjuration, Greater</v>
      </c>
      <c r="BR474" s="1">
        <v>475</v>
      </c>
      <c r="BS474" s="1" t="s">
        <v>104</v>
      </c>
      <c r="BU474" s="1" t="s">
        <v>3299</v>
      </c>
      <c r="BX474" s="1">
        <v>0</v>
      </c>
      <c r="BY474" s="1" t="s">
        <v>104</v>
      </c>
      <c r="BZ474" s="1" t="s">
        <v>104</v>
      </c>
      <c r="CA474" s="1" t="s">
        <v>104</v>
      </c>
      <c r="CB474" s="1" t="s">
        <v>104</v>
      </c>
      <c r="CC474" s="1" t="s">
        <v>104</v>
      </c>
      <c r="CD474" s="1" t="s">
        <v>104</v>
      </c>
      <c r="CE474" s="1" t="s">
        <v>104</v>
      </c>
      <c r="CF474" s="1" t="s">
        <v>104</v>
      </c>
      <c r="CG474" s="1" t="s">
        <v>104</v>
      </c>
      <c r="CH474" s="1" t="s">
        <v>104</v>
      </c>
      <c r="CJ474" s="1">
        <v>0</v>
      </c>
      <c r="CK474" s="1">
        <v>0</v>
      </c>
      <c r="CL474" s="1">
        <v>0</v>
      </c>
      <c r="CM474" s="1" t="s">
        <v>104</v>
      </c>
    </row>
    <row r="475" spans="1:91" ht="14.25" customHeight="1" x14ac:dyDescent="0.3">
      <c r="A475" s="1" t="s">
        <v>3300</v>
      </c>
      <c r="B475" s="1" t="s">
        <v>507</v>
      </c>
      <c r="C475" s="1" t="s">
        <v>65</v>
      </c>
      <c r="D475" s="1" t="s">
        <v>65</v>
      </c>
      <c r="E475" s="1" t="s">
        <v>3301</v>
      </c>
      <c r="F475" s="1" t="s">
        <v>95</v>
      </c>
      <c r="G475" s="1" t="s">
        <v>116</v>
      </c>
      <c r="H475" s="1">
        <v>0</v>
      </c>
      <c r="I475" s="1" t="s">
        <v>145</v>
      </c>
      <c r="K475" s="1" t="s">
        <v>145</v>
      </c>
      <c r="M475" s="1" t="s">
        <v>145</v>
      </c>
      <c r="N475" s="1">
        <v>0</v>
      </c>
      <c r="O475" s="1">
        <v>0</v>
      </c>
      <c r="P475" s="1" t="s">
        <v>1894</v>
      </c>
      <c r="Q475" s="1" t="s">
        <v>184</v>
      </c>
      <c r="R475" s="1" t="s">
        <v>3302</v>
      </c>
      <c r="S475" s="1" t="s">
        <v>103</v>
      </c>
      <c r="T475" s="1">
        <v>1</v>
      </c>
      <c r="U475" s="1">
        <v>1</v>
      </c>
      <c r="V475" s="1">
        <v>0</v>
      </c>
      <c r="W475" s="1">
        <v>0</v>
      </c>
      <c r="X475" s="1">
        <v>0</v>
      </c>
      <c r="Y475" s="1">
        <v>5</v>
      </c>
      <c r="Z475" s="1">
        <v>5</v>
      </c>
      <c r="AA475" s="1" t="s">
        <v>104</v>
      </c>
      <c r="AB475" s="1" t="s">
        <v>104</v>
      </c>
      <c r="AC475" s="1" t="s">
        <v>104</v>
      </c>
      <c r="AD475" s="1">
        <v>5</v>
      </c>
      <c r="AE475" s="1" t="s">
        <v>104</v>
      </c>
      <c r="AF475" s="1" t="s">
        <v>104</v>
      </c>
      <c r="AG475" s="1" t="s">
        <v>104</v>
      </c>
      <c r="AH475" s="1" t="s">
        <v>104</v>
      </c>
      <c r="AI475" s="1" t="s">
        <v>104</v>
      </c>
      <c r="AJ475" s="1" t="s">
        <v>104</v>
      </c>
      <c r="AK475" s="1" t="s">
        <v>104</v>
      </c>
      <c r="AL475" s="1" t="s">
        <v>104</v>
      </c>
      <c r="AM475" s="1" t="s">
        <v>104</v>
      </c>
      <c r="AO475" s="1">
        <v>5</v>
      </c>
      <c r="AQ475" s="1" t="s">
        <v>3303</v>
      </c>
      <c r="AR475" s="1">
        <v>0</v>
      </c>
      <c r="AS475" s="1">
        <v>0</v>
      </c>
      <c r="AT475" s="1">
        <v>0</v>
      </c>
      <c r="AU475" s="1">
        <v>0</v>
      </c>
      <c r="AV475" s="1">
        <v>0</v>
      </c>
      <c r="AW475" s="1">
        <v>0</v>
      </c>
      <c r="AX475" s="1">
        <v>0</v>
      </c>
      <c r="AY475" s="1">
        <v>0</v>
      </c>
      <c r="AZ475" s="1">
        <v>0</v>
      </c>
      <c r="BA475" s="1">
        <v>0</v>
      </c>
      <c r="BB475" s="1">
        <v>0</v>
      </c>
      <c r="BC475" s="1">
        <v>0</v>
      </c>
      <c r="BD475" s="1">
        <v>0</v>
      </c>
      <c r="BE475" s="1">
        <v>0</v>
      </c>
      <c r="BF475" s="1">
        <v>0</v>
      </c>
      <c r="BG475" s="1">
        <v>0</v>
      </c>
      <c r="BH475" s="1">
        <v>0</v>
      </c>
      <c r="BI475" s="1">
        <v>0</v>
      </c>
      <c r="BJ475" s="1">
        <v>0</v>
      </c>
      <c r="BK475" s="1">
        <v>0</v>
      </c>
      <c r="BL475" s="1">
        <v>0</v>
      </c>
      <c r="BM475" s="1">
        <v>0</v>
      </c>
      <c r="BN475" s="1">
        <v>1</v>
      </c>
      <c r="BO475" s="1">
        <v>0</v>
      </c>
      <c r="BP475" s="1">
        <v>0</v>
      </c>
      <c r="BQ475" s="2" t="str">
        <f>HYPERLINK("http://www.d20pfsrd.com/magic/all-spells/s/shadow-evocation","Shadow Evocation")</f>
        <v>Shadow Evocation</v>
      </c>
      <c r="BR475" s="1">
        <v>476</v>
      </c>
      <c r="BS475" s="1" t="s">
        <v>104</v>
      </c>
      <c r="BT475" s="1" t="s">
        <v>3304</v>
      </c>
      <c r="BU475" s="1" t="s">
        <v>3305</v>
      </c>
      <c r="BX475" s="1">
        <v>0</v>
      </c>
      <c r="BY475" s="1" t="s">
        <v>104</v>
      </c>
      <c r="BZ475" s="1" t="s">
        <v>104</v>
      </c>
      <c r="CA475" s="1" t="s">
        <v>104</v>
      </c>
      <c r="CB475" s="1" t="s">
        <v>104</v>
      </c>
      <c r="CC475" s="1">
        <v>5</v>
      </c>
      <c r="CD475" s="1" t="s">
        <v>104</v>
      </c>
      <c r="CE475" s="1">
        <v>5</v>
      </c>
      <c r="CF475" s="1" t="s">
        <v>104</v>
      </c>
      <c r="CG475" s="1" t="s">
        <v>104</v>
      </c>
      <c r="CH475" s="1" t="s">
        <v>104</v>
      </c>
      <c r="CJ475" s="1">
        <v>0</v>
      </c>
      <c r="CK475" s="1">
        <v>0</v>
      </c>
      <c r="CL475" s="1">
        <v>0</v>
      </c>
      <c r="CM475" s="1" t="s">
        <v>104</v>
      </c>
    </row>
    <row r="476" spans="1:91" ht="14.25" customHeight="1" x14ac:dyDescent="0.3">
      <c r="A476" s="1" t="s">
        <v>3306</v>
      </c>
      <c r="B476" s="1" t="s">
        <v>507</v>
      </c>
      <c r="C476" s="1" t="s">
        <v>65</v>
      </c>
      <c r="D476" s="1" t="s">
        <v>65</v>
      </c>
      <c r="E476" s="1" t="s">
        <v>1688</v>
      </c>
      <c r="F476" s="1" t="s">
        <v>95</v>
      </c>
      <c r="G476" s="1" t="s">
        <v>116</v>
      </c>
      <c r="H476" s="1">
        <v>0</v>
      </c>
      <c r="I476" s="1" t="s">
        <v>145</v>
      </c>
      <c r="K476" s="1" t="s">
        <v>145</v>
      </c>
      <c r="M476" s="1" t="s">
        <v>145</v>
      </c>
      <c r="N476" s="1">
        <v>0</v>
      </c>
      <c r="O476" s="1">
        <v>0</v>
      </c>
      <c r="P476" s="1" t="s">
        <v>1894</v>
      </c>
      <c r="Q476" s="1" t="s">
        <v>184</v>
      </c>
      <c r="R476" s="1" t="s">
        <v>3307</v>
      </c>
      <c r="S476" s="1" t="s">
        <v>103</v>
      </c>
      <c r="T476" s="1">
        <v>1</v>
      </c>
      <c r="U476" s="1">
        <v>1</v>
      </c>
      <c r="V476" s="1">
        <v>0</v>
      </c>
      <c r="W476" s="1">
        <v>0</v>
      </c>
      <c r="X476" s="1">
        <v>0</v>
      </c>
      <c r="Y476" s="1">
        <v>8</v>
      </c>
      <c r="Z476" s="1">
        <v>8</v>
      </c>
      <c r="AA476" s="1" t="s">
        <v>104</v>
      </c>
      <c r="AB476" s="1" t="s">
        <v>104</v>
      </c>
      <c r="AC476" s="1" t="s">
        <v>104</v>
      </c>
      <c r="AD476" s="1" t="s">
        <v>104</v>
      </c>
      <c r="AE476" s="1" t="s">
        <v>104</v>
      </c>
      <c r="AF476" s="1" t="s">
        <v>104</v>
      </c>
      <c r="AG476" s="1" t="s">
        <v>104</v>
      </c>
      <c r="AH476" s="1" t="s">
        <v>104</v>
      </c>
      <c r="AI476" s="1" t="s">
        <v>104</v>
      </c>
      <c r="AJ476" s="1" t="s">
        <v>104</v>
      </c>
      <c r="AK476" s="1" t="s">
        <v>104</v>
      </c>
      <c r="AL476" s="1" t="s">
        <v>104</v>
      </c>
      <c r="AM476" s="1" t="s">
        <v>104</v>
      </c>
      <c r="AO476" s="1">
        <v>8</v>
      </c>
      <c r="AP476" s="1" t="s">
        <v>3308</v>
      </c>
      <c r="AQ476" s="1" t="s">
        <v>3309</v>
      </c>
      <c r="AR476" s="1">
        <v>0</v>
      </c>
      <c r="AS476" s="1">
        <v>0</v>
      </c>
      <c r="AT476" s="1">
        <v>0</v>
      </c>
      <c r="AU476" s="1">
        <v>0</v>
      </c>
      <c r="AV476" s="1">
        <v>0</v>
      </c>
      <c r="AW476" s="1">
        <v>0</v>
      </c>
      <c r="AX476" s="1">
        <v>0</v>
      </c>
      <c r="AY476" s="1">
        <v>0</v>
      </c>
      <c r="AZ476" s="1">
        <v>0</v>
      </c>
      <c r="BA476" s="1">
        <v>0</v>
      </c>
      <c r="BB476" s="1">
        <v>0</v>
      </c>
      <c r="BC476" s="1">
        <v>0</v>
      </c>
      <c r="BD476" s="1">
        <v>0</v>
      </c>
      <c r="BE476" s="1">
        <v>0</v>
      </c>
      <c r="BF476" s="1">
        <v>0</v>
      </c>
      <c r="BG476" s="1">
        <v>0</v>
      </c>
      <c r="BH476" s="1">
        <v>0</v>
      </c>
      <c r="BI476" s="1">
        <v>0</v>
      </c>
      <c r="BJ476" s="1">
        <v>0</v>
      </c>
      <c r="BK476" s="1">
        <v>0</v>
      </c>
      <c r="BL476" s="1">
        <v>0</v>
      </c>
      <c r="BM476" s="1">
        <v>0</v>
      </c>
      <c r="BN476" s="1">
        <v>1</v>
      </c>
      <c r="BO476" s="1">
        <v>0</v>
      </c>
      <c r="BP476" s="1">
        <v>0</v>
      </c>
      <c r="BQ476" s="2" t="str">
        <f>HYPERLINK("http://www.d20pfsrd.com/magic/all-spells/s/shadow-evocation","Shadow Evocation, Greater")</f>
        <v>Shadow Evocation, Greater</v>
      </c>
      <c r="BR476" s="1">
        <v>477</v>
      </c>
      <c r="BS476" s="1" t="s">
        <v>104</v>
      </c>
      <c r="BT476" s="1" t="s">
        <v>3310</v>
      </c>
      <c r="BU476" s="1" t="s">
        <v>3311</v>
      </c>
      <c r="BX476" s="1">
        <v>0</v>
      </c>
      <c r="BY476" s="1" t="s">
        <v>104</v>
      </c>
      <c r="BZ476" s="1" t="s">
        <v>104</v>
      </c>
      <c r="CA476" s="1" t="s">
        <v>104</v>
      </c>
      <c r="CB476" s="1" t="s">
        <v>104</v>
      </c>
      <c r="CC476" s="1" t="s">
        <v>104</v>
      </c>
      <c r="CD476" s="1" t="s">
        <v>104</v>
      </c>
      <c r="CE476" s="1" t="s">
        <v>104</v>
      </c>
      <c r="CF476" s="1" t="s">
        <v>104</v>
      </c>
      <c r="CG476" s="1" t="s">
        <v>104</v>
      </c>
      <c r="CH476" s="1" t="s">
        <v>104</v>
      </c>
      <c r="CJ476" s="1">
        <v>0</v>
      </c>
      <c r="CK476" s="1">
        <v>0</v>
      </c>
      <c r="CL476" s="1">
        <v>0</v>
      </c>
      <c r="CM476" s="1" t="s">
        <v>104</v>
      </c>
    </row>
    <row r="477" spans="1:91" ht="14.25" customHeight="1" x14ac:dyDescent="0.3">
      <c r="A477" s="1" t="s">
        <v>3312</v>
      </c>
      <c r="B477" s="1" t="s">
        <v>507</v>
      </c>
      <c r="C477" s="1" t="s">
        <v>65</v>
      </c>
      <c r="D477" s="1" t="s">
        <v>65</v>
      </c>
      <c r="E477" s="1" t="s">
        <v>3313</v>
      </c>
      <c r="F477" s="1" t="s">
        <v>95</v>
      </c>
      <c r="G477" s="1" t="s">
        <v>116</v>
      </c>
      <c r="H477" s="1">
        <v>0</v>
      </c>
      <c r="I477" s="1" t="s">
        <v>128</v>
      </c>
      <c r="L477" s="1" t="s">
        <v>3314</v>
      </c>
      <c r="M477" s="1" t="s">
        <v>201</v>
      </c>
      <c r="N477" s="1">
        <v>1</v>
      </c>
      <c r="O477" s="1">
        <v>0</v>
      </c>
      <c r="P477" s="1" t="s">
        <v>211</v>
      </c>
      <c r="Q477" s="1" t="s">
        <v>184</v>
      </c>
      <c r="R477" s="1" t="s">
        <v>3315</v>
      </c>
      <c r="S477" s="1" t="s">
        <v>103</v>
      </c>
      <c r="T477" s="1">
        <v>1</v>
      </c>
      <c r="U477" s="1">
        <v>1</v>
      </c>
      <c r="V477" s="1">
        <v>0</v>
      </c>
      <c r="W477" s="1">
        <v>0</v>
      </c>
      <c r="X477" s="1">
        <v>0</v>
      </c>
      <c r="Y477" s="1">
        <v>6</v>
      </c>
      <c r="Z477" s="1">
        <v>6</v>
      </c>
      <c r="AA477" s="1" t="s">
        <v>104</v>
      </c>
      <c r="AB477" s="1" t="s">
        <v>104</v>
      </c>
      <c r="AC477" s="1" t="s">
        <v>104</v>
      </c>
      <c r="AD477" s="1">
        <v>5</v>
      </c>
      <c r="AE477" s="1" t="s">
        <v>104</v>
      </c>
      <c r="AF477" s="1">
        <v>6</v>
      </c>
      <c r="AG477" s="1" t="s">
        <v>104</v>
      </c>
      <c r="AH477" s="1" t="s">
        <v>104</v>
      </c>
      <c r="AI477" s="1" t="s">
        <v>104</v>
      </c>
      <c r="AJ477" s="1" t="s">
        <v>104</v>
      </c>
      <c r="AK477" s="1" t="s">
        <v>104</v>
      </c>
      <c r="AL477" s="1" t="s">
        <v>104</v>
      </c>
      <c r="AM477" s="1" t="s">
        <v>104</v>
      </c>
      <c r="AO477" s="1">
        <v>6</v>
      </c>
      <c r="AP477" s="1" t="s">
        <v>3316</v>
      </c>
      <c r="AQ477" s="1" t="s">
        <v>3317</v>
      </c>
      <c r="AR477" s="1">
        <v>0</v>
      </c>
      <c r="AS477" s="1">
        <v>0</v>
      </c>
      <c r="AT477" s="1">
        <v>0</v>
      </c>
      <c r="AU477" s="1">
        <v>0</v>
      </c>
      <c r="AV477" s="1">
        <v>0</v>
      </c>
      <c r="AW477" s="1">
        <v>0</v>
      </c>
      <c r="AX477" s="1">
        <v>0</v>
      </c>
      <c r="AY477" s="1">
        <v>0</v>
      </c>
      <c r="AZ477" s="1">
        <v>0</v>
      </c>
      <c r="BA477" s="1">
        <v>0</v>
      </c>
      <c r="BB477" s="1">
        <v>0</v>
      </c>
      <c r="BC477" s="1">
        <v>0</v>
      </c>
      <c r="BD477" s="1">
        <v>0</v>
      </c>
      <c r="BE477" s="1">
        <v>0</v>
      </c>
      <c r="BF477" s="1">
        <v>0</v>
      </c>
      <c r="BG477" s="1">
        <v>0</v>
      </c>
      <c r="BH477" s="1">
        <v>0</v>
      </c>
      <c r="BI477" s="1">
        <v>0</v>
      </c>
      <c r="BJ477" s="1">
        <v>0</v>
      </c>
      <c r="BK477" s="1">
        <v>0</v>
      </c>
      <c r="BL477" s="1">
        <v>0</v>
      </c>
      <c r="BM477" s="1">
        <v>0</v>
      </c>
      <c r="BN477" s="1">
        <v>1</v>
      </c>
      <c r="BO477" s="1">
        <v>0</v>
      </c>
      <c r="BP477" s="1">
        <v>0</v>
      </c>
      <c r="BQ477" s="2" t="str">
        <f>HYPERLINK("http://www.d20pfsrd.com/magic/all-spells/s/shadow-walk","Shadow Walk")</f>
        <v>Shadow Walk</v>
      </c>
      <c r="BR477" s="1">
        <v>478</v>
      </c>
      <c r="BS477" s="1" t="s">
        <v>104</v>
      </c>
      <c r="BT477" s="1" t="s">
        <v>3318</v>
      </c>
      <c r="BU477" s="1" t="s">
        <v>3319</v>
      </c>
      <c r="BX477" s="1">
        <v>0</v>
      </c>
      <c r="BY477" s="1" t="s">
        <v>104</v>
      </c>
      <c r="BZ477" s="1" t="s">
        <v>104</v>
      </c>
      <c r="CA477" s="1" t="s">
        <v>104</v>
      </c>
      <c r="CB477" s="1" t="s">
        <v>104</v>
      </c>
      <c r="CC477" s="1">
        <v>5</v>
      </c>
      <c r="CD477" s="1" t="s">
        <v>104</v>
      </c>
      <c r="CE477" s="1">
        <v>6</v>
      </c>
      <c r="CF477" s="1" t="s">
        <v>104</v>
      </c>
      <c r="CG477" s="1" t="s">
        <v>104</v>
      </c>
      <c r="CH477" s="1" t="s">
        <v>104</v>
      </c>
      <c r="CJ477" s="1">
        <v>0</v>
      </c>
      <c r="CK477" s="1">
        <v>0</v>
      </c>
      <c r="CL477" s="1">
        <v>0</v>
      </c>
      <c r="CM477" s="1" t="s">
        <v>104</v>
      </c>
    </row>
    <row r="478" spans="1:91" ht="14.25" customHeight="1" x14ac:dyDescent="0.3">
      <c r="A478" s="1" t="s">
        <v>3320</v>
      </c>
      <c r="B478" s="1" t="s">
        <v>92</v>
      </c>
      <c r="C478" s="1" t="s">
        <v>93</v>
      </c>
      <c r="E478" s="1" t="s">
        <v>3321</v>
      </c>
      <c r="F478" s="1" t="s">
        <v>95</v>
      </c>
      <c r="G478" s="1" t="s">
        <v>116</v>
      </c>
      <c r="H478" s="1">
        <v>0</v>
      </c>
      <c r="I478" s="1" t="s">
        <v>109</v>
      </c>
      <c r="K478" s="1" t="s">
        <v>3322</v>
      </c>
      <c r="M478" s="1" t="s">
        <v>3323</v>
      </c>
      <c r="N478" s="1">
        <v>1</v>
      </c>
      <c r="O478" s="1">
        <v>0</v>
      </c>
      <c r="P478" s="1" t="s">
        <v>100</v>
      </c>
      <c r="Q478" s="1" t="s">
        <v>101</v>
      </c>
      <c r="R478" s="1" t="s">
        <v>3324</v>
      </c>
      <c r="S478" s="1" t="s">
        <v>103</v>
      </c>
      <c r="T478" s="1">
        <v>1</v>
      </c>
      <c r="U478" s="1">
        <v>1</v>
      </c>
      <c r="V478" s="1">
        <v>0</v>
      </c>
      <c r="W478" s="1">
        <v>0</v>
      </c>
      <c r="X478" s="1">
        <v>0</v>
      </c>
      <c r="Y478" s="1" t="s">
        <v>104</v>
      </c>
      <c r="Z478" s="1" t="s">
        <v>104</v>
      </c>
      <c r="AA478" s="1" t="s">
        <v>104</v>
      </c>
      <c r="AB478" s="1">
        <v>9</v>
      </c>
      <c r="AC478" s="1" t="s">
        <v>104</v>
      </c>
      <c r="AD478" s="1" t="s">
        <v>104</v>
      </c>
      <c r="AE478" s="1" t="s">
        <v>104</v>
      </c>
      <c r="AF478" s="1" t="s">
        <v>104</v>
      </c>
      <c r="AG478" s="1" t="s">
        <v>104</v>
      </c>
      <c r="AH478" s="1" t="s">
        <v>104</v>
      </c>
      <c r="AI478" s="1" t="s">
        <v>104</v>
      </c>
      <c r="AJ478" s="1" t="s">
        <v>104</v>
      </c>
      <c r="AK478" s="1" t="s">
        <v>104</v>
      </c>
      <c r="AL478" s="1" t="s">
        <v>104</v>
      </c>
      <c r="AM478" s="1" t="s">
        <v>104</v>
      </c>
      <c r="AO478" s="1">
        <v>9</v>
      </c>
      <c r="AP478" s="1" t="s">
        <v>3325</v>
      </c>
      <c r="AQ478" s="1" t="s">
        <v>3326</v>
      </c>
      <c r="AR478" s="1">
        <v>0</v>
      </c>
      <c r="AS478" s="1">
        <v>0</v>
      </c>
      <c r="AT478" s="1">
        <v>0</v>
      </c>
      <c r="AU478" s="1">
        <v>0</v>
      </c>
      <c r="AV478" s="1">
        <v>0</v>
      </c>
      <c r="AW478" s="1">
        <v>0</v>
      </c>
      <c r="AX478" s="1">
        <v>0</v>
      </c>
      <c r="AY478" s="1">
        <v>0</v>
      </c>
      <c r="AZ478" s="1">
        <v>0</v>
      </c>
      <c r="BA478" s="1">
        <v>0</v>
      </c>
      <c r="BB478" s="1">
        <v>0</v>
      </c>
      <c r="BC478" s="1">
        <v>0</v>
      </c>
      <c r="BD478" s="1">
        <v>0</v>
      </c>
      <c r="BE478" s="1">
        <v>0</v>
      </c>
      <c r="BF478" s="1">
        <v>0</v>
      </c>
      <c r="BG478" s="1">
        <v>0</v>
      </c>
      <c r="BH478" s="1">
        <v>0</v>
      </c>
      <c r="BI478" s="1">
        <v>0</v>
      </c>
      <c r="BJ478" s="1">
        <v>0</v>
      </c>
      <c r="BK478" s="1">
        <v>0</v>
      </c>
      <c r="BL478" s="1">
        <v>0</v>
      </c>
      <c r="BM478" s="1">
        <v>0</v>
      </c>
      <c r="BN478" s="1">
        <v>0</v>
      </c>
      <c r="BO478" s="1">
        <v>0</v>
      </c>
      <c r="BP478" s="1">
        <v>0</v>
      </c>
      <c r="BQ478" s="2" t="str">
        <f>HYPERLINK("http://www.d20pfsrd.com/magic/all-spells/s/shambler","Shambler")</f>
        <v>Shambler</v>
      </c>
      <c r="BR478" s="1">
        <v>479</v>
      </c>
      <c r="BS478" s="1" t="s">
        <v>104</v>
      </c>
      <c r="BT478" s="1" t="s">
        <v>3327</v>
      </c>
      <c r="BU478" s="1" t="s">
        <v>3328</v>
      </c>
      <c r="BX478" s="1">
        <v>0</v>
      </c>
      <c r="BY478" s="1" t="s">
        <v>104</v>
      </c>
      <c r="BZ478" s="1">
        <v>9</v>
      </c>
      <c r="CA478" s="1" t="s">
        <v>104</v>
      </c>
      <c r="CB478" s="1" t="s">
        <v>104</v>
      </c>
      <c r="CC478" s="1" t="s">
        <v>104</v>
      </c>
      <c r="CD478" s="1" t="s">
        <v>104</v>
      </c>
      <c r="CE478" s="1" t="s">
        <v>104</v>
      </c>
      <c r="CF478" s="1" t="s">
        <v>104</v>
      </c>
      <c r="CG478" s="1" t="s">
        <v>104</v>
      </c>
      <c r="CH478" s="1" t="s">
        <v>104</v>
      </c>
      <c r="CJ478" s="1">
        <v>0</v>
      </c>
      <c r="CK478" s="1">
        <v>0</v>
      </c>
      <c r="CL478" s="1">
        <v>0</v>
      </c>
      <c r="CM478" s="1" t="s">
        <v>104</v>
      </c>
    </row>
    <row r="479" spans="1:91" ht="14.25" customHeight="1" x14ac:dyDescent="0.3">
      <c r="A479" s="1" t="s">
        <v>3329</v>
      </c>
      <c r="B479" s="1" t="s">
        <v>137</v>
      </c>
      <c r="C479" s="1" t="s">
        <v>154</v>
      </c>
      <c r="E479" s="1" t="s">
        <v>3330</v>
      </c>
      <c r="F479" s="1" t="s">
        <v>95</v>
      </c>
      <c r="G479" s="1" t="s">
        <v>3331</v>
      </c>
      <c r="H479" s="1">
        <v>1</v>
      </c>
      <c r="I479" s="1" t="s">
        <v>157</v>
      </c>
      <c r="L479" s="1" t="s">
        <v>158</v>
      </c>
      <c r="M479" s="1" t="s">
        <v>140</v>
      </c>
      <c r="N479" s="1">
        <v>1</v>
      </c>
      <c r="O479" s="1">
        <v>0</v>
      </c>
      <c r="R479" s="1" t="s">
        <v>3332</v>
      </c>
      <c r="S479" s="1" t="s">
        <v>103</v>
      </c>
      <c r="T479" s="1">
        <v>1</v>
      </c>
      <c r="U479" s="1">
        <v>1</v>
      </c>
      <c r="V479" s="1">
        <v>0</v>
      </c>
      <c r="W479" s="1">
        <v>1</v>
      </c>
      <c r="X479" s="1">
        <v>0</v>
      </c>
      <c r="Y479" s="1">
        <v>9</v>
      </c>
      <c r="Z479" s="1">
        <v>9</v>
      </c>
      <c r="AA479" s="1" t="s">
        <v>104</v>
      </c>
      <c r="AB479" s="1">
        <v>9</v>
      </c>
      <c r="AC479" s="1" t="s">
        <v>104</v>
      </c>
      <c r="AD479" s="1" t="s">
        <v>104</v>
      </c>
      <c r="AE479" s="1" t="s">
        <v>104</v>
      </c>
      <c r="AF479" s="1" t="s">
        <v>104</v>
      </c>
      <c r="AG479" s="1" t="s">
        <v>104</v>
      </c>
      <c r="AH479" s="1" t="s">
        <v>104</v>
      </c>
      <c r="AI479" s="1" t="s">
        <v>104</v>
      </c>
      <c r="AJ479" s="1" t="s">
        <v>104</v>
      </c>
      <c r="AK479" s="1" t="s">
        <v>104</v>
      </c>
      <c r="AL479" s="1" t="s">
        <v>104</v>
      </c>
      <c r="AM479" s="1" t="s">
        <v>104</v>
      </c>
      <c r="AO479" s="1">
        <v>9</v>
      </c>
      <c r="AP479" s="1" t="s">
        <v>3333</v>
      </c>
      <c r="AQ479" s="1" t="s">
        <v>3334</v>
      </c>
      <c r="AR479" s="1">
        <v>0</v>
      </c>
      <c r="AS479" s="1">
        <v>0</v>
      </c>
      <c r="AT479" s="1">
        <v>0</v>
      </c>
      <c r="AU479" s="1">
        <v>0</v>
      </c>
      <c r="AV479" s="1">
        <v>0</v>
      </c>
      <c r="AW479" s="1">
        <v>0</v>
      </c>
      <c r="AX479" s="1">
        <v>0</v>
      </c>
      <c r="AY479" s="1">
        <v>0</v>
      </c>
      <c r="AZ479" s="1">
        <v>0</v>
      </c>
      <c r="BA479" s="1">
        <v>0</v>
      </c>
      <c r="BB479" s="1">
        <v>0</v>
      </c>
      <c r="BC479" s="1">
        <v>0</v>
      </c>
      <c r="BD479" s="1">
        <v>0</v>
      </c>
      <c r="BE479" s="1">
        <v>0</v>
      </c>
      <c r="BF479" s="1">
        <v>0</v>
      </c>
      <c r="BG479" s="1">
        <v>0</v>
      </c>
      <c r="BH479" s="1">
        <v>0</v>
      </c>
      <c r="BI479" s="1">
        <v>0</v>
      </c>
      <c r="BJ479" s="1">
        <v>0</v>
      </c>
      <c r="BK479" s="1">
        <v>0</v>
      </c>
      <c r="BL479" s="1">
        <v>0</v>
      </c>
      <c r="BM479" s="1">
        <v>0</v>
      </c>
      <c r="BN479" s="1">
        <v>0</v>
      </c>
      <c r="BO479" s="1">
        <v>0</v>
      </c>
      <c r="BP479" s="1">
        <v>0</v>
      </c>
      <c r="BQ479" s="2" t="str">
        <f>HYPERLINK("http://www.d20pfsrd.com/magic/all-spells/s/shapechange","Shapechange")</f>
        <v>Shapechange</v>
      </c>
      <c r="BR479" s="1">
        <v>480</v>
      </c>
      <c r="BS479" s="1">
        <v>1500</v>
      </c>
      <c r="BT479" s="1" t="s">
        <v>3335</v>
      </c>
      <c r="BU479" s="1" t="s">
        <v>3336</v>
      </c>
      <c r="BX479" s="1">
        <v>0</v>
      </c>
      <c r="BY479" s="1" t="s">
        <v>104</v>
      </c>
      <c r="BZ479" s="1">
        <v>9</v>
      </c>
      <c r="CA479" s="1" t="s">
        <v>104</v>
      </c>
      <c r="CB479" s="1" t="s">
        <v>104</v>
      </c>
      <c r="CC479" s="1" t="s">
        <v>104</v>
      </c>
      <c r="CD479" s="1" t="s">
        <v>104</v>
      </c>
      <c r="CE479" s="1" t="s">
        <v>104</v>
      </c>
      <c r="CF479" s="1" t="s">
        <v>104</v>
      </c>
      <c r="CG479" s="1" t="s">
        <v>104</v>
      </c>
      <c r="CH479" s="1" t="s">
        <v>104</v>
      </c>
      <c r="CJ479" s="1">
        <v>0</v>
      </c>
      <c r="CK479" s="1">
        <v>0</v>
      </c>
      <c r="CL479" s="1">
        <v>0</v>
      </c>
      <c r="CM479" s="1" t="s">
        <v>104</v>
      </c>
    </row>
    <row r="480" spans="1:91" ht="14.25" customHeight="1" x14ac:dyDescent="0.3">
      <c r="A480" s="1" t="s">
        <v>3337</v>
      </c>
      <c r="B480" s="1" t="s">
        <v>434</v>
      </c>
      <c r="D480" s="1" t="s">
        <v>66</v>
      </c>
      <c r="E480" s="1" t="s">
        <v>3338</v>
      </c>
      <c r="F480" s="1" t="s">
        <v>95</v>
      </c>
      <c r="G480" s="1" t="s">
        <v>3339</v>
      </c>
      <c r="H480" s="1">
        <v>0</v>
      </c>
      <c r="I480" s="1" t="s">
        <v>117</v>
      </c>
      <c r="J480" s="1" t="s">
        <v>3340</v>
      </c>
      <c r="L480" s="1" t="s">
        <v>3340</v>
      </c>
      <c r="M480" s="1" t="s">
        <v>119</v>
      </c>
      <c r="N480" s="1">
        <v>0</v>
      </c>
      <c r="O480" s="1">
        <v>0</v>
      </c>
      <c r="P480" s="1" t="s">
        <v>3341</v>
      </c>
      <c r="Q480" s="1" t="s">
        <v>184</v>
      </c>
      <c r="R480" s="1" t="s">
        <v>3342</v>
      </c>
      <c r="S480" s="1" t="s">
        <v>103</v>
      </c>
      <c r="T480" s="1">
        <v>1</v>
      </c>
      <c r="U480" s="1">
        <v>1</v>
      </c>
      <c r="V480" s="1">
        <v>1</v>
      </c>
      <c r="W480" s="1">
        <v>0</v>
      </c>
      <c r="X480" s="1">
        <v>1</v>
      </c>
      <c r="Y480" s="1">
        <v>2</v>
      </c>
      <c r="Z480" s="1">
        <v>2</v>
      </c>
      <c r="AA480" s="1">
        <v>2</v>
      </c>
      <c r="AB480" s="1" t="s">
        <v>104</v>
      </c>
      <c r="AC480" s="1" t="s">
        <v>104</v>
      </c>
      <c r="AD480" s="1">
        <v>2</v>
      </c>
      <c r="AE480" s="1" t="s">
        <v>104</v>
      </c>
      <c r="AF480" s="1" t="s">
        <v>104</v>
      </c>
      <c r="AG480" s="1" t="s">
        <v>104</v>
      </c>
      <c r="AH480" s="1" t="s">
        <v>104</v>
      </c>
      <c r="AI480" s="1" t="s">
        <v>104</v>
      </c>
      <c r="AJ480" s="1">
        <v>2</v>
      </c>
      <c r="AK480" s="1" t="s">
        <v>104</v>
      </c>
      <c r="AL480" s="1">
        <v>2</v>
      </c>
      <c r="AM480" s="1" t="s">
        <v>104</v>
      </c>
      <c r="AO480" s="1">
        <v>2</v>
      </c>
      <c r="AP480" s="1" t="s">
        <v>3343</v>
      </c>
      <c r="AQ480" s="1" t="s">
        <v>3344</v>
      </c>
      <c r="AR480" s="1">
        <v>0</v>
      </c>
      <c r="AS480" s="1">
        <v>0</v>
      </c>
      <c r="AT480" s="1">
        <v>0</v>
      </c>
      <c r="AU480" s="1">
        <v>0</v>
      </c>
      <c r="AV480" s="1">
        <v>0</v>
      </c>
      <c r="AW480" s="1">
        <v>0</v>
      </c>
      <c r="AX480" s="1">
        <v>0</v>
      </c>
      <c r="AY480" s="1">
        <v>0</v>
      </c>
      <c r="AZ480" s="1">
        <v>0</v>
      </c>
      <c r="BA480" s="1">
        <v>0</v>
      </c>
      <c r="BB480" s="1">
        <v>0</v>
      </c>
      <c r="BC480" s="1">
        <v>0</v>
      </c>
      <c r="BD480" s="1">
        <v>0</v>
      </c>
      <c r="BE480" s="1">
        <v>0</v>
      </c>
      <c r="BF480" s="1">
        <v>0</v>
      </c>
      <c r="BG480" s="1">
        <v>0</v>
      </c>
      <c r="BH480" s="1">
        <v>0</v>
      </c>
      <c r="BI480" s="1">
        <v>0</v>
      </c>
      <c r="BJ480" s="1">
        <v>0</v>
      </c>
      <c r="BK480" s="1">
        <v>0</v>
      </c>
      <c r="BL480" s="1">
        <v>0</v>
      </c>
      <c r="BM480" s="1">
        <v>0</v>
      </c>
      <c r="BN480" s="1">
        <v>0</v>
      </c>
      <c r="BO480" s="1">
        <v>1</v>
      </c>
      <c r="BP480" s="1">
        <v>0</v>
      </c>
      <c r="BQ480" s="2" t="str">
        <f>HYPERLINK("http://www.d20pfsrd.com/magic/all-spells/s/shatter","Shatter")</f>
        <v>Shatter</v>
      </c>
      <c r="BR480" s="1">
        <v>481</v>
      </c>
      <c r="BS480" s="1" t="s">
        <v>104</v>
      </c>
      <c r="BV480" s="1" t="s">
        <v>3345</v>
      </c>
      <c r="BX480" s="1">
        <v>1</v>
      </c>
      <c r="BY480" s="1">
        <v>2</v>
      </c>
      <c r="BZ480" s="1" t="s">
        <v>104</v>
      </c>
      <c r="CA480" s="1">
        <v>2</v>
      </c>
      <c r="CB480" s="1" t="s">
        <v>104</v>
      </c>
      <c r="CC480" s="1" t="s">
        <v>104</v>
      </c>
      <c r="CD480" s="1">
        <v>2</v>
      </c>
      <c r="CE480" s="1" t="s">
        <v>104</v>
      </c>
      <c r="CF480" s="1" t="s">
        <v>104</v>
      </c>
      <c r="CG480" s="1" t="s">
        <v>104</v>
      </c>
      <c r="CH480" s="1" t="s">
        <v>104</v>
      </c>
      <c r="CJ480" s="1">
        <v>0</v>
      </c>
      <c r="CK480" s="1">
        <v>0</v>
      </c>
      <c r="CL480" s="1">
        <v>0</v>
      </c>
      <c r="CM480" s="1" t="s">
        <v>104</v>
      </c>
    </row>
    <row r="481" spans="1:91" ht="14.25" customHeight="1" x14ac:dyDescent="0.3">
      <c r="A481" s="1" t="s">
        <v>3346</v>
      </c>
      <c r="B481" s="1" t="s">
        <v>162</v>
      </c>
      <c r="D481" s="1" t="s">
        <v>57</v>
      </c>
      <c r="E481" s="1" t="s">
        <v>3347</v>
      </c>
      <c r="F481" s="1" t="s">
        <v>95</v>
      </c>
      <c r="G481" s="1" t="s">
        <v>116</v>
      </c>
      <c r="H481" s="1">
        <v>0</v>
      </c>
      <c r="I481" s="1" t="s">
        <v>157</v>
      </c>
      <c r="L481" s="1" t="s">
        <v>158</v>
      </c>
      <c r="M481" s="1" t="s">
        <v>130</v>
      </c>
      <c r="N481" s="1">
        <v>1</v>
      </c>
      <c r="O481" s="1">
        <v>0</v>
      </c>
      <c r="R481" s="1" t="s">
        <v>3348</v>
      </c>
      <c r="S481" s="1" t="s">
        <v>103</v>
      </c>
      <c r="T481" s="1">
        <v>1</v>
      </c>
      <c r="U481" s="1">
        <v>1</v>
      </c>
      <c r="V481" s="1">
        <v>0</v>
      </c>
      <c r="W481" s="1">
        <v>0</v>
      </c>
      <c r="X481" s="1">
        <v>0</v>
      </c>
      <c r="Y481" s="1">
        <v>1</v>
      </c>
      <c r="Z481" s="1">
        <v>1</v>
      </c>
      <c r="AA481" s="1" t="s">
        <v>104</v>
      </c>
      <c r="AB481" s="1" t="s">
        <v>104</v>
      </c>
      <c r="AC481" s="1" t="s">
        <v>104</v>
      </c>
      <c r="AD481" s="1" t="s">
        <v>104</v>
      </c>
      <c r="AE481" s="1" t="s">
        <v>104</v>
      </c>
      <c r="AF481" s="1">
        <v>1</v>
      </c>
      <c r="AG481" s="1">
        <v>1</v>
      </c>
      <c r="AH481" s="1" t="s">
        <v>104</v>
      </c>
      <c r="AI481" s="1" t="s">
        <v>104</v>
      </c>
      <c r="AJ481" s="1" t="s">
        <v>104</v>
      </c>
      <c r="AK481" s="1" t="s">
        <v>104</v>
      </c>
      <c r="AL481" s="1">
        <v>1</v>
      </c>
      <c r="AM481" s="1" t="s">
        <v>104</v>
      </c>
      <c r="AO481" s="1">
        <v>1</v>
      </c>
      <c r="AP481" s="1" t="s">
        <v>3349</v>
      </c>
      <c r="AQ481" s="1" t="s">
        <v>3350</v>
      </c>
      <c r="AR481" s="1">
        <v>0</v>
      </c>
      <c r="AS481" s="1">
        <v>0</v>
      </c>
      <c r="AT481" s="1">
        <v>0</v>
      </c>
      <c r="AU481" s="1">
        <v>0</v>
      </c>
      <c r="AV481" s="1">
        <v>0</v>
      </c>
      <c r="AW481" s="1">
        <v>0</v>
      </c>
      <c r="AX481" s="1">
        <v>0</v>
      </c>
      <c r="AY481" s="1">
        <v>0</v>
      </c>
      <c r="AZ481" s="1">
        <v>0</v>
      </c>
      <c r="BA481" s="1">
        <v>0</v>
      </c>
      <c r="BB481" s="1">
        <v>0</v>
      </c>
      <c r="BC481" s="1">
        <v>0</v>
      </c>
      <c r="BD481" s="1">
        <v>0</v>
      </c>
      <c r="BE481" s="1">
        <v>0</v>
      </c>
      <c r="BF481" s="1">
        <v>1</v>
      </c>
      <c r="BG481" s="1">
        <v>0</v>
      </c>
      <c r="BH481" s="1">
        <v>0</v>
      </c>
      <c r="BI481" s="1">
        <v>0</v>
      </c>
      <c r="BJ481" s="1">
        <v>0</v>
      </c>
      <c r="BK481" s="1">
        <v>0</v>
      </c>
      <c r="BL481" s="1">
        <v>0</v>
      </c>
      <c r="BM481" s="1">
        <v>0</v>
      </c>
      <c r="BN481" s="1">
        <v>0</v>
      </c>
      <c r="BO481" s="1">
        <v>0</v>
      </c>
      <c r="BP481" s="1">
        <v>0</v>
      </c>
      <c r="BQ481" s="2" t="str">
        <f>HYPERLINK("http://www.d20pfsrd.com/magic/all-spells/s/shield","Shield")</f>
        <v>Shield</v>
      </c>
      <c r="BR481" s="1">
        <v>482</v>
      </c>
      <c r="BS481" s="1" t="s">
        <v>104</v>
      </c>
      <c r="BX481" s="1">
        <v>0</v>
      </c>
      <c r="BY481" s="1">
        <v>1</v>
      </c>
      <c r="BZ481" s="1" t="s">
        <v>104</v>
      </c>
      <c r="CA481" s="1">
        <v>1</v>
      </c>
      <c r="CB481" s="1" t="s">
        <v>104</v>
      </c>
      <c r="CC481" s="1" t="s">
        <v>104</v>
      </c>
      <c r="CD481" s="1">
        <v>1</v>
      </c>
      <c r="CE481" s="1">
        <v>1</v>
      </c>
      <c r="CF481" s="1" t="s">
        <v>104</v>
      </c>
      <c r="CG481" s="1" t="s">
        <v>104</v>
      </c>
      <c r="CH481" s="1" t="s">
        <v>104</v>
      </c>
      <c r="CJ481" s="1">
        <v>0</v>
      </c>
      <c r="CK481" s="1">
        <v>0</v>
      </c>
      <c r="CL481" s="1">
        <v>0</v>
      </c>
      <c r="CM481" s="1">
        <v>1</v>
      </c>
    </row>
    <row r="482" spans="1:91" ht="14.25" customHeight="1" x14ac:dyDescent="0.3">
      <c r="A482" s="1" t="s">
        <v>3351</v>
      </c>
      <c r="B482" s="1" t="s">
        <v>162</v>
      </c>
      <c r="E482" s="1" t="s">
        <v>1979</v>
      </c>
      <c r="F482" s="1" t="s">
        <v>95</v>
      </c>
      <c r="G482" s="1" t="s">
        <v>3352</v>
      </c>
      <c r="H482" s="1">
        <v>0</v>
      </c>
      <c r="I482" s="1" t="s">
        <v>128</v>
      </c>
      <c r="L482" s="1" t="s">
        <v>374</v>
      </c>
      <c r="M482" s="1" t="s">
        <v>130</v>
      </c>
      <c r="N482" s="1">
        <v>0</v>
      </c>
      <c r="O482" s="1">
        <v>0</v>
      </c>
      <c r="P482" s="1" t="s">
        <v>375</v>
      </c>
      <c r="Q482" s="1" t="s">
        <v>131</v>
      </c>
      <c r="R482" s="1" t="s">
        <v>3353</v>
      </c>
      <c r="S482" s="1" t="s">
        <v>103</v>
      </c>
      <c r="T482" s="1">
        <v>1</v>
      </c>
      <c r="U482" s="1">
        <v>1</v>
      </c>
      <c r="V482" s="1">
        <v>1</v>
      </c>
      <c r="W482" s="1">
        <v>0</v>
      </c>
      <c r="X482" s="1">
        <v>0</v>
      </c>
      <c r="Y482" s="1" t="s">
        <v>104</v>
      </c>
      <c r="Z482" s="1" t="s">
        <v>104</v>
      </c>
      <c r="AA482" s="1">
        <v>1</v>
      </c>
      <c r="AB482" s="1" t="s">
        <v>104</v>
      </c>
      <c r="AC482" s="1" t="s">
        <v>104</v>
      </c>
      <c r="AD482" s="1" t="s">
        <v>104</v>
      </c>
      <c r="AE482" s="1" t="s">
        <v>104</v>
      </c>
      <c r="AF482" s="1" t="s">
        <v>104</v>
      </c>
      <c r="AG482" s="1" t="s">
        <v>104</v>
      </c>
      <c r="AH482" s="1" t="s">
        <v>104</v>
      </c>
      <c r="AI482" s="1">
        <v>1</v>
      </c>
      <c r="AJ482" s="1">
        <v>1</v>
      </c>
      <c r="AK482" s="1" t="s">
        <v>104</v>
      </c>
      <c r="AL482" s="1" t="s">
        <v>104</v>
      </c>
      <c r="AM482" s="1" t="s">
        <v>104</v>
      </c>
      <c r="AO482" s="1">
        <v>1</v>
      </c>
      <c r="AP482" s="1" t="s">
        <v>3354</v>
      </c>
      <c r="AQ482" s="1" t="s">
        <v>3355</v>
      </c>
      <c r="AR482" s="1">
        <v>0</v>
      </c>
      <c r="AS482" s="1">
        <v>0</v>
      </c>
      <c r="AT482" s="1">
        <v>0</v>
      </c>
      <c r="AU482" s="1">
        <v>0</v>
      </c>
      <c r="AV482" s="1">
        <v>0</v>
      </c>
      <c r="AW482" s="1">
        <v>0</v>
      </c>
      <c r="AX482" s="1">
        <v>0</v>
      </c>
      <c r="AY482" s="1">
        <v>0</v>
      </c>
      <c r="AZ482" s="1">
        <v>0</v>
      </c>
      <c r="BA482" s="1">
        <v>0</v>
      </c>
      <c r="BB482" s="1">
        <v>0</v>
      </c>
      <c r="BC482" s="1">
        <v>0</v>
      </c>
      <c r="BD482" s="1">
        <v>0</v>
      </c>
      <c r="BE482" s="1">
        <v>0</v>
      </c>
      <c r="BF482" s="1">
        <v>0</v>
      </c>
      <c r="BG482" s="1">
        <v>0</v>
      </c>
      <c r="BH482" s="1">
        <v>0</v>
      </c>
      <c r="BI482" s="1">
        <v>0</v>
      </c>
      <c r="BJ482" s="1">
        <v>0</v>
      </c>
      <c r="BK482" s="1">
        <v>0</v>
      </c>
      <c r="BL482" s="1">
        <v>0</v>
      </c>
      <c r="BM482" s="1">
        <v>0</v>
      </c>
      <c r="BN482" s="1">
        <v>0</v>
      </c>
      <c r="BO482" s="1">
        <v>0</v>
      </c>
      <c r="BP482" s="1">
        <v>0</v>
      </c>
      <c r="BQ482" s="2" t="str">
        <f>HYPERLINK("http://www.d20pfsrd.com/magic/all-spells/s/shield-of-faith","Shield of Faith")</f>
        <v>Shield of Faith</v>
      </c>
      <c r="BR482" s="1">
        <v>483</v>
      </c>
      <c r="BS482" s="1" t="s">
        <v>104</v>
      </c>
      <c r="BU482" s="1" t="s">
        <v>3356</v>
      </c>
      <c r="BV482" s="1" t="s">
        <v>3357</v>
      </c>
      <c r="BX482" s="1">
        <v>1</v>
      </c>
      <c r="BY482" s="1" t="s">
        <v>104</v>
      </c>
      <c r="BZ482" s="1" t="s">
        <v>104</v>
      </c>
      <c r="CA482" s="1" t="s">
        <v>104</v>
      </c>
      <c r="CB482" s="1" t="s">
        <v>104</v>
      </c>
      <c r="CC482" s="1" t="s">
        <v>104</v>
      </c>
      <c r="CD482" s="1" t="s">
        <v>104</v>
      </c>
      <c r="CE482" s="1" t="s">
        <v>104</v>
      </c>
      <c r="CF482" s="1" t="s">
        <v>104</v>
      </c>
      <c r="CG482" s="1" t="s">
        <v>104</v>
      </c>
      <c r="CH482" s="1" t="s">
        <v>104</v>
      </c>
      <c r="CJ482" s="1">
        <v>0</v>
      </c>
      <c r="CK482" s="1">
        <v>0</v>
      </c>
      <c r="CL482" s="1">
        <v>0</v>
      </c>
      <c r="CM482" s="1" t="s">
        <v>104</v>
      </c>
    </row>
    <row r="483" spans="1:91" ht="14.25" customHeight="1" x14ac:dyDescent="0.3">
      <c r="A483" s="1" t="s">
        <v>3358</v>
      </c>
      <c r="B483" s="1" t="s">
        <v>162</v>
      </c>
      <c r="D483" s="1" t="s">
        <v>60</v>
      </c>
      <c r="E483" s="1" t="s">
        <v>695</v>
      </c>
      <c r="F483" s="1" t="s">
        <v>95</v>
      </c>
      <c r="G483" s="1" t="s">
        <v>3359</v>
      </c>
      <c r="H483" s="1">
        <v>1</v>
      </c>
      <c r="I483" s="1" t="s">
        <v>697</v>
      </c>
      <c r="L483" s="1" t="s">
        <v>698</v>
      </c>
      <c r="M483" s="1" t="s">
        <v>111</v>
      </c>
      <c r="N483" s="1">
        <v>1</v>
      </c>
      <c r="O483" s="1">
        <v>0</v>
      </c>
      <c r="P483" s="1" t="s">
        <v>145</v>
      </c>
      <c r="Q483" s="1" t="s">
        <v>131</v>
      </c>
      <c r="R483" s="1" t="s">
        <v>3360</v>
      </c>
      <c r="S483" s="1" t="s">
        <v>103</v>
      </c>
      <c r="T483" s="1">
        <v>1</v>
      </c>
      <c r="U483" s="1">
        <v>1</v>
      </c>
      <c r="V483" s="1">
        <v>0</v>
      </c>
      <c r="W483" s="1">
        <v>1</v>
      </c>
      <c r="X483" s="1">
        <v>0</v>
      </c>
      <c r="Y483" s="1" t="s">
        <v>104</v>
      </c>
      <c r="Z483" s="1" t="s">
        <v>104</v>
      </c>
      <c r="AA483" s="1">
        <v>8</v>
      </c>
      <c r="AB483" s="1" t="s">
        <v>104</v>
      </c>
      <c r="AC483" s="1" t="s">
        <v>104</v>
      </c>
      <c r="AD483" s="1" t="s">
        <v>104</v>
      </c>
      <c r="AE483" s="1" t="s">
        <v>104</v>
      </c>
      <c r="AF483" s="1" t="s">
        <v>104</v>
      </c>
      <c r="AG483" s="1" t="s">
        <v>104</v>
      </c>
      <c r="AH483" s="1" t="s">
        <v>104</v>
      </c>
      <c r="AI483" s="1" t="s">
        <v>104</v>
      </c>
      <c r="AJ483" s="1">
        <v>8</v>
      </c>
      <c r="AK483" s="1" t="s">
        <v>104</v>
      </c>
      <c r="AL483" s="1" t="s">
        <v>104</v>
      </c>
      <c r="AM483" s="1" t="s">
        <v>104</v>
      </c>
      <c r="AO483" s="1">
        <v>8</v>
      </c>
      <c r="AP483" s="1" t="s">
        <v>3361</v>
      </c>
      <c r="AQ483" s="1" t="s">
        <v>3362</v>
      </c>
      <c r="AR483" s="1">
        <v>0</v>
      </c>
      <c r="AS483" s="1">
        <v>0</v>
      </c>
      <c r="AT483" s="1">
        <v>0</v>
      </c>
      <c r="AU483" s="1">
        <v>0</v>
      </c>
      <c r="AV483" s="1">
        <v>0</v>
      </c>
      <c r="AW483" s="1">
        <v>0</v>
      </c>
      <c r="AX483" s="1">
        <v>0</v>
      </c>
      <c r="AY483" s="1">
        <v>0</v>
      </c>
      <c r="AZ483" s="1">
        <v>0</v>
      </c>
      <c r="BA483" s="1">
        <v>0</v>
      </c>
      <c r="BB483" s="1">
        <v>0</v>
      </c>
      <c r="BC483" s="1">
        <v>0</v>
      </c>
      <c r="BD483" s="1">
        <v>0</v>
      </c>
      <c r="BE483" s="1">
        <v>0</v>
      </c>
      <c r="BF483" s="1">
        <v>0</v>
      </c>
      <c r="BG483" s="1">
        <v>0</v>
      </c>
      <c r="BH483" s="1">
        <v>0</v>
      </c>
      <c r="BI483" s="1">
        <v>1</v>
      </c>
      <c r="BJ483" s="1">
        <v>0</v>
      </c>
      <c r="BK483" s="1">
        <v>0</v>
      </c>
      <c r="BL483" s="1">
        <v>0</v>
      </c>
      <c r="BM483" s="1">
        <v>0</v>
      </c>
      <c r="BN483" s="1">
        <v>0</v>
      </c>
      <c r="BO483" s="1">
        <v>0</v>
      </c>
      <c r="BP483" s="1">
        <v>0</v>
      </c>
      <c r="BQ483" s="2" t="str">
        <f>HYPERLINK("http://www.d20pfsrd.com/magic/all-spells/s/shield-of-law","Shield of Law")</f>
        <v>Shield of Law</v>
      </c>
      <c r="BR483" s="1">
        <v>484</v>
      </c>
      <c r="BS483" s="1">
        <v>500</v>
      </c>
      <c r="BX483" s="1">
        <v>0</v>
      </c>
      <c r="BY483" s="1" t="s">
        <v>104</v>
      </c>
      <c r="BZ483" s="1" t="s">
        <v>104</v>
      </c>
      <c r="CA483" s="1" t="s">
        <v>104</v>
      </c>
      <c r="CB483" s="1" t="s">
        <v>104</v>
      </c>
      <c r="CC483" s="1" t="s">
        <v>104</v>
      </c>
      <c r="CD483" s="1" t="s">
        <v>104</v>
      </c>
      <c r="CE483" s="1" t="s">
        <v>104</v>
      </c>
      <c r="CF483" s="1" t="s">
        <v>104</v>
      </c>
      <c r="CG483" s="1" t="s">
        <v>104</v>
      </c>
      <c r="CH483" s="1" t="s">
        <v>104</v>
      </c>
      <c r="CJ483" s="1">
        <v>0</v>
      </c>
      <c r="CK483" s="1">
        <v>0</v>
      </c>
      <c r="CL483" s="1">
        <v>0</v>
      </c>
      <c r="CM483" s="1" t="s">
        <v>104</v>
      </c>
    </row>
    <row r="484" spans="1:91" ht="14.25" customHeight="1" x14ac:dyDescent="0.3">
      <c r="A484" s="1" t="s">
        <v>3363</v>
      </c>
      <c r="B484" s="1" t="s">
        <v>162</v>
      </c>
      <c r="E484" s="1" t="s">
        <v>3364</v>
      </c>
      <c r="F484" s="1" t="s">
        <v>95</v>
      </c>
      <c r="G484" s="1" t="s">
        <v>3365</v>
      </c>
      <c r="H484" s="1">
        <v>1</v>
      </c>
      <c r="I484" s="1" t="s">
        <v>117</v>
      </c>
      <c r="L484" s="1" t="s">
        <v>1065</v>
      </c>
      <c r="M484" s="1" t="s">
        <v>620</v>
      </c>
      <c r="N484" s="1">
        <v>1</v>
      </c>
      <c r="O484" s="1">
        <v>0</v>
      </c>
      <c r="P484" s="1" t="s">
        <v>375</v>
      </c>
      <c r="Q484" s="1" t="s">
        <v>131</v>
      </c>
      <c r="R484" s="1" t="s">
        <v>3366</v>
      </c>
      <c r="S484" s="1" t="s">
        <v>103</v>
      </c>
      <c r="T484" s="1">
        <v>1</v>
      </c>
      <c r="U484" s="1">
        <v>1</v>
      </c>
      <c r="V484" s="1">
        <v>0</v>
      </c>
      <c r="W484" s="1">
        <v>0</v>
      </c>
      <c r="X484" s="1">
        <v>0</v>
      </c>
      <c r="Y484" s="1" t="s">
        <v>104</v>
      </c>
      <c r="Z484" s="1" t="s">
        <v>104</v>
      </c>
      <c r="AA484" s="1">
        <v>2</v>
      </c>
      <c r="AB484" s="1" t="s">
        <v>104</v>
      </c>
      <c r="AC484" s="1" t="s">
        <v>104</v>
      </c>
      <c r="AD484" s="1" t="s">
        <v>104</v>
      </c>
      <c r="AE484" s="1">
        <v>2</v>
      </c>
      <c r="AF484" s="1" t="s">
        <v>104</v>
      </c>
      <c r="AG484" s="1" t="s">
        <v>104</v>
      </c>
      <c r="AH484" s="1" t="s">
        <v>104</v>
      </c>
      <c r="AI484" s="1">
        <v>2</v>
      </c>
      <c r="AJ484" s="1">
        <v>2</v>
      </c>
      <c r="AK484" s="1" t="s">
        <v>104</v>
      </c>
      <c r="AL484" s="1" t="s">
        <v>104</v>
      </c>
      <c r="AM484" s="1" t="s">
        <v>104</v>
      </c>
      <c r="AO484" s="1">
        <v>2</v>
      </c>
      <c r="AP484" s="1" t="s">
        <v>3367</v>
      </c>
      <c r="AQ484" s="1" t="s">
        <v>3368</v>
      </c>
      <c r="AR484" s="1">
        <v>0</v>
      </c>
      <c r="AS484" s="1">
        <v>0</v>
      </c>
      <c r="AT484" s="1">
        <v>0</v>
      </c>
      <c r="AU484" s="1">
        <v>0</v>
      </c>
      <c r="AV484" s="1">
        <v>0</v>
      </c>
      <c r="AW484" s="1">
        <v>0</v>
      </c>
      <c r="AX484" s="1">
        <v>0</v>
      </c>
      <c r="AY484" s="1">
        <v>0</v>
      </c>
      <c r="AZ484" s="1">
        <v>0</v>
      </c>
      <c r="BA484" s="1">
        <v>0</v>
      </c>
      <c r="BB484" s="1">
        <v>0</v>
      </c>
      <c r="BC484" s="1">
        <v>0</v>
      </c>
      <c r="BD484" s="1">
        <v>0</v>
      </c>
      <c r="BE484" s="1">
        <v>0</v>
      </c>
      <c r="BF484" s="1">
        <v>0</v>
      </c>
      <c r="BG484" s="1">
        <v>0</v>
      </c>
      <c r="BH484" s="1">
        <v>0</v>
      </c>
      <c r="BI484" s="1">
        <v>0</v>
      </c>
      <c r="BJ484" s="1">
        <v>0</v>
      </c>
      <c r="BK484" s="1">
        <v>0</v>
      </c>
      <c r="BL484" s="1">
        <v>0</v>
      </c>
      <c r="BM484" s="1">
        <v>0</v>
      </c>
      <c r="BN484" s="1">
        <v>0</v>
      </c>
      <c r="BO484" s="1">
        <v>0</v>
      </c>
      <c r="BP484" s="1">
        <v>0</v>
      </c>
      <c r="BQ484" s="2" t="str">
        <f>HYPERLINK("http://www.d20pfsrd.com/magic/all-spells/s/shield-other","Shield Other")</f>
        <v>Shield Other</v>
      </c>
      <c r="BR484" s="1">
        <v>485</v>
      </c>
      <c r="BS484" s="1">
        <v>50</v>
      </c>
      <c r="BV484" s="1" t="s">
        <v>3369</v>
      </c>
      <c r="BX484" s="1">
        <v>1</v>
      </c>
      <c r="BY484" s="1" t="s">
        <v>104</v>
      </c>
      <c r="BZ484" s="1" t="s">
        <v>104</v>
      </c>
      <c r="CA484" s="1">
        <v>2</v>
      </c>
      <c r="CB484" s="1" t="s">
        <v>104</v>
      </c>
      <c r="CC484" s="1" t="s">
        <v>104</v>
      </c>
      <c r="CD484" s="1" t="s">
        <v>104</v>
      </c>
      <c r="CE484" s="1" t="s">
        <v>104</v>
      </c>
      <c r="CF484" s="1" t="s">
        <v>104</v>
      </c>
      <c r="CG484" s="1" t="s">
        <v>104</v>
      </c>
      <c r="CH484" s="1" t="s">
        <v>104</v>
      </c>
      <c r="CJ484" s="1">
        <v>0</v>
      </c>
      <c r="CK484" s="1">
        <v>0</v>
      </c>
      <c r="CL484" s="1">
        <v>0</v>
      </c>
      <c r="CM484" s="1" t="s">
        <v>104</v>
      </c>
    </row>
    <row r="485" spans="1:91" ht="14.25" customHeight="1" x14ac:dyDescent="0.3">
      <c r="A485" s="1" t="s">
        <v>3370</v>
      </c>
      <c r="B485" s="1" t="s">
        <v>137</v>
      </c>
      <c r="E485" s="1" t="s">
        <v>3371</v>
      </c>
      <c r="F485" s="1" t="s">
        <v>95</v>
      </c>
      <c r="G485" s="1" t="s">
        <v>127</v>
      </c>
      <c r="H485" s="1">
        <v>0</v>
      </c>
      <c r="I485" s="1" t="s">
        <v>128</v>
      </c>
      <c r="L485" s="1" t="s">
        <v>3372</v>
      </c>
      <c r="M485" s="1" t="s">
        <v>130</v>
      </c>
      <c r="N485" s="1">
        <v>0</v>
      </c>
      <c r="O485" s="1">
        <v>0</v>
      </c>
      <c r="P485" s="1" t="s">
        <v>471</v>
      </c>
      <c r="Q485" s="1" t="s">
        <v>472</v>
      </c>
      <c r="R485" s="1" t="s">
        <v>3373</v>
      </c>
      <c r="S485" s="1" t="s">
        <v>103</v>
      </c>
      <c r="T485" s="1">
        <v>1</v>
      </c>
      <c r="U485" s="1">
        <v>1</v>
      </c>
      <c r="V485" s="1">
        <v>0</v>
      </c>
      <c r="W485" s="1">
        <v>0</v>
      </c>
      <c r="X485" s="1">
        <v>1</v>
      </c>
      <c r="Y485" s="1" t="s">
        <v>104</v>
      </c>
      <c r="Z485" s="1" t="s">
        <v>104</v>
      </c>
      <c r="AA485" s="1" t="s">
        <v>104</v>
      </c>
      <c r="AB485" s="1">
        <v>1</v>
      </c>
      <c r="AC485" s="1" t="s">
        <v>104</v>
      </c>
      <c r="AD485" s="1" t="s">
        <v>104</v>
      </c>
      <c r="AE485" s="1" t="s">
        <v>104</v>
      </c>
      <c r="AF485" s="1" t="s">
        <v>104</v>
      </c>
      <c r="AG485" s="1" t="s">
        <v>104</v>
      </c>
      <c r="AH485" s="1" t="s">
        <v>104</v>
      </c>
      <c r="AI485" s="1" t="s">
        <v>104</v>
      </c>
      <c r="AJ485" s="1" t="s">
        <v>104</v>
      </c>
      <c r="AK485" s="1" t="s">
        <v>104</v>
      </c>
      <c r="AL485" s="1" t="s">
        <v>104</v>
      </c>
      <c r="AM485" s="1" t="s">
        <v>104</v>
      </c>
      <c r="AO485" s="1">
        <v>1</v>
      </c>
      <c r="AQ485" s="1" t="s">
        <v>3374</v>
      </c>
      <c r="AR485" s="1">
        <v>0</v>
      </c>
      <c r="AS485" s="1">
        <v>0</v>
      </c>
      <c r="AT485" s="1">
        <v>0</v>
      </c>
      <c r="AU485" s="1">
        <v>0</v>
      </c>
      <c r="AV485" s="1">
        <v>0</v>
      </c>
      <c r="AW485" s="1">
        <v>0</v>
      </c>
      <c r="AX485" s="1">
        <v>0</v>
      </c>
      <c r="AY485" s="1">
        <v>0</v>
      </c>
      <c r="AZ485" s="1">
        <v>0</v>
      </c>
      <c r="BA485" s="1">
        <v>0</v>
      </c>
      <c r="BB485" s="1">
        <v>0</v>
      </c>
      <c r="BC485" s="1">
        <v>0</v>
      </c>
      <c r="BD485" s="1">
        <v>0</v>
      </c>
      <c r="BE485" s="1">
        <v>0</v>
      </c>
      <c r="BF485" s="1">
        <v>0</v>
      </c>
      <c r="BG485" s="1">
        <v>0</v>
      </c>
      <c r="BH485" s="1">
        <v>0</v>
      </c>
      <c r="BI485" s="1">
        <v>0</v>
      </c>
      <c r="BJ485" s="1">
        <v>0</v>
      </c>
      <c r="BK485" s="1">
        <v>0</v>
      </c>
      <c r="BL485" s="1">
        <v>0</v>
      </c>
      <c r="BM485" s="1">
        <v>0</v>
      </c>
      <c r="BN485" s="1">
        <v>0</v>
      </c>
      <c r="BO485" s="1">
        <v>0</v>
      </c>
      <c r="BP485" s="1">
        <v>0</v>
      </c>
      <c r="BQ485" s="2" t="str">
        <f>HYPERLINK("http://www.d20pfsrd.com/magic/all-spells/s/shillelagh","Shillelagh")</f>
        <v>Shillelagh</v>
      </c>
      <c r="BR485" s="1">
        <v>486</v>
      </c>
      <c r="BS485" s="1" t="s">
        <v>104</v>
      </c>
      <c r="BX485" s="1">
        <v>0</v>
      </c>
      <c r="BY485" s="1" t="s">
        <v>104</v>
      </c>
      <c r="BZ485" s="1" t="s">
        <v>104</v>
      </c>
      <c r="CA485" s="1" t="s">
        <v>104</v>
      </c>
      <c r="CB485" s="1" t="s">
        <v>104</v>
      </c>
      <c r="CC485" s="1" t="s">
        <v>104</v>
      </c>
      <c r="CD485" s="1" t="s">
        <v>104</v>
      </c>
      <c r="CE485" s="1" t="s">
        <v>104</v>
      </c>
      <c r="CF485" s="1" t="s">
        <v>104</v>
      </c>
      <c r="CG485" s="1" t="s">
        <v>104</v>
      </c>
      <c r="CH485" s="1">
        <v>1</v>
      </c>
      <c r="CJ485" s="1">
        <v>0</v>
      </c>
      <c r="CK485" s="1">
        <v>0</v>
      </c>
      <c r="CL485" s="1">
        <v>0</v>
      </c>
      <c r="CM485" s="1" t="s">
        <v>104</v>
      </c>
    </row>
    <row r="486" spans="1:91" ht="14.25" customHeight="1" x14ac:dyDescent="0.3">
      <c r="A486" s="1" t="s">
        <v>3375</v>
      </c>
      <c r="B486" s="1" t="s">
        <v>137</v>
      </c>
      <c r="E486" s="1" t="s">
        <v>3376</v>
      </c>
      <c r="F486" s="1" t="s">
        <v>95</v>
      </c>
      <c r="G486" s="1" t="s">
        <v>116</v>
      </c>
      <c r="H486" s="1">
        <v>0</v>
      </c>
      <c r="I486" s="1" t="s">
        <v>128</v>
      </c>
      <c r="L486" s="1" t="s">
        <v>3377</v>
      </c>
      <c r="M486" s="1" t="s">
        <v>3378</v>
      </c>
      <c r="N486" s="1">
        <v>0</v>
      </c>
      <c r="O486" s="1">
        <v>0</v>
      </c>
      <c r="P486" s="1" t="s">
        <v>471</v>
      </c>
      <c r="Q486" s="1" t="s">
        <v>472</v>
      </c>
      <c r="R486" s="1" t="s">
        <v>3379</v>
      </c>
      <c r="S486" s="1" t="s">
        <v>103</v>
      </c>
      <c r="T486" s="1">
        <v>1</v>
      </c>
      <c r="U486" s="1">
        <v>1</v>
      </c>
      <c r="V486" s="1">
        <v>0</v>
      </c>
      <c r="W486" s="1">
        <v>0</v>
      </c>
      <c r="X486" s="1">
        <v>0</v>
      </c>
      <c r="Y486" s="1">
        <v>3</v>
      </c>
      <c r="Z486" s="1">
        <v>3</v>
      </c>
      <c r="AA486" s="1" t="s">
        <v>104</v>
      </c>
      <c r="AB486" s="1" t="s">
        <v>104</v>
      </c>
      <c r="AC486" s="1" t="s">
        <v>104</v>
      </c>
      <c r="AD486" s="1" t="s">
        <v>104</v>
      </c>
      <c r="AE486" s="1" t="s">
        <v>104</v>
      </c>
      <c r="AF486" s="1" t="s">
        <v>104</v>
      </c>
      <c r="AG486" s="1" t="s">
        <v>104</v>
      </c>
      <c r="AH486" s="1" t="s">
        <v>104</v>
      </c>
      <c r="AI486" s="1" t="s">
        <v>104</v>
      </c>
      <c r="AJ486" s="1" t="s">
        <v>104</v>
      </c>
      <c r="AK486" s="1" t="s">
        <v>104</v>
      </c>
      <c r="AL486" s="1" t="s">
        <v>104</v>
      </c>
      <c r="AM486" s="1" t="s">
        <v>104</v>
      </c>
      <c r="AO486" s="1">
        <v>3</v>
      </c>
      <c r="AQ486" s="1" t="s">
        <v>3380</v>
      </c>
      <c r="AR486" s="1">
        <v>0</v>
      </c>
      <c r="AS486" s="1">
        <v>0</v>
      </c>
      <c r="AT486" s="1">
        <v>0</v>
      </c>
      <c r="AU486" s="1">
        <v>0</v>
      </c>
      <c r="AV486" s="1">
        <v>0</v>
      </c>
      <c r="AW486" s="1">
        <v>0</v>
      </c>
      <c r="AX486" s="1">
        <v>0</v>
      </c>
      <c r="AY486" s="1">
        <v>0</v>
      </c>
      <c r="AZ486" s="1">
        <v>0</v>
      </c>
      <c r="BA486" s="1">
        <v>0</v>
      </c>
      <c r="BB486" s="1">
        <v>0</v>
      </c>
      <c r="BC486" s="1">
        <v>0</v>
      </c>
      <c r="BD486" s="1">
        <v>0</v>
      </c>
      <c r="BE486" s="1">
        <v>0</v>
      </c>
      <c r="BF486" s="1">
        <v>0</v>
      </c>
      <c r="BG486" s="1">
        <v>0</v>
      </c>
      <c r="BH486" s="1">
        <v>0</v>
      </c>
      <c r="BI486" s="1">
        <v>0</v>
      </c>
      <c r="BJ486" s="1">
        <v>0</v>
      </c>
      <c r="BK486" s="1">
        <v>0</v>
      </c>
      <c r="BL486" s="1">
        <v>0</v>
      </c>
      <c r="BM486" s="1">
        <v>0</v>
      </c>
      <c r="BN486" s="1">
        <v>0</v>
      </c>
      <c r="BO486" s="1">
        <v>0</v>
      </c>
      <c r="BP486" s="1">
        <v>0</v>
      </c>
      <c r="BQ486" s="2" t="str">
        <f>HYPERLINK("http://www.d20pfsrd.com/magic/all-spells/s/shrink-item","Shrink Item")</f>
        <v>Shrink Item</v>
      </c>
      <c r="BR486" s="1">
        <v>487</v>
      </c>
      <c r="BS486" s="1" t="s">
        <v>104</v>
      </c>
      <c r="BT486" s="1" t="s">
        <v>3381</v>
      </c>
      <c r="BX486" s="1">
        <v>0</v>
      </c>
      <c r="BY486" s="1" t="s">
        <v>104</v>
      </c>
      <c r="BZ486" s="1" t="s">
        <v>104</v>
      </c>
      <c r="CA486" s="1">
        <v>3</v>
      </c>
      <c r="CB486" s="1" t="s">
        <v>104</v>
      </c>
      <c r="CC486" s="1" t="s">
        <v>104</v>
      </c>
      <c r="CD486" s="1">
        <v>3</v>
      </c>
      <c r="CE486" s="1" t="s">
        <v>104</v>
      </c>
      <c r="CF486" s="1" t="s">
        <v>104</v>
      </c>
      <c r="CG486" s="1" t="s">
        <v>104</v>
      </c>
      <c r="CH486" s="1" t="s">
        <v>104</v>
      </c>
      <c r="CJ486" s="1">
        <v>0</v>
      </c>
      <c r="CK486" s="1">
        <v>0</v>
      </c>
      <c r="CL486" s="1">
        <v>0</v>
      </c>
      <c r="CM486" s="1" t="s">
        <v>104</v>
      </c>
    </row>
    <row r="487" spans="1:91" ht="14.25" customHeight="1" x14ac:dyDescent="0.3">
      <c r="A487" s="1" t="s">
        <v>3382</v>
      </c>
      <c r="B487" s="1" t="s">
        <v>434</v>
      </c>
      <c r="D487" s="1" t="s">
        <v>52</v>
      </c>
      <c r="E487" s="1" t="s">
        <v>3383</v>
      </c>
      <c r="F487" s="1" t="s">
        <v>95</v>
      </c>
      <c r="G487" s="1" t="s">
        <v>116</v>
      </c>
      <c r="H487" s="1">
        <v>0</v>
      </c>
      <c r="I487" s="1" t="s">
        <v>128</v>
      </c>
      <c r="L487" s="1" t="s">
        <v>2630</v>
      </c>
      <c r="M487" s="1" t="s">
        <v>119</v>
      </c>
      <c r="N487" s="1">
        <v>0</v>
      </c>
      <c r="O487" s="1">
        <v>0</v>
      </c>
      <c r="P487" s="1" t="s">
        <v>100</v>
      </c>
      <c r="Q487" s="1" t="s">
        <v>184</v>
      </c>
      <c r="R487" s="1" t="s">
        <v>3384</v>
      </c>
      <c r="S487" s="1" t="s">
        <v>103</v>
      </c>
      <c r="T487" s="1">
        <v>1</v>
      </c>
      <c r="U487" s="1">
        <v>1</v>
      </c>
      <c r="V487" s="1">
        <v>0</v>
      </c>
      <c r="W487" s="1">
        <v>0</v>
      </c>
      <c r="X487" s="1">
        <v>0</v>
      </c>
      <c r="Y487" s="1">
        <v>1</v>
      </c>
      <c r="Z487" s="1">
        <v>1</v>
      </c>
      <c r="AA487" s="1" t="s">
        <v>104</v>
      </c>
      <c r="AB487" s="1" t="s">
        <v>104</v>
      </c>
      <c r="AC487" s="1" t="s">
        <v>104</v>
      </c>
      <c r="AD487" s="1" t="s">
        <v>104</v>
      </c>
      <c r="AE487" s="1" t="s">
        <v>104</v>
      </c>
      <c r="AF487" s="1" t="s">
        <v>104</v>
      </c>
      <c r="AG487" s="1" t="s">
        <v>104</v>
      </c>
      <c r="AH487" s="1" t="s">
        <v>104</v>
      </c>
      <c r="AI487" s="1" t="s">
        <v>104</v>
      </c>
      <c r="AJ487" s="1" t="s">
        <v>104</v>
      </c>
      <c r="AK487" s="1" t="s">
        <v>104</v>
      </c>
      <c r="AL487" s="1">
        <v>1</v>
      </c>
      <c r="AM487" s="1" t="s">
        <v>104</v>
      </c>
      <c r="AO487" s="1">
        <v>1</v>
      </c>
      <c r="AQ487" s="1" t="s">
        <v>3385</v>
      </c>
      <c r="AR487" s="1">
        <v>0</v>
      </c>
      <c r="AS487" s="1">
        <v>0</v>
      </c>
      <c r="AT487" s="1">
        <v>0</v>
      </c>
      <c r="AU487" s="1">
        <v>0</v>
      </c>
      <c r="AV487" s="1">
        <v>0</v>
      </c>
      <c r="AW487" s="1">
        <v>0</v>
      </c>
      <c r="AX487" s="1">
        <v>0</v>
      </c>
      <c r="AY487" s="1">
        <v>0</v>
      </c>
      <c r="AZ487" s="1">
        <v>0</v>
      </c>
      <c r="BA487" s="1">
        <v>1</v>
      </c>
      <c r="BB487" s="1">
        <v>0</v>
      </c>
      <c r="BC487" s="1">
        <v>0</v>
      </c>
      <c r="BD487" s="1">
        <v>0</v>
      </c>
      <c r="BE487" s="1">
        <v>0</v>
      </c>
      <c r="BF487" s="1">
        <v>0</v>
      </c>
      <c r="BG487" s="1">
        <v>0</v>
      </c>
      <c r="BH487" s="1">
        <v>0</v>
      </c>
      <c r="BI487" s="1">
        <v>0</v>
      </c>
      <c r="BJ487" s="1">
        <v>0</v>
      </c>
      <c r="BK487" s="1">
        <v>0</v>
      </c>
      <c r="BL487" s="1">
        <v>0</v>
      </c>
      <c r="BM487" s="1">
        <v>0</v>
      </c>
      <c r="BN487" s="1">
        <v>0</v>
      </c>
      <c r="BO487" s="1">
        <v>0</v>
      </c>
      <c r="BP487" s="1">
        <v>0</v>
      </c>
      <c r="BQ487" s="2" t="str">
        <f>HYPERLINK("http://www.d20pfsrd.com/magic/all-spells/s/shocking-grasp","Shocking Grasp")</f>
        <v>Shocking Grasp</v>
      </c>
      <c r="BR487" s="1">
        <v>488</v>
      </c>
      <c r="BS487" s="1" t="s">
        <v>104</v>
      </c>
      <c r="BT487" s="1" t="s">
        <v>3386</v>
      </c>
      <c r="BU487" s="1" t="s">
        <v>3387</v>
      </c>
      <c r="BV487" s="1" t="s">
        <v>3388</v>
      </c>
      <c r="BW487" s="1" t="s">
        <v>3389</v>
      </c>
      <c r="BX487" s="1">
        <v>1</v>
      </c>
      <c r="BY487" s="1">
        <v>1</v>
      </c>
      <c r="BZ487" s="1" t="s">
        <v>104</v>
      </c>
      <c r="CA487" s="1" t="s">
        <v>104</v>
      </c>
      <c r="CB487" s="1" t="s">
        <v>104</v>
      </c>
      <c r="CC487" s="1" t="s">
        <v>104</v>
      </c>
      <c r="CD487" s="1">
        <v>1</v>
      </c>
      <c r="CE487" s="1" t="s">
        <v>104</v>
      </c>
      <c r="CF487" s="1" t="s">
        <v>104</v>
      </c>
      <c r="CG487" s="1" t="s">
        <v>104</v>
      </c>
      <c r="CH487" s="1" t="s">
        <v>104</v>
      </c>
      <c r="CJ487" s="1">
        <v>0</v>
      </c>
      <c r="CK487" s="1">
        <v>0</v>
      </c>
      <c r="CL487" s="1">
        <v>0</v>
      </c>
      <c r="CM487" s="1" t="s">
        <v>104</v>
      </c>
    </row>
    <row r="488" spans="1:91" ht="14.25" customHeight="1" x14ac:dyDescent="0.3">
      <c r="A488" s="1" t="s">
        <v>3390</v>
      </c>
      <c r="B488" s="1" t="s">
        <v>434</v>
      </c>
      <c r="D488" s="1" t="s">
        <v>66</v>
      </c>
      <c r="E488" s="1" t="s">
        <v>3391</v>
      </c>
      <c r="F488" s="1" t="s">
        <v>95</v>
      </c>
      <c r="G488" s="1" t="s">
        <v>237</v>
      </c>
      <c r="H488" s="1">
        <v>0</v>
      </c>
      <c r="I488" s="1" t="s">
        <v>914</v>
      </c>
      <c r="J488" s="1" t="s">
        <v>549</v>
      </c>
      <c r="M488" s="1" t="s">
        <v>119</v>
      </c>
      <c r="N488" s="1">
        <v>0</v>
      </c>
      <c r="O488" s="1">
        <v>0</v>
      </c>
      <c r="P488" s="1" t="s">
        <v>3392</v>
      </c>
      <c r="Q488" s="1" t="s">
        <v>472</v>
      </c>
      <c r="R488" s="1" t="s">
        <v>3393</v>
      </c>
      <c r="S488" s="1" t="s">
        <v>103</v>
      </c>
      <c r="T488" s="1">
        <v>1</v>
      </c>
      <c r="U488" s="1">
        <v>0</v>
      </c>
      <c r="V488" s="1">
        <v>0</v>
      </c>
      <c r="W488" s="1">
        <v>0</v>
      </c>
      <c r="X488" s="1">
        <v>0</v>
      </c>
      <c r="Y488" s="1">
        <v>4</v>
      </c>
      <c r="Z488" s="1">
        <v>4</v>
      </c>
      <c r="AA488" s="1" t="s">
        <v>104</v>
      </c>
      <c r="AB488" s="1" t="s">
        <v>104</v>
      </c>
      <c r="AC488" s="1" t="s">
        <v>104</v>
      </c>
      <c r="AD488" s="1">
        <v>4</v>
      </c>
      <c r="AE488" s="1" t="s">
        <v>104</v>
      </c>
      <c r="AF488" s="1" t="s">
        <v>104</v>
      </c>
      <c r="AG488" s="1" t="s">
        <v>104</v>
      </c>
      <c r="AH488" s="1" t="s">
        <v>104</v>
      </c>
      <c r="AI488" s="1" t="s">
        <v>104</v>
      </c>
      <c r="AJ488" s="1" t="s">
        <v>104</v>
      </c>
      <c r="AK488" s="1" t="s">
        <v>104</v>
      </c>
      <c r="AL488" s="1">
        <v>4</v>
      </c>
      <c r="AM488" s="1" t="s">
        <v>104</v>
      </c>
      <c r="AO488" s="1">
        <v>4</v>
      </c>
      <c r="AP488" s="1" t="s">
        <v>3394</v>
      </c>
      <c r="AQ488" s="1" t="s">
        <v>3395</v>
      </c>
      <c r="AR488" s="1">
        <v>0</v>
      </c>
      <c r="AS488" s="1">
        <v>0</v>
      </c>
      <c r="AT488" s="1">
        <v>0</v>
      </c>
      <c r="AU488" s="1">
        <v>0</v>
      </c>
      <c r="AV488" s="1">
        <v>0</v>
      </c>
      <c r="AW488" s="1">
        <v>0</v>
      </c>
      <c r="AX488" s="1">
        <v>0</v>
      </c>
      <c r="AY488" s="1">
        <v>0</v>
      </c>
      <c r="AZ488" s="1">
        <v>0</v>
      </c>
      <c r="BA488" s="1">
        <v>0</v>
      </c>
      <c r="BB488" s="1">
        <v>0</v>
      </c>
      <c r="BC488" s="1">
        <v>0</v>
      </c>
      <c r="BD488" s="1">
        <v>0</v>
      </c>
      <c r="BE488" s="1">
        <v>0</v>
      </c>
      <c r="BF488" s="1">
        <v>0</v>
      </c>
      <c r="BG488" s="1">
        <v>0</v>
      </c>
      <c r="BH488" s="1">
        <v>0</v>
      </c>
      <c r="BI488" s="1">
        <v>0</v>
      </c>
      <c r="BJ488" s="1">
        <v>0</v>
      </c>
      <c r="BK488" s="1">
        <v>0</v>
      </c>
      <c r="BL488" s="1">
        <v>0</v>
      </c>
      <c r="BM488" s="1">
        <v>0</v>
      </c>
      <c r="BN488" s="1">
        <v>0</v>
      </c>
      <c r="BO488" s="1">
        <v>1</v>
      </c>
      <c r="BP488" s="1">
        <v>0</v>
      </c>
      <c r="BQ488" s="2" t="str">
        <f>HYPERLINK("http://www.d20pfsrd.com/magic/all-spells/s/shout","Shout")</f>
        <v>Shout</v>
      </c>
      <c r="BR488" s="1">
        <v>489</v>
      </c>
      <c r="BS488" s="1" t="s">
        <v>104</v>
      </c>
      <c r="BT488" s="1" t="s">
        <v>3396</v>
      </c>
      <c r="BU488" s="1" t="s">
        <v>3397</v>
      </c>
      <c r="BV488" s="1" t="s">
        <v>3398</v>
      </c>
      <c r="BX488" s="1">
        <v>1</v>
      </c>
      <c r="BY488" s="1">
        <v>4</v>
      </c>
      <c r="BZ488" s="1" t="s">
        <v>104</v>
      </c>
      <c r="CA488" s="1">
        <v>4</v>
      </c>
      <c r="CB488" s="1" t="s">
        <v>104</v>
      </c>
      <c r="CC488" s="1" t="s">
        <v>104</v>
      </c>
      <c r="CD488" s="1">
        <v>4</v>
      </c>
      <c r="CE488" s="1" t="s">
        <v>104</v>
      </c>
      <c r="CF488" s="1" t="s">
        <v>104</v>
      </c>
      <c r="CG488" s="1" t="s">
        <v>104</v>
      </c>
      <c r="CH488" s="1" t="s">
        <v>104</v>
      </c>
      <c r="CJ488" s="1">
        <v>0</v>
      </c>
      <c r="CK488" s="1">
        <v>0</v>
      </c>
      <c r="CL488" s="1">
        <v>0</v>
      </c>
      <c r="CM488" s="1" t="s">
        <v>104</v>
      </c>
    </row>
    <row r="489" spans="1:91" ht="14.25" customHeight="1" x14ac:dyDescent="0.3">
      <c r="A489" s="1" t="s">
        <v>3399</v>
      </c>
      <c r="B489" s="1" t="s">
        <v>434</v>
      </c>
      <c r="D489" s="1" t="s">
        <v>66</v>
      </c>
      <c r="E489" s="1" t="s">
        <v>3400</v>
      </c>
      <c r="F489" s="1" t="s">
        <v>95</v>
      </c>
      <c r="G489" s="1" t="s">
        <v>3401</v>
      </c>
      <c r="H489" s="1">
        <v>0</v>
      </c>
      <c r="I489" s="1" t="s">
        <v>776</v>
      </c>
      <c r="J489" s="1" t="s">
        <v>549</v>
      </c>
      <c r="M489" s="1" t="s">
        <v>119</v>
      </c>
      <c r="N489" s="1">
        <v>0</v>
      </c>
      <c r="O489" s="1">
        <v>0</v>
      </c>
      <c r="P489" s="1" t="s">
        <v>3392</v>
      </c>
      <c r="Q489" s="1" t="s">
        <v>472</v>
      </c>
      <c r="R489" s="1" t="s">
        <v>3402</v>
      </c>
      <c r="S489" s="1" t="s">
        <v>103</v>
      </c>
      <c r="T489" s="1">
        <v>1</v>
      </c>
      <c r="U489" s="1">
        <v>1</v>
      </c>
      <c r="V489" s="1">
        <v>0</v>
      </c>
      <c r="W489" s="1">
        <v>1</v>
      </c>
      <c r="X489" s="1">
        <v>0</v>
      </c>
      <c r="Y489" s="1">
        <v>8</v>
      </c>
      <c r="Z489" s="1">
        <v>8</v>
      </c>
      <c r="AA489" s="1" t="s">
        <v>104</v>
      </c>
      <c r="AB489" s="1" t="s">
        <v>104</v>
      </c>
      <c r="AC489" s="1" t="s">
        <v>104</v>
      </c>
      <c r="AD489" s="1">
        <v>6</v>
      </c>
      <c r="AE489" s="1" t="s">
        <v>104</v>
      </c>
      <c r="AF489" s="1" t="s">
        <v>104</v>
      </c>
      <c r="AG489" s="1" t="s">
        <v>104</v>
      </c>
      <c r="AH489" s="1" t="s">
        <v>104</v>
      </c>
      <c r="AI489" s="1" t="s">
        <v>104</v>
      </c>
      <c r="AJ489" s="1" t="s">
        <v>104</v>
      </c>
      <c r="AK489" s="1" t="s">
        <v>104</v>
      </c>
      <c r="AL489" s="1" t="s">
        <v>104</v>
      </c>
      <c r="AM489" s="1" t="s">
        <v>104</v>
      </c>
      <c r="AO489" s="1">
        <v>8</v>
      </c>
      <c r="AQ489" s="1" t="s">
        <v>3403</v>
      </c>
      <c r="AR489" s="1">
        <v>0</v>
      </c>
      <c r="AS489" s="1">
        <v>0</v>
      </c>
      <c r="AT489" s="1">
        <v>0</v>
      </c>
      <c r="AU489" s="1">
        <v>0</v>
      </c>
      <c r="AV489" s="1">
        <v>0</v>
      </c>
      <c r="AW489" s="1">
        <v>0</v>
      </c>
      <c r="AX489" s="1">
        <v>0</v>
      </c>
      <c r="AY489" s="1">
        <v>0</v>
      </c>
      <c r="AZ489" s="1">
        <v>0</v>
      </c>
      <c r="BA489" s="1">
        <v>0</v>
      </c>
      <c r="BB489" s="1">
        <v>0</v>
      </c>
      <c r="BC489" s="1">
        <v>0</v>
      </c>
      <c r="BD489" s="1">
        <v>0</v>
      </c>
      <c r="BE489" s="1">
        <v>0</v>
      </c>
      <c r="BF489" s="1">
        <v>0</v>
      </c>
      <c r="BG489" s="1">
        <v>0</v>
      </c>
      <c r="BH489" s="1">
        <v>0</v>
      </c>
      <c r="BI489" s="1">
        <v>0</v>
      </c>
      <c r="BJ489" s="1">
        <v>0</v>
      </c>
      <c r="BK489" s="1">
        <v>0</v>
      </c>
      <c r="BL489" s="1">
        <v>0</v>
      </c>
      <c r="BM489" s="1">
        <v>0</v>
      </c>
      <c r="BN489" s="1">
        <v>0</v>
      </c>
      <c r="BO489" s="1">
        <v>1</v>
      </c>
      <c r="BP489" s="1">
        <v>0</v>
      </c>
      <c r="BQ489" s="2" t="str">
        <f>HYPERLINK("http://www.d20pfsrd.com/magic/all-spells/s/shout","Shout, Greater")</f>
        <v>Shout, Greater</v>
      </c>
      <c r="BR489" s="1">
        <v>490</v>
      </c>
      <c r="BS489" s="1" t="s">
        <v>104</v>
      </c>
      <c r="BT489" s="1" t="s">
        <v>3404</v>
      </c>
      <c r="BX489" s="1">
        <v>0</v>
      </c>
      <c r="BY489" s="1" t="s">
        <v>104</v>
      </c>
      <c r="BZ489" s="1" t="s">
        <v>104</v>
      </c>
      <c r="CA489" s="1">
        <v>8</v>
      </c>
      <c r="CB489" s="1" t="s">
        <v>104</v>
      </c>
      <c r="CC489" s="1" t="s">
        <v>104</v>
      </c>
      <c r="CD489" s="1" t="s">
        <v>104</v>
      </c>
      <c r="CE489" s="1" t="s">
        <v>104</v>
      </c>
      <c r="CF489" s="1" t="s">
        <v>104</v>
      </c>
      <c r="CG489" s="1" t="s">
        <v>104</v>
      </c>
      <c r="CH489" s="1" t="s">
        <v>104</v>
      </c>
      <c r="CJ489" s="1">
        <v>0</v>
      </c>
      <c r="CK489" s="1">
        <v>0</v>
      </c>
      <c r="CL489" s="1">
        <v>0</v>
      </c>
      <c r="CM489" s="1" t="s">
        <v>104</v>
      </c>
    </row>
    <row r="490" spans="1:91" ht="14.25" customHeight="1" x14ac:dyDescent="0.3">
      <c r="A490" s="1" t="s">
        <v>3405</v>
      </c>
      <c r="B490" s="1" t="s">
        <v>507</v>
      </c>
      <c r="C490" s="1" t="s">
        <v>508</v>
      </c>
      <c r="E490" s="1" t="s">
        <v>3406</v>
      </c>
      <c r="F490" s="1" t="s">
        <v>255</v>
      </c>
      <c r="G490" s="1" t="s">
        <v>116</v>
      </c>
      <c r="H490" s="1">
        <v>0</v>
      </c>
      <c r="I490" s="1" t="s">
        <v>97</v>
      </c>
      <c r="J490" s="1" t="s">
        <v>3407</v>
      </c>
      <c r="M490" s="1" t="s">
        <v>426</v>
      </c>
      <c r="N490" s="1">
        <v>1</v>
      </c>
      <c r="O490" s="1">
        <v>0</v>
      </c>
      <c r="P490" s="1" t="s">
        <v>3408</v>
      </c>
      <c r="Q490" s="1" t="s">
        <v>3409</v>
      </c>
      <c r="R490" s="1" t="s">
        <v>3410</v>
      </c>
      <c r="S490" s="1" t="s">
        <v>103</v>
      </c>
      <c r="T490" s="1">
        <v>1</v>
      </c>
      <c r="U490" s="1">
        <v>1</v>
      </c>
      <c r="V490" s="1">
        <v>0</v>
      </c>
      <c r="W490" s="1">
        <v>0</v>
      </c>
      <c r="X490" s="1">
        <v>0</v>
      </c>
      <c r="Y490" s="1" t="s">
        <v>104</v>
      </c>
      <c r="Z490" s="1" t="s">
        <v>104</v>
      </c>
      <c r="AA490" s="1">
        <v>2</v>
      </c>
      <c r="AB490" s="1" t="s">
        <v>104</v>
      </c>
      <c r="AC490" s="1" t="s">
        <v>104</v>
      </c>
      <c r="AD490" s="1">
        <v>2</v>
      </c>
      <c r="AE490" s="1" t="s">
        <v>104</v>
      </c>
      <c r="AF490" s="1" t="s">
        <v>104</v>
      </c>
      <c r="AG490" s="1" t="s">
        <v>104</v>
      </c>
      <c r="AH490" s="1" t="s">
        <v>104</v>
      </c>
      <c r="AI490" s="1">
        <v>2</v>
      </c>
      <c r="AJ490" s="1">
        <v>2</v>
      </c>
      <c r="AK490" s="1">
        <v>2</v>
      </c>
      <c r="AL490" s="1" t="s">
        <v>104</v>
      </c>
      <c r="AM490" s="1" t="s">
        <v>104</v>
      </c>
      <c r="AO490" s="1">
        <v>2</v>
      </c>
      <c r="AP490" s="1" t="s">
        <v>3411</v>
      </c>
      <c r="AQ490" s="1" t="s">
        <v>3412</v>
      </c>
      <c r="AR490" s="1">
        <v>0</v>
      </c>
      <c r="AS490" s="1">
        <v>0</v>
      </c>
      <c r="AT490" s="1">
        <v>0</v>
      </c>
      <c r="AU490" s="1">
        <v>0</v>
      </c>
      <c r="AV490" s="1">
        <v>0</v>
      </c>
      <c r="AW490" s="1">
        <v>0</v>
      </c>
      <c r="AX490" s="1">
        <v>0</v>
      </c>
      <c r="AY490" s="1">
        <v>0</v>
      </c>
      <c r="AZ490" s="1">
        <v>0</v>
      </c>
      <c r="BA490" s="1">
        <v>0</v>
      </c>
      <c r="BB490" s="1">
        <v>0</v>
      </c>
      <c r="BC490" s="1">
        <v>0</v>
      </c>
      <c r="BD490" s="1">
        <v>0</v>
      </c>
      <c r="BE490" s="1">
        <v>0</v>
      </c>
      <c r="BF490" s="1">
        <v>0</v>
      </c>
      <c r="BG490" s="1">
        <v>0</v>
      </c>
      <c r="BH490" s="1">
        <v>0</v>
      </c>
      <c r="BI490" s="1">
        <v>0</v>
      </c>
      <c r="BJ490" s="1">
        <v>0</v>
      </c>
      <c r="BK490" s="1">
        <v>0</v>
      </c>
      <c r="BL490" s="1">
        <v>0</v>
      </c>
      <c r="BM490" s="1">
        <v>0</v>
      </c>
      <c r="BN490" s="1">
        <v>0</v>
      </c>
      <c r="BO490" s="1">
        <v>0</v>
      </c>
      <c r="BP490" s="1">
        <v>0</v>
      </c>
      <c r="BQ490" s="2" t="str">
        <f>HYPERLINK("http://www.d20pfsrd.com/magic/all-spells/s/silence","Silence")</f>
        <v>Silence</v>
      </c>
      <c r="BR490" s="1">
        <v>491</v>
      </c>
      <c r="BS490" s="1" t="s">
        <v>104</v>
      </c>
      <c r="BU490" s="1" t="s">
        <v>3413</v>
      </c>
      <c r="BV490" s="1" t="s">
        <v>3414</v>
      </c>
      <c r="BX490" s="1">
        <v>1</v>
      </c>
      <c r="BY490" s="1" t="s">
        <v>104</v>
      </c>
      <c r="BZ490" s="1" t="s">
        <v>104</v>
      </c>
      <c r="CA490" s="1">
        <v>2</v>
      </c>
      <c r="CB490" s="1" t="s">
        <v>104</v>
      </c>
      <c r="CC490" s="1">
        <v>2</v>
      </c>
      <c r="CD490" s="1" t="s">
        <v>104</v>
      </c>
      <c r="CE490" s="1" t="s">
        <v>104</v>
      </c>
      <c r="CF490" s="1" t="s">
        <v>104</v>
      </c>
      <c r="CG490" s="1" t="s">
        <v>104</v>
      </c>
      <c r="CH490" s="1" t="s">
        <v>104</v>
      </c>
      <c r="CJ490" s="1">
        <v>0</v>
      </c>
      <c r="CK490" s="1">
        <v>0</v>
      </c>
      <c r="CL490" s="1">
        <v>0</v>
      </c>
      <c r="CM490" s="1" t="s">
        <v>104</v>
      </c>
    </row>
    <row r="491" spans="1:91" ht="14.25" customHeight="1" x14ac:dyDescent="0.3">
      <c r="A491" s="1" t="s">
        <v>3415</v>
      </c>
      <c r="B491" s="1" t="s">
        <v>507</v>
      </c>
      <c r="C491" s="1" t="s">
        <v>1767</v>
      </c>
      <c r="E491" s="1" t="s">
        <v>3416</v>
      </c>
      <c r="F491" s="1" t="s">
        <v>95</v>
      </c>
      <c r="G491" s="1" t="s">
        <v>2469</v>
      </c>
      <c r="H491" s="1">
        <v>0</v>
      </c>
      <c r="I491" s="1" t="s">
        <v>97</v>
      </c>
      <c r="K491" s="1" t="s">
        <v>3417</v>
      </c>
      <c r="M491" s="1" t="s">
        <v>210</v>
      </c>
      <c r="N491" s="1">
        <v>0</v>
      </c>
      <c r="O491" s="1">
        <v>0</v>
      </c>
      <c r="P491" s="1" t="s">
        <v>1894</v>
      </c>
      <c r="Q491" s="1" t="s">
        <v>101</v>
      </c>
      <c r="R491" s="1" t="s">
        <v>3418</v>
      </c>
      <c r="S491" s="1" t="s">
        <v>103</v>
      </c>
      <c r="T491" s="1">
        <v>1</v>
      </c>
      <c r="U491" s="1">
        <v>1</v>
      </c>
      <c r="V491" s="1">
        <v>0</v>
      </c>
      <c r="W491" s="1">
        <v>0</v>
      </c>
      <c r="X491" s="1">
        <v>0</v>
      </c>
      <c r="Y491" s="1">
        <v>1</v>
      </c>
      <c r="Z491" s="1">
        <v>1</v>
      </c>
      <c r="AA491" s="1" t="s">
        <v>104</v>
      </c>
      <c r="AB491" s="1" t="s">
        <v>104</v>
      </c>
      <c r="AC491" s="1" t="s">
        <v>104</v>
      </c>
      <c r="AD491" s="1">
        <v>1</v>
      </c>
      <c r="AE491" s="1" t="s">
        <v>104</v>
      </c>
      <c r="AF491" s="1" t="s">
        <v>104</v>
      </c>
      <c r="AG491" s="1" t="s">
        <v>104</v>
      </c>
      <c r="AH491" s="1" t="s">
        <v>104</v>
      </c>
      <c r="AI491" s="1" t="s">
        <v>104</v>
      </c>
      <c r="AJ491" s="1" t="s">
        <v>104</v>
      </c>
      <c r="AK491" s="1" t="s">
        <v>104</v>
      </c>
      <c r="AL491" s="1">
        <v>1</v>
      </c>
      <c r="AM491" s="1" t="s">
        <v>104</v>
      </c>
      <c r="AO491" s="1">
        <v>1</v>
      </c>
      <c r="AP491" s="1" t="s">
        <v>3419</v>
      </c>
      <c r="AQ491" s="1" t="s">
        <v>3420</v>
      </c>
      <c r="AR491" s="1">
        <v>0</v>
      </c>
      <c r="AS491" s="1">
        <v>0</v>
      </c>
      <c r="AT491" s="1">
        <v>0</v>
      </c>
      <c r="AU491" s="1">
        <v>0</v>
      </c>
      <c r="AV491" s="1">
        <v>0</v>
      </c>
      <c r="AW491" s="1">
        <v>0</v>
      </c>
      <c r="AX491" s="1">
        <v>0</v>
      </c>
      <c r="AY491" s="1">
        <v>0</v>
      </c>
      <c r="AZ491" s="1">
        <v>0</v>
      </c>
      <c r="BA491" s="1">
        <v>0</v>
      </c>
      <c r="BB491" s="1">
        <v>0</v>
      </c>
      <c r="BC491" s="1">
        <v>0</v>
      </c>
      <c r="BD491" s="1">
        <v>0</v>
      </c>
      <c r="BE491" s="1">
        <v>0</v>
      </c>
      <c r="BF491" s="1">
        <v>0</v>
      </c>
      <c r="BG491" s="1">
        <v>0</v>
      </c>
      <c r="BH491" s="1">
        <v>0</v>
      </c>
      <c r="BI491" s="1">
        <v>0</v>
      </c>
      <c r="BJ491" s="1">
        <v>0</v>
      </c>
      <c r="BK491" s="1">
        <v>0</v>
      </c>
      <c r="BL491" s="1">
        <v>0</v>
      </c>
      <c r="BM491" s="1">
        <v>0</v>
      </c>
      <c r="BN491" s="1">
        <v>0</v>
      </c>
      <c r="BO491" s="1">
        <v>0</v>
      </c>
      <c r="BP491" s="1">
        <v>0</v>
      </c>
      <c r="BQ491" s="2" t="str">
        <f>HYPERLINK("http://www.d20pfsrd.com/magic/all-spells/s/silent-image","Silent Image")</f>
        <v>Silent Image</v>
      </c>
      <c r="BR491" s="1">
        <v>492</v>
      </c>
      <c r="BS491" s="1" t="s">
        <v>104</v>
      </c>
      <c r="BU491" s="1" t="s">
        <v>3421</v>
      </c>
      <c r="BV491" s="1" t="s">
        <v>3422</v>
      </c>
      <c r="BW491" s="1" t="s">
        <v>3423</v>
      </c>
      <c r="BX491" s="1">
        <v>1</v>
      </c>
      <c r="BY491" s="1" t="s">
        <v>104</v>
      </c>
      <c r="BZ491" s="1" t="s">
        <v>104</v>
      </c>
      <c r="CA491" s="1">
        <v>1</v>
      </c>
      <c r="CB491" s="1">
        <v>1</v>
      </c>
      <c r="CC491" s="1">
        <v>1</v>
      </c>
      <c r="CD491" s="1">
        <v>1</v>
      </c>
      <c r="CE491" s="1" t="s">
        <v>104</v>
      </c>
      <c r="CF491" s="1" t="s">
        <v>104</v>
      </c>
      <c r="CG491" s="1" t="s">
        <v>104</v>
      </c>
      <c r="CH491" s="1" t="s">
        <v>104</v>
      </c>
      <c r="CJ491" s="1">
        <v>0</v>
      </c>
      <c r="CK491" s="1">
        <v>0</v>
      </c>
      <c r="CL491" s="1">
        <v>0</v>
      </c>
      <c r="CM491" s="1" t="s">
        <v>104</v>
      </c>
    </row>
    <row r="492" spans="1:91" ht="14.25" customHeight="1" x14ac:dyDescent="0.3">
      <c r="A492" s="1" t="s">
        <v>3424</v>
      </c>
      <c r="B492" s="1" t="s">
        <v>507</v>
      </c>
      <c r="C492" s="1" t="s">
        <v>65</v>
      </c>
      <c r="E492" s="1" t="s">
        <v>3425</v>
      </c>
      <c r="F492" s="1" t="s">
        <v>3260</v>
      </c>
      <c r="G492" s="1" t="s">
        <v>3426</v>
      </c>
      <c r="H492" s="1">
        <v>1</v>
      </c>
      <c r="I492" s="1" t="s">
        <v>705</v>
      </c>
      <c r="K492" s="1" t="s">
        <v>3427</v>
      </c>
      <c r="M492" s="1" t="s">
        <v>119</v>
      </c>
      <c r="N492" s="1">
        <v>0</v>
      </c>
      <c r="O492" s="1">
        <v>0</v>
      </c>
      <c r="P492" s="1" t="s">
        <v>100</v>
      </c>
      <c r="Q492" s="1" t="s">
        <v>101</v>
      </c>
      <c r="R492" s="1" t="s">
        <v>3428</v>
      </c>
      <c r="S492" s="1" t="s">
        <v>103</v>
      </c>
      <c r="T492" s="1">
        <v>1</v>
      </c>
      <c r="U492" s="1">
        <v>1</v>
      </c>
      <c r="V492" s="1">
        <v>1</v>
      </c>
      <c r="W492" s="1">
        <v>0</v>
      </c>
      <c r="X492" s="1">
        <v>0</v>
      </c>
      <c r="Y492" s="1">
        <v>7</v>
      </c>
      <c r="Z492" s="1">
        <v>7</v>
      </c>
      <c r="AA492" s="1" t="s">
        <v>104</v>
      </c>
      <c r="AB492" s="1" t="s">
        <v>104</v>
      </c>
      <c r="AC492" s="1" t="s">
        <v>104</v>
      </c>
      <c r="AD492" s="1" t="s">
        <v>104</v>
      </c>
      <c r="AE492" s="1" t="s">
        <v>104</v>
      </c>
      <c r="AF492" s="1" t="s">
        <v>104</v>
      </c>
      <c r="AG492" s="1">
        <v>5</v>
      </c>
      <c r="AH492" s="1" t="s">
        <v>104</v>
      </c>
      <c r="AI492" s="1" t="s">
        <v>104</v>
      </c>
      <c r="AJ492" s="1" t="s">
        <v>104</v>
      </c>
      <c r="AK492" s="1" t="s">
        <v>104</v>
      </c>
      <c r="AL492" s="1" t="s">
        <v>104</v>
      </c>
      <c r="AM492" s="1" t="s">
        <v>104</v>
      </c>
      <c r="AO492" s="1">
        <v>7</v>
      </c>
      <c r="AQ492" s="1" t="s">
        <v>3429</v>
      </c>
      <c r="AR492" s="1">
        <v>0</v>
      </c>
      <c r="AS492" s="1">
        <v>0</v>
      </c>
      <c r="AT492" s="1">
        <v>0</v>
      </c>
      <c r="AU492" s="1">
        <v>0</v>
      </c>
      <c r="AV492" s="1">
        <v>0</v>
      </c>
      <c r="AW492" s="1">
        <v>0</v>
      </c>
      <c r="AX492" s="1">
        <v>0</v>
      </c>
      <c r="AY492" s="1">
        <v>0</v>
      </c>
      <c r="AZ492" s="1">
        <v>0</v>
      </c>
      <c r="BA492" s="1">
        <v>0</v>
      </c>
      <c r="BB492" s="1">
        <v>0</v>
      </c>
      <c r="BC492" s="1">
        <v>0</v>
      </c>
      <c r="BD492" s="1">
        <v>0</v>
      </c>
      <c r="BE492" s="1">
        <v>0</v>
      </c>
      <c r="BF492" s="1">
        <v>0</v>
      </c>
      <c r="BG492" s="1">
        <v>0</v>
      </c>
      <c r="BH492" s="1">
        <v>0</v>
      </c>
      <c r="BI492" s="1">
        <v>0</v>
      </c>
      <c r="BJ492" s="1">
        <v>0</v>
      </c>
      <c r="BK492" s="1">
        <v>0</v>
      </c>
      <c r="BL492" s="1">
        <v>0</v>
      </c>
      <c r="BM492" s="1">
        <v>0</v>
      </c>
      <c r="BN492" s="1">
        <v>0</v>
      </c>
      <c r="BO492" s="1">
        <v>0</v>
      </c>
      <c r="BP492" s="1">
        <v>0</v>
      </c>
      <c r="BQ492" s="2" t="str">
        <f>HYPERLINK("http://www.d20pfsrd.com/magic/all-spells/s/simulacrum","Simulacrum")</f>
        <v>Simulacrum</v>
      </c>
      <c r="BR492" s="1">
        <v>493</v>
      </c>
      <c r="BS492" s="1">
        <v>500</v>
      </c>
      <c r="BX492" s="1">
        <v>0</v>
      </c>
      <c r="BY492" s="1" t="s">
        <v>104</v>
      </c>
      <c r="BZ492" s="1" t="s">
        <v>104</v>
      </c>
      <c r="CA492" s="1">
        <v>7</v>
      </c>
      <c r="CB492" s="1" t="s">
        <v>104</v>
      </c>
      <c r="CC492" s="1" t="s">
        <v>104</v>
      </c>
      <c r="CD492" s="1" t="s">
        <v>104</v>
      </c>
      <c r="CE492" s="1" t="s">
        <v>104</v>
      </c>
      <c r="CF492" s="1" t="s">
        <v>104</v>
      </c>
      <c r="CG492" s="1" t="s">
        <v>104</v>
      </c>
      <c r="CH492" s="1" t="s">
        <v>104</v>
      </c>
      <c r="CJ492" s="1">
        <v>0</v>
      </c>
      <c r="CK492" s="1">
        <v>0</v>
      </c>
      <c r="CL492" s="1">
        <v>0</v>
      </c>
      <c r="CM492" s="1">
        <v>5</v>
      </c>
    </row>
    <row r="493" spans="1:91" ht="14.25" customHeight="1" x14ac:dyDescent="0.3">
      <c r="A493" s="1" t="s">
        <v>3430</v>
      </c>
      <c r="B493" s="1" t="s">
        <v>216</v>
      </c>
      <c r="D493" s="1" t="s">
        <v>49</v>
      </c>
      <c r="E493" s="1" t="s">
        <v>3431</v>
      </c>
      <c r="F493" s="1" t="s">
        <v>95</v>
      </c>
      <c r="G493" s="1" t="s">
        <v>116</v>
      </c>
      <c r="H493" s="1">
        <v>0</v>
      </c>
      <c r="I493" s="1" t="s">
        <v>128</v>
      </c>
      <c r="L493" s="1" t="s">
        <v>129</v>
      </c>
      <c r="M493" s="1" t="s">
        <v>119</v>
      </c>
      <c r="N493" s="1">
        <v>0</v>
      </c>
      <c r="O493" s="1">
        <v>0</v>
      </c>
      <c r="P493" s="1" t="s">
        <v>1080</v>
      </c>
      <c r="Q493" s="1" t="s">
        <v>184</v>
      </c>
      <c r="R493" s="1" t="s">
        <v>3432</v>
      </c>
      <c r="S493" s="1" t="s">
        <v>103</v>
      </c>
      <c r="T493" s="1">
        <v>1</v>
      </c>
      <c r="U493" s="1">
        <v>1</v>
      </c>
      <c r="V493" s="1">
        <v>0</v>
      </c>
      <c r="W493" s="1">
        <v>0</v>
      </c>
      <c r="X493" s="1">
        <v>0</v>
      </c>
      <c r="Y493" s="1" t="s">
        <v>104</v>
      </c>
      <c r="Z493" s="1" t="s">
        <v>104</v>
      </c>
      <c r="AA493" s="1">
        <v>5</v>
      </c>
      <c r="AB493" s="1" t="s">
        <v>104</v>
      </c>
      <c r="AC493" s="1" t="s">
        <v>104</v>
      </c>
      <c r="AD493" s="1" t="s">
        <v>104</v>
      </c>
      <c r="AE493" s="1" t="s">
        <v>104</v>
      </c>
      <c r="AF493" s="1" t="s">
        <v>104</v>
      </c>
      <c r="AG493" s="1" t="s">
        <v>104</v>
      </c>
      <c r="AH493" s="1">
        <v>6</v>
      </c>
      <c r="AI493" s="1" t="s">
        <v>104</v>
      </c>
      <c r="AJ493" s="1">
        <v>5</v>
      </c>
      <c r="AK493" s="1">
        <v>4</v>
      </c>
      <c r="AL493" s="1" t="s">
        <v>104</v>
      </c>
      <c r="AM493" s="1" t="s">
        <v>104</v>
      </c>
      <c r="AO493" s="1">
        <v>5</v>
      </c>
      <c r="AP493" s="1" t="s">
        <v>3433</v>
      </c>
      <c r="AQ493" s="1" t="s">
        <v>3434</v>
      </c>
      <c r="AR493" s="1">
        <v>0</v>
      </c>
      <c r="AS493" s="1">
        <v>0</v>
      </c>
      <c r="AT493" s="1">
        <v>0</v>
      </c>
      <c r="AU493" s="1">
        <v>0</v>
      </c>
      <c r="AV493" s="1">
        <v>0</v>
      </c>
      <c r="AW493" s="1">
        <v>0</v>
      </c>
      <c r="AX493" s="1">
        <v>1</v>
      </c>
      <c r="AY493" s="1">
        <v>0</v>
      </c>
      <c r="AZ493" s="1">
        <v>0</v>
      </c>
      <c r="BA493" s="1">
        <v>0</v>
      </c>
      <c r="BB493" s="1">
        <v>0</v>
      </c>
      <c r="BC493" s="1">
        <v>0</v>
      </c>
      <c r="BD493" s="1">
        <v>0</v>
      </c>
      <c r="BE493" s="1">
        <v>0</v>
      </c>
      <c r="BF493" s="1">
        <v>0</v>
      </c>
      <c r="BG493" s="1">
        <v>0</v>
      </c>
      <c r="BH493" s="1">
        <v>0</v>
      </c>
      <c r="BI493" s="1">
        <v>0</v>
      </c>
      <c r="BJ493" s="1">
        <v>0</v>
      </c>
      <c r="BK493" s="1">
        <v>0</v>
      </c>
      <c r="BL493" s="1">
        <v>0</v>
      </c>
      <c r="BM493" s="1">
        <v>0</v>
      </c>
      <c r="BN493" s="1">
        <v>0</v>
      </c>
      <c r="BO493" s="1">
        <v>0</v>
      </c>
      <c r="BP493" s="1">
        <v>0</v>
      </c>
      <c r="BQ493" s="2" t="str">
        <f>HYPERLINK("http://www.d20pfsrd.com/magic/all-spells/s/slay-living","Slay Living")</f>
        <v>Slay Living</v>
      </c>
      <c r="BR493" s="1">
        <v>494</v>
      </c>
      <c r="BS493" s="1" t="s">
        <v>104</v>
      </c>
      <c r="BX493" s="1">
        <v>0</v>
      </c>
      <c r="BY493" s="1" t="s">
        <v>104</v>
      </c>
      <c r="BZ493" s="1">
        <v>6</v>
      </c>
      <c r="CA493" s="1" t="s">
        <v>104</v>
      </c>
      <c r="CB493" s="1" t="s">
        <v>104</v>
      </c>
      <c r="CC493" s="1" t="s">
        <v>104</v>
      </c>
      <c r="CD493" s="1" t="s">
        <v>104</v>
      </c>
      <c r="CE493" s="1">
        <v>5</v>
      </c>
      <c r="CF493" s="1" t="s">
        <v>104</v>
      </c>
      <c r="CG493" s="1" t="s">
        <v>104</v>
      </c>
      <c r="CH493" s="1" t="s">
        <v>104</v>
      </c>
      <c r="CJ493" s="1">
        <v>0</v>
      </c>
      <c r="CK493" s="1">
        <v>0</v>
      </c>
      <c r="CL493" s="1">
        <v>0</v>
      </c>
      <c r="CM493" s="1" t="s">
        <v>104</v>
      </c>
    </row>
    <row r="494" spans="1:91" ht="14.25" customHeight="1" x14ac:dyDescent="0.3">
      <c r="A494" s="1" t="s">
        <v>3435</v>
      </c>
      <c r="B494" s="1" t="s">
        <v>123</v>
      </c>
      <c r="C494" s="1" t="s">
        <v>124</v>
      </c>
      <c r="D494" s="1" t="s">
        <v>125</v>
      </c>
      <c r="E494" s="1" t="s">
        <v>636</v>
      </c>
      <c r="F494" s="1" t="s">
        <v>255</v>
      </c>
      <c r="G494" s="1" t="s">
        <v>1042</v>
      </c>
      <c r="H494" s="1">
        <v>0</v>
      </c>
      <c r="I494" s="1" t="s">
        <v>109</v>
      </c>
      <c r="J494" s="1" t="s">
        <v>1043</v>
      </c>
      <c r="M494" s="1" t="s">
        <v>130</v>
      </c>
      <c r="N494" s="1">
        <v>0</v>
      </c>
      <c r="O494" s="1">
        <v>0</v>
      </c>
      <c r="P494" s="1" t="s">
        <v>211</v>
      </c>
      <c r="Q494" s="1" t="s">
        <v>184</v>
      </c>
      <c r="R494" s="1" t="s">
        <v>3436</v>
      </c>
      <c r="S494" s="1" t="s">
        <v>103</v>
      </c>
      <c r="T494" s="1">
        <v>1</v>
      </c>
      <c r="U494" s="1">
        <v>1</v>
      </c>
      <c r="V494" s="1">
        <v>1</v>
      </c>
      <c r="W494" s="1">
        <v>0</v>
      </c>
      <c r="X494" s="1">
        <v>0</v>
      </c>
      <c r="Y494" s="1">
        <v>1</v>
      </c>
      <c r="Z494" s="1">
        <v>1</v>
      </c>
      <c r="AA494" s="1" t="s">
        <v>104</v>
      </c>
      <c r="AB494" s="1" t="s">
        <v>104</v>
      </c>
      <c r="AC494" s="1" t="s">
        <v>104</v>
      </c>
      <c r="AD494" s="1">
        <v>1</v>
      </c>
      <c r="AE494" s="1" t="s">
        <v>104</v>
      </c>
      <c r="AF494" s="1" t="s">
        <v>104</v>
      </c>
      <c r="AG494" s="1" t="s">
        <v>104</v>
      </c>
      <c r="AH494" s="1">
        <v>1</v>
      </c>
      <c r="AI494" s="1" t="s">
        <v>104</v>
      </c>
      <c r="AJ494" s="1" t="s">
        <v>104</v>
      </c>
      <c r="AK494" s="1" t="s">
        <v>104</v>
      </c>
      <c r="AL494" s="1" t="s">
        <v>104</v>
      </c>
      <c r="AM494" s="1">
        <v>1</v>
      </c>
      <c r="AO494" s="1">
        <v>1</v>
      </c>
      <c r="AP494" s="1" t="s">
        <v>3437</v>
      </c>
      <c r="AQ494" s="1" t="s">
        <v>3438</v>
      </c>
      <c r="AR494" s="1">
        <v>0</v>
      </c>
      <c r="AS494" s="1">
        <v>0</v>
      </c>
      <c r="AT494" s="1">
        <v>0</v>
      </c>
      <c r="AU494" s="1">
        <v>0</v>
      </c>
      <c r="AV494" s="1">
        <v>0</v>
      </c>
      <c r="AW494" s="1">
        <v>0</v>
      </c>
      <c r="AX494" s="1">
        <v>0</v>
      </c>
      <c r="AY494" s="1">
        <v>0</v>
      </c>
      <c r="AZ494" s="1">
        <v>0</v>
      </c>
      <c r="BA494" s="1">
        <v>0</v>
      </c>
      <c r="BB494" s="1">
        <v>0</v>
      </c>
      <c r="BC494" s="1">
        <v>0</v>
      </c>
      <c r="BD494" s="1">
        <v>0</v>
      </c>
      <c r="BE494" s="1">
        <v>0</v>
      </c>
      <c r="BF494" s="1">
        <v>0</v>
      </c>
      <c r="BG494" s="1">
        <v>0</v>
      </c>
      <c r="BH494" s="1">
        <v>0</v>
      </c>
      <c r="BI494" s="1">
        <v>0</v>
      </c>
      <c r="BJ494" s="1">
        <v>0</v>
      </c>
      <c r="BK494" s="1">
        <v>1</v>
      </c>
      <c r="BL494" s="1">
        <v>0</v>
      </c>
      <c r="BM494" s="1">
        <v>0</v>
      </c>
      <c r="BN494" s="1">
        <v>0</v>
      </c>
      <c r="BO494" s="1">
        <v>0</v>
      </c>
      <c r="BP494" s="1">
        <v>0</v>
      </c>
      <c r="BQ494" s="2" t="str">
        <f>HYPERLINK("http://www.d20pfsrd.com/magic/all-spells/s/sleep","Sleep")</f>
        <v>Sleep</v>
      </c>
      <c r="BR494" s="1">
        <v>495</v>
      </c>
      <c r="BS494" s="1" t="s">
        <v>104</v>
      </c>
      <c r="BT494" s="1" t="s">
        <v>3439</v>
      </c>
      <c r="BV494" s="1" t="s">
        <v>3440</v>
      </c>
      <c r="BW494" s="1" t="s">
        <v>3441</v>
      </c>
      <c r="BX494" s="1">
        <v>1</v>
      </c>
      <c r="BY494" s="1" t="s">
        <v>104</v>
      </c>
      <c r="BZ494" s="1">
        <v>1</v>
      </c>
      <c r="CA494" s="1">
        <v>1</v>
      </c>
      <c r="CB494" s="1" t="s">
        <v>104</v>
      </c>
      <c r="CC494" s="1">
        <v>1</v>
      </c>
      <c r="CD494" s="1">
        <v>1</v>
      </c>
      <c r="CE494" s="1" t="s">
        <v>104</v>
      </c>
      <c r="CF494" s="1" t="s">
        <v>104</v>
      </c>
      <c r="CG494" s="1" t="s">
        <v>104</v>
      </c>
      <c r="CH494" s="1" t="s">
        <v>104</v>
      </c>
      <c r="CJ494" s="1">
        <v>0</v>
      </c>
      <c r="CK494" s="1">
        <v>0</v>
      </c>
      <c r="CL494" s="1">
        <v>0</v>
      </c>
      <c r="CM494" s="1" t="s">
        <v>104</v>
      </c>
    </row>
    <row r="495" spans="1:91" ht="14.25" customHeight="1" x14ac:dyDescent="0.3">
      <c r="A495" s="1" t="s">
        <v>3442</v>
      </c>
      <c r="B495" s="1" t="s">
        <v>92</v>
      </c>
      <c r="C495" s="1" t="s">
        <v>93</v>
      </c>
      <c r="D495" s="1" t="s">
        <v>46</v>
      </c>
      <c r="E495" s="1" t="s">
        <v>3443</v>
      </c>
      <c r="F495" s="1" t="s">
        <v>95</v>
      </c>
      <c r="G495" s="1" t="s">
        <v>2073</v>
      </c>
      <c r="H495" s="1">
        <v>0</v>
      </c>
      <c r="I495" s="1" t="s">
        <v>97</v>
      </c>
      <c r="J495" s="1" t="s">
        <v>3444</v>
      </c>
      <c r="M495" s="1" t="s">
        <v>111</v>
      </c>
      <c r="N495" s="1">
        <v>0</v>
      </c>
      <c r="O495" s="1">
        <v>0</v>
      </c>
      <c r="P495" s="1" t="s">
        <v>100</v>
      </c>
      <c r="Q495" s="1" t="s">
        <v>101</v>
      </c>
      <c r="R495" s="1" t="s">
        <v>3445</v>
      </c>
      <c r="S495" s="1" t="s">
        <v>103</v>
      </c>
      <c r="T495" s="1">
        <v>1</v>
      </c>
      <c r="U495" s="1">
        <v>1</v>
      </c>
      <c r="V495" s="1">
        <v>1</v>
      </c>
      <c r="W495" s="1">
        <v>0</v>
      </c>
      <c r="X495" s="1">
        <v>1</v>
      </c>
      <c r="Y495" s="1">
        <v>3</v>
      </c>
      <c r="Z495" s="1">
        <v>3</v>
      </c>
      <c r="AA495" s="1" t="s">
        <v>104</v>
      </c>
      <c r="AB495" s="1">
        <v>3</v>
      </c>
      <c r="AC495" s="1" t="s">
        <v>104</v>
      </c>
      <c r="AD495" s="1" t="s">
        <v>104</v>
      </c>
      <c r="AE495" s="1" t="s">
        <v>104</v>
      </c>
      <c r="AF495" s="1" t="s">
        <v>104</v>
      </c>
      <c r="AG495" s="1" t="s">
        <v>104</v>
      </c>
      <c r="AH495" s="1">
        <v>3</v>
      </c>
      <c r="AI495" s="1" t="s">
        <v>104</v>
      </c>
      <c r="AJ495" s="1" t="s">
        <v>104</v>
      </c>
      <c r="AK495" s="1" t="s">
        <v>104</v>
      </c>
      <c r="AL495" s="1">
        <v>3</v>
      </c>
      <c r="AM495" s="1" t="s">
        <v>104</v>
      </c>
      <c r="AO495" s="1">
        <v>3</v>
      </c>
      <c r="AP495" s="1" t="s">
        <v>3446</v>
      </c>
      <c r="AQ495" s="1" t="s">
        <v>3447</v>
      </c>
      <c r="AR495" s="1">
        <v>0</v>
      </c>
      <c r="AS495" s="1">
        <v>0</v>
      </c>
      <c r="AT495" s="1">
        <v>0</v>
      </c>
      <c r="AU495" s="1">
        <v>1</v>
      </c>
      <c r="AV495" s="1">
        <v>0</v>
      </c>
      <c r="AW495" s="1">
        <v>0</v>
      </c>
      <c r="AX495" s="1">
        <v>0</v>
      </c>
      <c r="AY495" s="1">
        <v>0</v>
      </c>
      <c r="AZ495" s="1">
        <v>0</v>
      </c>
      <c r="BA495" s="1">
        <v>0</v>
      </c>
      <c r="BB495" s="1">
        <v>0</v>
      </c>
      <c r="BC495" s="1">
        <v>0</v>
      </c>
      <c r="BD495" s="1">
        <v>0</v>
      </c>
      <c r="BE495" s="1">
        <v>0</v>
      </c>
      <c r="BF495" s="1">
        <v>0</v>
      </c>
      <c r="BG495" s="1">
        <v>0</v>
      </c>
      <c r="BH495" s="1">
        <v>0</v>
      </c>
      <c r="BI495" s="1">
        <v>0</v>
      </c>
      <c r="BJ495" s="1">
        <v>0</v>
      </c>
      <c r="BK495" s="1">
        <v>0</v>
      </c>
      <c r="BL495" s="1">
        <v>0</v>
      </c>
      <c r="BM495" s="1">
        <v>0</v>
      </c>
      <c r="BN495" s="1">
        <v>0</v>
      </c>
      <c r="BO495" s="1">
        <v>0</v>
      </c>
      <c r="BP495" s="1">
        <v>0</v>
      </c>
      <c r="BQ495" s="2" t="str">
        <f>HYPERLINK("http://www.d20pfsrd.com/magic/all-spells/s/sleet-storm","Sleet Storm")</f>
        <v>Sleet Storm</v>
      </c>
      <c r="BR495" s="1">
        <v>496</v>
      </c>
      <c r="BS495" s="1" t="s">
        <v>104</v>
      </c>
      <c r="BX495" s="1">
        <v>0</v>
      </c>
      <c r="BY495" s="1">
        <v>3</v>
      </c>
      <c r="BZ495" s="1">
        <v>3</v>
      </c>
      <c r="CA495" s="1" t="s">
        <v>104</v>
      </c>
      <c r="CB495" s="1" t="s">
        <v>104</v>
      </c>
      <c r="CC495" s="1" t="s">
        <v>104</v>
      </c>
      <c r="CD495" s="1" t="s">
        <v>104</v>
      </c>
      <c r="CE495" s="1" t="s">
        <v>104</v>
      </c>
      <c r="CF495" s="1" t="s">
        <v>104</v>
      </c>
      <c r="CG495" s="1" t="s">
        <v>104</v>
      </c>
      <c r="CH495" s="1">
        <v>3</v>
      </c>
      <c r="CJ495" s="1">
        <v>0</v>
      </c>
      <c r="CK495" s="1">
        <v>0</v>
      </c>
      <c r="CL495" s="1">
        <v>0</v>
      </c>
      <c r="CM495" s="1" t="s">
        <v>104</v>
      </c>
    </row>
    <row r="496" spans="1:91" ht="14.25" customHeight="1" x14ac:dyDescent="0.3">
      <c r="A496" s="1" t="s">
        <v>3448</v>
      </c>
      <c r="B496" s="1" t="s">
        <v>137</v>
      </c>
      <c r="E496" s="1" t="s">
        <v>3449</v>
      </c>
      <c r="F496" s="1" t="s">
        <v>95</v>
      </c>
      <c r="G496" s="1" t="s">
        <v>3450</v>
      </c>
      <c r="H496" s="1">
        <v>0</v>
      </c>
      <c r="I496" s="1" t="s">
        <v>117</v>
      </c>
      <c r="L496" s="1" t="s">
        <v>541</v>
      </c>
      <c r="M496" s="1" t="s">
        <v>111</v>
      </c>
      <c r="N496" s="1">
        <v>0</v>
      </c>
      <c r="O496" s="1">
        <v>0</v>
      </c>
      <c r="P496" s="1" t="s">
        <v>211</v>
      </c>
      <c r="Q496" s="1" t="s">
        <v>184</v>
      </c>
      <c r="R496" s="1" t="s">
        <v>3451</v>
      </c>
      <c r="S496" s="1" t="s">
        <v>103</v>
      </c>
      <c r="T496" s="1">
        <v>1</v>
      </c>
      <c r="U496" s="1">
        <v>1</v>
      </c>
      <c r="V496" s="1">
        <v>1</v>
      </c>
      <c r="W496" s="1">
        <v>0</v>
      </c>
      <c r="X496" s="1">
        <v>0</v>
      </c>
      <c r="Y496" s="1">
        <v>3</v>
      </c>
      <c r="Z496" s="1">
        <v>3</v>
      </c>
      <c r="AA496" s="1" t="s">
        <v>104</v>
      </c>
      <c r="AB496" s="1" t="s">
        <v>104</v>
      </c>
      <c r="AC496" s="1" t="s">
        <v>104</v>
      </c>
      <c r="AD496" s="1">
        <v>3</v>
      </c>
      <c r="AE496" s="1" t="s">
        <v>104</v>
      </c>
      <c r="AF496" s="1" t="s">
        <v>104</v>
      </c>
      <c r="AG496" s="1">
        <v>2</v>
      </c>
      <c r="AH496" s="1" t="s">
        <v>104</v>
      </c>
      <c r="AI496" s="1" t="s">
        <v>104</v>
      </c>
      <c r="AJ496" s="1" t="s">
        <v>104</v>
      </c>
      <c r="AK496" s="1" t="s">
        <v>104</v>
      </c>
      <c r="AL496" s="1">
        <v>3</v>
      </c>
      <c r="AM496" s="1" t="s">
        <v>104</v>
      </c>
      <c r="AO496" s="1">
        <v>3</v>
      </c>
      <c r="AQ496" s="1" t="s">
        <v>3452</v>
      </c>
      <c r="AR496" s="1">
        <v>0</v>
      </c>
      <c r="AS496" s="1">
        <v>0</v>
      </c>
      <c r="AT496" s="1">
        <v>0</v>
      </c>
      <c r="AU496" s="1">
        <v>0</v>
      </c>
      <c r="AV496" s="1">
        <v>0</v>
      </c>
      <c r="AW496" s="1">
        <v>0</v>
      </c>
      <c r="AX496" s="1">
        <v>0</v>
      </c>
      <c r="AY496" s="1">
        <v>0</v>
      </c>
      <c r="AZ496" s="1">
        <v>0</v>
      </c>
      <c r="BA496" s="1">
        <v>0</v>
      </c>
      <c r="BB496" s="1">
        <v>0</v>
      </c>
      <c r="BC496" s="1">
        <v>0</v>
      </c>
      <c r="BD496" s="1">
        <v>0</v>
      </c>
      <c r="BE496" s="1">
        <v>0</v>
      </c>
      <c r="BF496" s="1">
        <v>0</v>
      </c>
      <c r="BG496" s="1">
        <v>0</v>
      </c>
      <c r="BH496" s="1">
        <v>0</v>
      </c>
      <c r="BI496" s="1">
        <v>0</v>
      </c>
      <c r="BJ496" s="1">
        <v>0</v>
      </c>
      <c r="BK496" s="1">
        <v>0</v>
      </c>
      <c r="BL496" s="1">
        <v>0</v>
      </c>
      <c r="BM496" s="1">
        <v>0</v>
      </c>
      <c r="BN496" s="1">
        <v>0</v>
      </c>
      <c r="BO496" s="1">
        <v>0</v>
      </c>
      <c r="BP496" s="1">
        <v>0</v>
      </c>
      <c r="BQ496" s="2" t="str">
        <f>HYPERLINK("http://www.d20pfsrd.com/magic/all-spells/s/slow","Slow")</f>
        <v>Slow</v>
      </c>
      <c r="BR496" s="1">
        <v>497</v>
      </c>
      <c r="BS496" s="1" t="s">
        <v>104</v>
      </c>
      <c r="BV496" s="1" t="s">
        <v>3453</v>
      </c>
      <c r="BX496" s="1">
        <v>1</v>
      </c>
      <c r="BY496" s="1">
        <v>3</v>
      </c>
      <c r="BZ496" s="1" t="s">
        <v>104</v>
      </c>
      <c r="CA496" s="1">
        <v>3</v>
      </c>
      <c r="CB496" s="1">
        <v>2</v>
      </c>
      <c r="CC496" s="1" t="s">
        <v>104</v>
      </c>
      <c r="CD496" s="1">
        <v>3</v>
      </c>
      <c r="CE496" s="1">
        <v>3</v>
      </c>
      <c r="CF496" s="1" t="s">
        <v>104</v>
      </c>
      <c r="CG496" s="1" t="s">
        <v>104</v>
      </c>
      <c r="CH496" s="1" t="s">
        <v>104</v>
      </c>
      <c r="CJ496" s="1">
        <v>0</v>
      </c>
      <c r="CK496" s="1">
        <v>0</v>
      </c>
      <c r="CL496" s="1">
        <v>0</v>
      </c>
      <c r="CM496" s="1">
        <v>3</v>
      </c>
    </row>
    <row r="497" spans="1:91" ht="14.25" customHeight="1" x14ac:dyDescent="0.3">
      <c r="A497" s="1" t="s">
        <v>3454</v>
      </c>
      <c r="B497" s="1" t="s">
        <v>137</v>
      </c>
      <c r="E497" s="1" t="s">
        <v>3455</v>
      </c>
      <c r="F497" s="1" t="s">
        <v>1519</v>
      </c>
      <c r="G497" s="1" t="s">
        <v>127</v>
      </c>
      <c r="H497" s="1">
        <v>0</v>
      </c>
      <c r="I497" s="1" t="s">
        <v>128</v>
      </c>
      <c r="L497" s="1" t="s">
        <v>3456</v>
      </c>
      <c r="M497" s="1" t="s">
        <v>3457</v>
      </c>
      <c r="N497" s="1">
        <v>0</v>
      </c>
      <c r="O497" s="1">
        <v>0</v>
      </c>
      <c r="P497" s="1" t="s">
        <v>100</v>
      </c>
      <c r="Q497" s="1" t="s">
        <v>101</v>
      </c>
      <c r="R497" s="1" t="s">
        <v>3458</v>
      </c>
      <c r="S497" s="1" t="s">
        <v>103</v>
      </c>
      <c r="T497" s="1">
        <v>1</v>
      </c>
      <c r="U497" s="1">
        <v>1</v>
      </c>
      <c r="V497" s="1">
        <v>0</v>
      </c>
      <c r="W497" s="1">
        <v>0</v>
      </c>
      <c r="X497" s="1">
        <v>1</v>
      </c>
      <c r="Y497" s="1" t="s">
        <v>104</v>
      </c>
      <c r="Z497" s="1" t="s">
        <v>104</v>
      </c>
      <c r="AA497" s="1" t="s">
        <v>104</v>
      </c>
      <c r="AB497" s="1">
        <v>3</v>
      </c>
      <c r="AC497" s="1">
        <v>2</v>
      </c>
      <c r="AD497" s="1" t="s">
        <v>104</v>
      </c>
      <c r="AE497" s="1" t="s">
        <v>104</v>
      </c>
      <c r="AF497" s="1" t="s">
        <v>104</v>
      </c>
      <c r="AG497" s="1" t="s">
        <v>104</v>
      </c>
      <c r="AH497" s="1" t="s">
        <v>104</v>
      </c>
      <c r="AI497" s="1" t="s">
        <v>104</v>
      </c>
      <c r="AJ497" s="1" t="s">
        <v>104</v>
      </c>
      <c r="AK497" s="1" t="s">
        <v>104</v>
      </c>
      <c r="AL497" s="1" t="s">
        <v>104</v>
      </c>
      <c r="AM497" s="1" t="s">
        <v>104</v>
      </c>
      <c r="AO497" s="1">
        <v>3</v>
      </c>
      <c r="AP497" s="1" t="s">
        <v>3459</v>
      </c>
      <c r="AQ497" s="1" t="s">
        <v>3460</v>
      </c>
      <c r="AR497" s="1">
        <v>0</v>
      </c>
      <c r="AS497" s="1">
        <v>0</v>
      </c>
      <c r="AT497" s="1">
        <v>0</v>
      </c>
      <c r="AU497" s="1">
        <v>0</v>
      </c>
      <c r="AV497" s="1">
        <v>0</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0</v>
      </c>
      <c r="BM497" s="1">
        <v>0</v>
      </c>
      <c r="BN497" s="1">
        <v>0</v>
      </c>
      <c r="BO497" s="1">
        <v>0</v>
      </c>
      <c r="BP497" s="1">
        <v>0</v>
      </c>
      <c r="BQ497" s="2" t="str">
        <f>HYPERLINK("http://www.d20pfsrd.com/magic/all-spells/s/snare","Snare")</f>
        <v>Snare</v>
      </c>
      <c r="BR497" s="1">
        <v>498</v>
      </c>
      <c r="BS497" s="1" t="s">
        <v>104</v>
      </c>
      <c r="BX497" s="1">
        <v>0</v>
      </c>
      <c r="BY497" s="1" t="s">
        <v>104</v>
      </c>
      <c r="BZ497" s="1" t="s">
        <v>104</v>
      </c>
      <c r="CA497" s="1" t="s">
        <v>104</v>
      </c>
      <c r="CB497" s="1" t="s">
        <v>104</v>
      </c>
      <c r="CC497" s="1" t="s">
        <v>104</v>
      </c>
      <c r="CD497" s="1" t="s">
        <v>104</v>
      </c>
      <c r="CE497" s="1" t="s">
        <v>104</v>
      </c>
      <c r="CF497" s="1" t="s">
        <v>104</v>
      </c>
      <c r="CG497" s="1" t="s">
        <v>104</v>
      </c>
      <c r="CH497" s="1">
        <v>2</v>
      </c>
      <c r="CJ497" s="1">
        <v>0</v>
      </c>
      <c r="CK497" s="1">
        <v>0</v>
      </c>
      <c r="CL497" s="1">
        <v>0</v>
      </c>
      <c r="CM497" s="1" t="s">
        <v>104</v>
      </c>
    </row>
    <row r="498" spans="1:91" ht="14.25" customHeight="1" x14ac:dyDescent="0.3">
      <c r="A498" s="1" t="s">
        <v>3461</v>
      </c>
      <c r="B498" s="1" t="s">
        <v>137</v>
      </c>
      <c r="D498" s="1" t="s">
        <v>51</v>
      </c>
      <c r="E498" s="1" t="s">
        <v>3462</v>
      </c>
      <c r="F498" s="1" t="s">
        <v>95</v>
      </c>
      <c r="G498" s="1" t="s">
        <v>127</v>
      </c>
      <c r="H498" s="1">
        <v>0</v>
      </c>
      <c r="I498" s="1" t="s">
        <v>117</v>
      </c>
      <c r="J498" s="1" t="s">
        <v>3463</v>
      </c>
      <c r="M498" s="1" t="s">
        <v>119</v>
      </c>
      <c r="N498" s="1">
        <v>0</v>
      </c>
      <c r="O498" s="1">
        <v>0</v>
      </c>
      <c r="P498" s="1" t="s">
        <v>100</v>
      </c>
      <c r="Q498" s="1" t="s">
        <v>101</v>
      </c>
      <c r="R498" s="1" t="s">
        <v>3464</v>
      </c>
      <c r="S498" s="1" t="s">
        <v>103</v>
      </c>
      <c r="T498" s="1">
        <v>1</v>
      </c>
      <c r="U498" s="1">
        <v>1</v>
      </c>
      <c r="V498" s="1">
        <v>0</v>
      </c>
      <c r="W498" s="1">
        <v>0</v>
      </c>
      <c r="X498" s="1">
        <v>1</v>
      </c>
      <c r="Y498" s="1" t="s">
        <v>104</v>
      </c>
      <c r="Z498" s="1" t="s">
        <v>104</v>
      </c>
      <c r="AA498" s="1" t="s">
        <v>104</v>
      </c>
      <c r="AB498" s="1">
        <v>2</v>
      </c>
      <c r="AC498" s="1" t="s">
        <v>104</v>
      </c>
      <c r="AD498" s="1" t="s">
        <v>104</v>
      </c>
      <c r="AE498" s="1" t="s">
        <v>104</v>
      </c>
      <c r="AF498" s="1" t="s">
        <v>104</v>
      </c>
      <c r="AG498" s="1" t="s">
        <v>104</v>
      </c>
      <c r="AH498" s="1" t="s">
        <v>104</v>
      </c>
      <c r="AI498" s="1" t="s">
        <v>104</v>
      </c>
      <c r="AJ498" s="1" t="s">
        <v>104</v>
      </c>
      <c r="AK498" s="1" t="s">
        <v>104</v>
      </c>
      <c r="AL498" s="1" t="s">
        <v>104</v>
      </c>
      <c r="AM498" s="1" t="s">
        <v>104</v>
      </c>
      <c r="AO498" s="1">
        <v>2</v>
      </c>
      <c r="AP498" s="1" t="s">
        <v>3465</v>
      </c>
      <c r="AQ498" s="1" t="s">
        <v>3466</v>
      </c>
      <c r="AR498" s="1">
        <v>0</v>
      </c>
      <c r="AS498" s="1">
        <v>0</v>
      </c>
      <c r="AT498" s="1">
        <v>0</v>
      </c>
      <c r="AU498" s="1">
        <v>0</v>
      </c>
      <c r="AV498" s="1">
        <v>0</v>
      </c>
      <c r="AW498" s="1">
        <v>0</v>
      </c>
      <c r="AX498" s="1">
        <v>0</v>
      </c>
      <c r="AY498" s="1">
        <v>0</v>
      </c>
      <c r="AZ498" s="1">
        <v>1</v>
      </c>
      <c r="BA498" s="1">
        <v>0</v>
      </c>
      <c r="BB498" s="1">
        <v>0</v>
      </c>
      <c r="BC498" s="1">
        <v>0</v>
      </c>
      <c r="BD498" s="1">
        <v>0</v>
      </c>
      <c r="BE498" s="1">
        <v>0</v>
      </c>
      <c r="BF498" s="1">
        <v>0</v>
      </c>
      <c r="BG498" s="1">
        <v>0</v>
      </c>
      <c r="BH498" s="1">
        <v>0</v>
      </c>
      <c r="BI498" s="1">
        <v>0</v>
      </c>
      <c r="BJ498" s="1">
        <v>0</v>
      </c>
      <c r="BK498" s="1">
        <v>0</v>
      </c>
      <c r="BL498" s="1">
        <v>0</v>
      </c>
      <c r="BM498" s="1">
        <v>0</v>
      </c>
      <c r="BN498" s="1">
        <v>0</v>
      </c>
      <c r="BO498" s="1">
        <v>0</v>
      </c>
      <c r="BP498" s="1">
        <v>0</v>
      </c>
      <c r="BQ498" s="2" t="str">
        <f>HYPERLINK("http://www.d20pfsrd.com/magic/all-spells/s/soften-earth-and-stone","Soften Earth and Stone")</f>
        <v>Soften Earth and Stone</v>
      </c>
      <c r="BR498" s="1">
        <v>499</v>
      </c>
      <c r="BS498" s="1" t="s">
        <v>104</v>
      </c>
      <c r="BX498" s="1">
        <v>0</v>
      </c>
      <c r="BY498" s="1" t="s">
        <v>104</v>
      </c>
      <c r="BZ498" s="1" t="s">
        <v>104</v>
      </c>
      <c r="CA498" s="1" t="s">
        <v>104</v>
      </c>
      <c r="CB498" s="1" t="s">
        <v>104</v>
      </c>
      <c r="CC498" s="1" t="s">
        <v>104</v>
      </c>
      <c r="CD498" s="1" t="s">
        <v>104</v>
      </c>
      <c r="CE498" s="1" t="s">
        <v>104</v>
      </c>
      <c r="CF498" s="1" t="s">
        <v>104</v>
      </c>
      <c r="CG498" s="1" t="s">
        <v>104</v>
      </c>
      <c r="CH498" s="1">
        <v>2</v>
      </c>
      <c r="CJ498" s="1">
        <v>0</v>
      </c>
      <c r="CK498" s="1">
        <v>0</v>
      </c>
      <c r="CL498" s="1">
        <v>0</v>
      </c>
      <c r="CM498" s="1" t="s">
        <v>104</v>
      </c>
    </row>
    <row r="499" spans="1:91" ht="14.25" customHeight="1" x14ac:dyDescent="0.3">
      <c r="A499" s="1" t="s">
        <v>3467</v>
      </c>
      <c r="B499" s="1" t="s">
        <v>92</v>
      </c>
      <c r="C499" s="1" t="s">
        <v>93</v>
      </c>
      <c r="E499" s="1" t="s">
        <v>3468</v>
      </c>
      <c r="F499" s="1" t="s">
        <v>95</v>
      </c>
      <c r="G499" s="1" t="s">
        <v>108</v>
      </c>
      <c r="H499" s="1">
        <v>0</v>
      </c>
      <c r="I499" s="1" t="s">
        <v>1639</v>
      </c>
      <c r="K499" s="1" t="s">
        <v>1640</v>
      </c>
      <c r="M499" s="1" t="s">
        <v>130</v>
      </c>
      <c r="N499" s="1">
        <v>0</v>
      </c>
      <c r="O499" s="1">
        <v>0</v>
      </c>
      <c r="P499" s="1" t="s">
        <v>100</v>
      </c>
      <c r="Q499" s="1" t="s">
        <v>101</v>
      </c>
      <c r="R499" s="1" t="s">
        <v>3469</v>
      </c>
      <c r="S499" s="1" t="s">
        <v>103</v>
      </c>
      <c r="T499" s="1">
        <v>1</v>
      </c>
      <c r="U499" s="1">
        <v>1</v>
      </c>
      <c r="V499" s="1">
        <v>1</v>
      </c>
      <c r="W499" s="1">
        <v>0</v>
      </c>
      <c r="X499" s="1">
        <v>0</v>
      </c>
      <c r="Y499" s="1">
        <v>4</v>
      </c>
      <c r="Z499" s="1">
        <v>4</v>
      </c>
      <c r="AA499" s="1" t="s">
        <v>104</v>
      </c>
      <c r="AB499" s="1" t="s">
        <v>104</v>
      </c>
      <c r="AC499" s="1" t="s">
        <v>104</v>
      </c>
      <c r="AD499" s="1" t="s">
        <v>104</v>
      </c>
      <c r="AE499" s="1" t="s">
        <v>104</v>
      </c>
      <c r="AF499" s="1" t="s">
        <v>104</v>
      </c>
      <c r="AG499" s="1" t="s">
        <v>104</v>
      </c>
      <c r="AH499" s="1">
        <v>4</v>
      </c>
      <c r="AI499" s="1" t="s">
        <v>104</v>
      </c>
      <c r="AJ499" s="1" t="s">
        <v>104</v>
      </c>
      <c r="AK499" s="1" t="s">
        <v>104</v>
      </c>
      <c r="AL499" s="1">
        <v>4</v>
      </c>
      <c r="AM499" s="1" t="s">
        <v>104</v>
      </c>
      <c r="AO499" s="1">
        <v>4</v>
      </c>
      <c r="AP499" s="1" t="s">
        <v>3470</v>
      </c>
      <c r="AQ499" s="1" t="s">
        <v>3471</v>
      </c>
      <c r="AR499" s="1">
        <v>0</v>
      </c>
      <c r="AS499" s="1">
        <v>0</v>
      </c>
      <c r="AT499" s="1">
        <v>0</v>
      </c>
      <c r="AU499" s="1">
        <v>0</v>
      </c>
      <c r="AV499" s="1">
        <v>0</v>
      </c>
      <c r="AW499" s="1">
        <v>0</v>
      </c>
      <c r="AX499" s="1">
        <v>0</v>
      </c>
      <c r="AY499" s="1">
        <v>0</v>
      </c>
      <c r="AZ499" s="1">
        <v>0</v>
      </c>
      <c r="BA499" s="1">
        <v>0</v>
      </c>
      <c r="BB499" s="1">
        <v>0</v>
      </c>
      <c r="BC499" s="1">
        <v>0</v>
      </c>
      <c r="BD499" s="1">
        <v>0</v>
      </c>
      <c r="BE499" s="1">
        <v>0</v>
      </c>
      <c r="BF499" s="1">
        <v>0</v>
      </c>
      <c r="BG499" s="1">
        <v>0</v>
      </c>
      <c r="BH499" s="1">
        <v>0</v>
      </c>
      <c r="BI499" s="1">
        <v>0</v>
      </c>
      <c r="BJ499" s="1">
        <v>0</v>
      </c>
      <c r="BK499" s="1">
        <v>0</v>
      </c>
      <c r="BL499" s="1">
        <v>0</v>
      </c>
      <c r="BM499" s="1">
        <v>0</v>
      </c>
      <c r="BN499" s="1">
        <v>0</v>
      </c>
      <c r="BO499" s="1">
        <v>0</v>
      </c>
      <c r="BP499" s="1">
        <v>0</v>
      </c>
      <c r="BQ499" s="2" t="str">
        <f>HYPERLINK("http://www.d20pfsrd.com/magic/all-spells/s/solid-fog","Solid Fog")</f>
        <v>Solid Fog</v>
      </c>
      <c r="BR499" s="1">
        <v>500</v>
      </c>
      <c r="BS499" s="1" t="s">
        <v>104</v>
      </c>
      <c r="BV499" s="1" t="s">
        <v>3472</v>
      </c>
      <c r="BW499" s="1" t="s">
        <v>3473</v>
      </c>
      <c r="BX499" s="1">
        <v>1</v>
      </c>
      <c r="BY499" s="1" t="s">
        <v>104</v>
      </c>
      <c r="BZ499" s="1">
        <v>4</v>
      </c>
      <c r="CA499" s="1" t="s">
        <v>104</v>
      </c>
      <c r="CB499" s="1" t="s">
        <v>104</v>
      </c>
      <c r="CC499" s="1">
        <v>4</v>
      </c>
      <c r="CD499" s="1" t="s">
        <v>104</v>
      </c>
      <c r="CE499" s="1">
        <v>4</v>
      </c>
      <c r="CF499" s="1" t="s">
        <v>104</v>
      </c>
      <c r="CG499" s="1" t="s">
        <v>104</v>
      </c>
      <c r="CH499" s="1" t="s">
        <v>104</v>
      </c>
      <c r="CJ499" s="1">
        <v>0</v>
      </c>
      <c r="CK499" s="1">
        <v>0</v>
      </c>
      <c r="CL499" s="1">
        <v>0</v>
      </c>
      <c r="CM499" s="1">
        <v>4</v>
      </c>
    </row>
    <row r="500" spans="1:91" ht="14.25" customHeight="1" x14ac:dyDescent="0.3">
      <c r="A500" s="1" t="s">
        <v>3474</v>
      </c>
      <c r="B500" s="1" t="s">
        <v>123</v>
      </c>
      <c r="C500" s="1" t="s">
        <v>124</v>
      </c>
      <c r="D500" s="1" t="s">
        <v>207</v>
      </c>
      <c r="E500" s="1" t="s">
        <v>3475</v>
      </c>
      <c r="F500" s="1" t="s">
        <v>95</v>
      </c>
      <c r="G500" s="1" t="s">
        <v>116</v>
      </c>
      <c r="H500" s="1">
        <v>0</v>
      </c>
      <c r="I500" s="1" t="s">
        <v>109</v>
      </c>
      <c r="J500" s="1" t="s">
        <v>3476</v>
      </c>
      <c r="M500" s="1" t="s">
        <v>111</v>
      </c>
      <c r="N500" s="1">
        <v>0</v>
      </c>
      <c r="O500" s="1">
        <v>0</v>
      </c>
      <c r="P500" s="1" t="s">
        <v>211</v>
      </c>
      <c r="Q500" s="1" t="s">
        <v>184</v>
      </c>
      <c r="R500" s="1" t="s">
        <v>3477</v>
      </c>
      <c r="S500" s="1" t="s">
        <v>103</v>
      </c>
      <c r="T500" s="1">
        <v>1</v>
      </c>
      <c r="U500" s="1">
        <v>1</v>
      </c>
      <c r="V500" s="1">
        <v>0</v>
      </c>
      <c r="W500" s="1">
        <v>0</v>
      </c>
      <c r="X500" s="1">
        <v>0</v>
      </c>
      <c r="Y500" s="1" t="s">
        <v>104</v>
      </c>
      <c r="Z500" s="1" t="s">
        <v>104</v>
      </c>
      <c r="AA500" s="1" t="s">
        <v>104</v>
      </c>
      <c r="AB500" s="1" t="s">
        <v>104</v>
      </c>
      <c r="AC500" s="1" t="s">
        <v>104</v>
      </c>
      <c r="AD500" s="1">
        <v>5</v>
      </c>
      <c r="AE500" s="1" t="s">
        <v>104</v>
      </c>
      <c r="AF500" s="1" t="s">
        <v>104</v>
      </c>
      <c r="AG500" s="1" t="s">
        <v>104</v>
      </c>
      <c r="AH500" s="1" t="s">
        <v>104</v>
      </c>
      <c r="AI500" s="1" t="s">
        <v>104</v>
      </c>
      <c r="AJ500" s="1" t="s">
        <v>104</v>
      </c>
      <c r="AK500" s="1" t="s">
        <v>104</v>
      </c>
      <c r="AL500" s="1" t="s">
        <v>104</v>
      </c>
      <c r="AM500" s="1" t="s">
        <v>104</v>
      </c>
      <c r="AO500" s="1">
        <v>5</v>
      </c>
      <c r="AP500" s="1" t="s">
        <v>3478</v>
      </c>
      <c r="AQ500" s="1" t="s">
        <v>3479</v>
      </c>
      <c r="AR500" s="1">
        <v>0</v>
      </c>
      <c r="AS500" s="1">
        <v>0</v>
      </c>
      <c r="AT500" s="1">
        <v>0</v>
      </c>
      <c r="AU500" s="1">
        <v>0</v>
      </c>
      <c r="AV500" s="1">
        <v>0</v>
      </c>
      <c r="AW500" s="1">
        <v>0</v>
      </c>
      <c r="AX500" s="1">
        <v>0</v>
      </c>
      <c r="AY500" s="1">
        <v>0</v>
      </c>
      <c r="AZ500" s="1">
        <v>0</v>
      </c>
      <c r="BA500" s="1">
        <v>0</v>
      </c>
      <c r="BB500" s="1">
        <v>0</v>
      </c>
      <c r="BC500" s="1">
        <v>0</v>
      </c>
      <c r="BD500" s="1">
        <v>0</v>
      </c>
      <c r="BE500" s="1">
        <v>0</v>
      </c>
      <c r="BF500" s="1">
        <v>0</v>
      </c>
      <c r="BG500" s="1">
        <v>0</v>
      </c>
      <c r="BH500" s="1">
        <v>0</v>
      </c>
      <c r="BI500" s="1">
        <v>0</v>
      </c>
      <c r="BJ500" s="1">
        <v>0</v>
      </c>
      <c r="BK500" s="1">
        <v>1</v>
      </c>
      <c r="BL500" s="1">
        <v>0</v>
      </c>
      <c r="BM500" s="1">
        <v>0</v>
      </c>
      <c r="BN500" s="1">
        <v>0</v>
      </c>
      <c r="BO500" s="1">
        <v>1</v>
      </c>
      <c r="BP500" s="1">
        <v>0</v>
      </c>
      <c r="BQ500" s="2" t="str">
        <f>HYPERLINK("http://www.d20pfsrd.com/magic/all-spells/s/song-of-discord","Song of Discord")</f>
        <v>Song of Discord</v>
      </c>
      <c r="BR500" s="1">
        <v>501</v>
      </c>
      <c r="BS500" s="1" t="s">
        <v>104</v>
      </c>
      <c r="BX500" s="1">
        <v>0</v>
      </c>
      <c r="BY500" s="1" t="s">
        <v>104</v>
      </c>
      <c r="BZ500" s="1" t="s">
        <v>104</v>
      </c>
      <c r="CA500" s="1">
        <v>5</v>
      </c>
      <c r="CB500" s="1" t="s">
        <v>104</v>
      </c>
      <c r="CC500" s="1" t="s">
        <v>104</v>
      </c>
      <c r="CD500" s="1" t="s">
        <v>104</v>
      </c>
      <c r="CE500" s="1" t="s">
        <v>104</v>
      </c>
      <c r="CF500" s="1" t="s">
        <v>104</v>
      </c>
      <c r="CG500" s="1" t="s">
        <v>104</v>
      </c>
      <c r="CH500" s="1" t="s">
        <v>104</v>
      </c>
      <c r="CJ500" s="1">
        <v>0</v>
      </c>
      <c r="CK500" s="1">
        <v>0</v>
      </c>
      <c r="CL500" s="1">
        <v>0</v>
      </c>
      <c r="CM500" s="1" t="s">
        <v>104</v>
      </c>
    </row>
    <row r="501" spans="1:91" ht="14.25" customHeight="1" x14ac:dyDescent="0.3">
      <c r="A501" s="1" t="s">
        <v>3480</v>
      </c>
      <c r="B501" s="1" t="s">
        <v>216</v>
      </c>
      <c r="E501" s="1" t="s">
        <v>3481</v>
      </c>
      <c r="F501" s="1" t="s">
        <v>95</v>
      </c>
      <c r="G501" s="1" t="s">
        <v>357</v>
      </c>
      <c r="H501" s="1">
        <v>1</v>
      </c>
      <c r="I501" s="1" t="s">
        <v>117</v>
      </c>
      <c r="L501" s="1" t="s">
        <v>3482</v>
      </c>
      <c r="M501" s="1" t="s">
        <v>298</v>
      </c>
      <c r="N501" s="1">
        <v>0</v>
      </c>
      <c r="O501" s="1">
        <v>0</v>
      </c>
      <c r="P501" s="1" t="s">
        <v>211</v>
      </c>
      <c r="Q501" s="1" t="s">
        <v>101</v>
      </c>
      <c r="R501" s="1" t="s">
        <v>3483</v>
      </c>
      <c r="S501" s="1" t="s">
        <v>103</v>
      </c>
      <c r="T501" s="1">
        <v>1</v>
      </c>
      <c r="U501" s="1">
        <v>1</v>
      </c>
      <c r="V501" s="1">
        <v>0</v>
      </c>
      <c r="W501" s="1">
        <v>1</v>
      </c>
      <c r="X501" s="1">
        <v>0</v>
      </c>
      <c r="Y501" s="1">
        <v>9</v>
      </c>
      <c r="Z501" s="1">
        <v>9</v>
      </c>
      <c r="AA501" s="1">
        <v>9</v>
      </c>
      <c r="AB501" s="1" t="s">
        <v>104</v>
      </c>
      <c r="AC501" s="1" t="s">
        <v>104</v>
      </c>
      <c r="AD501" s="1" t="s">
        <v>104</v>
      </c>
      <c r="AE501" s="1" t="s">
        <v>104</v>
      </c>
      <c r="AF501" s="1" t="s">
        <v>104</v>
      </c>
      <c r="AG501" s="1" t="s">
        <v>104</v>
      </c>
      <c r="AH501" s="1">
        <v>9</v>
      </c>
      <c r="AI501" s="1" t="s">
        <v>104</v>
      </c>
      <c r="AJ501" s="1">
        <v>9</v>
      </c>
      <c r="AK501" s="1" t="s">
        <v>104</v>
      </c>
      <c r="AL501" s="1" t="s">
        <v>104</v>
      </c>
      <c r="AM501" s="1" t="s">
        <v>104</v>
      </c>
      <c r="AO501" s="1">
        <v>9</v>
      </c>
      <c r="AQ501" s="1" t="s">
        <v>3484</v>
      </c>
      <c r="AR501" s="1">
        <v>0</v>
      </c>
      <c r="AS501" s="1">
        <v>0</v>
      </c>
      <c r="AT501" s="1">
        <v>0</v>
      </c>
      <c r="AU501" s="1">
        <v>0</v>
      </c>
      <c r="AV501" s="1">
        <v>0</v>
      </c>
      <c r="AW501" s="1">
        <v>0</v>
      </c>
      <c r="AX501" s="1">
        <v>0</v>
      </c>
      <c r="AY501" s="1">
        <v>0</v>
      </c>
      <c r="AZ501" s="1">
        <v>0</v>
      </c>
      <c r="BA501" s="1">
        <v>0</v>
      </c>
      <c r="BB501" s="1">
        <v>0</v>
      </c>
      <c r="BC501" s="1">
        <v>0</v>
      </c>
      <c r="BD501" s="1">
        <v>0</v>
      </c>
      <c r="BE501" s="1">
        <v>0</v>
      </c>
      <c r="BF501" s="1">
        <v>0</v>
      </c>
      <c r="BG501" s="1">
        <v>0</v>
      </c>
      <c r="BH501" s="1">
        <v>0</v>
      </c>
      <c r="BI501" s="1">
        <v>0</v>
      </c>
      <c r="BJ501" s="1">
        <v>0</v>
      </c>
      <c r="BK501" s="1">
        <v>0</v>
      </c>
      <c r="BL501" s="1">
        <v>0</v>
      </c>
      <c r="BM501" s="1">
        <v>0</v>
      </c>
      <c r="BN501" s="1">
        <v>0</v>
      </c>
      <c r="BO501" s="1">
        <v>0</v>
      </c>
      <c r="BP501" s="1">
        <v>0</v>
      </c>
      <c r="BQ501" s="2" t="str">
        <f>HYPERLINK("http://www.d20pfsrd.com/magic/all-spells/s/soul-bind","Soul Bind")</f>
        <v>Soul Bind</v>
      </c>
      <c r="BR501" s="1">
        <v>502</v>
      </c>
      <c r="BS501" s="1">
        <v>0</v>
      </c>
      <c r="BT501" s="1" t="s">
        <v>3485</v>
      </c>
      <c r="BX501" s="1">
        <v>0</v>
      </c>
      <c r="BY501" s="1" t="s">
        <v>104</v>
      </c>
      <c r="BZ501" s="1">
        <v>9</v>
      </c>
      <c r="CA501" s="1">
        <v>9</v>
      </c>
      <c r="CB501" s="1" t="s">
        <v>104</v>
      </c>
      <c r="CC501" s="1" t="s">
        <v>104</v>
      </c>
      <c r="CD501" s="1" t="s">
        <v>104</v>
      </c>
      <c r="CE501" s="1" t="s">
        <v>104</v>
      </c>
      <c r="CF501" s="1" t="s">
        <v>104</v>
      </c>
      <c r="CG501" s="1" t="s">
        <v>104</v>
      </c>
      <c r="CH501" s="1" t="s">
        <v>104</v>
      </c>
      <c r="CJ501" s="1">
        <v>0</v>
      </c>
      <c r="CK501" s="1">
        <v>0</v>
      </c>
      <c r="CL501" s="1">
        <v>0</v>
      </c>
      <c r="CM501" s="1" t="s">
        <v>104</v>
      </c>
    </row>
    <row r="502" spans="1:91" ht="14.25" customHeight="1" x14ac:dyDescent="0.3">
      <c r="A502" s="1" t="s">
        <v>3486</v>
      </c>
      <c r="B502" s="1" t="s">
        <v>434</v>
      </c>
      <c r="D502" s="1" t="s">
        <v>66</v>
      </c>
      <c r="E502" s="1" t="s">
        <v>3487</v>
      </c>
      <c r="F502" s="1" t="s">
        <v>95</v>
      </c>
      <c r="G502" s="1" t="s">
        <v>3488</v>
      </c>
      <c r="H502" s="1">
        <v>0</v>
      </c>
      <c r="I502" s="1" t="s">
        <v>117</v>
      </c>
      <c r="J502" s="1" t="s">
        <v>3489</v>
      </c>
      <c r="M502" s="1" t="s">
        <v>119</v>
      </c>
      <c r="N502" s="1">
        <v>0</v>
      </c>
      <c r="O502" s="1">
        <v>0</v>
      </c>
      <c r="P502" s="1" t="s">
        <v>1080</v>
      </c>
      <c r="Q502" s="1" t="s">
        <v>184</v>
      </c>
      <c r="R502" s="1" t="s">
        <v>3490</v>
      </c>
      <c r="S502" s="1" t="s">
        <v>103</v>
      </c>
      <c r="T502" s="1">
        <v>1</v>
      </c>
      <c r="U502" s="1">
        <v>1</v>
      </c>
      <c r="V502" s="1">
        <v>0</v>
      </c>
      <c r="W502" s="1">
        <v>1</v>
      </c>
      <c r="X502" s="1">
        <v>1</v>
      </c>
      <c r="Y502" s="1" t="s">
        <v>104</v>
      </c>
      <c r="Z502" s="1" t="s">
        <v>104</v>
      </c>
      <c r="AA502" s="1">
        <v>2</v>
      </c>
      <c r="AB502" s="1" t="s">
        <v>104</v>
      </c>
      <c r="AC502" s="1" t="s">
        <v>104</v>
      </c>
      <c r="AD502" s="1">
        <v>2</v>
      </c>
      <c r="AE502" s="1" t="s">
        <v>104</v>
      </c>
      <c r="AF502" s="1" t="s">
        <v>104</v>
      </c>
      <c r="AG502" s="1" t="s">
        <v>104</v>
      </c>
      <c r="AH502" s="1" t="s">
        <v>104</v>
      </c>
      <c r="AI502" s="1" t="s">
        <v>104</v>
      </c>
      <c r="AJ502" s="1">
        <v>2</v>
      </c>
      <c r="AK502" s="1" t="s">
        <v>104</v>
      </c>
      <c r="AL502" s="1" t="s">
        <v>104</v>
      </c>
      <c r="AM502" s="1" t="s">
        <v>104</v>
      </c>
      <c r="AO502" s="1">
        <v>2</v>
      </c>
      <c r="AQ502" s="1" t="s">
        <v>3491</v>
      </c>
      <c r="AR502" s="1">
        <v>0</v>
      </c>
      <c r="AS502" s="1">
        <v>0</v>
      </c>
      <c r="AT502" s="1">
        <v>0</v>
      </c>
      <c r="AU502" s="1">
        <v>0</v>
      </c>
      <c r="AV502" s="1">
        <v>0</v>
      </c>
      <c r="AW502" s="1">
        <v>0</v>
      </c>
      <c r="AX502" s="1">
        <v>0</v>
      </c>
      <c r="AY502" s="1">
        <v>0</v>
      </c>
      <c r="AZ502" s="1">
        <v>0</v>
      </c>
      <c r="BA502" s="1">
        <v>0</v>
      </c>
      <c r="BB502" s="1">
        <v>0</v>
      </c>
      <c r="BC502" s="1">
        <v>0</v>
      </c>
      <c r="BD502" s="1">
        <v>0</v>
      </c>
      <c r="BE502" s="1">
        <v>0</v>
      </c>
      <c r="BF502" s="1">
        <v>0</v>
      </c>
      <c r="BG502" s="1">
        <v>0</v>
      </c>
      <c r="BH502" s="1">
        <v>0</v>
      </c>
      <c r="BI502" s="1">
        <v>0</v>
      </c>
      <c r="BJ502" s="1">
        <v>0</v>
      </c>
      <c r="BK502" s="1">
        <v>0</v>
      </c>
      <c r="BL502" s="1">
        <v>0</v>
      </c>
      <c r="BM502" s="1">
        <v>0</v>
      </c>
      <c r="BN502" s="1">
        <v>0</v>
      </c>
      <c r="BO502" s="1">
        <v>1</v>
      </c>
      <c r="BP502" s="1">
        <v>0</v>
      </c>
      <c r="BQ502" s="2" t="str">
        <f>HYPERLINK("http://www.d20pfsrd.com/magic/all-spells/s/sound-burst","Sound Burst")</f>
        <v>Sound Burst</v>
      </c>
      <c r="BR502" s="1">
        <v>503</v>
      </c>
      <c r="BS502" s="1" t="s">
        <v>104</v>
      </c>
      <c r="BX502" s="1">
        <v>0</v>
      </c>
      <c r="BY502" s="1" t="s">
        <v>104</v>
      </c>
      <c r="BZ502" s="1" t="s">
        <v>104</v>
      </c>
      <c r="CA502" s="1" t="s">
        <v>104</v>
      </c>
      <c r="CB502" s="1" t="s">
        <v>104</v>
      </c>
      <c r="CC502" s="1" t="s">
        <v>104</v>
      </c>
      <c r="CD502" s="1">
        <v>2</v>
      </c>
      <c r="CE502" s="1" t="s">
        <v>104</v>
      </c>
      <c r="CF502" s="1" t="s">
        <v>104</v>
      </c>
      <c r="CG502" s="1" t="s">
        <v>104</v>
      </c>
      <c r="CH502" s="1" t="s">
        <v>104</v>
      </c>
      <c r="CJ502" s="1">
        <v>0</v>
      </c>
      <c r="CK502" s="1">
        <v>0</v>
      </c>
      <c r="CL502" s="1">
        <v>0</v>
      </c>
      <c r="CM502" s="1" t="s">
        <v>104</v>
      </c>
    </row>
    <row r="503" spans="1:91" ht="14.25" customHeight="1" x14ac:dyDescent="0.3">
      <c r="A503" s="1" t="s">
        <v>3492</v>
      </c>
      <c r="B503" s="1" t="s">
        <v>172</v>
      </c>
      <c r="E503" s="1" t="s">
        <v>3493</v>
      </c>
      <c r="F503" s="1" t="s">
        <v>95</v>
      </c>
      <c r="G503" s="1" t="s">
        <v>116</v>
      </c>
      <c r="H503" s="1">
        <v>0</v>
      </c>
      <c r="I503" s="1" t="s">
        <v>157</v>
      </c>
      <c r="L503" s="1" t="s">
        <v>158</v>
      </c>
      <c r="M503" s="1" t="s">
        <v>130</v>
      </c>
      <c r="N503" s="1">
        <v>0</v>
      </c>
      <c r="O503" s="1">
        <v>0</v>
      </c>
      <c r="R503" s="1" t="s">
        <v>3494</v>
      </c>
      <c r="S503" s="1" t="s">
        <v>103</v>
      </c>
      <c r="T503" s="1">
        <v>1</v>
      </c>
      <c r="U503" s="1">
        <v>1</v>
      </c>
      <c r="V503" s="1">
        <v>0</v>
      </c>
      <c r="W503" s="1">
        <v>0</v>
      </c>
      <c r="X503" s="1">
        <v>0</v>
      </c>
      <c r="Y503" s="1" t="s">
        <v>104</v>
      </c>
      <c r="Z503" s="1" t="s">
        <v>104</v>
      </c>
      <c r="AA503" s="1" t="s">
        <v>104</v>
      </c>
      <c r="AB503" s="1">
        <v>1</v>
      </c>
      <c r="AC503" s="1">
        <v>1</v>
      </c>
      <c r="AD503" s="1">
        <v>3</v>
      </c>
      <c r="AE503" s="1" t="s">
        <v>104</v>
      </c>
      <c r="AF503" s="1" t="s">
        <v>104</v>
      </c>
      <c r="AG503" s="1" t="s">
        <v>104</v>
      </c>
      <c r="AH503" s="1" t="s">
        <v>104</v>
      </c>
      <c r="AI503" s="1" t="s">
        <v>104</v>
      </c>
      <c r="AJ503" s="1" t="s">
        <v>104</v>
      </c>
      <c r="AK503" s="1" t="s">
        <v>104</v>
      </c>
      <c r="AL503" s="1" t="s">
        <v>104</v>
      </c>
      <c r="AM503" s="1" t="s">
        <v>104</v>
      </c>
      <c r="AO503" s="1">
        <v>1</v>
      </c>
      <c r="AQ503" s="1" t="s">
        <v>3495</v>
      </c>
      <c r="AR503" s="1">
        <v>0</v>
      </c>
      <c r="AS503" s="1">
        <v>0</v>
      </c>
      <c r="AT503" s="1">
        <v>0</v>
      </c>
      <c r="AU503" s="1">
        <v>0</v>
      </c>
      <c r="AV503" s="1">
        <v>0</v>
      </c>
      <c r="AW503" s="1">
        <v>0</v>
      </c>
      <c r="AX503" s="1">
        <v>0</v>
      </c>
      <c r="AY503" s="1">
        <v>0</v>
      </c>
      <c r="AZ503" s="1">
        <v>0</v>
      </c>
      <c r="BA503" s="1">
        <v>0</v>
      </c>
      <c r="BB503" s="1">
        <v>0</v>
      </c>
      <c r="BC503" s="1">
        <v>0</v>
      </c>
      <c r="BD503" s="1">
        <v>0</v>
      </c>
      <c r="BE503" s="1">
        <v>0</v>
      </c>
      <c r="BF503" s="1">
        <v>0</v>
      </c>
      <c r="BG503" s="1">
        <v>0</v>
      </c>
      <c r="BH503" s="1">
        <v>0</v>
      </c>
      <c r="BI503" s="1">
        <v>0</v>
      </c>
      <c r="BJ503" s="1">
        <v>0</v>
      </c>
      <c r="BK503" s="1">
        <v>0</v>
      </c>
      <c r="BL503" s="1">
        <v>0</v>
      </c>
      <c r="BM503" s="1">
        <v>0</v>
      </c>
      <c r="BN503" s="1">
        <v>0</v>
      </c>
      <c r="BO503" s="1">
        <v>0</v>
      </c>
      <c r="BP503" s="1">
        <v>0</v>
      </c>
      <c r="BQ503" s="2" t="str">
        <f>HYPERLINK("http://www.d20pfsrd.com/magic/all-spells/s/speak-with-animals","Speak with Animals")</f>
        <v>Speak with Animals</v>
      </c>
      <c r="BR503" s="1">
        <v>504</v>
      </c>
      <c r="BS503" s="1" t="s">
        <v>104</v>
      </c>
      <c r="BU503" s="1" t="s">
        <v>3496</v>
      </c>
      <c r="BX503" s="1">
        <v>0</v>
      </c>
      <c r="BY503" s="1" t="s">
        <v>104</v>
      </c>
      <c r="BZ503" s="1" t="s">
        <v>104</v>
      </c>
      <c r="CA503" s="1">
        <v>2</v>
      </c>
      <c r="CB503" s="1" t="s">
        <v>104</v>
      </c>
      <c r="CC503" s="1" t="s">
        <v>104</v>
      </c>
      <c r="CD503" s="1" t="s">
        <v>104</v>
      </c>
      <c r="CE503" s="1" t="s">
        <v>104</v>
      </c>
      <c r="CF503" s="1" t="s">
        <v>104</v>
      </c>
      <c r="CG503" s="1" t="s">
        <v>104</v>
      </c>
      <c r="CH503" s="1">
        <v>1</v>
      </c>
      <c r="CJ503" s="1">
        <v>0</v>
      </c>
      <c r="CK503" s="1">
        <v>0</v>
      </c>
      <c r="CL503" s="1">
        <v>0</v>
      </c>
      <c r="CM503" s="1" t="s">
        <v>104</v>
      </c>
    </row>
    <row r="504" spans="1:91" ht="14.25" customHeight="1" x14ac:dyDescent="0.3">
      <c r="A504" s="1" t="s">
        <v>3497</v>
      </c>
      <c r="B504" s="1" t="s">
        <v>216</v>
      </c>
      <c r="D504" s="1" t="s">
        <v>2506</v>
      </c>
      <c r="E504" s="1" t="s">
        <v>3498</v>
      </c>
      <c r="F504" s="1" t="s">
        <v>287</v>
      </c>
      <c r="G504" s="1" t="s">
        <v>127</v>
      </c>
      <c r="H504" s="1">
        <v>0</v>
      </c>
      <c r="I504" s="1" t="s">
        <v>256</v>
      </c>
      <c r="L504" s="1" t="s">
        <v>3499</v>
      </c>
      <c r="M504" s="1" t="s">
        <v>130</v>
      </c>
      <c r="N504" s="1">
        <v>0</v>
      </c>
      <c r="O504" s="1">
        <v>0</v>
      </c>
      <c r="P504" s="1" t="s">
        <v>418</v>
      </c>
      <c r="Q504" s="1" t="s">
        <v>101</v>
      </c>
      <c r="R504" s="1" t="s">
        <v>3500</v>
      </c>
      <c r="S504" s="1" t="s">
        <v>103</v>
      </c>
      <c r="T504" s="1">
        <v>1</v>
      </c>
      <c r="U504" s="1">
        <v>1</v>
      </c>
      <c r="V504" s="1">
        <v>0</v>
      </c>
      <c r="W504" s="1">
        <v>0</v>
      </c>
      <c r="X504" s="1">
        <v>1</v>
      </c>
      <c r="Y504" s="1" t="s">
        <v>104</v>
      </c>
      <c r="Z504" s="1" t="s">
        <v>104</v>
      </c>
      <c r="AA504" s="1">
        <v>3</v>
      </c>
      <c r="AB504" s="1" t="s">
        <v>104</v>
      </c>
      <c r="AC504" s="1" t="s">
        <v>104</v>
      </c>
      <c r="AD504" s="1" t="s">
        <v>104</v>
      </c>
      <c r="AE504" s="1" t="s">
        <v>104</v>
      </c>
      <c r="AF504" s="1" t="s">
        <v>104</v>
      </c>
      <c r="AG504" s="1" t="s">
        <v>104</v>
      </c>
      <c r="AH504" s="1">
        <v>3</v>
      </c>
      <c r="AI504" s="1">
        <v>3</v>
      </c>
      <c r="AJ504" s="1">
        <v>3</v>
      </c>
      <c r="AK504" s="1" t="s">
        <v>104</v>
      </c>
      <c r="AL504" s="1" t="s">
        <v>104</v>
      </c>
      <c r="AM504" s="1" t="s">
        <v>104</v>
      </c>
      <c r="AO504" s="1">
        <v>3</v>
      </c>
      <c r="AP504" s="1" t="s">
        <v>3501</v>
      </c>
      <c r="AQ504" s="1" t="s">
        <v>3502</v>
      </c>
      <c r="AR504" s="1">
        <v>0</v>
      </c>
      <c r="AS504" s="1">
        <v>0</v>
      </c>
      <c r="AT504" s="1">
        <v>0</v>
      </c>
      <c r="AU504" s="1">
        <v>0</v>
      </c>
      <c r="AV504" s="1">
        <v>0</v>
      </c>
      <c r="AW504" s="1">
        <v>0</v>
      </c>
      <c r="AX504" s="1">
        <v>0</v>
      </c>
      <c r="AY504" s="1">
        <v>0</v>
      </c>
      <c r="AZ504" s="1">
        <v>0</v>
      </c>
      <c r="BA504" s="1">
        <v>0</v>
      </c>
      <c r="BB504" s="1">
        <v>0</v>
      </c>
      <c r="BC504" s="1">
        <v>0</v>
      </c>
      <c r="BD504" s="1">
        <v>0</v>
      </c>
      <c r="BE504" s="1">
        <v>0</v>
      </c>
      <c r="BF504" s="1">
        <v>0</v>
      </c>
      <c r="BG504" s="1">
        <v>0</v>
      </c>
      <c r="BH504" s="1">
        <v>1</v>
      </c>
      <c r="BI504" s="1">
        <v>0</v>
      </c>
      <c r="BJ504" s="1">
        <v>0</v>
      </c>
      <c r="BK504" s="1">
        <v>0</v>
      </c>
      <c r="BL504" s="1">
        <v>0</v>
      </c>
      <c r="BM504" s="1">
        <v>0</v>
      </c>
      <c r="BN504" s="1">
        <v>0</v>
      </c>
      <c r="BO504" s="1">
        <v>0</v>
      </c>
      <c r="BP504" s="1">
        <v>0</v>
      </c>
      <c r="BQ504" s="2" t="str">
        <f>HYPERLINK("http://www.d20pfsrd.com/magic/all-spells/s/speak-with-dead","Speak with Dead")</f>
        <v>Speak with Dead</v>
      </c>
      <c r="BR504" s="1">
        <v>505</v>
      </c>
      <c r="BS504" s="1" t="s">
        <v>104</v>
      </c>
      <c r="BU504" s="1" t="s">
        <v>3503</v>
      </c>
      <c r="BX504" s="1">
        <v>0</v>
      </c>
      <c r="BY504" s="1" t="s">
        <v>104</v>
      </c>
      <c r="BZ504" s="1">
        <v>3</v>
      </c>
      <c r="CA504" s="1">
        <v>3</v>
      </c>
      <c r="CB504" s="1">
        <v>2</v>
      </c>
      <c r="CC504" s="1" t="s">
        <v>104</v>
      </c>
      <c r="CD504" s="1" t="s">
        <v>104</v>
      </c>
      <c r="CE504" s="1">
        <v>3</v>
      </c>
      <c r="CF504" s="1" t="s">
        <v>104</v>
      </c>
      <c r="CG504" s="1" t="s">
        <v>104</v>
      </c>
      <c r="CH504" s="1" t="s">
        <v>104</v>
      </c>
      <c r="CJ504" s="1">
        <v>0</v>
      </c>
      <c r="CK504" s="1">
        <v>0</v>
      </c>
      <c r="CL504" s="1">
        <v>0</v>
      </c>
      <c r="CM504" s="1" t="s">
        <v>104</v>
      </c>
    </row>
    <row r="505" spans="1:91" ht="14.25" customHeight="1" x14ac:dyDescent="0.3">
      <c r="A505" s="1" t="s">
        <v>3504</v>
      </c>
      <c r="B505" s="1" t="s">
        <v>172</v>
      </c>
      <c r="E505" s="1" t="s">
        <v>3505</v>
      </c>
      <c r="F505" s="1" t="s">
        <v>95</v>
      </c>
      <c r="G505" s="1" t="s">
        <v>116</v>
      </c>
      <c r="H505" s="1">
        <v>0</v>
      </c>
      <c r="I505" s="1" t="s">
        <v>157</v>
      </c>
      <c r="L505" s="1" t="s">
        <v>158</v>
      </c>
      <c r="M505" s="1" t="s">
        <v>130</v>
      </c>
      <c r="N505" s="1">
        <v>0</v>
      </c>
      <c r="O505" s="1">
        <v>0</v>
      </c>
      <c r="R505" s="1" t="s">
        <v>3506</v>
      </c>
      <c r="S505" s="1" t="s">
        <v>103</v>
      </c>
      <c r="T505" s="1">
        <v>1</v>
      </c>
      <c r="U505" s="1">
        <v>1</v>
      </c>
      <c r="V505" s="1">
        <v>0</v>
      </c>
      <c r="W505" s="1">
        <v>0</v>
      </c>
      <c r="X505" s="1">
        <v>0</v>
      </c>
      <c r="Y505" s="1" t="s">
        <v>104</v>
      </c>
      <c r="Z505" s="1" t="s">
        <v>104</v>
      </c>
      <c r="AA505" s="1" t="s">
        <v>104</v>
      </c>
      <c r="AB505" s="1">
        <v>3</v>
      </c>
      <c r="AC505" s="1">
        <v>2</v>
      </c>
      <c r="AD505" s="1">
        <v>4</v>
      </c>
      <c r="AE505" s="1" t="s">
        <v>104</v>
      </c>
      <c r="AF505" s="1" t="s">
        <v>104</v>
      </c>
      <c r="AG505" s="1" t="s">
        <v>104</v>
      </c>
      <c r="AH505" s="1" t="s">
        <v>104</v>
      </c>
      <c r="AI505" s="1" t="s">
        <v>104</v>
      </c>
      <c r="AJ505" s="1" t="s">
        <v>104</v>
      </c>
      <c r="AK505" s="1" t="s">
        <v>104</v>
      </c>
      <c r="AL505" s="1" t="s">
        <v>104</v>
      </c>
      <c r="AM505" s="1" t="s">
        <v>104</v>
      </c>
      <c r="AO505" s="1">
        <v>3</v>
      </c>
      <c r="AQ505" s="1" t="s">
        <v>3507</v>
      </c>
      <c r="AR505" s="1">
        <v>0</v>
      </c>
      <c r="AS505" s="1">
        <v>0</v>
      </c>
      <c r="AT505" s="1">
        <v>0</v>
      </c>
      <c r="AU505" s="1">
        <v>0</v>
      </c>
      <c r="AV505" s="1">
        <v>0</v>
      </c>
      <c r="AW505" s="1">
        <v>0</v>
      </c>
      <c r="AX505" s="1">
        <v>0</v>
      </c>
      <c r="AY505" s="1">
        <v>0</v>
      </c>
      <c r="AZ505" s="1">
        <v>0</v>
      </c>
      <c r="BA505" s="1">
        <v>0</v>
      </c>
      <c r="BB505" s="1">
        <v>0</v>
      </c>
      <c r="BC505" s="1">
        <v>0</v>
      </c>
      <c r="BD505" s="1">
        <v>0</v>
      </c>
      <c r="BE505" s="1">
        <v>0</v>
      </c>
      <c r="BF505" s="1">
        <v>0</v>
      </c>
      <c r="BG505" s="1">
        <v>0</v>
      </c>
      <c r="BH505" s="1">
        <v>0</v>
      </c>
      <c r="BI505" s="1">
        <v>0</v>
      </c>
      <c r="BJ505" s="1">
        <v>0</v>
      </c>
      <c r="BK505" s="1">
        <v>0</v>
      </c>
      <c r="BL505" s="1">
        <v>0</v>
      </c>
      <c r="BM505" s="1">
        <v>0</v>
      </c>
      <c r="BN505" s="1">
        <v>0</v>
      </c>
      <c r="BO505" s="1">
        <v>0</v>
      </c>
      <c r="BP505" s="1">
        <v>0</v>
      </c>
      <c r="BQ505" s="2" t="str">
        <f>HYPERLINK("http://www.d20pfsrd.com/magic/all-spells/s/speak-with-plants","Speak with Plants")</f>
        <v>Speak with Plants</v>
      </c>
      <c r="BR505" s="1">
        <v>506</v>
      </c>
      <c r="BS505" s="1" t="s">
        <v>104</v>
      </c>
      <c r="BT505" s="1" t="s">
        <v>3508</v>
      </c>
      <c r="BX505" s="1">
        <v>0</v>
      </c>
      <c r="BY505" s="1" t="s">
        <v>104</v>
      </c>
      <c r="BZ505" s="1" t="s">
        <v>104</v>
      </c>
      <c r="CA505" s="1" t="s">
        <v>104</v>
      </c>
      <c r="CB505" s="1" t="s">
        <v>104</v>
      </c>
      <c r="CC505" s="1" t="s">
        <v>104</v>
      </c>
      <c r="CD505" s="1" t="s">
        <v>104</v>
      </c>
      <c r="CE505" s="1" t="s">
        <v>104</v>
      </c>
      <c r="CF505" s="1" t="s">
        <v>104</v>
      </c>
      <c r="CG505" s="1" t="s">
        <v>104</v>
      </c>
      <c r="CH505" s="1">
        <v>2</v>
      </c>
      <c r="CJ505" s="1">
        <v>0</v>
      </c>
      <c r="CK505" s="1">
        <v>0</v>
      </c>
      <c r="CL505" s="1">
        <v>0</v>
      </c>
      <c r="CM505" s="1" t="s">
        <v>104</v>
      </c>
    </row>
    <row r="506" spans="1:91" ht="14.25" customHeight="1" x14ac:dyDescent="0.3">
      <c r="A506" s="1" t="s">
        <v>3509</v>
      </c>
      <c r="B506" s="1" t="s">
        <v>216</v>
      </c>
      <c r="E506" s="1" t="s">
        <v>3510</v>
      </c>
      <c r="F506" s="1" t="s">
        <v>95</v>
      </c>
      <c r="G506" s="1" t="s">
        <v>116</v>
      </c>
      <c r="H506" s="1">
        <v>0</v>
      </c>
      <c r="I506" s="1" t="s">
        <v>109</v>
      </c>
      <c r="K506" s="1" t="s">
        <v>3511</v>
      </c>
      <c r="M506" s="1" t="s">
        <v>130</v>
      </c>
      <c r="N506" s="1">
        <v>1</v>
      </c>
      <c r="O506" s="1">
        <v>0</v>
      </c>
      <c r="P506" s="1" t="s">
        <v>100</v>
      </c>
      <c r="Q506" s="1" t="s">
        <v>101</v>
      </c>
      <c r="R506" s="1" t="s">
        <v>3512</v>
      </c>
      <c r="S506" s="1" t="s">
        <v>103</v>
      </c>
      <c r="T506" s="1">
        <v>1</v>
      </c>
      <c r="U506" s="1">
        <v>1</v>
      </c>
      <c r="V506" s="1">
        <v>0</v>
      </c>
      <c r="W506" s="1">
        <v>0</v>
      </c>
      <c r="X506" s="1">
        <v>0</v>
      </c>
      <c r="Y506" s="1">
        <v>2</v>
      </c>
      <c r="Z506" s="1">
        <v>2</v>
      </c>
      <c r="AA506" s="1" t="s">
        <v>104</v>
      </c>
      <c r="AB506" s="1" t="s">
        <v>104</v>
      </c>
      <c r="AC506" s="1" t="s">
        <v>104</v>
      </c>
      <c r="AD506" s="1" t="s">
        <v>104</v>
      </c>
      <c r="AE506" s="1" t="s">
        <v>104</v>
      </c>
      <c r="AF506" s="1" t="s">
        <v>104</v>
      </c>
      <c r="AG506" s="1" t="s">
        <v>104</v>
      </c>
      <c r="AH506" s="1">
        <v>2</v>
      </c>
      <c r="AI506" s="1" t="s">
        <v>104</v>
      </c>
      <c r="AJ506" s="1" t="s">
        <v>104</v>
      </c>
      <c r="AK506" s="1" t="s">
        <v>104</v>
      </c>
      <c r="AL506" s="1" t="s">
        <v>104</v>
      </c>
      <c r="AM506" s="1" t="s">
        <v>104</v>
      </c>
      <c r="AO506" s="1">
        <v>2</v>
      </c>
      <c r="AQ506" s="1" t="s">
        <v>3513</v>
      </c>
      <c r="AR506" s="1">
        <v>0</v>
      </c>
      <c r="AS506" s="1">
        <v>0</v>
      </c>
      <c r="AT506" s="1">
        <v>0</v>
      </c>
      <c r="AU506" s="1">
        <v>0</v>
      </c>
      <c r="AV506" s="1">
        <v>0</v>
      </c>
      <c r="AW506" s="1">
        <v>0</v>
      </c>
      <c r="AX506" s="1">
        <v>0</v>
      </c>
      <c r="AY506" s="1">
        <v>0</v>
      </c>
      <c r="AZ506" s="1">
        <v>0</v>
      </c>
      <c r="BA506" s="1">
        <v>0</v>
      </c>
      <c r="BB506" s="1">
        <v>0</v>
      </c>
      <c r="BC506" s="1">
        <v>0</v>
      </c>
      <c r="BD506" s="1">
        <v>0</v>
      </c>
      <c r="BE506" s="1">
        <v>0</v>
      </c>
      <c r="BF506" s="1">
        <v>0</v>
      </c>
      <c r="BG506" s="1">
        <v>0</v>
      </c>
      <c r="BH506" s="1">
        <v>0</v>
      </c>
      <c r="BI506" s="1">
        <v>0</v>
      </c>
      <c r="BJ506" s="1">
        <v>0</v>
      </c>
      <c r="BK506" s="1">
        <v>0</v>
      </c>
      <c r="BL506" s="1">
        <v>0</v>
      </c>
      <c r="BM506" s="1">
        <v>0</v>
      </c>
      <c r="BN506" s="1">
        <v>0</v>
      </c>
      <c r="BO506" s="1">
        <v>0</v>
      </c>
      <c r="BP506" s="1">
        <v>0</v>
      </c>
      <c r="BQ506" s="2" t="str">
        <f>HYPERLINK("http://www.d20pfsrd.com/magic/all-spells/s/spectral-hand","Spectral Hand")</f>
        <v>Spectral Hand</v>
      </c>
      <c r="BR506" s="1">
        <v>507</v>
      </c>
      <c r="BS506" s="1" t="s">
        <v>104</v>
      </c>
      <c r="BX506" s="1">
        <v>0</v>
      </c>
      <c r="BY506" s="1" t="s">
        <v>104</v>
      </c>
      <c r="BZ506" s="1" t="s">
        <v>104</v>
      </c>
      <c r="CA506" s="1">
        <v>2</v>
      </c>
      <c r="CB506" s="1">
        <v>2</v>
      </c>
      <c r="CC506" s="1" t="s">
        <v>104</v>
      </c>
      <c r="CD506" s="1">
        <v>2</v>
      </c>
      <c r="CE506" s="1">
        <v>2</v>
      </c>
      <c r="CF506" s="1" t="s">
        <v>104</v>
      </c>
      <c r="CG506" s="1" t="s">
        <v>104</v>
      </c>
      <c r="CH506" s="1" t="s">
        <v>104</v>
      </c>
      <c r="CJ506" s="1">
        <v>0</v>
      </c>
      <c r="CK506" s="1">
        <v>0</v>
      </c>
      <c r="CL506" s="1">
        <v>0</v>
      </c>
      <c r="CM506" s="1" t="s">
        <v>104</v>
      </c>
    </row>
    <row r="507" spans="1:91" ht="14.25" customHeight="1" x14ac:dyDescent="0.3">
      <c r="A507" s="1" t="s">
        <v>3514</v>
      </c>
      <c r="B507" s="1" t="s">
        <v>162</v>
      </c>
      <c r="E507" s="1" t="s">
        <v>3515</v>
      </c>
      <c r="F507" s="1" t="s">
        <v>95</v>
      </c>
      <c r="G507" s="1" t="s">
        <v>127</v>
      </c>
      <c r="H507" s="1">
        <v>0</v>
      </c>
      <c r="I507" s="1" t="s">
        <v>128</v>
      </c>
      <c r="L507" s="1" t="s">
        <v>374</v>
      </c>
      <c r="M507" s="1" t="s">
        <v>140</v>
      </c>
      <c r="N507" s="1">
        <v>0</v>
      </c>
      <c r="O507" s="1">
        <v>0</v>
      </c>
      <c r="P507" s="1" t="s">
        <v>375</v>
      </c>
      <c r="Q507" s="1" t="s">
        <v>131</v>
      </c>
      <c r="R507" s="1" t="s">
        <v>3516</v>
      </c>
      <c r="S507" s="1" t="s">
        <v>103</v>
      </c>
      <c r="T507" s="1">
        <v>1</v>
      </c>
      <c r="U507" s="1">
        <v>1</v>
      </c>
      <c r="V507" s="1">
        <v>0</v>
      </c>
      <c r="W507" s="1">
        <v>0</v>
      </c>
      <c r="X507" s="1">
        <v>1</v>
      </c>
      <c r="Y507" s="1" t="s">
        <v>104</v>
      </c>
      <c r="Z507" s="1" t="s">
        <v>104</v>
      </c>
      <c r="AA507" s="1">
        <v>4</v>
      </c>
      <c r="AB507" s="1" t="s">
        <v>104</v>
      </c>
      <c r="AC507" s="1" t="s">
        <v>104</v>
      </c>
      <c r="AD507" s="1" t="s">
        <v>104</v>
      </c>
      <c r="AE507" s="1" t="s">
        <v>104</v>
      </c>
      <c r="AF507" s="1">
        <v>4</v>
      </c>
      <c r="AG507" s="1" t="s">
        <v>104</v>
      </c>
      <c r="AH507" s="1" t="s">
        <v>104</v>
      </c>
      <c r="AI507" s="1">
        <v>4</v>
      </c>
      <c r="AJ507" s="1">
        <v>4</v>
      </c>
      <c r="AK507" s="1" t="s">
        <v>104</v>
      </c>
      <c r="AL507" s="1" t="s">
        <v>104</v>
      </c>
      <c r="AM507" s="1" t="s">
        <v>104</v>
      </c>
      <c r="AO507" s="1">
        <v>4</v>
      </c>
      <c r="AP507" s="1" t="s">
        <v>3517</v>
      </c>
      <c r="AQ507" s="1" t="s">
        <v>3518</v>
      </c>
      <c r="AR507" s="1">
        <v>0</v>
      </c>
      <c r="AS507" s="1">
        <v>0</v>
      </c>
      <c r="AT507" s="1">
        <v>0</v>
      </c>
      <c r="AU507" s="1">
        <v>0</v>
      </c>
      <c r="AV507" s="1">
        <v>0</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0</v>
      </c>
      <c r="BM507" s="1">
        <v>0</v>
      </c>
      <c r="BN507" s="1">
        <v>0</v>
      </c>
      <c r="BO507" s="1">
        <v>0</v>
      </c>
      <c r="BP507" s="1">
        <v>0</v>
      </c>
      <c r="BQ507" s="2" t="str">
        <f>HYPERLINK("http://www.d20pfsrd.com/magic/all-spells/s/spell-immunity","Spell Immunity")</f>
        <v>Spell Immunity</v>
      </c>
      <c r="BR507" s="1">
        <v>508</v>
      </c>
      <c r="BS507" s="1" t="s">
        <v>104</v>
      </c>
      <c r="BU507" s="1" t="s">
        <v>3519</v>
      </c>
      <c r="BX507" s="1">
        <v>0</v>
      </c>
      <c r="BY507" s="1" t="s">
        <v>104</v>
      </c>
      <c r="BZ507" s="1" t="s">
        <v>104</v>
      </c>
      <c r="CA507" s="1">
        <v>4</v>
      </c>
      <c r="CB507" s="1" t="s">
        <v>104</v>
      </c>
      <c r="CC507" s="1" t="s">
        <v>104</v>
      </c>
      <c r="CD507" s="1">
        <v>4</v>
      </c>
      <c r="CE507" s="1">
        <v>4</v>
      </c>
      <c r="CF507" s="1" t="s">
        <v>104</v>
      </c>
      <c r="CG507" s="1" t="s">
        <v>104</v>
      </c>
      <c r="CH507" s="1" t="s">
        <v>104</v>
      </c>
      <c r="CJ507" s="1">
        <v>0</v>
      </c>
      <c r="CK507" s="1">
        <v>0</v>
      </c>
      <c r="CL507" s="1">
        <v>0</v>
      </c>
      <c r="CM507" s="1" t="s">
        <v>104</v>
      </c>
    </row>
    <row r="508" spans="1:91" ht="14.25" customHeight="1" x14ac:dyDescent="0.3">
      <c r="A508" s="1" t="s">
        <v>3520</v>
      </c>
      <c r="B508" s="1" t="s">
        <v>162</v>
      </c>
      <c r="E508" s="1" t="s">
        <v>3521</v>
      </c>
      <c r="F508" s="1" t="s">
        <v>95</v>
      </c>
      <c r="G508" s="1" t="s">
        <v>127</v>
      </c>
      <c r="H508" s="1">
        <v>0</v>
      </c>
      <c r="I508" s="1" t="s">
        <v>128</v>
      </c>
      <c r="L508" s="1" t="s">
        <v>374</v>
      </c>
      <c r="M508" s="1" t="s">
        <v>140</v>
      </c>
      <c r="N508" s="1">
        <v>0</v>
      </c>
      <c r="O508" s="1">
        <v>0</v>
      </c>
      <c r="P508" s="1" t="s">
        <v>375</v>
      </c>
      <c r="Q508" s="1" t="s">
        <v>131</v>
      </c>
      <c r="R508" s="1" t="s">
        <v>3522</v>
      </c>
      <c r="S508" s="1" t="s">
        <v>103</v>
      </c>
      <c r="T508" s="1">
        <v>1</v>
      </c>
      <c r="U508" s="1">
        <v>1</v>
      </c>
      <c r="V508" s="1">
        <v>0</v>
      </c>
      <c r="W508" s="1">
        <v>0</v>
      </c>
      <c r="X508" s="1">
        <v>1</v>
      </c>
      <c r="Y508" s="1" t="s">
        <v>104</v>
      </c>
      <c r="Z508" s="1" t="s">
        <v>104</v>
      </c>
      <c r="AA508" s="1">
        <v>8</v>
      </c>
      <c r="AB508" s="1" t="s">
        <v>104</v>
      </c>
      <c r="AC508" s="1" t="s">
        <v>104</v>
      </c>
      <c r="AD508" s="1" t="s">
        <v>104</v>
      </c>
      <c r="AE508" s="1" t="s">
        <v>104</v>
      </c>
      <c r="AF508" s="1" t="s">
        <v>104</v>
      </c>
      <c r="AG508" s="1" t="s">
        <v>104</v>
      </c>
      <c r="AH508" s="1" t="s">
        <v>104</v>
      </c>
      <c r="AI508" s="1" t="s">
        <v>104</v>
      </c>
      <c r="AJ508" s="1">
        <v>8</v>
      </c>
      <c r="AK508" s="1" t="s">
        <v>104</v>
      </c>
      <c r="AL508" s="1" t="s">
        <v>104</v>
      </c>
      <c r="AM508" s="1" t="s">
        <v>104</v>
      </c>
      <c r="AO508" s="1">
        <v>8</v>
      </c>
      <c r="AQ508" s="1" t="s">
        <v>3523</v>
      </c>
      <c r="AR508" s="1">
        <v>0</v>
      </c>
      <c r="AS508" s="1">
        <v>0</v>
      </c>
      <c r="AT508" s="1">
        <v>0</v>
      </c>
      <c r="AU508" s="1">
        <v>0</v>
      </c>
      <c r="AV508" s="1">
        <v>0</v>
      </c>
      <c r="AW508" s="1">
        <v>0</v>
      </c>
      <c r="AX508" s="1">
        <v>0</v>
      </c>
      <c r="AY508" s="1">
        <v>0</v>
      </c>
      <c r="AZ508" s="1">
        <v>0</v>
      </c>
      <c r="BA508" s="1">
        <v>0</v>
      </c>
      <c r="BB508" s="1">
        <v>0</v>
      </c>
      <c r="BC508" s="1">
        <v>0</v>
      </c>
      <c r="BD508" s="1">
        <v>0</v>
      </c>
      <c r="BE508" s="1">
        <v>0</v>
      </c>
      <c r="BF508" s="1">
        <v>0</v>
      </c>
      <c r="BG508" s="1">
        <v>0</v>
      </c>
      <c r="BH508" s="1">
        <v>0</v>
      </c>
      <c r="BI508" s="1">
        <v>0</v>
      </c>
      <c r="BJ508" s="1">
        <v>0</v>
      </c>
      <c r="BK508" s="1">
        <v>0</v>
      </c>
      <c r="BL508" s="1">
        <v>0</v>
      </c>
      <c r="BM508" s="1">
        <v>0</v>
      </c>
      <c r="BN508" s="1">
        <v>0</v>
      </c>
      <c r="BO508" s="1">
        <v>0</v>
      </c>
      <c r="BP508" s="1">
        <v>0</v>
      </c>
      <c r="BQ508" s="2" t="str">
        <f>HYPERLINK("http://www.d20pfsrd.com/magic/all-spells/s/spell-immunity","Spell Immunity, Greater")</f>
        <v>Spell Immunity, Greater</v>
      </c>
      <c r="BR508" s="1">
        <v>509</v>
      </c>
      <c r="BS508" s="1" t="s">
        <v>104</v>
      </c>
      <c r="BX508" s="1">
        <v>0</v>
      </c>
      <c r="BY508" s="1" t="s">
        <v>104</v>
      </c>
      <c r="BZ508" s="1" t="s">
        <v>104</v>
      </c>
      <c r="CA508" s="1">
        <v>8</v>
      </c>
      <c r="CB508" s="1" t="s">
        <v>104</v>
      </c>
      <c r="CC508" s="1" t="s">
        <v>104</v>
      </c>
      <c r="CD508" s="1" t="s">
        <v>104</v>
      </c>
      <c r="CE508" s="1" t="s">
        <v>104</v>
      </c>
      <c r="CF508" s="1" t="s">
        <v>104</v>
      </c>
      <c r="CG508" s="1" t="s">
        <v>104</v>
      </c>
      <c r="CH508" s="1" t="s">
        <v>104</v>
      </c>
      <c r="CJ508" s="1">
        <v>0</v>
      </c>
      <c r="CK508" s="1">
        <v>0</v>
      </c>
      <c r="CL508" s="1">
        <v>0</v>
      </c>
      <c r="CM508" s="1" t="s">
        <v>104</v>
      </c>
    </row>
    <row r="509" spans="1:91" ht="14.25" customHeight="1" x14ac:dyDescent="0.3">
      <c r="A509" s="1" t="s">
        <v>3524</v>
      </c>
      <c r="B509" s="1" t="s">
        <v>162</v>
      </c>
      <c r="E509" s="1" t="s">
        <v>3525</v>
      </c>
      <c r="F509" s="1" t="s">
        <v>95</v>
      </c>
      <c r="G509" s="1" t="s">
        <v>127</v>
      </c>
      <c r="H509" s="1">
        <v>0</v>
      </c>
      <c r="I509" s="1" t="s">
        <v>128</v>
      </c>
      <c r="L509" s="1" t="s">
        <v>374</v>
      </c>
      <c r="M509" s="1" t="s">
        <v>130</v>
      </c>
      <c r="N509" s="1">
        <v>0</v>
      </c>
      <c r="O509" s="1">
        <v>0</v>
      </c>
      <c r="P509" s="1" t="s">
        <v>375</v>
      </c>
      <c r="Q509" s="1" t="s">
        <v>131</v>
      </c>
      <c r="R509" s="1" t="s">
        <v>3526</v>
      </c>
      <c r="S509" s="1" t="s">
        <v>103</v>
      </c>
      <c r="T509" s="1">
        <v>1</v>
      </c>
      <c r="U509" s="1">
        <v>1</v>
      </c>
      <c r="V509" s="1">
        <v>0</v>
      </c>
      <c r="W509" s="1">
        <v>0</v>
      </c>
      <c r="X509" s="1">
        <v>1</v>
      </c>
      <c r="Y509" s="1" t="s">
        <v>104</v>
      </c>
      <c r="Z509" s="1" t="s">
        <v>104</v>
      </c>
      <c r="AA509" s="1">
        <v>5</v>
      </c>
      <c r="AB509" s="1" t="s">
        <v>104</v>
      </c>
      <c r="AC509" s="1" t="s">
        <v>104</v>
      </c>
      <c r="AD509" s="1" t="s">
        <v>104</v>
      </c>
      <c r="AE509" s="1" t="s">
        <v>104</v>
      </c>
      <c r="AF509" s="1">
        <v>5</v>
      </c>
      <c r="AG509" s="1" t="s">
        <v>104</v>
      </c>
      <c r="AH509" s="1" t="s">
        <v>104</v>
      </c>
      <c r="AI509" s="1">
        <v>5</v>
      </c>
      <c r="AJ509" s="1">
        <v>5</v>
      </c>
      <c r="AK509" s="1" t="s">
        <v>104</v>
      </c>
      <c r="AL509" s="1" t="s">
        <v>104</v>
      </c>
      <c r="AM509" s="1" t="s">
        <v>104</v>
      </c>
      <c r="AO509" s="1">
        <v>5</v>
      </c>
      <c r="AP509" s="1" t="s">
        <v>3527</v>
      </c>
      <c r="AQ509" s="1" t="s">
        <v>3528</v>
      </c>
      <c r="AR509" s="1">
        <v>0</v>
      </c>
      <c r="AS509" s="1">
        <v>0</v>
      </c>
      <c r="AT509" s="1">
        <v>0</v>
      </c>
      <c r="AU509" s="1">
        <v>0</v>
      </c>
      <c r="AV509" s="1">
        <v>0</v>
      </c>
      <c r="AW509" s="1">
        <v>0</v>
      </c>
      <c r="AX509" s="1">
        <v>0</v>
      </c>
      <c r="AY509" s="1">
        <v>0</v>
      </c>
      <c r="AZ509" s="1">
        <v>0</v>
      </c>
      <c r="BA509" s="1">
        <v>0</v>
      </c>
      <c r="BB509" s="1">
        <v>0</v>
      </c>
      <c r="BC509" s="1">
        <v>0</v>
      </c>
      <c r="BD509" s="1">
        <v>0</v>
      </c>
      <c r="BE509" s="1">
        <v>0</v>
      </c>
      <c r="BF509" s="1">
        <v>0</v>
      </c>
      <c r="BG509" s="1">
        <v>0</v>
      </c>
      <c r="BH509" s="1">
        <v>0</v>
      </c>
      <c r="BI509" s="1">
        <v>0</v>
      </c>
      <c r="BJ509" s="1">
        <v>0</v>
      </c>
      <c r="BK509" s="1">
        <v>0</v>
      </c>
      <c r="BL509" s="1">
        <v>0</v>
      </c>
      <c r="BM509" s="1">
        <v>0</v>
      </c>
      <c r="BN509" s="1">
        <v>0</v>
      </c>
      <c r="BO509" s="1">
        <v>0</v>
      </c>
      <c r="BP509" s="1">
        <v>0</v>
      </c>
      <c r="BQ509" s="2" t="str">
        <f>HYPERLINK("http://www.d20pfsrd.com/magic/all-spells/s/spell-resistance","Spell Resistance")</f>
        <v>Spell Resistance</v>
      </c>
      <c r="BR509" s="1">
        <v>510</v>
      </c>
      <c r="BS509" s="1" t="s">
        <v>104</v>
      </c>
      <c r="BT509" s="1" t="s">
        <v>3529</v>
      </c>
      <c r="BU509" s="1" t="s">
        <v>3530</v>
      </c>
      <c r="BX509" s="1">
        <v>0</v>
      </c>
      <c r="BY509" s="1" t="s">
        <v>104</v>
      </c>
      <c r="BZ509" s="1" t="s">
        <v>104</v>
      </c>
      <c r="CA509" s="1">
        <v>5</v>
      </c>
      <c r="CB509" s="1" t="s">
        <v>104</v>
      </c>
      <c r="CC509" s="1" t="s">
        <v>104</v>
      </c>
      <c r="CD509" s="1">
        <v>5</v>
      </c>
      <c r="CE509" s="1">
        <v>5</v>
      </c>
      <c r="CF509" s="1" t="s">
        <v>104</v>
      </c>
      <c r="CG509" s="1" t="s">
        <v>104</v>
      </c>
      <c r="CH509" s="1" t="s">
        <v>104</v>
      </c>
      <c r="CJ509" s="1">
        <v>0</v>
      </c>
      <c r="CK509" s="1">
        <v>0</v>
      </c>
      <c r="CL509" s="1">
        <v>0</v>
      </c>
      <c r="CM509" s="1" t="s">
        <v>104</v>
      </c>
    </row>
    <row r="510" spans="1:91" ht="14.25" customHeight="1" x14ac:dyDescent="0.3">
      <c r="A510" s="1" t="s">
        <v>3531</v>
      </c>
      <c r="B510" s="1" t="s">
        <v>137</v>
      </c>
      <c r="E510" s="1" t="s">
        <v>3091</v>
      </c>
      <c r="F510" s="1" t="s">
        <v>287</v>
      </c>
      <c r="G510" s="1" t="s">
        <v>3532</v>
      </c>
      <c r="H510" s="1">
        <v>0</v>
      </c>
      <c r="I510" s="1" t="s">
        <v>128</v>
      </c>
      <c r="L510" s="1" t="s">
        <v>3533</v>
      </c>
      <c r="M510" s="1" t="s">
        <v>1457</v>
      </c>
      <c r="N510" s="1">
        <v>1</v>
      </c>
      <c r="O510" s="1">
        <v>0</v>
      </c>
      <c r="P510" s="1" t="s">
        <v>471</v>
      </c>
      <c r="Q510" s="1" t="s">
        <v>472</v>
      </c>
      <c r="R510" s="1" t="s">
        <v>3534</v>
      </c>
      <c r="S510" s="1" t="s">
        <v>103</v>
      </c>
      <c r="T510" s="1">
        <v>1</v>
      </c>
      <c r="U510" s="1">
        <v>1</v>
      </c>
      <c r="V510" s="1">
        <v>0</v>
      </c>
      <c r="W510" s="1">
        <v>1</v>
      </c>
      <c r="X510" s="1">
        <v>0</v>
      </c>
      <c r="Y510" s="1" t="s">
        <v>104</v>
      </c>
      <c r="Z510" s="1" t="s">
        <v>104</v>
      </c>
      <c r="AA510" s="1" t="s">
        <v>104</v>
      </c>
      <c r="AB510" s="1">
        <v>6</v>
      </c>
      <c r="AC510" s="1" t="s">
        <v>104</v>
      </c>
      <c r="AD510" s="1" t="s">
        <v>104</v>
      </c>
      <c r="AE510" s="1" t="s">
        <v>104</v>
      </c>
      <c r="AF510" s="1" t="s">
        <v>104</v>
      </c>
      <c r="AG510" s="1" t="s">
        <v>104</v>
      </c>
      <c r="AH510" s="1" t="s">
        <v>104</v>
      </c>
      <c r="AI510" s="1" t="s">
        <v>104</v>
      </c>
      <c r="AJ510" s="1" t="s">
        <v>104</v>
      </c>
      <c r="AK510" s="1" t="s">
        <v>104</v>
      </c>
      <c r="AL510" s="1" t="s">
        <v>104</v>
      </c>
      <c r="AM510" s="1" t="s">
        <v>104</v>
      </c>
      <c r="AO510" s="1">
        <v>6</v>
      </c>
      <c r="AQ510" s="1" t="s">
        <v>3535</v>
      </c>
      <c r="AR510" s="1">
        <v>0</v>
      </c>
      <c r="AS510" s="1">
        <v>0</v>
      </c>
      <c r="AT510" s="1">
        <v>0</v>
      </c>
      <c r="AU510" s="1">
        <v>0</v>
      </c>
      <c r="AV510" s="1">
        <v>0</v>
      </c>
      <c r="AW510" s="1">
        <v>0</v>
      </c>
      <c r="AX510" s="1">
        <v>0</v>
      </c>
      <c r="AY510" s="1">
        <v>0</v>
      </c>
      <c r="AZ510" s="1">
        <v>0</v>
      </c>
      <c r="BA510" s="1">
        <v>0</v>
      </c>
      <c r="BB510" s="1">
        <v>0</v>
      </c>
      <c r="BC510" s="1">
        <v>0</v>
      </c>
      <c r="BD510" s="1">
        <v>0</v>
      </c>
      <c r="BE510" s="1">
        <v>0</v>
      </c>
      <c r="BF510" s="1">
        <v>0</v>
      </c>
      <c r="BG510" s="1">
        <v>0</v>
      </c>
      <c r="BH510" s="1">
        <v>0</v>
      </c>
      <c r="BI510" s="1">
        <v>0</v>
      </c>
      <c r="BJ510" s="1">
        <v>0</v>
      </c>
      <c r="BK510" s="1">
        <v>0</v>
      </c>
      <c r="BL510" s="1">
        <v>0</v>
      </c>
      <c r="BM510" s="1">
        <v>0</v>
      </c>
      <c r="BN510" s="1">
        <v>0</v>
      </c>
      <c r="BO510" s="1">
        <v>0</v>
      </c>
      <c r="BP510" s="1">
        <v>0</v>
      </c>
      <c r="BQ510" s="2" t="str">
        <f>HYPERLINK("http://www.d20pfsrd.com/magic/all-spells/s/spellstaff","Spellstaff")</f>
        <v>Spellstaff</v>
      </c>
      <c r="BR510" s="1">
        <v>511</v>
      </c>
      <c r="BS510" s="1" t="s">
        <v>104</v>
      </c>
      <c r="BX510" s="1">
        <v>0</v>
      </c>
      <c r="BY510" s="1" t="s">
        <v>104</v>
      </c>
      <c r="BZ510" s="1" t="s">
        <v>104</v>
      </c>
      <c r="CA510" s="1" t="s">
        <v>104</v>
      </c>
      <c r="CB510" s="1" t="s">
        <v>104</v>
      </c>
      <c r="CC510" s="1" t="s">
        <v>104</v>
      </c>
      <c r="CD510" s="1" t="s">
        <v>104</v>
      </c>
      <c r="CE510" s="1" t="s">
        <v>104</v>
      </c>
      <c r="CF510" s="1" t="s">
        <v>104</v>
      </c>
      <c r="CG510" s="1" t="s">
        <v>104</v>
      </c>
      <c r="CH510" s="1">
        <v>6</v>
      </c>
      <c r="CJ510" s="1">
        <v>0</v>
      </c>
      <c r="CK510" s="1">
        <v>0</v>
      </c>
      <c r="CL510" s="1">
        <v>0</v>
      </c>
      <c r="CM510" s="1" t="s">
        <v>104</v>
      </c>
    </row>
    <row r="511" spans="1:91" ht="14.25" customHeight="1" x14ac:dyDescent="0.3">
      <c r="A511" s="1" t="s">
        <v>3536</v>
      </c>
      <c r="B511" s="1" t="s">
        <v>162</v>
      </c>
      <c r="E511" s="1" t="s">
        <v>3276</v>
      </c>
      <c r="F511" s="1" t="s">
        <v>95</v>
      </c>
      <c r="G511" s="1" t="s">
        <v>3537</v>
      </c>
      <c r="H511" s="1">
        <v>0</v>
      </c>
      <c r="I511" s="1" t="s">
        <v>157</v>
      </c>
      <c r="L511" s="1" t="s">
        <v>158</v>
      </c>
      <c r="M511" s="1" t="s">
        <v>3538</v>
      </c>
      <c r="N511" s="1">
        <v>0</v>
      </c>
      <c r="O511" s="1">
        <v>0</v>
      </c>
      <c r="R511" s="1" t="s">
        <v>3539</v>
      </c>
      <c r="S511" s="1" t="s">
        <v>103</v>
      </c>
      <c r="T511" s="1">
        <v>1</v>
      </c>
      <c r="U511" s="1">
        <v>1</v>
      </c>
      <c r="V511" s="1">
        <v>1</v>
      </c>
      <c r="W511" s="1">
        <v>0</v>
      </c>
      <c r="X511" s="1">
        <v>1</v>
      </c>
      <c r="Y511" s="1">
        <v>7</v>
      </c>
      <c r="Z511" s="1">
        <v>7</v>
      </c>
      <c r="AA511" s="1" t="s">
        <v>104</v>
      </c>
      <c r="AB511" s="1" t="s">
        <v>104</v>
      </c>
      <c r="AC511" s="1" t="s">
        <v>104</v>
      </c>
      <c r="AD511" s="1" t="s">
        <v>104</v>
      </c>
      <c r="AE511" s="1" t="s">
        <v>104</v>
      </c>
      <c r="AF511" s="1" t="s">
        <v>104</v>
      </c>
      <c r="AG511" s="1">
        <v>5</v>
      </c>
      <c r="AH511" s="1" t="s">
        <v>104</v>
      </c>
      <c r="AI511" s="1" t="s">
        <v>104</v>
      </c>
      <c r="AJ511" s="1" t="s">
        <v>104</v>
      </c>
      <c r="AK511" s="1" t="s">
        <v>104</v>
      </c>
      <c r="AL511" s="1" t="s">
        <v>104</v>
      </c>
      <c r="AM511" s="1" t="s">
        <v>104</v>
      </c>
      <c r="AO511" s="1">
        <v>7</v>
      </c>
      <c r="AP511" s="1" t="s">
        <v>3540</v>
      </c>
      <c r="AQ511" s="1" t="s">
        <v>3541</v>
      </c>
      <c r="AR511" s="1">
        <v>0</v>
      </c>
      <c r="AS511" s="1">
        <v>0</v>
      </c>
      <c r="AT511" s="1">
        <v>0</v>
      </c>
      <c r="AU511" s="1">
        <v>0</v>
      </c>
      <c r="AV511" s="1">
        <v>0</v>
      </c>
      <c r="AW511" s="1">
        <v>0</v>
      </c>
      <c r="AX511" s="1">
        <v>0</v>
      </c>
      <c r="AY511" s="1">
        <v>0</v>
      </c>
      <c r="AZ511" s="1">
        <v>0</v>
      </c>
      <c r="BA511" s="1">
        <v>0</v>
      </c>
      <c r="BB511" s="1">
        <v>0</v>
      </c>
      <c r="BC511" s="1">
        <v>0</v>
      </c>
      <c r="BD511" s="1">
        <v>0</v>
      </c>
      <c r="BE511" s="1">
        <v>0</v>
      </c>
      <c r="BF511" s="1">
        <v>0</v>
      </c>
      <c r="BG511" s="1">
        <v>0</v>
      </c>
      <c r="BH511" s="1">
        <v>0</v>
      </c>
      <c r="BI511" s="1">
        <v>0</v>
      </c>
      <c r="BJ511" s="1">
        <v>0</v>
      </c>
      <c r="BK511" s="1">
        <v>0</v>
      </c>
      <c r="BL511" s="1">
        <v>0</v>
      </c>
      <c r="BM511" s="1">
        <v>0</v>
      </c>
      <c r="BN511" s="1">
        <v>0</v>
      </c>
      <c r="BO511" s="1">
        <v>0</v>
      </c>
      <c r="BP511" s="1">
        <v>0</v>
      </c>
      <c r="BQ511" s="2" t="str">
        <f>HYPERLINK("http://www.d20pfsrd.com/magic/all-spells/s/spell-turning","Spell Turning")</f>
        <v>Spell Turning</v>
      </c>
      <c r="BR511" s="1">
        <v>512</v>
      </c>
      <c r="BS511" s="1" t="s">
        <v>104</v>
      </c>
      <c r="BT511" s="1" t="s">
        <v>3542</v>
      </c>
      <c r="BU511" s="1" t="s">
        <v>3543</v>
      </c>
      <c r="BX511" s="1">
        <v>0</v>
      </c>
      <c r="BY511" s="1" t="s">
        <v>104</v>
      </c>
      <c r="BZ511" s="1" t="s">
        <v>104</v>
      </c>
      <c r="CA511" s="1">
        <v>7</v>
      </c>
      <c r="CB511" s="1" t="s">
        <v>104</v>
      </c>
      <c r="CC511" s="1" t="s">
        <v>104</v>
      </c>
      <c r="CD511" s="1" t="s">
        <v>104</v>
      </c>
      <c r="CE511" s="1" t="s">
        <v>104</v>
      </c>
      <c r="CF511" s="1" t="s">
        <v>104</v>
      </c>
      <c r="CG511" s="1" t="s">
        <v>104</v>
      </c>
      <c r="CH511" s="1" t="s">
        <v>104</v>
      </c>
      <c r="CJ511" s="1">
        <v>0</v>
      </c>
      <c r="CK511" s="1">
        <v>0</v>
      </c>
      <c r="CL511" s="1">
        <v>0</v>
      </c>
      <c r="CM511" s="1">
        <v>6</v>
      </c>
    </row>
    <row r="512" spans="1:91" ht="14.25" customHeight="1" x14ac:dyDescent="0.3">
      <c r="A512" s="1" t="s">
        <v>3544</v>
      </c>
      <c r="B512" s="1" t="s">
        <v>137</v>
      </c>
      <c r="E512" s="1" t="s">
        <v>3545</v>
      </c>
      <c r="F512" s="1" t="s">
        <v>95</v>
      </c>
      <c r="G512" s="1" t="s">
        <v>3546</v>
      </c>
      <c r="H512" s="1">
        <v>0</v>
      </c>
      <c r="I512" s="1" t="s">
        <v>128</v>
      </c>
      <c r="L512" s="1" t="s">
        <v>374</v>
      </c>
      <c r="M512" s="1" t="s">
        <v>140</v>
      </c>
      <c r="N512" s="1">
        <v>0</v>
      </c>
      <c r="O512" s="1">
        <v>0</v>
      </c>
      <c r="P512" s="1" t="s">
        <v>375</v>
      </c>
      <c r="Q512" s="1" t="s">
        <v>131</v>
      </c>
      <c r="R512" s="1" t="s">
        <v>3547</v>
      </c>
      <c r="S512" s="1" t="s">
        <v>103</v>
      </c>
      <c r="T512" s="1">
        <v>1</v>
      </c>
      <c r="U512" s="1">
        <v>1</v>
      </c>
      <c r="V512" s="1">
        <v>1</v>
      </c>
      <c r="W512" s="1">
        <v>0</v>
      </c>
      <c r="X512" s="1">
        <v>0</v>
      </c>
      <c r="Y512" s="1">
        <v>2</v>
      </c>
      <c r="Z512" s="1">
        <v>2</v>
      </c>
      <c r="AA512" s="1" t="s">
        <v>104</v>
      </c>
      <c r="AB512" s="1">
        <v>2</v>
      </c>
      <c r="AC512" s="1" t="s">
        <v>104</v>
      </c>
      <c r="AD512" s="1" t="s">
        <v>104</v>
      </c>
      <c r="AE512" s="1" t="s">
        <v>104</v>
      </c>
      <c r="AF512" s="1">
        <v>2</v>
      </c>
      <c r="AG512" s="1">
        <v>2</v>
      </c>
      <c r="AH512" s="1" t="s">
        <v>104</v>
      </c>
      <c r="AI512" s="1" t="s">
        <v>104</v>
      </c>
      <c r="AJ512" s="1" t="s">
        <v>104</v>
      </c>
      <c r="AK512" s="1" t="s">
        <v>104</v>
      </c>
      <c r="AL512" s="1">
        <v>2</v>
      </c>
      <c r="AM512" s="1" t="s">
        <v>104</v>
      </c>
      <c r="AO512" s="1">
        <v>2</v>
      </c>
      <c r="AQ512" s="1" t="s">
        <v>3548</v>
      </c>
      <c r="AR512" s="1">
        <v>0</v>
      </c>
      <c r="AS512" s="1">
        <v>0</v>
      </c>
      <c r="AT512" s="1">
        <v>0</v>
      </c>
      <c r="AU512" s="1">
        <v>0</v>
      </c>
      <c r="AV512" s="1">
        <v>0</v>
      </c>
      <c r="AW512" s="1">
        <v>0</v>
      </c>
      <c r="AX512" s="1">
        <v>0</v>
      </c>
      <c r="AY512" s="1">
        <v>0</v>
      </c>
      <c r="AZ512" s="1">
        <v>0</v>
      </c>
      <c r="BA512" s="1">
        <v>0</v>
      </c>
      <c r="BB512" s="1">
        <v>0</v>
      </c>
      <c r="BC512" s="1">
        <v>0</v>
      </c>
      <c r="BD512" s="1">
        <v>0</v>
      </c>
      <c r="BE512" s="1">
        <v>0</v>
      </c>
      <c r="BF512" s="1">
        <v>0</v>
      </c>
      <c r="BG512" s="1">
        <v>0</v>
      </c>
      <c r="BH512" s="1">
        <v>0</v>
      </c>
      <c r="BI512" s="1">
        <v>0</v>
      </c>
      <c r="BJ512" s="1">
        <v>0</v>
      </c>
      <c r="BK512" s="1">
        <v>0</v>
      </c>
      <c r="BL512" s="1">
        <v>0</v>
      </c>
      <c r="BM512" s="1">
        <v>0</v>
      </c>
      <c r="BN512" s="1">
        <v>0</v>
      </c>
      <c r="BO512" s="1">
        <v>0</v>
      </c>
      <c r="BP512" s="1">
        <v>0</v>
      </c>
      <c r="BQ512" s="2" t="str">
        <f>HYPERLINK("http://www.d20pfsrd.com/magic/all-spells/s/spider-climb","Spider Climb")</f>
        <v>Spider Climb</v>
      </c>
      <c r="BR512" s="1">
        <v>513</v>
      </c>
      <c r="BS512" s="1" t="s">
        <v>104</v>
      </c>
      <c r="BV512" s="1" t="s">
        <v>3549</v>
      </c>
      <c r="BX512" s="1">
        <v>1</v>
      </c>
      <c r="BY512" s="1">
        <v>2</v>
      </c>
      <c r="BZ512" s="1" t="s">
        <v>104</v>
      </c>
      <c r="CA512" s="1">
        <v>2</v>
      </c>
      <c r="CB512" s="1">
        <v>2</v>
      </c>
      <c r="CC512" s="1" t="s">
        <v>104</v>
      </c>
      <c r="CD512" s="1">
        <v>2</v>
      </c>
      <c r="CE512" s="1" t="s">
        <v>104</v>
      </c>
      <c r="CF512" s="1" t="s">
        <v>104</v>
      </c>
      <c r="CG512" s="1" t="s">
        <v>104</v>
      </c>
      <c r="CH512" s="1">
        <v>2</v>
      </c>
      <c r="CJ512" s="1">
        <v>0</v>
      </c>
      <c r="CK512" s="1">
        <v>0</v>
      </c>
      <c r="CL512" s="1">
        <v>0</v>
      </c>
      <c r="CM512" s="1">
        <v>2</v>
      </c>
    </row>
    <row r="513" spans="1:91" ht="14.25" customHeight="1" x14ac:dyDescent="0.3">
      <c r="A513" s="1" t="s">
        <v>3550</v>
      </c>
      <c r="B513" s="1" t="s">
        <v>137</v>
      </c>
      <c r="E513" s="1" t="s">
        <v>3455</v>
      </c>
      <c r="F513" s="1" t="s">
        <v>95</v>
      </c>
      <c r="G513" s="1" t="s">
        <v>127</v>
      </c>
      <c r="H513" s="1">
        <v>0</v>
      </c>
      <c r="I513" s="1" t="s">
        <v>109</v>
      </c>
      <c r="J513" s="1" t="s">
        <v>3551</v>
      </c>
      <c r="M513" s="1" t="s">
        <v>201</v>
      </c>
      <c r="N513" s="1">
        <v>1</v>
      </c>
      <c r="O513" s="1">
        <v>0</v>
      </c>
      <c r="P513" s="1" t="s">
        <v>3552</v>
      </c>
      <c r="Q513" s="1" t="s">
        <v>184</v>
      </c>
      <c r="R513" s="1" t="s">
        <v>3553</v>
      </c>
      <c r="S513" s="1" t="s">
        <v>103</v>
      </c>
      <c r="T513" s="1">
        <v>1</v>
      </c>
      <c r="U513" s="1">
        <v>1</v>
      </c>
      <c r="V513" s="1">
        <v>0</v>
      </c>
      <c r="W513" s="1">
        <v>0</v>
      </c>
      <c r="X513" s="1">
        <v>1</v>
      </c>
      <c r="Y513" s="1" t="s">
        <v>104</v>
      </c>
      <c r="Z513" s="1" t="s">
        <v>104</v>
      </c>
      <c r="AA513" s="1" t="s">
        <v>104</v>
      </c>
      <c r="AB513" s="1">
        <v>3</v>
      </c>
      <c r="AC513" s="1">
        <v>2</v>
      </c>
      <c r="AD513" s="1" t="s">
        <v>104</v>
      </c>
      <c r="AE513" s="1" t="s">
        <v>104</v>
      </c>
      <c r="AF513" s="1" t="s">
        <v>104</v>
      </c>
      <c r="AG513" s="1" t="s">
        <v>104</v>
      </c>
      <c r="AH513" s="1" t="s">
        <v>104</v>
      </c>
      <c r="AI513" s="1" t="s">
        <v>104</v>
      </c>
      <c r="AJ513" s="1" t="s">
        <v>104</v>
      </c>
      <c r="AK513" s="1" t="s">
        <v>104</v>
      </c>
      <c r="AL513" s="1" t="s">
        <v>104</v>
      </c>
      <c r="AM513" s="1" t="s">
        <v>104</v>
      </c>
      <c r="AO513" s="1">
        <v>3</v>
      </c>
      <c r="AQ513" s="1" t="s">
        <v>3554</v>
      </c>
      <c r="AR513" s="1">
        <v>0</v>
      </c>
      <c r="AS513" s="1">
        <v>0</v>
      </c>
      <c r="AT513" s="1">
        <v>0</v>
      </c>
      <c r="AU513" s="1">
        <v>0</v>
      </c>
      <c r="AV513" s="1">
        <v>0</v>
      </c>
      <c r="AW513" s="1">
        <v>0</v>
      </c>
      <c r="AX513" s="1">
        <v>0</v>
      </c>
      <c r="AY513" s="1">
        <v>0</v>
      </c>
      <c r="AZ513" s="1">
        <v>0</v>
      </c>
      <c r="BA513" s="1">
        <v>0</v>
      </c>
      <c r="BB513" s="1">
        <v>0</v>
      </c>
      <c r="BC513" s="1">
        <v>0</v>
      </c>
      <c r="BD513" s="1">
        <v>0</v>
      </c>
      <c r="BE513" s="1">
        <v>0</v>
      </c>
      <c r="BF513" s="1">
        <v>0</v>
      </c>
      <c r="BG513" s="1">
        <v>0</v>
      </c>
      <c r="BH513" s="1">
        <v>0</v>
      </c>
      <c r="BI513" s="1">
        <v>0</v>
      </c>
      <c r="BJ513" s="1">
        <v>0</v>
      </c>
      <c r="BK513" s="1">
        <v>0</v>
      </c>
      <c r="BL513" s="1">
        <v>0</v>
      </c>
      <c r="BM513" s="1">
        <v>0</v>
      </c>
      <c r="BN513" s="1">
        <v>0</v>
      </c>
      <c r="BO513" s="1">
        <v>0</v>
      </c>
      <c r="BP513" s="1">
        <v>0</v>
      </c>
      <c r="BQ513" s="2" t="str">
        <f>HYPERLINK("http://www.d20pfsrd.com/magic/all-spells/s/spike-growth","Spike Growth")</f>
        <v>Spike Growth</v>
      </c>
      <c r="BR513" s="1">
        <v>514</v>
      </c>
      <c r="BS513" s="1" t="s">
        <v>104</v>
      </c>
      <c r="BX513" s="1">
        <v>0</v>
      </c>
      <c r="BY513" s="1" t="s">
        <v>104</v>
      </c>
      <c r="BZ513" s="1" t="s">
        <v>104</v>
      </c>
      <c r="CA513" s="1" t="s">
        <v>104</v>
      </c>
      <c r="CB513" s="1" t="s">
        <v>104</v>
      </c>
      <c r="CC513" s="1" t="s">
        <v>104</v>
      </c>
      <c r="CD513" s="1" t="s">
        <v>104</v>
      </c>
      <c r="CE513" s="1" t="s">
        <v>104</v>
      </c>
      <c r="CF513" s="1" t="s">
        <v>104</v>
      </c>
      <c r="CG513" s="1" t="s">
        <v>104</v>
      </c>
      <c r="CH513" s="1">
        <v>2</v>
      </c>
      <c r="CJ513" s="1">
        <v>0</v>
      </c>
      <c r="CK513" s="1">
        <v>0</v>
      </c>
      <c r="CL513" s="1">
        <v>0</v>
      </c>
      <c r="CM513" s="1" t="s">
        <v>104</v>
      </c>
    </row>
    <row r="514" spans="1:91" ht="14.25" customHeight="1" x14ac:dyDescent="0.3">
      <c r="A514" s="1" t="s">
        <v>3555</v>
      </c>
      <c r="B514" s="1" t="s">
        <v>137</v>
      </c>
      <c r="D514" s="1" t="s">
        <v>51</v>
      </c>
      <c r="E514" s="1" t="s">
        <v>3556</v>
      </c>
      <c r="F514" s="1" t="s">
        <v>95</v>
      </c>
      <c r="G514" s="1" t="s">
        <v>127</v>
      </c>
      <c r="H514" s="1">
        <v>0</v>
      </c>
      <c r="I514" s="1" t="s">
        <v>109</v>
      </c>
      <c r="J514" s="1" t="s">
        <v>3551</v>
      </c>
      <c r="M514" s="1" t="s">
        <v>620</v>
      </c>
      <c r="N514" s="1">
        <v>1</v>
      </c>
      <c r="O514" s="1">
        <v>0</v>
      </c>
      <c r="P514" s="1" t="s">
        <v>3552</v>
      </c>
      <c r="Q514" s="1" t="s">
        <v>184</v>
      </c>
      <c r="R514" s="1" t="s">
        <v>3557</v>
      </c>
      <c r="S514" s="1" t="s">
        <v>103</v>
      </c>
      <c r="T514" s="1">
        <v>1</v>
      </c>
      <c r="U514" s="1">
        <v>1</v>
      </c>
      <c r="V514" s="1">
        <v>0</v>
      </c>
      <c r="W514" s="1">
        <v>0</v>
      </c>
      <c r="X514" s="1">
        <v>1</v>
      </c>
      <c r="Y514" s="1" t="s">
        <v>104</v>
      </c>
      <c r="Z514" s="1" t="s">
        <v>104</v>
      </c>
      <c r="AA514" s="1" t="s">
        <v>104</v>
      </c>
      <c r="AB514" s="1">
        <v>4</v>
      </c>
      <c r="AC514" s="1" t="s">
        <v>104</v>
      </c>
      <c r="AD514" s="1" t="s">
        <v>104</v>
      </c>
      <c r="AE514" s="1" t="s">
        <v>104</v>
      </c>
      <c r="AF514" s="1" t="s">
        <v>104</v>
      </c>
      <c r="AG514" s="1" t="s">
        <v>104</v>
      </c>
      <c r="AH514" s="1" t="s">
        <v>104</v>
      </c>
      <c r="AI514" s="1" t="s">
        <v>104</v>
      </c>
      <c r="AJ514" s="1" t="s">
        <v>104</v>
      </c>
      <c r="AK514" s="1" t="s">
        <v>104</v>
      </c>
      <c r="AL514" s="1" t="s">
        <v>104</v>
      </c>
      <c r="AM514" s="1" t="s">
        <v>104</v>
      </c>
      <c r="AO514" s="1">
        <v>4</v>
      </c>
      <c r="AP514" s="1" t="s">
        <v>3558</v>
      </c>
      <c r="AQ514" s="1" t="s">
        <v>3559</v>
      </c>
      <c r="AR514" s="1">
        <v>0</v>
      </c>
      <c r="AS514" s="1">
        <v>0</v>
      </c>
      <c r="AT514" s="1">
        <v>0</v>
      </c>
      <c r="AU514" s="1">
        <v>0</v>
      </c>
      <c r="AV514" s="1">
        <v>0</v>
      </c>
      <c r="AW514" s="1">
        <v>0</v>
      </c>
      <c r="AX514" s="1">
        <v>0</v>
      </c>
      <c r="AY514" s="1">
        <v>0</v>
      </c>
      <c r="AZ514" s="1">
        <v>1</v>
      </c>
      <c r="BA514" s="1">
        <v>0</v>
      </c>
      <c r="BB514" s="1">
        <v>0</v>
      </c>
      <c r="BC514" s="1">
        <v>0</v>
      </c>
      <c r="BD514" s="1">
        <v>0</v>
      </c>
      <c r="BE514" s="1">
        <v>0</v>
      </c>
      <c r="BF514" s="1">
        <v>0</v>
      </c>
      <c r="BG514" s="1">
        <v>0</v>
      </c>
      <c r="BH514" s="1">
        <v>0</v>
      </c>
      <c r="BI514" s="1">
        <v>0</v>
      </c>
      <c r="BJ514" s="1">
        <v>0</v>
      </c>
      <c r="BK514" s="1">
        <v>0</v>
      </c>
      <c r="BL514" s="1">
        <v>0</v>
      </c>
      <c r="BM514" s="1">
        <v>0</v>
      </c>
      <c r="BN514" s="1">
        <v>0</v>
      </c>
      <c r="BO514" s="1">
        <v>0</v>
      </c>
      <c r="BP514" s="1">
        <v>0</v>
      </c>
      <c r="BQ514" s="2" t="str">
        <f>HYPERLINK("http://www.d20pfsrd.com/magic/all-spells/s/spike-stones","Spike Stones")</f>
        <v>Spike Stones</v>
      </c>
      <c r="BR514" s="1">
        <v>515</v>
      </c>
      <c r="BS514" s="1" t="s">
        <v>104</v>
      </c>
      <c r="BT514" s="1" t="s">
        <v>3560</v>
      </c>
      <c r="BU514" s="1" t="s">
        <v>3561</v>
      </c>
      <c r="BV514" s="1" t="s">
        <v>3562</v>
      </c>
      <c r="BX514" s="1">
        <v>1</v>
      </c>
      <c r="BY514" s="1" t="s">
        <v>104</v>
      </c>
      <c r="BZ514" s="1">
        <v>4</v>
      </c>
      <c r="CA514" s="1" t="s">
        <v>104</v>
      </c>
      <c r="CB514" s="1" t="s">
        <v>104</v>
      </c>
      <c r="CC514" s="1" t="s">
        <v>104</v>
      </c>
      <c r="CD514" s="1" t="s">
        <v>104</v>
      </c>
      <c r="CE514" s="1" t="s">
        <v>104</v>
      </c>
      <c r="CF514" s="1" t="s">
        <v>104</v>
      </c>
      <c r="CG514" s="1" t="s">
        <v>104</v>
      </c>
      <c r="CH514" s="1">
        <v>4</v>
      </c>
      <c r="CJ514" s="1">
        <v>0</v>
      </c>
      <c r="CK514" s="1">
        <v>0</v>
      </c>
      <c r="CL514" s="1">
        <v>0</v>
      </c>
      <c r="CM514" s="1" t="s">
        <v>104</v>
      </c>
    </row>
    <row r="515" spans="1:91" ht="14.25" customHeight="1" x14ac:dyDescent="0.3">
      <c r="A515" s="1" t="s">
        <v>3563</v>
      </c>
      <c r="B515" s="1" t="s">
        <v>434</v>
      </c>
      <c r="D515" s="1" t="s">
        <v>57</v>
      </c>
      <c r="E515" s="1" t="s">
        <v>3564</v>
      </c>
      <c r="F515" s="1" t="s">
        <v>95</v>
      </c>
      <c r="G515" s="1" t="s">
        <v>127</v>
      </c>
      <c r="H515" s="1">
        <v>0</v>
      </c>
      <c r="I515" s="1" t="s">
        <v>109</v>
      </c>
      <c r="K515" s="1" t="s">
        <v>3565</v>
      </c>
      <c r="M515" s="1" t="s">
        <v>426</v>
      </c>
      <c r="N515" s="1">
        <v>1</v>
      </c>
      <c r="O515" s="1">
        <v>0</v>
      </c>
      <c r="P515" s="1" t="s">
        <v>100</v>
      </c>
      <c r="Q515" s="1" t="s">
        <v>184</v>
      </c>
      <c r="R515" s="1" t="s">
        <v>3566</v>
      </c>
      <c r="S515" s="1" t="s">
        <v>103</v>
      </c>
      <c r="T515" s="1">
        <v>1</v>
      </c>
      <c r="U515" s="1">
        <v>1</v>
      </c>
      <c r="V515" s="1">
        <v>0</v>
      </c>
      <c r="W515" s="1">
        <v>0</v>
      </c>
      <c r="X515" s="1">
        <v>1</v>
      </c>
      <c r="Y515" s="1" t="s">
        <v>104</v>
      </c>
      <c r="Z515" s="1" t="s">
        <v>104</v>
      </c>
      <c r="AA515" s="1">
        <v>2</v>
      </c>
      <c r="AB515" s="1" t="s">
        <v>104</v>
      </c>
      <c r="AC515" s="1" t="s">
        <v>104</v>
      </c>
      <c r="AD515" s="1" t="s">
        <v>104</v>
      </c>
      <c r="AE515" s="1" t="s">
        <v>104</v>
      </c>
      <c r="AF515" s="1" t="s">
        <v>104</v>
      </c>
      <c r="AG515" s="1" t="s">
        <v>104</v>
      </c>
      <c r="AH515" s="1" t="s">
        <v>104</v>
      </c>
      <c r="AI515" s="1">
        <v>2</v>
      </c>
      <c r="AJ515" s="1">
        <v>2</v>
      </c>
      <c r="AK515" s="1" t="s">
        <v>104</v>
      </c>
      <c r="AL515" s="1" t="s">
        <v>104</v>
      </c>
      <c r="AM515" s="1" t="s">
        <v>104</v>
      </c>
      <c r="AO515" s="1">
        <v>2</v>
      </c>
      <c r="AP515" s="1" t="s">
        <v>3567</v>
      </c>
      <c r="AQ515" s="1" t="s">
        <v>3568</v>
      </c>
      <c r="AR515" s="1">
        <v>0</v>
      </c>
      <c r="AS515" s="1">
        <v>0</v>
      </c>
      <c r="AT515" s="1">
        <v>0</v>
      </c>
      <c r="AU515" s="1">
        <v>0</v>
      </c>
      <c r="AV515" s="1">
        <v>0</v>
      </c>
      <c r="AW515" s="1">
        <v>0</v>
      </c>
      <c r="AX515" s="1">
        <v>0</v>
      </c>
      <c r="AY515" s="1">
        <v>0</v>
      </c>
      <c r="AZ515" s="1">
        <v>0</v>
      </c>
      <c r="BA515" s="1">
        <v>0</v>
      </c>
      <c r="BB515" s="1">
        <v>0</v>
      </c>
      <c r="BC515" s="1">
        <v>0</v>
      </c>
      <c r="BD515" s="1">
        <v>0</v>
      </c>
      <c r="BE515" s="1">
        <v>0</v>
      </c>
      <c r="BF515" s="1">
        <v>1</v>
      </c>
      <c r="BG515" s="1">
        <v>0</v>
      </c>
      <c r="BH515" s="1">
        <v>0</v>
      </c>
      <c r="BI515" s="1">
        <v>0</v>
      </c>
      <c r="BJ515" s="1">
        <v>0</v>
      </c>
      <c r="BK515" s="1">
        <v>0</v>
      </c>
      <c r="BL515" s="1">
        <v>0</v>
      </c>
      <c r="BM515" s="1">
        <v>0</v>
      </c>
      <c r="BN515" s="1">
        <v>0</v>
      </c>
      <c r="BO515" s="1">
        <v>0</v>
      </c>
      <c r="BP515" s="1">
        <v>0</v>
      </c>
      <c r="BQ515" s="2" t="str">
        <f>HYPERLINK("http://www.d20pfsrd.com/magic/all-spells/s/spiritual-weapon","Spiritual Weapon")</f>
        <v>Spiritual Weapon</v>
      </c>
      <c r="BR515" s="1">
        <v>516</v>
      </c>
      <c r="BS515" s="1" t="s">
        <v>104</v>
      </c>
      <c r="BV515" s="1" t="s">
        <v>3569</v>
      </c>
      <c r="BX515" s="1">
        <v>1</v>
      </c>
      <c r="BY515" s="1" t="s">
        <v>104</v>
      </c>
      <c r="BZ515" s="1">
        <v>2</v>
      </c>
      <c r="CA515" s="1" t="s">
        <v>104</v>
      </c>
      <c r="CB515" s="1">
        <v>2</v>
      </c>
      <c r="CC515" s="1" t="s">
        <v>104</v>
      </c>
      <c r="CD515" s="1" t="s">
        <v>104</v>
      </c>
      <c r="CE515" s="1">
        <v>2</v>
      </c>
      <c r="CF515" s="1" t="s">
        <v>104</v>
      </c>
      <c r="CG515" s="1" t="s">
        <v>104</v>
      </c>
      <c r="CH515" s="1" t="s">
        <v>104</v>
      </c>
      <c r="CJ515" s="1">
        <v>0</v>
      </c>
      <c r="CK515" s="1">
        <v>0</v>
      </c>
      <c r="CL515" s="1">
        <v>0</v>
      </c>
      <c r="CM515" s="1" t="s">
        <v>104</v>
      </c>
    </row>
    <row r="516" spans="1:91" ht="14.25" customHeight="1" x14ac:dyDescent="0.3">
      <c r="A516" s="1" t="s">
        <v>3570</v>
      </c>
      <c r="B516" s="1" t="s">
        <v>92</v>
      </c>
      <c r="C516" s="1" t="s">
        <v>523</v>
      </c>
      <c r="E516" s="1" t="s">
        <v>3571</v>
      </c>
      <c r="F516" s="1" t="s">
        <v>95</v>
      </c>
      <c r="G516" s="1" t="s">
        <v>116</v>
      </c>
      <c r="H516" s="1">
        <v>0</v>
      </c>
      <c r="I516" s="1" t="s">
        <v>117</v>
      </c>
      <c r="L516" s="1" t="s">
        <v>417</v>
      </c>
      <c r="M516" s="1" t="s">
        <v>119</v>
      </c>
      <c r="N516" s="1">
        <v>0</v>
      </c>
      <c r="O516" s="1">
        <v>0</v>
      </c>
      <c r="P516" s="1" t="s">
        <v>375</v>
      </c>
      <c r="Q516" s="1" t="s">
        <v>131</v>
      </c>
      <c r="R516" s="1" t="s">
        <v>3572</v>
      </c>
      <c r="S516" s="1" t="s">
        <v>103</v>
      </c>
      <c r="T516" s="1">
        <v>1</v>
      </c>
      <c r="U516" s="1">
        <v>1</v>
      </c>
      <c r="V516" s="1">
        <v>0</v>
      </c>
      <c r="W516" s="1">
        <v>0</v>
      </c>
      <c r="X516" s="1">
        <v>0</v>
      </c>
      <c r="Y516" s="1" t="s">
        <v>104</v>
      </c>
      <c r="Z516" s="1" t="s">
        <v>104</v>
      </c>
      <c r="AA516" s="1">
        <v>0</v>
      </c>
      <c r="AB516" s="1">
        <v>0</v>
      </c>
      <c r="AC516" s="1" t="s">
        <v>104</v>
      </c>
      <c r="AD516" s="1" t="s">
        <v>104</v>
      </c>
      <c r="AE516" s="1" t="s">
        <v>104</v>
      </c>
      <c r="AF516" s="1" t="s">
        <v>104</v>
      </c>
      <c r="AG516" s="1" t="s">
        <v>104</v>
      </c>
      <c r="AH516" s="1">
        <v>0</v>
      </c>
      <c r="AI516" s="1">
        <v>0</v>
      </c>
      <c r="AJ516" s="1">
        <v>0</v>
      </c>
      <c r="AK516" s="1" t="s">
        <v>104</v>
      </c>
      <c r="AL516" s="1" t="s">
        <v>104</v>
      </c>
      <c r="AM516" s="1">
        <v>0</v>
      </c>
      <c r="AO516" s="1">
        <v>0</v>
      </c>
      <c r="AQ516" s="1" t="s">
        <v>3573</v>
      </c>
      <c r="AR516" s="1">
        <v>0</v>
      </c>
      <c r="AS516" s="1">
        <v>0</v>
      </c>
      <c r="AT516" s="1">
        <v>0</v>
      </c>
      <c r="AU516" s="1">
        <v>0</v>
      </c>
      <c r="AV516" s="1">
        <v>0</v>
      </c>
      <c r="AW516" s="1">
        <v>0</v>
      </c>
      <c r="AX516" s="1">
        <v>0</v>
      </c>
      <c r="AY516" s="1">
        <v>0</v>
      </c>
      <c r="AZ516" s="1">
        <v>0</v>
      </c>
      <c r="BA516" s="1">
        <v>0</v>
      </c>
      <c r="BB516" s="1">
        <v>0</v>
      </c>
      <c r="BC516" s="1">
        <v>0</v>
      </c>
      <c r="BD516" s="1">
        <v>0</v>
      </c>
      <c r="BE516" s="1">
        <v>0</v>
      </c>
      <c r="BF516" s="1">
        <v>0</v>
      </c>
      <c r="BG516" s="1">
        <v>0</v>
      </c>
      <c r="BH516" s="1">
        <v>0</v>
      </c>
      <c r="BI516" s="1">
        <v>0</v>
      </c>
      <c r="BJ516" s="1">
        <v>0</v>
      </c>
      <c r="BK516" s="1">
        <v>0</v>
      </c>
      <c r="BL516" s="1">
        <v>0</v>
      </c>
      <c r="BM516" s="1">
        <v>0</v>
      </c>
      <c r="BN516" s="1">
        <v>0</v>
      </c>
      <c r="BO516" s="1">
        <v>0</v>
      </c>
      <c r="BP516" s="1">
        <v>0</v>
      </c>
      <c r="BQ516" s="2" t="str">
        <f>HYPERLINK("http://www.d20pfsrd.com/magic/all-spells/s/stabilize","Stabilize")</f>
        <v>Stabilize</v>
      </c>
      <c r="BR516" s="1">
        <v>517</v>
      </c>
      <c r="BS516" s="1" t="s">
        <v>104</v>
      </c>
      <c r="BX516" s="1">
        <v>0</v>
      </c>
      <c r="BY516" s="1" t="s">
        <v>104</v>
      </c>
      <c r="BZ516" s="1">
        <v>0</v>
      </c>
      <c r="CA516" s="1">
        <v>0</v>
      </c>
      <c r="CB516" s="1">
        <v>0</v>
      </c>
      <c r="CC516" s="1" t="s">
        <v>104</v>
      </c>
      <c r="CD516" s="1">
        <v>0</v>
      </c>
      <c r="CE516" s="1">
        <v>0</v>
      </c>
      <c r="CF516" s="1" t="s">
        <v>104</v>
      </c>
      <c r="CG516" s="1" t="s">
        <v>104</v>
      </c>
      <c r="CH516" s="1">
        <v>0</v>
      </c>
      <c r="CJ516" s="1">
        <v>0</v>
      </c>
      <c r="CK516" s="1">
        <v>0</v>
      </c>
      <c r="CL516" s="1">
        <v>0</v>
      </c>
      <c r="CM516" s="1" t="s">
        <v>104</v>
      </c>
    </row>
    <row r="517" spans="1:91" ht="14.25" customHeight="1" x14ac:dyDescent="0.3">
      <c r="A517" s="1" t="s">
        <v>3574</v>
      </c>
      <c r="B517" s="1" t="s">
        <v>137</v>
      </c>
      <c r="E517" s="1" t="s">
        <v>3575</v>
      </c>
      <c r="F517" s="1" t="s">
        <v>255</v>
      </c>
      <c r="G517" s="1" t="s">
        <v>3576</v>
      </c>
      <c r="H517" s="1">
        <v>0</v>
      </c>
      <c r="I517" s="1" t="s">
        <v>128</v>
      </c>
      <c r="L517" s="1" t="s">
        <v>374</v>
      </c>
      <c r="M517" s="1" t="s">
        <v>201</v>
      </c>
      <c r="N517" s="1">
        <v>1</v>
      </c>
      <c r="O517" s="1">
        <v>0</v>
      </c>
      <c r="P517" s="1" t="s">
        <v>375</v>
      </c>
      <c r="Q517" s="1" t="s">
        <v>131</v>
      </c>
      <c r="R517" s="1" t="s">
        <v>3577</v>
      </c>
      <c r="S517" s="1" t="s">
        <v>103</v>
      </c>
      <c r="T517" s="1">
        <v>1</v>
      </c>
      <c r="U517" s="1">
        <v>1</v>
      </c>
      <c r="V517" s="1">
        <v>1</v>
      </c>
      <c r="W517" s="1">
        <v>0</v>
      </c>
      <c r="X517" s="1">
        <v>0</v>
      </c>
      <c r="Y517" s="1">
        <v>7</v>
      </c>
      <c r="Z517" s="1">
        <v>7</v>
      </c>
      <c r="AA517" s="1" t="s">
        <v>104</v>
      </c>
      <c r="AB517" s="1" t="s">
        <v>104</v>
      </c>
      <c r="AC517" s="1" t="s">
        <v>104</v>
      </c>
      <c r="AD517" s="1" t="s">
        <v>104</v>
      </c>
      <c r="AE517" s="1" t="s">
        <v>104</v>
      </c>
      <c r="AF517" s="1">
        <v>6</v>
      </c>
      <c r="AG517" s="1" t="s">
        <v>104</v>
      </c>
      <c r="AH517" s="1" t="s">
        <v>104</v>
      </c>
      <c r="AI517" s="1" t="s">
        <v>104</v>
      </c>
      <c r="AJ517" s="1" t="s">
        <v>104</v>
      </c>
      <c r="AK517" s="1" t="s">
        <v>104</v>
      </c>
      <c r="AL517" s="1" t="s">
        <v>104</v>
      </c>
      <c r="AM517" s="1" t="s">
        <v>104</v>
      </c>
      <c r="AO517" s="1">
        <v>7</v>
      </c>
      <c r="AP517" s="1" t="s">
        <v>3578</v>
      </c>
      <c r="AQ517" s="1" t="s">
        <v>3579</v>
      </c>
      <c r="AR517" s="1">
        <v>0</v>
      </c>
      <c r="AS517" s="1">
        <v>0</v>
      </c>
      <c r="AT517" s="1">
        <v>0</v>
      </c>
      <c r="AU517" s="1">
        <v>0</v>
      </c>
      <c r="AV517" s="1">
        <v>0</v>
      </c>
      <c r="AW517" s="1">
        <v>0</v>
      </c>
      <c r="AX517" s="1">
        <v>0</v>
      </c>
      <c r="AY517" s="1">
        <v>0</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2" t="str">
        <f>HYPERLINK("http://www.d20pfsrd.com/magic/all-spells/s/statue","Statue")</f>
        <v>Statue</v>
      </c>
      <c r="BR517" s="1">
        <v>518</v>
      </c>
      <c r="BS517" s="1" t="s">
        <v>104</v>
      </c>
      <c r="BX517" s="1">
        <v>0</v>
      </c>
      <c r="BY517" s="1" t="s">
        <v>104</v>
      </c>
      <c r="BZ517" s="1" t="s">
        <v>104</v>
      </c>
      <c r="CA517" s="1" t="s">
        <v>104</v>
      </c>
      <c r="CB517" s="1" t="s">
        <v>104</v>
      </c>
      <c r="CC517" s="1" t="s">
        <v>104</v>
      </c>
      <c r="CD517" s="1">
        <v>6</v>
      </c>
      <c r="CE517" s="1" t="s">
        <v>104</v>
      </c>
      <c r="CF517" s="1" t="s">
        <v>104</v>
      </c>
      <c r="CG517" s="1" t="s">
        <v>104</v>
      </c>
      <c r="CH517" s="1" t="s">
        <v>104</v>
      </c>
      <c r="CJ517" s="1">
        <v>0</v>
      </c>
      <c r="CK517" s="1">
        <v>0</v>
      </c>
      <c r="CL517" s="1">
        <v>0</v>
      </c>
      <c r="CM517" s="1" t="s">
        <v>104</v>
      </c>
    </row>
    <row r="518" spans="1:91" ht="14.25" customHeight="1" x14ac:dyDescent="0.3">
      <c r="A518" s="1" t="s">
        <v>3580</v>
      </c>
      <c r="B518" s="1" t="s">
        <v>172</v>
      </c>
      <c r="E518" s="1" t="s">
        <v>3581</v>
      </c>
      <c r="F518" s="1" t="s">
        <v>95</v>
      </c>
      <c r="G518" s="1" t="s">
        <v>116</v>
      </c>
      <c r="H518" s="1">
        <v>0</v>
      </c>
      <c r="I518" s="1" t="s">
        <v>128</v>
      </c>
      <c r="L518" s="1" t="s">
        <v>3582</v>
      </c>
      <c r="M518" s="1" t="s">
        <v>201</v>
      </c>
      <c r="N518" s="1">
        <v>0</v>
      </c>
      <c r="O518" s="1">
        <v>0</v>
      </c>
      <c r="P518" s="1" t="s">
        <v>375</v>
      </c>
      <c r="Q518" s="1" t="s">
        <v>131</v>
      </c>
      <c r="R518" s="1" t="s">
        <v>3583</v>
      </c>
      <c r="S518" s="1" t="s">
        <v>103</v>
      </c>
      <c r="T518" s="1">
        <v>1</v>
      </c>
      <c r="U518" s="1">
        <v>1</v>
      </c>
      <c r="V518" s="1">
        <v>0</v>
      </c>
      <c r="W518" s="1">
        <v>0</v>
      </c>
      <c r="X518" s="1">
        <v>0</v>
      </c>
      <c r="Y518" s="1" t="s">
        <v>104</v>
      </c>
      <c r="Z518" s="1" t="s">
        <v>104</v>
      </c>
      <c r="AA518" s="1">
        <v>2</v>
      </c>
      <c r="AB518" s="1" t="s">
        <v>104</v>
      </c>
      <c r="AC518" s="1" t="s">
        <v>104</v>
      </c>
      <c r="AD518" s="1" t="s">
        <v>104</v>
      </c>
      <c r="AE518" s="1" t="s">
        <v>104</v>
      </c>
      <c r="AF518" s="1" t="s">
        <v>104</v>
      </c>
      <c r="AG518" s="1" t="s">
        <v>104</v>
      </c>
      <c r="AH518" s="1">
        <v>2</v>
      </c>
      <c r="AI518" s="1" t="s">
        <v>104</v>
      </c>
      <c r="AJ518" s="1">
        <v>2</v>
      </c>
      <c r="AK518" s="1" t="s">
        <v>104</v>
      </c>
      <c r="AL518" s="1" t="s">
        <v>104</v>
      </c>
      <c r="AM518" s="1" t="s">
        <v>104</v>
      </c>
      <c r="AO518" s="1">
        <v>2</v>
      </c>
      <c r="AQ518" s="1" t="s">
        <v>3584</v>
      </c>
      <c r="AR518" s="1">
        <v>0</v>
      </c>
      <c r="AS518" s="1">
        <v>0</v>
      </c>
      <c r="AT518" s="1">
        <v>0</v>
      </c>
      <c r="AU518" s="1">
        <v>0</v>
      </c>
      <c r="AV518" s="1">
        <v>0</v>
      </c>
      <c r="AW518" s="1">
        <v>0</v>
      </c>
      <c r="AX518" s="1">
        <v>0</v>
      </c>
      <c r="AY518" s="1">
        <v>0</v>
      </c>
      <c r="AZ518" s="1">
        <v>0</v>
      </c>
      <c r="BA518" s="1">
        <v>0</v>
      </c>
      <c r="BB518" s="1">
        <v>0</v>
      </c>
      <c r="BC518" s="1">
        <v>0</v>
      </c>
      <c r="BD518" s="1">
        <v>0</v>
      </c>
      <c r="BE518" s="1">
        <v>0</v>
      </c>
      <c r="BF518" s="1">
        <v>0</v>
      </c>
      <c r="BG518" s="1">
        <v>0</v>
      </c>
      <c r="BH518" s="1">
        <v>0</v>
      </c>
      <c r="BI518" s="1">
        <v>0</v>
      </c>
      <c r="BJ518" s="1">
        <v>0</v>
      </c>
      <c r="BK518" s="1">
        <v>0</v>
      </c>
      <c r="BL518" s="1">
        <v>0</v>
      </c>
      <c r="BM518" s="1">
        <v>0</v>
      </c>
      <c r="BN518" s="1">
        <v>0</v>
      </c>
      <c r="BO518" s="1">
        <v>0</v>
      </c>
      <c r="BP518" s="1">
        <v>0</v>
      </c>
      <c r="BQ518" s="2" t="str">
        <f>HYPERLINK("http://www.d20pfsrd.com/magic/all-spells/s/status","Status")</f>
        <v>Status</v>
      </c>
      <c r="BR518" s="1">
        <v>519</v>
      </c>
      <c r="BS518" s="1" t="s">
        <v>104</v>
      </c>
      <c r="BX518" s="1">
        <v>0</v>
      </c>
      <c r="BY518" s="1" t="s">
        <v>104</v>
      </c>
      <c r="BZ518" s="1" t="s">
        <v>104</v>
      </c>
      <c r="CA518" s="1">
        <v>2</v>
      </c>
      <c r="CB518" s="1">
        <v>2</v>
      </c>
      <c r="CC518" s="1" t="s">
        <v>104</v>
      </c>
      <c r="CD518" s="1">
        <v>2</v>
      </c>
      <c r="CE518" s="1">
        <v>2</v>
      </c>
      <c r="CF518" s="1" t="s">
        <v>104</v>
      </c>
      <c r="CG518" s="1" t="s">
        <v>104</v>
      </c>
      <c r="CH518" s="1" t="s">
        <v>104</v>
      </c>
      <c r="CJ518" s="1">
        <v>0</v>
      </c>
      <c r="CK518" s="1">
        <v>0</v>
      </c>
      <c r="CL518" s="1">
        <v>0</v>
      </c>
      <c r="CM518" s="1" t="s">
        <v>104</v>
      </c>
    </row>
    <row r="519" spans="1:91" ht="14.25" customHeight="1" x14ac:dyDescent="0.3">
      <c r="A519" s="1" t="s">
        <v>3585</v>
      </c>
      <c r="B519" s="1" t="s">
        <v>92</v>
      </c>
      <c r="C519" s="1" t="s">
        <v>93</v>
      </c>
      <c r="E519" s="1" t="s">
        <v>3586</v>
      </c>
      <c r="F519" s="1" t="s">
        <v>95</v>
      </c>
      <c r="G519" s="1" t="s">
        <v>3587</v>
      </c>
      <c r="H519" s="1">
        <v>0</v>
      </c>
      <c r="I519" s="1" t="s">
        <v>109</v>
      </c>
      <c r="K519" s="1" t="s">
        <v>711</v>
      </c>
      <c r="M519" s="1" t="s">
        <v>111</v>
      </c>
      <c r="N519" s="1">
        <v>0</v>
      </c>
      <c r="O519" s="1">
        <v>0</v>
      </c>
      <c r="P519" s="1" t="s">
        <v>2807</v>
      </c>
      <c r="Q519" s="1" t="s">
        <v>101</v>
      </c>
      <c r="R519" s="1" t="s">
        <v>3588</v>
      </c>
      <c r="S519" s="1" t="s">
        <v>103</v>
      </c>
      <c r="T519" s="1">
        <v>1</v>
      </c>
      <c r="U519" s="1">
        <v>1</v>
      </c>
      <c r="V519" s="1">
        <v>1</v>
      </c>
      <c r="W519" s="1">
        <v>0</v>
      </c>
      <c r="X519" s="1">
        <v>0</v>
      </c>
      <c r="Y519" s="1">
        <v>3</v>
      </c>
      <c r="Z519" s="1">
        <v>3</v>
      </c>
      <c r="AA519" s="1" t="s">
        <v>104</v>
      </c>
      <c r="AB519" s="1" t="s">
        <v>104</v>
      </c>
      <c r="AC519" s="1" t="s">
        <v>104</v>
      </c>
      <c r="AD519" s="1" t="s">
        <v>104</v>
      </c>
      <c r="AE519" s="1" t="s">
        <v>104</v>
      </c>
      <c r="AF519" s="1" t="s">
        <v>104</v>
      </c>
      <c r="AG519" s="1" t="s">
        <v>104</v>
      </c>
      <c r="AH519" s="1">
        <v>3</v>
      </c>
      <c r="AI519" s="1" t="s">
        <v>104</v>
      </c>
      <c r="AJ519" s="1" t="s">
        <v>104</v>
      </c>
      <c r="AK519" s="1" t="s">
        <v>104</v>
      </c>
      <c r="AL519" s="1">
        <v>3</v>
      </c>
      <c r="AM519" s="1" t="s">
        <v>104</v>
      </c>
      <c r="AO519" s="1">
        <v>3</v>
      </c>
      <c r="AP519" s="1" t="s">
        <v>3589</v>
      </c>
      <c r="AQ519" s="1" t="s">
        <v>3590</v>
      </c>
      <c r="AR519" s="1">
        <v>0</v>
      </c>
      <c r="AS519" s="1">
        <v>0</v>
      </c>
      <c r="AT519" s="1">
        <v>0</v>
      </c>
      <c r="AU519" s="1">
        <v>0</v>
      </c>
      <c r="AV519" s="1">
        <v>0</v>
      </c>
      <c r="AW519" s="1">
        <v>0</v>
      </c>
      <c r="AX519" s="1">
        <v>0</v>
      </c>
      <c r="AY519" s="1">
        <v>0</v>
      </c>
      <c r="AZ519" s="1">
        <v>0</v>
      </c>
      <c r="BA519" s="1">
        <v>0</v>
      </c>
      <c r="BB519" s="1">
        <v>0</v>
      </c>
      <c r="BC519" s="1">
        <v>0</v>
      </c>
      <c r="BD519" s="1">
        <v>0</v>
      </c>
      <c r="BE519" s="1">
        <v>0</v>
      </c>
      <c r="BF519" s="1">
        <v>0</v>
      </c>
      <c r="BG519" s="1">
        <v>0</v>
      </c>
      <c r="BH519" s="1">
        <v>0</v>
      </c>
      <c r="BI519" s="1">
        <v>0</v>
      </c>
      <c r="BJ519" s="1">
        <v>0</v>
      </c>
      <c r="BK519" s="1">
        <v>0</v>
      </c>
      <c r="BL519" s="1">
        <v>0</v>
      </c>
      <c r="BM519" s="1">
        <v>0</v>
      </c>
      <c r="BN519" s="1">
        <v>0</v>
      </c>
      <c r="BO519" s="1">
        <v>0</v>
      </c>
      <c r="BP519" s="1">
        <v>0</v>
      </c>
      <c r="BQ519" s="2" t="str">
        <f>HYPERLINK("http://www.d20pfsrd.com/magic/all-spells/s/stinking-cloud","Stinking Cloud")</f>
        <v>Stinking Cloud</v>
      </c>
      <c r="BR519" s="1">
        <v>520</v>
      </c>
      <c r="BS519" s="1" t="s">
        <v>104</v>
      </c>
      <c r="BV519" s="1" t="s">
        <v>3591</v>
      </c>
      <c r="BX519" s="1">
        <v>1</v>
      </c>
      <c r="BY519" s="1">
        <v>3</v>
      </c>
      <c r="BZ519" s="1">
        <v>3</v>
      </c>
      <c r="CA519" s="1" t="s">
        <v>104</v>
      </c>
      <c r="CB519" s="1" t="s">
        <v>104</v>
      </c>
      <c r="CC519" s="1" t="s">
        <v>104</v>
      </c>
      <c r="CD519" s="1" t="s">
        <v>104</v>
      </c>
      <c r="CE519" s="1" t="s">
        <v>104</v>
      </c>
      <c r="CF519" s="1" t="s">
        <v>104</v>
      </c>
      <c r="CG519" s="1" t="s">
        <v>104</v>
      </c>
      <c r="CH519" s="1" t="s">
        <v>104</v>
      </c>
      <c r="CJ519" s="1">
        <v>0</v>
      </c>
      <c r="CK519" s="1">
        <v>0</v>
      </c>
      <c r="CL519" s="1">
        <v>0</v>
      </c>
      <c r="CM519" s="1">
        <v>3</v>
      </c>
    </row>
    <row r="520" spans="1:91" ht="14.25" customHeight="1" x14ac:dyDescent="0.3">
      <c r="A520" s="1" t="s">
        <v>3592</v>
      </c>
      <c r="B520" s="1" t="s">
        <v>137</v>
      </c>
      <c r="D520" s="1" t="s">
        <v>51</v>
      </c>
      <c r="E520" s="1" t="s">
        <v>3593</v>
      </c>
      <c r="F520" s="1" t="s">
        <v>95</v>
      </c>
      <c r="G520" s="1" t="s">
        <v>3594</v>
      </c>
      <c r="H520" s="1">
        <v>0</v>
      </c>
      <c r="I520" s="1" t="s">
        <v>128</v>
      </c>
      <c r="L520" s="1" t="s">
        <v>3595</v>
      </c>
      <c r="M520" s="1" t="s">
        <v>119</v>
      </c>
      <c r="N520" s="1">
        <v>0</v>
      </c>
      <c r="O520" s="1">
        <v>0</v>
      </c>
      <c r="P520" s="1" t="s">
        <v>100</v>
      </c>
      <c r="Q520" s="1" t="s">
        <v>101</v>
      </c>
      <c r="R520" s="1" t="s">
        <v>3596</v>
      </c>
      <c r="S520" s="1" t="s">
        <v>103</v>
      </c>
      <c r="T520" s="1">
        <v>1</v>
      </c>
      <c r="U520" s="1">
        <v>1</v>
      </c>
      <c r="V520" s="1">
        <v>1</v>
      </c>
      <c r="W520" s="1">
        <v>0</v>
      </c>
      <c r="X520" s="1">
        <v>1</v>
      </c>
      <c r="Y520" s="1">
        <v>4</v>
      </c>
      <c r="Z520" s="1">
        <v>4</v>
      </c>
      <c r="AA520" s="1">
        <v>3</v>
      </c>
      <c r="AB520" s="1">
        <v>3</v>
      </c>
      <c r="AC520" s="1" t="s">
        <v>104</v>
      </c>
      <c r="AD520" s="1" t="s">
        <v>104</v>
      </c>
      <c r="AE520" s="1" t="s">
        <v>104</v>
      </c>
      <c r="AF520" s="1" t="s">
        <v>104</v>
      </c>
      <c r="AG520" s="1" t="s">
        <v>104</v>
      </c>
      <c r="AH520" s="1" t="s">
        <v>104</v>
      </c>
      <c r="AI520" s="1" t="s">
        <v>104</v>
      </c>
      <c r="AJ520" s="1">
        <v>3</v>
      </c>
      <c r="AK520" s="1" t="s">
        <v>104</v>
      </c>
      <c r="AL520" s="1" t="s">
        <v>104</v>
      </c>
      <c r="AM520" s="1" t="s">
        <v>104</v>
      </c>
      <c r="AO520" s="1">
        <v>4</v>
      </c>
      <c r="AP520" s="1" t="s">
        <v>3597</v>
      </c>
      <c r="AQ520" s="1" t="s">
        <v>3598</v>
      </c>
      <c r="AR520" s="1">
        <v>0</v>
      </c>
      <c r="AS520" s="1">
        <v>0</v>
      </c>
      <c r="AT520" s="1">
        <v>0</v>
      </c>
      <c r="AU520" s="1">
        <v>0</v>
      </c>
      <c r="AV520" s="1">
        <v>0</v>
      </c>
      <c r="AW520" s="1">
        <v>0</v>
      </c>
      <c r="AX520" s="1">
        <v>0</v>
      </c>
      <c r="AY520" s="1">
        <v>0</v>
      </c>
      <c r="AZ520" s="1">
        <v>1</v>
      </c>
      <c r="BA520" s="1">
        <v>0</v>
      </c>
      <c r="BB520" s="1">
        <v>0</v>
      </c>
      <c r="BC520" s="1">
        <v>0</v>
      </c>
      <c r="BD520" s="1">
        <v>0</v>
      </c>
      <c r="BE520" s="1">
        <v>0</v>
      </c>
      <c r="BF520" s="1">
        <v>0</v>
      </c>
      <c r="BG520" s="1">
        <v>0</v>
      </c>
      <c r="BH520" s="1">
        <v>0</v>
      </c>
      <c r="BI520" s="1">
        <v>0</v>
      </c>
      <c r="BJ520" s="1">
        <v>0</v>
      </c>
      <c r="BK520" s="1">
        <v>0</v>
      </c>
      <c r="BL520" s="1">
        <v>0</v>
      </c>
      <c r="BM520" s="1">
        <v>0</v>
      </c>
      <c r="BN520" s="1">
        <v>0</v>
      </c>
      <c r="BO520" s="1">
        <v>0</v>
      </c>
      <c r="BP520" s="1">
        <v>0</v>
      </c>
      <c r="BQ520" s="2" t="str">
        <f>HYPERLINK("http://www.d20pfsrd.com/magic/all-spells/s/stone-shape","Stone Shape")</f>
        <v>Stone Shape</v>
      </c>
      <c r="BR520" s="1">
        <v>521</v>
      </c>
      <c r="BS520" s="1" t="s">
        <v>104</v>
      </c>
      <c r="BU520" s="1" t="s">
        <v>3599</v>
      </c>
      <c r="BV520" s="1" t="s">
        <v>3600</v>
      </c>
      <c r="BX520" s="1">
        <v>1</v>
      </c>
      <c r="BY520" s="1" t="s">
        <v>104</v>
      </c>
      <c r="BZ520" s="1">
        <v>3</v>
      </c>
      <c r="CA520" s="1" t="s">
        <v>104</v>
      </c>
      <c r="CB520" s="1" t="s">
        <v>104</v>
      </c>
      <c r="CC520" s="1" t="s">
        <v>104</v>
      </c>
      <c r="CD520" s="1">
        <v>3</v>
      </c>
      <c r="CE520" s="1" t="s">
        <v>104</v>
      </c>
      <c r="CF520" s="1" t="s">
        <v>104</v>
      </c>
      <c r="CG520" s="1" t="s">
        <v>104</v>
      </c>
      <c r="CH520" s="1">
        <v>3</v>
      </c>
      <c r="CJ520" s="1">
        <v>0</v>
      </c>
      <c r="CK520" s="1">
        <v>0</v>
      </c>
      <c r="CL520" s="1">
        <v>0</v>
      </c>
      <c r="CM520" s="1" t="s">
        <v>104</v>
      </c>
    </row>
    <row r="521" spans="1:91" ht="14.25" customHeight="1" x14ac:dyDescent="0.3">
      <c r="A521" s="1" t="s">
        <v>3601</v>
      </c>
      <c r="B521" s="1" t="s">
        <v>162</v>
      </c>
      <c r="E521" s="1" t="s">
        <v>3602</v>
      </c>
      <c r="F521" s="1" t="s">
        <v>95</v>
      </c>
      <c r="G521" s="1" t="s">
        <v>3603</v>
      </c>
      <c r="H521" s="1">
        <v>1</v>
      </c>
      <c r="I521" s="1" t="s">
        <v>128</v>
      </c>
      <c r="L521" s="1" t="s">
        <v>374</v>
      </c>
      <c r="M521" s="1" t="s">
        <v>3604</v>
      </c>
      <c r="N521" s="1">
        <v>0</v>
      </c>
      <c r="O521" s="1">
        <v>0</v>
      </c>
      <c r="P521" s="1" t="s">
        <v>375</v>
      </c>
      <c r="Q521" s="1" t="s">
        <v>131</v>
      </c>
      <c r="R521" s="1" t="s">
        <v>3605</v>
      </c>
      <c r="S521" s="1" t="s">
        <v>103</v>
      </c>
      <c r="T521" s="1">
        <v>1</v>
      </c>
      <c r="U521" s="1">
        <v>1</v>
      </c>
      <c r="V521" s="1">
        <v>1</v>
      </c>
      <c r="W521" s="1">
        <v>0</v>
      </c>
      <c r="X521" s="1">
        <v>0</v>
      </c>
      <c r="Y521" s="1">
        <v>4</v>
      </c>
      <c r="Z521" s="1">
        <v>4</v>
      </c>
      <c r="AA521" s="1" t="s">
        <v>104</v>
      </c>
      <c r="AB521" s="1">
        <v>5</v>
      </c>
      <c r="AC521" s="1" t="s">
        <v>104</v>
      </c>
      <c r="AD521" s="1" t="s">
        <v>104</v>
      </c>
      <c r="AE521" s="1" t="s">
        <v>104</v>
      </c>
      <c r="AF521" s="1">
        <v>4</v>
      </c>
      <c r="AG521" s="1">
        <v>3</v>
      </c>
      <c r="AH521" s="1" t="s">
        <v>104</v>
      </c>
      <c r="AI521" s="1">
        <v>4</v>
      </c>
      <c r="AJ521" s="1" t="s">
        <v>104</v>
      </c>
      <c r="AK521" s="1" t="s">
        <v>104</v>
      </c>
      <c r="AL521" s="1">
        <v>4</v>
      </c>
      <c r="AM521" s="1">
        <v>4</v>
      </c>
      <c r="AO521" s="1">
        <v>4</v>
      </c>
      <c r="AP521" s="1" t="s">
        <v>3606</v>
      </c>
      <c r="AQ521" s="1" t="s">
        <v>3607</v>
      </c>
      <c r="AR521" s="1">
        <v>0</v>
      </c>
      <c r="AS521" s="1">
        <v>0</v>
      </c>
      <c r="AT521" s="1">
        <v>0</v>
      </c>
      <c r="AU521" s="1">
        <v>0</v>
      </c>
      <c r="AV521" s="1">
        <v>0</v>
      </c>
      <c r="AW521" s="1">
        <v>0</v>
      </c>
      <c r="AX521" s="1">
        <v>0</v>
      </c>
      <c r="AY521" s="1">
        <v>0</v>
      </c>
      <c r="AZ521" s="1">
        <v>0</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2" t="str">
        <f>HYPERLINK("http://www.d20pfsrd.com/magic/all-spells/s/stoneskin","Stoneskin")</f>
        <v>Stoneskin</v>
      </c>
      <c r="BR521" s="1">
        <v>522</v>
      </c>
      <c r="BS521" s="1">
        <v>250</v>
      </c>
      <c r="BT521" s="1" t="s">
        <v>3608</v>
      </c>
      <c r="BV521" s="1" t="s">
        <v>3609</v>
      </c>
      <c r="BX521" s="1">
        <v>1</v>
      </c>
      <c r="BY521" s="1">
        <v>4</v>
      </c>
      <c r="BZ521" s="1">
        <v>5</v>
      </c>
      <c r="CA521" s="1">
        <v>4</v>
      </c>
      <c r="CB521" s="1" t="s">
        <v>104</v>
      </c>
      <c r="CC521" s="1" t="s">
        <v>104</v>
      </c>
      <c r="CD521" s="1">
        <v>4</v>
      </c>
      <c r="CE521" s="1" t="s">
        <v>104</v>
      </c>
      <c r="CF521" s="1" t="s">
        <v>104</v>
      </c>
      <c r="CG521" s="1" t="s">
        <v>104</v>
      </c>
      <c r="CH521" s="1">
        <v>5</v>
      </c>
      <c r="CJ521" s="1">
        <v>0</v>
      </c>
      <c r="CK521" s="1">
        <v>0</v>
      </c>
      <c r="CL521" s="1">
        <v>0</v>
      </c>
      <c r="CM521" s="1">
        <v>4</v>
      </c>
    </row>
    <row r="522" spans="1:91" ht="14.25" customHeight="1" x14ac:dyDescent="0.3">
      <c r="A522" s="1" t="s">
        <v>3610</v>
      </c>
      <c r="B522" s="1" t="s">
        <v>172</v>
      </c>
      <c r="E522" s="1" t="s">
        <v>3611</v>
      </c>
      <c r="F522" s="1" t="s">
        <v>287</v>
      </c>
      <c r="G522" s="1" t="s">
        <v>127</v>
      </c>
      <c r="H522" s="1">
        <v>0</v>
      </c>
      <c r="I522" s="1" t="s">
        <v>157</v>
      </c>
      <c r="L522" s="1" t="s">
        <v>158</v>
      </c>
      <c r="M522" s="1" t="s">
        <v>130</v>
      </c>
      <c r="N522" s="1">
        <v>0</v>
      </c>
      <c r="O522" s="1">
        <v>0</v>
      </c>
      <c r="R522" s="1" t="s">
        <v>3612</v>
      </c>
      <c r="S522" s="1" t="s">
        <v>103</v>
      </c>
      <c r="T522" s="1">
        <v>1</v>
      </c>
      <c r="U522" s="1">
        <v>1</v>
      </c>
      <c r="V522" s="1">
        <v>0</v>
      </c>
      <c r="W522" s="1">
        <v>0</v>
      </c>
      <c r="X522" s="1">
        <v>1</v>
      </c>
      <c r="Y522" s="1" t="s">
        <v>104</v>
      </c>
      <c r="Z522" s="1" t="s">
        <v>104</v>
      </c>
      <c r="AA522" s="1" t="s">
        <v>104</v>
      </c>
      <c r="AB522" s="1">
        <v>6</v>
      </c>
      <c r="AC522" s="1" t="s">
        <v>104</v>
      </c>
      <c r="AD522" s="1" t="s">
        <v>104</v>
      </c>
      <c r="AE522" s="1" t="s">
        <v>104</v>
      </c>
      <c r="AF522" s="1" t="s">
        <v>104</v>
      </c>
      <c r="AG522" s="1" t="s">
        <v>104</v>
      </c>
      <c r="AH522" s="1" t="s">
        <v>104</v>
      </c>
      <c r="AI522" s="1" t="s">
        <v>104</v>
      </c>
      <c r="AJ522" s="1" t="s">
        <v>104</v>
      </c>
      <c r="AK522" s="1" t="s">
        <v>104</v>
      </c>
      <c r="AL522" s="1" t="s">
        <v>104</v>
      </c>
      <c r="AM522" s="1" t="s">
        <v>104</v>
      </c>
      <c r="AO522" s="1">
        <v>6</v>
      </c>
      <c r="AP522" s="1" t="s">
        <v>3613</v>
      </c>
      <c r="AQ522" s="1" t="s">
        <v>3614</v>
      </c>
      <c r="AR522" s="1">
        <v>0</v>
      </c>
      <c r="AS522" s="1">
        <v>0</v>
      </c>
      <c r="AT522" s="1">
        <v>0</v>
      </c>
      <c r="AU522" s="1">
        <v>0</v>
      </c>
      <c r="AV522" s="1">
        <v>0</v>
      </c>
      <c r="AW522" s="1">
        <v>0</v>
      </c>
      <c r="AX522" s="1">
        <v>0</v>
      </c>
      <c r="AY522" s="1">
        <v>0</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0</v>
      </c>
      <c r="BP522" s="1">
        <v>0</v>
      </c>
      <c r="BQ522" s="2" t="str">
        <f>HYPERLINK("http://www.d20pfsrd.com/magic/all-spells/s/stone-tell","Stone Tell")</f>
        <v>Stone Tell</v>
      </c>
      <c r="BR522" s="1">
        <v>523</v>
      </c>
      <c r="BS522" s="1" t="s">
        <v>104</v>
      </c>
      <c r="BT522" s="1" t="s">
        <v>3615</v>
      </c>
      <c r="BU522" s="1" t="s">
        <v>3616</v>
      </c>
      <c r="BX522" s="1">
        <v>0</v>
      </c>
      <c r="BY522" s="1" t="s">
        <v>104</v>
      </c>
      <c r="BZ522" s="1">
        <v>7</v>
      </c>
      <c r="CA522" s="1">
        <v>6</v>
      </c>
      <c r="CB522" s="1" t="s">
        <v>104</v>
      </c>
      <c r="CC522" s="1" t="s">
        <v>104</v>
      </c>
      <c r="CD522" s="1" t="s">
        <v>104</v>
      </c>
      <c r="CE522" s="1" t="s">
        <v>104</v>
      </c>
      <c r="CF522" s="1" t="s">
        <v>104</v>
      </c>
      <c r="CG522" s="1" t="s">
        <v>104</v>
      </c>
      <c r="CH522" s="1">
        <v>6</v>
      </c>
      <c r="CJ522" s="1">
        <v>0</v>
      </c>
      <c r="CK522" s="1">
        <v>0</v>
      </c>
      <c r="CL522" s="1">
        <v>0</v>
      </c>
      <c r="CM522" s="1" t="s">
        <v>104</v>
      </c>
    </row>
    <row r="523" spans="1:91" ht="14.25" customHeight="1" x14ac:dyDescent="0.3">
      <c r="A523" s="1" t="s">
        <v>3617</v>
      </c>
      <c r="B523" s="1" t="s">
        <v>137</v>
      </c>
      <c r="E523" s="1" t="s">
        <v>1616</v>
      </c>
      <c r="F523" s="1" t="s">
        <v>95</v>
      </c>
      <c r="G523" s="1" t="s">
        <v>3618</v>
      </c>
      <c r="H523" s="1">
        <v>0</v>
      </c>
      <c r="I523" s="1" t="s">
        <v>109</v>
      </c>
      <c r="L523" s="1" t="s">
        <v>3619</v>
      </c>
      <c r="M523" s="1" t="s">
        <v>119</v>
      </c>
      <c r="N523" s="1">
        <v>0</v>
      </c>
      <c r="O523" s="1">
        <v>0</v>
      </c>
      <c r="P523" s="1" t="s">
        <v>2832</v>
      </c>
      <c r="Q523" s="1" t="s">
        <v>184</v>
      </c>
      <c r="R523" s="1" t="s">
        <v>3620</v>
      </c>
      <c r="S523" s="1" t="s">
        <v>103</v>
      </c>
      <c r="T523" s="1">
        <v>1</v>
      </c>
      <c r="U523" s="1">
        <v>1</v>
      </c>
      <c r="V523" s="1">
        <v>1</v>
      </c>
      <c r="W523" s="1">
        <v>0</v>
      </c>
      <c r="X523" s="1">
        <v>0</v>
      </c>
      <c r="Y523" s="1">
        <v>6</v>
      </c>
      <c r="Z523" s="1">
        <v>6</v>
      </c>
      <c r="AA523" s="1" t="s">
        <v>104</v>
      </c>
      <c r="AB523" s="1" t="s">
        <v>104</v>
      </c>
      <c r="AC523" s="1" t="s">
        <v>104</v>
      </c>
      <c r="AD523" s="1" t="s">
        <v>104</v>
      </c>
      <c r="AE523" s="1" t="s">
        <v>104</v>
      </c>
      <c r="AF523" s="1" t="s">
        <v>104</v>
      </c>
      <c r="AG523" s="1" t="s">
        <v>104</v>
      </c>
      <c r="AH523" s="1">
        <v>6</v>
      </c>
      <c r="AI523" s="1" t="s">
        <v>104</v>
      </c>
      <c r="AJ523" s="1" t="s">
        <v>104</v>
      </c>
      <c r="AK523" s="1" t="s">
        <v>104</v>
      </c>
      <c r="AL523" s="1">
        <v>6</v>
      </c>
      <c r="AM523" s="1" t="s">
        <v>104</v>
      </c>
      <c r="AO523" s="1">
        <v>6</v>
      </c>
      <c r="AQ523" s="1" t="s">
        <v>3621</v>
      </c>
      <c r="AR523" s="1">
        <v>0</v>
      </c>
      <c r="AS523" s="1">
        <v>0</v>
      </c>
      <c r="AT523" s="1">
        <v>0</v>
      </c>
      <c r="AU523" s="1">
        <v>0</v>
      </c>
      <c r="AV523" s="1">
        <v>0</v>
      </c>
      <c r="AW523" s="1">
        <v>0</v>
      </c>
      <c r="AX523" s="1">
        <v>0</v>
      </c>
      <c r="AY523" s="1">
        <v>0</v>
      </c>
      <c r="AZ523" s="1">
        <v>0</v>
      </c>
      <c r="BA523" s="1">
        <v>0</v>
      </c>
      <c r="BB523" s="1">
        <v>0</v>
      </c>
      <c r="BC523" s="1">
        <v>0</v>
      </c>
      <c r="BD523" s="1">
        <v>0</v>
      </c>
      <c r="BE523" s="1">
        <v>0</v>
      </c>
      <c r="BF523" s="1">
        <v>0</v>
      </c>
      <c r="BG523" s="1">
        <v>0</v>
      </c>
      <c r="BH523" s="1">
        <v>0</v>
      </c>
      <c r="BI523" s="1">
        <v>0</v>
      </c>
      <c r="BJ523" s="1">
        <v>0</v>
      </c>
      <c r="BK523" s="1">
        <v>0</v>
      </c>
      <c r="BL523" s="1">
        <v>0</v>
      </c>
      <c r="BM523" s="1">
        <v>0</v>
      </c>
      <c r="BN523" s="1">
        <v>0</v>
      </c>
      <c r="BO523" s="1">
        <v>0</v>
      </c>
      <c r="BP523" s="1">
        <v>0</v>
      </c>
      <c r="BQ523" s="2" t="str">
        <f>HYPERLINK("http://www.d20pfsrd.com/magic/all-spells/s/stone-to-flesh","Stone to Flesh")</f>
        <v>Stone to Flesh</v>
      </c>
      <c r="BR523" s="1">
        <v>524</v>
      </c>
      <c r="BS523" s="1" t="s">
        <v>104</v>
      </c>
      <c r="BX523" s="1">
        <v>0</v>
      </c>
      <c r="BY523" s="1" t="s">
        <v>104</v>
      </c>
      <c r="BZ523" s="1">
        <v>6</v>
      </c>
      <c r="CA523" s="1" t="s">
        <v>104</v>
      </c>
      <c r="CB523" s="1" t="s">
        <v>104</v>
      </c>
      <c r="CC523" s="1" t="s">
        <v>104</v>
      </c>
      <c r="CD523" s="1" t="s">
        <v>104</v>
      </c>
      <c r="CE523" s="1" t="s">
        <v>104</v>
      </c>
      <c r="CF523" s="1" t="s">
        <v>104</v>
      </c>
      <c r="CG523" s="1" t="s">
        <v>104</v>
      </c>
      <c r="CH523" s="1" t="s">
        <v>104</v>
      </c>
      <c r="CJ523" s="1">
        <v>0</v>
      </c>
      <c r="CK523" s="1">
        <v>0</v>
      </c>
      <c r="CL523" s="1">
        <v>0</v>
      </c>
      <c r="CM523" s="1" t="s">
        <v>104</v>
      </c>
    </row>
    <row r="524" spans="1:91" ht="14.25" customHeight="1" x14ac:dyDescent="0.3">
      <c r="A524" s="1" t="s">
        <v>3622</v>
      </c>
      <c r="B524" s="1" t="s">
        <v>92</v>
      </c>
      <c r="C524" s="1" t="s">
        <v>903</v>
      </c>
      <c r="E524" s="1" t="s">
        <v>3623</v>
      </c>
      <c r="F524" s="1" t="s">
        <v>255</v>
      </c>
      <c r="G524" s="1" t="s">
        <v>116</v>
      </c>
      <c r="H524" s="1">
        <v>0</v>
      </c>
      <c r="I524" s="1" t="s">
        <v>97</v>
      </c>
      <c r="K524" s="1" t="s">
        <v>3624</v>
      </c>
      <c r="M524" s="1" t="s">
        <v>3625</v>
      </c>
      <c r="N524" s="1">
        <v>1</v>
      </c>
      <c r="O524" s="1">
        <v>0</v>
      </c>
      <c r="P524" s="1" t="s">
        <v>145</v>
      </c>
      <c r="Q524" s="1" t="s">
        <v>184</v>
      </c>
      <c r="R524" s="1" t="s">
        <v>3626</v>
      </c>
      <c r="S524" s="1" t="s">
        <v>103</v>
      </c>
      <c r="T524" s="1">
        <v>1</v>
      </c>
      <c r="U524" s="1">
        <v>1</v>
      </c>
      <c r="V524" s="1">
        <v>0</v>
      </c>
      <c r="W524" s="1">
        <v>0</v>
      </c>
      <c r="X524" s="1">
        <v>0</v>
      </c>
      <c r="Y524" s="1" t="s">
        <v>104</v>
      </c>
      <c r="Z524" s="1" t="s">
        <v>104</v>
      </c>
      <c r="AA524" s="1">
        <v>9</v>
      </c>
      <c r="AB524" s="1">
        <v>9</v>
      </c>
      <c r="AC524" s="1" t="s">
        <v>104</v>
      </c>
      <c r="AD524" s="1" t="s">
        <v>104</v>
      </c>
      <c r="AE524" s="1" t="s">
        <v>104</v>
      </c>
      <c r="AF524" s="1" t="s">
        <v>104</v>
      </c>
      <c r="AG524" s="1" t="s">
        <v>104</v>
      </c>
      <c r="AH524" s="1">
        <v>9</v>
      </c>
      <c r="AI524" s="1" t="s">
        <v>104</v>
      </c>
      <c r="AJ524" s="1">
        <v>9</v>
      </c>
      <c r="AK524" s="1" t="s">
        <v>104</v>
      </c>
      <c r="AL524" s="1" t="s">
        <v>104</v>
      </c>
      <c r="AM524" s="1" t="s">
        <v>104</v>
      </c>
      <c r="AO524" s="1">
        <v>9</v>
      </c>
      <c r="AP524" s="1" t="s">
        <v>3627</v>
      </c>
      <c r="AQ524" s="1" t="s">
        <v>3628</v>
      </c>
      <c r="AR524" s="1">
        <v>0</v>
      </c>
      <c r="AS524" s="1">
        <v>0</v>
      </c>
      <c r="AT524" s="1">
        <v>0</v>
      </c>
      <c r="AU524" s="1">
        <v>0</v>
      </c>
      <c r="AV524" s="1">
        <v>0</v>
      </c>
      <c r="AW524" s="1">
        <v>0</v>
      </c>
      <c r="AX524" s="1">
        <v>0</v>
      </c>
      <c r="AY524" s="1">
        <v>0</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2" t="str">
        <f>HYPERLINK("http://www.d20pfsrd.com/magic/all-spells/s/storm-of-vengeance","Storm of Vengeance")</f>
        <v>Storm of Vengeance</v>
      </c>
      <c r="BR524" s="1">
        <v>525</v>
      </c>
      <c r="BS524" s="1" t="s">
        <v>104</v>
      </c>
      <c r="BT524" s="1" t="s">
        <v>3629</v>
      </c>
      <c r="BU524" s="1" t="s">
        <v>3630</v>
      </c>
      <c r="BV524" s="1" t="s">
        <v>3631</v>
      </c>
      <c r="BW524" s="1" t="s">
        <v>3632</v>
      </c>
      <c r="BX524" s="1">
        <v>1</v>
      </c>
      <c r="BY524" s="1" t="s">
        <v>104</v>
      </c>
      <c r="BZ524" s="1">
        <v>9</v>
      </c>
      <c r="CA524" s="1" t="s">
        <v>104</v>
      </c>
      <c r="CB524" s="1" t="s">
        <v>104</v>
      </c>
      <c r="CC524" s="1" t="s">
        <v>104</v>
      </c>
      <c r="CD524" s="1" t="s">
        <v>104</v>
      </c>
      <c r="CE524" s="1" t="s">
        <v>104</v>
      </c>
      <c r="CF524" s="1" t="s">
        <v>104</v>
      </c>
      <c r="CG524" s="1" t="s">
        <v>104</v>
      </c>
      <c r="CH524" s="1" t="s">
        <v>104</v>
      </c>
      <c r="CJ524" s="1">
        <v>0</v>
      </c>
      <c r="CK524" s="1">
        <v>0</v>
      </c>
      <c r="CL524" s="1">
        <v>0</v>
      </c>
      <c r="CM524" s="1" t="s">
        <v>104</v>
      </c>
    </row>
    <row r="525" spans="1:91" ht="14.25" customHeight="1" x14ac:dyDescent="0.3">
      <c r="A525" s="1" t="s">
        <v>3633</v>
      </c>
      <c r="B525" s="1" t="s">
        <v>123</v>
      </c>
      <c r="C525" s="1" t="s">
        <v>124</v>
      </c>
      <c r="D525" s="1" t="s">
        <v>728</v>
      </c>
      <c r="E525" s="1" t="s">
        <v>3634</v>
      </c>
      <c r="F525" s="1" t="s">
        <v>95</v>
      </c>
      <c r="G525" s="1" t="s">
        <v>3635</v>
      </c>
      <c r="H525" s="1">
        <v>0</v>
      </c>
      <c r="I525" s="1" t="s">
        <v>117</v>
      </c>
      <c r="L525" s="1" t="s">
        <v>417</v>
      </c>
      <c r="M525" s="1" t="s">
        <v>3636</v>
      </c>
      <c r="N525" s="1">
        <v>0</v>
      </c>
      <c r="O525" s="1">
        <v>0</v>
      </c>
      <c r="P525" s="1" t="s">
        <v>211</v>
      </c>
      <c r="Q525" s="1" t="s">
        <v>184</v>
      </c>
      <c r="R525" s="1" t="s">
        <v>3637</v>
      </c>
      <c r="S525" s="1" t="s">
        <v>103</v>
      </c>
      <c r="T525" s="1">
        <v>1</v>
      </c>
      <c r="U525" s="1">
        <v>0</v>
      </c>
      <c r="V525" s="1">
        <v>1</v>
      </c>
      <c r="W525" s="1">
        <v>0</v>
      </c>
      <c r="X525" s="1">
        <v>0</v>
      </c>
      <c r="Y525" s="1">
        <v>3</v>
      </c>
      <c r="Z525" s="1">
        <v>3</v>
      </c>
      <c r="AA525" s="1" t="s">
        <v>104</v>
      </c>
      <c r="AB525" s="1" t="s">
        <v>104</v>
      </c>
      <c r="AC525" s="1" t="s">
        <v>104</v>
      </c>
      <c r="AD525" s="1">
        <v>2</v>
      </c>
      <c r="AE525" s="1" t="s">
        <v>104</v>
      </c>
      <c r="AF525" s="1" t="s">
        <v>104</v>
      </c>
      <c r="AG525" s="1" t="s">
        <v>104</v>
      </c>
      <c r="AH525" s="1">
        <v>3</v>
      </c>
      <c r="AI525" s="1" t="s">
        <v>104</v>
      </c>
      <c r="AJ525" s="1" t="s">
        <v>104</v>
      </c>
      <c r="AK525" s="1" t="s">
        <v>104</v>
      </c>
      <c r="AL525" s="1" t="s">
        <v>104</v>
      </c>
      <c r="AM525" s="1" t="s">
        <v>104</v>
      </c>
      <c r="AO525" s="1">
        <v>3</v>
      </c>
      <c r="AP525" s="1" t="s">
        <v>3638</v>
      </c>
      <c r="AQ525" s="1" t="s">
        <v>3639</v>
      </c>
      <c r="AR525" s="1">
        <v>0</v>
      </c>
      <c r="AS525" s="1">
        <v>0</v>
      </c>
      <c r="AT525" s="1">
        <v>0</v>
      </c>
      <c r="AU525" s="1">
        <v>0</v>
      </c>
      <c r="AV525" s="1">
        <v>0</v>
      </c>
      <c r="AW525" s="1">
        <v>0</v>
      </c>
      <c r="AX525" s="1">
        <v>0</v>
      </c>
      <c r="AY525" s="1">
        <v>0</v>
      </c>
      <c r="AZ525" s="1">
        <v>0</v>
      </c>
      <c r="BA525" s="1">
        <v>0</v>
      </c>
      <c r="BB525" s="1">
        <v>0</v>
      </c>
      <c r="BC525" s="1">
        <v>0</v>
      </c>
      <c r="BD525" s="1">
        <v>0</v>
      </c>
      <c r="BE525" s="1">
        <v>0</v>
      </c>
      <c r="BF525" s="1">
        <v>0</v>
      </c>
      <c r="BG525" s="1">
        <v>0</v>
      </c>
      <c r="BH525" s="1">
        <v>1</v>
      </c>
      <c r="BI525" s="1">
        <v>0</v>
      </c>
      <c r="BJ525" s="1">
        <v>0</v>
      </c>
      <c r="BK525" s="1">
        <v>1</v>
      </c>
      <c r="BL525" s="1">
        <v>0</v>
      </c>
      <c r="BM525" s="1">
        <v>0</v>
      </c>
      <c r="BN525" s="1">
        <v>0</v>
      </c>
      <c r="BO525" s="1">
        <v>0</v>
      </c>
      <c r="BP525" s="1">
        <v>0</v>
      </c>
      <c r="BQ525" s="2" t="str">
        <f>HYPERLINK("http://www.d20pfsrd.com/magic/all-spells/s/suggestion","Suggestion")</f>
        <v>Suggestion</v>
      </c>
      <c r="BR525" s="1">
        <v>526</v>
      </c>
      <c r="BS525" s="1" t="s">
        <v>104</v>
      </c>
      <c r="BT525" s="1" t="s">
        <v>3640</v>
      </c>
      <c r="BV525" s="1" t="s">
        <v>3641</v>
      </c>
      <c r="BX525" s="1">
        <v>1</v>
      </c>
      <c r="BY525" s="1" t="s">
        <v>104</v>
      </c>
      <c r="BZ525" s="1" t="s">
        <v>104</v>
      </c>
      <c r="CA525" s="1">
        <v>2</v>
      </c>
      <c r="CB525" s="1">
        <v>2</v>
      </c>
      <c r="CC525" s="1">
        <v>2</v>
      </c>
      <c r="CD525" s="1">
        <v>3</v>
      </c>
      <c r="CE525" s="1" t="s">
        <v>104</v>
      </c>
      <c r="CF525" s="1" t="s">
        <v>104</v>
      </c>
      <c r="CG525" s="1" t="s">
        <v>104</v>
      </c>
      <c r="CH525" s="1" t="s">
        <v>104</v>
      </c>
      <c r="CJ525" s="1">
        <v>0</v>
      </c>
      <c r="CK525" s="1">
        <v>0</v>
      </c>
      <c r="CL525" s="1">
        <v>0</v>
      </c>
      <c r="CM525" s="1" t="s">
        <v>104</v>
      </c>
    </row>
    <row r="526" spans="1:91" ht="14.25" customHeight="1" x14ac:dyDescent="0.3">
      <c r="A526" s="1" t="s">
        <v>3642</v>
      </c>
      <c r="B526" s="1" t="s">
        <v>123</v>
      </c>
      <c r="C526" s="1" t="s">
        <v>124</v>
      </c>
      <c r="D526" s="1" t="s">
        <v>728</v>
      </c>
      <c r="E526" s="1" t="s">
        <v>3643</v>
      </c>
      <c r="F526" s="1" t="s">
        <v>95</v>
      </c>
      <c r="G526" s="1" t="s">
        <v>3635</v>
      </c>
      <c r="H526" s="1">
        <v>0</v>
      </c>
      <c r="I526" s="1" t="s">
        <v>109</v>
      </c>
      <c r="L526" s="1" t="s">
        <v>541</v>
      </c>
      <c r="M526" s="1" t="s">
        <v>3636</v>
      </c>
      <c r="N526" s="1">
        <v>0</v>
      </c>
      <c r="O526" s="1">
        <v>0</v>
      </c>
      <c r="P526" s="1" t="s">
        <v>211</v>
      </c>
      <c r="Q526" s="1" t="s">
        <v>184</v>
      </c>
      <c r="R526" s="1" t="s">
        <v>3644</v>
      </c>
      <c r="S526" s="1" t="s">
        <v>103</v>
      </c>
      <c r="T526" s="1">
        <v>1</v>
      </c>
      <c r="U526" s="1">
        <v>0</v>
      </c>
      <c r="V526" s="1">
        <v>1</v>
      </c>
      <c r="W526" s="1">
        <v>0</v>
      </c>
      <c r="X526" s="1">
        <v>0</v>
      </c>
      <c r="Y526" s="1">
        <v>6</v>
      </c>
      <c r="Z526" s="1">
        <v>6</v>
      </c>
      <c r="AA526" s="1" t="s">
        <v>104</v>
      </c>
      <c r="AB526" s="1" t="s">
        <v>104</v>
      </c>
      <c r="AC526" s="1" t="s">
        <v>104</v>
      </c>
      <c r="AD526" s="1">
        <v>5</v>
      </c>
      <c r="AE526" s="1" t="s">
        <v>104</v>
      </c>
      <c r="AF526" s="1" t="s">
        <v>104</v>
      </c>
      <c r="AG526" s="1" t="s">
        <v>104</v>
      </c>
      <c r="AH526" s="1">
        <v>6</v>
      </c>
      <c r="AI526" s="1" t="s">
        <v>104</v>
      </c>
      <c r="AJ526" s="1" t="s">
        <v>104</v>
      </c>
      <c r="AK526" s="1" t="s">
        <v>104</v>
      </c>
      <c r="AL526" s="1" t="s">
        <v>104</v>
      </c>
      <c r="AM526" s="1" t="s">
        <v>104</v>
      </c>
      <c r="AO526" s="1">
        <v>6</v>
      </c>
      <c r="AP526" s="1" t="s">
        <v>3645</v>
      </c>
      <c r="AQ526" s="1" t="s">
        <v>3646</v>
      </c>
      <c r="AR526" s="1">
        <v>0</v>
      </c>
      <c r="AS526" s="1">
        <v>0</v>
      </c>
      <c r="AT526" s="1">
        <v>0</v>
      </c>
      <c r="AU526" s="1">
        <v>0</v>
      </c>
      <c r="AV526" s="1">
        <v>0</v>
      </c>
      <c r="AW526" s="1">
        <v>0</v>
      </c>
      <c r="AX526" s="1">
        <v>0</v>
      </c>
      <c r="AY526" s="1">
        <v>0</v>
      </c>
      <c r="AZ526" s="1">
        <v>0</v>
      </c>
      <c r="BA526" s="1">
        <v>0</v>
      </c>
      <c r="BB526" s="1">
        <v>0</v>
      </c>
      <c r="BC526" s="1">
        <v>0</v>
      </c>
      <c r="BD526" s="1">
        <v>0</v>
      </c>
      <c r="BE526" s="1">
        <v>0</v>
      </c>
      <c r="BF526" s="1">
        <v>0</v>
      </c>
      <c r="BG526" s="1">
        <v>0</v>
      </c>
      <c r="BH526" s="1">
        <v>1</v>
      </c>
      <c r="BI526" s="1">
        <v>0</v>
      </c>
      <c r="BJ526" s="1">
        <v>0</v>
      </c>
      <c r="BK526" s="1">
        <v>1</v>
      </c>
      <c r="BL526" s="1">
        <v>0</v>
      </c>
      <c r="BM526" s="1">
        <v>0</v>
      </c>
      <c r="BN526" s="1">
        <v>0</v>
      </c>
      <c r="BO526" s="1">
        <v>0</v>
      </c>
      <c r="BP526" s="1">
        <v>0</v>
      </c>
      <c r="BQ526" s="2" t="str">
        <f>HYPERLINK("http://www.d20pfsrd.com/magic/all-spells/s/suggestion","Suggestion, Mass")</f>
        <v>Suggestion, Mass</v>
      </c>
      <c r="BR526" s="1">
        <v>527</v>
      </c>
      <c r="BS526" s="1" t="s">
        <v>104</v>
      </c>
      <c r="BT526" s="1" t="s">
        <v>3647</v>
      </c>
      <c r="BX526" s="1">
        <v>0</v>
      </c>
      <c r="BY526" s="1" t="s">
        <v>104</v>
      </c>
      <c r="BZ526" s="1" t="s">
        <v>104</v>
      </c>
      <c r="CA526" s="1">
        <v>5</v>
      </c>
      <c r="CB526" s="1" t="s">
        <v>104</v>
      </c>
      <c r="CC526" s="1">
        <v>5</v>
      </c>
      <c r="CD526" s="1">
        <v>5</v>
      </c>
      <c r="CE526" s="1" t="s">
        <v>104</v>
      </c>
      <c r="CF526" s="1" t="s">
        <v>104</v>
      </c>
      <c r="CG526" s="1" t="s">
        <v>104</v>
      </c>
      <c r="CH526" s="1" t="s">
        <v>104</v>
      </c>
      <c r="CJ526" s="1">
        <v>0</v>
      </c>
      <c r="CK526" s="1">
        <v>0</v>
      </c>
      <c r="CL526" s="1">
        <v>0</v>
      </c>
      <c r="CM526" s="1" t="s">
        <v>104</v>
      </c>
    </row>
    <row r="527" spans="1:91" ht="14.25" customHeight="1" x14ac:dyDescent="0.3">
      <c r="A527" s="1" t="s">
        <v>3648</v>
      </c>
      <c r="B527" s="1" t="s">
        <v>92</v>
      </c>
      <c r="C527" s="1" t="s">
        <v>903</v>
      </c>
      <c r="E527" s="1" t="s">
        <v>3649</v>
      </c>
      <c r="F527" s="1" t="s">
        <v>255</v>
      </c>
      <c r="G527" s="1" t="s">
        <v>116</v>
      </c>
      <c r="H527" s="1">
        <v>0</v>
      </c>
      <c r="I527" s="1" t="s">
        <v>705</v>
      </c>
      <c r="K527" s="1" t="s">
        <v>3650</v>
      </c>
      <c r="M527" s="1" t="s">
        <v>130</v>
      </c>
      <c r="N527" s="1">
        <v>1</v>
      </c>
      <c r="O527" s="1">
        <v>0</v>
      </c>
      <c r="P527" s="1" t="s">
        <v>100</v>
      </c>
      <c r="Q527" s="1" t="s">
        <v>101</v>
      </c>
      <c r="R527" s="1" t="s">
        <v>3651</v>
      </c>
      <c r="S527" s="1" t="s">
        <v>103</v>
      </c>
      <c r="T527" s="1">
        <v>1</v>
      </c>
      <c r="U527" s="1">
        <v>1</v>
      </c>
      <c r="V527" s="1">
        <v>0</v>
      </c>
      <c r="W527" s="1">
        <v>0</v>
      </c>
      <c r="X527" s="1">
        <v>0</v>
      </c>
      <c r="Y527" s="1" t="s">
        <v>104</v>
      </c>
      <c r="Z527" s="1" t="s">
        <v>104</v>
      </c>
      <c r="AA527" s="1" t="s">
        <v>104</v>
      </c>
      <c r="AB527" s="1" t="s">
        <v>104</v>
      </c>
      <c r="AC527" s="1" t="s">
        <v>104</v>
      </c>
      <c r="AD527" s="1">
        <v>0</v>
      </c>
      <c r="AE527" s="1" t="s">
        <v>104</v>
      </c>
      <c r="AF527" s="1" t="s">
        <v>104</v>
      </c>
      <c r="AG527" s="1" t="s">
        <v>104</v>
      </c>
      <c r="AH527" s="1" t="s">
        <v>104</v>
      </c>
      <c r="AI527" s="1" t="s">
        <v>104</v>
      </c>
      <c r="AJ527" s="1" t="s">
        <v>104</v>
      </c>
      <c r="AK527" s="1" t="s">
        <v>104</v>
      </c>
      <c r="AL527" s="1" t="s">
        <v>104</v>
      </c>
      <c r="AM527" s="1" t="s">
        <v>104</v>
      </c>
      <c r="AO527" s="1">
        <v>0</v>
      </c>
      <c r="AQ527" s="1" t="s">
        <v>3652</v>
      </c>
      <c r="AR527" s="1">
        <v>0</v>
      </c>
      <c r="AS527" s="1">
        <v>0</v>
      </c>
      <c r="AT527" s="1">
        <v>0</v>
      </c>
      <c r="AU527" s="1">
        <v>0</v>
      </c>
      <c r="AV527" s="1">
        <v>0</v>
      </c>
      <c r="AW527" s="1">
        <v>0</v>
      </c>
      <c r="AX527" s="1">
        <v>0</v>
      </c>
      <c r="AY527" s="1">
        <v>0</v>
      </c>
      <c r="AZ527" s="1">
        <v>0</v>
      </c>
      <c r="BA527" s="1">
        <v>0</v>
      </c>
      <c r="BB527" s="1">
        <v>0</v>
      </c>
      <c r="BC527" s="1">
        <v>0</v>
      </c>
      <c r="BD527" s="1">
        <v>0</v>
      </c>
      <c r="BE527" s="1">
        <v>0</v>
      </c>
      <c r="BF527" s="1">
        <v>0</v>
      </c>
      <c r="BG527" s="1">
        <v>0</v>
      </c>
      <c r="BH527" s="1">
        <v>0</v>
      </c>
      <c r="BI527" s="1">
        <v>0</v>
      </c>
      <c r="BJ527" s="1">
        <v>0</v>
      </c>
      <c r="BK527" s="1">
        <v>0</v>
      </c>
      <c r="BL527" s="1">
        <v>0</v>
      </c>
      <c r="BM527" s="1">
        <v>0</v>
      </c>
      <c r="BN527" s="1">
        <v>0</v>
      </c>
      <c r="BO527" s="1">
        <v>0</v>
      </c>
      <c r="BP527" s="1">
        <v>0</v>
      </c>
      <c r="BQ527" s="2" t="str">
        <f>HYPERLINK("http://www.d20pfsrd.com/magic/all-spells/s/summon-instrument","Summon Instrument")</f>
        <v>Summon Instrument</v>
      </c>
      <c r="BR527" s="1">
        <v>528</v>
      </c>
      <c r="BS527" s="1" t="s">
        <v>104</v>
      </c>
      <c r="BX527" s="1">
        <v>0</v>
      </c>
      <c r="BY527" s="1" t="s">
        <v>104</v>
      </c>
      <c r="BZ527" s="1" t="s">
        <v>104</v>
      </c>
      <c r="CA527" s="1" t="s">
        <v>104</v>
      </c>
      <c r="CB527" s="1" t="s">
        <v>104</v>
      </c>
      <c r="CC527" s="1" t="s">
        <v>104</v>
      </c>
      <c r="CD527" s="1" t="s">
        <v>104</v>
      </c>
      <c r="CE527" s="1" t="s">
        <v>104</v>
      </c>
      <c r="CF527" s="1" t="s">
        <v>104</v>
      </c>
      <c r="CG527" s="1" t="s">
        <v>104</v>
      </c>
      <c r="CH527" s="1" t="s">
        <v>104</v>
      </c>
      <c r="CJ527" s="1">
        <v>0</v>
      </c>
      <c r="CK527" s="1">
        <v>0</v>
      </c>
      <c r="CL527" s="1">
        <v>0</v>
      </c>
      <c r="CM527" s="1" t="s">
        <v>104</v>
      </c>
    </row>
    <row r="528" spans="1:91" ht="14.25" customHeight="1" x14ac:dyDescent="0.3">
      <c r="A528" s="1" t="s">
        <v>3653</v>
      </c>
      <c r="B528" s="1" t="s">
        <v>92</v>
      </c>
      <c r="C528" s="1" t="s">
        <v>903</v>
      </c>
      <c r="D528" s="1" t="s">
        <v>145</v>
      </c>
      <c r="E528" s="1" t="s">
        <v>3654</v>
      </c>
      <c r="F528" s="1" t="s">
        <v>255</v>
      </c>
      <c r="G528" s="1" t="s">
        <v>3655</v>
      </c>
      <c r="H528" s="1">
        <v>0</v>
      </c>
      <c r="I528" s="1" t="s">
        <v>117</v>
      </c>
      <c r="K528" s="1" t="s">
        <v>3656</v>
      </c>
      <c r="M528" s="1" t="s">
        <v>111</v>
      </c>
      <c r="N528" s="1">
        <v>1</v>
      </c>
      <c r="O528" s="1">
        <v>0</v>
      </c>
      <c r="P528" s="1" t="s">
        <v>100</v>
      </c>
      <c r="Q528" s="1" t="s">
        <v>101</v>
      </c>
      <c r="R528" s="1" t="s">
        <v>3657</v>
      </c>
      <c r="S528" s="1" t="s">
        <v>103</v>
      </c>
      <c r="T528" s="1">
        <v>1</v>
      </c>
      <c r="U528" s="1">
        <v>1</v>
      </c>
      <c r="V528" s="1">
        <v>0</v>
      </c>
      <c r="W528" s="1">
        <v>1</v>
      </c>
      <c r="X528" s="1">
        <v>1</v>
      </c>
      <c r="Y528" s="1">
        <v>1</v>
      </c>
      <c r="Z528" s="1">
        <v>1</v>
      </c>
      <c r="AA528" s="1">
        <v>1</v>
      </c>
      <c r="AB528" s="1" t="s">
        <v>104</v>
      </c>
      <c r="AC528" s="1" t="s">
        <v>104</v>
      </c>
      <c r="AD528" s="1">
        <v>1</v>
      </c>
      <c r="AE528" s="1" t="s">
        <v>104</v>
      </c>
      <c r="AF528" s="1" t="s">
        <v>104</v>
      </c>
      <c r="AG528" s="1">
        <v>1</v>
      </c>
      <c r="AH528" s="1">
        <v>1</v>
      </c>
      <c r="AI528" s="1" t="s">
        <v>104</v>
      </c>
      <c r="AJ528" s="1">
        <v>1</v>
      </c>
      <c r="AK528" s="1">
        <v>1</v>
      </c>
      <c r="AL528" s="1" t="s">
        <v>104</v>
      </c>
      <c r="AM528" s="1" t="s">
        <v>104</v>
      </c>
      <c r="AO528" s="1">
        <v>1</v>
      </c>
      <c r="AQ528" s="1" t="s">
        <v>3658</v>
      </c>
      <c r="AR528" s="1">
        <v>0</v>
      </c>
      <c r="AS528" s="1">
        <v>0</v>
      </c>
      <c r="AT528" s="1">
        <v>0</v>
      </c>
      <c r="AU528" s="1">
        <v>0</v>
      </c>
      <c r="AV528" s="1">
        <v>0</v>
      </c>
      <c r="AW528" s="1">
        <v>0</v>
      </c>
      <c r="AX528" s="1">
        <v>0</v>
      </c>
      <c r="AY528" s="1">
        <v>0</v>
      </c>
      <c r="AZ528" s="1">
        <v>0</v>
      </c>
      <c r="BA528" s="1">
        <v>0</v>
      </c>
      <c r="BB528" s="1">
        <v>0</v>
      </c>
      <c r="BC528" s="1">
        <v>0</v>
      </c>
      <c r="BD528" s="1">
        <v>0</v>
      </c>
      <c r="BE528" s="1">
        <v>0</v>
      </c>
      <c r="BF528" s="1">
        <v>0</v>
      </c>
      <c r="BG528" s="1">
        <v>0</v>
      </c>
      <c r="BH528" s="1">
        <v>0</v>
      </c>
      <c r="BI528" s="1">
        <v>0</v>
      </c>
      <c r="BJ528" s="1">
        <v>0</v>
      </c>
      <c r="BK528" s="1">
        <v>0</v>
      </c>
      <c r="BL528" s="1">
        <v>0</v>
      </c>
      <c r="BM528" s="1">
        <v>0</v>
      </c>
      <c r="BN528" s="1">
        <v>0</v>
      </c>
      <c r="BO528" s="1">
        <v>0</v>
      </c>
      <c r="BP528" s="1">
        <v>0</v>
      </c>
      <c r="BQ528" s="2" t="str">
        <f>HYPERLINK("http://www.d20pfsrd.com/magic/all-spells/s/summon-monster-i","Summon Monster I")</f>
        <v>Summon Monster I</v>
      </c>
      <c r="BR528" s="1">
        <v>529</v>
      </c>
      <c r="BS528" s="1" t="s">
        <v>104</v>
      </c>
      <c r="BX528" s="1">
        <v>0</v>
      </c>
      <c r="BY528" s="1" t="s">
        <v>104</v>
      </c>
      <c r="BZ528" s="1" t="s">
        <v>104</v>
      </c>
      <c r="CA528" s="1">
        <v>1</v>
      </c>
      <c r="CB528" s="1">
        <v>1</v>
      </c>
      <c r="CC528" s="1" t="s">
        <v>104</v>
      </c>
      <c r="CD528" s="1" t="s">
        <v>104</v>
      </c>
      <c r="CE528" s="1">
        <v>1</v>
      </c>
      <c r="CF528" s="1" t="s">
        <v>104</v>
      </c>
      <c r="CG528" s="1" t="s">
        <v>104</v>
      </c>
      <c r="CH528" s="1" t="s">
        <v>104</v>
      </c>
      <c r="CJ528" s="1">
        <v>0</v>
      </c>
      <c r="CK528" s="1">
        <v>0</v>
      </c>
      <c r="CL528" s="1">
        <v>0</v>
      </c>
      <c r="CM528" s="1">
        <v>1</v>
      </c>
    </row>
    <row r="529" spans="1:91" ht="14.25" customHeight="1" x14ac:dyDescent="0.3">
      <c r="A529" s="1" t="s">
        <v>3659</v>
      </c>
      <c r="B529" s="1" t="s">
        <v>92</v>
      </c>
      <c r="C529" s="1" t="s">
        <v>903</v>
      </c>
      <c r="E529" s="1" t="s">
        <v>3660</v>
      </c>
      <c r="F529" s="1" t="s">
        <v>255</v>
      </c>
      <c r="G529" s="1" t="s">
        <v>3655</v>
      </c>
      <c r="H529" s="1">
        <v>0</v>
      </c>
      <c r="I529" s="1" t="s">
        <v>117</v>
      </c>
      <c r="K529" s="1" t="s">
        <v>3656</v>
      </c>
      <c r="M529" s="1" t="s">
        <v>111</v>
      </c>
      <c r="N529" s="1">
        <v>1</v>
      </c>
      <c r="O529" s="1">
        <v>0</v>
      </c>
      <c r="P529" s="1" t="s">
        <v>100</v>
      </c>
      <c r="Q529" s="1" t="s">
        <v>101</v>
      </c>
      <c r="R529" s="1" t="s">
        <v>3661</v>
      </c>
      <c r="S529" s="1" t="s">
        <v>103</v>
      </c>
      <c r="T529" s="1">
        <v>1</v>
      </c>
      <c r="U529" s="1">
        <v>1</v>
      </c>
      <c r="V529" s="1">
        <v>0</v>
      </c>
      <c r="W529" s="1">
        <v>1</v>
      </c>
      <c r="X529" s="1">
        <v>1</v>
      </c>
      <c r="Y529" s="1">
        <v>2</v>
      </c>
      <c r="Z529" s="1">
        <v>2</v>
      </c>
      <c r="AA529" s="1">
        <v>2</v>
      </c>
      <c r="AB529" s="1" t="s">
        <v>104</v>
      </c>
      <c r="AC529" s="1" t="s">
        <v>104</v>
      </c>
      <c r="AD529" s="1">
        <v>2</v>
      </c>
      <c r="AE529" s="1" t="s">
        <v>104</v>
      </c>
      <c r="AF529" s="1" t="s">
        <v>104</v>
      </c>
      <c r="AG529" s="1">
        <v>2</v>
      </c>
      <c r="AH529" s="1">
        <v>2</v>
      </c>
      <c r="AI529" s="1" t="s">
        <v>104</v>
      </c>
      <c r="AJ529" s="1">
        <v>2</v>
      </c>
      <c r="AK529" s="1">
        <v>2</v>
      </c>
      <c r="AL529" s="1" t="s">
        <v>104</v>
      </c>
      <c r="AM529" s="1" t="s">
        <v>104</v>
      </c>
      <c r="AO529" s="1">
        <v>2</v>
      </c>
      <c r="AP529" s="1" t="s">
        <v>3662</v>
      </c>
      <c r="AQ529" s="1" t="s">
        <v>3658</v>
      </c>
      <c r="AR529" s="1">
        <v>0</v>
      </c>
      <c r="AS529" s="1">
        <v>0</v>
      </c>
      <c r="AT529" s="1">
        <v>0</v>
      </c>
      <c r="AU529" s="1">
        <v>0</v>
      </c>
      <c r="AV529" s="1">
        <v>0</v>
      </c>
      <c r="AW529" s="1">
        <v>0</v>
      </c>
      <c r="AX529" s="1">
        <v>0</v>
      </c>
      <c r="AY529" s="1">
        <v>0</v>
      </c>
      <c r="AZ529" s="1">
        <v>0</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2" t="str">
        <f>HYPERLINK("http://www.d20pfsrd.com/magic/all-spells/s/summon-monster-i#TOC-Summon-Monster-II","Summon Monster II")</f>
        <v>Summon Monster II</v>
      </c>
      <c r="BR529" s="1">
        <v>530</v>
      </c>
      <c r="BS529" s="1" t="s">
        <v>104</v>
      </c>
      <c r="BX529" s="1">
        <v>0</v>
      </c>
      <c r="BY529" s="1" t="s">
        <v>104</v>
      </c>
      <c r="BZ529" s="1" t="s">
        <v>104</v>
      </c>
      <c r="CA529" s="1">
        <v>2</v>
      </c>
      <c r="CB529" s="1">
        <v>2</v>
      </c>
      <c r="CC529" s="1" t="s">
        <v>104</v>
      </c>
      <c r="CD529" s="1" t="s">
        <v>104</v>
      </c>
      <c r="CE529" s="1">
        <v>2</v>
      </c>
      <c r="CF529" s="1" t="s">
        <v>104</v>
      </c>
      <c r="CG529" s="1" t="s">
        <v>104</v>
      </c>
      <c r="CH529" s="1" t="s">
        <v>104</v>
      </c>
      <c r="CJ529" s="1">
        <v>0</v>
      </c>
      <c r="CK529" s="1">
        <v>0</v>
      </c>
      <c r="CL529" s="1">
        <v>0</v>
      </c>
      <c r="CM529" s="1">
        <v>2</v>
      </c>
    </row>
    <row r="530" spans="1:91" ht="14.25" customHeight="1" x14ac:dyDescent="0.3">
      <c r="A530" s="1" t="s">
        <v>3663</v>
      </c>
      <c r="B530" s="1" t="s">
        <v>92</v>
      </c>
      <c r="C530" s="1" t="s">
        <v>903</v>
      </c>
      <c r="E530" s="1" t="s">
        <v>3664</v>
      </c>
      <c r="F530" s="1" t="s">
        <v>255</v>
      </c>
      <c r="G530" s="1" t="s">
        <v>3655</v>
      </c>
      <c r="H530" s="1">
        <v>0</v>
      </c>
      <c r="I530" s="1" t="s">
        <v>117</v>
      </c>
      <c r="K530" s="1" t="s">
        <v>3656</v>
      </c>
      <c r="M530" s="1" t="s">
        <v>111</v>
      </c>
      <c r="N530" s="1">
        <v>1</v>
      </c>
      <c r="O530" s="1">
        <v>0</v>
      </c>
      <c r="P530" s="1" t="s">
        <v>100</v>
      </c>
      <c r="Q530" s="1" t="s">
        <v>101</v>
      </c>
      <c r="R530" s="1" t="s">
        <v>3665</v>
      </c>
      <c r="S530" s="1" t="s">
        <v>103</v>
      </c>
      <c r="T530" s="1">
        <v>1</v>
      </c>
      <c r="U530" s="1">
        <v>1</v>
      </c>
      <c r="V530" s="1">
        <v>0</v>
      </c>
      <c r="W530" s="1">
        <v>1</v>
      </c>
      <c r="X530" s="1">
        <v>1</v>
      </c>
      <c r="Y530" s="1">
        <v>3</v>
      </c>
      <c r="Z530" s="1">
        <v>3</v>
      </c>
      <c r="AA530" s="1">
        <v>3</v>
      </c>
      <c r="AB530" s="1" t="s">
        <v>104</v>
      </c>
      <c r="AC530" s="1" t="s">
        <v>104</v>
      </c>
      <c r="AD530" s="1">
        <v>3</v>
      </c>
      <c r="AE530" s="1" t="s">
        <v>104</v>
      </c>
      <c r="AF530" s="1" t="s">
        <v>104</v>
      </c>
      <c r="AG530" s="1" t="s">
        <v>104</v>
      </c>
      <c r="AH530" s="1">
        <v>3</v>
      </c>
      <c r="AI530" s="1" t="s">
        <v>104</v>
      </c>
      <c r="AJ530" s="1">
        <v>3</v>
      </c>
      <c r="AK530" s="1">
        <v>3</v>
      </c>
      <c r="AL530" s="1" t="s">
        <v>104</v>
      </c>
      <c r="AM530" s="1" t="s">
        <v>104</v>
      </c>
      <c r="AO530" s="1">
        <v>3</v>
      </c>
      <c r="AQ530" s="1" t="s">
        <v>3658</v>
      </c>
      <c r="AR530" s="1">
        <v>0</v>
      </c>
      <c r="AS530" s="1">
        <v>0</v>
      </c>
      <c r="AT530" s="1">
        <v>0</v>
      </c>
      <c r="AU530" s="1">
        <v>0</v>
      </c>
      <c r="AV530" s="1">
        <v>0</v>
      </c>
      <c r="AW530" s="1">
        <v>0</v>
      </c>
      <c r="AX530" s="1">
        <v>0</v>
      </c>
      <c r="AY530" s="1">
        <v>0</v>
      </c>
      <c r="AZ530" s="1">
        <v>0</v>
      </c>
      <c r="BA530" s="1">
        <v>0</v>
      </c>
      <c r="BB530" s="1">
        <v>0</v>
      </c>
      <c r="BC530" s="1">
        <v>0</v>
      </c>
      <c r="BD530" s="1">
        <v>0</v>
      </c>
      <c r="BE530" s="1">
        <v>0</v>
      </c>
      <c r="BF530" s="1">
        <v>0</v>
      </c>
      <c r="BG530" s="1">
        <v>0</v>
      </c>
      <c r="BH530" s="1">
        <v>0</v>
      </c>
      <c r="BI530" s="1">
        <v>0</v>
      </c>
      <c r="BJ530" s="1">
        <v>0</v>
      </c>
      <c r="BK530" s="1">
        <v>0</v>
      </c>
      <c r="BL530" s="1">
        <v>0</v>
      </c>
      <c r="BM530" s="1">
        <v>0</v>
      </c>
      <c r="BN530" s="1">
        <v>0</v>
      </c>
      <c r="BO530" s="1">
        <v>0</v>
      </c>
      <c r="BP530" s="1">
        <v>0</v>
      </c>
      <c r="BQ530" s="2" t="str">
        <f>HYPERLINK("http://www.d20pfsrd.com/magic/all-spells/s/summon-monster-i#TOC-Summon-Monster-III","Summon Monster III")</f>
        <v>Summon Monster III</v>
      </c>
      <c r="BR530" s="1">
        <v>531</v>
      </c>
      <c r="BS530" s="1" t="s">
        <v>104</v>
      </c>
      <c r="BT530" s="1" t="s">
        <v>3666</v>
      </c>
      <c r="BX530" s="1">
        <v>0</v>
      </c>
      <c r="BY530" s="1" t="s">
        <v>104</v>
      </c>
      <c r="BZ530" s="1" t="s">
        <v>104</v>
      </c>
      <c r="CA530" s="1">
        <v>3</v>
      </c>
      <c r="CB530" s="1" t="s">
        <v>104</v>
      </c>
      <c r="CC530" s="1" t="s">
        <v>104</v>
      </c>
      <c r="CD530" s="1" t="s">
        <v>104</v>
      </c>
      <c r="CE530" s="1">
        <v>3</v>
      </c>
      <c r="CF530" s="1" t="s">
        <v>104</v>
      </c>
      <c r="CG530" s="1" t="s">
        <v>104</v>
      </c>
      <c r="CH530" s="1" t="s">
        <v>104</v>
      </c>
      <c r="CJ530" s="1">
        <v>0</v>
      </c>
      <c r="CK530" s="1">
        <v>0</v>
      </c>
      <c r="CL530" s="1">
        <v>0</v>
      </c>
      <c r="CM530" s="1" t="s">
        <v>104</v>
      </c>
    </row>
    <row r="531" spans="1:91" ht="14.25" customHeight="1" x14ac:dyDescent="0.3">
      <c r="A531" s="1" t="s">
        <v>3667</v>
      </c>
      <c r="B531" s="1" t="s">
        <v>92</v>
      </c>
      <c r="C531" s="1" t="s">
        <v>903</v>
      </c>
      <c r="E531" s="1" t="s">
        <v>3668</v>
      </c>
      <c r="F531" s="1" t="s">
        <v>255</v>
      </c>
      <c r="G531" s="1" t="s">
        <v>3655</v>
      </c>
      <c r="H531" s="1">
        <v>0</v>
      </c>
      <c r="I531" s="1" t="s">
        <v>117</v>
      </c>
      <c r="K531" s="1" t="s">
        <v>3656</v>
      </c>
      <c r="M531" s="1" t="s">
        <v>111</v>
      </c>
      <c r="N531" s="1">
        <v>1</v>
      </c>
      <c r="O531" s="1">
        <v>0</v>
      </c>
      <c r="P531" s="1" t="s">
        <v>100</v>
      </c>
      <c r="Q531" s="1" t="s">
        <v>101</v>
      </c>
      <c r="R531" s="1" t="s">
        <v>3669</v>
      </c>
      <c r="S531" s="1" t="s">
        <v>103</v>
      </c>
      <c r="T531" s="1">
        <v>1</v>
      </c>
      <c r="U531" s="1">
        <v>1</v>
      </c>
      <c r="V531" s="1">
        <v>0</v>
      </c>
      <c r="W531" s="1">
        <v>1</v>
      </c>
      <c r="X531" s="1">
        <v>1</v>
      </c>
      <c r="Y531" s="1">
        <v>4</v>
      </c>
      <c r="Z531" s="1">
        <v>4</v>
      </c>
      <c r="AA531" s="1">
        <v>4</v>
      </c>
      <c r="AB531" s="1" t="s">
        <v>104</v>
      </c>
      <c r="AC531" s="1" t="s">
        <v>104</v>
      </c>
      <c r="AD531" s="1">
        <v>4</v>
      </c>
      <c r="AE531" s="1" t="s">
        <v>104</v>
      </c>
      <c r="AF531" s="1" t="s">
        <v>104</v>
      </c>
      <c r="AG531" s="1">
        <v>3</v>
      </c>
      <c r="AH531" s="1">
        <v>4</v>
      </c>
      <c r="AI531" s="1" t="s">
        <v>104</v>
      </c>
      <c r="AJ531" s="1">
        <v>4</v>
      </c>
      <c r="AK531" s="1">
        <v>4</v>
      </c>
      <c r="AL531" s="1" t="s">
        <v>104</v>
      </c>
      <c r="AM531" s="1" t="s">
        <v>104</v>
      </c>
      <c r="AO531" s="1">
        <v>4</v>
      </c>
      <c r="AP531" s="1" t="s">
        <v>3670</v>
      </c>
      <c r="AQ531" s="1" t="s">
        <v>3658</v>
      </c>
      <c r="AR531" s="1">
        <v>0</v>
      </c>
      <c r="AS531" s="1">
        <v>0</v>
      </c>
      <c r="AT531" s="1">
        <v>0</v>
      </c>
      <c r="AU531" s="1">
        <v>0</v>
      </c>
      <c r="AV531" s="1">
        <v>0</v>
      </c>
      <c r="AW531" s="1">
        <v>0</v>
      </c>
      <c r="AX531" s="1">
        <v>0</v>
      </c>
      <c r="AY531" s="1">
        <v>0</v>
      </c>
      <c r="AZ531" s="1">
        <v>0</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2" t="str">
        <f>HYPERLINK("http://www.d20pfsrd.com/magic/all-spells/s/summon-monster-i#TOC-Summon-Monster-IV","Summon Monster IV")</f>
        <v>Summon Monster IV</v>
      </c>
      <c r="BR531" s="1">
        <v>532</v>
      </c>
      <c r="BS531" s="1" t="s">
        <v>104</v>
      </c>
      <c r="BX531" s="1">
        <v>0</v>
      </c>
      <c r="BY531" s="1" t="s">
        <v>104</v>
      </c>
      <c r="BZ531" s="1" t="s">
        <v>104</v>
      </c>
      <c r="CA531" s="1">
        <v>4</v>
      </c>
      <c r="CB531" s="1">
        <v>3</v>
      </c>
      <c r="CC531" s="1" t="s">
        <v>104</v>
      </c>
      <c r="CD531" s="1" t="s">
        <v>104</v>
      </c>
      <c r="CE531" s="1">
        <v>4</v>
      </c>
      <c r="CF531" s="1" t="s">
        <v>104</v>
      </c>
      <c r="CG531" s="1" t="s">
        <v>104</v>
      </c>
      <c r="CH531" s="1" t="s">
        <v>104</v>
      </c>
      <c r="CJ531" s="1">
        <v>0</v>
      </c>
      <c r="CK531" s="1">
        <v>0</v>
      </c>
      <c r="CL531" s="1">
        <v>0</v>
      </c>
      <c r="CM531" s="1">
        <v>3</v>
      </c>
    </row>
    <row r="532" spans="1:91" ht="14.25" customHeight="1" x14ac:dyDescent="0.3">
      <c r="A532" s="1" t="s">
        <v>3671</v>
      </c>
      <c r="B532" s="1" t="s">
        <v>92</v>
      </c>
      <c r="C532" s="1" t="s">
        <v>903</v>
      </c>
      <c r="E532" s="1" t="s">
        <v>3672</v>
      </c>
      <c r="F532" s="1" t="s">
        <v>255</v>
      </c>
      <c r="G532" s="1" t="s">
        <v>3655</v>
      </c>
      <c r="H532" s="1">
        <v>0</v>
      </c>
      <c r="I532" s="1" t="s">
        <v>117</v>
      </c>
      <c r="K532" s="1" t="s">
        <v>3656</v>
      </c>
      <c r="M532" s="1" t="s">
        <v>111</v>
      </c>
      <c r="N532" s="1">
        <v>1</v>
      </c>
      <c r="O532" s="1">
        <v>0</v>
      </c>
      <c r="P532" s="1" t="s">
        <v>100</v>
      </c>
      <c r="Q532" s="1" t="s">
        <v>101</v>
      </c>
      <c r="R532" s="1" t="s">
        <v>3673</v>
      </c>
      <c r="S532" s="1" t="s">
        <v>103</v>
      </c>
      <c r="T532" s="1">
        <v>1</v>
      </c>
      <c r="U532" s="1">
        <v>1</v>
      </c>
      <c r="V532" s="1">
        <v>0</v>
      </c>
      <c r="W532" s="1">
        <v>1</v>
      </c>
      <c r="X532" s="1">
        <v>1</v>
      </c>
      <c r="Y532" s="1">
        <v>5</v>
      </c>
      <c r="Z532" s="1">
        <v>5</v>
      </c>
      <c r="AA532" s="1">
        <v>5</v>
      </c>
      <c r="AB532" s="1" t="s">
        <v>104</v>
      </c>
      <c r="AC532" s="1" t="s">
        <v>104</v>
      </c>
      <c r="AD532" s="1">
        <v>5</v>
      </c>
      <c r="AE532" s="1" t="s">
        <v>104</v>
      </c>
      <c r="AF532" s="1" t="s">
        <v>104</v>
      </c>
      <c r="AG532" s="1">
        <v>4</v>
      </c>
      <c r="AH532" s="1">
        <v>5</v>
      </c>
      <c r="AI532" s="1" t="s">
        <v>104</v>
      </c>
      <c r="AJ532" s="1">
        <v>5</v>
      </c>
      <c r="AK532" s="1" t="s">
        <v>104</v>
      </c>
      <c r="AL532" s="1" t="s">
        <v>104</v>
      </c>
      <c r="AM532" s="1" t="s">
        <v>104</v>
      </c>
      <c r="AO532" s="1">
        <v>5</v>
      </c>
      <c r="AP532" s="1" t="s">
        <v>3674</v>
      </c>
      <c r="AQ532" s="1" t="s">
        <v>3675</v>
      </c>
      <c r="AR532" s="1">
        <v>0</v>
      </c>
      <c r="AS532" s="1">
        <v>0</v>
      </c>
      <c r="AT532" s="1">
        <v>0</v>
      </c>
      <c r="AU532" s="1">
        <v>0</v>
      </c>
      <c r="AV532" s="1">
        <v>0</v>
      </c>
      <c r="AW532" s="1">
        <v>0</v>
      </c>
      <c r="AX532" s="1">
        <v>0</v>
      </c>
      <c r="AY532" s="1">
        <v>0</v>
      </c>
      <c r="AZ532" s="1">
        <v>0</v>
      </c>
      <c r="BA532" s="1">
        <v>0</v>
      </c>
      <c r="BB532" s="1">
        <v>0</v>
      </c>
      <c r="BC532" s="1">
        <v>0</v>
      </c>
      <c r="BD532" s="1">
        <v>0</v>
      </c>
      <c r="BE532" s="1">
        <v>0</v>
      </c>
      <c r="BF532" s="1">
        <v>0</v>
      </c>
      <c r="BG532" s="1">
        <v>0</v>
      </c>
      <c r="BH532" s="1">
        <v>0</v>
      </c>
      <c r="BI532" s="1">
        <v>0</v>
      </c>
      <c r="BJ532" s="1">
        <v>0</v>
      </c>
      <c r="BK532" s="1">
        <v>0</v>
      </c>
      <c r="BL532" s="1">
        <v>0</v>
      </c>
      <c r="BM532" s="1">
        <v>0</v>
      </c>
      <c r="BN532" s="1">
        <v>0</v>
      </c>
      <c r="BO532" s="1">
        <v>0</v>
      </c>
      <c r="BP532" s="1">
        <v>0</v>
      </c>
      <c r="BQ532" s="2" t="str">
        <f>HYPERLINK("http://www.d20pfsrd.com/magic/all-spells/s/summon-monster-i#TOC-Summon-Monster-V","Summon Monster V")</f>
        <v>Summon Monster V</v>
      </c>
      <c r="BR532" s="1">
        <v>533</v>
      </c>
      <c r="BS532" s="1" t="s">
        <v>104</v>
      </c>
      <c r="BX532" s="1">
        <v>0</v>
      </c>
      <c r="BY532" s="1" t="s">
        <v>104</v>
      </c>
      <c r="BZ532" s="1" t="s">
        <v>104</v>
      </c>
      <c r="CA532" s="1">
        <v>5</v>
      </c>
      <c r="CB532" s="1">
        <v>4</v>
      </c>
      <c r="CC532" s="1" t="s">
        <v>104</v>
      </c>
      <c r="CD532" s="1" t="s">
        <v>104</v>
      </c>
      <c r="CE532" s="1">
        <v>5</v>
      </c>
      <c r="CF532" s="1" t="s">
        <v>104</v>
      </c>
      <c r="CG532" s="1" t="s">
        <v>104</v>
      </c>
      <c r="CH532" s="1" t="s">
        <v>104</v>
      </c>
      <c r="CJ532" s="1">
        <v>0</v>
      </c>
      <c r="CK532" s="1">
        <v>0</v>
      </c>
      <c r="CL532" s="1">
        <v>0</v>
      </c>
      <c r="CM532" s="1">
        <v>4</v>
      </c>
    </row>
    <row r="533" spans="1:91" ht="14.25" customHeight="1" x14ac:dyDescent="0.3">
      <c r="A533" s="1" t="s">
        <v>3676</v>
      </c>
      <c r="B533" s="1" t="s">
        <v>92</v>
      </c>
      <c r="C533" s="1" t="s">
        <v>903</v>
      </c>
      <c r="E533" s="1" t="s">
        <v>3677</v>
      </c>
      <c r="F533" s="1" t="s">
        <v>255</v>
      </c>
      <c r="G533" s="1" t="s">
        <v>3655</v>
      </c>
      <c r="H533" s="1">
        <v>0</v>
      </c>
      <c r="I533" s="1" t="s">
        <v>117</v>
      </c>
      <c r="K533" s="1" t="s">
        <v>3656</v>
      </c>
      <c r="M533" s="1" t="s">
        <v>111</v>
      </c>
      <c r="N533" s="1">
        <v>1</v>
      </c>
      <c r="O533" s="1">
        <v>0</v>
      </c>
      <c r="P533" s="1" t="s">
        <v>100</v>
      </c>
      <c r="Q533" s="1" t="s">
        <v>101</v>
      </c>
      <c r="R533" s="1" t="s">
        <v>3678</v>
      </c>
      <c r="S533" s="1" t="s">
        <v>103</v>
      </c>
      <c r="T533" s="1">
        <v>1</v>
      </c>
      <c r="U533" s="1">
        <v>1</v>
      </c>
      <c r="V533" s="1">
        <v>0</v>
      </c>
      <c r="W533" s="1">
        <v>1</v>
      </c>
      <c r="X533" s="1">
        <v>1</v>
      </c>
      <c r="Y533" s="1">
        <v>6</v>
      </c>
      <c r="Z533" s="1">
        <v>6</v>
      </c>
      <c r="AA533" s="1">
        <v>6</v>
      </c>
      <c r="AB533" s="1" t="s">
        <v>104</v>
      </c>
      <c r="AC533" s="1" t="s">
        <v>104</v>
      </c>
      <c r="AD533" s="1">
        <v>6</v>
      </c>
      <c r="AE533" s="1" t="s">
        <v>104</v>
      </c>
      <c r="AF533" s="1" t="s">
        <v>104</v>
      </c>
      <c r="AG533" s="1" t="s">
        <v>104</v>
      </c>
      <c r="AH533" s="1">
        <v>6</v>
      </c>
      <c r="AI533" s="1" t="s">
        <v>104</v>
      </c>
      <c r="AJ533" s="1">
        <v>6</v>
      </c>
      <c r="AK533" s="1" t="s">
        <v>104</v>
      </c>
      <c r="AL533" s="1" t="s">
        <v>104</v>
      </c>
      <c r="AM533" s="1" t="s">
        <v>104</v>
      </c>
      <c r="AO533" s="1">
        <v>6</v>
      </c>
      <c r="AQ533" s="1" t="s">
        <v>3675</v>
      </c>
      <c r="AR533" s="1">
        <v>0</v>
      </c>
      <c r="AS533" s="1">
        <v>0</v>
      </c>
      <c r="AT533" s="1">
        <v>0</v>
      </c>
      <c r="AU533" s="1">
        <v>0</v>
      </c>
      <c r="AV533" s="1">
        <v>0</v>
      </c>
      <c r="AW533" s="1">
        <v>0</v>
      </c>
      <c r="AX533" s="1">
        <v>0</v>
      </c>
      <c r="AY533" s="1">
        <v>0</v>
      </c>
      <c r="AZ533" s="1">
        <v>0</v>
      </c>
      <c r="BA533" s="1">
        <v>0</v>
      </c>
      <c r="BB533" s="1">
        <v>0</v>
      </c>
      <c r="BC533" s="1">
        <v>0</v>
      </c>
      <c r="BD533" s="1">
        <v>0</v>
      </c>
      <c r="BE533" s="1">
        <v>0</v>
      </c>
      <c r="BF533" s="1">
        <v>0</v>
      </c>
      <c r="BG533" s="1">
        <v>0</v>
      </c>
      <c r="BH533" s="1">
        <v>0</v>
      </c>
      <c r="BI533" s="1">
        <v>0</v>
      </c>
      <c r="BJ533" s="1">
        <v>0</v>
      </c>
      <c r="BK533" s="1">
        <v>0</v>
      </c>
      <c r="BL533" s="1">
        <v>0</v>
      </c>
      <c r="BM533" s="1">
        <v>0</v>
      </c>
      <c r="BN533" s="1">
        <v>0</v>
      </c>
      <c r="BO533" s="1">
        <v>0</v>
      </c>
      <c r="BP533" s="1">
        <v>0</v>
      </c>
      <c r="BQ533" s="2" t="str">
        <f>HYPERLINK("http://www.d20pfsrd.com/magic/all-spells/s/summon-monster-i#TOC-Summon-Monster-VI","Summon Monster VI")</f>
        <v>Summon Monster VI</v>
      </c>
      <c r="BR533" s="1">
        <v>534</v>
      </c>
      <c r="BS533" s="1" t="s">
        <v>104</v>
      </c>
      <c r="BX533" s="1">
        <v>0</v>
      </c>
      <c r="BY533" s="1" t="s">
        <v>104</v>
      </c>
      <c r="BZ533" s="1" t="s">
        <v>104</v>
      </c>
      <c r="CA533" s="1">
        <v>6</v>
      </c>
      <c r="CB533" s="1" t="s">
        <v>104</v>
      </c>
      <c r="CC533" s="1" t="s">
        <v>104</v>
      </c>
      <c r="CD533" s="1" t="s">
        <v>104</v>
      </c>
      <c r="CE533" s="1">
        <v>6</v>
      </c>
      <c r="CF533" s="1" t="s">
        <v>104</v>
      </c>
      <c r="CG533" s="1" t="s">
        <v>104</v>
      </c>
      <c r="CH533" s="1" t="s">
        <v>104</v>
      </c>
      <c r="CJ533" s="1">
        <v>0</v>
      </c>
      <c r="CK533" s="1">
        <v>0</v>
      </c>
      <c r="CL533" s="1">
        <v>0</v>
      </c>
      <c r="CM533" s="1">
        <v>5</v>
      </c>
    </row>
    <row r="534" spans="1:91" ht="14.25" customHeight="1" x14ac:dyDescent="0.3">
      <c r="A534" s="1" t="s">
        <v>3679</v>
      </c>
      <c r="B534" s="1" t="s">
        <v>92</v>
      </c>
      <c r="C534" s="1" t="s">
        <v>903</v>
      </c>
      <c r="E534" s="1" t="s">
        <v>3680</v>
      </c>
      <c r="F534" s="1" t="s">
        <v>255</v>
      </c>
      <c r="G534" s="1" t="s">
        <v>3655</v>
      </c>
      <c r="H534" s="1">
        <v>0</v>
      </c>
      <c r="I534" s="1" t="s">
        <v>117</v>
      </c>
      <c r="K534" s="1" t="s">
        <v>3656</v>
      </c>
      <c r="M534" s="1" t="s">
        <v>111</v>
      </c>
      <c r="N534" s="1">
        <v>1</v>
      </c>
      <c r="O534" s="1">
        <v>0</v>
      </c>
      <c r="P534" s="1" t="s">
        <v>100</v>
      </c>
      <c r="Q534" s="1" t="s">
        <v>101</v>
      </c>
      <c r="R534" s="1" t="s">
        <v>3681</v>
      </c>
      <c r="S534" s="1" t="s">
        <v>103</v>
      </c>
      <c r="T534" s="1">
        <v>1</v>
      </c>
      <c r="U534" s="1">
        <v>1</v>
      </c>
      <c r="V534" s="1">
        <v>0</v>
      </c>
      <c r="W534" s="1">
        <v>1</v>
      </c>
      <c r="X534" s="1">
        <v>1</v>
      </c>
      <c r="Y534" s="1">
        <v>8</v>
      </c>
      <c r="Z534" s="1">
        <v>8</v>
      </c>
      <c r="AA534" s="1">
        <v>8</v>
      </c>
      <c r="AB534" s="1" t="s">
        <v>104</v>
      </c>
      <c r="AC534" s="1" t="s">
        <v>104</v>
      </c>
      <c r="AD534" s="1" t="s">
        <v>104</v>
      </c>
      <c r="AE534" s="1" t="s">
        <v>104</v>
      </c>
      <c r="AF534" s="1" t="s">
        <v>104</v>
      </c>
      <c r="AG534" s="1">
        <v>6</v>
      </c>
      <c r="AH534" s="1">
        <v>8</v>
      </c>
      <c r="AI534" s="1" t="s">
        <v>104</v>
      </c>
      <c r="AJ534" s="1">
        <v>8</v>
      </c>
      <c r="AK534" s="1" t="s">
        <v>104</v>
      </c>
      <c r="AL534" s="1" t="s">
        <v>104</v>
      </c>
      <c r="AM534" s="1" t="s">
        <v>104</v>
      </c>
      <c r="AO534" s="1">
        <v>8</v>
      </c>
      <c r="AQ534" s="1" t="s">
        <v>3675</v>
      </c>
      <c r="AR534" s="1">
        <v>0</v>
      </c>
      <c r="AS534" s="1">
        <v>0</v>
      </c>
      <c r="AT534" s="1">
        <v>0</v>
      </c>
      <c r="AU534" s="1">
        <v>0</v>
      </c>
      <c r="AV534" s="1">
        <v>0</v>
      </c>
      <c r="AW534" s="1">
        <v>0</v>
      </c>
      <c r="AX534" s="1">
        <v>0</v>
      </c>
      <c r="AY534" s="1">
        <v>0</v>
      </c>
      <c r="AZ534" s="1">
        <v>0</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2" t="str">
        <f>HYPERLINK("http://www.d20pfsrd.com/magic/all-spells/s/summon-monster-i#TOC-Summon-Monster-VIII","Summon Monster VIII")</f>
        <v>Summon Monster VIII</v>
      </c>
      <c r="BR534" s="1">
        <v>535</v>
      </c>
      <c r="BS534" s="1" t="s">
        <v>104</v>
      </c>
      <c r="BT534" s="1" t="s">
        <v>3682</v>
      </c>
      <c r="BX534" s="1">
        <v>0</v>
      </c>
      <c r="BY534" s="1" t="s">
        <v>104</v>
      </c>
      <c r="BZ534" s="1" t="s">
        <v>104</v>
      </c>
      <c r="CA534" s="1">
        <v>8</v>
      </c>
      <c r="CB534" s="1" t="s">
        <v>104</v>
      </c>
      <c r="CC534" s="1" t="s">
        <v>104</v>
      </c>
      <c r="CD534" s="1" t="s">
        <v>104</v>
      </c>
      <c r="CE534" s="1" t="s">
        <v>104</v>
      </c>
      <c r="CF534" s="1" t="s">
        <v>104</v>
      </c>
      <c r="CG534" s="1" t="s">
        <v>104</v>
      </c>
      <c r="CH534" s="1" t="s">
        <v>104</v>
      </c>
      <c r="CJ534" s="1">
        <v>0</v>
      </c>
      <c r="CK534" s="1">
        <v>0</v>
      </c>
      <c r="CL534" s="1">
        <v>0</v>
      </c>
      <c r="CM534" s="1">
        <v>6</v>
      </c>
    </row>
    <row r="535" spans="1:91" ht="14.25" customHeight="1" x14ac:dyDescent="0.3">
      <c r="A535" s="1" t="s">
        <v>3683</v>
      </c>
      <c r="B535" s="1" t="s">
        <v>92</v>
      </c>
      <c r="C535" s="1" t="s">
        <v>903</v>
      </c>
      <c r="E535" s="1" t="s">
        <v>3684</v>
      </c>
      <c r="F535" s="1" t="s">
        <v>255</v>
      </c>
      <c r="G535" s="1" t="s">
        <v>3655</v>
      </c>
      <c r="H535" s="1">
        <v>0</v>
      </c>
      <c r="I535" s="1" t="s">
        <v>117</v>
      </c>
      <c r="K535" s="1" t="s">
        <v>3656</v>
      </c>
      <c r="M535" s="1" t="s">
        <v>111</v>
      </c>
      <c r="N535" s="1">
        <v>1</v>
      </c>
      <c r="O535" s="1">
        <v>0</v>
      </c>
      <c r="P535" s="1" t="s">
        <v>100</v>
      </c>
      <c r="Q535" s="1" t="s">
        <v>101</v>
      </c>
      <c r="R535" s="1" t="s">
        <v>3685</v>
      </c>
      <c r="S535" s="1" t="s">
        <v>103</v>
      </c>
      <c r="T535" s="1">
        <v>1</v>
      </c>
      <c r="U535" s="1">
        <v>1</v>
      </c>
      <c r="V535" s="1">
        <v>0</v>
      </c>
      <c r="W535" s="1">
        <v>1</v>
      </c>
      <c r="X535" s="1">
        <v>1</v>
      </c>
      <c r="Y535" s="1">
        <v>7</v>
      </c>
      <c r="Z535" s="1">
        <v>7</v>
      </c>
      <c r="AA535" s="1">
        <v>7</v>
      </c>
      <c r="AB535" s="1" t="s">
        <v>104</v>
      </c>
      <c r="AC535" s="1" t="s">
        <v>104</v>
      </c>
      <c r="AD535" s="1" t="s">
        <v>104</v>
      </c>
      <c r="AE535" s="1" t="s">
        <v>104</v>
      </c>
      <c r="AF535" s="1" t="s">
        <v>104</v>
      </c>
      <c r="AG535" s="1">
        <v>5</v>
      </c>
      <c r="AH535" s="1">
        <v>7</v>
      </c>
      <c r="AI535" s="1" t="s">
        <v>104</v>
      </c>
      <c r="AJ535" s="1">
        <v>7</v>
      </c>
      <c r="AK535" s="1" t="s">
        <v>104</v>
      </c>
      <c r="AL535" s="1" t="s">
        <v>104</v>
      </c>
      <c r="AM535" s="1" t="s">
        <v>104</v>
      </c>
      <c r="AO535" s="1">
        <v>7</v>
      </c>
      <c r="AQ535" s="1" t="s">
        <v>3675</v>
      </c>
      <c r="AR535" s="1">
        <v>0</v>
      </c>
      <c r="AS535" s="1">
        <v>0</v>
      </c>
      <c r="AT535" s="1">
        <v>0</v>
      </c>
      <c r="AU535" s="1">
        <v>0</v>
      </c>
      <c r="AV535" s="1">
        <v>0</v>
      </c>
      <c r="AW535" s="1">
        <v>0</v>
      </c>
      <c r="AX535" s="1">
        <v>0</v>
      </c>
      <c r="AY535" s="1">
        <v>0</v>
      </c>
      <c r="AZ535" s="1">
        <v>0</v>
      </c>
      <c r="BA535" s="1">
        <v>0</v>
      </c>
      <c r="BB535" s="1">
        <v>0</v>
      </c>
      <c r="BC535" s="1">
        <v>0</v>
      </c>
      <c r="BD535" s="1">
        <v>0</v>
      </c>
      <c r="BE535" s="1">
        <v>0</v>
      </c>
      <c r="BF535" s="1">
        <v>0</v>
      </c>
      <c r="BG535" s="1">
        <v>0</v>
      </c>
      <c r="BH535" s="1">
        <v>0</v>
      </c>
      <c r="BI535" s="1">
        <v>0</v>
      </c>
      <c r="BJ535" s="1">
        <v>0</v>
      </c>
      <c r="BK535" s="1">
        <v>0</v>
      </c>
      <c r="BL535" s="1">
        <v>0</v>
      </c>
      <c r="BM535" s="1">
        <v>0</v>
      </c>
      <c r="BN535" s="1">
        <v>0</v>
      </c>
      <c r="BO535" s="1">
        <v>0</v>
      </c>
      <c r="BP535" s="1">
        <v>0</v>
      </c>
      <c r="BQ535" s="2" t="str">
        <f>HYPERLINK("http://www.d20pfsrd.com/magic/all-spells/s/summon-monster-i#TOC-Summon-Monster-VII","Summon Monster VII")</f>
        <v>Summon Monster VII</v>
      </c>
      <c r="BR535" s="1">
        <v>536</v>
      </c>
      <c r="BS535" s="1" t="s">
        <v>104</v>
      </c>
      <c r="BT535" s="1" t="s">
        <v>3686</v>
      </c>
      <c r="BX535" s="1">
        <v>0</v>
      </c>
      <c r="BY535" s="1" t="s">
        <v>104</v>
      </c>
      <c r="BZ535" s="1" t="s">
        <v>104</v>
      </c>
      <c r="CA535" s="1">
        <v>7</v>
      </c>
      <c r="CB535" s="1" t="s">
        <v>104</v>
      </c>
      <c r="CC535" s="1" t="s">
        <v>104</v>
      </c>
      <c r="CD535" s="1" t="s">
        <v>104</v>
      </c>
      <c r="CE535" s="1" t="s">
        <v>104</v>
      </c>
      <c r="CF535" s="1" t="s">
        <v>104</v>
      </c>
      <c r="CG535" s="1" t="s">
        <v>104</v>
      </c>
      <c r="CH535" s="1" t="s">
        <v>104</v>
      </c>
      <c r="CJ535" s="1">
        <v>0</v>
      </c>
      <c r="CK535" s="1">
        <v>0</v>
      </c>
      <c r="CL535" s="1">
        <v>0</v>
      </c>
      <c r="CM535" s="1">
        <v>6</v>
      </c>
    </row>
    <row r="536" spans="1:91" ht="14.25" customHeight="1" x14ac:dyDescent="0.3">
      <c r="A536" s="1" t="s">
        <v>3687</v>
      </c>
      <c r="B536" s="1" t="s">
        <v>92</v>
      </c>
      <c r="C536" s="1" t="s">
        <v>903</v>
      </c>
      <c r="E536" s="1" t="s">
        <v>317</v>
      </c>
      <c r="F536" s="1" t="s">
        <v>255</v>
      </c>
      <c r="G536" s="1" t="s">
        <v>3655</v>
      </c>
      <c r="H536" s="1">
        <v>0</v>
      </c>
      <c r="I536" s="1" t="s">
        <v>117</v>
      </c>
      <c r="K536" s="1" t="s">
        <v>3656</v>
      </c>
      <c r="M536" s="1" t="s">
        <v>111</v>
      </c>
      <c r="N536" s="1">
        <v>1</v>
      </c>
      <c r="O536" s="1">
        <v>0</v>
      </c>
      <c r="P536" s="1" t="s">
        <v>100</v>
      </c>
      <c r="Q536" s="1" t="s">
        <v>101</v>
      </c>
      <c r="R536" s="1" t="s">
        <v>3688</v>
      </c>
      <c r="S536" s="1" t="s">
        <v>103</v>
      </c>
      <c r="T536" s="1">
        <v>1</v>
      </c>
      <c r="U536" s="1">
        <v>1</v>
      </c>
      <c r="V536" s="1">
        <v>0</v>
      </c>
      <c r="W536" s="1">
        <v>1</v>
      </c>
      <c r="X536" s="1">
        <v>1</v>
      </c>
      <c r="Y536" s="1">
        <v>9</v>
      </c>
      <c r="Z536" s="1">
        <v>9</v>
      </c>
      <c r="AA536" s="1">
        <v>9</v>
      </c>
      <c r="AB536" s="1" t="s">
        <v>104</v>
      </c>
      <c r="AC536" s="1" t="s">
        <v>104</v>
      </c>
      <c r="AD536" s="1" t="s">
        <v>104</v>
      </c>
      <c r="AE536" s="1" t="s">
        <v>104</v>
      </c>
      <c r="AF536" s="1" t="s">
        <v>104</v>
      </c>
      <c r="AG536" s="1" t="s">
        <v>104</v>
      </c>
      <c r="AH536" s="1">
        <v>9</v>
      </c>
      <c r="AI536" s="1" t="s">
        <v>104</v>
      </c>
      <c r="AJ536" s="1">
        <v>9</v>
      </c>
      <c r="AK536" s="1" t="s">
        <v>104</v>
      </c>
      <c r="AL536" s="1" t="s">
        <v>104</v>
      </c>
      <c r="AM536" s="1" t="s">
        <v>104</v>
      </c>
      <c r="AO536" s="1">
        <v>9</v>
      </c>
      <c r="AP536" s="1" t="s">
        <v>3689</v>
      </c>
      <c r="AQ536" s="1" t="s">
        <v>3675</v>
      </c>
      <c r="AR536" s="1">
        <v>0</v>
      </c>
      <c r="AS536" s="1">
        <v>0</v>
      </c>
      <c r="AT536" s="1">
        <v>0</v>
      </c>
      <c r="AU536" s="1">
        <v>0</v>
      </c>
      <c r="AV536" s="1">
        <v>0</v>
      </c>
      <c r="AW536" s="1">
        <v>0</v>
      </c>
      <c r="AX536" s="1">
        <v>0</v>
      </c>
      <c r="AY536" s="1">
        <v>0</v>
      </c>
      <c r="AZ536" s="1">
        <v>0</v>
      </c>
      <c r="BA536" s="1">
        <v>0</v>
      </c>
      <c r="BB536" s="1">
        <v>0</v>
      </c>
      <c r="BC536" s="1">
        <v>0</v>
      </c>
      <c r="BD536" s="1">
        <v>0</v>
      </c>
      <c r="BE536" s="1">
        <v>0</v>
      </c>
      <c r="BF536" s="1">
        <v>0</v>
      </c>
      <c r="BG536" s="1">
        <v>0</v>
      </c>
      <c r="BH536" s="1">
        <v>0</v>
      </c>
      <c r="BI536" s="1">
        <v>0</v>
      </c>
      <c r="BJ536" s="1">
        <v>0</v>
      </c>
      <c r="BK536" s="1">
        <v>0</v>
      </c>
      <c r="BL536" s="1">
        <v>0</v>
      </c>
      <c r="BM536" s="1">
        <v>0</v>
      </c>
      <c r="BN536" s="1">
        <v>0</v>
      </c>
      <c r="BO536" s="1">
        <v>0</v>
      </c>
      <c r="BP536" s="1">
        <v>0</v>
      </c>
      <c r="BQ536" s="2" t="str">
        <f>HYPERLINK("http://www.d20pfsrd.com/magic/all-spells/s/summon-monster-i#TOC-Summon-Monster-IX","Summon Monster IX")</f>
        <v>Summon Monster IX</v>
      </c>
      <c r="BR536" s="1">
        <v>537</v>
      </c>
      <c r="BS536" s="1" t="s">
        <v>104</v>
      </c>
      <c r="BT536" s="1" t="s">
        <v>3690</v>
      </c>
      <c r="BX536" s="1">
        <v>0</v>
      </c>
      <c r="BY536" s="1" t="s">
        <v>104</v>
      </c>
      <c r="BZ536" s="1" t="s">
        <v>104</v>
      </c>
      <c r="CA536" s="1">
        <v>9</v>
      </c>
      <c r="CB536" s="1" t="s">
        <v>104</v>
      </c>
      <c r="CC536" s="1" t="s">
        <v>104</v>
      </c>
      <c r="CD536" s="1" t="s">
        <v>104</v>
      </c>
      <c r="CE536" s="1" t="s">
        <v>104</v>
      </c>
      <c r="CF536" s="1" t="s">
        <v>104</v>
      </c>
      <c r="CG536" s="1" t="s">
        <v>104</v>
      </c>
      <c r="CH536" s="1" t="s">
        <v>104</v>
      </c>
      <c r="CJ536" s="1">
        <v>0</v>
      </c>
      <c r="CK536" s="1">
        <v>0</v>
      </c>
      <c r="CL536" s="1">
        <v>0</v>
      </c>
      <c r="CM536" s="1" t="s">
        <v>104</v>
      </c>
    </row>
    <row r="537" spans="1:91" ht="14.25" customHeight="1" x14ac:dyDescent="0.3">
      <c r="A537" s="1" t="s">
        <v>3691</v>
      </c>
      <c r="B537" s="1" t="s">
        <v>92</v>
      </c>
      <c r="C537" s="1" t="s">
        <v>903</v>
      </c>
      <c r="E537" s="1" t="s">
        <v>2305</v>
      </c>
      <c r="F537" s="1" t="s">
        <v>255</v>
      </c>
      <c r="G537" s="1" t="s">
        <v>127</v>
      </c>
      <c r="H537" s="1">
        <v>0</v>
      </c>
      <c r="I537" s="1" t="s">
        <v>117</v>
      </c>
      <c r="K537" s="1" t="s">
        <v>3656</v>
      </c>
      <c r="M537" s="1" t="s">
        <v>111</v>
      </c>
      <c r="N537" s="1">
        <v>1</v>
      </c>
      <c r="O537" s="1">
        <v>0</v>
      </c>
      <c r="P537" s="1" t="s">
        <v>100</v>
      </c>
      <c r="Q537" s="1" t="s">
        <v>101</v>
      </c>
      <c r="R537" s="1" t="s">
        <v>3692</v>
      </c>
      <c r="S537" s="1" t="s">
        <v>103</v>
      </c>
      <c r="T537" s="1">
        <v>1</v>
      </c>
      <c r="U537" s="1">
        <v>1</v>
      </c>
      <c r="V537" s="1">
        <v>0</v>
      </c>
      <c r="W537" s="1">
        <v>0</v>
      </c>
      <c r="X537" s="1">
        <v>1</v>
      </c>
      <c r="Y537" s="1" t="s">
        <v>104</v>
      </c>
      <c r="Z537" s="1" t="s">
        <v>104</v>
      </c>
      <c r="AA537" s="1" t="s">
        <v>104</v>
      </c>
      <c r="AB537" s="1">
        <v>1</v>
      </c>
      <c r="AC537" s="1">
        <v>1</v>
      </c>
      <c r="AD537" s="1" t="s">
        <v>104</v>
      </c>
      <c r="AE537" s="1" t="s">
        <v>104</v>
      </c>
      <c r="AF537" s="1" t="s">
        <v>104</v>
      </c>
      <c r="AG537" s="1" t="s">
        <v>104</v>
      </c>
      <c r="AH537" s="1" t="s">
        <v>104</v>
      </c>
      <c r="AI537" s="1" t="s">
        <v>104</v>
      </c>
      <c r="AJ537" s="1" t="s">
        <v>104</v>
      </c>
      <c r="AK537" s="1" t="s">
        <v>104</v>
      </c>
      <c r="AL537" s="1" t="s">
        <v>104</v>
      </c>
      <c r="AM537" s="1" t="s">
        <v>104</v>
      </c>
      <c r="AO537" s="1">
        <v>1</v>
      </c>
      <c r="AQ537" s="1" t="s">
        <v>3693</v>
      </c>
      <c r="AR537" s="1">
        <v>0</v>
      </c>
      <c r="AS537" s="1">
        <v>0</v>
      </c>
      <c r="AT537" s="1">
        <v>0</v>
      </c>
      <c r="AU537" s="1">
        <v>0</v>
      </c>
      <c r="AV537" s="1">
        <v>0</v>
      </c>
      <c r="AW537" s="1">
        <v>0</v>
      </c>
      <c r="AX537" s="1">
        <v>0</v>
      </c>
      <c r="AY537" s="1">
        <v>0</v>
      </c>
      <c r="AZ537" s="1">
        <v>0</v>
      </c>
      <c r="BA537" s="1">
        <v>0</v>
      </c>
      <c r="BB537" s="1">
        <v>0</v>
      </c>
      <c r="BC537" s="1">
        <v>0</v>
      </c>
      <c r="BD537" s="1">
        <v>0</v>
      </c>
      <c r="BE537" s="1">
        <v>0</v>
      </c>
      <c r="BF537" s="1">
        <v>0</v>
      </c>
      <c r="BG537" s="1">
        <v>0</v>
      </c>
      <c r="BH537" s="1">
        <v>0</v>
      </c>
      <c r="BI537" s="1">
        <v>0</v>
      </c>
      <c r="BJ537" s="1">
        <v>0</v>
      </c>
      <c r="BK537" s="1">
        <v>0</v>
      </c>
      <c r="BL537" s="1">
        <v>0</v>
      </c>
      <c r="BM537" s="1">
        <v>0</v>
      </c>
      <c r="BN537" s="1">
        <v>0</v>
      </c>
      <c r="BO537" s="1">
        <v>0</v>
      </c>
      <c r="BP537" s="1">
        <v>0</v>
      </c>
      <c r="BQ537" s="2" t="str">
        <f>HYPERLINK("http://www.d20pfsrd.com/magic/all-spells/s/summon-nature-s-ally-i","Summon Nature's Ally I")</f>
        <v>Summon Nature's Ally I</v>
      </c>
      <c r="BR537" s="1">
        <v>538</v>
      </c>
      <c r="BS537" s="1" t="s">
        <v>104</v>
      </c>
      <c r="BX537" s="1">
        <v>0</v>
      </c>
      <c r="BY537" s="1" t="s">
        <v>104</v>
      </c>
      <c r="BZ537" s="1" t="s">
        <v>104</v>
      </c>
      <c r="CA537" s="1" t="s">
        <v>104</v>
      </c>
      <c r="CB537" s="1" t="s">
        <v>104</v>
      </c>
      <c r="CC537" s="1" t="s">
        <v>104</v>
      </c>
      <c r="CD537" s="1" t="s">
        <v>104</v>
      </c>
      <c r="CE537" s="1" t="s">
        <v>104</v>
      </c>
      <c r="CF537" s="1" t="s">
        <v>104</v>
      </c>
      <c r="CG537" s="1" t="s">
        <v>104</v>
      </c>
      <c r="CH537" s="1">
        <v>1</v>
      </c>
      <c r="CJ537" s="1">
        <v>0</v>
      </c>
      <c r="CK537" s="1">
        <v>0</v>
      </c>
      <c r="CL537" s="1">
        <v>0</v>
      </c>
      <c r="CM537" s="1" t="s">
        <v>104</v>
      </c>
    </row>
    <row r="538" spans="1:91" ht="14.25" customHeight="1" x14ac:dyDescent="0.3">
      <c r="A538" s="1" t="s">
        <v>3694</v>
      </c>
      <c r="B538" s="1" t="s">
        <v>92</v>
      </c>
      <c r="C538" s="1" t="s">
        <v>903</v>
      </c>
      <c r="E538" s="1" t="s">
        <v>3695</v>
      </c>
      <c r="F538" s="1" t="s">
        <v>255</v>
      </c>
      <c r="G538" s="1" t="s">
        <v>127</v>
      </c>
      <c r="H538" s="1">
        <v>0</v>
      </c>
      <c r="I538" s="1" t="s">
        <v>117</v>
      </c>
      <c r="K538" s="1" t="s">
        <v>3656</v>
      </c>
      <c r="M538" s="1" t="s">
        <v>111</v>
      </c>
      <c r="N538" s="1">
        <v>1</v>
      </c>
      <c r="O538" s="1">
        <v>0</v>
      </c>
      <c r="P538" s="1" t="s">
        <v>100</v>
      </c>
      <c r="Q538" s="1" t="s">
        <v>101</v>
      </c>
      <c r="R538" s="1" t="s">
        <v>3696</v>
      </c>
      <c r="S538" s="1" t="s">
        <v>103</v>
      </c>
      <c r="T538" s="1">
        <v>1</v>
      </c>
      <c r="U538" s="1">
        <v>1</v>
      </c>
      <c r="V538" s="1">
        <v>0</v>
      </c>
      <c r="W538" s="1">
        <v>0</v>
      </c>
      <c r="X538" s="1">
        <v>1</v>
      </c>
      <c r="Y538" s="1" t="s">
        <v>104</v>
      </c>
      <c r="Z538" s="1" t="s">
        <v>104</v>
      </c>
      <c r="AA538" s="1" t="s">
        <v>104</v>
      </c>
      <c r="AB538" s="1">
        <v>2</v>
      </c>
      <c r="AC538" s="1">
        <v>2</v>
      </c>
      <c r="AD538" s="1" t="s">
        <v>104</v>
      </c>
      <c r="AE538" s="1" t="s">
        <v>104</v>
      </c>
      <c r="AF538" s="1" t="s">
        <v>104</v>
      </c>
      <c r="AG538" s="1" t="s">
        <v>104</v>
      </c>
      <c r="AH538" s="1" t="s">
        <v>104</v>
      </c>
      <c r="AI538" s="1" t="s">
        <v>104</v>
      </c>
      <c r="AJ538" s="1" t="s">
        <v>104</v>
      </c>
      <c r="AK538" s="1" t="s">
        <v>104</v>
      </c>
      <c r="AL538" s="1" t="s">
        <v>104</v>
      </c>
      <c r="AM538" s="1" t="s">
        <v>104</v>
      </c>
      <c r="AO538" s="1">
        <v>2</v>
      </c>
      <c r="AQ538" s="1" t="s">
        <v>3693</v>
      </c>
      <c r="AR538" s="1">
        <v>0</v>
      </c>
      <c r="AS538" s="1">
        <v>0</v>
      </c>
      <c r="AT538" s="1">
        <v>0</v>
      </c>
      <c r="AU538" s="1">
        <v>0</v>
      </c>
      <c r="AV538" s="1">
        <v>0</v>
      </c>
      <c r="AW538" s="1">
        <v>0</v>
      </c>
      <c r="AX538" s="1">
        <v>0</v>
      </c>
      <c r="AY538" s="1">
        <v>0</v>
      </c>
      <c r="AZ538" s="1">
        <v>0</v>
      </c>
      <c r="BA538" s="1">
        <v>0</v>
      </c>
      <c r="BB538" s="1">
        <v>0</v>
      </c>
      <c r="BC538" s="1">
        <v>0</v>
      </c>
      <c r="BD538" s="1">
        <v>0</v>
      </c>
      <c r="BE538" s="1">
        <v>0</v>
      </c>
      <c r="BF538" s="1">
        <v>0</v>
      </c>
      <c r="BG538" s="1">
        <v>0</v>
      </c>
      <c r="BH538" s="1">
        <v>0</v>
      </c>
      <c r="BI538" s="1">
        <v>0</v>
      </c>
      <c r="BJ538" s="1">
        <v>0</v>
      </c>
      <c r="BK538" s="1">
        <v>0</v>
      </c>
      <c r="BL538" s="1">
        <v>0</v>
      </c>
      <c r="BM538" s="1">
        <v>0</v>
      </c>
      <c r="BN538" s="1">
        <v>0</v>
      </c>
      <c r="BO538" s="1">
        <v>0</v>
      </c>
      <c r="BP538" s="1">
        <v>0</v>
      </c>
      <c r="BQ538" s="2" t="str">
        <f>HYPERLINK("http://www.d20pfsrd.com/magic/all-spells/s/summon-nature-s-ally-i","Summon Nature's Ally II")</f>
        <v>Summon Nature's Ally II</v>
      </c>
      <c r="BR538" s="1">
        <v>539</v>
      </c>
      <c r="BS538" s="1" t="s">
        <v>104</v>
      </c>
      <c r="BX538" s="1">
        <v>0</v>
      </c>
      <c r="BY538" s="1" t="s">
        <v>104</v>
      </c>
      <c r="BZ538" s="1" t="s">
        <v>104</v>
      </c>
      <c r="CA538" s="1" t="s">
        <v>104</v>
      </c>
      <c r="CB538" s="1" t="s">
        <v>104</v>
      </c>
      <c r="CC538" s="1" t="s">
        <v>104</v>
      </c>
      <c r="CD538" s="1" t="s">
        <v>104</v>
      </c>
      <c r="CE538" s="1" t="s">
        <v>104</v>
      </c>
      <c r="CF538" s="1" t="s">
        <v>104</v>
      </c>
      <c r="CG538" s="1" t="s">
        <v>104</v>
      </c>
      <c r="CH538" s="1">
        <v>2</v>
      </c>
      <c r="CJ538" s="1">
        <v>0</v>
      </c>
      <c r="CK538" s="1">
        <v>0</v>
      </c>
      <c r="CL538" s="1">
        <v>0</v>
      </c>
      <c r="CM538" s="1" t="s">
        <v>104</v>
      </c>
    </row>
    <row r="539" spans="1:91" ht="14.25" customHeight="1" x14ac:dyDescent="0.3">
      <c r="A539" s="1" t="s">
        <v>3697</v>
      </c>
      <c r="B539" s="1" t="s">
        <v>92</v>
      </c>
      <c r="C539" s="1" t="s">
        <v>903</v>
      </c>
      <c r="D539" s="1" t="s">
        <v>145</v>
      </c>
      <c r="E539" s="1" t="s">
        <v>1170</v>
      </c>
      <c r="F539" s="1" t="s">
        <v>255</v>
      </c>
      <c r="G539" s="1" t="s">
        <v>127</v>
      </c>
      <c r="H539" s="1">
        <v>0</v>
      </c>
      <c r="I539" s="1" t="s">
        <v>117</v>
      </c>
      <c r="K539" s="1" t="s">
        <v>3656</v>
      </c>
      <c r="M539" s="1" t="s">
        <v>111</v>
      </c>
      <c r="N539" s="1">
        <v>1</v>
      </c>
      <c r="O539" s="1">
        <v>0</v>
      </c>
      <c r="P539" s="1" t="s">
        <v>100</v>
      </c>
      <c r="Q539" s="1" t="s">
        <v>101</v>
      </c>
      <c r="R539" s="1" t="s">
        <v>3698</v>
      </c>
      <c r="S539" s="1" t="s">
        <v>103</v>
      </c>
      <c r="T539" s="1">
        <v>1</v>
      </c>
      <c r="U539" s="1">
        <v>1</v>
      </c>
      <c r="V539" s="1">
        <v>0</v>
      </c>
      <c r="W539" s="1">
        <v>0</v>
      </c>
      <c r="X539" s="1">
        <v>1</v>
      </c>
      <c r="Y539" s="1" t="s">
        <v>104</v>
      </c>
      <c r="Z539" s="1" t="s">
        <v>104</v>
      </c>
      <c r="AA539" s="1" t="s">
        <v>104</v>
      </c>
      <c r="AB539" s="1">
        <v>3</v>
      </c>
      <c r="AC539" s="1">
        <v>3</v>
      </c>
      <c r="AD539" s="1" t="s">
        <v>104</v>
      </c>
      <c r="AE539" s="1" t="s">
        <v>104</v>
      </c>
      <c r="AF539" s="1" t="s">
        <v>104</v>
      </c>
      <c r="AG539" s="1" t="s">
        <v>104</v>
      </c>
      <c r="AH539" s="1" t="s">
        <v>104</v>
      </c>
      <c r="AI539" s="1" t="s">
        <v>104</v>
      </c>
      <c r="AJ539" s="1" t="s">
        <v>104</v>
      </c>
      <c r="AK539" s="1" t="s">
        <v>104</v>
      </c>
      <c r="AL539" s="1" t="s">
        <v>104</v>
      </c>
      <c r="AM539" s="1" t="s">
        <v>104</v>
      </c>
      <c r="AO539" s="1">
        <v>3</v>
      </c>
      <c r="AQ539" s="1" t="s">
        <v>3693</v>
      </c>
      <c r="AR539" s="1">
        <v>0</v>
      </c>
      <c r="AS539" s="1">
        <v>0</v>
      </c>
      <c r="AT539" s="1">
        <v>0</v>
      </c>
      <c r="AU539" s="1">
        <v>0</v>
      </c>
      <c r="AV539" s="1">
        <v>0</v>
      </c>
      <c r="AW539" s="1">
        <v>0</v>
      </c>
      <c r="AX539" s="1">
        <v>0</v>
      </c>
      <c r="AY539" s="1">
        <v>0</v>
      </c>
      <c r="AZ539" s="1">
        <v>0</v>
      </c>
      <c r="BA539" s="1">
        <v>0</v>
      </c>
      <c r="BB539" s="1">
        <v>0</v>
      </c>
      <c r="BC539" s="1">
        <v>0</v>
      </c>
      <c r="BD539" s="1">
        <v>0</v>
      </c>
      <c r="BE539" s="1">
        <v>0</v>
      </c>
      <c r="BF539" s="1">
        <v>0</v>
      </c>
      <c r="BG539" s="1">
        <v>0</v>
      </c>
      <c r="BH539" s="1">
        <v>0</v>
      </c>
      <c r="BI539" s="1">
        <v>0</v>
      </c>
      <c r="BJ539" s="1">
        <v>0</v>
      </c>
      <c r="BK539" s="1">
        <v>0</v>
      </c>
      <c r="BL539" s="1">
        <v>0</v>
      </c>
      <c r="BM539" s="1">
        <v>0</v>
      </c>
      <c r="BN539" s="1">
        <v>0</v>
      </c>
      <c r="BO539" s="1">
        <v>0</v>
      </c>
      <c r="BP539" s="1">
        <v>0</v>
      </c>
      <c r="BQ539" s="2" t="str">
        <f>HYPERLINK("http://www.d20pfsrd.com/magic/all-spells/s/summon-nature-s-ally-i","Summon Nature's Ally III")</f>
        <v>Summon Nature's Ally III</v>
      </c>
      <c r="BR539" s="1">
        <v>540</v>
      </c>
      <c r="BS539" s="1" t="s">
        <v>104</v>
      </c>
      <c r="BX539" s="1">
        <v>0</v>
      </c>
      <c r="BY539" s="1" t="s">
        <v>104</v>
      </c>
      <c r="BZ539" s="1" t="s">
        <v>104</v>
      </c>
      <c r="CA539" s="1" t="s">
        <v>104</v>
      </c>
      <c r="CB539" s="1" t="s">
        <v>104</v>
      </c>
      <c r="CC539" s="1" t="s">
        <v>104</v>
      </c>
      <c r="CD539" s="1" t="s">
        <v>104</v>
      </c>
      <c r="CE539" s="1" t="s">
        <v>104</v>
      </c>
      <c r="CF539" s="1" t="s">
        <v>104</v>
      </c>
      <c r="CG539" s="1" t="s">
        <v>104</v>
      </c>
      <c r="CH539" s="1">
        <v>3</v>
      </c>
      <c r="CJ539" s="1">
        <v>0</v>
      </c>
      <c r="CK539" s="1">
        <v>0</v>
      </c>
      <c r="CL539" s="1">
        <v>0</v>
      </c>
      <c r="CM539" s="1" t="s">
        <v>104</v>
      </c>
    </row>
    <row r="540" spans="1:91" ht="14.25" customHeight="1" x14ac:dyDescent="0.3">
      <c r="A540" s="1" t="s">
        <v>3699</v>
      </c>
      <c r="B540" s="1" t="s">
        <v>92</v>
      </c>
      <c r="C540" s="1" t="s">
        <v>903</v>
      </c>
      <c r="D540" s="1" t="s">
        <v>145</v>
      </c>
      <c r="E540" s="1" t="s">
        <v>3700</v>
      </c>
      <c r="F540" s="1" t="s">
        <v>255</v>
      </c>
      <c r="G540" s="1" t="s">
        <v>127</v>
      </c>
      <c r="H540" s="1">
        <v>0</v>
      </c>
      <c r="I540" s="1" t="s">
        <v>117</v>
      </c>
      <c r="K540" s="1" t="s">
        <v>3656</v>
      </c>
      <c r="M540" s="1" t="s">
        <v>111</v>
      </c>
      <c r="N540" s="1">
        <v>1</v>
      </c>
      <c r="O540" s="1">
        <v>0</v>
      </c>
      <c r="P540" s="1" t="s">
        <v>100</v>
      </c>
      <c r="Q540" s="1" t="s">
        <v>101</v>
      </c>
      <c r="R540" s="1" t="s">
        <v>3701</v>
      </c>
      <c r="S540" s="1" t="s">
        <v>103</v>
      </c>
      <c r="T540" s="1">
        <v>1</v>
      </c>
      <c r="U540" s="1">
        <v>1</v>
      </c>
      <c r="V540" s="1">
        <v>0</v>
      </c>
      <c r="W540" s="1">
        <v>0</v>
      </c>
      <c r="X540" s="1">
        <v>1</v>
      </c>
      <c r="Y540" s="1" t="s">
        <v>104</v>
      </c>
      <c r="Z540" s="1" t="s">
        <v>104</v>
      </c>
      <c r="AA540" s="1" t="s">
        <v>104</v>
      </c>
      <c r="AB540" s="1">
        <v>4</v>
      </c>
      <c r="AC540" s="1">
        <v>4</v>
      </c>
      <c r="AD540" s="1" t="s">
        <v>104</v>
      </c>
      <c r="AE540" s="1" t="s">
        <v>104</v>
      </c>
      <c r="AF540" s="1" t="s">
        <v>104</v>
      </c>
      <c r="AG540" s="1" t="s">
        <v>104</v>
      </c>
      <c r="AH540" s="1" t="s">
        <v>104</v>
      </c>
      <c r="AI540" s="1" t="s">
        <v>104</v>
      </c>
      <c r="AJ540" s="1" t="s">
        <v>104</v>
      </c>
      <c r="AK540" s="1" t="s">
        <v>104</v>
      </c>
      <c r="AL540" s="1" t="s">
        <v>104</v>
      </c>
      <c r="AM540" s="1" t="s">
        <v>104</v>
      </c>
      <c r="AO540" s="1">
        <v>4</v>
      </c>
      <c r="AP540" s="1" t="s">
        <v>3702</v>
      </c>
      <c r="AQ540" s="1" t="s">
        <v>3693</v>
      </c>
      <c r="AR540" s="1">
        <v>0</v>
      </c>
      <c r="AS540" s="1">
        <v>0</v>
      </c>
      <c r="AT540" s="1">
        <v>0</v>
      </c>
      <c r="AU540" s="1">
        <v>0</v>
      </c>
      <c r="AV540" s="1">
        <v>0</v>
      </c>
      <c r="AW540" s="1">
        <v>0</v>
      </c>
      <c r="AX540" s="1">
        <v>0</v>
      </c>
      <c r="AY540" s="1">
        <v>0</v>
      </c>
      <c r="AZ540" s="1">
        <v>0</v>
      </c>
      <c r="BA540" s="1">
        <v>0</v>
      </c>
      <c r="BB540" s="1">
        <v>0</v>
      </c>
      <c r="BC540" s="1">
        <v>0</v>
      </c>
      <c r="BD540" s="1">
        <v>0</v>
      </c>
      <c r="BE540" s="1">
        <v>0</v>
      </c>
      <c r="BF540" s="1">
        <v>0</v>
      </c>
      <c r="BG540" s="1">
        <v>0</v>
      </c>
      <c r="BH540" s="1">
        <v>0</v>
      </c>
      <c r="BI540" s="1">
        <v>0</v>
      </c>
      <c r="BJ540" s="1">
        <v>0</v>
      </c>
      <c r="BK540" s="1">
        <v>0</v>
      </c>
      <c r="BL540" s="1">
        <v>0</v>
      </c>
      <c r="BM540" s="1">
        <v>0</v>
      </c>
      <c r="BN540" s="1">
        <v>0</v>
      </c>
      <c r="BO540" s="1">
        <v>0</v>
      </c>
      <c r="BP540" s="1">
        <v>0</v>
      </c>
      <c r="BQ540" s="2" t="str">
        <f>HYPERLINK("http://www.d20pfsrd.com/magic/all-spells/s/summon-nature-s-ally-i","Summon Nature's Ally IV")</f>
        <v>Summon Nature's Ally IV</v>
      </c>
      <c r="BR540" s="1">
        <v>541</v>
      </c>
      <c r="BS540" s="1" t="s">
        <v>104</v>
      </c>
      <c r="BU540" s="1" t="s">
        <v>3703</v>
      </c>
      <c r="BX540" s="1">
        <v>0</v>
      </c>
      <c r="BY540" s="1" t="s">
        <v>104</v>
      </c>
      <c r="BZ540" s="1" t="s">
        <v>104</v>
      </c>
      <c r="CA540" s="1" t="s">
        <v>104</v>
      </c>
      <c r="CB540" s="1" t="s">
        <v>104</v>
      </c>
      <c r="CC540" s="1" t="s">
        <v>104</v>
      </c>
      <c r="CD540" s="1" t="s">
        <v>104</v>
      </c>
      <c r="CE540" s="1" t="s">
        <v>104</v>
      </c>
      <c r="CF540" s="1" t="s">
        <v>104</v>
      </c>
      <c r="CG540" s="1" t="s">
        <v>104</v>
      </c>
      <c r="CH540" s="1">
        <v>4</v>
      </c>
      <c r="CJ540" s="1">
        <v>0</v>
      </c>
      <c r="CK540" s="1">
        <v>0</v>
      </c>
      <c r="CL540" s="1">
        <v>0</v>
      </c>
      <c r="CM540" s="1" t="s">
        <v>104</v>
      </c>
    </row>
    <row r="541" spans="1:91" ht="14.25" customHeight="1" x14ac:dyDescent="0.3">
      <c r="A541" s="1" t="s">
        <v>3704</v>
      </c>
      <c r="B541" s="1" t="s">
        <v>92</v>
      </c>
      <c r="C541" s="1" t="s">
        <v>903</v>
      </c>
      <c r="D541" s="1" t="s">
        <v>145</v>
      </c>
      <c r="E541" s="1" t="s">
        <v>3705</v>
      </c>
      <c r="F541" s="1" t="s">
        <v>255</v>
      </c>
      <c r="G541" s="1" t="s">
        <v>127</v>
      </c>
      <c r="H541" s="1">
        <v>0</v>
      </c>
      <c r="I541" s="1" t="s">
        <v>117</v>
      </c>
      <c r="K541" s="1" t="s">
        <v>3656</v>
      </c>
      <c r="M541" s="1" t="s">
        <v>111</v>
      </c>
      <c r="N541" s="1">
        <v>1</v>
      </c>
      <c r="O541" s="1">
        <v>0</v>
      </c>
      <c r="P541" s="1" t="s">
        <v>100</v>
      </c>
      <c r="Q541" s="1" t="s">
        <v>101</v>
      </c>
      <c r="R541" s="1" t="s">
        <v>3706</v>
      </c>
      <c r="S541" s="1" t="s">
        <v>103</v>
      </c>
      <c r="T541" s="1">
        <v>1</v>
      </c>
      <c r="U541" s="1">
        <v>1</v>
      </c>
      <c r="V541" s="1">
        <v>0</v>
      </c>
      <c r="W541" s="1">
        <v>0</v>
      </c>
      <c r="X541" s="1">
        <v>1</v>
      </c>
      <c r="Y541" s="1" t="s">
        <v>104</v>
      </c>
      <c r="Z541" s="1" t="s">
        <v>104</v>
      </c>
      <c r="AA541" s="1" t="s">
        <v>104</v>
      </c>
      <c r="AB541" s="1">
        <v>5</v>
      </c>
      <c r="AC541" s="1" t="s">
        <v>104</v>
      </c>
      <c r="AD541" s="1" t="s">
        <v>104</v>
      </c>
      <c r="AE541" s="1" t="s">
        <v>104</v>
      </c>
      <c r="AF541" s="1" t="s">
        <v>104</v>
      </c>
      <c r="AG541" s="1" t="s">
        <v>104</v>
      </c>
      <c r="AH541" s="1" t="s">
        <v>104</v>
      </c>
      <c r="AI541" s="1" t="s">
        <v>104</v>
      </c>
      <c r="AJ541" s="1" t="s">
        <v>104</v>
      </c>
      <c r="AK541" s="1" t="s">
        <v>104</v>
      </c>
      <c r="AL541" s="1" t="s">
        <v>104</v>
      </c>
      <c r="AM541" s="1" t="s">
        <v>104</v>
      </c>
      <c r="AO541" s="1">
        <v>5</v>
      </c>
      <c r="AQ541" s="1" t="s">
        <v>3707</v>
      </c>
      <c r="AR541" s="1">
        <v>0</v>
      </c>
      <c r="AS541" s="1">
        <v>0</v>
      </c>
      <c r="AT541" s="1">
        <v>0</v>
      </c>
      <c r="AU541" s="1">
        <v>0</v>
      </c>
      <c r="AV541" s="1">
        <v>0</v>
      </c>
      <c r="AW541" s="1">
        <v>0</v>
      </c>
      <c r="AX541" s="1">
        <v>0</v>
      </c>
      <c r="AY541" s="1">
        <v>0</v>
      </c>
      <c r="AZ541" s="1">
        <v>0</v>
      </c>
      <c r="BA541" s="1">
        <v>0</v>
      </c>
      <c r="BB541" s="1">
        <v>0</v>
      </c>
      <c r="BC541" s="1">
        <v>0</v>
      </c>
      <c r="BD541" s="1">
        <v>0</v>
      </c>
      <c r="BE541" s="1">
        <v>0</v>
      </c>
      <c r="BF541" s="1">
        <v>0</v>
      </c>
      <c r="BG541" s="1">
        <v>0</v>
      </c>
      <c r="BH541" s="1">
        <v>0</v>
      </c>
      <c r="BI541" s="1">
        <v>0</v>
      </c>
      <c r="BJ541" s="1">
        <v>0</v>
      </c>
      <c r="BK541" s="1">
        <v>0</v>
      </c>
      <c r="BL541" s="1">
        <v>0</v>
      </c>
      <c r="BM541" s="1">
        <v>0</v>
      </c>
      <c r="BN541" s="1">
        <v>0</v>
      </c>
      <c r="BO541" s="1">
        <v>0</v>
      </c>
      <c r="BP541" s="1">
        <v>0</v>
      </c>
      <c r="BQ541" s="2" t="str">
        <f>HYPERLINK("http://www.d20pfsrd.com/magic/all-spells/s/summon-nature-s-ally-i","Summon Nature's Ally V")</f>
        <v>Summon Nature's Ally V</v>
      </c>
      <c r="BR541" s="1">
        <v>542</v>
      </c>
      <c r="BS541" s="1" t="s">
        <v>104</v>
      </c>
      <c r="BX541" s="1">
        <v>0</v>
      </c>
      <c r="BY541" s="1" t="s">
        <v>104</v>
      </c>
      <c r="BZ541" s="1" t="s">
        <v>104</v>
      </c>
      <c r="CA541" s="1" t="s">
        <v>104</v>
      </c>
      <c r="CB541" s="1" t="s">
        <v>104</v>
      </c>
      <c r="CC541" s="1" t="s">
        <v>104</v>
      </c>
      <c r="CD541" s="1" t="s">
        <v>104</v>
      </c>
      <c r="CE541" s="1" t="s">
        <v>104</v>
      </c>
      <c r="CF541" s="1" t="s">
        <v>104</v>
      </c>
      <c r="CG541" s="1" t="s">
        <v>104</v>
      </c>
      <c r="CH541" s="1">
        <v>5</v>
      </c>
      <c r="CJ541" s="1">
        <v>0</v>
      </c>
      <c r="CK541" s="1">
        <v>0</v>
      </c>
      <c r="CL541" s="1">
        <v>0</v>
      </c>
      <c r="CM541" s="1" t="s">
        <v>104</v>
      </c>
    </row>
    <row r="542" spans="1:91" ht="14.25" customHeight="1" x14ac:dyDescent="0.3">
      <c r="A542" s="1" t="s">
        <v>3708</v>
      </c>
      <c r="B542" s="1" t="s">
        <v>92</v>
      </c>
      <c r="C542" s="1" t="s">
        <v>903</v>
      </c>
      <c r="D542" s="1" t="s">
        <v>145</v>
      </c>
      <c r="E542" s="1" t="s">
        <v>3091</v>
      </c>
      <c r="F542" s="1" t="s">
        <v>255</v>
      </c>
      <c r="G542" s="1" t="s">
        <v>127</v>
      </c>
      <c r="H542" s="1">
        <v>0</v>
      </c>
      <c r="I542" s="1" t="s">
        <v>117</v>
      </c>
      <c r="K542" s="1" t="s">
        <v>3656</v>
      </c>
      <c r="M542" s="1" t="s">
        <v>111</v>
      </c>
      <c r="N542" s="1">
        <v>1</v>
      </c>
      <c r="O542" s="1">
        <v>0</v>
      </c>
      <c r="P542" s="1" t="s">
        <v>100</v>
      </c>
      <c r="Q542" s="1" t="s">
        <v>101</v>
      </c>
      <c r="R542" s="1" t="s">
        <v>3709</v>
      </c>
      <c r="S542" s="1" t="s">
        <v>103</v>
      </c>
      <c r="T542" s="1">
        <v>1</v>
      </c>
      <c r="U542" s="1">
        <v>1</v>
      </c>
      <c r="V542" s="1">
        <v>0</v>
      </c>
      <c r="W542" s="1">
        <v>0</v>
      </c>
      <c r="X542" s="1">
        <v>1</v>
      </c>
      <c r="Y542" s="1" t="s">
        <v>104</v>
      </c>
      <c r="Z542" s="1" t="s">
        <v>104</v>
      </c>
      <c r="AA542" s="1" t="s">
        <v>104</v>
      </c>
      <c r="AB542" s="1">
        <v>6</v>
      </c>
      <c r="AC542" s="1" t="s">
        <v>104</v>
      </c>
      <c r="AD542" s="1" t="s">
        <v>104</v>
      </c>
      <c r="AE542" s="1" t="s">
        <v>104</v>
      </c>
      <c r="AF542" s="1" t="s">
        <v>104</v>
      </c>
      <c r="AG542" s="1" t="s">
        <v>104</v>
      </c>
      <c r="AH542" s="1" t="s">
        <v>104</v>
      </c>
      <c r="AI542" s="1" t="s">
        <v>104</v>
      </c>
      <c r="AJ542" s="1" t="s">
        <v>104</v>
      </c>
      <c r="AK542" s="1" t="s">
        <v>104</v>
      </c>
      <c r="AL542" s="1" t="s">
        <v>104</v>
      </c>
      <c r="AM542" s="1" t="s">
        <v>104</v>
      </c>
      <c r="AO542" s="1">
        <v>6</v>
      </c>
      <c r="AQ542" s="1" t="s">
        <v>3707</v>
      </c>
      <c r="AR542" s="1">
        <v>0</v>
      </c>
      <c r="AS542" s="1">
        <v>0</v>
      </c>
      <c r="AT542" s="1">
        <v>0</v>
      </c>
      <c r="AU542" s="1">
        <v>0</v>
      </c>
      <c r="AV542" s="1">
        <v>0</v>
      </c>
      <c r="AW542" s="1">
        <v>0</v>
      </c>
      <c r="AX542" s="1">
        <v>0</v>
      </c>
      <c r="AY542" s="1">
        <v>0</v>
      </c>
      <c r="AZ542" s="1">
        <v>0</v>
      </c>
      <c r="BA542" s="1">
        <v>0</v>
      </c>
      <c r="BB542" s="1">
        <v>0</v>
      </c>
      <c r="BC542" s="1">
        <v>0</v>
      </c>
      <c r="BD542" s="1">
        <v>0</v>
      </c>
      <c r="BE542" s="1">
        <v>0</v>
      </c>
      <c r="BF542" s="1">
        <v>0</v>
      </c>
      <c r="BG542" s="1">
        <v>0</v>
      </c>
      <c r="BH542" s="1">
        <v>0</v>
      </c>
      <c r="BI542" s="1">
        <v>0</v>
      </c>
      <c r="BJ542" s="1">
        <v>0</v>
      </c>
      <c r="BK542" s="1">
        <v>0</v>
      </c>
      <c r="BL542" s="1">
        <v>0</v>
      </c>
      <c r="BM542" s="1">
        <v>0</v>
      </c>
      <c r="BN542" s="1">
        <v>0</v>
      </c>
      <c r="BO542" s="1">
        <v>0</v>
      </c>
      <c r="BP542" s="1">
        <v>0</v>
      </c>
      <c r="BQ542" s="2" t="str">
        <f>HYPERLINK("http://www.d20pfsrd.com/magic/all-spells/s/summon-nature-s-ally-i","Summon Nature's Ally VI")</f>
        <v>Summon Nature's Ally VI</v>
      </c>
      <c r="BR542" s="1">
        <v>543</v>
      </c>
      <c r="BS542" s="1" t="s">
        <v>104</v>
      </c>
      <c r="BX542" s="1">
        <v>0</v>
      </c>
      <c r="BY542" s="1" t="s">
        <v>104</v>
      </c>
      <c r="BZ542" s="1" t="s">
        <v>104</v>
      </c>
      <c r="CA542" s="1" t="s">
        <v>104</v>
      </c>
      <c r="CB542" s="1" t="s">
        <v>104</v>
      </c>
      <c r="CC542" s="1" t="s">
        <v>104</v>
      </c>
      <c r="CD542" s="1" t="s">
        <v>104</v>
      </c>
      <c r="CE542" s="1" t="s">
        <v>104</v>
      </c>
      <c r="CF542" s="1" t="s">
        <v>104</v>
      </c>
      <c r="CG542" s="1" t="s">
        <v>104</v>
      </c>
      <c r="CH542" s="1">
        <v>6</v>
      </c>
      <c r="CJ542" s="1">
        <v>0</v>
      </c>
      <c r="CK542" s="1">
        <v>0</v>
      </c>
      <c r="CL542" s="1">
        <v>0</v>
      </c>
      <c r="CM542" s="1" t="s">
        <v>104</v>
      </c>
    </row>
    <row r="543" spans="1:91" ht="14.25" customHeight="1" x14ac:dyDescent="0.3">
      <c r="A543" s="1" t="s">
        <v>3710</v>
      </c>
      <c r="B543" s="1" t="s">
        <v>92</v>
      </c>
      <c r="C543" s="1" t="s">
        <v>903</v>
      </c>
      <c r="D543" s="1" t="s">
        <v>145</v>
      </c>
      <c r="E543" s="1" t="s">
        <v>617</v>
      </c>
      <c r="F543" s="1" t="s">
        <v>255</v>
      </c>
      <c r="G543" s="1" t="s">
        <v>127</v>
      </c>
      <c r="H543" s="1">
        <v>0</v>
      </c>
      <c r="I543" s="1" t="s">
        <v>117</v>
      </c>
      <c r="K543" s="1" t="s">
        <v>3656</v>
      </c>
      <c r="M543" s="1" t="s">
        <v>111</v>
      </c>
      <c r="N543" s="1">
        <v>1</v>
      </c>
      <c r="O543" s="1">
        <v>0</v>
      </c>
      <c r="P543" s="1" t="s">
        <v>100</v>
      </c>
      <c r="Q543" s="1" t="s">
        <v>101</v>
      </c>
      <c r="R543" s="1" t="s">
        <v>3711</v>
      </c>
      <c r="S543" s="1" t="s">
        <v>103</v>
      </c>
      <c r="T543" s="1">
        <v>1</v>
      </c>
      <c r="U543" s="1">
        <v>1</v>
      </c>
      <c r="V543" s="1">
        <v>0</v>
      </c>
      <c r="W543" s="1">
        <v>0</v>
      </c>
      <c r="X543" s="1">
        <v>1</v>
      </c>
      <c r="Y543" s="1" t="s">
        <v>104</v>
      </c>
      <c r="Z543" s="1" t="s">
        <v>104</v>
      </c>
      <c r="AA543" s="1" t="s">
        <v>104</v>
      </c>
      <c r="AB543" s="1">
        <v>7</v>
      </c>
      <c r="AC543" s="1" t="s">
        <v>104</v>
      </c>
      <c r="AD543" s="1" t="s">
        <v>104</v>
      </c>
      <c r="AE543" s="1" t="s">
        <v>104</v>
      </c>
      <c r="AF543" s="1" t="s">
        <v>104</v>
      </c>
      <c r="AG543" s="1" t="s">
        <v>104</v>
      </c>
      <c r="AH543" s="1" t="s">
        <v>104</v>
      </c>
      <c r="AI543" s="1" t="s">
        <v>104</v>
      </c>
      <c r="AJ543" s="1" t="s">
        <v>104</v>
      </c>
      <c r="AK543" s="1" t="s">
        <v>104</v>
      </c>
      <c r="AL543" s="1" t="s">
        <v>104</v>
      </c>
      <c r="AM543" s="1" t="s">
        <v>104</v>
      </c>
      <c r="AO543" s="1">
        <v>7</v>
      </c>
      <c r="AP543" s="1" t="s">
        <v>3712</v>
      </c>
      <c r="AQ543" s="1" t="s">
        <v>3707</v>
      </c>
      <c r="AR543" s="1">
        <v>0</v>
      </c>
      <c r="AS543" s="1">
        <v>0</v>
      </c>
      <c r="AT543" s="1">
        <v>0</v>
      </c>
      <c r="AU543" s="1">
        <v>0</v>
      </c>
      <c r="AV543" s="1">
        <v>0</v>
      </c>
      <c r="AW543" s="1">
        <v>0</v>
      </c>
      <c r="AX543" s="1">
        <v>0</v>
      </c>
      <c r="AY543" s="1">
        <v>0</v>
      </c>
      <c r="AZ543" s="1">
        <v>0</v>
      </c>
      <c r="BA543" s="1">
        <v>0</v>
      </c>
      <c r="BB543" s="1">
        <v>0</v>
      </c>
      <c r="BC543" s="1">
        <v>0</v>
      </c>
      <c r="BD543" s="1">
        <v>0</v>
      </c>
      <c r="BE543" s="1">
        <v>0</v>
      </c>
      <c r="BF543" s="1">
        <v>0</v>
      </c>
      <c r="BG543" s="1">
        <v>0</v>
      </c>
      <c r="BH543" s="1">
        <v>0</v>
      </c>
      <c r="BI543" s="1">
        <v>0</v>
      </c>
      <c r="BJ543" s="1">
        <v>0</v>
      </c>
      <c r="BK543" s="1">
        <v>0</v>
      </c>
      <c r="BL543" s="1">
        <v>0</v>
      </c>
      <c r="BM543" s="1">
        <v>0</v>
      </c>
      <c r="BN543" s="1">
        <v>0</v>
      </c>
      <c r="BO543" s="1">
        <v>0</v>
      </c>
      <c r="BP543" s="1">
        <v>0</v>
      </c>
      <c r="BQ543" s="2" t="str">
        <f>HYPERLINK("http://www.d20pfsrd.com/magic/all-spells/s/summon-nature-s-ally-i","Summon Nature's Ally VII")</f>
        <v>Summon Nature's Ally VII</v>
      </c>
      <c r="BR543" s="1">
        <v>544</v>
      </c>
      <c r="BS543" s="1" t="s">
        <v>104</v>
      </c>
      <c r="BX543" s="1">
        <v>0</v>
      </c>
      <c r="BY543" s="1" t="s">
        <v>104</v>
      </c>
      <c r="BZ543" s="1" t="s">
        <v>104</v>
      </c>
      <c r="CA543" s="1" t="s">
        <v>104</v>
      </c>
      <c r="CB543" s="1" t="s">
        <v>104</v>
      </c>
      <c r="CC543" s="1" t="s">
        <v>104</v>
      </c>
      <c r="CD543" s="1" t="s">
        <v>104</v>
      </c>
      <c r="CE543" s="1" t="s">
        <v>104</v>
      </c>
      <c r="CF543" s="1" t="s">
        <v>104</v>
      </c>
      <c r="CG543" s="1" t="s">
        <v>104</v>
      </c>
      <c r="CH543" s="1" t="s">
        <v>104</v>
      </c>
      <c r="CJ543" s="1">
        <v>0</v>
      </c>
      <c r="CK543" s="1">
        <v>0</v>
      </c>
      <c r="CL543" s="1">
        <v>0</v>
      </c>
      <c r="CM543" s="1" t="s">
        <v>104</v>
      </c>
    </row>
    <row r="544" spans="1:91" ht="14.25" customHeight="1" x14ac:dyDescent="0.3">
      <c r="A544" s="1" t="s">
        <v>3713</v>
      </c>
      <c r="B544" s="1" t="s">
        <v>92</v>
      </c>
      <c r="C544" s="1" t="s">
        <v>903</v>
      </c>
      <c r="D544" s="1" t="s">
        <v>145</v>
      </c>
      <c r="E544" s="1" t="s">
        <v>837</v>
      </c>
      <c r="F544" s="1" t="s">
        <v>255</v>
      </c>
      <c r="G544" s="1" t="s">
        <v>127</v>
      </c>
      <c r="H544" s="1">
        <v>0</v>
      </c>
      <c r="I544" s="1" t="s">
        <v>117</v>
      </c>
      <c r="K544" s="1" t="s">
        <v>3656</v>
      </c>
      <c r="M544" s="1" t="s">
        <v>111</v>
      </c>
      <c r="N544" s="1">
        <v>1</v>
      </c>
      <c r="O544" s="1">
        <v>0</v>
      </c>
      <c r="P544" s="1" t="s">
        <v>100</v>
      </c>
      <c r="Q544" s="1" t="s">
        <v>101</v>
      </c>
      <c r="R544" s="1" t="s">
        <v>3714</v>
      </c>
      <c r="S544" s="1" t="s">
        <v>103</v>
      </c>
      <c r="T544" s="1">
        <v>1</v>
      </c>
      <c r="U544" s="1">
        <v>1</v>
      </c>
      <c r="V544" s="1">
        <v>0</v>
      </c>
      <c r="W544" s="1">
        <v>0</v>
      </c>
      <c r="X544" s="1">
        <v>1</v>
      </c>
      <c r="Y544" s="1" t="s">
        <v>104</v>
      </c>
      <c r="Z544" s="1" t="s">
        <v>104</v>
      </c>
      <c r="AA544" s="1" t="s">
        <v>104</v>
      </c>
      <c r="AB544" s="1">
        <v>8</v>
      </c>
      <c r="AC544" s="1" t="s">
        <v>104</v>
      </c>
      <c r="AD544" s="1" t="s">
        <v>104</v>
      </c>
      <c r="AE544" s="1" t="s">
        <v>104</v>
      </c>
      <c r="AF544" s="1" t="s">
        <v>104</v>
      </c>
      <c r="AG544" s="1" t="s">
        <v>104</v>
      </c>
      <c r="AH544" s="1" t="s">
        <v>104</v>
      </c>
      <c r="AI544" s="1" t="s">
        <v>104</v>
      </c>
      <c r="AJ544" s="1" t="s">
        <v>104</v>
      </c>
      <c r="AK544" s="1" t="s">
        <v>104</v>
      </c>
      <c r="AL544" s="1" t="s">
        <v>104</v>
      </c>
      <c r="AM544" s="1" t="s">
        <v>104</v>
      </c>
      <c r="AO544" s="1">
        <v>8</v>
      </c>
      <c r="AP544" s="1" t="s">
        <v>3715</v>
      </c>
      <c r="AQ544" s="1" t="s">
        <v>3707</v>
      </c>
      <c r="AR544" s="1">
        <v>0</v>
      </c>
      <c r="AS544" s="1">
        <v>0</v>
      </c>
      <c r="AT544" s="1">
        <v>0</v>
      </c>
      <c r="AU544" s="1">
        <v>0</v>
      </c>
      <c r="AV544" s="1">
        <v>0</v>
      </c>
      <c r="AW544" s="1">
        <v>0</v>
      </c>
      <c r="AX544" s="1">
        <v>0</v>
      </c>
      <c r="AY544" s="1">
        <v>0</v>
      </c>
      <c r="AZ544" s="1">
        <v>0</v>
      </c>
      <c r="BA544" s="1">
        <v>0</v>
      </c>
      <c r="BB544" s="1">
        <v>0</v>
      </c>
      <c r="BC544" s="1">
        <v>0</v>
      </c>
      <c r="BD544" s="1">
        <v>0</v>
      </c>
      <c r="BE544" s="1">
        <v>0</v>
      </c>
      <c r="BF544" s="1">
        <v>0</v>
      </c>
      <c r="BG544" s="1">
        <v>0</v>
      </c>
      <c r="BH544" s="1">
        <v>0</v>
      </c>
      <c r="BI544" s="1">
        <v>0</v>
      </c>
      <c r="BJ544" s="1">
        <v>0</v>
      </c>
      <c r="BK544" s="1">
        <v>0</v>
      </c>
      <c r="BL544" s="1">
        <v>0</v>
      </c>
      <c r="BM544" s="1">
        <v>0</v>
      </c>
      <c r="BN544" s="1">
        <v>0</v>
      </c>
      <c r="BO544" s="1">
        <v>0</v>
      </c>
      <c r="BP544" s="1">
        <v>0</v>
      </c>
      <c r="BQ544" s="2" t="str">
        <f>HYPERLINK("http://www.d20pfsrd.com/magic/all-spells/s/summon-nature-s-ally-i","Summon Nature's Ally VIII")</f>
        <v>Summon Nature's Ally VIII</v>
      </c>
      <c r="BR544" s="1">
        <v>545</v>
      </c>
      <c r="BS544" s="1" t="s">
        <v>104</v>
      </c>
      <c r="BX544" s="1">
        <v>0</v>
      </c>
      <c r="BY544" s="1" t="s">
        <v>104</v>
      </c>
      <c r="BZ544" s="1" t="s">
        <v>104</v>
      </c>
      <c r="CA544" s="1" t="s">
        <v>104</v>
      </c>
      <c r="CB544" s="1" t="s">
        <v>104</v>
      </c>
      <c r="CC544" s="1" t="s">
        <v>104</v>
      </c>
      <c r="CD544" s="1" t="s">
        <v>104</v>
      </c>
      <c r="CE544" s="1" t="s">
        <v>104</v>
      </c>
      <c r="CF544" s="1" t="s">
        <v>104</v>
      </c>
      <c r="CG544" s="1" t="s">
        <v>104</v>
      </c>
      <c r="CH544" s="1" t="s">
        <v>104</v>
      </c>
      <c r="CJ544" s="1">
        <v>0</v>
      </c>
      <c r="CK544" s="1">
        <v>0</v>
      </c>
      <c r="CL544" s="1">
        <v>0</v>
      </c>
      <c r="CM544" s="1" t="s">
        <v>104</v>
      </c>
    </row>
    <row r="545" spans="1:91" ht="14.25" customHeight="1" x14ac:dyDescent="0.3">
      <c r="A545" s="1" t="s">
        <v>3716</v>
      </c>
      <c r="B545" s="1" t="s">
        <v>92</v>
      </c>
      <c r="C545" s="1" t="s">
        <v>903</v>
      </c>
      <c r="D545" s="1" t="s">
        <v>145</v>
      </c>
      <c r="E545" s="1" t="s">
        <v>3717</v>
      </c>
      <c r="F545" s="1" t="s">
        <v>255</v>
      </c>
      <c r="G545" s="1" t="s">
        <v>127</v>
      </c>
      <c r="H545" s="1">
        <v>0</v>
      </c>
      <c r="I545" s="1" t="s">
        <v>117</v>
      </c>
      <c r="K545" s="1" t="s">
        <v>3656</v>
      </c>
      <c r="M545" s="1" t="s">
        <v>111</v>
      </c>
      <c r="N545" s="1">
        <v>1</v>
      </c>
      <c r="O545" s="1">
        <v>0</v>
      </c>
      <c r="P545" s="1" t="s">
        <v>100</v>
      </c>
      <c r="Q545" s="1" t="s">
        <v>101</v>
      </c>
      <c r="R545" s="1" t="s">
        <v>3718</v>
      </c>
      <c r="S545" s="1" t="s">
        <v>103</v>
      </c>
      <c r="T545" s="1">
        <v>1</v>
      </c>
      <c r="U545" s="1">
        <v>1</v>
      </c>
      <c r="V545" s="1">
        <v>0</v>
      </c>
      <c r="W545" s="1">
        <v>0</v>
      </c>
      <c r="X545" s="1">
        <v>1</v>
      </c>
      <c r="Y545" s="1" t="s">
        <v>104</v>
      </c>
      <c r="Z545" s="1" t="s">
        <v>104</v>
      </c>
      <c r="AA545" s="1" t="s">
        <v>104</v>
      </c>
      <c r="AB545" s="1">
        <v>9</v>
      </c>
      <c r="AC545" s="1" t="s">
        <v>104</v>
      </c>
      <c r="AD545" s="1" t="s">
        <v>104</v>
      </c>
      <c r="AE545" s="1" t="s">
        <v>104</v>
      </c>
      <c r="AF545" s="1" t="s">
        <v>104</v>
      </c>
      <c r="AG545" s="1" t="s">
        <v>104</v>
      </c>
      <c r="AH545" s="1" t="s">
        <v>104</v>
      </c>
      <c r="AI545" s="1" t="s">
        <v>104</v>
      </c>
      <c r="AJ545" s="1" t="s">
        <v>104</v>
      </c>
      <c r="AK545" s="1" t="s">
        <v>104</v>
      </c>
      <c r="AL545" s="1" t="s">
        <v>104</v>
      </c>
      <c r="AM545" s="1" t="s">
        <v>104</v>
      </c>
      <c r="AO545" s="1">
        <v>9</v>
      </c>
      <c r="AQ545" s="1" t="s">
        <v>3707</v>
      </c>
      <c r="AR545" s="1">
        <v>0</v>
      </c>
      <c r="AS545" s="1">
        <v>0</v>
      </c>
      <c r="AT545" s="1">
        <v>0</v>
      </c>
      <c r="AU545" s="1">
        <v>0</v>
      </c>
      <c r="AV545" s="1">
        <v>0</v>
      </c>
      <c r="AW545" s="1">
        <v>0</v>
      </c>
      <c r="AX545" s="1">
        <v>0</v>
      </c>
      <c r="AY545" s="1">
        <v>0</v>
      </c>
      <c r="AZ545" s="1">
        <v>0</v>
      </c>
      <c r="BA545" s="1">
        <v>0</v>
      </c>
      <c r="BB545" s="1">
        <v>0</v>
      </c>
      <c r="BC545" s="1">
        <v>0</v>
      </c>
      <c r="BD545" s="1">
        <v>0</v>
      </c>
      <c r="BE545" s="1">
        <v>0</v>
      </c>
      <c r="BF545" s="1">
        <v>0</v>
      </c>
      <c r="BG545" s="1">
        <v>0</v>
      </c>
      <c r="BH545" s="1">
        <v>0</v>
      </c>
      <c r="BI545" s="1">
        <v>0</v>
      </c>
      <c r="BJ545" s="1">
        <v>0</v>
      </c>
      <c r="BK545" s="1">
        <v>0</v>
      </c>
      <c r="BL545" s="1">
        <v>0</v>
      </c>
      <c r="BM545" s="1">
        <v>0</v>
      </c>
      <c r="BN545" s="1">
        <v>0</v>
      </c>
      <c r="BO545" s="1">
        <v>0</v>
      </c>
      <c r="BP545" s="1">
        <v>0</v>
      </c>
      <c r="BQ545" s="2" t="str">
        <f>HYPERLINK("http://www.d20pfsrd.com/magic/all-spells/s/summon-nature-s-ally-i","Summon Nature's Ally IX")</f>
        <v>Summon Nature's Ally IX</v>
      </c>
      <c r="BR545" s="1">
        <v>546</v>
      </c>
      <c r="BS545" s="1" t="s">
        <v>104</v>
      </c>
      <c r="BU545" s="1" t="s">
        <v>3719</v>
      </c>
      <c r="BX545" s="1">
        <v>0</v>
      </c>
      <c r="BY545" s="1" t="s">
        <v>104</v>
      </c>
      <c r="BZ545" s="1" t="s">
        <v>104</v>
      </c>
      <c r="CA545" s="1" t="s">
        <v>104</v>
      </c>
      <c r="CB545" s="1" t="s">
        <v>104</v>
      </c>
      <c r="CC545" s="1" t="s">
        <v>104</v>
      </c>
      <c r="CD545" s="1" t="s">
        <v>104</v>
      </c>
      <c r="CE545" s="1" t="s">
        <v>104</v>
      </c>
      <c r="CF545" s="1" t="s">
        <v>104</v>
      </c>
      <c r="CG545" s="1" t="s">
        <v>104</v>
      </c>
      <c r="CH545" s="1" t="s">
        <v>104</v>
      </c>
      <c r="CJ545" s="1">
        <v>0</v>
      </c>
      <c r="CK545" s="1">
        <v>0</v>
      </c>
      <c r="CL545" s="1">
        <v>0</v>
      </c>
      <c r="CM545" s="1" t="s">
        <v>104</v>
      </c>
    </row>
    <row r="546" spans="1:91" ht="14.25" customHeight="1" x14ac:dyDescent="0.3">
      <c r="A546" s="1" t="s">
        <v>3720</v>
      </c>
      <c r="B546" s="1" t="s">
        <v>92</v>
      </c>
      <c r="C546" s="1" t="s">
        <v>903</v>
      </c>
      <c r="E546" s="1" t="s">
        <v>3721</v>
      </c>
      <c r="F546" s="1" t="s">
        <v>255</v>
      </c>
      <c r="G546" s="1" t="s">
        <v>3722</v>
      </c>
      <c r="H546" s="1">
        <v>0</v>
      </c>
      <c r="I546" s="1" t="s">
        <v>117</v>
      </c>
      <c r="K546" s="1" t="s">
        <v>3723</v>
      </c>
      <c r="M546" s="1" t="s">
        <v>2537</v>
      </c>
      <c r="N546" s="1">
        <v>0</v>
      </c>
      <c r="O546" s="1">
        <v>0</v>
      </c>
      <c r="P546" s="1" t="s">
        <v>100</v>
      </c>
      <c r="Q546" s="1" t="s">
        <v>101</v>
      </c>
      <c r="R546" s="1" t="s">
        <v>3724</v>
      </c>
      <c r="S546" s="1" t="s">
        <v>103</v>
      </c>
      <c r="T546" s="1">
        <v>1</v>
      </c>
      <c r="U546" s="1">
        <v>1</v>
      </c>
      <c r="V546" s="1">
        <v>1</v>
      </c>
      <c r="W546" s="1">
        <v>0</v>
      </c>
      <c r="X546" s="1">
        <v>1</v>
      </c>
      <c r="Y546" s="1">
        <v>2</v>
      </c>
      <c r="Z546" s="1">
        <v>2</v>
      </c>
      <c r="AA546" s="1" t="s">
        <v>104</v>
      </c>
      <c r="AB546" s="1">
        <v>2</v>
      </c>
      <c r="AC546" s="1" t="s">
        <v>104</v>
      </c>
      <c r="AD546" s="1">
        <v>2</v>
      </c>
      <c r="AE546" s="1" t="s">
        <v>104</v>
      </c>
      <c r="AF546" s="1" t="s">
        <v>104</v>
      </c>
      <c r="AG546" s="1">
        <v>2</v>
      </c>
      <c r="AH546" s="1">
        <v>2</v>
      </c>
      <c r="AI546" s="1" t="s">
        <v>104</v>
      </c>
      <c r="AJ546" s="1" t="s">
        <v>104</v>
      </c>
      <c r="AK546" s="1" t="s">
        <v>104</v>
      </c>
      <c r="AL546" s="1" t="s">
        <v>104</v>
      </c>
      <c r="AM546" s="1" t="s">
        <v>104</v>
      </c>
      <c r="AO546" s="1">
        <v>2</v>
      </c>
      <c r="AQ546" s="1" t="s">
        <v>3725</v>
      </c>
      <c r="AR546" s="1">
        <v>0</v>
      </c>
      <c r="AS546" s="1">
        <v>0</v>
      </c>
      <c r="AT546" s="1">
        <v>0</v>
      </c>
      <c r="AU546" s="1">
        <v>0</v>
      </c>
      <c r="AV546" s="1">
        <v>0</v>
      </c>
      <c r="AW546" s="1">
        <v>0</v>
      </c>
      <c r="AX546" s="1">
        <v>0</v>
      </c>
      <c r="AY546" s="1">
        <v>0</v>
      </c>
      <c r="AZ546" s="1">
        <v>0</v>
      </c>
      <c r="BA546" s="1">
        <v>0</v>
      </c>
      <c r="BB546" s="1">
        <v>0</v>
      </c>
      <c r="BC546" s="1">
        <v>0</v>
      </c>
      <c r="BD546" s="1">
        <v>0</v>
      </c>
      <c r="BE546" s="1">
        <v>0</v>
      </c>
      <c r="BF546" s="1">
        <v>0</v>
      </c>
      <c r="BG546" s="1">
        <v>0</v>
      </c>
      <c r="BH546" s="1">
        <v>0</v>
      </c>
      <c r="BI546" s="1">
        <v>0</v>
      </c>
      <c r="BJ546" s="1">
        <v>0</v>
      </c>
      <c r="BK546" s="1">
        <v>0</v>
      </c>
      <c r="BL546" s="1">
        <v>0</v>
      </c>
      <c r="BM546" s="1">
        <v>0</v>
      </c>
      <c r="BN546" s="1">
        <v>0</v>
      </c>
      <c r="BO546" s="1">
        <v>0</v>
      </c>
      <c r="BP546" s="1">
        <v>0</v>
      </c>
      <c r="BQ546" s="2" t="str">
        <f>HYPERLINK("http://www.d20pfsrd.com/magic/all-spells/s/summon-swarm","Summon Swarm")</f>
        <v>Summon Swarm</v>
      </c>
      <c r="BR546" s="1">
        <v>547</v>
      </c>
      <c r="BS546" s="1" t="s">
        <v>104</v>
      </c>
      <c r="BT546" s="1" t="s">
        <v>3726</v>
      </c>
      <c r="BV546" s="1" t="s">
        <v>3727</v>
      </c>
      <c r="BX546" s="1">
        <v>1</v>
      </c>
      <c r="BY546" s="1" t="s">
        <v>104</v>
      </c>
      <c r="BZ546" s="1">
        <v>2</v>
      </c>
      <c r="CA546" s="1" t="s">
        <v>104</v>
      </c>
      <c r="CB546" s="1" t="s">
        <v>104</v>
      </c>
      <c r="CC546" s="1" t="s">
        <v>104</v>
      </c>
      <c r="CD546" s="1" t="s">
        <v>104</v>
      </c>
      <c r="CE546" s="1" t="s">
        <v>104</v>
      </c>
      <c r="CF546" s="1" t="s">
        <v>104</v>
      </c>
      <c r="CG546" s="1" t="s">
        <v>104</v>
      </c>
      <c r="CH546" s="1">
        <v>2</v>
      </c>
      <c r="CJ546" s="1">
        <v>0</v>
      </c>
      <c r="CK546" s="1">
        <v>0</v>
      </c>
      <c r="CL546" s="1">
        <v>0</v>
      </c>
      <c r="CM546" s="1">
        <v>2</v>
      </c>
    </row>
    <row r="547" spans="1:91" ht="14.25" customHeight="1" x14ac:dyDescent="0.3">
      <c r="A547" s="1" t="s">
        <v>3728</v>
      </c>
      <c r="B547" s="1" t="s">
        <v>434</v>
      </c>
      <c r="D547" s="1" t="s">
        <v>61</v>
      </c>
      <c r="E547" s="1" t="s">
        <v>236</v>
      </c>
      <c r="F547" s="1" t="s">
        <v>95</v>
      </c>
      <c r="G547" s="1" t="s">
        <v>127</v>
      </c>
      <c r="H547" s="1">
        <v>0</v>
      </c>
      <c r="I547" s="1" t="s">
        <v>776</v>
      </c>
      <c r="J547" s="1" t="s">
        <v>3729</v>
      </c>
      <c r="M547" s="1" t="s">
        <v>3730</v>
      </c>
      <c r="N547" s="1">
        <v>0</v>
      </c>
      <c r="O547" s="1">
        <v>0</v>
      </c>
      <c r="P547" s="1" t="s">
        <v>3731</v>
      </c>
      <c r="Q547" s="1" t="s">
        <v>184</v>
      </c>
      <c r="R547" s="1" t="s">
        <v>3732</v>
      </c>
      <c r="S547" s="1" t="s">
        <v>103</v>
      </c>
      <c r="T547" s="1">
        <v>1</v>
      </c>
      <c r="U547" s="1">
        <v>1</v>
      </c>
      <c r="V547" s="1">
        <v>0</v>
      </c>
      <c r="W547" s="1">
        <v>0</v>
      </c>
      <c r="X547" s="1">
        <v>1</v>
      </c>
      <c r="Y547" s="1" t="s">
        <v>104</v>
      </c>
      <c r="Z547" s="1" t="s">
        <v>104</v>
      </c>
      <c r="AA547" s="1" t="s">
        <v>104</v>
      </c>
      <c r="AB547" s="1">
        <v>7</v>
      </c>
      <c r="AC547" s="1" t="s">
        <v>104</v>
      </c>
      <c r="AD547" s="1" t="s">
        <v>104</v>
      </c>
      <c r="AE547" s="1" t="s">
        <v>104</v>
      </c>
      <c r="AF547" s="1" t="s">
        <v>104</v>
      </c>
      <c r="AG547" s="1" t="s">
        <v>104</v>
      </c>
      <c r="AH547" s="1" t="s">
        <v>104</v>
      </c>
      <c r="AI547" s="1" t="s">
        <v>104</v>
      </c>
      <c r="AJ547" s="1" t="s">
        <v>104</v>
      </c>
      <c r="AK547" s="1" t="s">
        <v>104</v>
      </c>
      <c r="AL547" s="1" t="s">
        <v>104</v>
      </c>
      <c r="AM547" s="1" t="s">
        <v>104</v>
      </c>
      <c r="AO547" s="1">
        <v>7</v>
      </c>
      <c r="AP547" s="1" t="s">
        <v>3733</v>
      </c>
      <c r="AQ547" s="1" t="s">
        <v>3734</v>
      </c>
      <c r="AR547" s="1">
        <v>0</v>
      </c>
      <c r="AS547" s="1">
        <v>0</v>
      </c>
      <c r="AT547" s="1">
        <v>0</v>
      </c>
      <c r="AU547" s="1">
        <v>0</v>
      </c>
      <c r="AV547" s="1">
        <v>0</v>
      </c>
      <c r="AW547" s="1">
        <v>0</v>
      </c>
      <c r="AX547" s="1">
        <v>0</v>
      </c>
      <c r="AY547" s="1">
        <v>0</v>
      </c>
      <c r="AZ547" s="1">
        <v>0</v>
      </c>
      <c r="BA547" s="1">
        <v>0</v>
      </c>
      <c r="BB547" s="1">
        <v>0</v>
      </c>
      <c r="BC547" s="1">
        <v>0</v>
      </c>
      <c r="BD547" s="1">
        <v>0</v>
      </c>
      <c r="BE547" s="1">
        <v>0</v>
      </c>
      <c r="BF547" s="1">
        <v>0</v>
      </c>
      <c r="BG547" s="1">
        <v>0</v>
      </c>
      <c r="BH547" s="1">
        <v>0</v>
      </c>
      <c r="BI547" s="1">
        <v>0</v>
      </c>
      <c r="BJ547" s="1">
        <v>1</v>
      </c>
      <c r="BK547" s="1">
        <v>0</v>
      </c>
      <c r="BL547" s="1">
        <v>0</v>
      </c>
      <c r="BM547" s="1">
        <v>0</v>
      </c>
      <c r="BN547" s="1">
        <v>0</v>
      </c>
      <c r="BO547" s="1">
        <v>0</v>
      </c>
      <c r="BP547" s="1">
        <v>0</v>
      </c>
      <c r="BQ547" s="2" t="str">
        <f>HYPERLINK("http://www.d20pfsrd.com/magic/all-spells/s/sunbeam","Sunbeam")</f>
        <v>Sunbeam</v>
      </c>
      <c r="BR547" s="1">
        <v>548</v>
      </c>
      <c r="BS547" s="1" t="s">
        <v>104</v>
      </c>
      <c r="BU547" s="1" t="s">
        <v>3735</v>
      </c>
      <c r="BV547" s="1" t="s">
        <v>3736</v>
      </c>
      <c r="BW547" s="1" t="s">
        <v>3737</v>
      </c>
      <c r="BX547" s="1">
        <v>1</v>
      </c>
      <c r="BY547" s="1" t="s">
        <v>104</v>
      </c>
      <c r="BZ547" s="1">
        <v>7</v>
      </c>
      <c r="CA547" s="1" t="s">
        <v>104</v>
      </c>
      <c r="CB547" s="1" t="s">
        <v>104</v>
      </c>
      <c r="CC547" s="1" t="s">
        <v>104</v>
      </c>
      <c r="CD547" s="1" t="s">
        <v>104</v>
      </c>
      <c r="CE547" s="1" t="s">
        <v>104</v>
      </c>
      <c r="CF547" s="1" t="s">
        <v>104</v>
      </c>
      <c r="CG547" s="1" t="s">
        <v>104</v>
      </c>
      <c r="CH547" s="1" t="s">
        <v>104</v>
      </c>
      <c r="CJ547" s="1">
        <v>0</v>
      </c>
      <c r="CK547" s="1">
        <v>0</v>
      </c>
      <c r="CL547" s="1">
        <v>0</v>
      </c>
      <c r="CM547" s="1" t="s">
        <v>104</v>
      </c>
    </row>
    <row r="548" spans="1:91" ht="14.25" customHeight="1" x14ac:dyDescent="0.3">
      <c r="A548" s="1" t="s">
        <v>3738</v>
      </c>
      <c r="B548" s="1" t="s">
        <v>434</v>
      </c>
      <c r="D548" s="1" t="s">
        <v>61</v>
      </c>
      <c r="E548" s="1" t="s">
        <v>3739</v>
      </c>
      <c r="F548" s="1" t="s">
        <v>95</v>
      </c>
      <c r="G548" s="1" t="s">
        <v>3740</v>
      </c>
      <c r="H548" s="1">
        <v>0</v>
      </c>
      <c r="I548" s="1" t="s">
        <v>97</v>
      </c>
      <c r="J548" s="1" t="s">
        <v>3741</v>
      </c>
      <c r="M548" s="1" t="s">
        <v>119</v>
      </c>
      <c r="N548" s="1">
        <v>0</v>
      </c>
      <c r="O548" s="1">
        <v>0</v>
      </c>
      <c r="P548" s="1" t="s">
        <v>1406</v>
      </c>
      <c r="Q548" s="1" t="s">
        <v>184</v>
      </c>
      <c r="R548" s="1" t="s">
        <v>3742</v>
      </c>
      <c r="S548" s="1" t="s">
        <v>103</v>
      </c>
      <c r="T548" s="1">
        <v>1</v>
      </c>
      <c r="U548" s="1">
        <v>1</v>
      </c>
      <c r="V548" s="1">
        <v>1</v>
      </c>
      <c r="W548" s="1">
        <v>0</v>
      </c>
      <c r="X548" s="1">
        <v>1</v>
      </c>
      <c r="Y548" s="1">
        <v>8</v>
      </c>
      <c r="Z548" s="1">
        <v>8</v>
      </c>
      <c r="AA548" s="1" t="s">
        <v>104</v>
      </c>
      <c r="AB548" s="1">
        <v>8</v>
      </c>
      <c r="AC548" s="1" t="s">
        <v>104</v>
      </c>
      <c r="AD548" s="1" t="s">
        <v>104</v>
      </c>
      <c r="AE548" s="1" t="s">
        <v>104</v>
      </c>
      <c r="AF548" s="1" t="s">
        <v>104</v>
      </c>
      <c r="AG548" s="1" t="s">
        <v>104</v>
      </c>
      <c r="AH548" s="1" t="s">
        <v>104</v>
      </c>
      <c r="AI548" s="1" t="s">
        <v>104</v>
      </c>
      <c r="AJ548" s="1" t="s">
        <v>104</v>
      </c>
      <c r="AK548" s="1" t="s">
        <v>104</v>
      </c>
      <c r="AL548" s="1" t="s">
        <v>104</v>
      </c>
      <c r="AM548" s="1" t="s">
        <v>104</v>
      </c>
      <c r="AO548" s="1">
        <v>8</v>
      </c>
      <c r="AP548" s="1" t="s">
        <v>3743</v>
      </c>
      <c r="AQ548" s="1" t="s">
        <v>3744</v>
      </c>
      <c r="AR548" s="1">
        <v>0</v>
      </c>
      <c r="AS548" s="1">
        <v>0</v>
      </c>
      <c r="AT548" s="1">
        <v>0</v>
      </c>
      <c r="AU548" s="1">
        <v>0</v>
      </c>
      <c r="AV548" s="1">
        <v>0</v>
      </c>
      <c r="AW548" s="1">
        <v>0</v>
      </c>
      <c r="AX548" s="1">
        <v>0</v>
      </c>
      <c r="AY548" s="1">
        <v>0</v>
      </c>
      <c r="AZ548" s="1">
        <v>0</v>
      </c>
      <c r="BA548" s="1">
        <v>0</v>
      </c>
      <c r="BB548" s="1">
        <v>0</v>
      </c>
      <c r="BC548" s="1">
        <v>0</v>
      </c>
      <c r="BD548" s="1">
        <v>0</v>
      </c>
      <c r="BE548" s="1">
        <v>0</v>
      </c>
      <c r="BF548" s="1">
        <v>0</v>
      </c>
      <c r="BG548" s="1">
        <v>0</v>
      </c>
      <c r="BH548" s="1">
        <v>0</v>
      </c>
      <c r="BI548" s="1">
        <v>0</v>
      </c>
      <c r="BJ548" s="1">
        <v>1</v>
      </c>
      <c r="BK548" s="1">
        <v>0</v>
      </c>
      <c r="BL548" s="1">
        <v>0</v>
      </c>
      <c r="BM548" s="1">
        <v>0</v>
      </c>
      <c r="BN548" s="1">
        <v>0</v>
      </c>
      <c r="BO548" s="1">
        <v>0</v>
      </c>
      <c r="BP548" s="1">
        <v>0</v>
      </c>
      <c r="BQ548" s="2" t="str">
        <f>HYPERLINK("http://www.d20pfsrd.com/magic/all-spells/s/sunburst","Sunburst")</f>
        <v>Sunburst</v>
      </c>
      <c r="BR548" s="1">
        <v>549</v>
      </c>
      <c r="BS548" s="1" t="s">
        <v>104</v>
      </c>
      <c r="BT548" s="1" t="s">
        <v>3745</v>
      </c>
      <c r="BU548" s="1" t="s">
        <v>3746</v>
      </c>
      <c r="BX548" s="1">
        <v>0</v>
      </c>
      <c r="BY548" s="1" t="s">
        <v>104</v>
      </c>
      <c r="BZ548" s="1">
        <v>8</v>
      </c>
      <c r="CA548" s="1" t="s">
        <v>104</v>
      </c>
      <c r="CB548" s="1" t="s">
        <v>104</v>
      </c>
      <c r="CC548" s="1" t="s">
        <v>104</v>
      </c>
      <c r="CD548" s="1" t="s">
        <v>104</v>
      </c>
      <c r="CE548" s="1" t="s">
        <v>104</v>
      </c>
      <c r="CF548" s="1" t="s">
        <v>104</v>
      </c>
      <c r="CG548" s="1" t="s">
        <v>104</v>
      </c>
      <c r="CH548" s="1" t="s">
        <v>104</v>
      </c>
      <c r="CJ548" s="1">
        <v>0</v>
      </c>
      <c r="CK548" s="1">
        <v>0</v>
      </c>
      <c r="CL548" s="1">
        <v>0</v>
      </c>
      <c r="CM548" s="1" t="s">
        <v>104</v>
      </c>
    </row>
    <row r="549" spans="1:91" ht="14.25" customHeight="1" x14ac:dyDescent="0.3">
      <c r="A549" s="1" t="s">
        <v>3747</v>
      </c>
      <c r="B549" s="1" t="s">
        <v>216</v>
      </c>
      <c r="D549" s="1" t="s">
        <v>49</v>
      </c>
      <c r="E549" s="1" t="s">
        <v>3748</v>
      </c>
      <c r="F549" s="1" t="s">
        <v>287</v>
      </c>
      <c r="G549" s="1" t="s">
        <v>3749</v>
      </c>
      <c r="H549" s="1">
        <v>1</v>
      </c>
      <c r="I549" s="1" t="s">
        <v>3750</v>
      </c>
      <c r="K549" s="1" t="s">
        <v>3751</v>
      </c>
      <c r="M549" s="1" t="s">
        <v>145</v>
      </c>
      <c r="N549" s="1">
        <v>0</v>
      </c>
      <c r="O549" s="1">
        <v>0</v>
      </c>
      <c r="P549" s="1" t="s">
        <v>183</v>
      </c>
      <c r="Q549" s="1" t="s">
        <v>184</v>
      </c>
      <c r="R549" s="1" t="s">
        <v>3752</v>
      </c>
      <c r="S549" s="1" t="s">
        <v>103</v>
      </c>
      <c r="T549" s="1">
        <v>1</v>
      </c>
      <c r="U549" s="1">
        <v>1</v>
      </c>
      <c r="V549" s="1">
        <v>1</v>
      </c>
      <c r="W549" s="1">
        <v>0</v>
      </c>
      <c r="X549" s="1">
        <v>0</v>
      </c>
      <c r="Y549" s="1">
        <v>8</v>
      </c>
      <c r="Z549" s="1">
        <v>8</v>
      </c>
      <c r="AA549" s="1">
        <v>8</v>
      </c>
      <c r="AB549" s="1" t="s">
        <v>104</v>
      </c>
      <c r="AC549" s="1" t="s">
        <v>104</v>
      </c>
      <c r="AD549" s="1" t="s">
        <v>104</v>
      </c>
      <c r="AE549" s="1" t="s">
        <v>104</v>
      </c>
      <c r="AF549" s="1" t="s">
        <v>104</v>
      </c>
      <c r="AG549" s="1" t="s">
        <v>104</v>
      </c>
      <c r="AH549" s="1">
        <v>8</v>
      </c>
      <c r="AI549" s="1" t="s">
        <v>104</v>
      </c>
      <c r="AJ549" s="1">
        <v>8</v>
      </c>
      <c r="AK549" s="1" t="s">
        <v>104</v>
      </c>
      <c r="AL549" s="1" t="s">
        <v>104</v>
      </c>
      <c r="AM549" s="1" t="s">
        <v>104</v>
      </c>
      <c r="AO549" s="1">
        <v>8</v>
      </c>
      <c r="AP549" s="1" t="s">
        <v>3753</v>
      </c>
      <c r="AQ549" s="1" t="s">
        <v>3754</v>
      </c>
      <c r="AR549" s="1">
        <v>0</v>
      </c>
      <c r="AS549" s="1">
        <v>0</v>
      </c>
      <c r="AT549" s="1">
        <v>0</v>
      </c>
      <c r="AU549" s="1">
        <v>0</v>
      </c>
      <c r="AV549" s="1">
        <v>0</v>
      </c>
      <c r="AW549" s="1">
        <v>0</v>
      </c>
      <c r="AX549" s="1">
        <v>1</v>
      </c>
      <c r="AY549" s="1">
        <v>0</v>
      </c>
      <c r="AZ549" s="1">
        <v>0</v>
      </c>
      <c r="BA549" s="1">
        <v>0</v>
      </c>
      <c r="BB549" s="1">
        <v>0</v>
      </c>
      <c r="BC549" s="1">
        <v>0</v>
      </c>
      <c r="BD549" s="1">
        <v>0</v>
      </c>
      <c r="BE549" s="1">
        <v>0</v>
      </c>
      <c r="BF549" s="1">
        <v>0</v>
      </c>
      <c r="BG549" s="1">
        <v>0</v>
      </c>
      <c r="BH549" s="1">
        <v>0</v>
      </c>
      <c r="BI549" s="1">
        <v>0</v>
      </c>
      <c r="BJ549" s="1">
        <v>0</v>
      </c>
      <c r="BK549" s="1">
        <v>0</v>
      </c>
      <c r="BL549" s="1">
        <v>0</v>
      </c>
      <c r="BM549" s="1">
        <v>0</v>
      </c>
      <c r="BN549" s="1">
        <v>0</v>
      </c>
      <c r="BO549" s="1">
        <v>0</v>
      </c>
      <c r="BP549" s="1">
        <v>0</v>
      </c>
      <c r="BQ549" s="2" t="str">
        <f>HYPERLINK("http://www.d20pfsrd.com/magic/all-spells/s/symbol-of-death","Symbol of Death")</f>
        <v>Symbol of Death</v>
      </c>
      <c r="BR549" s="1">
        <v>550</v>
      </c>
      <c r="BS549" s="1">
        <v>5000</v>
      </c>
      <c r="BU549" s="1" t="s">
        <v>3755</v>
      </c>
      <c r="BX549" s="1">
        <v>0</v>
      </c>
      <c r="BY549" s="1" t="s">
        <v>104</v>
      </c>
      <c r="BZ549" s="1" t="s">
        <v>104</v>
      </c>
      <c r="CA549" s="1" t="s">
        <v>104</v>
      </c>
      <c r="CB549" s="1" t="s">
        <v>104</v>
      </c>
      <c r="CC549" s="1" t="s">
        <v>104</v>
      </c>
      <c r="CD549" s="1">
        <v>6</v>
      </c>
      <c r="CE549" s="1" t="s">
        <v>104</v>
      </c>
      <c r="CF549" s="1" t="s">
        <v>104</v>
      </c>
      <c r="CG549" s="1" t="s">
        <v>104</v>
      </c>
      <c r="CH549" s="1" t="s">
        <v>104</v>
      </c>
      <c r="CJ549" s="1">
        <v>0</v>
      </c>
      <c r="CK549" s="1">
        <v>0</v>
      </c>
      <c r="CL549" s="1">
        <v>0</v>
      </c>
      <c r="CM549" s="1" t="s">
        <v>104</v>
      </c>
    </row>
    <row r="550" spans="1:91" ht="14.25" customHeight="1" x14ac:dyDescent="0.3">
      <c r="A550" s="1" t="s">
        <v>3756</v>
      </c>
      <c r="B550" s="1" t="s">
        <v>216</v>
      </c>
      <c r="D550" s="1" t="s">
        <v>3185</v>
      </c>
      <c r="E550" s="1" t="s">
        <v>3757</v>
      </c>
      <c r="F550" s="1" t="s">
        <v>287</v>
      </c>
      <c r="G550" s="1" t="s">
        <v>3758</v>
      </c>
      <c r="H550" s="1">
        <v>1</v>
      </c>
      <c r="I550" s="1" t="s">
        <v>3750</v>
      </c>
      <c r="K550" s="1" t="s">
        <v>3751</v>
      </c>
      <c r="M550" s="1" t="s">
        <v>145</v>
      </c>
      <c r="N550" s="1">
        <v>0</v>
      </c>
      <c r="O550" s="1">
        <v>0</v>
      </c>
      <c r="P550" s="1" t="s">
        <v>211</v>
      </c>
      <c r="Q550" s="1" t="s">
        <v>184</v>
      </c>
      <c r="R550" s="1" t="s">
        <v>3759</v>
      </c>
      <c r="S550" s="1" t="s">
        <v>103</v>
      </c>
      <c r="T550" s="1">
        <v>1</v>
      </c>
      <c r="U550" s="1">
        <v>1</v>
      </c>
      <c r="V550" s="1">
        <v>1</v>
      </c>
      <c r="W550" s="1">
        <v>0</v>
      </c>
      <c r="X550" s="1">
        <v>0</v>
      </c>
      <c r="Y550" s="1">
        <v>6</v>
      </c>
      <c r="Z550" s="1">
        <v>6</v>
      </c>
      <c r="AA550" s="1">
        <v>6</v>
      </c>
      <c r="AB550" s="1" t="s">
        <v>104</v>
      </c>
      <c r="AC550" s="1" t="s">
        <v>104</v>
      </c>
      <c r="AD550" s="1" t="s">
        <v>104</v>
      </c>
      <c r="AE550" s="1" t="s">
        <v>104</v>
      </c>
      <c r="AF550" s="1" t="s">
        <v>104</v>
      </c>
      <c r="AG550" s="1" t="s">
        <v>104</v>
      </c>
      <c r="AH550" s="1">
        <v>6</v>
      </c>
      <c r="AI550" s="1" t="s">
        <v>104</v>
      </c>
      <c r="AJ550" s="1">
        <v>6</v>
      </c>
      <c r="AK550" s="1" t="s">
        <v>104</v>
      </c>
      <c r="AL550" s="1" t="s">
        <v>104</v>
      </c>
      <c r="AM550" s="1" t="s">
        <v>104</v>
      </c>
      <c r="AO550" s="1">
        <v>6</v>
      </c>
      <c r="AQ550" s="1" t="s">
        <v>3760</v>
      </c>
      <c r="AR550" s="1">
        <v>0</v>
      </c>
      <c r="AS550" s="1">
        <v>0</v>
      </c>
      <c r="AT550" s="1">
        <v>0</v>
      </c>
      <c r="AU550" s="1">
        <v>0</v>
      </c>
      <c r="AV550" s="1">
        <v>0</v>
      </c>
      <c r="AW550" s="1">
        <v>0</v>
      </c>
      <c r="AX550" s="1">
        <v>0</v>
      </c>
      <c r="AY550" s="1">
        <v>0</v>
      </c>
      <c r="AZ550" s="1">
        <v>0</v>
      </c>
      <c r="BA550" s="1">
        <v>0</v>
      </c>
      <c r="BB550" s="1">
        <v>1</v>
      </c>
      <c r="BC550" s="1">
        <v>0</v>
      </c>
      <c r="BD550" s="1">
        <v>1</v>
      </c>
      <c r="BE550" s="1">
        <v>0</v>
      </c>
      <c r="BF550" s="1">
        <v>0</v>
      </c>
      <c r="BG550" s="1">
        <v>0</v>
      </c>
      <c r="BH550" s="1">
        <v>0</v>
      </c>
      <c r="BI550" s="1">
        <v>0</v>
      </c>
      <c r="BJ550" s="1">
        <v>0</v>
      </c>
      <c r="BK550" s="1">
        <v>1</v>
      </c>
      <c r="BL550" s="1">
        <v>0</v>
      </c>
      <c r="BM550" s="1">
        <v>0</v>
      </c>
      <c r="BN550" s="1">
        <v>0</v>
      </c>
      <c r="BO550" s="1">
        <v>0</v>
      </c>
      <c r="BP550" s="1">
        <v>0</v>
      </c>
      <c r="BQ550" s="2" t="str">
        <f>HYPERLINK("http://www.d20pfsrd.com/magic/all-spells/s/symbol-of-fear","Symbol of Fear")</f>
        <v>Symbol of Fear</v>
      </c>
      <c r="BR550" s="1">
        <v>551</v>
      </c>
      <c r="BS550" s="1">
        <v>1000</v>
      </c>
      <c r="BX550" s="1">
        <v>0</v>
      </c>
      <c r="BY550" s="1" t="s">
        <v>104</v>
      </c>
      <c r="BZ550" s="1" t="s">
        <v>104</v>
      </c>
      <c r="CA550" s="1" t="s">
        <v>104</v>
      </c>
      <c r="CB550" s="1" t="s">
        <v>104</v>
      </c>
      <c r="CC550" s="1" t="s">
        <v>104</v>
      </c>
      <c r="CD550" s="1">
        <v>4</v>
      </c>
      <c r="CE550" s="1" t="s">
        <v>104</v>
      </c>
      <c r="CF550" s="1" t="s">
        <v>104</v>
      </c>
      <c r="CG550" s="1" t="s">
        <v>104</v>
      </c>
      <c r="CH550" s="1" t="s">
        <v>104</v>
      </c>
      <c r="CJ550" s="1">
        <v>0</v>
      </c>
      <c r="CK550" s="1">
        <v>0</v>
      </c>
      <c r="CL550" s="1">
        <v>0</v>
      </c>
      <c r="CM550" s="1" t="s">
        <v>104</v>
      </c>
    </row>
    <row r="551" spans="1:91" ht="14.25" customHeight="1" x14ac:dyDescent="0.3">
      <c r="A551" s="1" t="s">
        <v>3761</v>
      </c>
      <c r="B551" s="1" t="s">
        <v>123</v>
      </c>
      <c r="C551" s="1" t="s">
        <v>124</v>
      </c>
      <c r="D551" s="1" t="s">
        <v>125</v>
      </c>
      <c r="E551" s="1" t="s">
        <v>3748</v>
      </c>
      <c r="F551" s="1" t="s">
        <v>287</v>
      </c>
      <c r="G551" s="1" t="s">
        <v>3762</v>
      </c>
      <c r="H551" s="1">
        <v>1</v>
      </c>
      <c r="I551" s="1" t="s">
        <v>3750</v>
      </c>
      <c r="K551" s="1" t="s">
        <v>3751</v>
      </c>
      <c r="M551" s="1" t="s">
        <v>145</v>
      </c>
      <c r="N551" s="1">
        <v>0</v>
      </c>
      <c r="O551" s="1">
        <v>0</v>
      </c>
      <c r="P551" s="1" t="s">
        <v>211</v>
      </c>
      <c r="Q551" s="1" t="s">
        <v>184</v>
      </c>
      <c r="R551" s="1" t="s">
        <v>3763</v>
      </c>
      <c r="S551" s="1" t="s">
        <v>103</v>
      </c>
      <c r="T551" s="1">
        <v>1</v>
      </c>
      <c r="U551" s="1">
        <v>1</v>
      </c>
      <c r="V551" s="1">
        <v>1</v>
      </c>
      <c r="W551" s="1">
        <v>0</v>
      </c>
      <c r="X551" s="1">
        <v>0</v>
      </c>
      <c r="Y551" s="1">
        <v>8</v>
      </c>
      <c r="Z551" s="1">
        <v>8</v>
      </c>
      <c r="AA551" s="1">
        <v>8</v>
      </c>
      <c r="AB551" s="1" t="s">
        <v>104</v>
      </c>
      <c r="AC551" s="1" t="s">
        <v>104</v>
      </c>
      <c r="AD551" s="1" t="s">
        <v>104</v>
      </c>
      <c r="AE551" s="1" t="s">
        <v>104</v>
      </c>
      <c r="AF551" s="1" t="s">
        <v>104</v>
      </c>
      <c r="AG551" s="1" t="s">
        <v>104</v>
      </c>
      <c r="AH551" s="1">
        <v>8</v>
      </c>
      <c r="AI551" s="1" t="s">
        <v>104</v>
      </c>
      <c r="AJ551" s="1">
        <v>8</v>
      </c>
      <c r="AK551" s="1" t="s">
        <v>104</v>
      </c>
      <c r="AL551" s="1" t="s">
        <v>104</v>
      </c>
      <c r="AM551" s="1" t="s">
        <v>104</v>
      </c>
      <c r="AO551" s="1">
        <v>8</v>
      </c>
      <c r="AQ551" s="1" t="s">
        <v>3764</v>
      </c>
      <c r="AR551" s="1">
        <v>0</v>
      </c>
      <c r="AS551" s="1">
        <v>0</v>
      </c>
      <c r="AT551" s="1">
        <v>0</v>
      </c>
      <c r="AU551" s="1">
        <v>0</v>
      </c>
      <c r="AV551" s="1">
        <v>0</v>
      </c>
      <c r="AW551" s="1">
        <v>0</v>
      </c>
      <c r="AX551" s="1">
        <v>0</v>
      </c>
      <c r="AY551" s="1">
        <v>0</v>
      </c>
      <c r="AZ551" s="1">
        <v>0</v>
      </c>
      <c r="BA551" s="1">
        <v>0</v>
      </c>
      <c r="BB551" s="1">
        <v>0</v>
      </c>
      <c r="BC551" s="1">
        <v>0</v>
      </c>
      <c r="BD551" s="1">
        <v>0</v>
      </c>
      <c r="BE551" s="1">
        <v>0</v>
      </c>
      <c r="BF551" s="1">
        <v>0</v>
      </c>
      <c r="BG551" s="1">
        <v>0</v>
      </c>
      <c r="BH551" s="1">
        <v>0</v>
      </c>
      <c r="BI551" s="1">
        <v>0</v>
      </c>
      <c r="BJ551" s="1">
        <v>0</v>
      </c>
      <c r="BK551" s="1">
        <v>1</v>
      </c>
      <c r="BL551" s="1">
        <v>0</v>
      </c>
      <c r="BM551" s="1">
        <v>0</v>
      </c>
      <c r="BN551" s="1">
        <v>0</v>
      </c>
      <c r="BO551" s="1">
        <v>0</v>
      </c>
      <c r="BP551" s="1">
        <v>0</v>
      </c>
      <c r="BQ551" s="2" t="str">
        <f>HYPERLINK("http://www.d20pfsrd.com/magic/all-spells/s/symbol-of-insanity","Symbol of Insanity")</f>
        <v>Symbol of Insanity</v>
      </c>
      <c r="BR551" s="1">
        <v>552</v>
      </c>
      <c r="BS551" s="1">
        <v>5000</v>
      </c>
      <c r="BU551" s="1" t="s">
        <v>3765</v>
      </c>
      <c r="BX551" s="1">
        <v>0</v>
      </c>
      <c r="BY551" s="1" t="s">
        <v>104</v>
      </c>
      <c r="BZ551" s="1" t="s">
        <v>104</v>
      </c>
      <c r="CA551" s="1" t="s">
        <v>104</v>
      </c>
      <c r="CB551" s="1" t="s">
        <v>104</v>
      </c>
      <c r="CC551" s="1" t="s">
        <v>104</v>
      </c>
      <c r="CD551" s="1">
        <v>6</v>
      </c>
      <c r="CE551" s="1" t="s">
        <v>104</v>
      </c>
      <c r="CF551" s="1" t="s">
        <v>104</v>
      </c>
      <c r="CG551" s="1" t="s">
        <v>104</v>
      </c>
      <c r="CH551" s="1" t="s">
        <v>104</v>
      </c>
      <c r="CJ551" s="1">
        <v>0</v>
      </c>
      <c r="CK551" s="1">
        <v>0</v>
      </c>
      <c r="CL551" s="1">
        <v>0</v>
      </c>
      <c r="CM551" s="1" t="s">
        <v>104</v>
      </c>
    </row>
    <row r="552" spans="1:91" ht="14.25" customHeight="1" x14ac:dyDescent="0.3">
      <c r="A552" s="1" t="s">
        <v>3766</v>
      </c>
      <c r="B552" s="1" t="s">
        <v>216</v>
      </c>
      <c r="D552" s="1" t="s">
        <v>3767</v>
      </c>
      <c r="E552" s="1" t="s">
        <v>3768</v>
      </c>
      <c r="F552" s="1" t="s">
        <v>287</v>
      </c>
      <c r="G552" s="1" t="s">
        <v>3758</v>
      </c>
      <c r="H552" s="1">
        <v>1</v>
      </c>
      <c r="I552" s="1" t="s">
        <v>3750</v>
      </c>
      <c r="K552" s="1" t="s">
        <v>3751</v>
      </c>
      <c r="M552" s="1" t="s">
        <v>145</v>
      </c>
      <c r="N552" s="1">
        <v>0</v>
      </c>
      <c r="O552" s="1">
        <v>0</v>
      </c>
      <c r="P552" s="1" t="s">
        <v>183</v>
      </c>
      <c r="Q552" s="1" t="s">
        <v>184</v>
      </c>
      <c r="R552" s="1" t="s">
        <v>3769</v>
      </c>
      <c r="S552" s="1" t="s">
        <v>103</v>
      </c>
      <c r="T552" s="1">
        <v>1</v>
      </c>
      <c r="U552" s="1">
        <v>1</v>
      </c>
      <c r="V552" s="1">
        <v>1</v>
      </c>
      <c r="W552" s="1">
        <v>0</v>
      </c>
      <c r="X552" s="1">
        <v>0</v>
      </c>
      <c r="Y552" s="1">
        <v>5</v>
      </c>
      <c r="Z552" s="1">
        <v>5</v>
      </c>
      <c r="AA552" s="1">
        <v>5</v>
      </c>
      <c r="AB552" s="1" t="s">
        <v>104</v>
      </c>
      <c r="AC552" s="1" t="s">
        <v>104</v>
      </c>
      <c r="AD552" s="1" t="s">
        <v>104</v>
      </c>
      <c r="AE552" s="1" t="s">
        <v>104</v>
      </c>
      <c r="AF552" s="1" t="s">
        <v>104</v>
      </c>
      <c r="AG552" s="1" t="s">
        <v>104</v>
      </c>
      <c r="AH552" s="1">
        <v>5</v>
      </c>
      <c r="AI552" s="1" t="s">
        <v>104</v>
      </c>
      <c r="AJ552" s="1">
        <v>5</v>
      </c>
      <c r="AK552" s="1" t="s">
        <v>104</v>
      </c>
      <c r="AL552" s="1" t="s">
        <v>104</v>
      </c>
      <c r="AM552" s="1" t="s">
        <v>104</v>
      </c>
      <c r="AO552" s="1">
        <v>5</v>
      </c>
      <c r="AP552" s="1" t="s">
        <v>3770</v>
      </c>
      <c r="AQ552" s="1" t="s">
        <v>3771</v>
      </c>
      <c r="AR552" s="1">
        <v>0</v>
      </c>
      <c r="AS552" s="1">
        <v>0</v>
      </c>
      <c r="AT552" s="1">
        <v>0</v>
      </c>
      <c r="AU552" s="1">
        <v>0</v>
      </c>
      <c r="AV552" s="1">
        <v>0</v>
      </c>
      <c r="AW552" s="1">
        <v>0</v>
      </c>
      <c r="AX552" s="1">
        <v>0</v>
      </c>
      <c r="AY552" s="1">
        <v>0</v>
      </c>
      <c r="AZ552" s="1">
        <v>0</v>
      </c>
      <c r="BA552" s="1">
        <v>0</v>
      </c>
      <c r="BB552" s="1">
        <v>0</v>
      </c>
      <c r="BC552" s="1">
        <v>1</v>
      </c>
      <c r="BD552" s="1">
        <v>0</v>
      </c>
      <c r="BE552" s="1">
        <v>0</v>
      </c>
      <c r="BF552" s="1">
        <v>0</v>
      </c>
      <c r="BG552" s="1">
        <v>0</v>
      </c>
      <c r="BH552" s="1">
        <v>0</v>
      </c>
      <c r="BI552" s="1">
        <v>0</v>
      </c>
      <c r="BJ552" s="1">
        <v>0</v>
      </c>
      <c r="BK552" s="1">
        <v>0</v>
      </c>
      <c r="BL552" s="1">
        <v>1</v>
      </c>
      <c r="BM552" s="1">
        <v>0</v>
      </c>
      <c r="BN552" s="1">
        <v>0</v>
      </c>
      <c r="BO552" s="1">
        <v>0</v>
      </c>
      <c r="BP552" s="1">
        <v>0</v>
      </c>
      <c r="BQ552" s="2" t="str">
        <f>HYPERLINK("http://www.d20pfsrd.com/magic/all-spells/s/symbol-of-pain","Symbol of Pain")</f>
        <v>Symbol of Pain</v>
      </c>
      <c r="BR552" s="1">
        <v>553</v>
      </c>
      <c r="BS552" s="1">
        <v>1000</v>
      </c>
      <c r="BU552" s="1" t="s">
        <v>3772</v>
      </c>
      <c r="BX552" s="1">
        <v>0</v>
      </c>
      <c r="BY552" s="1" t="s">
        <v>104</v>
      </c>
      <c r="BZ552" s="1" t="s">
        <v>104</v>
      </c>
      <c r="CA552" s="1" t="s">
        <v>104</v>
      </c>
      <c r="CB552" s="1" t="s">
        <v>104</v>
      </c>
      <c r="CC552" s="1">
        <v>5</v>
      </c>
      <c r="CD552" s="1">
        <v>4</v>
      </c>
      <c r="CE552" s="1" t="s">
        <v>104</v>
      </c>
      <c r="CF552" s="1" t="s">
        <v>104</v>
      </c>
      <c r="CG552" s="1" t="s">
        <v>104</v>
      </c>
      <c r="CH552" s="1" t="s">
        <v>104</v>
      </c>
      <c r="CJ552" s="1">
        <v>0</v>
      </c>
      <c r="CK552" s="1">
        <v>0</v>
      </c>
      <c r="CL552" s="1">
        <v>0</v>
      </c>
      <c r="CM552" s="1" t="s">
        <v>104</v>
      </c>
    </row>
    <row r="553" spans="1:91" ht="14.25" customHeight="1" x14ac:dyDescent="0.3">
      <c r="A553" s="1" t="s">
        <v>3773</v>
      </c>
      <c r="B553" s="1" t="s">
        <v>123</v>
      </c>
      <c r="C553" s="1" t="s">
        <v>635</v>
      </c>
      <c r="D553" s="1" t="s">
        <v>125</v>
      </c>
      <c r="E553" s="1" t="s">
        <v>3774</v>
      </c>
      <c r="F553" s="1" t="s">
        <v>287</v>
      </c>
      <c r="G553" s="1" t="s">
        <v>3762</v>
      </c>
      <c r="H553" s="1">
        <v>1</v>
      </c>
      <c r="I553" s="1" t="s">
        <v>3750</v>
      </c>
      <c r="K553" s="1" t="s">
        <v>3751</v>
      </c>
      <c r="M553" s="1" t="s">
        <v>145</v>
      </c>
      <c r="N553" s="1">
        <v>0</v>
      </c>
      <c r="O553" s="1">
        <v>0</v>
      </c>
      <c r="P553" s="1" t="s">
        <v>211</v>
      </c>
      <c r="Q553" s="1" t="s">
        <v>184</v>
      </c>
      <c r="R553" s="1" t="s">
        <v>3775</v>
      </c>
      <c r="S553" s="1" t="s">
        <v>103</v>
      </c>
      <c r="T553" s="1">
        <v>1</v>
      </c>
      <c r="U553" s="1">
        <v>1</v>
      </c>
      <c r="V553" s="1">
        <v>1</v>
      </c>
      <c r="W553" s="1">
        <v>0</v>
      </c>
      <c r="X553" s="1">
        <v>0</v>
      </c>
      <c r="Y553" s="1">
        <v>6</v>
      </c>
      <c r="Z553" s="1">
        <v>6</v>
      </c>
      <c r="AA553" s="1">
        <v>6</v>
      </c>
      <c r="AB553" s="1" t="s">
        <v>104</v>
      </c>
      <c r="AC553" s="1" t="s">
        <v>104</v>
      </c>
      <c r="AD553" s="1" t="s">
        <v>104</v>
      </c>
      <c r="AE553" s="1" t="s">
        <v>104</v>
      </c>
      <c r="AF553" s="1" t="s">
        <v>104</v>
      </c>
      <c r="AG553" s="1" t="s">
        <v>104</v>
      </c>
      <c r="AH553" s="1">
        <v>6</v>
      </c>
      <c r="AI553" s="1" t="s">
        <v>104</v>
      </c>
      <c r="AJ553" s="1">
        <v>6</v>
      </c>
      <c r="AK553" s="1" t="s">
        <v>104</v>
      </c>
      <c r="AL553" s="1" t="s">
        <v>104</v>
      </c>
      <c r="AM553" s="1" t="s">
        <v>104</v>
      </c>
      <c r="AO553" s="1">
        <v>6</v>
      </c>
      <c r="AP553" s="1" t="s">
        <v>3776</v>
      </c>
      <c r="AQ553" s="1" t="s">
        <v>3777</v>
      </c>
      <c r="AR553" s="1">
        <v>0</v>
      </c>
      <c r="AS553" s="1">
        <v>0</v>
      </c>
      <c r="AT553" s="1">
        <v>0</v>
      </c>
      <c r="AU553" s="1">
        <v>0</v>
      </c>
      <c r="AV553" s="1">
        <v>0</v>
      </c>
      <c r="AW553" s="1">
        <v>0</v>
      </c>
      <c r="AX553" s="1">
        <v>0</v>
      </c>
      <c r="AY553" s="1">
        <v>0</v>
      </c>
      <c r="AZ553" s="1">
        <v>0</v>
      </c>
      <c r="BA553" s="1">
        <v>0</v>
      </c>
      <c r="BB553" s="1">
        <v>0</v>
      </c>
      <c r="BC553" s="1">
        <v>0</v>
      </c>
      <c r="BD553" s="1">
        <v>0</v>
      </c>
      <c r="BE553" s="1">
        <v>0</v>
      </c>
      <c r="BF553" s="1">
        <v>0</v>
      </c>
      <c r="BG553" s="1">
        <v>0</v>
      </c>
      <c r="BH553" s="1">
        <v>0</v>
      </c>
      <c r="BI553" s="1">
        <v>0</v>
      </c>
      <c r="BJ553" s="1">
        <v>0</v>
      </c>
      <c r="BK553" s="1">
        <v>1</v>
      </c>
      <c r="BL553" s="1">
        <v>0</v>
      </c>
      <c r="BM553" s="1">
        <v>0</v>
      </c>
      <c r="BN553" s="1">
        <v>0</v>
      </c>
      <c r="BO553" s="1">
        <v>0</v>
      </c>
      <c r="BP553" s="1">
        <v>0</v>
      </c>
      <c r="BQ553" s="2" t="str">
        <f>HYPERLINK("http://www.d20pfsrd.com/magic/all-spells/s/symbol-of-persuasion","Symbol of Persuasion")</f>
        <v>Symbol of Persuasion</v>
      </c>
      <c r="BR553" s="1">
        <v>554</v>
      </c>
      <c r="BS553" s="1">
        <v>5000</v>
      </c>
      <c r="BX553" s="1">
        <v>0</v>
      </c>
      <c r="BY553" s="1" t="s">
        <v>104</v>
      </c>
      <c r="BZ553" s="1" t="s">
        <v>104</v>
      </c>
      <c r="CA553" s="1" t="s">
        <v>104</v>
      </c>
      <c r="CB553" s="1" t="s">
        <v>104</v>
      </c>
      <c r="CC553" s="1">
        <v>6</v>
      </c>
      <c r="CD553" s="1">
        <v>4</v>
      </c>
      <c r="CE553" s="1" t="s">
        <v>104</v>
      </c>
      <c r="CF553" s="1" t="s">
        <v>104</v>
      </c>
      <c r="CG553" s="1" t="s">
        <v>104</v>
      </c>
      <c r="CH553" s="1" t="s">
        <v>104</v>
      </c>
      <c r="CJ553" s="1">
        <v>0</v>
      </c>
      <c r="CK553" s="1">
        <v>0</v>
      </c>
      <c r="CL553" s="1">
        <v>0</v>
      </c>
      <c r="CM553" s="1" t="s">
        <v>104</v>
      </c>
    </row>
    <row r="554" spans="1:91" ht="14.25" customHeight="1" x14ac:dyDescent="0.3">
      <c r="A554" s="1" t="s">
        <v>3778</v>
      </c>
      <c r="B554" s="1" t="s">
        <v>123</v>
      </c>
      <c r="C554" s="1" t="s">
        <v>124</v>
      </c>
      <c r="D554" s="1" t="s">
        <v>125</v>
      </c>
      <c r="E554" s="1" t="s">
        <v>3768</v>
      </c>
      <c r="F554" s="1" t="s">
        <v>287</v>
      </c>
      <c r="G554" s="1" t="s">
        <v>3758</v>
      </c>
      <c r="H554" s="1">
        <v>1</v>
      </c>
      <c r="I554" s="1" t="s">
        <v>3750</v>
      </c>
      <c r="K554" s="1" t="s">
        <v>3751</v>
      </c>
      <c r="M554" s="1" t="s">
        <v>145</v>
      </c>
      <c r="N554" s="1">
        <v>0</v>
      </c>
      <c r="O554" s="1">
        <v>0</v>
      </c>
      <c r="P554" s="1" t="s">
        <v>211</v>
      </c>
      <c r="Q554" s="1" t="s">
        <v>184</v>
      </c>
      <c r="R554" s="1" t="s">
        <v>3779</v>
      </c>
      <c r="S554" s="1" t="s">
        <v>103</v>
      </c>
      <c r="T554" s="1">
        <v>1</v>
      </c>
      <c r="U554" s="1">
        <v>1</v>
      </c>
      <c r="V554" s="1">
        <v>1</v>
      </c>
      <c r="W554" s="1">
        <v>0</v>
      </c>
      <c r="X554" s="1">
        <v>0</v>
      </c>
      <c r="Y554" s="1">
        <v>5</v>
      </c>
      <c r="Z554" s="1">
        <v>5</v>
      </c>
      <c r="AA554" s="1">
        <v>5</v>
      </c>
      <c r="AB554" s="1" t="s">
        <v>104</v>
      </c>
      <c r="AC554" s="1" t="s">
        <v>104</v>
      </c>
      <c r="AD554" s="1" t="s">
        <v>104</v>
      </c>
      <c r="AE554" s="1" t="s">
        <v>104</v>
      </c>
      <c r="AF554" s="1" t="s">
        <v>104</v>
      </c>
      <c r="AG554" s="1" t="s">
        <v>104</v>
      </c>
      <c r="AH554" s="1">
        <v>5</v>
      </c>
      <c r="AI554" s="1" t="s">
        <v>104</v>
      </c>
      <c r="AJ554" s="1">
        <v>5</v>
      </c>
      <c r="AK554" s="1" t="s">
        <v>104</v>
      </c>
      <c r="AL554" s="1" t="s">
        <v>104</v>
      </c>
      <c r="AM554" s="1" t="s">
        <v>104</v>
      </c>
      <c r="AO554" s="1">
        <v>5</v>
      </c>
      <c r="AQ554" s="1" t="s">
        <v>3780</v>
      </c>
      <c r="AR554" s="1">
        <v>0</v>
      </c>
      <c r="AS554" s="1">
        <v>0</v>
      </c>
      <c r="AT554" s="1">
        <v>0</v>
      </c>
      <c r="AU554" s="1">
        <v>0</v>
      </c>
      <c r="AV554" s="1">
        <v>0</v>
      </c>
      <c r="AW554" s="1">
        <v>0</v>
      </c>
      <c r="AX554" s="1">
        <v>0</v>
      </c>
      <c r="AY554" s="1">
        <v>0</v>
      </c>
      <c r="AZ554" s="1">
        <v>0</v>
      </c>
      <c r="BA554" s="1">
        <v>0</v>
      </c>
      <c r="BB554" s="1">
        <v>0</v>
      </c>
      <c r="BC554" s="1">
        <v>0</v>
      </c>
      <c r="BD554" s="1">
        <v>0</v>
      </c>
      <c r="BE554" s="1">
        <v>0</v>
      </c>
      <c r="BF554" s="1">
        <v>0</v>
      </c>
      <c r="BG554" s="1">
        <v>0</v>
      </c>
      <c r="BH554" s="1">
        <v>0</v>
      </c>
      <c r="BI554" s="1">
        <v>0</v>
      </c>
      <c r="BJ554" s="1">
        <v>0</v>
      </c>
      <c r="BK554" s="1">
        <v>1</v>
      </c>
      <c r="BL554" s="1">
        <v>0</v>
      </c>
      <c r="BM554" s="1">
        <v>0</v>
      </c>
      <c r="BN554" s="1">
        <v>0</v>
      </c>
      <c r="BO554" s="1">
        <v>0</v>
      </c>
      <c r="BP554" s="1">
        <v>0</v>
      </c>
      <c r="BQ554" s="2" t="str">
        <f>HYPERLINK("http://www.d20pfsrd.com/magic/all-spells/s/symbol-of-sleep","Symbol of Sleep")</f>
        <v>Symbol of Sleep</v>
      </c>
      <c r="BR554" s="1">
        <v>555</v>
      </c>
      <c r="BS554" s="1">
        <v>1000</v>
      </c>
      <c r="BX554" s="1">
        <v>0</v>
      </c>
      <c r="BY554" s="1" t="s">
        <v>104</v>
      </c>
      <c r="BZ554" s="1" t="s">
        <v>104</v>
      </c>
      <c r="CA554" s="1" t="s">
        <v>104</v>
      </c>
      <c r="CB554" s="1" t="s">
        <v>104</v>
      </c>
      <c r="CC554" s="1">
        <v>5</v>
      </c>
      <c r="CD554" s="1">
        <v>4</v>
      </c>
      <c r="CE554" s="1" t="s">
        <v>104</v>
      </c>
      <c r="CF554" s="1" t="s">
        <v>104</v>
      </c>
      <c r="CG554" s="1" t="s">
        <v>104</v>
      </c>
      <c r="CH554" s="1" t="s">
        <v>104</v>
      </c>
      <c r="CJ554" s="1">
        <v>0</v>
      </c>
      <c r="CK554" s="1">
        <v>0</v>
      </c>
      <c r="CL554" s="1">
        <v>0</v>
      </c>
      <c r="CM554" s="1" t="s">
        <v>104</v>
      </c>
    </row>
    <row r="555" spans="1:91" ht="14.25" customHeight="1" x14ac:dyDescent="0.3">
      <c r="A555" s="1" t="s">
        <v>3781</v>
      </c>
      <c r="B555" s="1" t="s">
        <v>123</v>
      </c>
      <c r="C555" s="1" t="s">
        <v>124</v>
      </c>
      <c r="D555" s="1" t="s">
        <v>125</v>
      </c>
      <c r="E555" s="1" t="s">
        <v>3782</v>
      </c>
      <c r="F555" s="1" t="s">
        <v>287</v>
      </c>
      <c r="G555" s="1" t="s">
        <v>3762</v>
      </c>
      <c r="H555" s="1">
        <v>1</v>
      </c>
      <c r="I555" s="1" t="s">
        <v>3750</v>
      </c>
      <c r="K555" s="1" t="s">
        <v>3751</v>
      </c>
      <c r="M555" s="1" t="s">
        <v>145</v>
      </c>
      <c r="N555" s="1">
        <v>0</v>
      </c>
      <c r="O555" s="1">
        <v>0</v>
      </c>
      <c r="P555" s="1" t="s">
        <v>211</v>
      </c>
      <c r="Q555" s="1" t="s">
        <v>184</v>
      </c>
      <c r="R555" s="1" t="s">
        <v>3783</v>
      </c>
      <c r="S555" s="1" t="s">
        <v>103</v>
      </c>
      <c r="T555" s="1">
        <v>1</v>
      </c>
      <c r="U555" s="1">
        <v>1</v>
      </c>
      <c r="V555" s="1">
        <v>1</v>
      </c>
      <c r="W555" s="1">
        <v>0</v>
      </c>
      <c r="X555" s="1">
        <v>0</v>
      </c>
      <c r="Y555" s="1">
        <v>7</v>
      </c>
      <c r="Z555" s="1">
        <v>7</v>
      </c>
      <c r="AA555" s="1">
        <v>7</v>
      </c>
      <c r="AB555" s="1" t="s">
        <v>104</v>
      </c>
      <c r="AC555" s="1" t="s">
        <v>104</v>
      </c>
      <c r="AD555" s="1" t="s">
        <v>104</v>
      </c>
      <c r="AE555" s="1" t="s">
        <v>104</v>
      </c>
      <c r="AF555" s="1" t="s">
        <v>104</v>
      </c>
      <c r="AG555" s="1" t="s">
        <v>104</v>
      </c>
      <c r="AH555" s="1">
        <v>7</v>
      </c>
      <c r="AI555" s="1" t="s">
        <v>104</v>
      </c>
      <c r="AJ555" s="1">
        <v>7</v>
      </c>
      <c r="AK555" s="1" t="s">
        <v>104</v>
      </c>
      <c r="AL555" s="1" t="s">
        <v>104</v>
      </c>
      <c r="AM555" s="1" t="s">
        <v>104</v>
      </c>
      <c r="AO555" s="1">
        <v>7</v>
      </c>
      <c r="AQ555" s="1" t="s">
        <v>3784</v>
      </c>
      <c r="AR555" s="1">
        <v>0</v>
      </c>
      <c r="AS555" s="1">
        <v>0</v>
      </c>
      <c r="AT555" s="1">
        <v>0</v>
      </c>
      <c r="AU555" s="1">
        <v>0</v>
      </c>
      <c r="AV555" s="1">
        <v>0</v>
      </c>
      <c r="AW555" s="1">
        <v>0</v>
      </c>
      <c r="AX555" s="1">
        <v>0</v>
      </c>
      <c r="AY555" s="1">
        <v>0</v>
      </c>
      <c r="AZ555" s="1">
        <v>0</v>
      </c>
      <c r="BA555" s="1">
        <v>0</v>
      </c>
      <c r="BB555" s="1">
        <v>0</v>
      </c>
      <c r="BC555" s="1">
        <v>0</v>
      </c>
      <c r="BD555" s="1">
        <v>0</v>
      </c>
      <c r="BE555" s="1">
        <v>0</v>
      </c>
      <c r="BF555" s="1">
        <v>0</v>
      </c>
      <c r="BG555" s="1">
        <v>0</v>
      </c>
      <c r="BH555" s="1">
        <v>0</v>
      </c>
      <c r="BI555" s="1">
        <v>0</v>
      </c>
      <c r="BJ555" s="1">
        <v>0</v>
      </c>
      <c r="BK555" s="1">
        <v>1</v>
      </c>
      <c r="BL555" s="1">
        <v>0</v>
      </c>
      <c r="BM555" s="1">
        <v>0</v>
      </c>
      <c r="BN555" s="1">
        <v>0</v>
      </c>
      <c r="BO555" s="1">
        <v>0</v>
      </c>
      <c r="BP555" s="1">
        <v>0</v>
      </c>
      <c r="BQ555" s="2" t="str">
        <f>HYPERLINK("http://www.d20pfsrd.com/magic/all-spells/s/symbol-of-stunning","Symbol of Stunning")</f>
        <v>Symbol of Stunning</v>
      </c>
      <c r="BR555" s="1">
        <v>556</v>
      </c>
      <c r="BS555" s="1">
        <v>5000</v>
      </c>
      <c r="BX555" s="1">
        <v>0</v>
      </c>
      <c r="BY555" s="1" t="s">
        <v>104</v>
      </c>
      <c r="BZ555" s="1" t="s">
        <v>104</v>
      </c>
      <c r="CA555" s="1" t="s">
        <v>104</v>
      </c>
      <c r="CB555" s="1" t="s">
        <v>104</v>
      </c>
      <c r="CC555" s="1" t="s">
        <v>104</v>
      </c>
      <c r="CD555" s="1">
        <v>5</v>
      </c>
      <c r="CE555" s="1" t="s">
        <v>104</v>
      </c>
      <c r="CF555" s="1" t="s">
        <v>104</v>
      </c>
      <c r="CG555" s="1" t="s">
        <v>104</v>
      </c>
      <c r="CH555" s="1" t="s">
        <v>104</v>
      </c>
      <c r="CJ555" s="1">
        <v>0</v>
      </c>
      <c r="CK555" s="1">
        <v>0</v>
      </c>
      <c r="CL555" s="1">
        <v>0</v>
      </c>
      <c r="CM555" s="1" t="s">
        <v>104</v>
      </c>
    </row>
    <row r="556" spans="1:91" ht="14.25" customHeight="1" x14ac:dyDescent="0.3">
      <c r="A556" s="1" t="s">
        <v>3785</v>
      </c>
      <c r="B556" s="1" t="s">
        <v>216</v>
      </c>
      <c r="E556" s="1" t="s">
        <v>3782</v>
      </c>
      <c r="F556" s="1" t="s">
        <v>287</v>
      </c>
      <c r="G556" s="1" t="s">
        <v>3762</v>
      </c>
      <c r="H556" s="1">
        <v>1</v>
      </c>
      <c r="I556" s="1" t="s">
        <v>3750</v>
      </c>
      <c r="K556" s="1" t="s">
        <v>3751</v>
      </c>
      <c r="M556" s="1" t="s">
        <v>145</v>
      </c>
      <c r="N556" s="1">
        <v>0</v>
      </c>
      <c r="O556" s="1">
        <v>0</v>
      </c>
      <c r="P556" s="1" t="s">
        <v>183</v>
      </c>
      <c r="Q556" s="1" t="s">
        <v>184</v>
      </c>
      <c r="R556" s="1" t="s">
        <v>3786</v>
      </c>
      <c r="S556" s="1" t="s">
        <v>103</v>
      </c>
      <c r="T556" s="1">
        <v>1</v>
      </c>
      <c r="U556" s="1">
        <v>1</v>
      </c>
      <c r="V556" s="1">
        <v>1</v>
      </c>
      <c r="W556" s="1">
        <v>0</v>
      </c>
      <c r="X556" s="1">
        <v>0</v>
      </c>
      <c r="Y556" s="1">
        <v>7</v>
      </c>
      <c r="Z556" s="1">
        <v>7</v>
      </c>
      <c r="AA556" s="1">
        <v>7</v>
      </c>
      <c r="AB556" s="1" t="s">
        <v>104</v>
      </c>
      <c r="AC556" s="1" t="s">
        <v>104</v>
      </c>
      <c r="AD556" s="1" t="s">
        <v>104</v>
      </c>
      <c r="AE556" s="1" t="s">
        <v>104</v>
      </c>
      <c r="AF556" s="1" t="s">
        <v>104</v>
      </c>
      <c r="AG556" s="1" t="s">
        <v>104</v>
      </c>
      <c r="AH556" s="1">
        <v>7</v>
      </c>
      <c r="AI556" s="1" t="s">
        <v>104</v>
      </c>
      <c r="AJ556" s="1">
        <v>7</v>
      </c>
      <c r="AK556" s="1" t="s">
        <v>104</v>
      </c>
      <c r="AL556" s="1" t="s">
        <v>104</v>
      </c>
      <c r="AM556" s="1" t="s">
        <v>104</v>
      </c>
      <c r="AO556" s="1">
        <v>7</v>
      </c>
      <c r="AQ556" s="1" t="s">
        <v>3787</v>
      </c>
      <c r="AR556" s="1">
        <v>0</v>
      </c>
      <c r="AS556" s="1">
        <v>0</v>
      </c>
      <c r="AT556" s="1">
        <v>0</v>
      </c>
      <c r="AU556" s="1">
        <v>0</v>
      </c>
      <c r="AV556" s="1">
        <v>0</v>
      </c>
      <c r="AW556" s="1">
        <v>0</v>
      </c>
      <c r="AX556" s="1">
        <v>0</v>
      </c>
      <c r="AY556" s="1">
        <v>0</v>
      </c>
      <c r="AZ556" s="1">
        <v>0</v>
      </c>
      <c r="BA556" s="1">
        <v>0</v>
      </c>
      <c r="BB556" s="1">
        <v>0</v>
      </c>
      <c r="BC556" s="1">
        <v>0</v>
      </c>
      <c r="BD556" s="1">
        <v>0</v>
      </c>
      <c r="BE556" s="1">
        <v>0</v>
      </c>
      <c r="BF556" s="1">
        <v>0</v>
      </c>
      <c r="BG556" s="1">
        <v>0</v>
      </c>
      <c r="BH556" s="1">
        <v>0</v>
      </c>
      <c r="BI556" s="1">
        <v>0</v>
      </c>
      <c r="BJ556" s="1">
        <v>0</v>
      </c>
      <c r="BK556" s="1">
        <v>0</v>
      </c>
      <c r="BL556" s="1">
        <v>0</v>
      </c>
      <c r="BM556" s="1">
        <v>0</v>
      </c>
      <c r="BN556" s="1">
        <v>0</v>
      </c>
      <c r="BO556" s="1">
        <v>0</v>
      </c>
      <c r="BP556" s="1">
        <v>0</v>
      </c>
      <c r="BQ556" s="2" t="str">
        <f>HYPERLINK("http://www.d20pfsrd.com/magic/all-spells/s/symbol-of-weakness","Symbol of Weakness")</f>
        <v>Symbol of Weakness</v>
      </c>
      <c r="BR556" s="1">
        <v>557</v>
      </c>
      <c r="BS556" s="1">
        <v>5000</v>
      </c>
      <c r="BX556" s="1">
        <v>0</v>
      </c>
      <c r="BY556" s="1" t="s">
        <v>104</v>
      </c>
      <c r="BZ556" s="1" t="s">
        <v>104</v>
      </c>
      <c r="CA556" s="1" t="s">
        <v>104</v>
      </c>
      <c r="CB556" s="1" t="s">
        <v>104</v>
      </c>
      <c r="CC556" s="1" t="s">
        <v>104</v>
      </c>
      <c r="CD556" s="1">
        <v>5</v>
      </c>
      <c r="CE556" s="1" t="s">
        <v>104</v>
      </c>
      <c r="CF556" s="1" t="s">
        <v>104</v>
      </c>
      <c r="CG556" s="1" t="s">
        <v>104</v>
      </c>
      <c r="CH556" s="1" t="s">
        <v>104</v>
      </c>
      <c r="CJ556" s="1">
        <v>0</v>
      </c>
      <c r="CK556" s="1">
        <v>0</v>
      </c>
      <c r="CL556" s="1">
        <v>0</v>
      </c>
      <c r="CM556" s="1" t="s">
        <v>104</v>
      </c>
    </row>
    <row r="557" spans="1:91" ht="14.25" customHeight="1" x14ac:dyDescent="0.3">
      <c r="A557" s="1" t="s">
        <v>3788</v>
      </c>
      <c r="B557" s="1" t="s">
        <v>434</v>
      </c>
      <c r="D557" s="1" t="s">
        <v>66</v>
      </c>
      <c r="E557" s="1" t="s">
        <v>3789</v>
      </c>
      <c r="F557" s="1" t="s">
        <v>287</v>
      </c>
      <c r="G557" s="1" t="s">
        <v>3790</v>
      </c>
      <c r="H557" s="1">
        <v>0</v>
      </c>
      <c r="I557" s="1" t="s">
        <v>128</v>
      </c>
      <c r="L557" s="1" t="s">
        <v>3791</v>
      </c>
      <c r="M557" s="1" t="s">
        <v>3792</v>
      </c>
      <c r="N557" s="1">
        <v>0</v>
      </c>
      <c r="O557" s="1">
        <v>0</v>
      </c>
      <c r="P557" s="1" t="s">
        <v>195</v>
      </c>
      <c r="Q557" s="1" t="s">
        <v>184</v>
      </c>
      <c r="R557" s="1" t="s">
        <v>3793</v>
      </c>
      <c r="S557" s="1" t="s">
        <v>103</v>
      </c>
      <c r="T557" s="1">
        <v>1</v>
      </c>
      <c r="U557" s="1">
        <v>1</v>
      </c>
      <c r="V557" s="1">
        <v>0</v>
      </c>
      <c r="W557" s="1">
        <v>1</v>
      </c>
      <c r="X557" s="1">
        <v>0</v>
      </c>
      <c r="Y557" s="1" t="s">
        <v>104</v>
      </c>
      <c r="Z557" s="1" t="s">
        <v>104</v>
      </c>
      <c r="AA557" s="1" t="s">
        <v>104</v>
      </c>
      <c r="AB557" s="1" t="s">
        <v>104</v>
      </c>
      <c r="AC557" s="1" t="s">
        <v>104</v>
      </c>
      <c r="AD557" s="1">
        <v>6</v>
      </c>
      <c r="AE557" s="1" t="s">
        <v>104</v>
      </c>
      <c r="AF557" s="1" t="s">
        <v>104</v>
      </c>
      <c r="AG557" s="1" t="s">
        <v>104</v>
      </c>
      <c r="AH557" s="1" t="s">
        <v>104</v>
      </c>
      <c r="AI557" s="1" t="s">
        <v>104</v>
      </c>
      <c r="AJ557" s="1" t="s">
        <v>104</v>
      </c>
      <c r="AK557" s="1" t="s">
        <v>104</v>
      </c>
      <c r="AL557" s="1" t="s">
        <v>104</v>
      </c>
      <c r="AM557" s="1" t="s">
        <v>104</v>
      </c>
      <c r="AO557" s="1">
        <v>6</v>
      </c>
      <c r="AQ557" s="1" t="s">
        <v>3794</v>
      </c>
      <c r="AR557" s="1">
        <v>0</v>
      </c>
      <c r="AS557" s="1">
        <v>0</v>
      </c>
      <c r="AT557" s="1">
        <v>0</v>
      </c>
      <c r="AU557" s="1">
        <v>0</v>
      </c>
      <c r="AV557" s="1">
        <v>0</v>
      </c>
      <c r="AW557" s="1">
        <v>0</v>
      </c>
      <c r="AX557" s="1">
        <v>0</v>
      </c>
      <c r="AY557" s="1">
        <v>0</v>
      </c>
      <c r="AZ557" s="1">
        <v>0</v>
      </c>
      <c r="BA557" s="1">
        <v>0</v>
      </c>
      <c r="BB557" s="1">
        <v>0</v>
      </c>
      <c r="BC557" s="1">
        <v>0</v>
      </c>
      <c r="BD557" s="1">
        <v>0</v>
      </c>
      <c r="BE557" s="1">
        <v>0</v>
      </c>
      <c r="BF557" s="1">
        <v>0</v>
      </c>
      <c r="BG557" s="1">
        <v>0</v>
      </c>
      <c r="BH557" s="1">
        <v>0</v>
      </c>
      <c r="BI557" s="1">
        <v>0</v>
      </c>
      <c r="BJ557" s="1">
        <v>0</v>
      </c>
      <c r="BK557" s="1">
        <v>0</v>
      </c>
      <c r="BL557" s="1">
        <v>0</v>
      </c>
      <c r="BM557" s="1">
        <v>0</v>
      </c>
      <c r="BN557" s="1">
        <v>0</v>
      </c>
      <c r="BO557" s="1">
        <v>1</v>
      </c>
      <c r="BP557" s="1">
        <v>0</v>
      </c>
      <c r="BQ557" s="2" t="str">
        <f>HYPERLINK("http://www.d20pfsrd.com/magic/all-spells/s/sympathetic-vibration","Sympathetic Vibration")</f>
        <v>Sympathetic Vibration</v>
      </c>
      <c r="BR557" s="1">
        <v>558</v>
      </c>
      <c r="BS557" s="1" t="s">
        <v>104</v>
      </c>
      <c r="BX557" s="1">
        <v>0</v>
      </c>
      <c r="BY557" s="1" t="s">
        <v>104</v>
      </c>
      <c r="BZ557" s="1" t="s">
        <v>104</v>
      </c>
      <c r="CA557" s="1" t="s">
        <v>104</v>
      </c>
      <c r="CB557" s="1" t="s">
        <v>104</v>
      </c>
      <c r="CC557" s="1" t="s">
        <v>104</v>
      </c>
      <c r="CD557" s="1" t="s">
        <v>104</v>
      </c>
      <c r="CE557" s="1" t="s">
        <v>104</v>
      </c>
      <c r="CF557" s="1" t="s">
        <v>104</v>
      </c>
      <c r="CG557" s="1" t="s">
        <v>104</v>
      </c>
      <c r="CH557" s="1" t="s">
        <v>104</v>
      </c>
      <c r="CJ557" s="1">
        <v>0</v>
      </c>
      <c r="CK557" s="1">
        <v>0</v>
      </c>
      <c r="CL557" s="1">
        <v>0</v>
      </c>
      <c r="CM557" s="1" t="s">
        <v>104</v>
      </c>
    </row>
    <row r="558" spans="1:91" ht="14.25" customHeight="1" x14ac:dyDescent="0.3">
      <c r="A558" s="1" t="s">
        <v>3795</v>
      </c>
      <c r="B558" s="1" t="s">
        <v>123</v>
      </c>
      <c r="C558" s="1" t="s">
        <v>124</v>
      </c>
      <c r="D558" s="1" t="s">
        <v>271</v>
      </c>
      <c r="E558" s="1" t="s">
        <v>3796</v>
      </c>
      <c r="F558" s="1" t="s">
        <v>273</v>
      </c>
      <c r="G558" s="1" t="s">
        <v>3797</v>
      </c>
      <c r="H558" s="1">
        <v>1</v>
      </c>
      <c r="I558" s="1" t="s">
        <v>117</v>
      </c>
      <c r="L558" s="1" t="s">
        <v>275</v>
      </c>
      <c r="M558" s="1" t="s">
        <v>166</v>
      </c>
      <c r="N558" s="1">
        <v>1</v>
      </c>
      <c r="O558" s="1">
        <v>0</v>
      </c>
      <c r="P558" s="1" t="s">
        <v>418</v>
      </c>
      <c r="Q558" s="1" t="s">
        <v>184</v>
      </c>
      <c r="R558" s="1" t="s">
        <v>3798</v>
      </c>
      <c r="S558" s="1" t="s">
        <v>103</v>
      </c>
      <c r="T558" s="1">
        <v>1</v>
      </c>
      <c r="U558" s="1">
        <v>1</v>
      </c>
      <c r="V558" s="1">
        <v>1</v>
      </c>
      <c r="W558" s="1">
        <v>0</v>
      </c>
      <c r="X558" s="1">
        <v>0</v>
      </c>
      <c r="Y558" s="1">
        <v>8</v>
      </c>
      <c r="Z558" s="1">
        <v>8</v>
      </c>
      <c r="AA558" s="1" t="s">
        <v>104</v>
      </c>
      <c r="AB558" s="1">
        <v>9</v>
      </c>
      <c r="AC558" s="1" t="s">
        <v>104</v>
      </c>
      <c r="AD558" s="1" t="s">
        <v>104</v>
      </c>
      <c r="AE558" s="1" t="s">
        <v>104</v>
      </c>
      <c r="AF558" s="1" t="s">
        <v>104</v>
      </c>
      <c r="AG558" s="1">
        <v>6</v>
      </c>
      <c r="AH558" s="1">
        <v>8</v>
      </c>
      <c r="AI558" s="1" t="s">
        <v>104</v>
      </c>
      <c r="AJ558" s="1" t="s">
        <v>104</v>
      </c>
      <c r="AK558" s="1" t="s">
        <v>104</v>
      </c>
      <c r="AL558" s="1" t="s">
        <v>104</v>
      </c>
      <c r="AM558" s="1" t="s">
        <v>104</v>
      </c>
      <c r="AO558" s="1">
        <v>8</v>
      </c>
      <c r="AQ558" s="1" t="s">
        <v>3799</v>
      </c>
      <c r="AR558" s="1">
        <v>0</v>
      </c>
      <c r="AS558" s="1">
        <v>0</v>
      </c>
      <c r="AT558" s="1">
        <v>0</v>
      </c>
      <c r="AU558" s="1">
        <v>0</v>
      </c>
      <c r="AV558" s="1">
        <v>0</v>
      </c>
      <c r="AW558" s="1">
        <v>0</v>
      </c>
      <c r="AX558" s="1">
        <v>0</v>
      </c>
      <c r="AY558" s="1">
        <v>0</v>
      </c>
      <c r="AZ558" s="1">
        <v>0</v>
      </c>
      <c r="BA558" s="1">
        <v>0</v>
      </c>
      <c r="BB558" s="1">
        <v>1</v>
      </c>
      <c r="BC558" s="1">
        <v>0</v>
      </c>
      <c r="BD558" s="1">
        <v>0</v>
      </c>
      <c r="BE558" s="1">
        <v>0</v>
      </c>
      <c r="BF558" s="1">
        <v>0</v>
      </c>
      <c r="BG558" s="1">
        <v>0</v>
      </c>
      <c r="BH558" s="1">
        <v>0</v>
      </c>
      <c r="BI558" s="1">
        <v>0</v>
      </c>
      <c r="BJ558" s="1">
        <v>0</v>
      </c>
      <c r="BK558" s="1">
        <v>1</v>
      </c>
      <c r="BL558" s="1">
        <v>0</v>
      </c>
      <c r="BM558" s="1">
        <v>0</v>
      </c>
      <c r="BN558" s="1">
        <v>0</v>
      </c>
      <c r="BO558" s="1">
        <v>0</v>
      </c>
      <c r="BP558" s="1">
        <v>0</v>
      </c>
      <c r="BQ558" s="2" t="str">
        <f>HYPERLINK("http://www.d20pfsrd.com/magic/all-spells/s/sympathy","Sympathy")</f>
        <v>Sympathy</v>
      </c>
      <c r="BR558" s="1">
        <v>559</v>
      </c>
      <c r="BS558" s="1">
        <v>1500</v>
      </c>
      <c r="BX558" s="1">
        <v>0</v>
      </c>
      <c r="BY558" s="1" t="s">
        <v>104</v>
      </c>
      <c r="BZ558" s="1" t="s">
        <v>104</v>
      </c>
      <c r="CA558" s="1">
        <v>8</v>
      </c>
      <c r="CB558" s="1" t="s">
        <v>104</v>
      </c>
      <c r="CC558" s="1" t="s">
        <v>104</v>
      </c>
      <c r="CD558" s="1">
        <v>6</v>
      </c>
      <c r="CE558" s="1" t="s">
        <v>104</v>
      </c>
      <c r="CF558" s="1" t="s">
        <v>104</v>
      </c>
      <c r="CG558" s="1" t="s">
        <v>104</v>
      </c>
      <c r="CH558" s="1" t="s">
        <v>104</v>
      </c>
      <c r="CJ558" s="1">
        <v>0</v>
      </c>
      <c r="CK558" s="1">
        <v>0</v>
      </c>
      <c r="CL558" s="1">
        <v>0</v>
      </c>
      <c r="CM558" s="1">
        <v>6</v>
      </c>
    </row>
    <row r="559" spans="1:91" ht="14.25" customHeight="1" x14ac:dyDescent="0.3">
      <c r="A559" s="1" t="s">
        <v>3800</v>
      </c>
      <c r="B559" s="1" t="s">
        <v>137</v>
      </c>
      <c r="E559" s="1" t="s">
        <v>3801</v>
      </c>
      <c r="F559" s="1" t="s">
        <v>95</v>
      </c>
      <c r="G559" s="1" t="s">
        <v>116</v>
      </c>
      <c r="H559" s="1">
        <v>0</v>
      </c>
      <c r="I559" s="1" t="s">
        <v>97</v>
      </c>
      <c r="L559" s="1" t="s">
        <v>3802</v>
      </c>
      <c r="M559" s="1" t="s">
        <v>3803</v>
      </c>
      <c r="N559" s="1">
        <v>0</v>
      </c>
      <c r="O559" s="1">
        <v>0</v>
      </c>
      <c r="P559" s="1" t="s">
        <v>3804</v>
      </c>
      <c r="Q559" s="1" t="s">
        <v>3805</v>
      </c>
      <c r="R559" s="1" t="s">
        <v>3806</v>
      </c>
      <c r="S559" s="1" t="s">
        <v>103</v>
      </c>
      <c r="T559" s="1">
        <v>1</v>
      </c>
      <c r="U559" s="1">
        <v>1</v>
      </c>
      <c r="V559" s="1">
        <v>0</v>
      </c>
      <c r="W559" s="1">
        <v>0</v>
      </c>
      <c r="X559" s="1">
        <v>0</v>
      </c>
      <c r="Y559" s="1">
        <v>5</v>
      </c>
      <c r="Z559" s="1">
        <v>5</v>
      </c>
      <c r="AA559" s="1" t="s">
        <v>104</v>
      </c>
      <c r="AB559" s="1" t="s">
        <v>104</v>
      </c>
      <c r="AC559" s="1" t="s">
        <v>104</v>
      </c>
      <c r="AD559" s="1" t="s">
        <v>104</v>
      </c>
      <c r="AE559" s="1" t="s">
        <v>104</v>
      </c>
      <c r="AF559" s="1" t="s">
        <v>104</v>
      </c>
      <c r="AG559" s="1" t="s">
        <v>104</v>
      </c>
      <c r="AH559" s="1" t="s">
        <v>104</v>
      </c>
      <c r="AI559" s="1" t="s">
        <v>104</v>
      </c>
      <c r="AJ559" s="1" t="s">
        <v>104</v>
      </c>
      <c r="AK559" s="1" t="s">
        <v>104</v>
      </c>
      <c r="AL559" s="1">
        <v>5</v>
      </c>
      <c r="AM559" s="1" t="s">
        <v>104</v>
      </c>
      <c r="AO559" s="1">
        <v>5</v>
      </c>
      <c r="AQ559" s="1" t="s">
        <v>3807</v>
      </c>
      <c r="AR559" s="1">
        <v>0</v>
      </c>
      <c r="AS559" s="1">
        <v>0</v>
      </c>
      <c r="AT559" s="1">
        <v>0</v>
      </c>
      <c r="AU559" s="1">
        <v>0</v>
      </c>
      <c r="AV559" s="1">
        <v>0</v>
      </c>
      <c r="AW559" s="1">
        <v>0</v>
      </c>
      <c r="AX559" s="1">
        <v>0</v>
      </c>
      <c r="AY559" s="1">
        <v>0</v>
      </c>
      <c r="AZ559" s="1">
        <v>0</v>
      </c>
      <c r="BA559" s="1">
        <v>0</v>
      </c>
      <c r="BB559" s="1">
        <v>0</v>
      </c>
      <c r="BC559" s="1">
        <v>0</v>
      </c>
      <c r="BD559" s="1">
        <v>0</v>
      </c>
      <c r="BE559" s="1">
        <v>0</v>
      </c>
      <c r="BF559" s="1">
        <v>0</v>
      </c>
      <c r="BG559" s="1">
        <v>0</v>
      </c>
      <c r="BH559" s="1">
        <v>0</v>
      </c>
      <c r="BI559" s="1">
        <v>0</v>
      </c>
      <c r="BJ559" s="1">
        <v>0</v>
      </c>
      <c r="BK559" s="1">
        <v>0</v>
      </c>
      <c r="BL559" s="1">
        <v>0</v>
      </c>
      <c r="BM559" s="1">
        <v>0</v>
      </c>
      <c r="BN559" s="1">
        <v>0</v>
      </c>
      <c r="BO559" s="1">
        <v>0</v>
      </c>
      <c r="BP559" s="1">
        <v>0</v>
      </c>
      <c r="BQ559" s="2" t="str">
        <f>HYPERLINK("http://www.d20pfsrd.com/magic/all-spells/t/telekinesis","Telekinesis")</f>
        <v>Telekinesis</v>
      </c>
      <c r="BR559" s="1">
        <v>560</v>
      </c>
      <c r="BS559" s="1" t="s">
        <v>104</v>
      </c>
      <c r="BV559" s="1" t="s">
        <v>3808</v>
      </c>
      <c r="BX559" s="1">
        <v>1</v>
      </c>
      <c r="BY559" s="1" t="s">
        <v>104</v>
      </c>
      <c r="BZ559" s="1" t="s">
        <v>104</v>
      </c>
      <c r="CA559" s="1">
        <v>4</v>
      </c>
      <c r="CB559" s="1" t="s">
        <v>104</v>
      </c>
      <c r="CC559" s="1" t="s">
        <v>104</v>
      </c>
      <c r="CD559" s="1">
        <v>5</v>
      </c>
      <c r="CE559" s="1">
        <v>5</v>
      </c>
      <c r="CF559" s="1" t="s">
        <v>104</v>
      </c>
      <c r="CG559" s="1" t="s">
        <v>104</v>
      </c>
      <c r="CH559" s="1" t="s">
        <v>104</v>
      </c>
      <c r="CJ559" s="1">
        <v>0</v>
      </c>
      <c r="CK559" s="1">
        <v>0</v>
      </c>
      <c r="CL559" s="1">
        <v>0</v>
      </c>
      <c r="CM559" s="1" t="s">
        <v>104</v>
      </c>
    </row>
    <row r="560" spans="1:91" ht="14.25" customHeight="1" x14ac:dyDescent="0.3">
      <c r="A560" s="1" t="s">
        <v>3809</v>
      </c>
      <c r="B560" s="1" t="s">
        <v>434</v>
      </c>
      <c r="D560" s="1" t="s">
        <v>57</v>
      </c>
      <c r="E560" s="1" t="s">
        <v>3810</v>
      </c>
      <c r="F560" s="1" t="s">
        <v>95</v>
      </c>
      <c r="G560" s="1" t="s">
        <v>3811</v>
      </c>
      <c r="H560" s="1">
        <v>0</v>
      </c>
      <c r="I560" s="1" t="s">
        <v>117</v>
      </c>
      <c r="K560" s="1" t="s">
        <v>3812</v>
      </c>
      <c r="M560" s="1" t="s">
        <v>130</v>
      </c>
      <c r="N560" s="1">
        <v>1</v>
      </c>
      <c r="O560" s="1">
        <v>0</v>
      </c>
      <c r="P560" s="1" t="s">
        <v>3813</v>
      </c>
      <c r="Q560" s="1" t="s">
        <v>472</v>
      </c>
      <c r="R560" s="1" t="s">
        <v>3814</v>
      </c>
      <c r="S560" s="1" t="s">
        <v>103</v>
      </c>
      <c r="T560" s="1">
        <v>1</v>
      </c>
      <c r="U560" s="1">
        <v>1</v>
      </c>
      <c r="V560" s="1">
        <v>1</v>
      </c>
      <c r="W560" s="1">
        <v>0</v>
      </c>
      <c r="X560" s="1">
        <v>0</v>
      </c>
      <c r="Y560" s="1">
        <v>8</v>
      </c>
      <c r="Z560" s="1">
        <v>8</v>
      </c>
      <c r="AA560" s="1" t="s">
        <v>104</v>
      </c>
      <c r="AB560" s="1" t="s">
        <v>104</v>
      </c>
      <c r="AC560" s="1" t="s">
        <v>104</v>
      </c>
      <c r="AD560" s="1" t="s">
        <v>104</v>
      </c>
      <c r="AE560" s="1" t="s">
        <v>104</v>
      </c>
      <c r="AF560" s="1" t="s">
        <v>104</v>
      </c>
      <c r="AG560" s="1" t="s">
        <v>104</v>
      </c>
      <c r="AH560" s="1" t="s">
        <v>104</v>
      </c>
      <c r="AI560" s="1" t="s">
        <v>104</v>
      </c>
      <c r="AJ560" s="1" t="s">
        <v>104</v>
      </c>
      <c r="AK560" s="1" t="s">
        <v>104</v>
      </c>
      <c r="AL560" s="1" t="s">
        <v>104</v>
      </c>
      <c r="AM560" s="1" t="s">
        <v>104</v>
      </c>
      <c r="AO560" s="1">
        <v>8</v>
      </c>
      <c r="AQ560" s="1" t="s">
        <v>3815</v>
      </c>
      <c r="AR560" s="1">
        <v>0</v>
      </c>
      <c r="AS560" s="1">
        <v>0</v>
      </c>
      <c r="AT560" s="1">
        <v>0</v>
      </c>
      <c r="AU560" s="1">
        <v>0</v>
      </c>
      <c r="AV560" s="1">
        <v>0</v>
      </c>
      <c r="AW560" s="1">
        <v>0</v>
      </c>
      <c r="AX560" s="1">
        <v>0</v>
      </c>
      <c r="AY560" s="1">
        <v>0</v>
      </c>
      <c r="AZ560" s="1">
        <v>0</v>
      </c>
      <c r="BA560" s="1">
        <v>0</v>
      </c>
      <c r="BB560" s="1">
        <v>0</v>
      </c>
      <c r="BC560" s="1">
        <v>0</v>
      </c>
      <c r="BD560" s="1">
        <v>0</v>
      </c>
      <c r="BE560" s="1">
        <v>0</v>
      </c>
      <c r="BF560" s="1">
        <v>1</v>
      </c>
      <c r="BG560" s="1">
        <v>0</v>
      </c>
      <c r="BH560" s="1">
        <v>0</v>
      </c>
      <c r="BI560" s="1">
        <v>0</v>
      </c>
      <c r="BJ560" s="1">
        <v>0</v>
      </c>
      <c r="BK560" s="1">
        <v>0</v>
      </c>
      <c r="BL560" s="1">
        <v>0</v>
      </c>
      <c r="BM560" s="1">
        <v>0</v>
      </c>
      <c r="BN560" s="1">
        <v>0</v>
      </c>
      <c r="BO560" s="1">
        <v>0</v>
      </c>
      <c r="BP560" s="1">
        <v>0</v>
      </c>
      <c r="BQ560" s="2" t="str">
        <f>HYPERLINK("http://www.d20pfsrd.com/magic/all-spells/t/telekinetic-sphere","Telekinetic Sphere")</f>
        <v>Telekinetic Sphere</v>
      </c>
      <c r="BR560" s="1">
        <v>561</v>
      </c>
      <c r="BS560" s="1" t="s">
        <v>104</v>
      </c>
      <c r="BX560" s="1">
        <v>0</v>
      </c>
      <c r="BY560" s="1" t="s">
        <v>104</v>
      </c>
      <c r="BZ560" s="1" t="s">
        <v>104</v>
      </c>
      <c r="CA560" s="1">
        <v>7</v>
      </c>
      <c r="CB560" s="1" t="s">
        <v>104</v>
      </c>
      <c r="CC560" s="1" t="s">
        <v>104</v>
      </c>
      <c r="CD560" s="1" t="s">
        <v>104</v>
      </c>
      <c r="CE560" s="1" t="s">
        <v>104</v>
      </c>
      <c r="CF560" s="1" t="s">
        <v>104</v>
      </c>
      <c r="CG560" s="1" t="s">
        <v>104</v>
      </c>
      <c r="CH560" s="1" t="s">
        <v>104</v>
      </c>
      <c r="CJ560" s="1">
        <v>0</v>
      </c>
      <c r="CK560" s="1">
        <v>0</v>
      </c>
      <c r="CL560" s="1">
        <v>0</v>
      </c>
      <c r="CM560" s="1" t="s">
        <v>104</v>
      </c>
    </row>
    <row r="561" spans="1:91" ht="14.25" customHeight="1" x14ac:dyDescent="0.3">
      <c r="A561" s="1" t="s">
        <v>3816</v>
      </c>
      <c r="B561" s="1" t="s">
        <v>172</v>
      </c>
      <c r="E561" s="1" t="s">
        <v>3817</v>
      </c>
      <c r="F561" s="1" t="s">
        <v>95</v>
      </c>
      <c r="G561" s="1" t="s">
        <v>3818</v>
      </c>
      <c r="H561" s="1">
        <v>0</v>
      </c>
      <c r="I561" s="1" t="s">
        <v>117</v>
      </c>
      <c r="L561" s="1" t="s">
        <v>3819</v>
      </c>
      <c r="M561" s="1" t="s">
        <v>140</v>
      </c>
      <c r="N561" s="1">
        <v>1</v>
      </c>
      <c r="O561" s="1">
        <v>0</v>
      </c>
      <c r="P561" s="1" t="s">
        <v>100</v>
      </c>
      <c r="Q561" s="1" t="s">
        <v>101</v>
      </c>
      <c r="R561" s="1" t="s">
        <v>3820</v>
      </c>
      <c r="S561" s="1" t="s">
        <v>103</v>
      </c>
      <c r="T561" s="1">
        <v>1</v>
      </c>
      <c r="U561" s="1">
        <v>1</v>
      </c>
      <c r="V561" s="1">
        <v>1</v>
      </c>
      <c r="W561" s="1">
        <v>0</v>
      </c>
      <c r="X561" s="1">
        <v>0</v>
      </c>
      <c r="Y561" s="1">
        <v>5</v>
      </c>
      <c r="Z561" s="1">
        <v>5</v>
      </c>
      <c r="AA561" s="1" t="s">
        <v>104</v>
      </c>
      <c r="AB561" s="1" t="s">
        <v>104</v>
      </c>
      <c r="AC561" s="1" t="s">
        <v>104</v>
      </c>
      <c r="AD561" s="1" t="s">
        <v>104</v>
      </c>
      <c r="AE561" s="1" t="s">
        <v>104</v>
      </c>
      <c r="AF561" s="1" t="s">
        <v>104</v>
      </c>
      <c r="AG561" s="1" t="s">
        <v>104</v>
      </c>
      <c r="AH561" s="1">
        <v>5</v>
      </c>
      <c r="AI561" s="1">
        <v>5</v>
      </c>
      <c r="AJ561" s="1" t="s">
        <v>104</v>
      </c>
      <c r="AK561" s="1" t="s">
        <v>104</v>
      </c>
      <c r="AL561" s="1" t="s">
        <v>104</v>
      </c>
      <c r="AM561" s="1" t="s">
        <v>104</v>
      </c>
      <c r="AO561" s="1">
        <v>5</v>
      </c>
      <c r="AP561" s="1" t="s">
        <v>3821</v>
      </c>
      <c r="AQ561" s="1" t="s">
        <v>3822</v>
      </c>
      <c r="AR561" s="1">
        <v>0</v>
      </c>
      <c r="AS561" s="1">
        <v>0</v>
      </c>
      <c r="AT561" s="1">
        <v>0</v>
      </c>
      <c r="AU561" s="1">
        <v>0</v>
      </c>
      <c r="AV561" s="1">
        <v>0</v>
      </c>
      <c r="AW561" s="1">
        <v>0</v>
      </c>
      <c r="AX561" s="1">
        <v>0</v>
      </c>
      <c r="AY561" s="1">
        <v>0</v>
      </c>
      <c r="AZ561" s="1">
        <v>0</v>
      </c>
      <c r="BA561" s="1">
        <v>0</v>
      </c>
      <c r="BB561" s="1">
        <v>0</v>
      </c>
      <c r="BC561" s="1">
        <v>0</v>
      </c>
      <c r="BD561" s="1">
        <v>0</v>
      </c>
      <c r="BE561" s="1">
        <v>0</v>
      </c>
      <c r="BF561" s="1">
        <v>0</v>
      </c>
      <c r="BG561" s="1">
        <v>0</v>
      </c>
      <c r="BH561" s="1">
        <v>0</v>
      </c>
      <c r="BI561" s="1">
        <v>0</v>
      </c>
      <c r="BJ561" s="1">
        <v>0</v>
      </c>
      <c r="BK561" s="1">
        <v>0</v>
      </c>
      <c r="BL561" s="1">
        <v>0</v>
      </c>
      <c r="BM561" s="1">
        <v>0</v>
      </c>
      <c r="BN561" s="1">
        <v>0</v>
      </c>
      <c r="BO561" s="1">
        <v>0</v>
      </c>
      <c r="BP561" s="1">
        <v>0</v>
      </c>
      <c r="BQ561" s="2" t="str">
        <f>HYPERLINK("http://www.d20pfsrd.com/magic/all-spells/t/telepathic-bond","Telepathic Bond")</f>
        <v>Telepathic Bond</v>
      </c>
      <c r="BR561" s="1">
        <v>562</v>
      </c>
      <c r="BS561" s="1" t="s">
        <v>104</v>
      </c>
      <c r="BX561" s="1">
        <v>0</v>
      </c>
      <c r="BY561" s="1" t="s">
        <v>104</v>
      </c>
      <c r="BZ561" s="1" t="s">
        <v>104</v>
      </c>
      <c r="CA561" s="1">
        <v>4</v>
      </c>
      <c r="CB561" s="1">
        <v>4</v>
      </c>
      <c r="CC561" s="1">
        <v>4</v>
      </c>
      <c r="CD561" s="1" t="s">
        <v>104</v>
      </c>
      <c r="CE561" s="1">
        <v>5</v>
      </c>
      <c r="CF561" s="1" t="s">
        <v>104</v>
      </c>
      <c r="CG561" s="1" t="s">
        <v>104</v>
      </c>
      <c r="CH561" s="1" t="s">
        <v>104</v>
      </c>
      <c r="CJ561" s="1">
        <v>0</v>
      </c>
      <c r="CK561" s="1">
        <v>0</v>
      </c>
      <c r="CL561" s="1">
        <v>0</v>
      </c>
      <c r="CM561" s="1" t="s">
        <v>104</v>
      </c>
    </row>
    <row r="562" spans="1:91" ht="14.25" customHeight="1" x14ac:dyDescent="0.3">
      <c r="A562" s="1" t="s">
        <v>3823</v>
      </c>
      <c r="B562" s="1" t="s">
        <v>92</v>
      </c>
      <c r="C562" s="1" t="s">
        <v>1160</v>
      </c>
      <c r="E562" s="1" t="s">
        <v>3824</v>
      </c>
      <c r="F562" s="1" t="s">
        <v>95</v>
      </c>
      <c r="G562" s="1" t="s">
        <v>237</v>
      </c>
      <c r="H562" s="1">
        <v>0</v>
      </c>
      <c r="I562" s="1" t="s">
        <v>3825</v>
      </c>
      <c r="L562" s="1" t="s">
        <v>1162</v>
      </c>
      <c r="M562" s="1" t="s">
        <v>119</v>
      </c>
      <c r="N562" s="1">
        <v>0</v>
      </c>
      <c r="O562" s="1">
        <v>0</v>
      </c>
      <c r="P562" s="1" t="s">
        <v>1163</v>
      </c>
      <c r="Q562" s="1" t="s">
        <v>1164</v>
      </c>
      <c r="R562" s="1" t="s">
        <v>3826</v>
      </c>
      <c r="S562" s="1" t="s">
        <v>103</v>
      </c>
      <c r="T562" s="1">
        <v>1</v>
      </c>
      <c r="U562" s="1">
        <v>0</v>
      </c>
      <c r="V562" s="1">
        <v>0</v>
      </c>
      <c r="W562" s="1">
        <v>0</v>
      </c>
      <c r="X562" s="1">
        <v>0</v>
      </c>
      <c r="Y562" s="1">
        <v>5</v>
      </c>
      <c r="Z562" s="1">
        <v>5</v>
      </c>
      <c r="AA562" s="1" t="s">
        <v>104</v>
      </c>
      <c r="AB562" s="1" t="s">
        <v>104</v>
      </c>
      <c r="AC562" s="1" t="s">
        <v>104</v>
      </c>
      <c r="AD562" s="1" t="s">
        <v>104</v>
      </c>
      <c r="AE562" s="1" t="s">
        <v>104</v>
      </c>
      <c r="AF562" s="1" t="s">
        <v>104</v>
      </c>
      <c r="AG562" s="1">
        <v>4</v>
      </c>
      <c r="AH562" s="1">
        <v>5</v>
      </c>
      <c r="AI562" s="1" t="s">
        <v>104</v>
      </c>
      <c r="AJ562" s="1" t="s">
        <v>104</v>
      </c>
      <c r="AK562" s="1" t="s">
        <v>104</v>
      </c>
      <c r="AL562" s="1">
        <v>5</v>
      </c>
      <c r="AM562" s="1" t="s">
        <v>104</v>
      </c>
      <c r="AO562" s="1">
        <v>5</v>
      </c>
      <c r="AP562" s="1" t="s">
        <v>3827</v>
      </c>
      <c r="AQ562" s="1" t="s">
        <v>3828</v>
      </c>
      <c r="AR562" s="1">
        <v>0</v>
      </c>
      <c r="AS562" s="1">
        <v>0</v>
      </c>
      <c r="AT562" s="1">
        <v>0</v>
      </c>
      <c r="AU562" s="1">
        <v>0</v>
      </c>
      <c r="AV562" s="1">
        <v>0</v>
      </c>
      <c r="AW562" s="1">
        <v>0</v>
      </c>
      <c r="AX562" s="1">
        <v>0</v>
      </c>
      <c r="AY562" s="1">
        <v>0</v>
      </c>
      <c r="AZ562" s="1">
        <v>0</v>
      </c>
      <c r="BA562" s="1">
        <v>0</v>
      </c>
      <c r="BB562" s="1">
        <v>0</v>
      </c>
      <c r="BC562" s="1">
        <v>0</v>
      </c>
      <c r="BD562" s="1">
        <v>0</v>
      </c>
      <c r="BE562" s="1">
        <v>0</v>
      </c>
      <c r="BF562" s="1">
        <v>0</v>
      </c>
      <c r="BG562" s="1">
        <v>0</v>
      </c>
      <c r="BH562" s="1">
        <v>0</v>
      </c>
      <c r="BI562" s="1">
        <v>0</v>
      </c>
      <c r="BJ562" s="1">
        <v>0</v>
      </c>
      <c r="BK562" s="1">
        <v>0</v>
      </c>
      <c r="BL562" s="1">
        <v>0</v>
      </c>
      <c r="BM562" s="1">
        <v>0</v>
      </c>
      <c r="BN562" s="1">
        <v>0</v>
      </c>
      <c r="BO562" s="1">
        <v>0</v>
      </c>
      <c r="BP562" s="1">
        <v>0</v>
      </c>
      <c r="BQ562" s="2" t="str">
        <f>HYPERLINK("http://www.d20pfsrd.com/magic/all-spells/t/teleport","Teleport")</f>
        <v>Teleport</v>
      </c>
      <c r="BR562" s="1">
        <v>563</v>
      </c>
      <c r="BS562" s="1" t="s">
        <v>104</v>
      </c>
      <c r="BU562" s="1" t="s">
        <v>3829</v>
      </c>
      <c r="BX562" s="1">
        <v>0</v>
      </c>
      <c r="BY562" s="1" t="s">
        <v>104</v>
      </c>
      <c r="BZ562" s="1" t="s">
        <v>104</v>
      </c>
      <c r="CA562" s="1">
        <v>5</v>
      </c>
      <c r="CB562" s="1">
        <v>4</v>
      </c>
      <c r="CC562" s="1" t="s">
        <v>104</v>
      </c>
      <c r="CD562" s="1">
        <v>5</v>
      </c>
      <c r="CE562" s="1">
        <v>5</v>
      </c>
      <c r="CF562" s="1" t="s">
        <v>104</v>
      </c>
      <c r="CG562" s="1" t="s">
        <v>104</v>
      </c>
      <c r="CH562" s="1" t="s">
        <v>104</v>
      </c>
      <c r="CJ562" s="1">
        <v>0</v>
      </c>
      <c r="CK562" s="1">
        <v>0</v>
      </c>
      <c r="CL562" s="1">
        <v>0</v>
      </c>
      <c r="CM562" s="1">
        <v>5</v>
      </c>
    </row>
    <row r="563" spans="1:91" ht="14.25" customHeight="1" x14ac:dyDescent="0.3">
      <c r="A563" s="1" t="s">
        <v>3830</v>
      </c>
      <c r="B563" s="1" t="s">
        <v>92</v>
      </c>
      <c r="C563" s="1" t="s">
        <v>1160</v>
      </c>
      <c r="E563" s="1" t="s">
        <v>3831</v>
      </c>
      <c r="F563" s="1" t="s">
        <v>95</v>
      </c>
      <c r="G563" s="1" t="s">
        <v>237</v>
      </c>
      <c r="H563" s="1">
        <v>0</v>
      </c>
      <c r="I563" s="1" t="s">
        <v>3825</v>
      </c>
      <c r="L563" s="1" t="s">
        <v>1162</v>
      </c>
      <c r="M563" s="1" t="s">
        <v>119</v>
      </c>
      <c r="N563" s="1">
        <v>0</v>
      </c>
      <c r="O563" s="1">
        <v>0</v>
      </c>
      <c r="P563" s="1" t="s">
        <v>1163</v>
      </c>
      <c r="Q563" s="1" t="s">
        <v>1164</v>
      </c>
      <c r="R563" s="1" t="s">
        <v>3832</v>
      </c>
      <c r="S563" s="1" t="s">
        <v>103</v>
      </c>
      <c r="T563" s="1">
        <v>1</v>
      </c>
      <c r="U563" s="1">
        <v>0</v>
      </c>
      <c r="V563" s="1">
        <v>0</v>
      </c>
      <c r="W563" s="1">
        <v>0</v>
      </c>
      <c r="X563" s="1">
        <v>0</v>
      </c>
      <c r="Y563" s="1">
        <v>7</v>
      </c>
      <c r="Z563" s="1">
        <v>7</v>
      </c>
      <c r="AA563" s="1" t="s">
        <v>104</v>
      </c>
      <c r="AB563" s="1" t="s">
        <v>104</v>
      </c>
      <c r="AC563" s="1" t="s">
        <v>104</v>
      </c>
      <c r="AD563" s="1" t="s">
        <v>104</v>
      </c>
      <c r="AE563" s="1" t="s">
        <v>104</v>
      </c>
      <c r="AF563" s="1" t="s">
        <v>104</v>
      </c>
      <c r="AG563" s="1">
        <v>5</v>
      </c>
      <c r="AH563" s="1">
        <v>7</v>
      </c>
      <c r="AI563" s="1" t="s">
        <v>104</v>
      </c>
      <c r="AJ563" s="1" t="s">
        <v>104</v>
      </c>
      <c r="AK563" s="1" t="s">
        <v>104</v>
      </c>
      <c r="AL563" s="1" t="s">
        <v>104</v>
      </c>
      <c r="AM563" s="1" t="s">
        <v>104</v>
      </c>
      <c r="AO563" s="1">
        <v>7</v>
      </c>
      <c r="AP563" s="1" t="s">
        <v>3833</v>
      </c>
      <c r="AQ563" s="1" t="s">
        <v>3834</v>
      </c>
      <c r="AR563" s="1">
        <v>0</v>
      </c>
      <c r="AS563" s="1">
        <v>0</v>
      </c>
      <c r="AT563" s="1">
        <v>0</v>
      </c>
      <c r="AU563" s="1">
        <v>0</v>
      </c>
      <c r="AV563" s="1">
        <v>0</v>
      </c>
      <c r="AW563" s="1">
        <v>0</v>
      </c>
      <c r="AX563" s="1">
        <v>0</v>
      </c>
      <c r="AY563" s="1">
        <v>0</v>
      </c>
      <c r="AZ563" s="1">
        <v>0</v>
      </c>
      <c r="BA563" s="1">
        <v>0</v>
      </c>
      <c r="BB563" s="1">
        <v>0</v>
      </c>
      <c r="BC563" s="1">
        <v>0</v>
      </c>
      <c r="BD563" s="1">
        <v>0</v>
      </c>
      <c r="BE563" s="1">
        <v>0</v>
      </c>
      <c r="BF563" s="1">
        <v>0</v>
      </c>
      <c r="BG563" s="1">
        <v>0</v>
      </c>
      <c r="BH563" s="1">
        <v>0</v>
      </c>
      <c r="BI563" s="1">
        <v>0</v>
      </c>
      <c r="BJ563" s="1">
        <v>0</v>
      </c>
      <c r="BK563" s="1">
        <v>0</v>
      </c>
      <c r="BL563" s="1">
        <v>0</v>
      </c>
      <c r="BM563" s="1">
        <v>0</v>
      </c>
      <c r="BN563" s="1">
        <v>0</v>
      </c>
      <c r="BO563" s="1">
        <v>0</v>
      </c>
      <c r="BP563" s="1">
        <v>0</v>
      </c>
      <c r="BQ563" s="2" t="str">
        <f>HYPERLINK("http://www.d20pfsrd.com/magic/all-spells/t/teleport","Teleport, Greater")</f>
        <v>Teleport, Greater</v>
      </c>
      <c r="BR563" s="1">
        <v>564</v>
      </c>
      <c r="BS563" s="1" t="s">
        <v>104</v>
      </c>
      <c r="BT563" s="1" t="s">
        <v>3835</v>
      </c>
      <c r="BX563" s="1">
        <v>0</v>
      </c>
      <c r="BY563" s="1" t="s">
        <v>104</v>
      </c>
      <c r="BZ563" s="1" t="s">
        <v>104</v>
      </c>
      <c r="CA563" s="1">
        <v>7</v>
      </c>
      <c r="CB563" s="1" t="s">
        <v>104</v>
      </c>
      <c r="CC563" s="1" t="s">
        <v>104</v>
      </c>
      <c r="CD563" s="1" t="s">
        <v>104</v>
      </c>
      <c r="CE563" s="1" t="s">
        <v>104</v>
      </c>
      <c r="CF563" s="1" t="s">
        <v>104</v>
      </c>
      <c r="CG563" s="1" t="s">
        <v>104</v>
      </c>
      <c r="CH563" s="1" t="s">
        <v>104</v>
      </c>
      <c r="CJ563" s="1">
        <v>0</v>
      </c>
      <c r="CK563" s="1">
        <v>0</v>
      </c>
      <c r="CL563" s="1">
        <v>0</v>
      </c>
      <c r="CM563" s="1">
        <v>6</v>
      </c>
    </row>
    <row r="564" spans="1:91" ht="14.25" customHeight="1" x14ac:dyDescent="0.3">
      <c r="A564" s="1" t="s">
        <v>3836</v>
      </c>
      <c r="B564" s="1" t="s">
        <v>92</v>
      </c>
      <c r="C564" s="1" t="s">
        <v>1160</v>
      </c>
      <c r="E564" s="1" t="s">
        <v>313</v>
      </c>
      <c r="F564" s="1" t="s">
        <v>95</v>
      </c>
      <c r="G564" s="1" t="s">
        <v>237</v>
      </c>
      <c r="H564" s="1">
        <v>0</v>
      </c>
      <c r="I564" s="1" t="s">
        <v>128</v>
      </c>
      <c r="L564" s="1" t="s">
        <v>3837</v>
      </c>
      <c r="M564" s="1" t="s">
        <v>119</v>
      </c>
      <c r="N564" s="1">
        <v>0</v>
      </c>
      <c r="O564" s="1">
        <v>0</v>
      </c>
      <c r="P564" s="1" t="s">
        <v>471</v>
      </c>
      <c r="Q564" s="1" t="s">
        <v>472</v>
      </c>
      <c r="R564" s="1" t="s">
        <v>3838</v>
      </c>
      <c r="S564" s="1" t="s">
        <v>103</v>
      </c>
      <c r="T564" s="1">
        <v>1</v>
      </c>
      <c r="U564" s="1">
        <v>0</v>
      </c>
      <c r="V564" s="1">
        <v>0</v>
      </c>
      <c r="W564" s="1">
        <v>0</v>
      </c>
      <c r="X564" s="1">
        <v>0</v>
      </c>
      <c r="Y564" s="1">
        <v>7</v>
      </c>
      <c r="Z564" s="1">
        <v>7</v>
      </c>
      <c r="AA564" s="1" t="s">
        <v>104</v>
      </c>
      <c r="AB564" s="1" t="s">
        <v>104</v>
      </c>
      <c r="AC564" s="1" t="s">
        <v>104</v>
      </c>
      <c r="AD564" s="1" t="s">
        <v>104</v>
      </c>
      <c r="AE564" s="1" t="s">
        <v>104</v>
      </c>
      <c r="AF564" s="1" t="s">
        <v>104</v>
      </c>
      <c r="AG564" s="1" t="s">
        <v>104</v>
      </c>
      <c r="AH564" s="1">
        <v>7</v>
      </c>
      <c r="AI564" s="1" t="s">
        <v>104</v>
      </c>
      <c r="AJ564" s="1" t="s">
        <v>104</v>
      </c>
      <c r="AK564" s="1" t="s">
        <v>104</v>
      </c>
      <c r="AL564" s="1" t="s">
        <v>104</v>
      </c>
      <c r="AM564" s="1" t="s">
        <v>104</v>
      </c>
      <c r="AO564" s="1">
        <v>7</v>
      </c>
      <c r="AQ564" s="1" t="s">
        <v>3839</v>
      </c>
      <c r="AR564" s="1">
        <v>0</v>
      </c>
      <c r="AS564" s="1">
        <v>0</v>
      </c>
      <c r="AT564" s="1">
        <v>0</v>
      </c>
      <c r="AU564" s="1">
        <v>0</v>
      </c>
      <c r="AV564" s="1">
        <v>0</v>
      </c>
      <c r="AW564" s="1">
        <v>0</v>
      </c>
      <c r="AX564" s="1">
        <v>0</v>
      </c>
      <c r="AY564" s="1">
        <v>0</v>
      </c>
      <c r="AZ564" s="1">
        <v>0</v>
      </c>
      <c r="BA564" s="1">
        <v>0</v>
      </c>
      <c r="BB564" s="1">
        <v>0</v>
      </c>
      <c r="BC564" s="1">
        <v>0</v>
      </c>
      <c r="BD564" s="1">
        <v>0</v>
      </c>
      <c r="BE564" s="1">
        <v>0</v>
      </c>
      <c r="BF564" s="1">
        <v>0</v>
      </c>
      <c r="BG564" s="1">
        <v>0</v>
      </c>
      <c r="BH564" s="1">
        <v>0</v>
      </c>
      <c r="BI564" s="1">
        <v>0</v>
      </c>
      <c r="BJ564" s="1">
        <v>0</v>
      </c>
      <c r="BK564" s="1">
        <v>0</v>
      </c>
      <c r="BL564" s="1">
        <v>0</v>
      </c>
      <c r="BM564" s="1">
        <v>0</v>
      </c>
      <c r="BN564" s="1">
        <v>0</v>
      </c>
      <c r="BO564" s="1">
        <v>0</v>
      </c>
      <c r="BP564" s="1">
        <v>0</v>
      </c>
      <c r="BQ564" s="2" t="str">
        <f>HYPERLINK("http://www.d20pfsrd.com/magic/all-spells/t/teleport-object","Teleport Object")</f>
        <v>Teleport Object</v>
      </c>
      <c r="BR564" s="1">
        <v>565</v>
      </c>
      <c r="BS564" s="1" t="s">
        <v>104</v>
      </c>
      <c r="BX564" s="1">
        <v>0</v>
      </c>
      <c r="BY564" s="1" t="s">
        <v>104</v>
      </c>
      <c r="BZ564" s="1" t="s">
        <v>104</v>
      </c>
      <c r="CA564" s="1">
        <v>7</v>
      </c>
      <c r="CB564" s="1" t="s">
        <v>104</v>
      </c>
      <c r="CC564" s="1" t="s">
        <v>104</v>
      </c>
      <c r="CD564" s="1" t="s">
        <v>104</v>
      </c>
      <c r="CE564" s="1" t="s">
        <v>104</v>
      </c>
      <c r="CF564" s="1" t="s">
        <v>104</v>
      </c>
      <c r="CG564" s="1" t="s">
        <v>104</v>
      </c>
      <c r="CH564" s="1" t="s">
        <v>104</v>
      </c>
      <c r="CJ564" s="1">
        <v>0</v>
      </c>
      <c r="CK564" s="1">
        <v>0</v>
      </c>
      <c r="CL564" s="1">
        <v>0</v>
      </c>
      <c r="CM564" s="1" t="s">
        <v>104</v>
      </c>
    </row>
    <row r="565" spans="1:91" ht="14.25" customHeight="1" x14ac:dyDescent="0.3">
      <c r="A565" s="1" t="s">
        <v>3840</v>
      </c>
      <c r="B565" s="1" t="s">
        <v>92</v>
      </c>
      <c r="C565" s="1" t="s">
        <v>1160</v>
      </c>
      <c r="E565" s="1" t="s">
        <v>1288</v>
      </c>
      <c r="F565" s="1" t="s">
        <v>287</v>
      </c>
      <c r="G565" s="1" t="s">
        <v>3841</v>
      </c>
      <c r="H565" s="1">
        <v>1</v>
      </c>
      <c r="I565" s="1" t="s">
        <v>705</v>
      </c>
      <c r="K565" s="1" t="s">
        <v>3842</v>
      </c>
      <c r="M565" s="1" t="s">
        <v>140</v>
      </c>
      <c r="N565" s="1">
        <v>1</v>
      </c>
      <c r="O565" s="1">
        <v>0</v>
      </c>
      <c r="P565" s="1" t="s">
        <v>100</v>
      </c>
      <c r="Q565" s="1" t="s">
        <v>184</v>
      </c>
      <c r="R565" s="1" t="s">
        <v>3843</v>
      </c>
      <c r="S565" s="1" t="s">
        <v>103</v>
      </c>
      <c r="T565" s="1">
        <v>1</v>
      </c>
      <c r="U565" s="1">
        <v>0</v>
      </c>
      <c r="V565" s="1">
        <v>1</v>
      </c>
      <c r="W565" s="1">
        <v>0</v>
      </c>
      <c r="X565" s="1">
        <v>0</v>
      </c>
      <c r="Y565" s="1">
        <v>9</v>
      </c>
      <c r="Z565" s="1">
        <v>9</v>
      </c>
      <c r="AA565" s="1" t="s">
        <v>104</v>
      </c>
      <c r="AB565" s="1" t="s">
        <v>104</v>
      </c>
      <c r="AC565" s="1" t="s">
        <v>104</v>
      </c>
      <c r="AD565" s="1" t="s">
        <v>104</v>
      </c>
      <c r="AE565" s="1" t="s">
        <v>104</v>
      </c>
      <c r="AF565" s="1" t="s">
        <v>104</v>
      </c>
      <c r="AG565" s="1">
        <v>6</v>
      </c>
      <c r="AH565" s="1">
        <v>9</v>
      </c>
      <c r="AI565" s="1" t="s">
        <v>104</v>
      </c>
      <c r="AJ565" s="1" t="s">
        <v>104</v>
      </c>
      <c r="AK565" s="1" t="s">
        <v>104</v>
      </c>
      <c r="AL565" s="1" t="s">
        <v>104</v>
      </c>
      <c r="AM565" s="1" t="s">
        <v>104</v>
      </c>
      <c r="AO565" s="1">
        <v>9</v>
      </c>
      <c r="AP565" s="1" t="s">
        <v>3844</v>
      </c>
      <c r="AQ565" s="1" t="s">
        <v>3845</v>
      </c>
      <c r="AR565" s="1">
        <v>0</v>
      </c>
      <c r="AS565" s="1">
        <v>0</v>
      </c>
      <c r="AT565" s="1">
        <v>0</v>
      </c>
      <c r="AU565" s="1">
        <v>0</v>
      </c>
      <c r="AV565" s="1">
        <v>0</v>
      </c>
      <c r="AW565" s="1">
        <v>0</v>
      </c>
      <c r="AX565" s="1">
        <v>0</v>
      </c>
      <c r="AY565" s="1">
        <v>0</v>
      </c>
      <c r="AZ565" s="1">
        <v>0</v>
      </c>
      <c r="BA565" s="1">
        <v>0</v>
      </c>
      <c r="BB565" s="1">
        <v>0</v>
      </c>
      <c r="BC565" s="1">
        <v>0</v>
      </c>
      <c r="BD565" s="1">
        <v>0</v>
      </c>
      <c r="BE565" s="1">
        <v>0</v>
      </c>
      <c r="BF565" s="1">
        <v>0</v>
      </c>
      <c r="BG565" s="1">
        <v>0</v>
      </c>
      <c r="BH565" s="1">
        <v>0</v>
      </c>
      <c r="BI565" s="1">
        <v>0</v>
      </c>
      <c r="BJ565" s="1">
        <v>0</v>
      </c>
      <c r="BK565" s="1">
        <v>0</v>
      </c>
      <c r="BL565" s="1">
        <v>0</v>
      </c>
      <c r="BM565" s="1">
        <v>0</v>
      </c>
      <c r="BN565" s="1">
        <v>0</v>
      </c>
      <c r="BO565" s="1">
        <v>0</v>
      </c>
      <c r="BP565" s="1">
        <v>0</v>
      </c>
      <c r="BQ565" s="2" t="str">
        <f>HYPERLINK("http://www.d20pfsrd.com/magic/all-spells/t/teleportation-circle","Teleportation Circle")</f>
        <v>Teleportation Circle</v>
      </c>
      <c r="BR565" s="1">
        <v>566</v>
      </c>
      <c r="BS565" s="1">
        <v>1000</v>
      </c>
      <c r="BX565" s="1">
        <v>0</v>
      </c>
      <c r="BY565" s="1" t="s">
        <v>104</v>
      </c>
      <c r="BZ565" s="1" t="s">
        <v>104</v>
      </c>
      <c r="CA565" s="1">
        <v>9</v>
      </c>
      <c r="CB565" s="1" t="s">
        <v>104</v>
      </c>
      <c r="CC565" s="1" t="s">
        <v>104</v>
      </c>
      <c r="CD565" s="1" t="s">
        <v>104</v>
      </c>
      <c r="CE565" s="1" t="s">
        <v>104</v>
      </c>
      <c r="CF565" s="1" t="s">
        <v>104</v>
      </c>
      <c r="CG565" s="1" t="s">
        <v>104</v>
      </c>
      <c r="CH565" s="1" t="s">
        <v>104</v>
      </c>
      <c r="CJ565" s="1">
        <v>0</v>
      </c>
      <c r="CK565" s="1">
        <v>0</v>
      </c>
      <c r="CL565" s="1">
        <v>0</v>
      </c>
      <c r="CM565" s="1">
        <v>6</v>
      </c>
    </row>
    <row r="566" spans="1:91" ht="14.25" customHeight="1" x14ac:dyDescent="0.3">
      <c r="A566" s="1" t="s">
        <v>3846</v>
      </c>
      <c r="B566" s="1" t="s">
        <v>137</v>
      </c>
      <c r="E566" s="1" t="s">
        <v>688</v>
      </c>
      <c r="F566" s="1" t="s">
        <v>95</v>
      </c>
      <c r="G566" s="1" t="s">
        <v>3847</v>
      </c>
      <c r="H566" s="1">
        <v>1</v>
      </c>
      <c r="I566" s="1" t="s">
        <v>128</v>
      </c>
      <c r="L566" s="1" t="s">
        <v>374</v>
      </c>
      <c r="M566" s="1" t="s">
        <v>298</v>
      </c>
      <c r="N566" s="1">
        <v>0</v>
      </c>
      <c r="O566" s="1">
        <v>0</v>
      </c>
      <c r="P566" s="1" t="s">
        <v>183</v>
      </c>
      <c r="Q566" s="1" t="s">
        <v>184</v>
      </c>
      <c r="R566" s="1" t="s">
        <v>3848</v>
      </c>
      <c r="S566" s="1" t="s">
        <v>103</v>
      </c>
      <c r="T566" s="1">
        <v>1</v>
      </c>
      <c r="U566" s="1">
        <v>1</v>
      </c>
      <c r="V566" s="1">
        <v>1</v>
      </c>
      <c r="W566" s="1">
        <v>0</v>
      </c>
      <c r="X566" s="1">
        <v>0</v>
      </c>
      <c r="Y566" s="1">
        <v>8</v>
      </c>
      <c r="Z566" s="1">
        <v>8</v>
      </c>
      <c r="AA566" s="1" t="s">
        <v>104</v>
      </c>
      <c r="AB566" s="1" t="s">
        <v>104</v>
      </c>
      <c r="AC566" s="1" t="s">
        <v>104</v>
      </c>
      <c r="AD566" s="1" t="s">
        <v>104</v>
      </c>
      <c r="AE566" s="1" t="s">
        <v>104</v>
      </c>
      <c r="AF566" s="1" t="s">
        <v>104</v>
      </c>
      <c r="AG566" s="1" t="s">
        <v>104</v>
      </c>
      <c r="AH566" s="1" t="s">
        <v>104</v>
      </c>
      <c r="AI566" s="1" t="s">
        <v>104</v>
      </c>
      <c r="AJ566" s="1" t="s">
        <v>104</v>
      </c>
      <c r="AK566" s="1" t="s">
        <v>104</v>
      </c>
      <c r="AL566" s="1" t="s">
        <v>104</v>
      </c>
      <c r="AM566" s="1" t="s">
        <v>104</v>
      </c>
      <c r="AO566" s="1">
        <v>8</v>
      </c>
      <c r="AQ566" s="1" t="s">
        <v>3849</v>
      </c>
      <c r="AR566" s="1">
        <v>0</v>
      </c>
      <c r="AS566" s="1">
        <v>0</v>
      </c>
      <c r="AT566" s="1">
        <v>0</v>
      </c>
      <c r="AU566" s="1">
        <v>0</v>
      </c>
      <c r="AV566" s="1">
        <v>0</v>
      </c>
      <c r="AW566" s="1">
        <v>0</v>
      </c>
      <c r="AX566" s="1">
        <v>0</v>
      </c>
      <c r="AY566" s="1">
        <v>0</v>
      </c>
      <c r="AZ566" s="1">
        <v>0</v>
      </c>
      <c r="BA566" s="1">
        <v>0</v>
      </c>
      <c r="BB566" s="1">
        <v>0</v>
      </c>
      <c r="BC566" s="1">
        <v>0</v>
      </c>
      <c r="BD566" s="1">
        <v>0</v>
      </c>
      <c r="BE566" s="1">
        <v>0</v>
      </c>
      <c r="BF566" s="1">
        <v>0</v>
      </c>
      <c r="BG566" s="1">
        <v>0</v>
      </c>
      <c r="BH566" s="1">
        <v>0</v>
      </c>
      <c r="BI566" s="1">
        <v>0</v>
      </c>
      <c r="BJ566" s="1">
        <v>0</v>
      </c>
      <c r="BK566" s="1">
        <v>0</v>
      </c>
      <c r="BL566" s="1">
        <v>0</v>
      </c>
      <c r="BM566" s="1">
        <v>0</v>
      </c>
      <c r="BN566" s="1">
        <v>0</v>
      </c>
      <c r="BO566" s="1">
        <v>0</v>
      </c>
      <c r="BP566" s="1">
        <v>0</v>
      </c>
      <c r="BQ566" s="2" t="str">
        <f>HYPERLINK("http://www.d20pfsrd.com/magic/all-spells/t/temporal-stasis","Temporal Stasis")</f>
        <v>Temporal Stasis</v>
      </c>
      <c r="BR566" s="1">
        <v>567</v>
      </c>
      <c r="BS566" s="1">
        <v>5000</v>
      </c>
      <c r="BU566" s="1" t="s">
        <v>3850</v>
      </c>
      <c r="BX566" s="1">
        <v>0</v>
      </c>
      <c r="BY566" s="1" t="s">
        <v>104</v>
      </c>
      <c r="BZ566" s="1" t="s">
        <v>104</v>
      </c>
      <c r="CA566" s="1">
        <v>8</v>
      </c>
      <c r="CB566" s="1" t="s">
        <v>104</v>
      </c>
      <c r="CC566" s="1" t="s">
        <v>104</v>
      </c>
      <c r="CD566" s="1" t="s">
        <v>104</v>
      </c>
      <c r="CE566" s="1" t="s">
        <v>104</v>
      </c>
      <c r="CF566" s="1" t="s">
        <v>104</v>
      </c>
      <c r="CG566" s="1" t="s">
        <v>104</v>
      </c>
      <c r="CH566" s="1" t="s">
        <v>104</v>
      </c>
      <c r="CJ566" s="1">
        <v>0</v>
      </c>
      <c r="CK566" s="1">
        <v>0</v>
      </c>
      <c r="CL566" s="1">
        <v>0</v>
      </c>
      <c r="CM566" s="1" t="s">
        <v>104</v>
      </c>
    </row>
    <row r="567" spans="1:91" ht="14.25" customHeight="1" x14ac:dyDescent="0.3">
      <c r="A567" s="1" t="s">
        <v>3851</v>
      </c>
      <c r="B567" s="1" t="s">
        <v>137</v>
      </c>
      <c r="E567" s="1" t="s">
        <v>919</v>
      </c>
      <c r="F567" s="1" t="s">
        <v>95</v>
      </c>
      <c r="G567" s="1" t="s">
        <v>237</v>
      </c>
      <c r="H567" s="1">
        <v>0</v>
      </c>
      <c r="I567" s="1" t="s">
        <v>157</v>
      </c>
      <c r="L567" s="1" t="s">
        <v>158</v>
      </c>
      <c r="M567" s="1" t="s">
        <v>3852</v>
      </c>
      <c r="N567" s="1">
        <v>0</v>
      </c>
      <c r="O567" s="1">
        <v>0</v>
      </c>
      <c r="R567" s="1" t="s">
        <v>3853</v>
      </c>
      <c r="S567" s="1" t="s">
        <v>103</v>
      </c>
      <c r="T567" s="1">
        <v>1</v>
      </c>
      <c r="U567" s="1">
        <v>0</v>
      </c>
      <c r="V567" s="1">
        <v>0</v>
      </c>
      <c r="W567" s="1">
        <v>0</v>
      </c>
      <c r="X567" s="1">
        <v>0</v>
      </c>
      <c r="Y567" s="1">
        <v>9</v>
      </c>
      <c r="Z567" s="1">
        <v>9</v>
      </c>
      <c r="AA567" s="1" t="s">
        <v>104</v>
      </c>
      <c r="AB567" s="1" t="s">
        <v>104</v>
      </c>
      <c r="AC567" s="1" t="s">
        <v>104</v>
      </c>
      <c r="AD567" s="1" t="s">
        <v>104</v>
      </c>
      <c r="AE567" s="1" t="s">
        <v>104</v>
      </c>
      <c r="AF567" s="1" t="s">
        <v>104</v>
      </c>
      <c r="AG567" s="1" t="s">
        <v>104</v>
      </c>
      <c r="AH567" s="1" t="s">
        <v>104</v>
      </c>
      <c r="AI567" s="1" t="s">
        <v>104</v>
      </c>
      <c r="AJ567" s="1" t="s">
        <v>104</v>
      </c>
      <c r="AK567" s="1" t="s">
        <v>104</v>
      </c>
      <c r="AL567" s="1" t="s">
        <v>104</v>
      </c>
      <c r="AM567" s="1" t="s">
        <v>104</v>
      </c>
      <c r="AO567" s="1">
        <v>9</v>
      </c>
      <c r="AP567" s="1" t="s">
        <v>3854</v>
      </c>
      <c r="AQ567" s="1" t="s">
        <v>3855</v>
      </c>
      <c r="AR567" s="1">
        <v>0</v>
      </c>
      <c r="AS567" s="1">
        <v>0</v>
      </c>
      <c r="AT567" s="1">
        <v>0</v>
      </c>
      <c r="AU567" s="1">
        <v>0</v>
      </c>
      <c r="AV567" s="1">
        <v>0</v>
      </c>
      <c r="AW567" s="1">
        <v>0</v>
      </c>
      <c r="AX567" s="1">
        <v>0</v>
      </c>
      <c r="AY567" s="1">
        <v>0</v>
      </c>
      <c r="AZ567" s="1">
        <v>0</v>
      </c>
      <c r="BA567" s="1">
        <v>0</v>
      </c>
      <c r="BB567" s="1">
        <v>0</v>
      </c>
      <c r="BC567" s="1">
        <v>0</v>
      </c>
      <c r="BD567" s="1">
        <v>0</v>
      </c>
      <c r="BE567" s="1">
        <v>0</v>
      </c>
      <c r="BF567" s="1">
        <v>0</v>
      </c>
      <c r="BG567" s="1">
        <v>0</v>
      </c>
      <c r="BH567" s="1">
        <v>0</v>
      </c>
      <c r="BI567" s="1">
        <v>0</v>
      </c>
      <c r="BJ567" s="1">
        <v>0</v>
      </c>
      <c r="BK567" s="1">
        <v>0</v>
      </c>
      <c r="BL567" s="1">
        <v>0</v>
      </c>
      <c r="BM567" s="1">
        <v>0</v>
      </c>
      <c r="BN567" s="1">
        <v>0</v>
      </c>
      <c r="BO567" s="1">
        <v>0</v>
      </c>
      <c r="BP567" s="1">
        <v>0</v>
      </c>
      <c r="BQ567" s="2" t="str">
        <f>HYPERLINK("http://www.d20pfsrd.com/magic/all-spells/t/time-stop","Time Stop")</f>
        <v>Time Stop</v>
      </c>
      <c r="BR567" s="1">
        <v>568</v>
      </c>
      <c r="BS567" s="1" t="s">
        <v>104</v>
      </c>
      <c r="BU567" s="1" t="s">
        <v>3856</v>
      </c>
      <c r="BV567" s="1" t="s">
        <v>3857</v>
      </c>
      <c r="BW567" s="1" t="s">
        <v>3858</v>
      </c>
      <c r="BX567" s="1">
        <v>1</v>
      </c>
      <c r="BY567" s="1" t="s">
        <v>104</v>
      </c>
      <c r="BZ567" s="1" t="s">
        <v>104</v>
      </c>
      <c r="CA567" s="1">
        <v>9</v>
      </c>
      <c r="CB567" s="1" t="s">
        <v>104</v>
      </c>
      <c r="CC567" s="1" t="s">
        <v>104</v>
      </c>
      <c r="CD567" s="1" t="s">
        <v>104</v>
      </c>
      <c r="CE567" s="1" t="s">
        <v>104</v>
      </c>
      <c r="CF567" s="1" t="s">
        <v>104</v>
      </c>
      <c r="CG567" s="1" t="s">
        <v>104</v>
      </c>
      <c r="CH567" s="1" t="s">
        <v>104</v>
      </c>
      <c r="CJ567" s="1">
        <v>0</v>
      </c>
      <c r="CK567" s="1">
        <v>0</v>
      </c>
      <c r="CL567" s="1">
        <v>0</v>
      </c>
      <c r="CM567" s="1" t="s">
        <v>104</v>
      </c>
    </row>
    <row r="568" spans="1:91" ht="14.25" customHeight="1" x14ac:dyDescent="0.3">
      <c r="A568" s="1" t="s">
        <v>3859</v>
      </c>
      <c r="B568" s="1" t="s">
        <v>434</v>
      </c>
      <c r="D568" s="1" t="s">
        <v>57</v>
      </c>
      <c r="E568" s="1" t="s">
        <v>3860</v>
      </c>
      <c r="F568" s="1" t="s">
        <v>95</v>
      </c>
      <c r="G568" s="1" t="s">
        <v>3861</v>
      </c>
      <c r="H568" s="1">
        <v>0</v>
      </c>
      <c r="I568" s="1" t="s">
        <v>697</v>
      </c>
      <c r="K568" s="1" t="s">
        <v>3862</v>
      </c>
      <c r="M568" s="1" t="s">
        <v>166</v>
      </c>
      <c r="N568" s="1">
        <v>1</v>
      </c>
      <c r="O568" s="1">
        <v>0</v>
      </c>
      <c r="P568" s="1" t="s">
        <v>100</v>
      </c>
      <c r="Q568" s="1" t="s">
        <v>101</v>
      </c>
      <c r="R568" s="1" t="s">
        <v>3863</v>
      </c>
      <c r="S568" s="1" t="s">
        <v>103</v>
      </c>
      <c r="T568" s="1">
        <v>1</v>
      </c>
      <c r="U568" s="1">
        <v>1</v>
      </c>
      <c r="V568" s="1">
        <v>1</v>
      </c>
      <c r="W568" s="1">
        <v>0</v>
      </c>
      <c r="X568" s="1">
        <v>0</v>
      </c>
      <c r="Y568" s="1">
        <v>3</v>
      </c>
      <c r="Z568" s="1">
        <v>3</v>
      </c>
      <c r="AA568" s="1" t="s">
        <v>104</v>
      </c>
      <c r="AB568" s="1" t="s">
        <v>104</v>
      </c>
      <c r="AC568" s="1" t="s">
        <v>104</v>
      </c>
      <c r="AD568" s="1">
        <v>3</v>
      </c>
      <c r="AE568" s="1" t="s">
        <v>104</v>
      </c>
      <c r="AF568" s="1" t="s">
        <v>104</v>
      </c>
      <c r="AG568" s="1" t="s">
        <v>104</v>
      </c>
      <c r="AH568" s="1" t="s">
        <v>104</v>
      </c>
      <c r="AI568" s="1" t="s">
        <v>104</v>
      </c>
      <c r="AJ568" s="1" t="s">
        <v>104</v>
      </c>
      <c r="AK568" s="1" t="s">
        <v>104</v>
      </c>
      <c r="AL568" s="1" t="s">
        <v>104</v>
      </c>
      <c r="AM568" s="1" t="s">
        <v>104</v>
      </c>
      <c r="AO568" s="1">
        <v>3</v>
      </c>
      <c r="AQ568" s="1" t="s">
        <v>3864</v>
      </c>
      <c r="AR568" s="1">
        <v>0</v>
      </c>
      <c r="AS568" s="1">
        <v>0</v>
      </c>
      <c r="AT568" s="1">
        <v>0</v>
      </c>
      <c r="AU568" s="1">
        <v>0</v>
      </c>
      <c r="AV568" s="1">
        <v>0</v>
      </c>
      <c r="AW568" s="1">
        <v>0</v>
      </c>
      <c r="AX568" s="1">
        <v>0</v>
      </c>
      <c r="AY568" s="1">
        <v>0</v>
      </c>
      <c r="AZ568" s="1">
        <v>0</v>
      </c>
      <c r="BA568" s="1">
        <v>0</v>
      </c>
      <c r="BB568" s="1">
        <v>0</v>
      </c>
      <c r="BC568" s="1">
        <v>0</v>
      </c>
      <c r="BD568" s="1">
        <v>0</v>
      </c>
      <c r="BE568" s="1">
        <v>0</v>
      </c>
      <c r="BF568" s="1">
        <v>1</v>
      </c>
      <c r="BG568" s="1">
        <v>0</v>
      </c>
      <c r="BH568" s="1">
        <v>0</v>
      </c>
      <c r="BI568" s="1">
        <v>0</v>
      </c>
      <c r="BJ568" s="1">
        <v>0</v>
      </c>
      <c r="BK568" s="1">
        <v>0</v>
      </c>
      <c r="BL568" s="1">
        <v>0</v>
      </c>
      <c r="BM568" s="1">
        <v>0</v>
      </c>
      <c r="BN568" s="1">
        <v>0</v>
      </c>
      <c r="BO568" s="1">
        <v>0</v>
      </c>
      <c r="BP568" s="1">
        <v>0</v>
      </c>
      <c r="BQ568" s="2" t="str">
        <f>HYPERLINK("http://www.d20pfsrd.com/magic/all-spells/t/tiny-hut","Tiny Hut")</f>
        <v>Tiny Hut</v>
      </c>
      <c r="BR568" s="1">
        <v>569</v>
      </c>
      <c r="BS568" s="1" t="s">
        <v>104</v>
      </c>
      <c r="BX568" s="1">
        <v>0</v>
      </c>
      <c r="BY568" s="1" t="s">
        <v>104</v>
      </c>
      <c r="BZ568" s="1" t="s">
        <v>104</v>
      </c>
      <c r="CA568" s="1" t="s">
        <v>104</v>
      </c>
      <c r="CB568" s="1" t="s">
        <v>104</v>
      </c>
      <c r="CC568" s="1" t="s">
        <v>104</v>
      </c>
      <c r="CD568" s="1">
        <v>3</v>
      </c>
      <c r="CE568" s="1" t="s">
        <v>104</v>
      </c>
      <c r="CF568" s="1" t="s">
        <v>104</v>
      </c>
      <c r="CG568" s="1" t="s">
        <v>104</v>
      </c>
      <c r="CH568" s="1" t="s">
        <v>104</v>
      </c>
      <c r="CJ568" s="1">
        <v>0</v>
      </c>
      <c r="CK568" s="1">
        <v>0</v>
      </c>
      <c r="CL568" s="1">
        <v>0</v>
      </c>
      <c r="CM568" s="1" t="s">
        <v>104</v>
      </c>
    </row>
    <row r="569" spans="1:91" ht="14.25" customHeight="1" x14ac:dyDescent="0.3">
      <c r="A569" s="1" t="s">
        <v>3865</v>
      </c>
      <c r="B569" s="1" t="s">
        <v>172</v>
      </c>
      <c r="E569" s="1" t="s">
        <v>3866</v>
      </c>
      <c r="F569" s="1" t="s">
        <v>95</v>
      </c>
      <c r="G569" s="1" t="s">
        <v>3867</v>
      </c>
      <c r="H569" s="1">
        <v>0</v>
      </c>
      <c r="I569" s="1" t="s">
        <v>128</v>
      </c>
      <c r="L569" s="1" t="s">
        <v>374</v>
      </c>
      <c r="M569" s="1" t="s">
        <v>140</v>
      </c>
      <c r="N569" s="1">
        <v>0</v>
      </c>
      <c r="O569" s="1">
        <v>0</v>
      </c>
      <c r="P569" s="1" t="s">
        <v>375</v>
      </c>
      <c r="Q569" s="1" t="s">
        <v>101</v>
      </c>
      <c r="R569" s="1" t="s">
        <v>3868</v>
      </c>
      <c r="S569" s="1" t="s">
        <v>103</v>
      </c>
      <c r="T569" s="1">
        <v>1</v>
      </c>
      <c r="U569" s="1">
        <v>0</v>
      </c>
      <c r="V569" s="1">
        <v>1</v>
      </c>
      <c r="W569" s="1">
        <v>0</v>
      </c>
      <c r="X569" s="1">
        <v>1</v>
      </c>
      <c r="Y569" s="1">
        <v>3</v>
      </c>
      <c r="Z569" s="1">
        <v>3</v>
      </c>
      <c r="AA569" s="1">
        <v>4</v>
      </c>
      <c r="AB569" s="1" t="s">
        <v>104</v>
      </c>
      <c r="AC569" s="1" t="s">
        <v>104</v>
      </c>
      <c r="AD569" s="1">
        <v>2</v>
      </c>
      <c r="AE569" s="1" t="s">
        <v>104</v>
      </c>
      <c r="AF569" s="1">
        <v>3</v>
      </c>
      <c r="AG569" s="1">
        <v>3</v>
      </c>
      <c r="AH569" s="1">
        <v>3</v>
      </c>
      <c r="AI569" s="1">
        <v>2</v>
      </c>
      <c r="AJ569" s="1">
        <v>4</v>
      </c>
      <c r="AK569" s="1" t="s">
        <v>104</v>
      </c>
      <c r="AL569" s="1" t="s">
        <v>104</v>
      </c>
      <c r="AM569" s="1">
        <v>3</v>
      </c>
      <c r="AO569" s="1">
        <v>3</v>
      </c>
      <c r="AP569" s="1" t="s">
        <v>3869</v>
      </c>
      <c r="AQ569" s="1" t="s">
        <v>3870</v>
      </c>
      <c r="AR569" s="1">
        <v>0</v>
      </c>
      <c r="AS569" s="1">
        <v>0</v>
      </c>
      <c r="AT569" s="1">
        <v>0</v>
      </c>
      <c r="AU569" s="1">
        <v>0</v>
      </c>
      <c r="AV569" s="1">
        <v>0</v>
      </c>
      <c r="AW569" s="1">
        <v>0</v>
      </c>
      <c r="AX569" s="1">
        <v>0</v>
      </c>
      <c r="AY569" s="1">
        <v>0</v>
      </c>
      <c r="AZ569" s="1">
        <v>0</v>
      </c>
      <c r="BA569" s="1">
        <v>0</v>
      </c>
      <c r="BB569" s="1">
        <v>0</v>
      </c>
      <c r="BC569" s="1">
        <v>0</v>
      </c>
      <c r="BD569" s="1">
        <v>0</v>
      </c>
      <c r="BE569" s="1">
        <v>0</v>
      </c>
      <c r="BF569" s="1">
        <v>0</v>
      </c>
      <c r="BG569" s="1">
        <v>0</v>
      </c>
      <c r="BH569" s="1">
        <v>0</v>
      </c>
      <c r="BI569" s="1">
        <v>0</v>
      </c>
      <c r="BJ569" s="1">
        <v>0</v>
      </c>
      <c r="BK569" s="1">
        <v>0</v>
      </c>
      <c r="BL569" s="1">
        <v>0</v>
      </c>
      <c r="BM569" s="1">
        <v>0</v>
      </c>
      <c r="BN569" s="1">
        <v>0</v>
      </c>
      <c r="BO569" s="1">
        <v>0</v>
      </c>
      <c r="BP569" s="1">
        <v>0</v>
      </c>
      <c r="BQ569" s="2" t="str">
        <f>HYPERLINK("http://www.d20pfsrd.com/magic/all-spells/t/tongues","Tongues")</f>
        <v>Tongues</v>
      </c>
      <c r="BR569" s="1">
        <v>570</v>
      </c>
      <c r="BS569" s="1" t="s">
        <v>104</v>
      </c>
      <c r="BT569" s="1" t="s">
        <v>3871</v>
      </c>
      <c r="BX569" s="1">
        <v>0</v>
      </c>
      <c r="BY569" s="1" t="s">
        <v>104</v>
      </c>
      <c r="BZ569" s="1">
        <v>4</v>
      </c>
      <c r="CA569" s="1">
        <v>3</v>
      </c>
      <c r="CB569" s="1">
        <v>2</v>
      </c>
      <c r="CC569" s="1">
        <v>2</v>
      </c>
      <c r="CD569" s="1" t="s">
        <v>104</v>
      </c>
      <c r="CE569" s="1">
        <v>3</v>
      </c>
      <c r="CF569" s="1" t="s">
        <v>104</v>
      </c>
      <c r="CG569" s="1" t="s">
        <v>104</v>
      </c>
      <c r="CH569" s="1" t="s">
        <v>104</v>
      </c>
      <c r="CJ569" s="1">
        <v>0</v>
      </c>
      <c r="CK569" s="1">
        <v>0</v>
      </c>
      <c r="CL569" s="1">
        <v>0</v>
      </c>
      <c r="CM569" s="1">
        <v>3</v>
      </c>
    </row>
    <row r="570" spans="1:91" ht="14.25" customHeight="1" x14ac:dyDescent="0.3">
      <c r="A570" s="1" t="s">
        <v>3872</v>
      </c>
      <c r="B570" s="1" t="s">
        <v>216</v>
      </c>
      <c r="E570" s="1" t="s">
        <v>3873</v>
      </c>
      <c r="F570" s="1" t="s">
        <v>95</v>
      </c>
      <c r="G570" s="1" t="s">
        <v>3004</v>
      </c>
      <c r="H570" s="1">
        <v>0</v>
      </c>
      <c r="I570" s="1" t="s">
        <v>128</v>
      </c>
      <c r="L570" s="1" t="s">
        <v>374</v>
      </c>
      <c r="M570" s="1" t="s">
        <v>111</v>
      </c>
      <c r="N570" s="1">
        <v>0</v>
      </c>
      <c r="O570" s="1">
        <v>0</v>
      </c>
      <c r="P570" s="1" t="s">
        <v>183</v>
      </c>
      <c r="Q570" s="1" t="s">
        <v>184</v>
      </c>
      <c r="R570" s="1" t="s">
        <v>3874</v>
      </c>
      <c r="S570" s="1" t="s">
        <v>103</v>
      </c>
      <c r="T570" s="1">
        <v>1</v>
      </c>
      <c r="U570" s="1">
        <v>1</v>
      </c>
      <c r="V570" s="1">
        <v>1</v>
      </c>
      <c r="W570" s="1">
        <v>0</v>
      </c>
      <c r="X570" s="1">
        <v>0</v>
      </c>
      <c r="Y570" s="1">
        <v>0</v>
      </c>
      <c r="Z570" s="1">
        <v>0</v>
      </c>
      <c r="AA570" s="1" t="s">
        <v>104</v>
      </c>
      <c r="AB570" s="1" t="s">
        <v>104</v>
      </c>
      <c r="AC570" s="1" t="s">
        <v>104</v>
      </c>
      <c r="AD570" s="1" t="s">
        <v>104</v>
      </c>
      <c r="AE570" s="1" t="s">
        <v>104</v>
      </c>
      <c r="AF570" s="1" t="s">
        <v>104</v>
      </c>
      <c r="AG570" s="1" t="s">
        <v>104</v>
      </c>
      <c r="AH570" s="1">
        <v>0</v>
      </c>
      <c r="AI570" s="1" t="s">
        <v>104</v>
      </c>
      <c r="AJ570" s="1" t="s">
        <v>104</v>
      </c>
      <c r="AK570" s="1" t="s">
        <v>104</v>
      </c>
      <c r="AL570" s="1" t="s">
        <v>104</v>
      </c>
      <c r="AM570" s="1">
        <v>0</v>
      </c>
      <c r="AO570" s="1">
        <v>0</v>
      </c>
      <c r="AQ570" s="1" t="s">
        <v>3875</v>
      </c>
      <c r="AR570" s="1">
        <v>0</v>
      </c>
      <c r="AS570" s="1">
        <v>0</v>
      </c>
      <c r="AT570" s="1">
        <v>0</v>
      </c>
      <c r="AU570" s="1">
        <v>0</v>
      </c>
      <c r="AV570" s="1">
        <v>0</v>
      </c>
      <c r="AW570" s="1">
        <v>0</v>
      </c>
      <c r="AX570" s="1">
        <v>0</v>
      </c>
      <c r="AY570" s="1">
        <v>0</v>
      </c>
      <c r="AZ570" s="1">
        <v>0</v>
      </c>
      <c r="BA570" s="1">
        <v>0</v>
      </c>
      <c r="BB570" s="1">
        <v>0</v>
      </c>
      <c r="BC570" s="1">
        <v>0</v>
      </c>
      <c r="BD570" s="1">
        <v>0</v>
      </c>
      <c r="BE570" s="1">
        <v>0</v>
      </c>
      <c r="BF570" s="1">
        <v>0</v>
      </c>
      <c r="BG570" s="1">
        <v>0</v>
      </c>
      <c r="BH570" s="1">
        <v>0</v>
      </c>
      <c r="BI570" s="1">
        <v>0</v>
      </c>
      <c r="BJ570" s="1">
        <v>0</v>
      </c>
      <c r="BK570" s="1">
        <v>0</v>
      </c>
      <c r="BL570" s="1">
        <v>0</v>
      </c>
      <c r="BM570" s="1">
        <v>0</v>
      </c>
      <c r="BN570" s="1">
        <v>0</v>
      </c>
      <c r="BO570" s="1">
        <v>0</v>
      </c>
      <c r="BP570" s="1">
        <v>0</v>
      </c>
      <c r="BQ570" s="2" t="str">
        <f>HYPERLINK("http://www.d20pfsrd.com/magic/all-spells/t/touch-of-fatigue","Touch of Fatigue")</f>
        <v>Touch of Fatigue</v>
      </c>
      <c r="BR570" s="1">
        <v>571</v>
      </c>
      <c r="BS570" s="1" t="s">
        <v>104</v>
      </c>
      <c r="BX570" s="1">
        <v>0</v>
      </c>
      <c r="BY570" s="1" t="s">
        <v>104</v>
      </c>
      <c r="BZ570" s="1">
        <v>0</v>
      </c>
      <c r="CA570" s="1" t="s">
        <v>104</v>
      </c>
      <c r="CB570" s="1" t="s">
        <v>104</v>
      </c>
      <c r="CC570" s="1">
        <v>0</v>
      </c>
      <c r="CD570" s="1">
        <v>0</v>
      </c>
      <c r="CE570" s="1" t="s">
        <v>104</v>
      </c>
      <c r="CF570" s="1" t="s">
        <v>104</v>
      </c>
      <c r="CG570" s="1" t="s">
        <v>104</v>
      </c>
      <c r="CH570" s="1" t="s">
        <v>104</v>
      </c>
      <c r="CJ570" s="1">
        <v>0</v>
      </c>
      <c r="CK570" s="1">
        <v>0</v>
      </c>
      <c r="CL570" s="1">
        <v>0</v>
      </c>
      <c r="CM570" s="1" t="s">
        <v>104</v>
      </c>
    </row>
    <row r="571" spans="1:91" ht="14.25" customHeight="1" x14ac:dyDescent="0.3">
      <c r="A571" s="1" t="s">
        <v>3876</v>
      </c>
      <c r="B571" s="1" t="s">
        <v>123</v>
      </c>
      <c r="C571" s="1" t="s">
        <v>124</v>
      </c>
      <c r="D571" s="1" t="s">
        <v>125</v>
      </c>
      <c r="E571" s="1" t="s">
        <v>3877</v>
      </c>
      <c r="F571" s="1" t="s">
        <v>95</v>
      </c>
      <c r="G571" s="1" t="s">
        <v>116</v>
      </c>
      <c r="H571" s="1">
        <v>0</v>
      </c>
      <c r="I571" s="1" t="s">
        <v>128</v>
      </c>
      <c r="L571" s="1" t="s">
        <v>129</v>
      </c>
      <c r="M571" s="1" t="s">
        <v>140</v>
      </c>
      <c r="N571" s="1">
        <v>0</v>
      </c>
      <c r="O571" s="1">
        <v>0</v>
      </c>
      <c r="P571" s="1" t="s">
        <v>100</v>
      </c>
      <c r="Q571" s="1" t="s">
        <v>184</v>
      </c>
      <c r="R571" s="1" t="s">
        <v>3878</v>
      </c>
      <c r="S571" s="1" t="s">
        <v>103</v>
      </c>
      <c r="T571" s="1">
        <v>1</v>
      </c>
      <c r="U571" s="1">
        <v>1</v>
      </c>
      <c r="V571" s="1">
        <v>0</v>
      </c>
      <c r="W571" s="1">
        <v>0</v>
      </c>
      <c r="X571" s="1">
        <v>0</v>
      </c>
      <c r="Y571" s="1">
        <v>2</v>
      </c>
      <c r="Z571" s="1">
        <v>2</v>
      </c>
      <c r="AA571" s="1" t="s">
        <v>104</v>
      </c>
      <c r="AB571" s="1" t="s">
        <v>104</v>
      </c>
      <c r="AC571" s="1" t="s">
        <v>104</v>
      </c>
      <c r="AD571" s="1" t="s">
        <v>104</v>
      </c>
      <c r="AE571" s="1" t="s">
        <v>104</v>
      </c>
      <c r="AF571" s="1" t="s">
        <v>104</v>
      </c>
      <c r="AG571" s="1" t="s">
        <v>104</v>
      </c>
      <c r="AH571" s="1">
        <v>2</v>
      </c>
      <c r="AI571" s="1" t="s">
        <v>104</v>
      </c>
      <c r="AJ571" s="1" t="s">
        <v>104</v>
      </c>
      <c r="AK571" s="1" t="s">
        <v>104</v>
      </c>
      <c r="AL571" s="1" t="s">
        <v>104</v>
      </c>
      <c r="AM571" s="1" t="s">
        <v>104</v>
      </c>
      <c r="AO571" s="1">
        <v>2</v>
      </c>
      <c r="AP571" s="1" t="s">
        <v>3879</v>
      </c>
      <c r="AQ571" s="1" t="s">
        <v>3880</v>
      </c>
      <c r="AR571" s="1">
        <v>0</v>
      </c>
      <c r="AS571" s="1">
        <v>0</v>
      </c>
      <c r="AT571" s="1">
        <v>0</v>
      </c>
      <c r="AU571" s="1">
        <v>0</v>
      </c>
      <c r="AV571" s="1">
        <v>0</v>
      </c>
      <c r="AW571" s="1">
        <v>0</v>
      </c>
      <c r="AX571" s="1">
        <v>0</v>
      </c>
      <c r="AY571" s="1">
        <v>0</v>
      </c>
      <c r="AZ571" s="1">
        <v>0</v>
      </c>
      <c r="BA571" s="1">
        <v>0</v>
      </c>
      <c r="BB571" s="1">
        <v>0</v>
      </c>
      <c r="BC571" s="1">
        <v>0</v>
      </c>
      <c r="BD571" s="1">
        <v>0</v>
      </c>
      <c r="BE571" s="1">
        <v>0</v>
      </c>
      <c r="BF571" s="1">
        <v>0</v>
      </c>
      <c r="BG571" s="1">
        <v>0</v>
      </c>
      <c r="BH571" s="1">
        <v>0</v>
      </c>
      <c r="BI571" s="1">
        <v>0</v>
      </c>
      <c r="BJ571" s="1">
        <v>0</v>
      </c>
      <c r="BK571" s="1">
        <v>1</v>
      </c>
      <c r="BL571" s="1">
        <v>0</v>
      </c>
      <c r="BM571" s="1">
        <v>0</v>
      </c>
      <c r="BN571" s="1">
        <v>0</v>
      </c>
      <c r="BO571" s="1">
        <v>0</v>
      </c>
      <c r="BP571" s="1">
        <v>0</v>
      </c>
      <c r="BQ571" s="2" t="str">
        <f>HYPERLINK("http://www.d20pfsrd.com/magic/all-spells/t/touch-of-idiocy","Touch of Idiocy")</f>
        <v>Touch of Idiocy</v>
      </c>
      <c r="BR571" s="1">
        <v>572</v>
      </c>
      <c r="BS571" s="1" t="s">
        <v>104</v>
      </c>
      <c r="BT571" s="1" t="s">
        <v>3881</v>
      </c>
      <c r="BX571" s="1">
        <v>0</v>
      </c>
      <c r="BY571" s="1">
        <v>2</v>
      </c>
      <c r="BZ571" s="1" t="s">
        <v>104</v>
      </c>
      <c r="CA571" s="1">
        <v>2</v>
      </c>
      <c r="CB571" s="1">
        <v>2</v>
      </c>
      <c r="CC571" s="1">
        <v>2</v>
      </c>
      <c r="CD571" s="1" t="s">
        <v>104</v>
      </c>
      <c r="CE571" s="1">
        <v>2</v>
      </c>
      <c r="CF571" s="1" t="s">
        <v>104</v>
      </c>
      <c r="CG571" s="1" t="s">
        <v>104</v>
      </c>
      <c r="CH571" s="1" t="s">
        <v>104</v>
      </c>
      <c r="CJ571" s="1">
        <v>0</v>
      </c>
      <c r="CK571" s="1">
        <v>0</v>
      </c>
      <c r="CL571" s="1">
        <v>0</v>
      </c>
      <c r="CM571" s="1" t="s">
        <v>104</v>
      </c>
    </row>
    <row r="572" spans="1:91" ht="14.25" customHeight="1" x14ac:dyDescent="0.3">
      <c r="A572" s="1" t="s">
        <v>3882</v>
      </c>
      <c r="B572" s="1" t="s">
        <v>137</v>
      </c>
      <c r="E572" s="1" t="s">
        <v>3883</v>
      </c>
      <c r="F572" s="1" t="s">
        <v>95</v>
      </c>
      <c r="G572" s="1" t="s">
        <v>3884</v>
      </c>
      <c r="H572" s="1">
        <v>0</v>
      </c>
      <c r="I572" s="1" t="s">
        <v>157</v>
      </c>
      <c r="L572" s="1" t="s">
        <v>158</v>
      </c>
      <c r="M572" s="1" t="s">
        <v>111</v>
      </c>
      <c r="N572" s="1">
        <v>0</v>
      </c>
      <c r="O572" s="1">
        <v>0</v>
      </c>
      <c r="R572" s="1" t="s">
        <v>3885</v>
      </c>
      <c r="S572" s="1" t="s">
        <v>103</v>
      </c>
      <c r="T572" s="1">
        <v>1</v>
      </c>
      <c r="U572" s="1">
        <v>1</v>
      </c>
      <c r="V572" s="1">
        <v>1</v>
      </c>
      <c r="W572" s="1">
        <v>0</v>
      </c>
      <c r="X572" s="1">
        <v>0</v>
      </c>
      <c r="Y572" s="1">
        <v>6</v>
      </c>
      <c r="Z572" s="1">
        <v>6</v>
      </c>
      <c r="AA572" s="1" t="s">
        <v>104</v>
      </c>
      <c r="AB572" s="1" t="s">
        <v>104</v>
      </c>
      <c r="AC572" s="1" t="s">
        <v>104</v>
      </c>
      <c r="AD572" s="1" t="s">
        <v>104</v>
      </c>
      <c r="AE572" s="1" t="s">
        <v>104</v>
      </c>
      <c r="AF572" s="1">
        <v>6</v>
      </c>
      <c r="AG572" s="1" t="s">
        <v>104</v>
      </c>
      <c r="AH572" s="1">
        <v>6</v>
      </c>
      <c r="AI572" s="1" t="s">
        <v>104</v>
      </c>
      <c r="AJ572" s="1" t="s">
        <v>104</v>
      </c>
      <c r="AK572" s="1" t="s">
        <v>104</v>
      </c>
      <c r="AL572" s="1">
        <v>6</v>
      </c>
      <c r="AM572" s="1" t="s">
        <v>104</v>
      </c>
      <c r="AO572" s="1">
        <v>6</v>
      </c>
      <c r="AQ572" s="1" t="s">
        <v>3886</v>
      </c>
      <c r="AR572" s="1">
        <v>0</v>
      </c>
      <c r="AS572" s="1">
        <v>0</v>
      </c>
      <c r="AT572" s="1">
        <v>0</v>
      </c>
      <c r="AU572" s="1">
        <v>0</v>
      </c>
      <c r="AV572" s="1">
        <v>0</v>
      </c>
      <c r="AW572" s="1">
        <v>0</v>
      </c>
      <c r="AX572" s="1">
        <v>0</v>
      </c>
      <c r="AY572" s="1">
        <v>0</v>
      </c>
      <c r="AZ572" s="1">
        <v>0</v>
      </c>
      <c r="BA572" s="1">
        <v>0</v>
      </c>
      <c r="BB572" s="1">
        <v>0</v>
      </c>
      <c r="BC572" s="1">
        <v>0</v>
      </c>
      <c r="BD572" s="1">
        <v>0</v>
      </c>
      <c r="BE572" s="1">
        <v>0</v>
      </c>
      <c r="BF572" s="1">
        <v>0</v>
      </c>
      <c r="BG572" s="1">
        <v>0</v>
      </c>
      <c r="BH572" s="1">
        <v>0</v>
      </c>
      <c r="BI572" s="1">
        <v>0</v>
      </c>
      <c r="BJ572" s="1">
        <v>0</v>
      </c>
      <c r="BK572" s="1">
        <v>0</v>
      </c>
      <c r="BL572" s="1">
        <v>0</v>
      </c>
      <c r="BM572" s="1">
        <v>0</v>
      </c>
      <c r="BN572" s="1">
        <v>0</v>
      </c>
      <c r="BO572" s="1">
        <v>0</v>
      </c>
      <c r="BP572" s="1">
        <v>0</v>
      </c>
      <c r="BQ572" s="2" t="str">
        <f>HYPERLINK("http://www.d20pfsrd.com/magic/all-spells/t/transformation","Transformation")</f>
        <v>Transformation</v>
      </c>
      <c r="BR572" s="1">
        <v>573</v>
      </c>
      <c r="BS572" s="1" t="s">
        <v>104</v>
      </c>
      <c r="BT572" s="1" t="s">
        <v>3887</v>
      </c>
      <c r="BV572" s="1" t="s">
        <v>3888</v>
      </c>
      <c r="BX572" s="1">
        <v>1</v>
      </c>
      <c r="BY572" s="1" t="s">
        <v>104</v>
      </c>
      <c r="BZ572" s="1" t="s">
        <v>104</v>
      </c>
      <c r="CA572" s="1">
        <v>6</v>
      </c>
      <c r="CB572" s="1" t="s">
        <v>104</v>
      </c>
      <c r="CC572" s="1" t="s">
        <v>104</v>
      </c>
      <c r="CD572" s="1">
        <v>6</v>
      </c>
      <c r="CE572" s="1">
        <v>6</v>
      </c>
      <c r="CF572" s="1" t="s">
        <v>104</v>
      </c>
      <c r="CG572" s="1" t="s">
        <v>104</v>
      </c>
      <c r="CH572" s="1" t="s">
        <v>104</v>
      </c>
      <c r="CJ572" s="1">
        <v>0</v>
      </c>
      <c r="CK572" s="1">
        <v>0</v>
      </c>
      <c r="CL572" s="1">
        <v>0</v>
      </c>
      <c r="CM572" s="1" t="s">
        <v>104</v>
      </c>
    </row>
    <row r="573" spans="1:91" ht="14.25" customHeight="1" x14ac:dyDescent="0.3">
      <c r="A573" s="1" t="s">
        <v>3889</v>
      </c>
      <c r="B573" s="1" t="s">
        <v>137</v>
      </c>
      <c r="E573" s="1" t="s">
        <v>617</v>
      </c>
      <c r="F573" s="1" t="s">
        <v>95</v>
      </c>
      <c r="G573" s="1" t="s">
        <v>127</v>
      </c>
      <c r="H573" s="1">
        <v>0</v>
      </c>
      <c r="I573" s="1" t="s">
        <v>97</v>
      </c>
      <c r="J573" s="1" t="s">
        <v>3890</v>
      </c>
      <c r="M573" s="1" t="s">
        <v>119</v>
      </c>
      <c r="N573" s="1">
        <v>0</v>
      </c>
      <c r="O573" s="1">
        <v>0</v>
      </c>
      <c r="P573" s="1" t="s">
        <v>100</v>
      </c>
      <c r="Q573" s="1" t="s">
        <v>3891</v>
      </c>
      <c r="R573" s="1" t="s">
        <v>3892</v>
      </c>
      <c r="S573" s="1" t="s">
        <v>103</v>
      </c>
      <c r="T573" s="1">
        <v>1</v>
      </c>
      <c r="U573" s="1">
        <v>1</v>
      </c>
      <c r="V573" s="1">
        <v>0</v>
      </c>
      <c r="W573" s="1">
        <v>0</v>
      </c>
      <c r="X573" s="1">
        <v>1</v>
      </c>
      <c r="Y573" s="1" t="s">
        <v>104</v>
      </c>
      <c r="Z573" s="1" t="s">
        <v>104</v>
      </c>
      <c r="AA573" s="1" t="s">
        <v>104</v>
      </c>
      <c r="AB573" s="1">
        <v>7</v>
      </c>
      <c r="AC573" s="1" t="s">
        <v>104</v>
      </c>
      <c r="AD573" s="1" t="s">
        <v>104</v>
      </c>
      <c r="AE573" s="1" t="s">
        <v>104</v>
      </c>
      <c r="AF573" s="1" t="s">
        <v>104</v>
      </c>
      <c r="AG573" s="1" t="s">
        <v>104</v>
      </c>
      <c r="AH573" s="1" t="s">
        <v>104</v>
      </c>
      <c r="AI573" s="1" t="s">
        <v>104</v>
      </c>
      <c r="AJ573" s="1" t="s">
        <v>104</v>
      </c>
      <c r="AK573" s="1" t="s">
        <v>104</v>
      </c>
      <c r="AL573" s="1" t="s">
        <v>104</v>
      </c>
      <c r="AM573" s="1" t="s">
        <v>104</v>
      </c>
      <c r="AO573" s="1">
        <v>7</v>
      </c>
      <c r="AQ573" s="1" t="s">
        <v>3893</v>
      </c>
      <c r="AR573" s="1">
        <v>0</v>
      </c>
      <c r="AS573" s="1">
        <v>0</v>
      </c>
      <c r="AT573" s="1">
        <v>0</v>
      </c>
      <c r="AU573" s="1">
        <v>0</v>
      </c>
      <c r="AV573" s="1">
        <v>0</v>
      </c>
      <c r="AW573" s="1">
        <v>0</v>
      </c>
      <c r="AX573" s="1">
        <v>0</v>
      </c>
      <c r="AY573" s="1">
        <v>0</v>
      </c>
      <c r="AZ573" s="1">
        <v>0</v>
      </c>
      <c r="BA573" s="1">
        <v>0</v>
      </c>
      <c r="BB573" s="1">
        <v>0</v>
      </c>
      <c r="BC573" s="1">
        <v>0</v>
      </c>
      <c r="BD573" s="1">
        <v>0</v>
      </c>
      <c r="BE573" s="1">
        <v>0</v>
      </c>
      <c r="BF573" s="1">
        <v>0</v>
      </c>
      <c r="BG573" s="1">
        <v>0</v>
      </c>
      <c r="BH573" s="1">
        <v>0</v>
      </c>
      <c r="BI573" s="1">
        <v>0</v>
      </c>
      <c r="BJ573" s="1">
        <v>0</v>
      </c>
      <c r="BK573" s="1">
        <v>0</v>
      </c>
      <c r="BL573" s="1">
        <v>0</v>
      </c>
      <c r="BM573" s="1">
        <v>0</v>
      </c>
      <c r="BN573" s="1">
        <v>0</v>
      </c>
      <c r="BO573" s="1">
        <v>0</v>
      </c>
      <c r="BP573" s="1">
        <v>0</v>
      </c>
      <c r="BQ573" s="2" t="str">
        <f>HYPERLINK("http://www.d20pfsrd.com/magic/all-spells/t/transmute-metal-to-wood","Transmute Metal to Wood")</f>
        <v>Transmute Metal to Wood</v>
      </c>
      <c r="BR573" s="1">
        <v>574</v>
      </c>
      <c r="BS573" s="1" t="s">
        <v>104</v>
      </c>
      <c r="BX573" s="1">
        <v>0</v>
      </c>
      <c r="BY573" s="1" t="s">
        <v>104</v>
      </c>
      <c r="BZ573" s="1" t="s">
        <v>104</v>
      </c>
      <c r="CA573" s="1" t="s">
        <v>104</v>
      </c>
      <c r="CB573" s="1" t="s">
        <v>104</v>
      </c>
      <c r="CC573" s="1" t="s">
        <v>104</v>
      </c>
      <c r="CD573" s="1" t="s">
        <v>104</v>
      </c>
      <c r="CE573" s="1" t="s">
        <v>104</v>
      </c>
      <c r="CF573" s="1" t="s">
        <v>104</v>
      </c>
      <c r="CG573" s="1" t="s">
        <v>104</v>
      </c>
      <c r="CH573" s="1" t="s">
        <v>104</v>
      </c>
      <c r="CJ573" s="1">
        <v>0</v>
      </c>
      <c r="CK573" s="1">
        <v>0</v>
      </c>
      <c r="CL573" s="1">
        <v>0</v>
      </c>
      <c r="CM573" s="1" t="s">
        <v>104</v>
      </c>
    </row>
    <row r="574" spans="1:91" ht="14.25" customHeight="1" x14ac:dyDescent="0.3">
      <c r="A574" s="1" t="s">
        <v>3894</v>
      </c>
      <c r="B574" s="1" t="s">
        <v>137</v>
      </c>
      <c r="D574" s="1" t="s">
        <v>51</v>
      </c>
      <c r="E574" s="1" t="s">
        <v>3895</v>
      </c>
      <c r="F574" s="1" t="s">
        <v>95</v>
      </c>
      <c r="G574" s="1" t="s">
        <v>3896</v>
      </c>
      <c r="H574" s="1">
        <v>0</v>
      </c>
      <c r="I574" s="1" t="s">
        <v>109</v>
      </c>
      <c r="J574" s="1" t="s">
        <v>3897</v>
      </c>
      <c r="M574" s="1" t="s">
        <v>298</v>
      </c>
      <c r="N574" s="1">
        <v>0</v>
      </c>
      <c r="O574" s="1">
        <v>1</v>
      </c>
      <c r="P574" s="1" t="s">
        <v>145</v>
      </c>
      <c r="Q574" s="1" t="s">
        <v>101</v>
      </c>
      <c r="R574" s="1" t="s">
        <v>3898</v>
      </c>
      <c r="S574" s="1" t="s">
        <v>103</v>
      </c>
      <c r="T574" s="1">
        <v>1</v>
      </c>
      <c r="U574" s="1">
        <v>1</v>
      </c>
      <c r="V574" s="1">
        <v>1</v>
      </c>
      <c r="W574" s="1">
        <v>0</v>
      </c>
      <c r="X574" s="1">
        <v>1</v>
      </c>
      <c r="Y574" s="1">
        <v>5</v>
      </c>
      <c r="Z574" s="1">
        <v>5</v>
      </c>
      <c r="AA574" s="1" t="s">
        <v>104</v>
      </c>
      <c r="AB574" s="1">
        <v>5</v>
      </c>
      <c r="AC574" s="1" t="s">
        <v>104</v>
      </c>
      <c r="AD574" s="1" t="s">
        <v>104</v>
      </c>
      <c r="AE574" s="1" t="s">
        <v>104</v>
      </c>
      <c r="AF574" s="1" t="s">
        <v>104</v>
      </c>
      <c r="AG574" s="1" t="s">
        <v>104</v>
      </c>
      <c r="AH574" s="1" t="s">
        <v>104</v>
      </c>
      <c r="AI574" s="1" t="s">
        <v>104</v>
      </c>
      <c r="AJ574" s="1" t="s">
        <v>104</v>
      </c>
      <c r="AK574" s="1" t="s">
        <v>104</v>
      </c>
      <c r="AL574" s="1" t="s">
        <v>104</v>
      </c>
      <c r="AM574" s="1" t="s">
        <v>104</v>
      </c>
      <c r="AO574" s="1">
        <v>5</v>
      </c>
      <c r="AQ574" s="1" t="s">
        <v>3899</v>
      </c>
      <c r="AR574" s="1">
        <v>0</v>
      </c>
      <c r="AS574" s="1">
        <v>0</v>
      </c>
      <c r="AT574" s="1">
        <v>0</v>
      </c>
      <c r="AU574" s="1">
        <v>0</v>
      </c>
      <c r="AV574" s="1">
        <v>0</v>
      </c>
      <c r="AW574" s="1">
        <v>0</v>
      </c>
      <c r="AX574" s="1">
        <v>0</v>
      </c>
      <c r="AY574" s="1">
        <v>0</v>
      </c>
      <c r="AZ574" s="1">
        <v>1</v>
      </c>
      <c r="BA574" s="1">
        <v>0</v>
      </c>
      <c r="BB574" s="1">
        <v>0</v>
      </c>
      <c r="BC574" s="1">
        <v>0</v>
      </c>
      <c r="BD574" s="1">
        <v>0</v>
      </c>
      <c r="BE574" s="1">
        <v>0</v>
      </c>
      <c r="BF574" s="1">
        <v>0</v>
      </c>
      <c r="BG574" s="1">
        <v>0</v>
      </c>
      <c r="BH574" s="1">
        <v>0</v>
      </c>
      <c r="BI574" s="1">
        <v>0</v>
      </c>
      <c r="BJ574" s="1">
        <v>0</v>
      </c>
      <c r="BK574" s="1">
        <v>0</v>
      </c>
      <c r="BL574" s="1">
        <v>0</v>
      </c>
      <c r="BM574" s="1">
        <v>0</v>
      </c>
      <c r="BN574" s="1">
        <v>0</v>
      </c>
      <c r="BO574" s="1">
        <v>0</v>
      </c>
      <c r="BP574" s="1">
        <v>0</v>
      </c>
      <c r="BQ574" s="2" t="str">
        <f>HYPERLINK("http://www.d20pfsrd.com/magic/all-spells/t/transmute-mud-to-rock","Transmute Mud to Rock")</f>
        <v>Transmute Mud to Rock</v>
      </c>
      <c r="BR574" s="1">
        <v>575</v>
      </c>
      <c r="BS574" s="1" t="s">
        <v>104</v>
      </c>
      <c r="BX574" s="1">
        <v>0</v>
      </c>
      <c r="BY574" s="1" t="s">
        <v>104</v>
      </c>
      <c r="BZ574" s="1" t="s">
        <v>104</v>
      </c>
      <c r="CA574" s="1" t="s">
        <v>104</v>
      </c>
      <c r="CB574" s="1" t="s">
        <v>104</v>
      </c>
      <c r="CC574" s="1" t="s">
        <v>104</v>
      </c>
      <c r="CD574" s="1">
        <v>5</v>
      </c>
      <c r="CE574" s="1" t="s">
        <v>104</v>
      </c>
      <c r="CF574" s="1" t="s">
        <v>104</v>
      </c>
      <c r="CG574" s="1" t="s">
        <v>104</v>
      </c>
      <c r="CH574" s="1">
        <v>5</v>
      </c>
      <c r="CJ574" s="1">
        <v>0</v>
      </c>
      <c r="CK574" s="1">
        <v>0</v>
      </c>
      <c r="CL574" s="1">
        <v>0</v>
      </c>
      <c r="CM574" s="1" t="s">
        <v>104</v>
      </c>
    </row>
    <row r="575" spans="1:91" ht="14.25" customHeight="1" x14ac:dyDescent="0.3">
      <c r="A575" s="1" t="s">
        <v>3900</v>
      </c>
      <c r="B575" s="1" t="s">
        <v>137</v>
      </c>
      <c r="D575" s="1" t="s">
        <v>51</v>
      </c>
      <c r="E575" s="1" t="s">
        <v>3895</v>
      </c>
      <c r="F575" s="1" t="s">
        <v>95</v>
      </c>
      <c r="G575" s="1" t="s">
        <v>3901</v>
      </c>
      <c r="H575" s="1">
        <v>0</v>
      </c>
      <c r="I575" s="1" t="s">
        <v>109</v>
      </c>
      <c r="J575" s="1" t="s">
        <v>3897</v>
      </c>
      <c r="M575" s="1" t="s">
        <v>2486</v>
      </c>
      <c r="N575" s="1">
        <v>0</v>
      </c>
      <c r="O575" s="1">
        <v>1</v>
      </c>
      <c r="P575" s="1" t="s">
        <v>145</v>
      </c>
      <c r="Q575" s="1" t="s">
        <v>101</v>
      </c>
      <c r="R575" s="1" t="s">
        <v>3902</v>
      </c>
      <c r="S575" s="1" t="s">
        <v>103</v>
      </c>
      <c r="T575" s="1">
        <v>1</v>
      </c>
      <c r="U575" s="1">
        <v>1</v>
      </c>
      <c r="V575" s="1">
        <v>1</v>
      </c>
      <c r="W575" s="1">
        <v>0</v>
      </c>
      <c r="X575" s="1">
        <v>1</v>
      </c>
      <c r="Y575" s="1">
        <v>5</v>
      </c>
      <c r="Z575" s="1">
        <v>5</v>
      </c>
      <c r="AA575" s="1" t="s">
        <v>104</v>
      </c>
      <c r="AB575" s="1">
        <v>5</v>
      </c>
      <c r="AC575" s="1" t="s">
        <v>104</v>
      </c>
      <c r="AD575" s="1" t="s">
        <v>104</v>
      </c>
      <c r="AE575" s="1" t="s">
        <v>104</v>
      </c>
      <c r="AF575" s="1" t="s">
        <v>104</v>
      </c>
      <c r="AG575" s="1" t="s">
        <v>104</v>
      </c>
      <c r="AH575" s="1" t="s">
        <v>104</v>
      </c>
      <c r="AI575" s="1" t="s">
        <v>104</v>
      </c>
      <c r="AJ575" s="1" t="s">
        <v>104</v>
      </c>
      <c r="AK575" s="1" t="s">
        <v>104</v>
      </c>
      <c r="AL575" s="1" t="s">
        <v>104</v>
      </c>
      <c r="AM575" s="1" t="s">
        <v>104</v>
      </c>
      <c r="AO575" s="1">
        <v>5</v>
      </c>
      <c r="AQ575" s="1" t="s">
        <v>3899</v>
      </c>
      <c r="AR575" s="1">
        <v>0</v>
      </c>
      <c r="AS575" s="1">
        <v>0</v>
      </c>
      <c r="AT575" s="1">
        <v>0</v>
      </c>
      <c r="AU575" s="1">
        <v>0</v>
      </c>
      <c r="AV575" s="1">
        <v>0</v>
      </c>
      <c r="AW575" s="1">
        <v>0</v>
      </c>
      <c r="AX575" s="1">
        <v>0</v>
      </c>
      <c r="AY575" s="1">
        <v>0</v>
      </c>
      <c r="AZ575" s="1">
        <v>1</v>
      </c>
      <c r="BA575" s="1">
        <v>0</v>
      </c>
      <c r="BB575" s="1">
        <v>0</v>
      </c>
      <c r="BC575" s="1">
        <v>0</v>
      </c>
      <c r="BD575" s="1">
        <v>0</v>
      </c>
      <c r="BE575" s="1">
        <v>0</v>
      </c>
      <c r="BF575" s="1">
        <v>0</v>
      </c>
      <c r="BG575" s="1">
        <v>0</v>
      </c>
      <c r="BH575" s="1">
        <v>0</v>
      </c>
      <c r="BI575" s="1">
        <v>0</v>
      </c>
      <c r="BJ575" s="1">
        <v>0</v>
      </c>
      <c r="BK575" s="1">
        <v>0</v>
      </c>
      <c r="BL575" s="1">
        <v>0</v>
      </c>
      <c r="BM575" s="1">
        <v>0</v>
      </c>
      <c r="BN575" s="1">
        <v>0</v>
      </c>
      <c r="BO575" s="1">
        <v>0</v>
      </c>
      <c r="BP575" s="1">
        <v>0</v>
      </c>
      <c r="BQ575" s="2" t="str">
        <f>HYPERLINK("http://www.d20pfsrd.com/magic/all-spells/t/transmute-rock-to-mud","Transmute Rock to Mud")</f>
        <v>Transmute Rock to Mud</v>
      </c>
      <c r="BR575" s="1">
        <v>576</v>
      </c>
      <c r="BS575" s="1" t="s">
        <v>104</v>
      </c>
      <c r="BT575" s="1" t="s">
        <v>3903</v>
      </c>
      <c r="BX575" s="1">
        <v>0</v>
      </c>
      <c r="BY575" s="1" t="s">
        <v>104</v>
      </c>
      <c r="BZ575" s="1" t="s">
        <v>104</v>
      </c>
      <c r="CA575" s="1" t="s">
        <v>104</v>
      </c>
      <c r="CB575" s="1" t="s">
        <v>104</v>
      </c>
      <c r="CC575" s="1" t="s">
        <v>104</v>
      </c>
      <c r="CD575" s="1">
        <v>5</v>
      </c>
      <c r="CE575" s="1" t="s">
        <v>104</v>
      </c>
      <c r="CF575" s="1" t="s">
        <v>104</v>
      </c>
      <c r="CG575" s="1" t="s">
        <v>104</v>
      </c>
      <c r="CH575" s="1">
        <v>5</v>
      </c>
      <c r="CJ575" s="1">
        <v>0</v>
      </c>
      <c r="CK575" s="1">
        <v>0</v>
      </c>
      <c r="CL575" s="1">
        <v>0</v>
      </c>
      <c r="CM575" s="1" t="s">
        <v>104</v>
      </c>
    </row>
    <row r="576" spans="1:91" ht="14.25" customHeight="1" x14ac:dyDescent="0.3">
      <c r="A576" s="1" t="s">
        <v>3904</v>
      </c>
      <c r="B576" s="1" t="s">
        <v>92</v>
      </c>
      <c r="C576" s="1" t="s">
        <v>1160</v>
      </c>
      <c r="E576" s="1" t="s">
        <v>2286</v>
      </c>
      <c r="F576" s="1" t="s">
        <v>95</v>
      </c>
      <c r="G576" s="1" t="s">
        <v>116</v>
      </c>
      <c r="H576" s="1">
        <v>0</v>
      </c>
      <c r="I576" s="1" t="s">
        <v>289</v>
      </c>
      <c r="L576" s="1" t="s">
        <v>1162</v>
      </c>
      <c r="M576" s="1" t="s">
        <v>255</v>
      </c>
      <c r="N576" s="1">
        <v>0</v>
      </c>
      <c r="O576" s="1">
        <v>0</v>
      </c>
      <c r="P576" s="1" t="s">
        <v>100</v>
      </c>
      <c r="Q576" s="1" t="s">
        <v>101</v>
      </c>
      <c r="R576" s="1" t="s">
        <v>3905</v>
      </c>
      <c r="S576" s="1" t="s">
        <v>103</v>
      </c>
      <c r="T576" s="1">
        <v>1</v>
      </c>
      <c r="U576" s="1">
        <v>1</v>
      </c>
      <c r="V576" s="1">
        <v>0</v>
      </c>
      <c r="W576" s="1">
        <v>0</v>
      </c>
      <c r="X576" s="1">
        <v>0</v>
      </c>
      <c r="Y576" s="1" t="s">
        <v>104</v>
      </c>
      <c r="Z576" s="1" t="s">
        <v>104</v>
      </c>
      <c r="AA576" s="1" t="s">
        <v>104</v>
      </c>
      <c r="AB576" s="1">
        <v>6</v>
      </c>
      <c r="AC576" s="1" t="s">
        <v>104</v>
      </c>
      <c r="AD576" s="1" t="s">
        <v>104</v>
      </c>
      <c r="AE576" s="1" t="s">
        <v>104</v>
      </c>
      <c r="AF576" s="1" t="s">
        <v>104</v>
      </c>
      <c r="AG576" s="1" t="s">
        <v>104</v>
      </c>
      <c r="AH576" s="1" t="s">
        <v>104</v>
      </c>
      <c r="AI576" s="1" t="s">
        <v>104</v>
      </c>
      <c r="AJ576" s="1" t="s">
        <v>104</v>
      </c>
      <c r="AK576" s="1" t="s">
        <v>104</v>
      </c>
      <c r="AL576" s="1" t="s">
        <v>104</v>
      </c>
      <c r="AM576" s="1" t="s">
        <v>104</v>
      </c>
      <c r="AO576" s="1">
        <v>6</v>
      </c>
      <c r="AQ576" s="1" t="s">
        <v>3906</v>
      </c>
      <c r="AR576" s="1">
        <v>0</v>
      </c>
      <c r="AS576" s="1">
        <v>0</v>
      </c>
      <c r="AT576" s="1">
        <v>0</v>
      </c>
      <c r="AU576" s="1">
        <v>0</v>
      </c>
      <c r="AV576" s="1">
        <v>0</v>
      </c>
      <c r="AW576" s="1">
        <v>0</v>
      </c>
      <c r="AX576" s="1">
        <v>0</v>
      </c>
      <c r="AY576" s="1">
        <v>0</v>
      </c>
      <c r="AZ576" s="1">
        <v>0</v>
      </c>
      <c r="BA576" s="1">
        <v>0</v>
      </c>
      <c r="BB576" s="1">
        <v>0</v>
      </c>
      <c r="BC576" s="1">
        <v>0</v>
      </c>
      <c r="BD576" s="1">
        <v>0</v>
      </c>
      <c r="BE576" s="1">
        <v>0</v>
      </c>
      <c r="BF576" s="1">
        <v>0</v>
      </c>
      <c r="BG576" s="1">
        <v>0</v>
      </c>
      <c r="BH576" s="1">
        <v>0</v>
      </c>
      <c r="BI576" s="1">
        <v>0</v>
      </c>
      <c r="BJ576" s="1">
        <v>0</v>
      </c>
      <c r="BK576" s="1">
        <v>0</v>
      </c>
      <c r="BL576" s="1">
        <v>0</v>
      </c>
      <c r="BM576" s="1">
        <v>0</v>
      </c>
      <c r="BN576" s="1">
        <v>0</v>
      </c>
      <c r="BO576" s="1">
        <v>0</v>
      </c>
      <c r="BP576" s="1">
        <v>0</v>
      </c>
      <c r="BQ576" s="2" t="str">
        <f>HYPERLINK("http://www.d20pfsrd.com/magic/all-spells/t/transport-via-plants","Transport via Plants")</f>
        <v>Transport via Plants</v>
      </c>
      <c r="BR576" s="1">
        <v>577</v>
      </c>
      <c r="BS576" s="1" t="s">
        <v>104</v>
      </c>
      <c r="BT576" s="1" t="s">
        <v>3907</v>
      </c>
      <c r="BX576" s="1">
        <v>0</v>
      </c>
      <c r="BY576" s="1" t="s">
        <v>104</v>
      </c>
      <c r="BZ576" s="1">
        <v>7</v>
      </c>
      <c r="CA576" s="1" t="s">
        <v>104</v>
      </c>
      <c r="CB576" s="1" t="s">
        <v>104</v>
      </c>
      <c r="CC576" s="1" t="s">
        <v>104</v>
      </c>
      <c r="CD576" s="1" t="s">
        <v>104</v>
      </c>
      <c r="CE576" s="1" t="s">
        <v>104</v>
      </c>
      <c r="CF576" s="1" t="s">
        <v>104</v>
      </c>
      <c r="CG576" s="1" t="s">
        <v>104</v>
      </c>
      <c r="CH576" s="1">
        <v>6</v>
      </c>
      <c r="CJ576" s="1">
        <v>0</v>
      </c>
      <c r="CK576" s="1">
        <v>0</v>
      </c>
      <c r="CL576" s="1">
        <v>0</v>
      </c>
      <c r="CM576" s="1" t="s">
        <v>104</v>
      </c>
    </row>
    <row r="577" spans="1:91" ht="14.25" customHeight="1" x14ac:dyDescent="0.3">
      <c r="A577" s="1" t="s">
        <v>3908</v>
      </c>
      <c r="B577" s="1" t="s">
        <v>92</v>
      </c>
      <c r="C577" s="1" t="s">
        <v>903</v>
      </c>
      <c r="E577" s="1" t="s">
        <v>2590</v>
      </c>
      <c r="F577" s="1" t="s">
        <v>3909</v>
      </c>
      <c r="G577" s="1" t="s">
        <v>3910</v>
      </c>
      <c r="H577" s="1">
        <v>1</v>
      </c>
      <c r="I577" s="1" t="s">
        <v>117</v>
      </c>
      <c r="L577" s="1" t="s">
        <v>1065</v>
      </c>
      <c r="M577" s="1" t="s">
        <v>2486</v>
      </c>
      <c r="N577" s="1">
        <v>0</v>
      </c>
      <c r="O577" s="1">
        <v>0</v>
      </c>
      <c r="P577" s="1" t="s">
        <v>145</v>
      </c>
      <c r="Q577" s="1" t="s">
        <v>3284</v>
      </c>
      <c r="R577" s="1" t="s">
        <v>3911</v>
      </c>
      <c r="S577" s="1" t="s">
        <v>103</v>
      </c>
      <c r="T577" s="1">
        <v>1</v>
      </c>
      <c r="U577" s="1">
        <v>1</v>
      </c>
      <c r="V577" s="1">
        <v>1</v>
      </c>
      <c r="W577" s="1">
        <v>0</v>
      </c>
      <c r="X577" s="1">
        <v>0</v>
      </c>
      <c r="Y577" s="1">
        <v>8</v>
      </c>
      <c r="Z577" s="1">
        <v>8</v>
      </c>
      <c r="AA577" s="1" t="s">
        <v>104</v>
      </c>
      <c r="AB577" s="1" t="s">
        <v>104</v>
      </c>
      <c r="AC577" s="1" t="s">
        <v>104</v>
      </c>
      <c r="AD577" s="1" t="s">
        <v>104</v>
      </c>
      <c r="AE577" s="1" t="s">
        <v>104</v>
      </c>
      <c r="AF577" s="1" t="s">
        <v>104</v>
      </c>
      <c r="AG577" s="1" t="s">
        <v>104</v>
      </c>
      <c r="AH577" s="1">
        <v>8</v>
      </c>
      <c r="AI577" s="1" t="s">
        <v>104</v>
      </c>
      <c r="AJ577" s="1" t="s">
        <v>104</v>
      </c>
      <c r="AK577" s="1" t="s">
        <v>104</v>
      </c>
      <c r="AL577" s="1" t="s">
        <v>104</v>
      </c>
      <c r="AM577" s="1" t="s">
        <v>104</v>
      </c>
      <c r="AO577" s="1">
        <v>8</v>
      </c>
      <c r="AP577" s="1" t="s">
        <v>3912</v>
      </c>
      <c r="AQ577" s="1" t="s">
        <v>3913</v>
      </c>
      <c r="AR577" s="1">
        <v>0</v>
      </c>
      <c r="AS577" s="1">
        <v>0</v>
      </c>
      <c r="AT577" s="1">
        <v>0</v>
      </c>
      <c r="AU577" s="1">
        <v>0</v>
      </c>
      <c r="AV577" s="1">
        <v>0</v>
      </c>
      <c r="AW577" s="1">
        <v>0</v>
      </c>
      <c r="AX577" s="1">
        <v>0</v>
      </c>
      <c r="AY577" s="1">
        <v>0</v>
      </c>
      <c r="AZ577" s="1">
        <v>0</v>
      </c>
      <c r="BA577" s="1">
        <v>0</v>
      </c>
      <c r="BB577" s="1">
        <v>0</v>
      </c>
      <c r="BC577" s="1">
        <v>0</v>
      </c>
      <c r="BD577" s="1">
        <v>0</v>
      </c>
      <c r="BE577" s="1">
        <v>0</v>
      </c>
      <c r="BF577" s="1">
        <v>0</v>
      </c>
      <c r="BG577" s="1">
        <v>0</v>
      </c>
      <c r="BH577" s="1">
        <v>0</v>
      </c>
      <c r="BI577" s="1">
        <v>0</v>
      </c>
      <c r="BJ577" s="1">
        <v>0</v>
      </c>
      <c r="BK577" s="1">
        <v>0</v>
      </c>
      <c r="BL577" s="1">
        <v>0</v>
      </c>
      <c r="BM577" s="1">
        <v>0</v>
      </c>
      <c r="BN577" s="1">
        <v>0</v>
      </c>
      <c r="BO577" s="1">
        <v>0</v>
      </c>
      <c r="BP577" s="1">
        <v>0</v>
      </c>
      <c r="BQ577" s="2" t="str">
        <f>HYPERLINK("http://www.d20pfsrd.com/magic/all-spells/t/trap-the-soul","Trap the Soul")</f>
        <v>Trap the Soul</v>
      </c>
      <c r="BR577" s="1">
        <v>578</v>
      </c>
      <c r="BS577" s="1">
        <v>1000</v>
      </c>
      <c r="BT577" s="1" t="s">
        <v>3914</v>
      </c>
      <c r="BU577" s="1" t="s">
        <v>3915</v>
      </c>
      <c r="BX577" s="1">
        <v>0</v>
      </c>
      <c r="BY577" s="1" t="s">
        <v>104</v>
      </c>
      <c r="BZ577" s="1" t="s">
        <v>104</v>
      </c>
      <c r="CA577" s="1">
        <v>8</v>
      </c>
      <c r="CB577" s="1" t="s">
        <v>104</v>
      </c>
      <c r="CC577" s="1" t="s">
        <v>104</v>
      </c>
      <c r="CD577" s="1" t="s">
        <v>104</v>
      </c>
      <c r="CE577" s="1" t="s">
        <v>104</v>
      </c>
      <c r="CF577" s="1" t="s">
        <v>104</v>
      </c>
      <c r="CG577" s="1" t="s">
        <v>104</v>
      </c>
      <c r="CH577" s="1" t="s">
        <v>104</v>
      </c>
      <c r="CJ577" s="1">
        <v>0</v>
      </c>
      <c r="CK577" s="1">
        <v>0</v>
      </c>
      <c r="CL577" s="1">
        <v>0</v>
      </c>
      <c r="CM577" s="1" t="s">
        <v>104</v>
      </c>
    </row>
    <row r="578" spans="1:91" ht="14.25" customHeight="1" x14ac:dyDescent="0.3">
      <c r="A578" s="1" t="s">
        <v>3916</v>
      </c>
      <c r="B578" s="1" t="s">
        <v>137</v>
      </c>
      <c r="E578" s="1" t="s">
        <v>3917</v>
      </c>
      <c r="F578" s="1" t="s">
        <v>95</v>
      </c>
      <c r="G578" s="1" t="s">
        <v>127</v>
      </c>
      <c r="H578" s="1">
        <v>0</v>
      </c>
      <c r="I578" s="1" t="s">
        <v>157</v>
      </c>
      <c r="L578" s="1" t="s">
        <v>158</v>
      </c>
      <c r="M578" s="1" t="s">
        <v>201</v>
      </c>
      <c r="N578" s="1">
        <v>1</v>
      </c>
      <c r="O578" s="1">
        <v>0</v>
      </c>
      <c r="R578" s="1" t="s">
        <v>3918</v>
      </c>
      <c r="S578" s="1" t="s">
        <v>103</v>
      </c>
      <c r="T578" s="1">
        <v>1</v>
      </c>
      <c r="U578" s="1">
        <v>1</v>
      </c>
      <c r="V578" s="1">
        <v>0</v>
      </c>
      <c r="W578" s="1">
        <v>0</v>
      </c>
      <c r="X578" s="1">
        <v>1</v>
      </c>
      <c r="Y578" s="1" t="s">
        <v>104</v>
      </c>
      <c r="Z578" s="1" t="s">
        <v>104</v>
      </c>
      <c r="AA578" s="1" t="s">
        <v>104</v>
      </c>
      <c r="AB578" s="1">
        <v>2</v>
      </c>
      <c r="AC578" s="1">
        <v>3</v>
      </c>
      <c r="AD578" s="1" t="s">
        <v>104</v>
      </c>
      <c r="AE578" s="1" t="s">
        <v>104</v>
      </c>
      <c r="AF578" s="1" t="s">
        <v>104</v>
      </c>
      <c r="AG578" s="1" t="s">
        <v>104</v>
      </c>
      <c r="AH578" s="1" t="s">
        <v>104</v>
      </c>
      <c r="AI578" s="1" t="s">
        <v>104</v>
      </c>
      <c r="AJ578" s="1" t="s">
        <v>104</v>
      </c>
      <c r="AK578" s="1" t="s">
        <v>104</v>
      </c>
      <c r="AL578" s="1" t="s">
        <v>104</v>
      </c>
      <c r="AM578" s="1" t="s">
        <v>104</v>
      </c>
      <c r="AO578" s="1">
        <v>2</v>
      </c>
      <c r="AQ578" s="1" t="s">
        <v>3919</v>
      </c>
      <c r="AR578" s="1">
        <v>0</v>
      </c>
      <c r="AS578" s="1">
        <v>0</v>
      </c>
      <c r="AT578" s="1">
        <v>0</v>
      </c>
      <c r="AU578" s="1">
        <v>0</v>
      </c>
      <c r="AV578" s="1">
        <v>0</v>
      </c>
      <c r="AW578" s="1">
        <v>0</v>
      </c>
      <c r="AX578" s="1">
        <v>0</v>
      </c>
      <c r="AY578" s="1">
        <v>0</v>
      </c>
      <c r="AZ578" s="1">
        <v>0</v>
      </c>
      <c r="BA578" s="1">
        <v>0</v>
      </c>
      <c r="BB578" s="1">
        <v>0</v>
      </c>
      <c r="BC578" s="1">
        <v>0</v>
      </c>
      <c r="BD578" s="1">
        <v>0</v>
      </c>
      <c r="BE578" s="1">
        <v>0</v>
      </c>
      <c r="BF578" s="1">
        <v>0</v>
      </c>
      <c r="BG578" s="1">
        <v>0</v>
      </c>
      <c r="BH578" s="1">
        <v>0</v>
      </c>
      <c r="BI578" s="1">
        <v>0</v>
      </c>
      <c r="BJ578" s="1">
        <v>0</v>
      </c>
      <c r="BK578" s="1">
        <v>0</v>
      </c>
      <c r="BL578" s="1">
        <v>0</v>
      </c>
      <c r="BM578" s="1">
        <v>0</v>
      </c>
      <c r="BN578" s="1">
        <v>0</v>
      </c>
      <c r="BO578" s="1">
        <v>0</v>
      </c>
      <c r="BP578" s="1">
        <v>0</v>
      </c>
      <c r="BQ578" s="2" t="str">
        <f>HYPERLINK("http://www.d20pfsrd.com/magic/all-spells/t/tree-shape","Tree Shape")</f>
        <v>Tree Shape</v>
      </c>
      <c r="BR578" s="1">
        <v>579</v>
      </c>
      <c r="BS578" s="1" t="s">
        <v>104</v>
      </c>
      <c r="BX578" s="1">
        <v>0</v>
      </c>
      <c r="BY578" s="1" t="s">
        <v>104</v>
      </c>
      <c r="BZ578" s="1">
        <v>2</v>
      </c>
      <c r="CA578" s="1" t="s">
        <v>104</v>
      </c>
      <c r="CB578" s="1" t="s">
        <v>104</v>
      </c>
      <c r="CC578" s="1" t="s">
        <v>104</v>
      </c>
      <c r="CD578" s="1" t="s">
        <v>104</v>
      </c>
      <c r="CE578" s="1" t="s">
        <v>104</v>
      </c>
      <c r="CF578" s="1" t="s">
        <v>104</v>
      </c>
      <c r="CG578" s="1" t="s">
        <v>104</v>
      </c>
      <c r="CH578" s="1">
        <v>2</v>
      </c>
      <c r="CJ578" s="1">
        <v>0</v>
      </c>
      <c r="CK578" s="1">
        <v>0</v>
      </c>
      <c r="CL578" s="1">
        <v>0</v>
      </c>
      <c r="CM578" s="1" t="s">
        <v>104</v>
      </c>
    </row>
    <row r="579" spans="1:91" ht="14.25" customHeight="1" x14ac:dyDescent="0.3">
      <c r="A579" s="1" t="s">
        <v>3920</v>
      </c>
      <c r="B579" s="1" t="s">
        <v>92</v>
      </c>
      <c r="C579" s="1" t="s">
        <v>1160</v>
      </c>
      <c r="E579" s="1" t="s">
        <v>3921</v>
      </c>
      <c r="F579" s="1" t="s">
        <v>95</v>
      </c>
      <c r="G579" s="1" t="s">
        <v>127</v>
      </c>
      <c r="H579" s="1">
        <v>0</v>
      </c>
      <c r="I579" s="1" t="s">
        <v>157</v>
      </c>
      <c r="L579" s="1" t="s">
        <v>158</v>
      </c>
      <c r="M579" s="1" t="s">
        <v>3922</v>
      </c>
      <c r="N579" s="1">
        <v>0</v>
      </c>
      <c r="O579" s="1">
        <v>0</v>
      </c>
      <c r="R579" s="1" t="s">
        <v>3923</v>
      </c>
      <c r="S579" s="1" t="s">
        <v>103</v>
      </c>
      <c r="T579" s="1">
        <v>1</v>
      </c>
      <c r="U579" s="1">
        <v>1</v>
      </c>
      <c r="V579" s="1">
        <v>0</v>
      </c>
      <c r="W579" s="1">
        <v>0</v>
      </c>
      <c r="X579" s="1">
        <v>1</v>
      </c>
      <c r="Y579" s="1" t="s">
        <v>104</v>
      </c>
      <c r="Z579" s="1" t="s">
        <v>104</v>
      </c>
      <c r="AA579" s="1" t="s">
        <v>104</v>
      </c>
      <c r="AB579" s="1">
        <v>5</v>
      </c>
      <c r="AC579" s="1">
        <v>4</v>
      </c>
      <c r="AD579" s="1" t="s">
        <v>104</v>
      </c>
      <c r="AE579" s="1" t="s">
        <v>104</v>
      </c>
      <c r="AF579" s="1" t="s">
        <v>104</v>
      </c>
      <c r="AG579" s="1" t="s">
        <v>104</v>
      </c>
      <c r="AH579" s="1" t="s">
        <v>104</v>
      </c>
      <c r="AI579" s="1" t="s">
        <v>104</v>
      </c>
      <c r="AJ579" s="1" t="s">
        <v>104</v>
      </c>
      <c r="AK579" s="1" t="s">
        <v>104</v>
      </c>
      <c r="AL579" s="1" t="s">
        <v>104</v>
      </c>
      <c r="AM579" s="1" t="s">
        <v>104</v>
      </c>
      <c r="AO579" s="1">
        <v>5</v>
      </c>
      <c r="AQ579" s="1" t="s">
        <v>3924</v>
      </c>
      <c r="AR579" s="1">
        <v>0</v>
      </c>
      <c r="AS579" s="1">
        <v>0</v>
      </c>
      <c r="AT579" s="1">
        <v>0</v>
      </c>
      <c r="AU579" s="1">
        <v>0</v>
      </c>
      <c r="AV579" s="1">
        <v>0</v>
      </c>
      <c r="AW579" s="1">
        <v>0</v>
      </c>
      <c r="AX579" s="1">
        <v>0</v>
      </c>
      <c r="AY579" s="1">
        <v>0</v>
      </c>
      <c r="AZ579" s="1">
        <v>0</v>
      </c>
      <c r="BA579" s="1">
        <v>0</v>
      </c>
      <c r="BB579" s="1">
        <v>0</v>
      </c>
      <c r="BC579" s="1">
        <v>0</v>
      </c>
      <c r="BD579" s="1">
        <v>0</v>
      </c>
      <c r="BE579" s="1">
        <v>0</v>
      </c>
      <c r="BF579" s="1">
        <v>0</v>
      </c>
      <c r="BG579" s="1">
        <v>0</v>
      </c>
      <c r="BH579" s="1">
        <v>0</v>
      </c>
      <c r="BI579" s="1">
        <v>0</v>
      </c>
      <c r="BJ579" s="1">
        <v>0</v>
      </c>
      <c r="BK579" s="1">
        <v>0</v>
      </c>
      <c r="BL579" s="1">
        <v>0</v>
      </c>
      <c r="BM579" s="1">
        <v>0</v>
      </c>
      <c r="BN579" s="1">
        <v>0</v>
      </c>
      <c r="BO579" s="1">
        <v>0</v>
      </c>
      <c r="BP579" s="1">
        <v>0</v>
      </c>
      <c r="BQ579" s="2" t="str">
        <f>HYPERLINK("http://www.d20pfsrd.com/magic/all-spells/t/tree-stride","Tree Stride")</f>
        <v>Tree Stride</v>
      </c>
      <c r="BR579" s="1">
        <v>580</v>
      </c>
      <c r="BS579" s="1" t="s">
        <v>104</v>
      </c>
      <c r="BT579" s="1" t="s">
        <v>3925</v>
      </c>
      <c r="BU579" s="1" t="s">
        <v>3926</v>
      </c>
      <c r="BX579" s="1">
        <v>0</v>
      </c>
      <c r="BY579" s="1" t="s">
        <v>104</v>
      </c>
      <c r="BZ579" s="1" t="s">
        <v>104</v>
      </c>
      <c r="CA579" s="1" t="s">
        <v>104</v>
      </c>
      <c r="CB579" s="1" t="s">
        <v>104</v>
      </c>
      <c r="CC579" s="1" t="s">
        <v>104</v>
      </c>
      <c r="CD579" s="1" t="s">
        <v>104</v>
      </c>
      <c r="CE579" s="1" t="s">
        <v>104</v>
      </c>
      <c r="CF579" s="1" t="s">
        <v>104</v>
      </c>
      <c r="CG579" s="1" t="s">
        <v>104</v>
      </c>
      <c r="CH579" s="1">
        <v>4</v>
      </c>
      <c r="CJ579" s="1">
        <v>0</v>
      </c>
      <c r="CK579" s="1">
        <v>0</v>
      </c>
      <c r="CL579" s="1">
        <v>0</v>
      </c>
      <c r="CM579" s="1" t="s">
        <v>104</v>
      </c>
    </row>
    <row r="580" spans="1:91" ht="14.25" customHeight="1" x14ac:dyDescent="0.3">
      <c r="A580" s="1" t="s">
        <v>3927</v>
      </c>
      <c r="B580" s="1" t="s">
        <v>92</v>
      </c>
      <c r="C580" s="1" t="s">
        <v>523</v>
      </c>
      <c r="E580" s="1" t="s">
        <v>2542</v>
      </c>
      <c r="F580" s="1" t="s">
        <v>287</v>
      </c>
      <c r="G580" s="1" t="s">
        <v>3928</v>
      </c>
      <c r="H580" s="1">
        <v>1</v>
      </c>
      <c r="I580" s="1" t="s">
        <v>128</v>
      </c>
      <c r="L580" s="1" t="s">
        <v>2992</v>
      </c>
      <c r="M580" s="1" t="s">
        <v>119</v>
      </c>
      <c r="N580" s="1">
        <v>0</v>
      </c>
      <c r="O580" s="1">
        <v>0</v>
      </c>
      <c r="P580" s="1" t="s">
        <v>195</v>
      </c>
      <c r="Q580" s="1" t="s">
        <v>131</v>
      </c>
      <c r="R580" s="1" t="s">
        <v>3929</v>
      </c>
      <c r="S580" s="1" t="s">
        <v>103</v>
      </c>
      <c r="T580" s="1">
        <v>1</v>
      </c>
      <c r="U580" s="1">
        <v>1</v>
      </c>
      <c r="V580" s="1">
        <v>1</v>
      </c>
      <c r="W580" s="1">
        <v>0</v>
      </c>
      <c r="X580" s="1">
        <v>1</v>
      </c>
      <c r="Y580" s="1" t="s">
        <v>104</v>
      </c>
      <c r="Z580" s="1" t="s">
        <v>104</v>
      </c>
      <c r="AA580" s="1">
        <v>9</v>
      </c>
      <c r="AB580" s="1" t="s">
        <v>104</v>
      </c>
      <c r="AC580" s="1" t="s">
        <v>104</v>
      </c>
      <c r="AD580" s="1" t="s">
        <v>104</v>
      </c>
      <c r="AE580" s="1" t="s">
        <v>104</v>
      </c>
      <c r="AF580" s="1" t="s">
        <v>104</v>
      </c>
      <c r="AG580" s="1" t="s">
        <v>104</v>
      </c>
      <c r="AH580" s="1" t="s">
        <v>104</v>
      </c>
      <c r="AI580" s="1" t="s">
        <v>104</v>
      </c>
      <c r="AJ580" s="1">
        <v>9</v>
      </c>
      <c r="AK580" s="1" t="s">
        <v>104</v>
      </c>
      <c r="AL580" s="1" t="s">
        <v>104</v>
      </c>
      <c r="AM580" s="1" t="s">
        <v>104</v>
      </c>
      <c r="AO580" s="1">
        <v>9</v>
      </c>
      <c r="AP580" s="1" t="s">
        <v>3930</v>
      </c>
      <c r="AQ580" s="1" t="s">
        <v>3931</v>
      </c>
      <c r="AR580" s="1">
        <v>0</v>
      </c>
      <c r="AS580" s="1">
        <v>0</v>
      </c>
      <c r="AT580" s="1">
        <v>0</v>
      </c>
      <c r="AU580" s="1">
        <v>0</v>
      </c>
      <c r="AV580" s="1">
        <v>0</v>
      </c>
      <c r="AW580" s="1">
        <v>0</v>
      </c>
      <c r="AX580" s="1">
        <v>0</v>
      </c>
      <c r="AY580" s="1">
        <v>0</v>
      </c>
      <c r="AZ580" s="1">
        <v>0</v>
      </c>
      <c r="BA580" s="1">
        <v>0</v>
      </c>
      <c r="BB580" s="1">
        <v>0</v>
      </c>
      <c r="BC580" s="1">
        <v>0</v>
      </c>
      <c r="BD580" s="1">
        <v>0</v>
      </c>
      <c r="BE580" s="1">
        <v>0</v>
      </c>
      <c r="BF580" s="1">
        <v>0</v>
      </c>
      <c r="BG580" s="1">
        <v>0</v>
      </c>
      <c r="BH580" s="1">
        <v>0</v>
      </c>
      <c r="BI580" s="1">
        <v>0</v>
      </c>
      <c r="BJ580" s="1">
        <v>0</v>
      </c>
      <c r="BK580" s="1">
        <v>0</v>
      </c>
      <c r="BL580" s="1">
        <v>0</v>
      </c>
      <c r="BM580" s="1">
        <v>0</v>
      </c>
      <c r="BN580" s="1">
        <v>0</v>
      </c>
      <c r="BO580" s="1">
        <v>0</v>
      </c>
      <c r="BP580" s="1">
        <v>0</v>
      </c>
      <c r="BQ580" s="2" t="str">
        <f>HYPERLINK("http://www.d20pfsrd.com/magic/all-spells/t/true-resurrection","True Resurrection")</f>
        <v>True Resurrection</v>
      </c>
      <c r="BR580" s="1">
        <v>581</v>
      </c>
      <c r="BS580" s="1">
        <v>25000</v>
      </c>
      <c r="BU580" s="1" t="s">
        <v>3932</v>
      </c>
      <c r="BX580" s="1">
        <v>0</v>
      </c>
      <c r="BY580" s="1" t="s">
        <v>104</v>
      </c>
      <c r="BZ580" s="1" t="s">
        <v>104</v>
      </c>
      <c r="CA580" s="1" t="s">
        <v>104</v>
      </c>
      <c r="CB580" s="1" t="s">
        <v>104</v>
      </c>
      <c r="CC580" s="1" t="s">
        <v>104</v>
      </c>
      <c r="CD580" s="1" t="s">
        <v>104</v>
      </c>
      <c r="CE580" s="1" t="s">
        <v>104</v>
      </c>
      <c r="CF580" s="1" t="s">
        <v>104</v>
      </c>
      <c r="CG580" s="1" t="s">
        <v>104</v>
      </c>
      <c r="CH580" s="1" t="s">
        <v>104</v>
      </c>
      <c r="CJ580" s="1">
        <v>0</v>
      </c>
      <c r="CK580" s="1">
        <v>0</v>
      </c>
      <c r="CL580" s="1">
        <v>0</v>
      </c>
      <c r="CM580" s="1" t="s">
        <v>104</v>
      </c>
    </row>
    <row r="581" spans="1:91" ht="14.25" customHeight="1" x14ac:dyDescent="0.3">
      <c r="A581" s="1" t="s">
        <v>3933</v>
      </c>
      <c r="B581" s="1" t="s">
        <v>172</v>
      </c>
      <c r="E581" s="1" t="s">
        <v>3934</v>
      </c>
      <c r="F581" s="1" t="s">
        <v>95</v>
      </c>
      <c r="G581" s="1" t="s">
        <v>3935</v>
      </c>
      <c r="H581" s="1">
        <v>1</v>
      </c>
      <c r="I581" s="1" t="s">
        <v>128</v>
      </c>
      <c r="L581" s="1" t="s">
        <v>374</v>
      </c>
      <c r="M581" s="1" t="s">
        <v>130</v>
      </c>
      <c r="N581" s="1">
        <v>0</v>
      </c>
      <c r="O581" s="1">
        <v>0</v>
      </c>
      <c r="P581" s="1" t="s">
        <v>375</v>
      </c>
      <c r="Q581" s="1" t="s">
        <v>131</v>
      </c>
      <c r="R581" s="1" t="s">
        <v>3936</v>
      </c>
      <c r="S581" s="1" t="s">
        <v>103</v>
      </c>
      <c r="T581" s="1">
        <v>1</v>
      </c>
      <c r="U581" s="1">
        <v>1</v>
      </c>
      <c r="V581" s="1">
        <v>1</v>
      </c>
      <c r="W581" s="1">
        <v>0</v>
      </c>
      <c r="X581" s="1">
        <v>0</v>
      </c>
      <c r="Y581" s="1">
        <v>6</v>
      </c>
      <c r="Z581" s="1">
        <v>6</v>
      </c>
      <c r="AA581" s="1">
        <v>5</v>
      </c>
      <c r="AB581" s="1">
        <v>7</v>
      </c>
      <c r="AC581" s="1" t="s">
        <v>104</v>
      </c>
      <c r="AD581" s="1" t="s">
        <v>104</v>
      </c>
      <c r="AE581" s="1" t="s">
        <v>104</v>
      </c>
      <c r="AF581" s="1">
        <v>6</v>
      </c>
      <c r="AG581" s="1">
        <v>5</v>
      </c>
      <c r="AH581" s="1">
        <v>6</v>
      </c>
      <c r="AI581" s="1">
        <v>5</v>
      </c>
      <c r="AJ581" s="1">
        <v>5</v>
      </c>
      <c r="AK581" s="1" t="s">
        <v>104</v>
      </c>
      <c r="AL581" s="1">
        <v>6</v>
      </c>
      <c r="AM581" s="1">
        <v>5</v>
      </c>
      <c r="AO581" s="1">
        <v>6</v>
      </c>
      <c r="AP581" s="1" t="s">
        <v>3937</v>
      </c>
      <c r="AQ581" s="1" t="s">
        <v>3938</v>
      </c>
      <c r="AR581" s="1">
        <v>0</v>
      </c>
      <c r="AS581" s="1">
        <v>0</v>
      </c>
      <c r="AT581" s="1">
        <v>0</v>
      </c>
      <c r="AU581" s="1">
        <v>0</v>
      </c>
      <c r="AV581" s="1">
        <v>0</v>
      </c>
      <c r="AW581" s="1">
        <v>0</v>
      </c>
      <c r="AX581" s="1">
        <v>0</v>
      </c>
      <c r="AY581" s="1">
        <v>0</v>
      </c>
      <c r="AZ581" s="1">
        <v>0</v>
      </c>
      <c r="BA581" s="1">
        <v>0</v>
      </c>
      <c r="BB581" s="1">
        <v>0</v>
      </c>
      <c r="BC581" s="1">
        <v>0</v>
      </c>
      <c r="BD581" s="1">
        <v>0</v>
      </c>
      <c r="BE581" s="1">
        <v>0</v>
      </c>
      <c r="BF581" s="1">
        <v>0</v>
      </c>
      <c r="BG581" s="1">
        <v>0</v>
      </c>
      <c r="BH581" s="1">
        <v>0</v>
      </c>
      <c r="BI581" s="1">
        <v>0</v>
      </c>
      <c r="BJ581" s="1">
        <v>0</v>
      </c>
      <c r="BK581" s="1">
        <v>0</v>
      </c>
      <c r="BL581" s="1">
        <v>0</v>
      </c>
      <c r="BM581" s="1">
        <v>0</v>
      </c>
      <c r="BN581" s="1">
        <v>0</v>
      </c>
      <c r="BO581" s="1">
        <v>0</v>
      </c>
      <c r="BP581" s="1">
        <v>0</v>
      </c>
      <c r="BQ581" s="2" t="str">
        <f>HYPERLINK("http://www.d20pfsrd.com/magic/all-spells/t/true-seeing","True Seeing")</f>
        <v>True Seeing</v>
      </c>
      <c r="BR581" s="1">
        <v>582</v>
      </c>
      <c r="BS581" s="1">
        <v>250</v>
      </c>
      <c r="BT581" s="1" t="s">
        <v>3939</v>
      </c>
      <c r="BX581" s="1">
        <v>0</v>
      </c>
      <c r="BY581" s="1" t="s">
        <v>104</v>
      </c>
      <c r="BZ581" s="1">
        <v>5</v>
      </c>
      <c r="CA581" s="1">
        <v>5</v>
      </c>
      <c r="CB581" s="1">
        <v>4</v>
      </c>
      <c r="CC581" s="1">
        <v>6</v>
      </c>
      <c r="CD581" s="1">
        <v>5</v>
      </c>
      <c r="CE581" s="1">
        <v>6</v>
      </c>
      <c r="CF581" s="1" t="s">
        <v>104</v>
      </c>
      <c r="CG581" s="1" t="s">
        <v>104</v>
      </c>
      <c r="CH581" s="1" t="s">
        <v>104</v>
      </c>
      <c r="CJ581" s="1">
        <v>0</v>
      </c>
      <c r="CK581" s="1">
        <v>0</v>
      </c>
      <c r="CL581" s="1">
        <v>0</v>
      </c>
      <c r="CM581" s="1">
        <v>6</v>
      </c>
    </row>
    <row r="582" spans="1:91" ht="14.25" customHeight="1" x14ac:dyDescent="0.3">
      <c r="A582" s="1" t="s">
        <v>3940</v>
      </c>
      <c r="B582" s="1" t="s">
        <v>172</v>
      </c>
      <c r="E582" s="1" t="s">
        <v>3941</v>
      </c>
      <c r="F582" s="1" t="s">
        <v>95</v>
      </c>
      <c r="G582" s="1" t="s">
        <v>3942</v>
      </c>
      <c r="H582" s="1">
        <v>0</v>
      </c>
      <c r="I582" s="1" t="s">
        <v>157</v>
      </c>
      <c r="L582" s="1" t="s">
        <v>158</v>
      </c>
      <c r="M582" s="1" t="s">
        <v>145</v>
      </c>
      <c r="N582" s="1">
        <v>0</v>
      </c>
      <c r="O582" s="1">
        <v>0</v>
      </c>
      <c r="R582" s="1" t="s">
        <v>3943</v>
      </c>
      <c r="S582" s="1" t="s">
        <v>103</v>
      </c>
      <c r="T582" s="1">
        <v>1</v>
      </c>
      <c r="U582" s="1">
        <v>0</v>
      </c>
      <c r="V582" s="1">
        <v>0</v>
      </c>
      <c r="W582" s="1">
        <v>0</v>
      </c>
      <c r="X582" s="1">
        <v>0</v>
      </c>
      <c r="Y582" s="1">
        <v>1</v>
      </c>
      <c r="Z582" s="1">
        <v>1</v>
      </c>
      <c r="AA582" s="1" t="s">
        <v>104</v>
      </c>
      <c r="AB582" s="1" t="s">
        <v>104</v>
      </c>
      <c r="AC582" s="1" t="s">
        <v>104</v>
      </c>
      <c r="AD582" s="1" t="s">
        <v>104</v>
      </c>
      <c r="AE582" s="1" t="s">
        <v>104</v>
      </c>
      <c r="AF582" s="1">
        <v>1</v>
      </c>
      <c r="AG582" s="1" t="s">
        <v>104</v>
      </c>
      <c r="AH582" s="1" t="s">
        <v>104</v>
      </c>
      <c r="AI582" s="1">
        <v>1</v>
      </c>
      <c r="AJ582" s="1" t="s">
        <v>104</v>
      </c>
      <c r="AK582" s="1" t="s">
        <v>104</v>
      </c>
      <c r="AL582" s="1">
        <v>1</v>
      </c>
      <c r="AM582" s="1" t="s">
        <v>104</v>
      </c>
      <c r="AO582" s="1">
        <v>1</v>
      </c>
      <c r="AP582" s="1" t="s">
        <v>3944</v>
      </c>
      <c r="AQ582" s="1" t="s">
        <v>3945</v>
      </c>
      <c r="AR582" s="1">
        <v>0</v>
      </c>
      <c r="AS582" s="1">
        <v>0</v>
      </c>
      <c r="AT582" s="1">
        <v>0</v>
      </c>
      <c r="AU582" s="1">
        <v>0</v>
      </c>
      <c r="AV582" s="1">
        <v>0</v>
      </c>
      <c r="AW582" s="1">
        <v>0</v>
      </c>
      <c r="AX582" s="1">
        <v>0</v>
      </c>
      <c r="AY582" s="1">
        <v>0</v>
      </c>
      <c r="AZ582" s="1">
        <v>0</v>
      </c>
      <c r="BA582" s="1">
        <v>0</v>
      </c>
      <c r="BB582" s="1">
        <v>0</v>
      </c>
      <c r="BC582" s="1">
        <v>0</v>
      </c>
      <c r="BD582" s="1">
        <v>0</v>
      </c>
      <c r="BE582" s="1">
        <v>0</v>
      </c>
      <c r="BF582" s="1">
        <v>0</v>
      </c>
      <c r="BG582" s="1">
        <v>0</v>
      </c>
      <c r="BH582" s="1">
        <v>0</v>
      </c>
      <c r="BI582" s="1">
        <v>0</v>
      </c>
      <c r="BJ582" s="1">
        <v>0</v>
      </c>
      <c r="BK582" s="1">
        <v>0</v>
      </c>
      <c r="BL582" s="1">
        <v>0</v>
      </c>
      <c r="BM582" s="1">
        <v>0</v>
      </c>
      <c r="BN582" s="1">
        <v>0</v>
      </c>
      <c r="BO582" s="1">
        <v>0</v>
      </c>
      <c r="BP582" s="1">
        <v>0</v>
      </c>
      <c r="BQ582" s="2" t="str">
        <f>HYPERLINK("http://www.d20pfsrd.com/magic/all-spells/t/true-strike","True Strike")</f>
        <v>True Strike</v>
      </c>
      <c r="BR582" s="1">
        <v>583</v>
      </c>
      <c r="BS582" s="1" t="s">
        <v>104</v>
      </c>
      <c r="BT582" s="1" t="s">
        <v>3946</v>
      </c>
      <c r="BV582" s="1" t="s">
        <v>3947</v>
      </c>
      <c r="BW582" s="1" t="s">
        <v>3948</v>
      </c>
      <c r="BX582" s="1">
        <v>1</v>
      </c>
      <c r="BY582" s="1">
        <v>1</v>
      </c>
      <c r="BZ582" s="1" t="s">
        <v>104</v>
      </c>
      <c r="CA582" s="1">
        <v>1</v>
      </c>
      <c r="CB582" s="1">
        <v>1</v>
      </c>
      <c r="CC582" s="1" t="s">
        <v>104</v>
      </c>
      <c r="CD582" s="1" t="s">
        <v>104</v>
      </c>
      <c r="CE582" s="1" t="s">
        <v>104</v>
      </c>
      <c r="CF582" s="1" t="s">
        <v>104</v>
      </c>
      <c r="CG582" s="1" t="s">
        <v>104</v>
      </c>
      <c r="CH582" s="1" t="s">
        <v>104</v>
      </c>
      <c r="CJ582" s="1">
        <v>0</v>
      </c>
      <c r="CK582" s="1">
        <v>0</v>
      </c>
      <c r="CL582" s="1">
        <v>0</v>
      </c>
      <c r="CM582" s="1" t="s">
        <v>104</v>
      </c>
    </row>
    <row r="583" spans="1:91" ht="14.25" customHeight="1" x14ac:dyDescent="0.3">
      <c r="A583" s="1" t="s">
        <v>3949</v>
      </c>
      <c r="B583" s="1" t="s">
        <v>216</v>
      </c>
      <c r="E583" s="1" t="s">
        <v>3950</v>
      </c>
      <c r="F583" s="1" t="s">
        <v>95</v>
      </c>
      <c r="G583" s="1" t="s">
        <v>3951</v>
      </c>
      <c r="H583" s="1">
        <v>1</v>
      </c>
      <c r="I583" s="1" t="s">
        <v>109</v>
      </c>
      <c r="J583" s="1" t="s">
        <v>3952</v>
      </c>
      <c r="M583" s="1" t="s">
        <v>119</v>
      </c>
      <c r="N583" s="1">
        <v>0</v>
      </c>
      <c r="O583" s="1">
        <v>0</v>
      </c>
      <c r="P583" s="1" t="s">
        <v>211</v>
      </c>
      <c r="Q583" s="1" t="s">
        <v>184</v>
      </c>
      <c r="R583" s="1" t="s">
        <v>3953</v>
      </c>
      <c r="S583" s="1" t="s">
        <v>103</v>
      </c>
      <c r="T583" s="1">
        <v>1</v>
      </c>
      <c r="U583" s="1">
        <v>1</v>
      </c>
      <c r="V583" s="1">
        <v>1</v>
      </c>
      <c r="W583" s="1">
        <v>0</v>
      </c>
      <c r="X583" s="1">
        <v>1</v>
      </c>
      <c r="Y583" s="1">
        <v>6</v>
      </c>
      <c r="Z583" s="1">
        <v>6</v>
      </c>
      <c r="AA583" s="1">
        <v>6</v>
      </c>
      <c r="AB583" s="1" t="s">
        <v>104</v>
      </c>
      <c r="AC583" s="1" t="s">
        <v>104</v>
      </c>
      <c r="AD583" s="1" t="s">
        <v>104</v>
      </c>
      <c r="AE583" s="1" t="s">
        <v>104</v>
      </c>
      <c r="AF583" s="1" t="s">
        <v>104</v>
      </c>
      <c r="AG583" s="1" t="s">
        <v>104</v>
      </c>
      <c r="AH583" s="1" t="s">
        <v>104</v>
      </c>
      <c r="AI583" s="1">
        <v>6</v>
      </c>
      <c r="AJ583" s="1">
        <v>6</v>
      </c>
      <c r="AK583" s="1" t="s">
        <v>104</v>
      </c>
      <c r="AL583" s="1" t="s">
        <v>104</v>
      </c>
      <c r="AM583" s="1" t="s">
        <v>104</v>
      </c>
      <c r="AO583" s="1">
        <v>6</v>
      </c>
      <c r="AP583" s="1" t="s">
        <v>3954</v>
      </c>
      <c r="AQ583" s="1" t="s">
        <v>3955</v>
      </c>
      <c r="AR583" s="1">
        <v>0</v>
      </c>
      <c r="AS583" s="1">
        <v>0</v>
      </c>
      <c r="AT583" s="1">
        <v>0</v>
      </c>
      <c r="AU583" s="1">
        <v>0</v>
      </c>
      <c r="AV583" s="1">
        <v>0</v>
      </c>
      <c r="AW583" s="1">
        <v>0</v>
      </c>
      <c r="AX583" s="1">
        <v>0</v>
      </c>
      <c r="AY583" s="1">
        <v>0</v>
      </c>
      <c r="AZ583" s="1">
        <v>0</v>
      </c>
      <c r="BA583" s="1">
        <v>0</v>
      </c>
      <c r="BB583" s="1">
        <v>0</v>
      </c>
      <c r="BC583" s="1">
        <v>0</v>
      </c>
      <c r="BD583" s="1">
        <v>0</v>
      </c>
      <c r="BE583" s="1">
        <v>0</v>
      </c>
      <c r="BF583" s="1">
        <v>0</v>
      </c>
      <c r="BG583" s="1">
        <v>0</v>
      </c>
      <c r="BH583" s="1">
        <v>0</v>
      </c>
      <c r="BI583" s="1">
        <v>0</v>
      </c>
      <c r="BJ583" s="1">
        <v>0</v>
      </c>
      <c r="BK583" s="1">
        <v>0</v>
      </c>
      <c r="BL583" s="1">
        <v>0</v>
      </c>
      <c r="BM583" s="1">
        <v>0</v>
      </c>
      <c r="BN583" s="1">
        <v>0</v>
      </c>
      <c r="BO583" s="1">
        <v>0</v>
      </c>
      <c r="BP583" s="1">
        <v>0</v>
      </c>
      <c r="BQ583" s="2" t="str">
        <f>HYPERLINK("http://www.d20pfsrd.com/magic/all-spells/u/undeath-to-death","Undeath to Death")</f>
        <v>Undeath to Death</v>
      </c>
      <c r="BR583" s="1">
        <v>584</v>
      </c>
      <c r="BS583" s="1">
        <v>500</v>
      </c>
      <c r="BT583" s="1" t="s">
        <v>3956</v>
      </c>
      <c r="BX583" s="1">
        <v>0</v>
      </c>
      <c r="BY583" s="1" t="s">
        <v>104</v>
      </c>
      <c r="BZ583" s="1" t="s">
        <v>104</v>
      </c>
      <c r="CA583" s="1" t="s">
        <v>104</v>
      </c>
      <c r="CB583" s="1" t="s">
        <v>104</v>
      </c>
      <c r="CC583" s="1" t="s">
        <v>104</v>
      </c>
      <c r="CD583" s="1" t="s">
        <v>104</v>
      </c>
      <c r="CE583" s="1">
        <v>6</v>
      </c>
      <c r="CF583" s="1" t="s">
        <v>104</v>
      </c>
      <c r="CG583" s="1" t="s">
        <v>104</v>
      </c>
      <c r="CH583" s="1" t="s">
        <v>104</v>
      </c>
      <c r="CJ583" s="1">
        <v>0</v>
      </c>
      <c r="CK583" s="1">
        <v>0</v>
      </c>
      <c r="CL583" s="1">
        <v>0</v>
      </c>
      <c r="CM583" s="1" t="s">
        <v>104</v>
      </c>
    </row>
    <row r="584" spans="1:91" ht="14.25" customHeight="1" x14ac:dyDescent="0.3">
      <c r="A584" s="1" t="s">
        <v>3957</v>
      </c>
      <c r="B584" s="1" t="s">
        <v>162</v>
      </c>
      <c r="E584" s="1" t="s">
        <v>3958</v>
      </c>
      <c r="F584" s="1" t="s">
        <v>95</v>
      </c>
      <c r="G584" s="1" t="s">
        <v>116</v>
      </c>
      <c r="H584" s="1">
        <v>0</v>
      </c>
      <c r="I584" s="1" t="s">
        <v>117</v>
      </c>
      <c r="L584" s="1" t="s">
        <v>1180</v>
      </c>
      <c r="M584" s="1" t="s">
        <v>341</v>
      </c>
      <c r="N584" s="1">
        <v>0</v>
      </c>
      <c r="O584" s="1">
        <v>0</v>
      </c>
      <c r="P584" s="1" t="s">
        <v>471</v>
      </c>
      <c r="Q584" s="1" t="s">
        <v>472</v>
      </c>
      <c r="R584" s="1" t="s">
        <v>3959</v>
      </c>
      <c r="S584" s="1" t="s">
        <v>103</v>
      </c>
      <c r="T584" s="1">
        <v>1</v>
      </c>
      <c r="U584" s="1">
        <v>1</v>
      </c>
      <c r="V584" s="1">
        <v>0</v>
      </c>
      <c r="W584" s="1">
        <v>0</v>
      </c>
      <c r="X584" s="1">
        <v>0</v>
      </c>
      <c r="Y584" s="1" t="s">
        <v>104</v>
      </c>
      <c r="Z584" s="1" t="s">
        <v>104</v>
      </c>
      <c r="AA584" s="1">
        <v>2</v>
      </c>
      <c r="AB584" s="1" t="s">
        <v>104</v>
      </c>
      <c r="AC584" s="1" t="s">
        <v>104</v>
      </c>
      <c r="AD584" s="1">
        <v>1</v>
      </c>
      <c r="AE584" s="1">
        <v>2</v>
      </c>
      <c r="AF584" s="1">
        <v>2</v>
      </c>
      <c r="AG584" s="1" t="s">
        <v>104</v>
      </c>
      <c r="AH584" s="1" t="s">
        <v>104</v>
      </c>
      <c r="AI584" s="1">
        <v>2</v>
      </c>
      <c r="AJ584" s="1">
        <v>2</v>
      </c>
      <c r="AK584" s="1">
        <v>2</v>
      </c>
      <c r="AL584" s="1" t="s">
        <v>104</v>
      </c>
      <c r="AM584" s="1" t="s">
        <v>104</v>
      </c>
      <c r="AO584" s="1">
        <v>2</v>
      </c>
      <c r="AQ584" s="1" t="s">
        <v>3960</v>
      </c>
      <c r="AR584" s="1">
        <v>0</v>
      </c>
      <c r="AS584" s="1">
        <v>0</v>
      </c>
      <c r="AT584" s="1">
        <v>0</v>
      </c>
      <c r="AU584" s="1">
        <v>0</v>
      </c>
      <c r="AV584" s="1">
        <v>0</v>
      </c>
      <c r="AW584" s="1">
        <v>0</v>
      </c>
      <c r="AX584" s="1">
        <v>0</v>
      </c>
      <c r="AY584" s="1">
        <v>0</v>
      </c>
      <c r="AZ584" s="1">
        <v>0</v>
      </c>
      <c r="BA584" s="1">
        <v>0</v>
      </c>
      <c r="BB584" s="1">
        <v>0</v>
      </c>
      <c r="BC584" s="1">
        <v>0</v>
      </c>
      <c r="BD584" s="1">
        <v>0</v>
      </c>
      <c r="BE584" s="1">
        <v>0</v>
      </c>
      <c r="BF584" s="1">
        <v>0</v>
      </c>
      <c r="BG584" s="1">
        <v>0</v>
      </c>
      <c r="BH584" s="1">
        <v>0</v>
      </c>
      <c r="BI584" s="1">
        <v>0</v>
      </c>
      <c r="BJ584" s="1">
        <v>0</v>
      </c>
      <c r="BK584" s="1">
        <v>0</v>
      </c>
      <c r="BL584" s="1">
        <v>0</v>
      </c>
      <c r="BM584" s="1">
        <v>0</v>
      </c>
      <c r="BN584" s="1">
        <v>0</v>
      </c>
      <c r="BO584" s="1">
        <v>0</v>
      </c>
      <c r="BP584" s="1">
        <v>0</v>
      </c>
      <c r="BQ584" s="2" t="str">
        <f>HYPERLINK("http://www.d20pfsrd.com/magic/all-spells/u/undetectable-alignment","Undetectable Alignment")</f>
        <v>Undetectable Alignment</v>
      </c>
      <c r="BR584" s="1">
        <v>585</v>
      </c>
      <c r="BS584" s="1" t="s">
        <v>104</v>
      </c>
      <c r="BX584" s="1">
        <v>0</v>
      </c>
      <c r="BY584" s="1" t="s">
        <v>104</v>
      </c>
      <c r="BZ584" s="1" t="s">
        <v>104</v>
      </c>
      <c r="CA584" s="1">
        <v>2</v>
      </c>
      <c r="CB584" s="1" t="s">
        <v>104</v>
      </c>
      <c r="CC584" s="1">
        <v>1</v>
      </c>
      <c r="CD584" s="1" t="s">
        <v>104</v>
      </c>
      <c r="CE584" s="1" t="s">
        <v>104</v>
      </c>
      <c r="CF584" s="1" t="s">
        <v>104</v>
      </c>
      <c r="CG584" s="1" t="s">
        <v>104</v>
      </c>
      <c r="CH584" s="1" t="s">
        <v>104</v>
      </c>
      <c r="CJ584" s="1">
        <v>0</v>
      </c>
      <c r="CK584" s="1">
        <v>0</v>
      </c>
      <c r="CL584" s="1">
        <v>0</v>
      </c>
      <c r="CM584" s="1" t="s">
        <v>104</v>
      </c>
    </row>
    <row r="585" spans="1:91" ht="14.25" customHeight="1" x14ac:dyDescent="0.3">
      <c r="A585" s="1" t="s">
        <v>3961</v>
      </c>
      <c r="B585" s="1" t="s">
        <v>434</v>
      </c>
      <c r="D585" s="1" t="s">
        <v>54</v>
      </c>
      <c r="E585" s="1" t="s">
        <v>327</v>
      </c>
      <c r="F585" s="1" t="s">
        <v>341</v>
      </c>
      <c r="G585" s="1" t="s">
        <v>3962</v>
      </c>
      <c r="H585" s="1">
        <v>1</v>
      </c>
      <c r="I585" s="1" t="s">
        <v>128</v>
      </c>
      <c r="J585" s="1" t="s">
        <v>1887</v>
      </c>
      <c r="M585" s="1" t="s">
        <v>119</v>
      </c>
      <c r="N585" s="1">
        <v>0</v>
      </c>
      <c r="O585" s="1">
        <v>0</v>
      </c>
      <c r="P585" s="1" t="s">
        <v>145</v>
      </c>
      <c r="Q585" s="1" t="s">
        <v>145</v>
      </c>
      <c r="R585" s="1" t="s">
        <v>3963</v>
      </c>
      <c r="S585" s="1" t="s">
        <v>103</v>
      </c>
      <c r="T585" s="1">
        <v>1</v>
      </c>
      <c r="U585" s="1">
        <v>1</v>
      </c>
      <c r="V585" s="1">
        <v>1</v>
      </c>
      <c r="W585" s="1">
        <v>0</v>
      </c>
      <c r="X585" s="1">
        <v>0</v>
      </c>
      <c r="Y585" s="1" t="s">
        <v>104</v>
      </c>
      <c r="Z585" s="1" t="s">
        <v>104</v>
      </c>
      <c r="AA585" s="1">
        <v>5</v>
      </c>
      <c r="AB585" s="1">
        <v>5</v>
      </c>
      <c r="AC585" s="1" t="s">
        <v>104</v>
      </c>
      <c r="AD585" s="1" t="s">
        <v>104</v>
      </c>
      <c r="AE585" s="1" t="s">
        <v>104</v>
      </c>
      <c r="AF585" s="1" t="s">
        <v>104</v>
      </c>
      <c r="AG585" s="1" t="s">
        <v>104</v>
      </c>
      <c r="AH585" s="1" t="s">
        <v>104</v>
      </c>
      <c r="AI585" s="1">
        <v>5</v>
      </c>
      <c r="AJ585" s="1">
        <v>5</v>
      </c>
      <c r="AK585" s="1" t="s">
        <v>104</v>
      </c>
      <c r="AL585" s="1" t="s">
        <v>104</v>
      </c>
      <c r="AM585" s="1" t="s">
        <v>104</v>
      </c>
      <c r="AO585" s="1">
        <v>5</v>
      </c>
      <c r="AQ585" s="1" t="s">
        <v>3964</v>
      </c>
      <c r="AR585" s="1">
        <v>0</v>
      </c>
      <c r="AS585" s="1">
        <v>0</v>
      </c>
      <c r="AT585" s="1">
        <v>0</v>
      </c>
      <c r="AU585" s="1">
        <v>0</v>
      </c>
      <c r="AV585" s="1">
        <v>0</v>
      </c>
      <c r="AW585" s="1">
        <v>0</v>
      </c>
      <c r="AX585" s="1">
        <v>0</v>
      </c>
      <c r="AY585" s="1">
        <v>0</v>
      </c>
      <c r="AZ585" s="1">
        <v>0</v>
      </c>
      <c r="BA585" s="1">
        <v>0</v>
      </c>
      <c r="BB585" s="1">
        <v>0</v>
      </c>
      <c r="BC585" s="1">
        <v>1</v>
      </c>
      <c r="BD585" s="1">
        <v>0</v>
      </c>
      <c r="BE585" s="1">
        <v>0</v>
      </c>
      <c r="BF585" s="1">
        <v>0</v>
      </c>
      <c r="BG585" s="1">
        <v>0</v>
      </c>
      <c r="BH585" s="1">
        <v>0</v>
      </c>
      <c r="BI585" s="1">
        <v>0</v>
      </c>
      <c r="BJ585" s="1">
        <v>0</v>
      </c>
      <c r="BK585" s="1">
        <v>0</v>
      </c>
      <c r="BL585" s="1">
        <v>0</v>
      </c>
      <c r="BM585" s="1">
        <v>0</v>
      </c>
      <c r="BN585" s="1">
        <v>0</v>
      </c>
      <c r="BO585" s="1">
        <v>0</v>
      </c>
      <c r="BP585" s="1">
        <v>0</v>
      </c>
      <c r="BQ585" s="2" t="str">
        <f>HYPERLINK("http://www.d20pfsrd.com/magic/all-spells/u/unhallow","Unhallow")</f>
        <v>Unhallow</v>
      </c>
      <c r="BR585" s="1">
        <v>586</v>
      </c>
      <c r="BS585" s="1">
        <v>1000</v>
      </c>
      <c r="BX585" s="1">
        <v>0</v>
      </c>
      <c r="BY585" s="1" t="s">
        <v>104</v>
      </c>
      <c r="BZ585" s="1" t="s">
        <v>104</v>
      </c>
      <c r="CA585" s="1" t="s">
        <v>104</v>
      </c>
      <c r="CB585" s="1" t="s">
        <v>104</v>
      </c>
      <c r="CC585" s="1" t="s">
        <v>104</v>
      </c>
      <c r="CD585" s="1" t="s">
        <v>104</v>
      </c>
      <c r="CE585" s="1" t="s">
        <v>104</v>
      </c>
      <c r="CF585" s="1" t="s">
        <v>104</v>
      </c>
      <c r="CG585" s="1" t="s">
        <v>104</v>
      </c>
      <c r="CH585" s="1">
        <v>5</v>
      </c>
      <c r="CJ585" s="1">
        <v>0</v>
      </c>
      <c r="CK585" s="1">
        <v>0</v>
      </c>
      <c r="CL585" s="1">
        <v>0</v>
      </c>
      <c r="CM585" s="1" t="s">
        <v>104</v>
      </c>
    </row>
    <row r="586" spans="1:91" ht="14.25" customHeight="1" x14ac:dyDescent="0.3">
      <c r="A586" s="1" t="s">
        <v>3965</v>
      </c>
      <c r="B586" s="1" t="s">
        <v>162</v>
      </c>
      <c r="D586" s="1" t="s">
        <v>54</v>
      </c>
      <c r="E586" s="1" t="s">
        <v>695</v>
      </c>
      <c r="F586" s="1" t="s">
        <v>95</v>
      </c>
      <c r="G586" s="1" t="s">
        <v>696</v>
      </c>
      <c r="H586" s="1">
        <v>1</v>
      </c>
      <c r="I586" s="1" t="s">
        <v>697</v>
      </c>
      <c r="L586" s="1" t="s">
        <v>698</v>
      </c>
      <c r="M586" s="1" t="s">
        <v>111</v>
      </c>
      <c r="N586" s="1">
        <v>1</v>
      </c>
      <c r="O586" s="1">
        <v>0</v>
      </c>
      <c r="P586" s="1" t="s">
        <v>145</v>
      </c>
      <c r="Q586" s="1" t="s">
        <v>131</v>
      </c>
      <c r="R586" s="1" t="s">
        <v>3966</v>
      </c>
      <c r="S586" s="1" t="s">
        <v>103</v>
      </c>
      <c r="T586" s="1">
        <v>1</v>
      </c>
      <c r="U586" s="1">
        <v>1</v>
      </c>
      <c r="V586" s="1">
        <v>0</v>
      </c>
      <c r="W586" s="1">
        <v>1</v>
      </c>
      <c r="X586" s="1">
        <v>0</v>
      </c>
      <c r="Y586" s="1" t="s">
        <v>104</v>
      </c>
      <c r="Z586" s="1" t="s">
        <v>104</v>
      </c>
      <c r="AA586" s="1">
        <v>8</v>
      </c>
      <c r="AB586" s="1" t="s">
        <v>104</v>
      </c>
      <c r="AC586" s="1" t="s">
        <v>104</v>
      </c>
      <c r="AD586" s="1" t="s">
        <v>104</v>
      </c>
      <c r="AE586" s="1" t="s">
        <v>104</v>
      </c>
      <c r="AF586" s="1" t="s">
        <v>104</v>
      </c>
      <c r="AG586" s="1" t="s">
        <v>104</v>
      </c>
      <c r="AH586" s="1" t="s">
        <v>104</v>
      </c>
      <c r="AI586" s="1" t="s">
        <v>104</v>
      </c>
      <c r="AJ586" s="1">
        <v>8</v>
      </c>
      <c r="AK586" s="1" t="s">
        <v>104</v>
      </c>
      <c r="AL586" s="1" t="s">
        <v>104</v>
      </c>
      <c r="AM586" s="1" t="s">
        <v>104</v>
      </c>
      <c r="AO586" s="1">
        <v>8</v>
      </c>
      <c r="AP586" s="1" t="s">
        <v>3967</v>
      </c>
      <c r="AQ586" s="1" t="s">
        <v>3968</v>
      </c>
      <c r="AR586" s="1">
        <v>0</v>
      </c>
      <c r="AS586" s="1">
        <v>0</v>
      </c>
      <c r="AT586" s="1">
        <v>0</v>
      </c>
      <c r="AU586" s="1">
        <v>0</v>
      </c>
      <c r="AV586" s="1">
        <v>0</v>
      </c>
      <c r="AW586" s="1">
        <v>0</v>
      </c>
      <c r="AX586" s="1">
        <v>0</v>
      </c>
      <c r="AY586" s="1">
        <v>0</v>
      </c>
      <c r="AZ586" s="1">
        <v>0</v>
      </c>
      <c r="BA586" s="1">
        <v>0</v>
      </c>
      <c r="BB586" s="1">
        <v>0</v>
      </c>
      <c r="BC586" s="1">
        <v>1</v>
      </c>
      <c r="BD586" s="1">
        <v>0</v>
      </c>
      <c r="BE586" s="1">
        <v>0</v>
      </c>
      <c r="BF586" s="1">
        <v>0</v>
      </c>
      <c r="BG586" s="1">
        <v>0</v>
      </c>
      <c r="BH586" s="1">
        <v>0</v>
      </c>
      <c r="BI586" s="1">
        <v>0</v>
      </c>
      <c r="BJ586" s="1">
        <v>0</v>
      </c>
      <c r="BK586" s="1">
        <v>0</v>
      </c>
      <c r="BL586" s="1">
        <v>0</v>
      </c>
      <c r="BM586" s="1">
        <v>0</v>
      </c>
      <c r="BN586" s="1">
        <v>0</v>
      </c>
      <c r="BO586" s="1">
        <v>0</v>
      </c>
      <c r="BP586" s="1">
        <v>0</v>
      </c>
      <c r="BQ586" s="2" t="str">
        <f>HYPERLINK("http://www.d20pfsrd.com/magic/all-spells/u/unholy-aura","Unholy Aura")</f>
        <v>Unholy Aura</v>
      </c>
      <c r="BR586" s="1">
        <v>587</v>
      </c>
      <c r="BS586" s="1">
        <v>500</v>
      </c>
      <c r="BT586" s="1" t="s">
        <v>3969</v>
      </c>
      <c r="BX586" s="1">
        <v>0</v>
      </c>
      <c r="BY586" s="1" t="s">
        <v>104</v>
      </c>
      <c r="BZ586" s="1" t="s">
        <v>104</v>
      </c>
      <c r="CA586" s="1" t="s">
        <v>104</v>
      </c>
      <c r="CB586" s="1" t="s">
        <v>104</v>
      </c>
      <c r="CC586" s="1" t="s">
        <v>104</v>
      </c>
      <c r="CD586" s="1" t="s">
        <v>104</v>
      </c>
      <c r="CE586" s="1" t="s">
        <v>104</v>
      </c>
      <c r="CF586" s="1" t="s">
        <v>104</v>
      </c>
      <c r="CG586" s="1" t="s">
        <v>104</v>
      </c>
      <c r="CH586" s="1" t="s">
        <v>104</v>
      </c>
      <c r="CJ586" s="1">
        <v>0</v>
      </c>
      <c r="CK586" s="1">
        <v>0</v>
      </c>
      <c r="CL586" s="1">
        <v>0</v>
      </c>
      <c r="CM586" s="1" t="s">
        <v>104</v>
      </c>
    </row>
    <row r="587" spans="1:91" ht="14.25" customHeight="1" x14ac:dyDescent="0.3">
      <c r="A587" s="1" t="s">
        <v>3970</v>
      </c>
      <c r="B587" s="1" t="s">
        <v>434</v>
      </c>
      <c r="D587" s="1" t="s">
        <v>54</v>
      </c>
      <c r="E587" s="1" t="s">
        <v>626</v>
      </c>
      <c r="F587" s="1" t="s">
        <v>95</v>
      </c>
      <c r="G587" s="1" t="s">
        <v>116</v>
      </c>
      <c r="H587" s="1">
        <v>0</v>
      </c>
      <c r="I587" s="1" t="s">
        <v>109</v>
      </c>
      <c r="J587" s="1" t="s">
        <v>425</v>
      </c>
      <c r="M587" s="1" t="s">
        <v>3971</v>
      </c>
      <c r="N587" s="1">
        <v>0</v>
      </c>
      <c r="O587" s="1">
        <v>0</v>
      </c>
      <c r="P587" s="1" t="s">
        <v>276</v>
      </c>
      <c r="Q587" s="1" t="s">
        <v>184</v>
      </c>
      <c r="R587" s="1" t="s">
        <v>3972</v>
      </c>
      <c r="S587" s="1" t="s">
        <v>103</v>
      </c>
      <c r="T587" s="1">
        <v>1</v>
      </c>
      <c r="U587" s="1">
        <v>1</v>
      </c>
      <c r="V587" s="1">
        <v>0</v>
      </c>
      <c r="W587" s="1">
        <v>0</v>
      </c>
      <c r="X587" s="1">
        <v>0</v>
      </c>
      <c r="Y587" s="1" t="s">
        <v>104</v>
      </c>
      <c r="Z587" s="1" t="s">
        <v>104</v>
      </c>
      <c r="AA587" s="1">
        <v>4</v>
      </c>
      <c r="AB587" s="1" t="s">
        <v>104</v>
      </c>
      <c r="AC587" s="1" t="s">
        <v>104</v>
      </c>
      <c r="AD587" s="1" t="s">
        <v>104</v>
      </c>
      <c r="AE587" s="1" t="s">
        <v>104</v>
      </c>
      <c r="AF587" s="1" t="s">
        <v>104</v>
      </c>
      <c r="AG587" s="1" t="s">
        <v>104</v>
      </c>
      <c r="AH587" s="1" t="s">
        <v>104</v>
      </c>
      <c r="AI587" s="1">
        <v>4</v>
      </c>
      <c r="AJ587" s="1">
        <v>4</v>
      </c>
      <c r="AK587" s="1" t="s">
        <v>104</v>
      </c>
      <c r="AL587" s="1" t="s">
        <v>104</v>
      </c>
      <c r="AM587" s="1" t="s">
        <v>104</v>
      </c>
      <c r="AO587" s="1">
        <v>4</v>
      </c>
      <c r="AP587" s="1" t="s">
        <v>3973</v>
      </c>
      <c r="AQ587" s="1" t="s">
        <v>3974</v>
      </c>
      <c r="AR587" s="1">
        <v>0</v>
      </c>
      <c r="AS587" s="1">
        <v>0</v>
      </c>
      <c r="AT587" s="1">
        <v>0</v>
      </c>
      <c r="AU587" s="1">
        <v>0</v>
      </c>
      <c r="AV587" s="1">
        <v>0</v>
      </c>
      <c r="AW587" s="1">
        <v>0</v>
      </c>
      <c r="AX587" s="1">
        <v>0</v>
      </c>
      <c r="AY587" s="1">
        <v>0</v>
      </c>
      <c r="AZ587" s="1">
        <v>0</v>
      </c>
      <c r="BA587" s="1">
        <v>0</v>
      </c>
      <c r="BB587" s="1">
        <v>0</v>
      </c>
      <c r="BC587" s="1">
        <v>1</v>
      </c>
      <c r="BD587" s="1">
        <v>0</v>
      </c>
      <c r="BE587" s="1">
        <v>0</v>
      </c>
      <c r="BF587" s="1">
        <v>0</v>
      </c>
      <c r="BG587" s="1">
        <v>0</v>
      </c>
      <c r="BH587" s="1">
        <v>0</v>
      </c>
      <c r="BI587" s="1">
        <v>0</v>
      </c>
      <c r="BJ587" s="1">
        <v>0</v>
      </c>
      <c r="BK587" s="1">
        <v>0</v>
      </c>
      <c r="BL587" s="1">
        <v>0</v>
      </c>
      <c r="BM587" s="1">
        <v>0</v>
      </c>
      <c r="BN587" s="1">
        <v>0</v>
      </c>
      <c r="BO587" s="1">
        <v>0</v>
      </c>
      <c r="BP587" s="1">
        <v>0</v>
      </c>
      <c r="BQ587" s="2" t="str">
        <f>HYPERLINK("http://www.d20pfsrd.com/magic/all-spells/u/unholy-blight","Unholy Blight")</f>
        <v>Unholy Blight</v>
      </c>
      <c r="BR587" s="1">
        <v>588</v>
      </c>
      <c r="BS587" s="1" t="s">
        <v>104</v>
      </c>
      <c r="BV587" s="1" t="s">
        <v>3975</v>
      </c>
      <c r="BX587" s="1">
        <v>1</v>
      </c>
      <c r="BY587" s="1" t="s">
        <v>104</v>
      </c>
      <c r="BZ587" s="1" t="s">
        <v>104</v>
      </c>
      <c r="CA587" s="1" t="s">
        <v>104</v>
      </c>
      <c r="CB587" s="1" t="s">
        <v>104</v>
      </c>
      <c r="CC587" s="1" t="s">
        <v>104</v>
      </c>
      <c r="CD587" s="1" t="s">
        <v>104</v>
      </c>
      <c r="CE587" s="1" t="s">
        <v>104</v>
      </c>
      <c r="CF587" s="1" t="s">
        <v>104</v>
      </c>
      <c r="CG587" s="1" t="s">
        <v>104</v>
      </c>
      <c r="CH587" s="1" t="s">
        <v>104</v>
      </c>
      <c r="CJ587" s="1">
        <v>0</v>
      </c>
      <c r="CK587" s="1">
        <v>0</v>
      </c>
      <c r="CL587" s="1">
        <v>0</v>
      </c>
      <c r="CM587" s="1" t="s">
        <v>104</v>
      </c>
    </row>
    <row r="588" spans="1:91" ht="14.25" customHeight="1" x14ac:dyDescent="0.3">
      <c r="A588" s="1" t="s">
        <v>3976</v>
      </c>
      <c r="B588" s="1" t="s">
        <v>92</v>
      </c>
      <c r="C588" s="1" t="s">
        <v>93</v>
      </c>
      <c r="E588" s="1" t="s">
        <v>3977</v>
      </c>
      <c r="F588" s="1" t="s">
        <v>95</v>
      </c>
      <c r="G588" s="1" t="s">
        <v>3978</v>
      </c>
      <c r="H588" s="1">
        <v>0</v>
      </c>
      <c r="I588" s="1" t="s">
        <v>117</v>
      </c>
      <c r="K588" s="1" t="s">
        <v>3979</v>
      </c>
      <c r="M588" s="1" t="s">
        <v>201</v>
      </c>
      <c r="N588" s="1">
        <v>0</v>
      </c>
      <c r="O588" s="1">
        <v>0</v>
      </c>
      <c r="P588" s="1" t="s">
        <v>100</v>
      </c>
      <c r="Q588" s="1" t="s">
        <v>101</v>
      </c>
      <c r="R588" s="1" t="s">
        <v>3980</v>
      </c>
      <c r="S588" s="1" t="s">
        <v>103</v>
      </c>
      <c r="T588" s="1">
        <v>1</v>
      </c>
      <c r="U588" s="1">
        <v>1</v>
      </c>
      <c r="V588" s="1">
        <v>1</v>
      </c>
      <c r="W588" s="1">
        <v>0</v>
      </c>
      <c r="X588" s="1">
        <v>0</v>
      </c>
      <c r="Y588" s="1">
        <v>1</v>
      </c>
      <c r="Z588" s="1">
        <v>1</v>
      </c>
      <c r="AA588" s="1" t="s">
        <v>104</v>
      </c>
      <c r="AB588" s="1" t="s">
        <v>104</v>
      </c>
      <c r="AC588" s="1" t="s">
        <v>104</v>
      </c>
      <c r="AD588" s="1">
        <v>1</v>
      </c>
      <c r="AE588" s="1" t="s">
        <v>104</v>
      </c>
      <c r="AF588" s="1" t="s">
        <v>104</v>
      </c>
      <c r="AG588" s="1">
        <v>1</v>
      </c>
      <c r="AH588" s="1">
        <v>1</v>
      </c>
      <c r="AI588" s="1" t="s">
        <v>104</v>
      </c>
      <c r="AJ588" s="1" t="s">
        <v>104</v>
      </c>
      <c r="AK588" s="1" t="s">
        <v>104</v>
      </c>
      <c r="AL588" s="1">
        <v>1</v>
      </c>
      <c r="AM588" s="1" t="s">
        <v>104</v>
      </c>
      <c r="AO588" s="1">
        <v>1</v>
      </c>
      <c r="AQ588" s="1" t="s">
        <v>3981</v>
      </c>
      <c r="AR588" s="1">
        <v>0</v>
      </c>
      <c r="AS588" s="1">
        <v>0</v>
      </c>
      <c r="AT588" s="1">
        <v>0</v>
      </c>
      <c r="AU588" s="1">
        <v>0</v>
      </c>
      <c r="AV588" s="1">
        <v>0</v>
      </c>
      <c r="AW588" s="1">
        <v>0</v>
      </c>
      <c r="AX588" s="1">
        <v>0</v>
      </c>
      <c r="AY588" s="1">
        <v>0</v>
      </c>
      <c r="AZ588" s="1">
        <v>0</v>
      </c>
      <c r="BA588" s="1">
        <v>0</v>
      </c>
      <c r="BB588" s="1">
        <v>0</v>
      </c>
      <c r="BC588" s="1">
        <v>0</v>
      </c>
      <c r="BD588" s="1">
        <v>0</v>
      </c>
      <c r="BE588" s="1">
        <v>0</v>
      </c>
      <c r="BF588" s="1">
        <v>0</v>
      </c>
      <c r="BG588" s="1">
        <v>0</v>
      </c>
      <c r="BH588" s="1">
        <v>0</v>
      </c>
      <c r="BI588" s="1">
        <v>0</v>
      </c>
      <c r="BJ588" s="1">
        <v>0</v>
      </c>
      <c r="BK588" s="1">
        <v>0</v>
      </c>
      <c r="BL588" s="1">
        <v>0</v>
      </c>
      <c r="BM588" s="1">
        <v>0</v>
      </c>
      <c r="BN588" s="1">
        <v>0</v>
      </c>
      <c r="BO588" s="1">
        <v>0</v>
      </c>
      <c r="BP588" s="1">
        <v>0</v>
      </c>
      <c r="BQ588" s="2" t="str">
        <f>HYPERLINK("http://www.d20pfsrd.com/magic/all-spells/u/unseen-servant","Unseen Servant")</f>
        <v>Unseen Servant</v>
      </c>
      <c r="BR588" s="1">
        <v>589</v>
      </c>
      <c r="BS588" s="1" t="s">
        <v>104</v>
      </c>
      <c r="BT588" s="1" t="s">
        <v>3982</v>
      </c>
      <c r="BX588" s="1">
        <v>0</v>
      </c>
      <c r="BY588" s="1" t="s">
        <v>104</v>
      </c>
      <c r="BZ588" s="1" t="s">
        <v>104</v>
      </c>
      <c r="CA588" s="1">
        <v>1</v>
      </c>
      <c r="CB588" s="1">
        <v>1</v>
      </c>
      <c r="CC588" s="1">
        <v>1</v>
      </c>
      <c r="CD588" s="1">
        <v>1</v>
      </c>
      <c r="CE588" s="1">
        <v>1</v>
      </c>
      <c r="CF588" s="1" t="s">
        <v>104</v>
      </c>
      <c r="CG588" s="1" t="s">
        <v>104</v>
      </c>
      <c r="CH588" s="1" t="s">
        <v>104</v>
      </c>
      <c r="CJ588" s="1">
        <v>0</v>
      </c>
      <c r="CK588" s="1">
        <v>0</v>
      </c>
      <c r="CL588" s="1">
        <v>0</v>
      </c>
      <c r="CM588" s="1">
        <v>1</v>
      </c>
    </row>
    <row r="589" spans="1:91" ht="14.25" customHeight="1" x14ac:dyDescent="0.3">
      <c r="A589" s="1" t="s">
        <v>3983</v>
      </c>
      <c r="B589" s="1" t="s">
        <v>216</v>
      </c>
      <c r="E589" s="1" t="s">
        <v>3984</v>
      </c>
      <c r="F589" s="1" t="s">
        <v>95</v>
      </c>
      <c r="G589" s="1" t="s">
        <v>116</v>
      </c>
      <c r="H589" s="1">
        <v>0</v>
      </c>
      <c r="I589" s="1" t="s">
        <v>128</v>
      </c>
      <c r="L589" s="1" t="s">
        <v>129</v>
      </c>
      <c r="M589" s="1" t="s">
        <v>3985</v>
      </c>
      <c r="N589" s="1">
        <v>0</v>
      </c>
      <c r="O589" s="1">
        <v>0</v>
      </c>
      <c r="P589" s="1" t="s">
        <v>100</v>
      </c>
      <c r="Q589" s="1" t="s">
        <v>184</v>
      </c>
      <c r="R589" s="1" t="s">
        <v>3986</v>
      </c>
      <c r="S589" s="1" t="s">
        <v>103</v>
      </c>
      <c r="T589" s="1">
        <v>1</v>
      </c>
      <c r="U589" s="1">
        <v>1</v>
      </c>
      <c r="V589" s="1">
        <v>0</v>
      </c>
      <c r="W589" s="1">
        <v>0</v>
      </c>
      <c r="X589" s="1">
        <v>0</v>
      </c>
      <c r="Y589" s="1">
        <v>3</v>
      </c>
      <c r="Z589" s="1">
        <v>3</v>
      </c>
      <c r="AA589" s="1" t="s">
        <v>104</v>
      </c>
      <c r="AB589" s="1" t="s">
        <v>104</v>
      </c>
      <c r="AC589" s="1" t="s">
        <v>104</v>
      </c>
      <c r="AD589" s="1" t="s">
        <v>104</v>
      </c>
      <c r="AE589" s="1" t="s">
        <v>104</v>
      </c>
      <c r="AF589" s="1" t="s">
        <v>104</v>
      </c>
      <c r="AG589" s="1" t="s">
        <v>104</v>
      </c>
      <c r="AH589" s="1">
        <v>3</v>
      </c>
      <c r="AI589" s="1" t="s">
        <v>104</v>
      </c>
      <c r="AJ589" s="1" t="s">
        <v>104</v>
      </c>
      <c r="AK589" s="1">
        <v>3</v>
      </c>
      <c r="AL589" s="1">
        <v>3</v>
      </c>
      <c r="AM589" s="1" t="s">
        <v>104</v>
      </c>
      <c r="AO589" s="1">
        <v>3</v>
      </c>
      <c r="AP589" s="1" t="s">
        <v>3987</v>
      </c>
      <c r="AQ589" s="1" t="s">
        <v>3988</v>
      </c>
      <c r="AR589" s="1">
        <v>0</v>
      </c>
      <c r="AS589" s="1">
        <v>0</v>
      </c>
      <c r="AT589" s="1">
        <v>0</v>
      </c>
      <c r="AU589" s="1">
        <v>0</v>
      </c>
      <c r="AV589" s="1">
        <v>0</v>
      </c>
      <c r="AW589" s="1">
        <v>0</v>
      </c>
      <c r="AX589" s="1">
        <v>0</v>
      </c>
      <c r="AY589" s="1">
        <v>0</v>
      </c>
      <c r="AZ589" s="1">
        <v>0</v>
      </c>
      <c r="BA589" s="1">
        <v>0</v>
      </c>
      <c r="BB589" s="1">
        <v>0</v>
      </c>
      <c r="BC589" s="1">
        <v>0</v>
      </c>
      <c r="BD589" s="1">
        <v>0</v>
      </c>
      <c r="BE589" s="1">
        <v>0</v>
      </c>
      <c r="BF589" s="1">
        <v>0</v>
      </c>
      <c r="BG589" s="1">
        <v>0</v>
      </c>
      <c r="BH589" s="1">
        <v>0</v>
      </c>
      <c r="BI589" s="1">
        <v>0</v>
      </c>
      <c r="BJ589" s="1">
        <v>0</v>
      </c>
      <c r="BK589" s="1">
        <v>0</v>
      </c>
      <c r="BL589" s="1">
        <v>0</v>
      </c>
      <c r="BM589" s="1">
        <v>0</v>
      </c>
      <c r="BN589" s="1">
        <v>0</v>
      </c>
      <c r="BO589" s="1">
        <v>0</v>
      </c>
      <c r="BP589" s="1">
        <v>0</v>
      </c>
      <c r="BQ589" s="2" t="str">
        <f>HYPERLINK("http://www.d20pfsrd.com/magic/all-spells/v/vampiric-touch","Vampiric touch")</f>
        <v>Vampiric touch</v>
      </c>
      <c r="BR589" s="1">
        <v>590</v>
      </c>
      <c r="BS589" s="1" t="s">
        <v>104</v>
      </c>
      <c r="BT589" s="1" t="s">
        <v>3989</v>
      </c>
      <c r="BV589" s="1" t="s">
        <v>3990</v>
      </c>
      <c r="BX589" s="1">
        <v>1</v>
      </c>
      <c r="BY589" s="1">
        <v>3</v>
      </c>
      <c r="BZ589" s="1" t="s">
        <v>104</v>
      </c>
      <c r="CA589" s="1">
        <v>3</v>
      </c>
      <c r="CB589" s="1">
        <v>3</v>
      </c>
      <c r="CC589" s="1">
        <v>3</v>
      </c>
      <c r="CD589" s="1" t="s">
        <v>104</v>
      </c>
      <c r="CE589" s="1">
        <v>3</v>
      </c>
      <c r="CF589" s="1" t="s">
        <v>104</v>
      </c>
      <c r="CG589" s="1" t="s">
        <v>104</v>
      </c>
      <c r="CH589" s="1" t="s">
        <v>104</v>
      </c>
      <c r="CJ589" s="1">
        <v>0</v>
      </c>
      <c r="CK589" s="1">
        <v>0</v>
      </c>
      <c r="CL589" s="1">
        <v>0</v>
      </c>
      <c r="CM589" s="1" t="s">
        <v>104</v>
      </c>
    </row>
    <row r="590" spans="1:91" ht="14.25" customHeight="1" x14ac:dyDescent="0.3">
      <c r="A590" s="1" t="s">
        <v>3991</v>
      </c>
      <c r="B590" s="1" t="s">
        <v>507</v>
      </c>
      <c r="C590" s="1" t="s">
        <v>508</v>
      </c>
      <c r="E590" s="1" t="s">
        <v>2900</v>
      </c>
      <c r="F590" s="1" t="s">
        <v>95</v>
      </c>
      <c r="G590" s="1" t="s">
        <v>116</v>
      </c>
      <c r="H590" s="1">
        <v>0</v>
      </c>
      <c r="I590" s="1" t="s">
        <v>97</v>
      </c>
      <c r="L590" s="1" t="s">
        <v>1930</v>
      </c>
      <c r="M590" s="1" t="s">
        <v>3992</v>
      </c>
      <c r="N590" s="1">
        <v>1</v>
      </c>
      <c r="O590" s="1">
        <v>0</v>
      </c>
      <c r="P590" s="1" t="s">
        <v>418</v>
      </c>
      <c r="Q590" s="1" t="s">
        <v>3284</v>
      </c>
      <c r="R590" s="1" t="s">
        <v>3993</v>
      </c>
      <c r="S590" s="1" t="s">
        <v>103</v>
      </c>
      <c r="T590" s="1">
        <v>1</v>
      </c>
      <c r="U590" s="1">
        <v>1</v>
      </c>
      <c r="V590" s="1">
        <v>0</v>
      </c>
      <c r="W590" s="1">
        <v>0</v>
      </c>
      <c r="X590" s="1">
        <v>0</v>
      </c>
      <c r="Y590" s="1">
        <v>6</v>
      </c>
      <c r="Z590" s="1">
        <v>6</v>
      </c>
      <c r="AA590" s="1" t="s">
        <v>104</v>
      </c>
      <c r="AB590" s="1" t="s">
        <v>104</v>
      </c>
      <c r="AC590" s="1" t="s">
        <v>104</v>
      </c>
      <c r="AD590" s="1">
        <v>6</v>
      </c>
      <c r="AE590" s="1" t="s">
        <v>104</v>
      </c>
      <c r="AF590" s="1" t="s">
        <v>104</v>
      </c>
      <c r="AG590" s="1" t="s">
        <v>104</v>
      </c>
      <c r="AH590" s="1" t="s">
        <v>104</v>
      </c>
      <c r="AI590" s="1" t="s">
        <v>104</v>
      </c>
      <c r="AJ590" s="1" t="s">
        <v>104</v>
      </c>
      <c r="AK590" s="1" t="s">
        <v>104</v>
      </c>
      <c r="AL590" s="1" t="s">
        <v>104</v>
      </c>
      <c r="AM590" s="1" t="s">
        <v>104</v>
      </c>
      <c r="AO590" s="1">
        <v>6</v>
      </c>
      <c r="AP590" s="1" t="s">
        <v>3994</v>
      </c>
      <c r="AQ590" s="1" t="s">
        <v>3995</v>
      </c>
      <c r="AR590" s="1">
        <v>0</v>
      </c>
      <c r="AS590" s="1">
        <v>0</v>
      </c>
      <c r="AT590" s="1">
        <v>0</v>
      </c>
      <c r="AU590" s="1">
        <v>0</v>
      </c>
      <c r="AV590" s="1">
        <v>0</v>
      </c>
      <c r="AW590" s="1">
        <v>0</v>
      </c>
      <c r="AX590" s="1">
        <v>0</v>
      </c>
      <c r="AY590" s="1">
        <v>0</v>
      </c>
      <c r="AZ590" s="1">
        <v>0</v>
      </c>
      <c r="BA590" s="1">
        <v>0</v>
      </c>
      <c r="BB590" s="1">
        <v>0</v>
      </c>
      <c r="BC590" s="1">
        <v>0</v>
      </c>
      <c r="BD590" s="1">
        <v>0</v>
      </c>
      <c r="BE590" s="1">
        <v>0</v>
      </c>
      <c r="BF590" s="1">
        <v>0</v>
      </c>
      <c r="BG590" s="1">
        <v>0</v>
      </c>
      <c r="BH590" s="1">
        <v>0</v>
      </c>
      <c r="BI590" s="1">
        <v>0</v>
      </c>
      <c r="BJ590" s="1">
        <v>0</v>
      </c>
      <c r="BK590" s="1">
        <v>0</v>
      </c>
      <c r="BL590" s="1">
        <v>0</v>
      </c>
      <c r="BM590" s="1">
        <v>0</v>
      </c>
      <c r="BN590" s="1">
        <v>0</v>
      </c>
      <c r="BO590" s="1">
        <v>0</v>
      </c>
      <c r="BP590" s="1">
        <v>0</v>
      </c>
      <c r="BQ590" s="2" t="str">
        <f>HYPERLINK("http://www.d20pfsrd.com/magic/all-spells/v/veil","Veil")</f>
        <v>Veil</v>
      </c>
      <c r="BR590" s="1">
        <v>592</v>
      </c>
      <c r="BS590" s="1" t="s">
        <v>104</v>
      </c>
      <c r="BT590" s="1" t="s">
        <v>3996</v>
      </c>
      <c r="BX590" s="1">
        <v>0</v>
      </c>
      <c r="BY590" s="1" t="s">
        <v>104</v>
      </c>
      <c r="BZ590" s="1" t="s">
        <v>104</v>
      </c>
      <c r="CA590" s="1">
        <v>6</v>
      </c>
      <c r="CB590" s="1" t="s">
        <v>104</v>
      </c>
      <c r="CC590" s="1">
        <v>6</v>
      </c>
      <c r="CD590" s="1" t="s">
        <v>104</v>
      </c>
      <c r="CE590" s="1" t="s">
        <v>104</v>
      </c>
      <c r="CF590" s="1" t="s">
        <v>104</v>
      </c>
      <c r="CG590" s="1" t="s">
        <v>104</v>
      </c>
      <c r="CH590" s="1" t="s">
        <v>104</v>
      </c>
      <c r="CJ590" s="1">
        <v>0</v>
      </c>
      <c r="CK590" s="1">
        <v>0</v>
      </c>
      <c r="CL590" s="1">
        <v>0</v>
      </c>
      <c r="CM590" s="1" t="s">
        <v>104</v>
      </c>
    </row>
    <row r="591" spans="1:91" ht="14.25" customHeight="1" x14ac:dyDescent="0.3">
      <c r="A591" s="1" t="s">
        <v>3997</v>
      </c>
      <c r="B591" s="1" t="s">
        <v>507</v>
      </c>
      <c r="C591" s="1" t="s">
        <v>1767</v>
      </c>
      <c r="E591" s="1" t="s">
        <v>3998</v>
      </c>
      <c r="F591" s="1" t="s">
        <v>95</v>
      </c>
      <c r="G591" s="1" t="s">
        <v>3999</v>
      </c>
      <c r="H591" s="1">
        <v>0</v>
      </c>
      <c r="I591" s="1" t="s">
        <v>117</v>
      </c>
      <c r="K591" s="1" t="s">
        <v>4000</v>
      </c>
      <c r="M591" s="1" t="s">
        <v>130</v>
      </c>
      <c r="N591" s="1">
        <v>1</v>
      </c>
      <c r="O591" s="1">
        <v>0</v>
      </c>
      <c r="P591" s="1" t="s">
        <v>1894</v>
      </c>
      <c r="Q591" s="1" t="s">
        <v>101</v>
      </c>
      <c r="R591" s="1" t="s">
        <v>4001</v>
      </c>
      <c r="S591" s="1" t="s">
        <v>103</v>
      </c>
      <c r="T591" s="1">
        <v>1</v>
      </c>
      <c r="U591" s="1">
        <v>0</v>
      </c>
      <c r="V591" s="1">
        <v>0</v>
      </c>
      <c r="W591" s="1">
        <v>1</v>
      </c>
      <c r="X591" s="1">
        <v>0</v>
      </c>
      <c r="Y591" s="1">
        <v>1</v>
      </c>
      <c r="Z591" s="1">
        <v>1</v>
      </c>
      <c r="AA591" s="1" t="s">
        <v>104</v>
      </c>
      <c r="AB591" s="1" t="s">
        <v>104</v>
      </c>
      <c r="AC591" s="1" t="s">
        <v>104</v>
      </c>
      <c r="AD591" s="1">
        <v>1</v>
      </c>
      <c r="AE591" s="1" t="s">
        <v>104</v>
      </c>
      <c r="AF591" s="1" t="s">
        <v>104</v>
      </c>
      <c r="AG591" s="1">
        <v>1</v>
      </c>
      <c r="AH591" s="1" t="s">
        <v>104</v>
      </c>
      <c r="AI591" s="1" t="s">
        <v>104</v>
      </c>
      <c r="AJ591" s="1" t="s">
        <v>104</v>
      </c>
      <c r="AK591" s="1" t="s">
        <v>104</v>
      </c>
      <c r="AL591" s="1" t="s">
        <v>104</v>
      </c>
      <c r="AM591" s="1" t="s">
        <v>104</v>
      </c>
      <c r="AO591" s="1">
        <v>1</v>
      </c>
      <c r="AQ591" s="1" t="s">
        <v>4002</v>
      </c>
      <c r="AR591" s="1">
        <v>0</v>
      </c>
      <c r="AS591" s="1">
        <v>0</v>
      </c>
      <c r="AT591" s="1">
        <v>0</v>
      </c>
      <c r="AU591" s="1">
        <v>0</v>
      </c>
      <c r="AV591" s="1">
        <v>0</v>
      </c>
      <c r="AW591" s="1">
        <v>0</v>
      </c>
      <c r="AX591" s="1">
        <v>0</v>
      </c>
      <c r="AY591" s="1">
        <v>0</v>
      </c>
      <c r="AZ591" s="1">
        <v>0</v>
      </c>
      <c r="BA591" s="1">
        <v>0</v>
      </c>
      <c r="BB591" s="1">
        <v>0</v>
      </c>
      <c r="BC591" s="1">
        <v>0</v>
      </c>
      <c r="BD591" s="1">
        <v>0</v>
      </c>
      <c r="BE591" s="1">
        <v>0</v>
      </c>
      <c r="BF591" s="1">
        <v>0</v>
      </c>
      <c r="BG591" s="1">
        <v>0</v>
      </c>
      <c r="BH591" s="1">
        <v>0</v>
      </c>
      <c r="BI591" s="1">
        <v>0</v>
      </c>
      <c r="BJ591" s="1">
        <v>0</v>
      </c>
      <c r="BK591" s="1">
        <v>0</v>
      </c>
      <c r="BL591" s="1">
        <v>0</v>
      </c>
      <c r="BM591" s="1">
        <v>0</v>
      </c>
      <c r="BN591" s="1">
        <v>0</v>
      </c>
      <c r="BO591" s="1">
        <v>0</v>
      </c>
      <c r="BP591" s="1">
        <v>0</v>
      </c>
      <c r="BQ591" s="2" t="str">
        <f>HYPERLINK("http://www.d20pfsrd.com/magic/all-spells/v/ventriloquism","Ventriloquism")</f>
        <v>Ventriloquism</v>
      </c>
      <c r="BR591" s="1">
        <v>593</v>
      </c>
      <c r="BS591" s="1" t="s">
        <v>104</v>
      </c>
      <c r="BT591" s="1" t="s">
        <v>4003</v>
      </c>
      <c r="BU591" s="1" t="s">
        <v>4004</v>
      </c>
      <c r="BX591" s="1">
        <v>0</v>
      </c>
      <c r="BY591" s="1" t="s">
        <v>104</v>
      </c>
      <c r="BZ591" s="1" t="s">
        <v>104</v>
      </c>
      <c r="CA591" s="1">
        <v>1</v>
      </c>
      <c r="CB591" s="1">
        <v>1</v>
      </c>
      <c r="CC591" s="1">
        <v>1</v>
      </c>
      <c r="CD591" s="1" t="s">
        <v>104</v>
      </c>
      <c r="CE591" s="1">
        <v>1</v>
      </c>
      <c r="CF591" s="1" t="s">
        <v>104</v>
      </c>
      <c r="CG591" s="1" t="s">
        <v>104</v>
      </c>
      <c r="CH591" s="1" t="s">
        <v>104</v>
      </c>
      <c r="CJ591" s="1">
        <v>0</v>
      </c>
      <c r="CK591" s="1">
        <v>0</v>
      </c>
      <c r="CL591" s="1">
        <v>0</v>
      </c>
      <c r="CM591" s="1">
        <v>1</v>
      </c>
    </row>
    <row r="592" spans="1:91" ht="14.25" customHeight="1" x14ac:dyDescent="0.3">
      <c r="A592" s="1" t="s">
        <v>4005</v>
      </c>
      <c r="B592" s="1" t="s">
        <v>137</v>
      </c>
      <c r="E592" s="1" t="s">
        <v>4006</v>
      </c>
      <c r="F592" s="1" t="s">
        <v>95</v>
      </c>
      <c r="G592" s="1" t="s">
        <v>127</v>
      </c>
      <c r="H592" s="1">
        <v>0</v>
      </c>
      <c r="I592" s="1" t="s">
        <v>128</v>
      </c>
      <c r="L592" s="1" t="s">
        <v>374</v>
      </c>
      <c r="M592" s="1" t="s">
        <v>4007</v>
      </c>
      <c r="N592" s="1">
        <v>0</v>
      </c>
      <c r="O592" s="1">
        <v>0</v>
      </c>
      <c r="P592" s="1" t="s">
        <v>100</v>
      </c>
      <c r="Q592" s="1" t="s">
        <v>131</v>
      </c>
      <c r="R592" s="1" t="s">
        <v>4008</v>
      </c>
      <c r="S592" s="1" t="s">
        <v>103</v>
      </c>
      <c r="T592" s="1">
        <v>1</v>
      </c>
      <c r="U592" s="1">
        <v>1</v>
      </c>
      <c r="V592" s="1">
        <v>0</v>
      </c>
      <c r="W592" s="1">
        <v>0</v>
      </c>
      <c r="X592" s="1">
        <v>1</v>
      </c>
      <c r="Y592" s="1" t="s">
        <v>104</v>
      </c>
      <c r="Z592" s="1" t="s">
        <v>104</v>
      </c>
      <c r="AA592" s="1">
        <v>0</v>
      </c>
      <c r="AB592" s="1">
        <v>0</v>
      </c>
      <c r="AC592" s="1" t="s">
        <v>104</v>
      </c>
      <c r="AD592" s="1" t="s">
        <v>104</v>
      </c>
      <c r="AE592" s="1">
        <v>1</v>
      </c>
      <c r="AF592" s="1" t="s">
        <v>104</v>
      </c>
      <c r="AG592" s="1" t="s">
        <v>104</v>
      </c>
      <c r="AH592" s="1" t="s">
        <v>104</v>
      </c>
      <c r="AI592" s="1">
        <v>0</v>
      </c>
      <c r="AJ592" s="1">
        <v>0</v>
      </c>
      <c r="AK592" s="1" t="s">
        <v>104</v>
      </c>
      <c r="AL592" s="1" t="s">
        <v>104</v>
      </c>
      <c r="AM592" s="1" t="s">
        <v>104</v>
      </c>
      <c r="AO592" s="1">
        <v>0</v>
      </c>
      <c r="AQ592" s="1" t="s">
        <v>4009</v>
      </c>
      <c r="AR592" s="1">
        <v>0</v>
      </c>
      <c r="AS592" s="1">
        <v>0</v>
      </c>
      <c r="AT592" s="1">
        <v>0</v>
      </c>
      <c r="AU592" s="1">
        <v>0</v>
      </c>
      <c r="AV592" s="1">
        <v>0</v>
      </c>
      <c r="AW592" s="1">
        <v>0</v>
      </c>
      <c r="AX592" s="1">
        <v>0</v>
      </c>
      <c r="AY592" s="1">
        <v>0</v>
      </c>
      <c r="AZ592" s="1">
        <v>0</v>
      </c>
      <c r="BA592" s="1">
        <v>0</v>
      </c>
      <c r="BB592" s="1">
        <v>0</v>
      </c>
      <c r="BC592" s="1">
        <v>0</v>
      </c>
      <c r="BD592" s="1">
        <v>0</v>
      </c>
      <c r="BE592" s="1">
        <v>0</v>
      </c>
      <c r="BF592" s="1">
        <v>0</v>
      </c>
      <c r="BG592" s="1">
        <v>0</v>
      </c>
      <c r="BH592" s="1">
        <v>0</v>
      </c>
      <c r="BI592" s="1">
        <v>0</v>
      </c>
      <c r="BJ592" s="1">
        <v>0</v>
      </c>
      <c r="BK592" s="1">
        <v>0</v>
      </c>
      <c r="BL592" s="1">
        <v>0</v>
      </c>
      <c r="BM592" s="1">
        <v>0</v>
      </c>
      <c r="BN592" s="1">
        <v>0</v>
      </c>
      <c r="BO592" s="1">
        <v>0</v>
      </c>
      <c r="BP592" s="1">
        <v>0</v>
      </c>
      <c r="BQ592" s="2" t="str">
        <f>HYPERLINK("http://www.d20pfsrd.com/magic/all-spells/v/virtue","Virtue")</f>
        <v>Virtue</v>
      </c>
      <c r="BR592" s="1">
        <v>594</v>
      </c>
      <c r="BS592" s="1" t="s">
        <v>104</v>
      </c>
      <c r="BX592" s="1">
        <v>0</v>
      </c>
      <c r="BY592" s="1" t="s">
        <v>104</v>
      </c>
      <c r="BZ592" s="1">
        <v>0</v>
      </c>
      <c r="CA592" s="1">
        <v>0</v>
      </c>
      <c r="CB592" s="1">
        <v>0</v>
      </c>
      <c r="CC592" s="1" t="s">
        <v>104</v>
      </c>
      <c r="CD592" s="1" t="s">
        <v>104</v>
      </c>
      <c r="CE592" s="1">
        <v>0</v>
      </c>
      <c r="CF592" s="1" t="s">
        <v>104</v>
      </c>
      <c r="CG592" s="1" t="s">
        <v>104</v>
      </c>
      <c r="CH592" s="1">
        <v>0</v>
      </c>
      <c r="CJ592" s="1">
        <v>0</v>
      </c>
      <c r="CK592" s="1">
        <v>0</v>
      </c>
      <c r="CL592" s="1">
        <v>0</v>
      </c>
      <c r="CM592" s="1" t="s">
        <v>104</v>
      </c>
    </row>
    <row r="593" spans="1:91" ht="14.25" customHeight="1" x14ac:dyDescent="0.3">
      <c r="A593" s="1" t="s">
        <v>4010</v>
      </c>
      <c r="B593" s="1" t="s">
        <v>172</v>
      </c>
      <c r="E593" s="1" t="s">
        <v>4011</v>
      </c>
      <c r="F593" s="1" t="s">
        <v>95</v>
      </c>
      <c r="G593" s="1" t="s">
        <v>2250</v>
      </c>
      <c r="H593" s="1">
        <v>1</v>
      </c>
      <c r="I593" s="1" t="s">
        <v>157</v>
      </c>
      <c r="L593" s="1" t="s">
        <v>158</v>
      </c>
      <c r="M593" s="1" t="s">
        <v>145</v>
      </c>
      <c r="N593" s="1">
        <v>0</v>
      </c>
      <c r="O593" s="1">
        <v>0</v>
      </c>
      <c r="R593" s="1" t="s">
        <v>4012</v>
      </c>
      <c r="S593" s="1" t="s">
        <v>103</v>
      </c>
      <c r="T593" s="1">
        <v>1</v>
      </c>
      <c r="U593" s="1">
        <v>1</v>
      </c>
      <c r="V593" s="1">
        <v>1</v>
      </c>
      <c r="W593" s="1">
        <v>1</v>
      </c>
      <c r="X593" s="1">
        <v>0</v>
      </c>
      <c r="Y593" s="1">
        <v>7</v>
      </c>
      <c r="Z593" s="1">
        <v>7</v>
      </c>
      <c r="AA593" s="1" t="s">
        <v>104</v>
      </c>
      <c r="AB593" s="1" t="s">
        <v>104</v>
      </c>
      <c r="AC593" s="1" t="s">
        <v>104</v>
      </c>
      <c r="AD593" s="1" t="s">
        <v>104</v>
      </c>
      <c r="AE593" s="1" t="s">
        <v>104</v>
      </c>
      <c r="AF593" s="1" t="s">
        <v>104</v>
      </c>
      <c r="AG593" s="1" t="s">
        <v>104</v>
      </c>
      <c r="AH593" s="1">
        <v>7</v>
      </c>
      <c r="AI593" s="1" t="s">
        <v>104</v>
      </c>
      <c r="AJ593" s="1" t="s">
        <v>104</v>
      </c>
      <c r="AK593" s="1" t="s">
        <v>104</v>
      </c>
      <c r="AL593" s="1" t="s">
        <v>104</v>
      </c>
      <c r="AM593" s="1" t="s">
        <v>104</v>
      </c>
      <c r="AO593" s="1">
        <v>7</v>
      </c>
      <c r="AQ593" s="1" t="s">
        <v>4013</v>
      </c>
      <c r="AR593" s="1">
        <v>0</v>
      </c>
      <c r="AS593" s="1">
        <v>0</v>
      </c>
      <c r="AT593" s="1">
        <v>0</v>
      </c>
      <c r="AU593" s="1">
        <v>0</v>
      </c>
      <c r="AV593" s="1">
        <v>0</v>
      </c>
      <c r="AW593" s="1">
        <v>0</v>
      </c>
      <c r="AX593" s="1">
        <v>0</v>
      </c>
      <c r="AY593" s="1">
        <v>0</v>
      </c>
      <c r="AZ593" s="1">
        <v>0</v>
      </c>
      <c r="BA593" s="1">
        <v>0</v>
      </c>
      <c r="BB593" s="1">
        <v>0</v>
      </c>
      <c r="BC593" s="1">
        <v>0</v>
      </c>
      <c r="BD593" s="1">
        <v>0</v>
      </c>
      <c r="BE593" s="1">
        <v>0</v>
      </c>
      <c r="BF593" s="1">
        <v>0</v>
      </c>
      <c r="BG593" s="1">
        <v>0</v>
      </c>
      <c r="BH593" s="1">
        <v>0</v>
      </c>
      <c r="BI593" s="1">
        <v>0</v>
      </c>
      <c r="BJ593" s="1">
        <v>0</v>
      </c>
      <c r="BK593" s="1">
        <v>0</v>
      </c>
      <c r="BL593" s="1">
        <v>0</v>
      </c>
      <c r="BM593" s="1">
        <v>0</v>
      </c>
      <c r="BN593" s="1">
        <v>0</v>
      </c>
      <c r="BO593" s="1">
        <v>0</v>
      </c>
      <c r="BP593" s="1">
        <v>0</v>
      </c>
      <c r="BQ593" s="2" t="str">
        <f>HYPERLINK("http://www.d20pfsrd.com/magic/all-spells/v/vision","Vision")</f>
        <v>Vision</v>
      </c>
      <c r="BR593" s="1">
        <v>595</v>
      </c>
      <c r="BS593" s="1">
        <v>250</v>
      </c>
      <c r="BT593" s="1" t="s">
        <v>4014</v>
      </c>
      <c r="BU593" s="1" t="s">
        <v>4015</v>
      </c>
      <c r="BX593" s="1">
        <v>0</v>
      </c>
      <c r="BY593" s="1" t="s">
        <v>104</v>
      </c>
      <c r="BZ593" s="1">
        <v>7</v>
      </c>
      <c r="CA593" s="1">
        <v>7</v>
      </c>
      <c r="CB593" s="1" t="s">
        <v>104</v>
      </c>
      <c r="CC593" s="1" t="s">
        <v>104</v>
      </c>
      <c r="CD593" s="1" t="s">
        <v>104</v>
      </c>
      <c r="CE593" s="1" t="s">
        <v>104</v>
      </c>
      <c r="CF593" s="1" t="s">
        <v>104</v>
      </c>
      <c r="CG593" s="1" t="s">
        <v>104</v>
      </c>
      <c r="CH593" s="1" t="s">
        <v>104</v>
      </c>
      <c r="CJ593" s="1">
        <v>0</v>
      </c>
      <c r="CK593" s="1">
        <v>0</v>
      </c>
      <c r="CL593" s="1">
        <v>0</v>
      </c>
      <c r="CM593" s="1" t="s">
        <v>104</v>
      </c>
    </row>
    <row r="594" spans="1:91" ht="14.25" customHeight="1" x14ac:dyDescent="0.3">
      <c r="A594" s="1" t="s">
        <v>4016</v>
      </c>
      <c r="B594" s="1" t="s">
        <v>216</v>
      </c>
      <c r="D594" s="1" t="s">
        <v>4017</v>
      </c>
      <c r="E594" s="1" t="s">
        <v>4018</v>
      </c>
      <c r="F594" s="1" t="s">
        <v>95</v>
      </c>
      <c r="G594" s="1" t="s">
        <v>237</v>
      </c>
      <c r="H594" s="1">
        <v>0</v>
      </c>
      <c r="I594" s="1" t="s">
        <v>117</v>
      </c>
      <c r="L594" s="1" t="s">
        <v>4019</v>
      </c>
      <c r="M594" s="1" t="s">
        <v>119</v>
      </c>
      <c r="N594" s="1">
        <v>0</v>
      </c>
      <c r="O594" s="1">
        <v>0</v>
      </c>
      <c r="P594" s="1" t="s">
        <v>183</v>
      </c>
      <c r="Q594" s="1" t="s">
        <v>184</v>
      </c>
      <c r="R594" s="1" t="s">
        <v>4020</v>
      </c>
      <c r="S594" s="1" t="s">
        <v>103</v>
      </c>
      <c r="T594" s="1">
        <v>1</v>
      </c>
      <c r="U594" s="1">
        <v>0</v>
      </c>
      <c r="V594" s="1">
        <v>0</v>
      </c>
      <c r="W594" s="1">
        <v>0</v>
      </c>
      <c r="X594" s="1">
        <v>0</v>
      </c>
      <c r="Y594" s="1">
        <v>9</v>
      </c>
      <c r="Z594" s="1">
        <v>9</v>
      </c>
      <c r="AA594" s="1" t="s">
        <v>104</v>
      </c>
      <c r="AB594" s="1" t="s">
        <v>104</v>
      </c>
      <c r="AC594" s="1" t="s">
        <v>104</v>
      </c>
      <c r="AD594" s="1" t="s">
        <v>104</v>
      </c>
      <c r="AE594" s="1" t="s">
        <v>104</v>
      </c>
      <c r="AF594" s="1" t="s">
        <v>104</v>
      </c>
      <c r="AG594" s="1" t="s">
        <v>104</v>
      </c>
      <c r="AH594" s="1">
        <v>9</v>
      </c>
      <c r="AI594" s="1" t="s">
        <v>104</v>
      </c>
      <c r="AJ594" s="1" t="s">
        <v>104</v>
      </c>
      <c r="AK594" s="1" t="s">
        <v>104</v>
      </c>
      <c r="AL594" s="1" t="s">
        <v>104</v>
      </c>
      <c r="AM594" s="1" t="s">
        <v>104</v>
      </c>
      <c r="AO594" s="1">
        <v>9</v>
      </c>
      <c r="AP594" s="1" t="s">
        <v>4021</v>
      </c>
      <c r="AQ594" s="1" t="s">
        <v>4022</v>
      </c>
      <c r="AR594" s="1">
        <v>0</v>
      </c>
      <c r="AS594" s="1">
        <v>0</v>
      </c>
      <c r="AT594" s="1">
        <v>0</v>
      </c>
      <c r="AU594" s="1">
        <v>0</v>
      </c>
      <c r="AV594" s="1">
        <v>0</v>
      </c>
      <c r="AW594" s="1">
        <v>0</v>
      </c>
      <c r="AX594" s="1">
        <v>1</v>
      </c>
      <c r="AY594" s="1">
        <v>0</v>
      </c>
      <c r="AZ594" s="1">
        <v>0</v>
      </c>
      <c r="BA594" s="1">
        <v>0</v>
      </c>
      <c r="BB594" s="1">
        <v>0</v>
      </c>
      <c r="BC594" s="1">
        <v>0</v>
      </c>
      <c r="BD594" s="1">
        <v>0</v>
      </c>
      <c r="BE594" s="1">
        <v>0</v>
      </c>
      <c r="BF594" s="1">
        <v>0</v>
      </c>
      <c r="BG594" s="1">
        <v>0</v>
      </c>
      <c r="BH594" s="1">
        <v>0</v>
      </c>
      <c r="BI594" s="1">
        <v>0</v>
      </c>
      <c r="BJ594" s="1">
        <v>0</v>
      </c>
      <c r="BK594" s="1">
        <v>0</v>
      </c>
      <c r="BL594" s="1">
        <v>0</v>
      </c>
      <c r="BM594" s="1">
        <v>0</v>
      </c>
      <c r="BN594" s="1">
        <v>0</v>
      </c>
      <c r="BO594" s="1">
        <v>1</v>
      </c>
      <c r="BP594" s="1">
        <v>0</v>
      </c>
      <c r="BQ594" s="2" t="str">
        <f>HYPERLINK("http://www.d20pfsrd.com/magic/all-spells/w/wail-of-the-banshee","Wail of the Banshee")</f>
        <v>Wail of the Banshee</v>
      </c>
      <c r="BR594" s="1">
        <v>596</v>
      </c>
      <c r="BS594" s="1" t="s">
        <v>104</v>
      </c>
      <c r="BT594" s="1" t="s">
        <v>4023</v>
      </c>
      <c r="BX594" s="1">
        <v>0</v>
      </c>
      <c r="BY594" s="1" t="s">
        <v>104</v>
      </c>
      <c r="BZ594" s="1">
        <v>9</v>
      </c>
      <c r="CA594" s="1">
        <v>9</v>
      </c>
      <c r="CB594" s="1" t="s">
        <v>104</v>
      </c>
      <c r="CC594" s="1" t="s">
        <v>104</v>
      </c>
      <c r="CD594" s="1" t="s">
        <v>104</v>
      </c>
      <c r="CE594" s="1" t="s">
        <v>104</v>
      </c>
      <c r="CF594" s="1" t="s">
        <v>104</v>
      </c>
      <c r="CG594" s="1" t="s">
        <v>104</v>
      </c>
      <c r="CH594" s="1" t="s">
        <v>104</v>
      </c>
      <c r="CJ594" s="1">
        <v>0</v>
      </c>
      <c r="CK594" s="1">
        <v>0</v>
      </c>
      <c r="CL594" s="1">
        <v>0</v>
      </c>
      <c r="CM594" s="1" t="s">
        <v>104</v>
      </c>
    </row>
    <row r="595" spans="1:91" ht="14.25" customHeight="1" x14ac:dyDescent="0.3">
      <c r="A595" s="1" t="s">
        <v>4024</v>
      </c>
      <c r="B595" s="1" t="s">
        <v>434</v>
      </c>
      <c r="D595" s="1" t="s">
        <v>56</v>
      </c>
      <c r="E595" s="1" t="s">
        <v>4025</v>
      </c>
      <c r="F595" s="1" t="s">
        <v>95</v>
      </c>
      <c r="G595" s="1" t="s">
        <v>4026</v>
      </c>
      <c r="H595" s="1">
        <v>0</v>
      </c>
      <c r="I595" s="1" t="s">
        <v>109</v>
      </c>
      <c r="K595" s="1" t="s">
        <v>4027</v>
      </c>
      <c r="M595" s="1" t="s">
        <v>2313</v>
      </c>
      <c r="N595" s="1">
        <v>0</v>
      </c>
      <c r="O595" s="1">
        <v>0</v>
      </c>
      <c r="P595" s="1" t="s">
        <v>100</v>
      </c>
      <c r="Q595" s="1" t="s">
        <v>184</v>
      </c>
      <c r="R595" s="1" t="s">
        <v>4028</v>
      </c>
      <c r="S595" s="1" t="s">
        <v>103</v>
      </c>
      <c r="T595" s="1">
        <v>1</v>
      </c>
      <c r="U595" s="1">
        <v>1</v>
      </c>
      <c r="V595" s="1">
        <v>1</v>
      </c>
      <c r="W595" s="1">
        <v>0</v>
      </c>
      <c r="X595" s="1">
        <v>1</v>
      </c>
      <c r="Y595" s="1">
        <v>4</v>
      </c>
      <c r="Z595" s="1">
        <v>4</v>
      </c>
      <c r="AA595" s="1" t="s">
        <v>104</v>
      </c>
      <c r="AB595" s="1">
        <v>5</v>
      </c>
      <c r="AC595" s="1" t="s">
        <v>104</v>
      </c>
      <c r="AD595" s="1" t="s">
        <v>104</v>
      </c>
      <c r="AE595" s="1" t="s">
        <v>104</v>
      </c>
      <c r="AF595" s="1" t="s">
        <v>104</v>
      </c>
      <c r="AG595" s="1">
        <v>3</v>
      </c>
      <c r="AH595" s="1" t="s">
        <v>104</v>
      </c>
      <c r="AI595" s="1" t="s">
        <v>104</v>
      </c>
      <c r="AJ595" s="1" t="s">
        <v>104</v>
      </c>
      <c r="AK595" s="1" t="s">
        <v>104</v>
      </c>
      <c r="AL595" s="1">
        <v>4</v>
      </c>
      <c r="AM595" s="1">
        <v>4</v>
      </c>
      <c r="AO595" s="1">
        <v>4</v>
      </c>
      <c r="AP595" s="1" t="s">
        <v>4029</v>
      </c>
      <c r="AQ595" s="1" t="s">
        <v>4030</v>
      </c>
      <c r="AR595" s="1">
        <v>0</v>
      </c>
      <c r="AS595" s="1">
        <v>0</v>
      </c>
      <c r="AT595" s="1">
        <v>0</v>
      </c>
      <c r="AU595" s="1">
        <v>0</v>
      </c>
      <c r="AV595" s="1">
        <v>0</v>
      </c>
      <c r="AW595" s="1">
        <v>0</v>
      </c>
      <c r="AX595" s="1">
        <v>0</v>
      </c>
      <c r="AY595" s="1">
        <v>0</v>
      </c>
      <c r="AZ595" s="1">
        <v>0</v>
      </c>
      <c r="BA595" s="1">
        <v>0</v>
      </c>
      <c r="BB595" s="1">
        <v>0</v>
      </c>
      <c r="BC595" s="1">
        <v>0</v>
      </c>
      <c r="BD595" s="1">
        <v>0</v>
      </c>
      <c r="BE595" s="1">
        <v>1</v>
      </c>
      <c r="BF595" s="1">
        <v>0</v>
      </c>
      <c r="BG595" s="1">
        <v>0</v>
      </c>
      <c r="BH595" s="1">
        <v>0</v>
      </c>
      <c r="BI595" s="1">
        <v>0</v>
      </c>
      <c r="BJ595" s="1">
        <v>0</v>
      </c>
      <c r="BK595" s="1">
        <v>0</v>
      </c>
      <c r="BL595" s="1">
        <v>0</v>
      </c>
      <c r="BM595" s="1">
        <v>0</v>
      </c>
      <c r="BN595" s="1">
        <v>0</v>
      </c>
      <c r="BO595" s="1">
        <v>0</v>
      </c>
      <c r="BP595" s="1">
        <v>0</v>
      </c>
      <c r="BQ595" s="2" t="str">
        <f>HYPERLINK("http://www.d20pfsrd.com/magic/all-spells/w/wall-of-fire","Wall of Fire")</f>
        <v>Wall of Fire</v>
      </c>
      <c r="BR595" s="1">
        <v>597</v>
      </c>
      <c r="BS595" s="1" t="s">
        <v>104</v>
      </c>
      <c r="BT595" s="1" t="s">
        <v>4031</v>
      </c>
      <c r="BU595" s="1" t="s">
        <v>4032</v>
      </c>
      <c r="BV595" s="1" t="s">
        <v>4033</v>
      </c>
      <c r="BW595" s="1" t="s">
        <v>4034</v>
      </c>
      <c r="BX595" s="1">
        <v>1</v>
      </c>
      <c r="BY595" s="1">
        <v>4</v>
      </c>
      <c r="BZ595" s="1">
        <v>5</v>
      </c>
      <c r="CA595" s="1" t="s">
        <v>104</v>
      </c>
      <c r="CB595" s="1" t="s">
        <v>104</v>
      </c>
      <c r="CC595" s="1" t="s">
        <v>104</v>
      </c>
      <c r="CD595" s="1">
        <v>4</v>
      </c>
      <c r="CE595" s="1" t="s">
        <v>104</v>
      </c>
      <c r="CF595" s="1" t="s">
        <v>104</v>
      </c>
      <c r="CG595" s="1" t="s">
        <v>104</v>
      </c>
      <c r="CH595" s="1">
        <v>5</v>
      </c>
      <c r="CJ595" s="1">
        <v>0</v>
      </c>
      <c r="CK595" s="1">
        <v>0</v>
      </c>
      <c r="CL595" s="1">
        <v>0</v>
      </c>
      <c r="CM595" s="1">
        <v>4</v>
      </c>
    </row>
    <row r="596" spans="1:91" ht="14.25" customHeight="1" x14ac:dyDescent="0.3">
      <c r="A596" s="1" t="s">
        <v>4035</v>
      </c>
      <c r="B596" s="1" t="s">
        <v>434</v>
      </c>
      <c r="D596" s="1" t="s">
        <v>57</v>
      </c>
      <c r="E596" s="1" t="s">
        <v>2171</v>
      </c>
      <c r="F596" s="1" t="s">
        <v>95</v>
      </c>
      <c r="G596" s="1" t="s">
        <v>4036</v>
      </c>
      <c r="H596" s="1">
        <v>0</v>
      </c>
      <c r="I596" s="1" t="s">
        <v>117</v>
      </c>
      <c r="K596" s="1" t="s">
        <v>4037</v>
      </c>
      <c r="M596" s="1" t="s">
        <v>4038</v>
      </c>
      <c r="N596" s="1">
        <v>1</v>
      </c>
      <c r="O596" s="1">
        <v>0</v>
      </c>
      <c r="P596" s="1" t="s">
        <v>100</v>
      </c>
      <c r="Q596" s="1" t="s">
        <v>101</v>
      </c>
      <c r="R596" s="1" t="s">
        <v>4039</v>
      </c>
      <c r="S596" s="1" t="s">
        <v>103</v>
      </c>
      <c r="T596" s="1">
        <v>1</v>
      </c>
      <c r="U596" s="1">
        <v>1</v>
      </c>
      <c r="V596" s="1">
        <v>1</v>
      </c>
      <c r="W596" s="1">
        <v>0</v>
      </c>
      <c r="X596" s="1">
        <v>0</v>
      </c>
      <c r="Y596" s="1">
        <v>5</v>
      </c>
      <c r="Z596" s="1">
        <v>5</v>
      </c>
      <c r="AA596" s="1" t="s">
        <v>104</v>
      </c>
      <c r="AB596" s="1" t="s">
        <v>104</v>
      </c>
      <c r="AC596" s="1" t="s">
        <v>104</v>
      </c>
      <c r="AD596" s="1" t="s">
        <v>104</v>
      </c>
      <c r="AE596" s="1" t="s">
        <v>104</v>
      </c>
      <c r="AF596" s="1" t="s">
        <v>104</v>
      </c>
      <c r="AG596" s="1" t="s">
        <v>104</v>
      </c>
      <c r="AH596" s="1" t="s">
        <v>104</v>
      </c>
      <c r="AI596" s="1" t="s">
        <v>104</v>
      </c>
      <c r="AJ596" s="1" t="s">
        <v>104</v>
      </c>
      <c r="AK596" s="1" t="s">
        <v>104</v>
      </c>
      <c r="AL596" s="1">
        <v>5</v>
      </c>
      <c r="AM596" s="1" t="s">
        <v>104</v>
      </c>
      <c r="AO596" s="1">
        <v>5</v>
      </c>
      <c r="AP596" s="1" t="s">
        <v>4040</v>
      </c>
      <c r="AQ596" s="1" t="s">
        <v>4041</v>
      </c>
      <c r="AR596" s="1">
        <v>0</v>
      </c>
      <c r="AS596" s="1">
        <v>0</v>
      </c>
      <c r="AT596" s="1">
        <v>0</v>
      </c>
      <c r="AU596" s="1">
        <v>0</v>
      </c>
      <c r="AV596" s="1">
        <v>0</v>
      </c>
      <c r="AW596" s="1">
        <v>0</v>
      </c>
      <c r="AX596" s="1">
        <v>0</v>
      </c>
      <c r="AY596" s="1">
        <v>0</v>
      </c>
      <c r="AZ596" s="1">
        <v>0</v>
      </c>
      <c r="BA596" s="1">
        <v>0</v>
      </c>
      <c r="BB596" s="1">
        <v>0</v>
      </c>
      <c r="BC596" s="1">
        <v>0</v>
      </c>
      <c r="BD596" s="1">
        <v>0</v>
      </c>
      <c r="BE596" s="1">
        <v>0</v>
      </c>
      <c r="BF596" s="1">
        <v>1</v>
      </c>
      <c r="BG596" s="1">
        <v>0</v>
      </c>
      <c r="BH596" s="1">
        <v>0</v>
      </c>
      <c r="BI596" s="1">
        <v>0</v>
      </c>
      <c r="BJ596" s="1">
        <v>0</v>
      </c>
      <c r="BK596" s="1">
        <v>0</v>
      </c>
      <c r="BL596" s="1">
        <v>0</v>
      </c>
      <c r="BM596" s="1">
        <v>0</v>
      </c>
      <c r="BN596" s="1">
        <v>0</v>
      </c>
      <c r="BO596" s="1">
        <v>0</v>
      </c>
      <c r="BP596" s="1">
        <v>0</v>
      </c>
      <c r="BQ596" s="2" t="str">
        <f>HYPERLINK("http://www.d20pfsrd.com/magic/all-spells/w/wall-of-force","Wall of Force")</f>
        <v>Wall of Force</v>
      </c>
      <c r="BR596" s="1">
        <v>598</v>
      </c>
      <c r="BS596" s="1" t="s">
        <v>104</v>
      </c>
      <c r="BV596" s="1" t="s">
        <v>4042</v>
      </c>
      <c r="BX596" s="1">
        <v>1</v>
      </c>
      <c r="BY596" s="1" t="s">
        <v>104</v>
      </c>
      <c r="BZ596" s="1" t="s">
        <v>104</v>
      </c>
      <c r="CA596" s="1">
        <v>5</v>
      </c>
      <c r="CB596" s="1" t="s">
        <v>104</v>
      </c>
      <c r="CC596" s="1" t="s">
        <v>104</v>
      </c>
      <c r="CD596" s="1">
        <v>5</v>
      </c>
      <c r="CE596" s="1" t="s">
        <v>104</v>
      </c>
      <c r="CF596" s="1" t="s">
        <v>104</v>
      </c>
      <c r="CG596" s="1" t="s">
        <v>104</v>
      </c>
      <c r="CH596" s="1" t="s">
        <v>104</v>
      </c>
      <c r="CJ596" s="1">
        <v>0</v>
      </c>
      <c r="CK596" s="1">
        <v>0</v>
      </c>
      <c r="CL596" s="1">
        <v>0</v>
      </c>
      <c r="CM596" s="1" t="s">
        <v>104</v>
      </c>
    </row>
    <row r="597" spans="1:91" ht="14.25" customHeight="1" x14ac:dyDescent="0.3">
      <c r="A597" s="1" t="s">
        <v>4043</v>
      </c>
      <c r="B597" s="1" t="s">
        <v>434</v>
      </c>
      <c r="D597" s="1" t="s">
        <v>46</v>
      </c>
      <c r="E597" s="1" t="s">
        <v>4044</v>
      </c>
      <c r="F597" s="1" t="s">
        <v>95</v>
      </c>
      <c r="G597" s="1" t="s">
        <v>4045</v>
      </c>
      <c r="H597" s="1">
        <v>0</v>
      </c>
      <c r="I597" s="1" t="s">
        <v>109</v>
      </c>
      <c r="K597" s="1" t="s">
        <v>4046</v>
      </c>
      <c r="M597" s="1" t="s">
        <v>130</v>
      </c>
      <c r="N597" s="1">
        <v>0</v>
      </c>
      <c r="O597" s="1">
        <v>0</v>
      </c>
      <c r="P597" s="1" t="s">
        <v>4047</v>
      </c>
      <c r="Q597" s="1" t="s">
        <v>184</v>
      </c>
      <c r="R597" s="1" t="s">
        <v>4048</v>
      </c>
      <c r="S597" s="1" t="s">
        <v>103</v>
      </c>
      <c r="T597" s="1">
        <v>1</v>
      </c>
      <c r="U597" s="1">
        <v>1</v>
      </c>
      <c r="V597" s="1">
        <v>1</v>
      </c>
      <c r="W597" s="1">
        <v>0</v>
      </c>
      <c r="X597" s="1">
        <v>0</v>
      </c>
      <c r="Y597" s="1">
        <v>4</v>
      </c>
      <c r="Z597" s="1">
        <v>4</v>
      </c>
      <c r="AA597" s="1" t="s">
        <v>104</v>
      </c>
      <c r="AB597" s="1" t="s">
        <v>104</v>
      </c>
      <c r="AC597" s="1" t="s">
        <v>104</v>
      </c>
      <c r="AD597" s="1" t="s">
        <v>104</v>
      </c>
      <c r="AE597" s="1" t="s">
        <v>104</v>
      </c>
      <c r="AF597" s="1" t="s">
        <v>104</v>
      </c>
      <c r="AG597" s="1">
        <v>3</v>
      </c>
      <c r="AH597" s="1" t="s">
        <v>104</v>
      </c>
      <c r="AI597" s="1" t="s">
        <v>104</v>
      </c>
      <c r="AJ597" s="1" t="s">
        <v>104</v>
      </c>
      <c r="AK597" s="1" t="s">
        <v>104</v>
      </c>
      <c r="AL597" s="1">
        <v>4</v>
      </c>
      <c r="AM597" s="1" t="s">
        <v>104</v>
      </c>
      <c r="AO597" s="1">
        <v>4</v>
      </c>
      <c r="AQ597" s="1" t="s">
        <v>4049</v>
      </c>
      <c r="AR597" s="1">
        <v>0</v>
      </c>
      <c r="AS597" s="1">
        <v>0</v>
      </c>
      <c r="AT597" s="1">
        <v>0</v>
      </c>
      <c r="AU597" s="1">
        <v>1</v>
      </c>
      <c r="AV597" s="1">
        <v>0</v>
      </c>
      <c r="AW597" s="1">
        <v>0</v>
      </c>
      <c r="AX597" s="1">
        <v>0</v>
      </c>
      <c r="AY597" s="1">
        <v>0</v>
      </c>
      <c r="AZ597" s="1">
        <v>0</v>
      </c>
      <c r="BA597" s="1">
        <v>0</v>
      </c>
      <c r="BB597" s="1">
        <v>0</v>
      </c>
      <c r="BC597" s="1">
        <v>0</v>
      </c>
      <c r="BD597" s="1">
        <v>0</v>
      </c>
      <c r="BE597" s="1">
        <v>0</v>
      </c>
      <c r="BF597" s="1">
        <v>0</v>
      </c>
      <c r="BG597" s="1">
        <v>0</v>
      </c>
      <c r="BH597" s="1">
        <v>0</v>
      </c>
      <c r="BI597" s="1">
        <v>0</v>
      </c>
      <c r="BJ597" s="1">
        <v>0</v>
      </c>
      <c r="BK597" s="1">
        <v>0</v>
      </c>
      <c r="BL597" s="1">
        <v>0</v>
      </c>
      <c r="BM597" s="1">
        <v>0</v>
      </c>
      <c r="BN597" s="1">
        <v>0</v>
      </c>
      <c r="BO597" s="1">
        <v>0</v>
      </c>
      <c r="BP597" s="1">
        <v>0</v>
      </c>
      <c r="BQ597" s="2" t="str">
        <f>HYPERLINK("http://www.d20pfsrd.com/magic/all-spells/w/wall-of-ice","Wall of Ice")</f>
        <v>Wall of Ice</v>
      </c>
      <c r="BR597" s="1">
        <v>599</v>
      </c>
      <c r="BS597" s="1" t="s">
        <v>104</v>
      </c>
      <c r="BT597" s="1" t="s">
        <v>4050</v>
      </c>
      <c r="BU597" s="1" t="s">
        <v>4051</v>
      </c>
      <c r="BV597" s="1" t="s">
        <v>4052</v>
      </c>
      <c r="BW597" s="1" t="s">
        <v>4053</v>
      </c>
      <c r="BX597" s="1">
        <v>1</v>
      </c>
      <c r="BY597" s="1">
        <v>4</v>
      </c>
      <c r="BZ597" s="1" t="s">
        <v>104</v>
      </c>
      <c r="CA597" s="1" t="s">
        <v>104</v>
      </c>
      <c r="CB597" s="1" t="s">
        <v>104</v>
      </c>
      <c r="CC597" s="1" t="s">
        <v>104</v>
      </c>
      <c r="CD597" s="1">
        <v>4</v>
      </c>
      <c r="CE597" s="1" t="s">
        <v>104</v>
      </c>
      <c r="CF597" s="1" t="s">
        <v>104</v>
      </c>
      <c r="CG597" s="1" t="s">
        <v>104</v>
      </c>
      <c r="CH597" s="1" t="s">
        <v>104</v>
      </c>
      <c r="CJ597" s="1">
        <v>0</v>
      </c>
      <c r="CK597" s="1">
        <v>0</v>
      </c>
      <c r="CL597" s="1">
        <v>0</v>
      </c>
      <c r="CM597" s="1">
        <v>4</v>
      </c>
    </row>
    <row r="598" spans="1:91" ht="14.25" customHeight="1" x14ac:dyDescent="0.3">
      <c r="A598" s="1" t="s">
        <v>4054</v>
      </c>
      <c r="B598" s="1" t="s">
        <v>92</v>
      </c>
      <c r="C598" s="1" t="s">
        <v>93</v>
      </c>
      <c r="E598" s="1" t="s">
        <v>4055</v>
      </c>
      <c r="F598" s="1" t="s">
        <v>95</v>
      </c>
      <c r="G598" s="1" t="s">
        <v>4056</v>
      </c>
      <c r="H598" s="1">
        <v>1</v>
      </c>
      <c r="I598" s="1" t="s">
        <v>109</v>
      </c>
      <c r="K598" s="1" t="s">
        <v>4057</v>
      </c>
      <c r="M598" s="1" t="s">
        <v>119</v>
      </c>
      <c r="N598" s="1">
        <v>0</v>
      </c>
      <c r="O598" s="1">
        <v>0</v>
      </c>
      <c r="P598" s="1" t="s">
        <v>145</v>
      </c>
      <c r="Q598" s="1" t="s">
        <v>101</v>
      </c>
      <c r="R598" s="1" t="s">
        <v>4058</v>
      </c>
      <c r="S598" s="1" t="s">
        <v>103</v>
      </c>
      <c r="T598" s="1">
        <v>1</v>
      </c>
      <c r="U598" s="1">
        <v>1</v>
      </c>
      <c r="V598" s="1">
        <v>1</v>
      </c>
      <c r="W598" s="1">
        <v>0</v>
      </c>
      <c r="X598" s="1">
        <v>0</v>
      </c>
      <c r="Y598" s="1">
        <v>6</v>
      </c>
      <c r="Z598" s="1">
        <v>6</v>
      </c>
      <c r="AA598" s="1" t="s">
        <v>104</v>
      </c>
      <c r="AB598" s="1" t="s">
        <v>104</v>
      </c>
      <c r="AC598" s="1" t="s">
        <v>104</v>
      </c>
      <c r="AD598" s="1" t="s">
        <v>104</v>
      </c>
      <c r="AE598" s="1" t="s">
        <v>104</v>
      </c>
      <c r="AF598" s="1" t="s">
        <v>104</v>
      </c>
      <c r="AG598" s="1">
        <v>5</v>
      </c>
      <c r="AH598" s="1" t="s">
        <v>104</v>
      </c>
      <c r="AI598" s="1" t="s">
        <v>104</v>
      </c>
      <c r="AJ598" s="1" t="s">
        <v>104</v>
      </c>
      <c r="AK598" s="1" t="s">
        <v>104</v>
      </c>
      <c r="AL598" s="1">
        <v>6</v>
      </c>
      <c r="AM598" s="1" t="s">
        <v>104</v>
      </c>
      <c r="AO598" s="1">
        <v>6</v>
      </c>
      <c r="AP598" s="1" t="s">
        <v>4059</v>
      </c>
      <c r="AQ598" s="1" t="s">
        <v>4060</v>
      </c>
      <c r="AR598" s="1">
        <v>0</v>
      </c>
      <c r="AS598" s="1">
        <v>0</v>
      </c>
      <c r="AT598" s="1">
        <v>0</v>
      </c>
      <c r="AU598" s="1">
        <v>0</v>
      </c>
      <c r="AV598" s="1">
        <v>0</v>
      </c>
      <c r="AW598" s="1">
        <v>0</v>
      </c>
      <c r="AX598" s="1">
        <v>0</v>
      </c>
      <c r="AY598" s="1">
        <v>0</v>
      </c>
      <c r="AZ598" s="1">
        <v>0</v>
      </c>
      <c r="BA598" s="1">
        <v>0</v>
      </c>
      <c r="BB598" s="1">
        <v>0</v>
      </c>
      <c r="BC598" s="1">
        <v>0</v>
      </c>
      <c r="BD598" s="1">
        <v>0</v>
      </c>
      <c r="BE598" s="1">
        <v>0</v>
      </c>
      <c r="BF598" s="1">
        <v>0</v>
      </c>
      <c r="BG598" s="1">
        <v>0</v>
      </c>
      <c r="BH598" s="1">
        <v>0</v>
      </c>
      <c r="BI598" s="1">
        <v>0</v>
      </c>
      <c r="BJ598" s="1">
        <v>0</v>
      </c>
      <c r="BK598" s="1">
        <v>0</v>
      </c>
      <c r="BL598" s="1">
        <v>0</v>
      </c>
      <c r="BM598" s="1">
        <v>0</v>
      </c>
      <c r="BN598" s="1">
        <v>0</v>
      </c>
      <c r="BO598" s="1">
        <v>0</v>
      </c>
      <c r="BP598" s="1">
        <v>0</v>
      </c>
      <c r="BQ598" s="2" t="str">
        <f>HYPERLINK("http://www.d20pfsrd.com/magic/all-spells/w/wall-of-iron","Wall of Iron")</f>
        <v>Wall of Iron</v>
      </c>
      <c r="BR598" s="1">
        <v>600</v>
      </c>
      <c r="BS598" s="1">
        <v>50</v>
      </c>
      <c r="BT598" s="1" t="s">
        <v>4061</v>
      </c>
      <c r="BX598" s="1">
        <v>0</v>
      </c>
      <c r="BY598" s="1" t="s">
        <v>104</v>
      </c>
      <c r="BZ598" s="1" t="s">
        <v>104</v>
      </c>
      <c r="CA598" s="1" t="s">
        <v>104</v>
      </c>
      <c r="CB598" s="1" t="s">
        <v>104</v>
      </c>
      <c r="CC598" s="1" t="s">
        <v>104</v>
      </c>
      <c r="CD598" s="1">
        <v>6</v>
      </c>
      <c r="CE598" s="1" t="s">
        <v>104</v>
      </c>
      <c r="CF598" s="1" t="s">
        <v>104</v>
      </c>
      <c r="CG598" s="1" t="s">
        <v>104</v>
      </c>
      <c r="CH598" s="1" t="s">
        <v>104</v>
      </c>
      <c r="CJ598" s="1">
        <v>0</v>
      </c>
      <c r="CK598" s="1">
        <v>0</v>
      </c>
      <c r="CL598" s="1">
        <v>0</v>
      </c>
      <c r="CM598" s="1">
        <v>6</v>
      </c>
    </row>
    <row r="599" spans="1:91" ht="14.25" customHeight="1" x14ac:dyDescent="0.3">
      <c r="A599" s="1" t="s">
        <v>4062</v>
      </c>
      <c r="B599" s="1" t="s">
        <v>92</v>
      </c>
      <c r="C599" s="1" t="s">
        <v>93</v>
      </c>
      <c r="E599" s="1" t="s">
        <v>4063</v>
      </c>
      <c r="F599" s="1" t="s">
        <v>95</v>
      </c>
      <c r="G599" s="1" t="s">
        <v>116</v>
      </c>
      <c r="H599" s="1">
        <v>0</v>
      </c>
      <c r="I599" s="1" t="s">
        <v>109</v>
      </c>
      <c r="K599" s="1" t="s">
        <v>4064</v>
      </c>
      <c r="M599" s="1" t="s">
        <v>265</v>
      </c>
      <c r="N599" s="1">
        <v>1</v>
      </c>
      <c r="O599" s="1">
        <v>0</v>
      </c>
      <c r="P599" s="1" t="s">
        <v>100</v>
      </c>
      <c r="Q599" s="1" t="s">
        <v>101</v>
      </c>
      <c r="R599" s="1" t="s">
        <v>4065</v>
      </c>
      <c r="S599" s="1" t="s">
        <v>103</v>
      </c>
      <c r="T599" s="1">
        <v>1</v>
      </c>
      <c r="U599" s="1">
        <v>1</v>
      </c>
      <c r="V599" s="1">
        <v>0</v>
      </c>
      <c r="W599" s="1">
        <v>0</v>
      </c>
      <c r="X599" s="1">
        <v>0</v>
      </c>
      <c r="Y599" s="1" t="s">
        <v>104</v>
      </c>
      <c r="Z599" s="1" t="s">
        <v>104</v>
      </c>
      <c r="AA599" s="1" t="s">
        <v>104</v>
      </c>
      <c r="AB599" s="1">
        <v>5</v>
      </c>
      <c r="AC599" s="1" t="s">
        <v>104</v>
      </c>
      <c r="AD599" s="1" t="s">
        <v>104</v>
      </c>
      <c r="AE599" s="1" t="s">
        <v>104</v>
      </c>
      <c r="AF599" s="1" t="s">
        <v>104</v>
      </c>
      <c r="AG599" s="1" t="s">
        <v>104</v>
      </c>
      <c r="AH599" s="1" t="s">
        <v>104</v>
      </c>
      <c r="AI599" s="1" t="s">
        <v>104</v>
      </c>
      <c r="AJ599" s="1" t="s">
        <v>104</v>
      </c>
      <c r="AK599" s="1" t="s">
        <v>104</v>
      </c>
      <c r="AL599" s="1" t="s">
        <v>104</v>
      </c>
      <c r="AM599" s="1" t="s">
        <v>104</v>
      </c>
      <c r="AO599" s="1">
        <v>5</v>
      </c>
      <c r="AP599" s="1" t="s">
        <v>4066</v>
      </c>
      <c r="AQ599" s="1" t="s">
        <v>4067</v>
      </c>
      <c r="AR599" s="1">
        <v>0</v>
      </c>
      <c r="AS599" s="1">
        <v>0</v>
      </c>
      <c r="AT599" s="1">
        <v>0</v>
      </c>
      <c r="AU599" s="1">
        <v>0</v>
      </c>
      <c r="AV599" s="1">
        <v>0</v>
      </c>
      <c r="AW599" s="1">
        <v>0</v>
      </c>
      <c r="AX599" s="1">
        <v>0</v>
      </c>
      <c r="AY599" s="1">
        <v>0</v>
      </c>
      <c r="AZ599" s="1">
        <v>0</v>
      </c>
      <c r="BA599" s="1">
        <v>0</v>
      </c>
      <c r="BB599" s="1">
        <v>0</v>
      </c>
      <c r="BC599" s="1">
        <v>0</v>
      </c>
      <c r="BD599" s="1">
        <v>0</v>
      </c>
      <c r="BE599" s="1">
        <v>0</v>
      </c>
      <c r="BF599" s="1">
        <v>0</v>
      </c>
      <c r="BG599" s="1">
        <v>0</v>
      </c>
      <c r="BH599" s="1">
        <v>0</v>
      </c>
      <c r="BI599" s="1">
        <v>0</v>
      </c>
      <c r="BJ599" s="1">
        <v>0</v>
      </c>
      <c r="BK599" s="1">
        <v>0</v>
      </c>
      <c r="BL599" s="1">
        <v>0</v>
      </c>
      <c r="BM599" s="1">
        <v>0</v>
      </c>
      <c r="BN599" s="1">
        <v>0</v>
      </c>
      <c r="BO599" s="1">
        <v>0</v>
      </c>
      <c r="BP599" s="1">
        <v>0</v>
      </c>
      <c r="BQ599" s="2" t="str">
        <f>HYPERLINK("http://www.d20pfsrd.com/magic/all-spells/w/wall-of-thorns","Wall of Thorns")</f>
        <v>Wall of Thorns</v>
      </c>
      <c r="BR599" s="1">
        <v>602</v>
      </c>
      <c r="BS599" s="1" t="s">
        <v>104</v>
      </c>
      <c r="BT599" s="1" t="s">
        <v>4068</v>
      </c>
      <c r="BU599" s="1" t="s">
        <v>4069</v>
      </c>
      <c r="BV599" s="1" t="s">
        <v>4070</v>
      </c>
      <c r="BW599" s="1" t="s">
        <v>4071</v>
      </c>
      <c r="BX599" s="1">
        <v>1</v>
      </c>
      <c r="BY599" s="1" t="s">
        <v>104</v>
      </c>
      <c r="BZ599" s="1">
        <v>5</v>
      </c>
      <c r="CA599" s="1" t="s">
        <v>104</v>
      </c>
      <c r="CB599" s="1" t="s">
        <v>104</v>
      </c>
      <c r="CC599" s="1" t="s">
        <v>104</v>
      </c>
      <c r="CD599" s="1" t="s">
        <v>104</v>
      </c>
      <c r="CE599" s="1" t="s">
        <v>104</v>
      </c>
      <c r="CF599" s="1" t="s">
        <v>104</v>
      </c>
      <c r="CG599" s="1" t="s">
        <v>104</v>
      </c>
      <c r="CH599" s="1">
        <v>5</v>
      </c>
      <c r="CJ599" s="1">
        <v>0</v>
      </c>
      <c r="CK599" s="1">
        <v>0</v>
      </c>
      <c r="CL599" s="1">
        <v>0</v>
      </c>
      <c r="CM599" s="1" t="s">
        <v>104</v>
      </c>
    </row>
    <row r="600" spans="1:91" ht="14.25" customHeight="1" x14ac:dyDescent="0.3">
      <c r="A600" s="1" t="s">
        <v>4072</v>
      </c>
      <c r="B600" s="1" t="s">
        <v>137</v>
      </c>
      <c r="E600" s="1" t="s">
        <v>4073</v>
      </c>
      <c r="F600" s="1" t="s">
        <v>95</v>
      </c>
      <c r="G600" s="1" t="s">
        <v>116</v>
      </c>
      <c r="H600" s="1">
        <v>0</v>
      </c>
      <c r="I600" s="1" t="s">
        <v>117</v>
      </c>
      <c r="L600" s="1" t="s">
        <v>4074</v>
      </c>
      <c r="M600" s="1" t="s">
        <v>119</v>
      </c>
      <c r="N600" s="1">
        <v>0</v>
      </c>
      <c r="O600" s="1">
        <v>0</v>
      </c>
      <c r="P600" s="1" t="s">
        <v>471</v>
      </c>
      <c r="Q600" s="1" t="s">
        <v>472</v>
      </c>
      <c r="R600" s="1" t="s">
        <v>4075</v>
      </c>
      <c r="S600" s="1" t="s">
        <v>103</v>
      </c>
      <c r="T600" s="1">
        <v>1</v>
      </c>
      <c r="U600" s="1">
        <v>1</v>
      </c>
      <c r="V600" s="1">
        <v>0</v>
      </c>
      <c r="W600" s="1">
        <v>0</v>
      </c>
      <c r="X600" s="1">
        <v>0</v>
      </c>
      <c r="Y600" s="1" t="s">
        <v>104</v>
      </c>
      <c r="Z600" s="1" t="s">
        <v>104</v>
      </c>
      <c r="AA600" s="1" t="s">
        <v>104</v>
      </c>
      <c r="AB600" s="1">
        <v>2</v>
      </c>
      <c r="AC600" s="1" t="s">
        <v>104</v>
      </c>
      <c r="AD600" s="1" t="s">
        <v>104</v>
      </c>
      <c r="AE600" s="1" t="s">
        <v>104</v>
      </c>
      <c r="AF600" s="1" t="s">
        <v>104</v>
      </c>
      <c r="AG600" s="1" t="s">
        <v>104</v>
      </c>
      <c r="AH600" s="1" t="s">
        <v>104</v>
      </c>
      <c r="AI600" s="1" t="s">
        <v>104</v>
      </c>
      <c r="AJ600" s="1" t="s">
        <v>104</v>
      </c>
      <c r="AK600" s="1" t="s">
        <v>104</v>
      </c>
      <c r="AL600" s="1" t="s">
        <v>104</v>
      </c>
      <c r="AM600" s="1" t="s">
        <v>104</v>
      </c>
      <c r="AO600" s="1">
        <v>2</v>
      </c>
      <c r="AQ600" s="1" t="s">
        <v>4076</v>
      </c>
      <c r="AR600" s="1">
        <v>0</v>
      </c>
      <c r="AS600" s="1">
        <v>0</v>
      </c>
      <c r="AT600" s="1">
        <v>0</v>
      </c>
      <c r="AU600" s="1">
        <v>0</v>
      </c>
      <c r="AV600" s="1">
        <v>0</v>
      </c>
      <c r="AW600" s="1">
        <v>0</v>
      </c>
      <c r="AX600" s="1">
        <v>0</v>
      </c>
      <c r="AY600" s="1">
        <v>0</v>
      </c>
      <c r="AZ600" s="1">
        <v>0</v>
      </c>
      <c r="BA600" s="1">
        <v>0</v>
      </c>
      <c r="BB600" s="1">
        <v>0</v>
      </c>
      <c r="BC600" s="1">
        <v>0</v>
      </c>
      <c r="BD600" s="1">
        <v>0</v>
      </c>
      <c r="BE600" s="1">
        <v>0</v>
      </c>
      <c r="BF600" s="1">
        <v>0</v>
      </c>
      <c r="BG600" s="1">
        <v>0</v>
      </c>
      <c r="BH600" s="1">
        <v>0</v>
      </c>
      <c r="BI600" s="1">
        <v>0</v>
      </c>
      <c r="BJ600" s="1">
        <v>0</v>
      </c>
      <c r="BK600" s="1">
        <v>0</v>
      </c>
      <c r="BL600" s="1">
        <v>0</v>
      </c>
      <c r="BM600" s="1">
        <v>0</v>
      </c>
      <c r="BN600" s="1">
        <v>0</v>
      </c>
      <c r="BO600" s="1">
        <v>0</v>
      </c>
      <c r="BP600" s="1">
        <v>0</v>
      </c>
      <c r="BQ600" s="2" t="str">
        <f>HYPERLINK("http://www.d20pfsrd.com/magic/all-spells/w/warp-wood","Warp Wood")</f>
        <v>Warp Wood</v>
      </c>
      <c r="BR600" s="1">
        <v>603</v>
      </c>
      <c r="BS600" s="1" t="s">
        <v>104</v>
      </c>
      <c r="BX600" s="1">
        <v>0</v>
      </c>
      <c r="BY600" s="1" t="s">
        <v>104</v>
      </c>
      <c r="BZ600" s="1">
        <v>2</v>
      </c>
      <c r="CA600" s="1" t="s">
        <v>104</v>
      </c>
      <c r="CB600" s="1" t="s">
        <v>104</v>
      </c>
      <c r="CC600" s="1" t="s">
        <v>104</v>
      </c>
      <c r="CD600" s="1">
        <v>2</v>
      </c>
      <c r="CE600" s="1" t="s">
        <v>104</v>
      </c>
      <c r="CF600" s="1" t="s">
        <v>104</v>
      </c>
      <c r="CG600" s="1" t="s">
        <v>104</v>
      </c>
      <c r="CH600" s="1">
        <v>2</v>
      </c>
      <c r="CJ600" s="1">
        <v>0</v>
      </c>
      <c r="CK600" s="1">
        <v>0</v>
      </c>
      <c r="CL600" s="1">
        <v>0</v>
      </c>
      <c r="CM600" s="1" t="s">
        <v>104</v>
      </c>
    </row>
    <row r="601" spans="1:91" ht="14.25" customHeight="1" x14ac:dyDescent="0.3">
      <c r="A601" s="1" t="s">
        <v>4077</v>
      </c>
      <c r="B601" s="1" t="s">
        <v>137</v>
      </c>
      <c r="E601" s="1" t="s">
        <v>4078</v>
      </c>
      <c r="F601" s="1" t="s">
        <v>95</v>
      </c>
      <c r="G601" s="1" t="s">
        <v>4079</v>
      </c>
      <c r="H601" s="1">
        <v>0</v>
      </c>
      <c r="I601" s="1" t="s">
        <v>128</v>
      </c>
      <c r="L601" s="1" t="s">
        <v>4080</v>
      </c>
      <c r="M601" s="1" t="s">
        <v>4081</v>
      </c>
      <c r="N601" s="1">
        <v>0</v>
      </c>
      <c r="O601" s="1">
        <v>0</v>
      </c>
      <c r="P601" s="1" t="s">
        <v>375</v>
      </c>
      <c r="Q601" s="1" t="s">
        <v>131</v>
      </c>
      <c r="R601" s="1" t="s">
        <v>4082</v>
      </c>
      <c r="S601" s="1" t="s">
        <v>103</v>
      </c>
      <c r="T601" s="1">
        <v>1</v>
      </c>
      <c r="U601" s="1">
        <v>1</v>
      </c>
      <c r="V601" s="1">
        <v>1</v>
      </c>
      <c r="W601" s="1">
        <v>0</v>
      </c>
      <c r="X601" s="1">
        <v>1</v>
      </c>
      <c r="Y601" s="1">
        <v>3</v>
      </c>
      <c r="Z601" s="1">
        <v>3</v>
      </c>
      <c r="AA601" s="1">
        <v>3</v>
      </c>
      <c r="AB601" s="1">
        <v>3</v>
      </c>
      <c r="AC601" s="1" t="s">
        <v>104</v>
      </c>
      <c r="AD601" s="1" t="s">
        <v>104</v>
      </c>
      <c r="AE601" s="1" t="s">
        <v>104</v>
      </c>
      <c r="AF601" s="1">
        <v>3</v>
      </c>
      <c r="AG601" s="1">
        <v>3</v>
      </c>
      <c r="AH601" s="1" t="s">
        <v>104</v>
      </c>
      <c r="AI601" s="1" t="s">
        <v>104</v>
      </c>
      <c r="AJ601" s="1">
        <v>3</v>
      </c>
      <c r="AK601" s="1" t="s">
        <v>104</v>
      </c>
      <c r="AL601" s="1">
        <v>3</v>
      </c>
      <c r="AM601" s="1" t="s">
        <v>104</v>
      </c>
      <c r="AO601" s="1">
        <v>3</v>
      </c>
      <c r="AP601" s="1" t="s">
        <v>4083</v>
      </c>
      <c r="AQ601" s="1" t="s">
        <v>4084</v>
      </c>
      <c r="AR601" s="1">
        <v>0</v>
      </c>
      <c r="AS601" s="1">
        <v>0</v>
      </c>
      <c r="AT601" s="1">
        <v>0</v>
      </c>
      <c r="AU601" s="1">
        <v>0</v>
      </c>
      <c r="AV601" s="1">
        <v>0</v>
      </c>
      <c r="AW601" s="1">
        <v>0</v>
      </c>
      <c r="AX601" s="1">
        <v>0</v>
      </c>
      <c r="AY601" s="1">
        <v>0</v>
      </c>
      <c r="AZ601" s="1">
        <v>0</v>
      </c>
      <c r="BA601" s="1">
        <v>0</v>
      </c>
      <c r="BB601" s="1">
        <v>0</v>
      </c>
      <c r="BC601" s="1">
        <v>0</v>
      </c>
      <c r="BD601" s="1">
        <v>0</v>
      </c>
      <c r="BE601" s="1">
        <v>0</v>
      </c>
      <c r="BF601" s="1">
        <v>0</v>
      </c>
      <c r="BG601" s="1">
        <v>0</v>
      </c>
      <c r="BH601" s="1">
        <v>0</v>
      </c>
      <c r="BI601" s="1">
        <v>0</v>
      </c>
      <c r="BJ601" s="1">
        <v>0</v>
      </c>
      <c r="BK601" s="1">
        <v>0</v>
      </c>
      <c r="BL601" s="1">
        <v>0</v>
      </c>
      <c r="BM601" s="1">
        <v>0</v>
      </c>
      <c r="BN601" s="1">
        <v>0</v>
      </c>
      <c r="BO601" s="1">
        <v>0</v>
      </c>
      <c r="BP601" s="1">
        <v>0</v>
      </c>
      <c r="BQ601" s="2" t="str">
        <f>HYPERLINK("http://www.d20pfsrd.com/magic/all-spells/w/water-breathing","Water Breathing")</f>
        <v>Water Breathing</v>
      </c>
      <c r="BR601" s="1">
        <v>604</v>
      </c>
      <c r="BS601" s="1" t="s">
        <v>104</v>
      </c>
      <c r="BU601" s="1" t="s">
        <v>778</v>
      </c>
      <c r="BX601" s="1">
        <v>0</v>
      </c>
      <c r="BY601" s="1">
        <v>3</v>
      </c>
      <c r="BZ601" s="1">
        <v>3</v>
      </c>
      <c r="CA601" s="1">
        <v>3</v>
      </c>
      <c r="CB601" s="1" t="s">
        <v>104</v>
      </c>
      <c r="CC601" s="1" t="s">
        <v>104</v>
      </c>
      <c r="CD601" s="1" t="s">
        <v>104</v>
      </c>
      <c r="CE601" s="1" t="s">
        <v>104</v>
      </c>
      <c r="CF601" s="1" t="s">
        <v>104</v>
      </c>
      <c r="CG601" s="1" t="s">
        <v>104</v>
      </c>
      <c r="CH601" s="1">
        <v>3</v>
      </c>
      <c r="CJ601" s="1">
        <v>0</v>
      </c>
      <c r="CK601" s="1">
        <v>0</v>
      </c>
      <c r="CL601" s="1">
        <v>0</v>
      </c>
      <c r="CM601" s="1">
        <v>3</v>
      </c>
    </row>
    <row r="602" spans="1:91" ht="14.25" customHeight="1" x14ac:dyDescent="0.3">
      <c r="A602" s="1" t="s">
        <v>4085</v>
      </c>
      <c r="B602" s="1" t="s">
        <v>137</v>
      </c>
      <c r="D602" s="1" t="s">
        <v>67</v>
      </c>
      <c r="E602" s="1" t="s">
        <v>4086</v>
      </c>
      <c r="F602" s="1" t="s">
        <v>95</v>
      </c>
      <c r="G602" s="1" t="s">
        <v>127</v>
      </c>
      <c r="H602" s="1">
        <v>0</v>
      </c>
      <c r="I602" s="1" t="s">
        <v>128</v>
      </c>
      <c r="L602" s="1" t="s">
        <v>1980</v>
      </c>
      <c r="M602" s="1" t="s">
        <v>140</v>
      </c>
      <c r="N602" s="1">
        <v>1</v>
      </c>
      <c r="O602" s="1">
        <v>0</v>
      </c>
      <c r="P602" s="1" t="s">
        <v>375</v>
      </c>
      <c r="Q602" s="1" t="s">
        <v>131</v>
      </c>
      <c r="R602" s="1" t="s">
        <v>4087</v>
      </c>
      <c r="S602" s="1" t="s">
        <v>103</v>
      </c>
      <c r="T602" s="1">
        <v>1</v>
      </c>
      <c r="U602" s="1">
        <v>1</v>
      </c>
      <c r="V602" s="1">
        <v>0</v>
      </c>
      <c r="W602" s="1">
        <v>0</v>
      </c>
      <c r="X602" s="1">
        <v>1</v>
      </c>
      <c r="Y602" s="1" t="s">
        <v>104</v>
      </c>
      <c r="Z602" s="1" t="s">
        <v>104</v>
      </c>
      <c r="AA602" s="1">
        <v>3</v>
      </c>
      <c r="AB602" s="1" t="s">
        <v>104</v>
      </c>
      <c r="AC602" s="1">
        <v>3</v>
      </c>
      <c r="AD602" s="1" t="s">
        <v>104</v>
      </c>
      <c r="AE602" s="1" t="s">
        <v>104</v>
      </c>
      <c r="AF602" s="1" t="s">
        <v>104</v>
      </c>
      <c r="AG602" s="1" t="s">
        <v>104</v>
      </c>
      <c r="AH602" s="1">
        <v>3</v>
      </c>
      <c r="AI602" s="1" t="s">
        <v>104</v>
      </c>
      <c r="AJ602" s="1">
        <v>3</v>
      </c>
      <c r="AK602" s="1" t="s">
        <v>104</v>
      </c>
      <c r="AL602" s="1" t="s">
        <v>104</v>
      </c>
      <c r="AM602" s="1" t="s">
        <v>104</v>
      </c>
      <c r="AO602" s="1">
        <v>3</v>
      </c>
      <c r="AP602" s="1" t="s">
        <v>4088</v>
      </c>
      <c r="AQ602" s="1" t="s">
        <v>4089</v>
      </c>
      <c r="AR602" s="1">
        <v>0</v>
      </c>
      <c r="AS602" s="1">
        <v>0</v>
      </c>
      <c r="AT602" s="1">
        <v>0</v>
      </c>
      <c r="AU602" s="1">
        <v>0</v>
      </c>
      <c r="AV602" s="1">
        <v>0</v>
      </c>
      <c r="AW602" s="1">
        <v>0</v>
      </c>
      <c r="AX602" s="1">
        <v>0</v>
      </c>
      <c r="AY602" s="1">
        <v>0</v>
      </c>
      <c r="AZ602" s="1">
        <v>0</v>
      </c>
      <c r="BA602" s="1">
        <v>0</v>
      </c>
      <c r="BB602" s="1">
        <v>0</v>
      </c>
      <c r="BC602" s="1">
        <v>0</v>
      </c>
      <c r="BD602" s="1">
        <v>0</v>
      </c>
      <c r="BE602" s="1">
        <v>0</v>
      </c>
      <c r="BF602" s="1">
        <v>0</v>
      </c>
      <c r="BG602" s="1">
        <v>0</v>
      </c>
      <c r="BH602" s="1">
        <v>0</v>
      </c>
      <c r="BI602" s="1">
        <v>0</v>
      </c>
      <c r="BJ602" s="1">
        <v>0</v>
      </c>
      <c r="BK602" s="1">
        <v>0</v>
      </c>
      <c r="BL602" s="1">
        <v>0</v>
      </c>
      <c r="BM602" s="1">
        <v>0</v>
      </c>
      <c r="BN602" s="1">
        <v>0</v>
      </c>
      <c r="BO602" s="1">
        <v>0</v>
      </c>
      <c r="BP602" s="1">
        <v>1</v>
      </c>
      <c r="BQ602" s="2" t="str">
        <f>HYPERLINK("http://www.d20pfsrd.com/magic/all-spells/w/water-walk","Water Walk")</f>
        <v>Water Walk</v>
      </c>
      <c r="BR602" s="1">
        <v>605</v>
      </c>
      <c r="BS602" s="1" t="s">
        <v>104</v>
      </c>
      <c r="BX602" s="1">
        <v>0</v>
      </c>
      <c r="BY602" s="1" t="s">
        <v>104</v>
      </c>
      <c r="BZ602" s="1">
        <v>3</v>
      </c>
      <c r="CA602" s="1">
        <v>3</v>
      </c>
      <c r="CB602" s="1">
        <v>2</v>
      </c>
      <c r="CC602" s="1" t="s">
        <v>104</v>
      </c>
      <c r="CD602" s="1" t="s">
        <v>104</v>
      </c>
      <c r="CE602" s="1" t="s">
        <v>104</v>
      </c>
      <c r="CF602" s="1" t="s">
        <v>104</v>
      </c>
      <c r="CG602" s="1" t="s">
        <v>104</v>
      </c>
      <c r="CH602" s="1">
        <v>3</v>
      </c>
      <c r="CJ602" s="1">
        <v>0</v>
      </c>
      <c r="CK602" s="1">
        <v>0</v>
      </c>
      <c r="CL602" s="1">
        <v>0</v>
      </c>
      <c r="CM602" s="1" t="s">
        <v>104</v>
      </c>
    </row>
    <row r="603" spans="1:91" ht="14.25" customHeight="1" x14ac:dyDescent="0.3">
      <c r="A603" s="1" t="s">
        <v>4090</v>
      </c>
      <c r="B603" s="1" t="s">
        <v>216</v>
      </c>
      <c r="E603" s="1" t="s">
        <v>2012</v>
      </c>
      <c r="F603" s="1" t="s">
        <v>95</v>
      </c>
      <c r="G603" s="1" t="s">
        <v>116</v>
      </c>
      <c r="H603" s="1">
        <v>0</v>
      </c>
      <c r="I603" s="1" t="s">
        <v>776</v>
      </c>
      <c r="J603" s="1" t="s">
        <v>549</v>
      </c>
      <c r="M603" s="1" t="s">
        <v>119</v>
      </c>
      <c r="N603" s="1">
        <v>0</v>
      </c>
      <c r="O603" s="1">
        <v>0</v>
      </c>
      <c r="P603" s="1" t="s">
        <v>100</v>
      </c>
      <c r="Q603" s="1" t="s">
        <v>184</v>
      </c>
      <c r="R603" s="1" t="s">
        <v>4091</v>
      </c>
      <c r="S603" s="1" t="s">
        <v>103</v>
      </c>
      <c r="T603" s="1">
        <v>1</v>
      </c>
      <c r="U603" s="1">
        <v>1</v>
      </c>
      <c r="V603" s="1">
        <v>0</v>
      </c>
      <c r="W603" s="1">
        <v>0</v>
      </c>
      <c r="X603" s="1">
        <v>0</v>
      </c>
      <c r="Y603" s="1">
        <v>7</v>
      </c>
      <c r="Z603" s="1">
        <v>7</v>
      </c>
      <c r="AA603" s="1" t="s">
        <v>104</v>
      </c>
      <c r="AB603" s="1" t="s">
        <v>104</v>
      </c>
      <c r="AC603" s="1" t="s">
        <v>104</v>
      </c>
      <c r="AD603" s="1" t="s">
        <v>104</v>
      </c>
      <c r="AE603" s="1" t="s">
        <v>104</v>
      </c>
      <c r="AF603" s="1" t="s">
        <v>104</v>
      </c>
      <c r="AG603" s="1" t="s">
        <v>104</v>
      </c>
      <c r="AH603" s="1">
        <v>7</v>
      </c>
      <c r="AI603" s="1" t="s">
        <v>104</v>
      </c>
      <c r="AJ603" s="1" t="s">
        <v>104</v>
      </c>
      <c r="AK603" s="1" t="s">
        <v>104</v>
      </c>
      <c r="AL603" s="1" t="s">
        <v>104</v>
      </c>
      <c r="AM603" s="1" t="s">
        <v>104</v>
      </c>
      <c r="AO603" s="1">
        <v>7</v>
      </c>
      <c r="AP603" s="1" t="s">
        <v>4092</v>
      </c>
      <c r="AQ603" s="1" t="s">
        <v>4093</v>
      </c>
      <c r="AR603" s="1">
        <v>0</v>
      </c>
      <c r="AS603" s="1">
        <v>0</v>
      </c>
      <c r="AT603" s="1">
        <v>0</v>
      </c>
      <c r="AU603" s="1">
        <v>0</v>
      </c>
      <c r="AV603" s="1">
        <v>0</v>
      </c>
      <c r="AW603" s="1">
        <v>0</v>
      </c>
      <c r="AX603" s="1">
        <v>0</v>
      </c>
      <c r="AY603" s="1">
        <v>0</v>
      </c>
      <c r="AZ603" s="1">
        <v>0</v>
      </c>
      <c r="BA603" s="1">
        <v>0</v>
      </c>
      <c r="BB603" s="1">
        <v>0</v>
      </c>
      <c r="BC603" s="1">
        <v>0</v>
      </c>
      <c r="BD603" s="1">
        <v>0</v>
      </c>
      <c r="BE603" s="1">
        <v>0</v>
      </c>
      <c r="BF603" s="1">
        <v>0</v>
      </c>
      <c r="BG603" s="1">
        <v>0</v>
      </c>
      <c r="BH603" s="1">
        <v>0</v>
      </c>
      <c r="BI603" s="1">
        <v>0</v>
      </c>
      <c r="BJ603" s="1">
        <v>0</v>
      </c>
      <c r="BK603" s="1">
        <v>0</v>
      </c>
      <c r="BL603" s="1">
        <v>0</v>
      </c>
      <c r="BM603" s="1">
        <v>0</v>
      </c>
      <c r="BN603" s="1">
        <v>0</v>
      </c>
      <c r="BO603" s="1">
        <v>0</v>
      </c>
      <c r="BP603" s="1">
        <v>0</v>
      </c>
      <c r="BQ603" s="2" t="str">
        <f>HYPERLINK("http://www.d20pfsrd.com/magic/all-spells/w/waves-of-exhaustion","Waves of Exhaustion")</f>
        <v>Waves of Exhaustion</v>
      </c>
      <c r="BR603" s="1">
        <v>606</v>
      </c>
      <c r="BS603" s="1" t="s">
        <v>104</v>
      </c>
      <c r="BT603" s="1" t="s">
        <v>4094</v>
      </c>
      <c r="BU603" s="1" t="s">
        <v>4095</v>
      </c>
      <c r="BX603" s="1">
        <v>0</v>
      </c>
      <c r="BY603" s="1" t="s">
        <v>104</v>
      </c>
      <c r="BZ603" s="1" t="s">
        <v>104</v>
      </c>
      <c r="CA603" s="1">
        <v>7</v>
      </c>
      <c r="CB603" s="1" t="s">
        <v>104</v>
      </c>
      <c r="CC603" s="1">
        <v>6</v>
      </c>
      <c r="CD603" s="1" t="s">
        <v>104</v>
      </c>
      <c r="CE603" s="1" t="s">
        <v>104</v>
      </c>
      <c r="CF603" s="1" t="s">
        <v>104</v>
      </c>
      <c r="CG603" s="1" t="s">
        <v>104</v>
      </c>
      <c r="CH603" s="1" t="s">
        <v>104</v>
      </c>
      <c r="CJ603" s="1">
        <v>0</v>
      </c>
      <c r="CK603" s="1">
        <v>0</v>
      </c>
      <c r="CL603" s="1">
        <v>0</v>
      </c>
      <c r="CM603" s="1" t="s">
        <v>104</v>
      </c>
    </row>
    <row r="604" spans="1:91" ht="14.25" customHeight="1" x14ac:dyDescent="0.3">
      <c r="A604" s="1" t="s">
        <v>4096</v>
      </c>
      <c r="B604" s="1" t="s">
        <v>216</v>
      </c>
      <c r="E604" s="1" t="s">
        <v>4097</v>
      </c>
      <c r="F604" s="1" t="s">
        <v>95</v>
      </c>
      <c r="G604" s="1" t="s">
        <v>116</v>
      </c>
      <c r="H604" s="1">
        <v>0</v>
      </c>
      <c r="I604" s="1" t="s">
        <v>914</v>
      </c>
      <c r="J604" s="1" t="s">
        <v>549</v>
      </c>
      <c r="M604" s="1" t="s">
        <v>119</v>
      </c>
      <c r="N604" s="1">
        <v>0</v>
      </c>
      <c r="O604" s="1">
        <v>0</v>
      </c>
      <c r="P604" s="1" t="s">
        <v>100</v>
      </c>
      <c r="Q604" s="1" t="s">
        <v>184</v>
      </c>
      <c r="R604" s="1" t="s">
        <v>4098</v>
      </c>
      <c r="S604" s="1" t="s">
        <v>103</v>
      </c>
      <c r="T604" s="1">
        <v>1</v>
      </c>
      <c r="U604" s="1">
        <v>1</v>
      </c>
      <c r="V604" s="1">
        <v>0</v>
      </c>
      <c r="W604" s="1">
        <v>0</v>
      </c>
      <c r="X604" s="1">
        <v>0</v>
      </c>
      <c r="Y604" s="1">
        <v>5</v>
      </c>
      <c r="Z604" s="1">
        <v>5</v>
      </c>
      <c r="AA604" s="1" t="s">
        <v>104</v>
      </c>
      <c r="AB604" s="1" t="s">
        <v>104</v>
      </c>
      <c r="AC604" s="1" t="s">
        <v>104</v>
      </c>
      <c r="AD604" s="1" t="s">
        <v>104</v>
      </c>
      <c r="AE604" s="1" t="s">
        <v>104</v>
      </c>
      <c r="AF604" s="1" t="s">
        <v>104</v>
      </c>
      <c r="AG604" s="1" t="s">
        <v>104</v>
      </c>
      <c r="AH604" s="1">
        <v>5</v>
      </c>
      <c r="AI604" s="1" t="s">
        <v>104</v>
      </c>
      <c r="AJ604" s="1" t="s">
        <v>104</v>
      </c>
      <c r="AK604" s="1" t="s">
        <v>104</v>
      </c>
      <c r="AL604" s="1" t="s">
        <v>104</v>
      </c>
      <c r="AM604" s="1" t="s">
        <v>104</v>
      </c>
      <c r="AO604" s="1">
        <v>5</v>
      </c>
      <c r="AP604" s="1" t="s">
        <v>4099</v>
      </c>
      <c r="AQ604" s="1" t="s">
        <v>4100</v>
      </c>
      <c r="AR604" s="1">
        <v>0</v>
      </c>
      <c r="AS604" s="1">
        <v>0</v>
      </c>
      <c r="AT604" s="1">
        <v>0</v>
      </c>
      <c r="AU604" s="1">
        <v>0</v>
      </c>
      <c r="AV604" s="1">
        <v>0</v>
      </c>
      <c r="AW604" s="1">
        <v>0</v>
      </c>
      <c r="AX604" s="1">
        <v>0</v>
      </c>
      <c r="AY604" s="1">
        <v>0</v>
      </c>
      <c r="AZ604" s="1">
        <v>0</v>
      </c>
      <c r="BA604" s="1">
        <v>0</v>
      </c>
      <c r="BB604" s="1">
        <v>0</v>
      </c>
      <c r="BC604" s="1">
        <v>0</v>
      </c>
      <c r="BD604" s="1">
        <v>0</v>
      </c>
      <c r="BE604" s="1">
        <v>0</v>
      </c>
      <c r="BF604" s="1">
        <v>0</v>
      </c>
      <c r="BG604" s="1">
        <v>0</v>
      </c>
      <c r="BH604" s="1">
        <v>0</v>
      </c>
      <c r="BI604" s="1">
        <v>0</v>
      </c>
      <c r="BJ604" s="1">
        <v>0</v>
      </c>
      <c r="BK604" s="1">
        <v>0</v>
      </c>
      <c r="BL604" s="1">
        <v>0</v>
      </c>
      <c r="BM604" s="1">
        <v>0</v>
      </c>
      <c r="BN604" s="1">
        <v>0</v>
      </c>
      <c r="BO604" s="1">
        <v>0</v>
      </c>
      <c r="BP604" s="1">
        <v>0</v>
      </c>
      <c r="BQ604" s="2" t="str">
        <f>HYPERLINK("http://www.d20pfsrd.com/magic/all-spells/w/waves-of-fatigue","Waves of Fatigue")</f>
        <v>Waves of Fatigue</v>
      </c>
      <c r="BR604" s="1">
        <v>607</v>
      </c>
      <c r="BS604" s="1" t="s">
        <v>104</v>
      </c>
      <c r="BT604" s="1" t="s">
        <v>4101</v>
      </c>
      <c r="BX604" s="1">
        <v>0</v>
      </c>
      <c r="BY604" s="1" t="s">
        <v>104</v>
      </c>
      <c r="BZ604" s="1" t="s">
        <v>104</v>
      </c>
      <c r="CA604" s="1">
        <v>5</v>
      </c>
      <c r="CB604" s="1" t="s">
        <v>104</v>
      </c>
      <c r="CC604" s="1">
        <v>5</v>
      </c>
      <c r="CD604" s="1" t="s">
        <v>104</v>
      </c>
      <c r="CE604" s="1">
        <v>5</v>
      </c>
      <c r="CF604" s="1" t="s">
        <v>104</v>
      </c>
      <c r="CG604" s="1" t="s">
        <v>104</v>
      </c>
      <c r="CH604" s="1" t="s">
        <v>104</v>
      </c>
      <c r="CJ604" s="1">
        <v>0</v>
      </c>
      <c r="CK604" s="1">
        <v>0</v>
      </c>
      <c r="CL604" s="1">
        <v>0</v>
      </c>
      <c r="CM604" s="1" t="s">
        <v>104</v>
      </c>
    </row>
    <row r="605" spans="1:91" ht="14.25" customHeight="1" x14ac:dyDescent="0.3">
      <c r="A605" s="1" t="s">
        <v>4102</v>
      </c>
      <c r="B605" s="1" t="s">
        <v>92</v>
      </c>
      <c r="C605" s="1" t="s">
        <v>93</v>
      </c>
      <c r="E605" s="1" t="s">
        <v>4103</v>
      </c>
      <c r="F605" s="1" t="s">
        <v>95</v>
      </c>
      <c r="G605" s="1" t="s">
        <v>4104</v>
      </c>
      <c r="H605" s="1">
        <v>0</v>
      </c>
      <c r="I605" s="1" t="s">
        <v>109</v>
      </c>
      <c r="K605" s="1" t="s">
        <v>4105</v>
      </c>
      <c r="M605" s="1" t="s">
        <v>265</v>
      </c>
      <c r="N605" s="1">
        <v>1</v>
      </c>
      <c r="O605" s="1">
        <v>0</v>
      </c>
      <c r="P605" s="1" t="s">
        <v>4047</v>
      </c>
      <c r="Q605" s="1" t="s">
        <v>101</v>
      </c>
      <c r="R605" s="1" t="s">
        <v>4106</v>
      </c>
      <c r="S605" s="1" t="s">
        <v>103</v>
      </c>
      <c r="T605" s="1">
        <v>1</v>
      </c>
      <c r="U605" s="1">
        <v>1</v>
      </c>
      <c r="V605" s="1">
        <v>1</v>
      </c>
      <c r="W605" s="1">
        <v>0</v>
      </c>
      <c r="X605" s="1">
        <v>0</v>
      </c>
      <c r="Y605" s="1">
        <v>2</v>
      </c>
      <c r="Z605" s="1">
        <v>2</v>
      </c>
      <c r="AA605" s="1" t="s">
        <v>104</v>
      </c>
      <c r="AB605" s="1" t="s">
        <v>104</v>
      </c>
      <c r="AC605" s="1" t="s">
        <v>104</v>
      </c>
      <c r="AD605" s="1" t="s">
        <v>104</v>
      </c>
      <c r="AE605" s="1" t="s">
        <v>104</v>
      </c>
      <c r="AF605" s="1" t="s">
        <v>104</v>
      </c>
      <c r="AG605" s="1" t="s">
        <v>104</v>
      </c>
      <c r="AH605" s="1">
        <v>2</v>
      </c>
      <c r="AI605" s="1" t="s">
        <v>104</v>
      </c>
      <c r="AJ605" s="1" t="s">
        <v>104</v>
      </c>
      <c r="AK605" s="1" t="s">
        <v>104</v>
      </c>
      <c r="AL605" s="1">
        <v>2</v>
      </c>
      <c r="AM605" s="1">
        <v>2</v>
      </c>
      <c r="AO605" s="1">
        <v>2</v>
      </c>
      <c r="AQ605" s="1" t="s">
        <v>4107</v>
      </c>
      <c r="AR605" s="1">
        <v>0</v>
      </c>
      <c r="AS605" s="1">
        <v>0</v>
      </c>
      <c r="AT605" s="1">
        <v>0</v>
      </c>
      <c r="AU605" s="1">
        <v>0</v>
      </c>
      <c r="AV605" s="1">
        <v>0</v>
      </c>
      <c r="AW605" s="1">
        <v>0</v>
      </c>
      <c r="AX605" s="1">
        <v>0</v>
      </c>
      <c r="AY605" s="1">
        <v>0</v>
      </c>
      <c r="AZ605" s="1">
        <v>0</v>
      </c>
      <c r="BA605" s="1">
        <v>0</v>
      </c>
      <c r="BB605" s="1">
        <v>0</v>
      </c>
      <c r="BC605" s="1">
        <v>0</v>
      </c>
      <c r="BD605" s="1">
        <v>0</v>
      </c>
      <c r="BE605" s="1">
        <v>0</v>
      </c>
      <c r="BF605" s="1">
        <v>0</v>
      </c>
      <c r="BG605" s="1">
        <v>0</v>
      </c>
      <c r="BH605" s="1">
        <v>0</v>
      </c>
      <c r="BI605" s="1">
        <v>0</v>
      </c>
      <c r="BJ605" s="1">
        <v>0</v>
      </c>
      <c r="BK605" s="1">
        <v>0</v>
      </c>
      <c r="BL605" s="1">
        <v>0</v>
      </c>
      <c r="BM605" s="1">
        <v>0</v>
      </c>
      <c r="BN605" s="1">
        <v>0</v>
      </c>
      <c r="BO605" s="1">
        <v>0</v>
      </c>
      <c r="BP605" s="1">
        <v>0</v>
      </c>
      <c r="BQ605" s="2" t="str">
        <f>HYPERLINK("http://www.d20pfsrd.com/magic/all-spells/w/web","Web")</f>
        <v>Web</v>
      </c>
      <c r="BR605" s="1">
        <v>608</v>
      </c>
      <c r="BS605" s="1" t="s">
        <v>104</v>
      </c>
      <c r="BV605" s="1" t="s">
        <v>4108</v>
      </c>
      <c r="BW605" s="1" t="s">
        <v>4109</v>
      </c>
      <c r="BX605" s="1">
        <v>1</v>
      </c>
      <c r="BY605" s="1" t="s">
        <v>104</v>
      </c>
      <c r="BZ605" s="1" t="s">
        <v>104</v>
      </c>
      <c r="CA605" s="1" t="s">
        <v>104</v>
      </c>
      <c r="CB605" s="1" t="s">
        <v>104</v>
      </c>
      <c r="CC605" s="1" t="s">
        <v>104</v>
      </c>
      <c r="CD605" s="1" t="s">
        <v>104</v>
      </c>
      <c r="CE605" s="1" t="s">
        <v>104</v>
      </c>
      <c r="CF605" s="1" t="s">
        <v>104</v>
      </c>
      <c r="CG605" s="1" t="s">
        <v>104</v>
      </c>
      <c r="CH605" s="1" t="s">
        <v>104</v>
      </c>
      <c r="CJ605" s="1">
        <v>0</v>
      </c>
      <c r="CK605" s="1">
        <v>0</v>
      </c>
      <c r="CL605" s="1">
        <v>0</v>
      </c>
      <c r="CM605" s="1" t="s">
        <v>104</v>
      </c>
    </row>
    <row r="606" spans="1:91" ht="14.25" customHeight="1" x14ac:dyDescent="0.3">
      <c r="A606" s="1" t="s">
        <v>4110</v>
      </c>
      <c r="B606" s="1" t="s">
        <v>507</v>
      </c>
      <c r="C606" s="1" t="s">
        <v>1308</v>
      </c>
      <c r="D606" s="1" t="s">
        <v>3185</v>
      </c>
      <c r="E606" s="1" t="s">
        <v>919</v>
      </c>
      <c r="F606" s="1" t="s">
        <v>95</v>
      </c>
      <c r="G606" s="1" t="s">
        <v>116</v>
      </c>
      <c r="H606" s="1">
        <v>0</v>
      </c>
      <c r="I606" s="1" t="s">
        <v>109</v>
      </c>
      <c r="L606" s="1" t="s">
        <v>4111</v>
      </c>
      <c r="M606" s="1" t="s">
        <v>119</v>
      </c>
      <c r="N606" s="1">
        <v>0</v>
      </c>
      <c r="O606" s="1">
        <v>0</v>
      </c>
      <c r="P606" s="1" t="s">
        <v>2706</v>
      </c>
      <c r="Q606" s="1" t="s">
        <v>184</v>
      </c>
      <c r="R606" s="1" t="s">
        <v>4112</v>
      </c>
      <c r="S606" s="1" t="s">
        <v>103</v>
      </c>
      <c r="T606" s="1">
        <v>1</v>
      </c>
      <c r="U606" s="1">
        <v>1</v>
      </c>
      <c r="V606" s="1">
        <v>0</v>
      </c>
      <c r="W606" s="1">
        <v>0</v>
      </c>
      <c r="X606" s="1">
        <v>0</v>
      </c>
      <c r="Y606" s="1">
        <v>9</v>
      </c>
      <c r="Z606" s="1">
        <v>9</v>
      </c>
      <c r="AA606" s="1" t="s">
        <v>104</v>
      </c>
      <c r="AB606" s="1" t="s">
        <v>104</v>
      </c>
      <c r="AC606" s="1" t="s">
        <v>104</v>
      </c>
      <c r="AD606" s="1" t="s">
        <v>104</v>
      </c>
      <c r="AE606" s="1" t="s">
        <v>104</v>
      </c>
      <c r="AF606" s="1" t="s">
        <v>104</v>
      </c>
      <c r="AG606" s="1" t="s">
        <v>104</v>
      </c>
      <c r="AH606" s="1" t="s">
        <v>104</v>
      </c>
      <c r="AI606" s="1" t="s">
        <v>104</v>
      </c>
      <c r="AJ606" s="1" t="s">
        <v>104</v>
      </c>
      <c r="AK606" s="1" t="s">
        <v>104</v>
      </c>
      <c r="AL606" s="1" t="s">
        <v>104</v>
      </c>
      <c r="AM606" s="1" t="s">
        <v>104</v>
      </c>
      <c r="AO606" s="1">
        <v>9</v>
      </c>
      <c r="AP606" s="1" t="s">
        <v>4113</v>
      </c>
      <c r="AQ606" s="1" t="s">
        <v>4114</v>
      </c>
      <c r="AR606" s="1">
        <v>0</v>
      </c>
      <c r="AS606" s="1">
        <v>0</v>
      </c>
      <c r="AT606" s="1">
        <v>0</v>
      </c>
      <c r="AU606" s="1">
        <v>0</v>
      </c>
      <c r="AV606" s="1">
        <v>0</v>
      </c>
      <c r="AW606" s="1">
        <v>0</v>
      </c>
      <c r="AX606" s="1">
        <v>0</v>
      </c>
      <c r="AY606" s="1">
        <v>0</v>
      </c>
      <c r="AZ606" s="1">
        <v>0</v>
      </c>
      <c r="BA606" s="1">
        <v>0</v>
      </c>
      <c r="BB606" s="1">
        <v>1</v>
      </c>
      <c r="BC606" s="1">
        <v>0</v>
      </c>
      <c r="BD606" s="1">
        <v>1</v>
      </c>
      <c r="BE606" s="1">
        <v>0</v>
      </c>
      <c r="BF606" s="1">
        <v>0</v>
      </c>
      <c r="BG606" s="1">
        <v>0</v>
      </c>
      <c r="BH606" s="1">
        <v>0</v>
      </c>
      <c r="BI606" s="1">
        <v>0</v>
      </c>
      <c r="BJ606" s="1">
        <v>0</v>
      </c>
      <c r="BK606" s="1">
        <v>1</v>
      </c>
      <c r="BL606" s="1">
        <v>0</v>
      </c>
      <c r="BM606" s="1">
        <v>0</v>
      </c>
      <c r="BN606" s="1">
        <v>0</v>
      </c>
      <c r="BO606" s="1">
        <v>0</v>
      </c>
      <c r="BP606" s="1">
        <v>0</v>
      </c>
      <c r="BQ606" s="2" t="str">
        <f>HYPERLINK("http://www.d20pfsrd.com/magic/all-spells/w/weird","Weird")</f>
        <v>Weird</v>
      </c>
      <c r="BR606" s="1">
        <v>609</v>
      </c>
      <c r="BS606" s="1" t="s">
        <v>104</v>
      </c>
      <c r="BT606" s="1" t="s">
        <v>4115</v>
      </c>
      <c r="BU606" s="1" t="s">
        <v>4116</v>
      </c>
      <c r="BX606" s="1">
        <v>0</v>
      </c>
      <c r="BY606" s="1" t="s">
        <v>104</v>
      </c>
      <c r="BZ606" s="1" t="s">
        <v>104</v>
      </c>
      <c r="CA606" s="1">
        <v>9</v>
      </c>
      <c r="CB606" s="1" t="s">
        <v>104</v>
      </c>
      <c r="CC606" s="1" t="s">
        <v>104</v>
      </c>
      <c r="CD606" s="1" t="s">
        <v>104</v>
      </c>
      <c r="CE606" s="1" t="s">
        <v>104</v>
      </c>
      <c r="CF606" s="1" t="s">
        <v>104</v>
      </c>
      <c r="CG606" s="1" t="s">
        <v>104</v>
      </c>
      <c r="CH606" s="1" t="s">
        <v>104</v>
      </c>
      <c r="CJ606" s="1">
        <v>0</v>
      </c>
      <c r="CK606" s="1">
        <v>0</v>
      </c>
      <c r="CL606" s="1">
        <v>0</v>
      </c>
      <c r="CM606" s="1" t="s">
        <v>104</v>
      </c>
    </row>
    <row r="607" spans="1:91" ht="14.25" customHeight="1" x14ac:dyDescent="0.3">
      <c r="A607" s="1" t="s">
        <v>4117</v>
      </c>
      <c r="B607" s="1" t="s">
        <v>434</v>
      </c>
      <c r="D607" s="1" t="s">
        <v>44</v>
      </c>
      <c r="E607" s="1" t="s">
        <v>199</v>
      </c>
      <c r="F607" s="1" t="s">
        <v>95</v>
      </c>
      <c r="G607" s="1" t="s">
        <v>127</v>
      </c>
      <c r="H607" s="1">
        <v>0</v>
      </c>
      <c r="I607" s="1" t="s">
        <v>97</v>
      </c>
      <c r="K607" s="1" t="s">
        <v>4118</v>
      </c>
      <c r="M607" s="1" t="s">
        <v>111</v>
      </c>
      <c r="N607" s="1">
        <v>1</v>
      </c>
      <c r="O607" s="1">
        <v>0</v>
      </c>
      <c r="P607" s="1" t="s">
        <v>4047</v>
      </c>
      <c r="Q607" s="1" t="s">
        <v>184</v>
      </c>
      <c r="R607" s="1" t="s">
        <v>4119</v>
      </c>
      <c r="S607" s="1" t="s">
        <v>103</v>
      </c>
      <c r="T607" s="1">
        <v>1</v>
      </c>
      <c r="U607" s="1">
        <v>1</v>
      </c>
      <c r="V607" s="1">
        <v>0</v>
      </c>
      <c r="W607" s="1">
        <v>0</v>
      </c>
      <c r="X607" s="1">
        <v>1</v>
      </c>
      <c r="Y607" s="1" t="s">
        <v>104</v>
      </c>
      <c r="Z607" s="1" t="s">
        <v>104</v>
      </c>
      <c r="AA607" s="1" t="s">
        <v>104</v>
      </c>
      <c r="AB607" s="1">
        <v>8</v>
      </c>
      <c r="AC607" s="1" t="s">
        <v>104</v>
      </c>
      <c r="AD607" s="1" t="s">
        <v>104</v>
      </c>
      <c r="AE607" s="1" t="s">
        <v>104</v>
      </c>
      <c r="AF607" s="1" t="s">
        <v>104</v>
      </c>
      <c r="AG607" s="1" t="s">
        <v>104</v>
      </c>
      <c r="AH607" s="1" t="s">
        <v>104</v>
      </c>
      <c r="AI607" s="1" t="s">
        <v>104</v>
      </c>
      <c r="AJ607" s="1" t="s">
        <v>104</v>
      </c>
      <c r="AK607" s="1" t="s">
        <v>104</v>
      </c>
      <c r="AL607" s="1" t="s">
        <v>104</v>
      </c>
      <c r="AM607" s="1" t="s">
        <v>104</v>
      </c>
      <c r="AO607" s="1">
        <v>8</v>
      </c>
      <c r="AP607" s="1" t="s">
        <v>4120</v>
      </c>
      <c r="AQ607" s="1" t="s">
        <v>4121</v>
      </c>
      <c r="AR607" s="1">
        <v>0</v>
      </c>
      <c r="AS607" s="1">
        <v>1</v>
      </c>
      <c r="AT607" s="1">
        <v>0</v>
      </c>
      <c r="AU607" s="1">
        <v>0</v>
      </c>
      <c r="AV607" s="1">
        <v>0</v>
      </c>
      <c r="AW607" s="1">
        <v>0</v>
      </c>
      <c r="AX607" s="1">
        <v>0</v>
      </c>
      <c r="AY607" s="1">
        <v>0</v>
      </c>
      <c r="AZ607" s="1">
        <v>0</v>
      </c>
      <c r="BA607" s="1">
        <v>0</v>
      </c>
      <c r="BB607" s="1">
        <v>0</v>
      </c>
      <c r="BC607" s="1">
        <v>0</v>
      </c>
      <c r="BD607" s="1">
        <v>0</v>
      </c>
      <c r="BE607" s="1">
        <v>0</v>
      </c>
      <c r="BF607" s="1">
        <v>0</v>
      </c>
      <c r="BG607" s="1">
        <v>0</v>
      </c>
      <c r="BH607" s="1">
        <v>0</v>
      </c>
      <c r="BI607" s="1">
        <v>0</v>
      </c>
      <c r="BJ607" s="1">
        <v>0</v>
      </c>
      <c r="BK607" s="1">
        <v>0</v>
      </c>
      <c r="BL607" s="1">
        <v>0</v>
      </c>
      <c r="BM607" s="1">
        <v>0</v>
      </c>
      <c r="BN607" s="1">
        <v>0</v>
      </c>
      <c r="BO607" s="1">
        <v>0</v>
      </c>
      <c r="BP607" s="1">
        <v>0</v>
      </c>
      <c r="BQ607" s="2" t="str">
        <f>HYPERLINK("http://www.d20pfsrd.com/magic/all-spells/w/whirlwind","Whirlwind")</f>
        <v>Whirlwind</v>
      </c>
      <c r="BR607" s="1">
        <v>610</v>
      </c>
      <c r="BS607" s="1" t="s">
        <v>104</v>
      </c>
      <c r="BT607" s="1" t="s">
        <v>4122</v>
      </c>
      <c r="BU607" s="1" t="s">
        <v>4123</v>
      </c>
      <c r="BX607" s="1">
        <v>0</v>
      </c>
      <c r="BY607" s="1" t="s">
        <v>104</v>
      </c>
      <c r="BZ607" s="1">
        <v>8</v>
      </c>
      <c r="CA607" s="1" t="s">
        <v>104</v>
      </c>
      <c r="CB607" s="1" t="s">
        <v>104</v>
      </c>
      <c r="CC607" s="1" t="s">
        <v>104</v>
      </c>
      <c r="CD607" s="1" t="s">
        <v>104</v>
      </c>
      <c r="CE607" s="1" t="s">
        <v>104</v>
      </c>
      <c r="CF607" s="1" t="s">
        <v>104</v>
      </c>
      <c r="CG607" s="1" t="s">
        <v>104</v>
      </c>
      <c r="CH607" s="1" t="s">
        <v>104</v>
      </c>
      <c r="CJ607" s="1">
        <v>0</v>
      </c>
      <c r="CK607" s="1">
        <v>0</v>
      </c>
      <c r="CL607" s="1">
        <v>0</v>
      </c>
      <c r="CM607" s="1" t="s">
        <v>104</v>
      </c>
    </row>
    <row r="608" spans="1:91" ht="14.25" customHeight="1" x14ac:dyDescent="0.3">
      <c r="A608" s="1" t="s">
        <v>4124</v>
      </c>
      <c r="B608" s="1" t="s">
        <v>137</v>
      </c>
      <c r="D608" s="1" t="s">
        <v>44</v>
      </c>
      <c r="E608" s="1" t="s">
        <v>4125</v>
      </c>
      <c r="F608" s="1" t="s">
        <v>95</v>
      </c>
      <c r="G608" s="1" t="s">
        <v>116</v>
      </c>
      <c r="H608" s="1">
        <v>0</v>
      </c>
      <c r="I608" s="1" t="s">
        <v>4126</v>
      </c>
      <c r="J608" s="1" t="s">
        <v>3489</v>
      </c>
      <c r="M608" s="1" t="s">
        <v>4127</v>
      </c>
      <c r="N608" s="1">
        <v>0</v>
      </c>
      <c r="O608" s="1">
        <v>0</v>
      </c>
      <c r="P608" s="1" t="s">
        <v>100</v>
      </c>
      <c r="Q608" s="1" t="s">
        <v>101</v>
      </c>
      <c r="R608" s="1" t="s">
        <v>4128</v>
      </c>
      <c r="S608" s="1" t="s">
        <v>103</v>
      </c>
      <c r="T608" s="1">
        <v>1</v>
      </c>
      <c r="U608" s="1">
        <v>1</v>
      </c>
      <c r="V608" s="1">
        <v>0</v>
      </c>
      <c r="W608" s="1">
        <v>0</v>
      </c>
      <c r="X608" s="1">
        <v>0</v>
      </c>
      <c r="Y608" s="1">
        <v>2</v>
      </c>
      <c r="Z608" s="1">
        <v>2</v>
      </c>
      <c r="AA608" s="1" t="s">
        <v>104</v>
      </c>
      <c r="AB608" s="1" t="s">
        <v>104</v>
      </c>
      <c r="AC608" s="1" t="s">
        <v>104</v>
      </c>
      <c r="AD608" s="1">
        <v>2</v>
      </c>
      <c r="AE608" s="1" t="s">
        <v>104</v>
      </c>
      <c r="AF608" s="1" t="s">
        <v>104</v>
      </c>
      <c r="AG608" s="1" t="s">
        <v>104</v>
      </c>
      <c r="AH608" s="1" t="s">
        <v>104</v>
      </c>
      <c r="AI608" s="1">
        <v>2</v>
      </c>
      <c r="AJ608" s="1" t="s">
        <v>104</v>
      </c>
      <c r="AK608" s="1" t="s">
        <v>104</v>
      </c>
      <c r="AL608" s="1" t="s">
        <v>104</v>
      </c>
      <c r="AM608" s="1" t="s">
        <v>104</v>
      </c>
      <c r="AO608" s="1">
        <v>2</v>
      </c>
      <c r="AP608" s="1" t="s">
        <v>4129</v>
      </c>
      <c r="AQ608" s="1" t="s">
        <v>4130</v>
      </c>
      <c r="AR608" s="1">
        <v>0</v>
      </c>
      <c r="AS608" s="1">
        <v>1</v>
      </c>
      <c r="AT608" s="1">
        <v>0</v>
      </c>
      <c r="AU608" s="1">
        <v>0</v>
      </c>
      <c r="AV608" s="1">
        <v>0</v>
      </c>
      <c r="AW608" s="1">
        <v>0</v>
      </c>
      <c r="AX608" s="1">
        <v>0</v>
      </c>
      <c r="AY608" s="1">
        <v>0</v>
      </c>
      <c r="AZ608" s="1">
        <v>0</v>
      </c>
      <c r="BA608" s="1">
        <v>0</v>
      </c>
      <c r="BB608" s="1">
        <v>0</v>
      </c>
      <c r="BC608" s="1">
        <v>0</v>
      </c>
      <c r="BD608" s="1">
        <v>0</v>
      </c>
      <c r="BE608" s="1">
        <v>0</v>
      </c>
      <c r="BF608" s="1">
        <v>0</v>
      </c>
      <c r="BG608" s="1">
        <v>0</v>
      </c>
      <c r="BH608" s="1">
        <v>0</v>
      </c>
      <c r="BI608" s="1">
        <v>0</v>
      </c>
      <c r="BJ608" s="1">
        <v>0</v>
      </c>
      <c r="BK608" s="1">
        <v>0</v>
      </c>
      <c r="BL608" s="1">
        <v>0</v>
      </c>
      <c r="BM608" s="1">
        <v>0</v>
      </c>
      <c r="BN608" s="1">
        <v>0</v>
      </c>
      <c r="BO608" s="1">
        <v>0</v>
      </c>
      <c r="BP608" s="1">
        <v>0</v>
      </c>
      <c r="BQ608" s="2" t="str">
        <f>HYPERLINK("http://www.d20pfsrd.com/magic/all-spells/w/whispering-wind","Whispering Wind")</f>
        <v>Whispering Wind</v>
      </c>
      <c r="BR608" s="1">
        <v>611</v>
      </c>
      <c r="BS608" s="1" t="s">
        <v>104</v>
      </c>
      <c r="BX608" s="1">
        <v>0</v>
      </c>
      <c r="BY608" s="1" t="s">
        <v>104</v>
      </c>
      <c r="BZ608" s="1" t="s">
        <v>104</v>
      </c>
      <c r="CA608" s="1">
        <v>2</v>
      </c>
      <c r="CB608" s="1">
        <v>2</v>
      </c>
      <c r="CC608" s="1">
        <v>2</v>
      </c>
      <c r="CD608" s="1" t="s">
        <v>104</v>
      </c>
      <c r="CE608" s="1" t="s">
        <v>104</v>
      </c>
      <c r="CF608" s="1" t="s">
        <v>104</v>
      </c>
      <c r="CG608" s="1" t="s">
        <v>104</v>
      </c>
      <c r="CH608" s="1" t="s">
        <v>104</v>
      </c>
      <c r="CJ608" s="1">
        <v>0</v>
      </c>
      <c r="CK608" s="1">
        <v>0</v>
      </c>
      <c r="CL608" s="1">
        <v>0</v>
      </c>
      <c r="CM608" s="1" t="s">
        <v>104</v>
      </c>
    </row>
    <row r="609" spans="1:91" ht="14.25" customHeight="1" x14ac:dyDescent="0.3">
      <c r="A609" s="1" t="s">
        <v>4131</v>
      </c>
      <c r="B609" s="1" t="s">
        <v>137</v>
      </c>
      <c r="D609" s="1" t="s">
        <v>44</v>
      </c>
      <c r="E609" s="1" t="s">
        <v>4132</v>
      </c>
      <c r="F609" s="1" t="s">
        <v>95</v>
      </c>
      <c r="G609" s="1" t="s">
        <v>127</v>
      </c>
      <c r="H609" s="1">
        <v>0</v>
      </c>
      <c r="I609" s="1" t="s">
        <v>128</v>
      </c>
      <c r="L609" s="1" t="s">
        <v>4133</v>
      </c>
      <c r="M609" s="1" t="s">
        <v>4134</v>
      </c>
      <c r="N609" s="1">
        <v>1</v>
      </c>
      <c r="O609" s="1">
        <v>0</v>
      </c>
      <c r="P609" s="1" t="s">
        <v>4135</v>
      </c>
      <c r="Q609" s="1" t="s">
        <v>4136</v>
      </c>
      <c r="R609" s="1" t="s">
        <v>4137</v>
      </c>
      <c r="S609" s="1" t="s">
        <v>103</v>
      </c>
      <c r="T609" s="1">
        <v>1</v>
      </c>
      <c r="U609" s="1">
        <v>1</v>
      </c>
      <c r="V609" s="1">
        <v>0</v>
      </c>
      <c r="W609" s="1">
        <v>0</v>
      </c>
      <c r="X609" s="1">
        <v>1</v>
      </c>
      <c r="Y609" s="1" t="s">
        <v>104</v>
      </c>
      <c r="Z609" s="1" t="s">
        <v>104</v>
      </c>
      <c r="AA609" s="1">
        <v>6</v>
      </c>
      <c r="AB609" s="1">
        <v>7</v>
      </c>
      <c r="AC609" s="1" t="s">
        <v>104</v>
      </c>
      <c r="AD609" s="1" t="s">
        <v>104</v>
      </c>
      <c r="AE609" s="1" t="s">
        <v>104</v>
      </c>
      <c r="AF609" s="1">
        <v>6</v>
      </c>
      <c r="AG609" s="1" t="s">
        <v>104</v>
      </c>
      <c r="AH609" s="1" t="s">
        <v>104</v>
      </c>
      <c r="AI609" s="1" t="s">
        <v>104</v>
      </c>
      <c r="AJ609" s="1">
        <v>6</v>
      </c>
      <c r="AK609" s="1" t="s">
        <v>104</v>
      </c>
      <c r="AL609" s="1" t="s">
        <v>104</v>
      </c>
      <c r="AM609" s="1" t="s">
        <v>104</v>
      </c>
      <c r="AO609" s="1">
        <v>6</v>
      </c>
      <c r="AP609" s="1" t="s">
        <v>4138</v>
      </c>
      <c r="AQ609" s="1" t="s">
        <v>4139</v>
      </c>
      <c r="AR609" s="1">
        <v>0</v>
      </c>
      <c r="AS609" s="1">
        <v>1</v>
      </c>
      <c r="AT609" s="1">
        <v>0</v>
      </c>
      <c r="AU609" s="1">
        <v>0</v>
      </c>
      <c r="AV609" s="1">
        <v>0</v>
      </c>
      <c r="AW609" s="1">
        <v>0</v>
      </c>
      <c r="AX609" s="1">
        <v>0</v>
      </c>
      <c r="AY609" s="1">
        <v>0</v>
      </c>
      <c r="AZ609" s="1">
        <v>0</v>
      </c>
      <c r="BA609" s="1">
        <v>0</v>
      </c>
      <c r="BB609" s="1">
        <v>0</v>
      </c>
      <c r="BC609" s="1">
        <v>0</v>
      </c>
      <c r="BD609" s="1">
        <v>0</v>
      </c>
      <c r="BE609" s="1">
        <v>0</v>
      </c>
      <c r="BF609" s="1">
        <v>0</v>
      </c>
      <c r="BG609" s="1">
        <v>0</v>
      </c>
      <c r="BH609" s="1">
        <v>0</v>
      </c>
      <c r="BI609" s="1">
        <v>0</v>
      </c>
      <c r="BJ609" s="1">
        <v>0</v>
      </c>
      <c r="BK609" s="1">
        <v>0</v>
      </c>
      <c r="BL609" s="1">
        <v>0</v>
      </c>
      <c r="BM609" s="1">
        <v>0</v>
      </c>
      <c r="BN609" s="1">
        <v>0</v>
      </c>
      <c r="BO609" s="1">
        <v>0</v>
      </c>
      <c r="BP609" s="1">
        <v>0</v>
      </c>
      <c r="BQ609" s="2" t="str">
        <f>HYPERLINK("http://www.d20pfsrd.com/magic/all-spells/w/wind-walk","Wind Walk")</f>
        <v>Wind Walk</v>
      </c>
      <c r="BR609" s="1">
        <v>612</v>
      </c>
      <c r="BS609" s="1" t="s">
        <v>104</v>
      </c>
      <c r="BU609" s="1" t="s">
        <v>4140</v>
      </c>
      <c r="BX609" s="1">
        <v>0</v>
      </c>
      <c r="BY609" s="1" t="s">
        <v>104</v>
      </c>
      <c r="BZ609" s="1">
        <v>7</v>
      </c>
      <c r="CA609" s="1" t="s">
        <v>104</v>
      </c>
      <c r="CB609" s="1" t="s">
        <v>104</v>
      </c>
      <c r="CC609" s="1" t="s">
        <v>104</v>
      </c>
      <c r="CD609" s="1" t="s">
        <v>104</v>
      </c>
      <c r="CE609" s="1" t="s">
        <v>104</v>
      </c>
      <c r="CF609" s="1" t="s">
        <v>104</v>
      </c>
      <c r="CG609" s="1" t="s">
        <v>104</v>
      </c>
      <c r="CH609" s="1" t="s">
        <v>104</v>
      </c>
      <c r="CJ609" s="1">
        <v>0</v>
      </c>
      <c r="CK609" s="1">
        <v>0</v>
      </c>
      <c r="CL609" s="1">
        <v>0</v>
      </c>
      <c r="CM609" s="1" t="s">
        <v>104</v>
      </c>
    </row>
    <row r="610" spans="1:91" ht="14.25" customHeight="1" x14ac:dyDescent="0.3">
      <c r="A610" s="1" t="s">
        <v>4141</v>
      </c>
      <c r="B610" s="1" t="s">
        <v>434</v>
      </c>
      <c r="D610" s="1" t="s">
        <v>44</v>
      </c>
      <c r="E610" s="1" t="s">
        <v>4142</v>
      </c>
      <c r="F610" s="1" t="s">
        <v>95</v>
      </c>
      <c r="G610" s="1" t="s">
        <v>4143</v>
      </c>
      <c r="H610" s="1">
        <v>0</v>
      </c>
      <c r="I610" s="1" t="s">
        <v>109</v>
      </c>
      <c r="K610" s="1" t="s">
        <v>4144</v>
      </c>
      <c r="M610" s="1" t="s">
        <v>111</v>
      </c>
      <c r="N610" s="1">
        <v>0</v>
      </c>
      <c r="O610" s="1">
        <v>0</v>
      </c>
      <c r="P610" s="1" t="s">
        <v>195</v>
      </c>
      <c r="Q610" s="1" t="s">
        <v>184</v>
      </c>
      <c r="R610" s="1" t="s">
        <v>4145</v>
      </c>
      <c r="S610" s="1" t="s">
        <v>103</v>
      </c>
      <c r="T610" s="1">
        <v>1</v>
      </c>
      <c r="U610" s="1">
        <v>1</v>
      </c>
      <c r="V610" s="1">
        <v>1</v>
      </c>
      <c r="W610" s="1">
        <v>0</v>
      </c>
      <c r="X610" s="1">
        <v>1</v>
      </c>
      <c r="Y610" s="1">
        <v>3</v>
      </c>
      <c r="Z610" s="1">
        <v>3</v>
      </c>
      <c r="AA610" s="1">
        <v>3</v>
      </c>
      <c r="AB610" s="1">
        <v>3</v>
      </c>
      <c r="AC610" s="1">
        <v>2</v>
      </c>
      <c r="AD610" s="1" t="s">
        <v>104</v>
      </c>
      <c r="AE610" s="1" t="s">
        <v>104</v>
      </c>
      <c r="AF610" s="1" t="s">
        <v>104</v>
      </c>
      <c r="AG610" s="1">
        <v>2</v>
      </c>
      <c r="AH610" s="1" t="s">
        <v>104</v>
      </c>
      <c r="AI610" s="1" t="s">
        <v>104</v>
      </c>
      <c r="AJ610" s="1">
        <v>3</v>
      </c>
      <c r="AK610" s="1" t="s">
        <v>104</v>
      </c>
      <c r="AL610" s="1">
        <v>3</v>
      </c>
      <c r="AM610" s="1" t="s">
        <v>104</v>
      </c>
      <c r="AO610" s="1">
        <v>3</v>
      </c>
      <c r="AP610" s="1" t="s">
        <v>4146</v>
      </c>
      <c r="AQ610" s="1" t="s">
        <v>4147</v>
      </c>
      <c r="AR610" s="1">
        <v>0</v>
      </c>
      <c r="AS610" s="1">
        <v>1</v>
      </c>
      <c r="AT610" s="1">
        <v>0</v>
      </c>
      <c r="AU610" s="1">
        <v>0</v>
      </c>
      <c r="AV610" s="1">
        <v>0</v>
      </c>
      <c r="AW610" s="1">
        <v>0</v>
      </c>
      <c r="AX610" s="1">
        <v>0</v>
      </c>
      <c r="AY610" s="1">
        <v>0</v>
      </c>
      <c r="AZ610" s="1">
        <v>0</v>
      </c>
      <c r="BA610" s="1">
        <v>0</v>
      </c>
      <c r="BB610" s="1">
        <v>0</v>
      </c>
      <c r="BC610" s="1">
        <v>0</v>
      </c>
      <c r="BD610" s="1">
        <v>0</v>
      </c>
      <c r="BE610" s="1">
        <v>0</v>
      </c>
      <c r="BF610" s="1">
        <v>0</v>
      </c>
      <c r="BG610" s="1">
        <v>0</v>
      </c>
      <c r="BH610" s="1">
        <v>0</v>
      </c>
      <c r="BI610" s="1">
        <v>0</v>
      </c>
      <c r="BJ610" s="1">
        <v>0</v>
      </c>
      <c r="BK610" s="1">
        <v>0</v>
      </c>
      <c r="BL610" s="1">
        <v>0</v>
      </c>
      <c r="BM610" s="1">
        <v>0</v>
      </c>
      <c r="BN610" s="1">
        <v>0</v>
      </c>
      <c r="BO610" s="1">
        <v>0</v>
      </c>
      <c r="BP610" s="1">
        <v>0</v>
      </c>
      <c r="BQ610" s="2" t="str">
        <f>HYPERLINK("http://www.d20pfsrd.com/magic/all-spells/w/wind-wall","Wind Wall")</f>
        <v>Wind Wall</v>
      </c>
      <c r="BR610" s="1">
        <v>613</v>
      </c>
      <c r="BS610" s="1" t="s">
        <v>104</v>
      </c>
      <c r="BU610" s="1" t="s">
        <v>4148</v>
      </c>
      <c r="BX610" s="1">
        <v>0</v>
      </c>
      <c r="BY610" s="1">
        <v>3</v>
      </c>
      <c r="BZ610" s="1">
        <v>3</v>
      </c>
      <c r="CA610" s="1" t="s">
        <v>104</v>
      </c>
      <c r="CB610" s="1" t="s">
        <v>104</v>
      </c>
      <c r="CC610" s="1" t="s">
        <v>104</v>
      </c>
      <c r="CD610" s="1">
        <v>3</v>
      </c>
      <c r="CE610" s="1">
        <v>3</v>
      </c>
      <c r="CF610" s="1" t="s">
        <v>104</v>
      </c>
      <c r="CG610" s="1" t="s">
        <v>104</v>
      </c>
      <c r="CH610" s="1">
        <v>2</v>
      </c>
      <c r="CJ610" s="1">
        <v>0</v>
      </c>
      <c r="CK610" s="1">
        <v>0</v>
      </c>
      <c r="CL610" s="1">
        <v>0</v>
      </c>
      <c r="CM610" s="1">
        <v>3</v>
      </c>
    </row>
    <row r="611" spans="1:91" ht="14.25" customHeight="1" x14ac:dyDescent="0.3">
      <c r="A611" s="1" t="s">
        <v>4149</v>
      </c>
      <c r="B611" s="1" t="s">
        <v>303</v>
      </c>
      <c r="E611" s="1" t="s">
        <v>919</v>
      </c>
      <c r="F611" s="1" t="s">
        <v>95</v>
      </c>
      <c r="G611" s="1" t="s">
        <v>4150</v>
      </c>
      <c r="H611" s="1">
        <v>1</v>
      </c>
      <c r="I611" s="1" t="s">
        <v>145</v>
      </c>
      <c r="J611" s="1" t="s">
        <v>145</v>
      </c>
      <c r="K611" s="1" t="s">
        <v>145</v>
      </c>
      <c r="L611" s="1" t="s">
        <v>145</v>
      </c>
      <c r="M611" s="1" t="s">
        <v>145</v>
      </c>
      <c r="N611" s="1">
        <v>0</v>
      </c>
      <c r="O611" s="1">
        <v>0</v>
      </c>
      <c r="P611" s="1" t="s">
        <v>195</v>
      </c>
      <c r="Q611" s="1" t="s">
        <v>184</v>
      </c>
      <c r="R611" s="1" t="s">
        <v>4151</v>
      </c>
      <c r="S611" s="1" t="s">
        <v>103</v>
      </c>
      <c r="T611" s="1">
        <v>1</v>
      </c>
      <c r="U611" s="1">
        <v>1</v>
      </c>
      <c r="V611" s="1">
        <v>1</v>
      </c>
      <c r="W611" s="1">
        <v>0</v>
      </c>
      <c r="X611" s="1">
        <v>0</v>
      </c>
      <c r="Y611" s="1">
        <v>9</v>
      </c>
      <c r="Z611" s="1">
        <v>9</v>
      </c>
      <c r="AA611" s="1" t="s">
        <v>104</v>
      </c>
      <c r="AB611" s="1" t="s">
        <v>104</v>
      </c>
      <c r="AC611" s="1" t="s">
        <v>104</v>
      </c>
      <c r="AD611" s="1" t="s">
        <v>104</v>
      </c>
      <c r="AE611" s="1" t="s">
        <v>104</v>
      </c>
      <c r="AF611" s="1" t="s">
        <v>104</v>
      </c>
      <c r="AG611" s="1" t="s">
        <v>104</v>
      </c>
      <c r="AH611" s="1" t="s">
        <v>104</v>
      </c>
      <c r="AI611" s="1" t="s">
        <v>104</v>
      </c>
      <c r="AJ611" s="1" t="s">
        <v>104</v>
      </c>
      <c r="AK611" s="1" t="s">
        <v>104</v>
      </c>
      <c r="AL611" s="1" t="s">
        <v>104</v>
      </c>
      <c r="AM611" s="1" t="s">
        <v>104</v>
      </c>
      <c r="AO611" s="1">
        <v>9</v>
      </c>
      <c r="AQ611" s="1" t="s">
        <v>4152</v>
      </c>
      <c r="AR611" s="1">
        <v>0</v>
      </c>
      <c r="AS611" s="1">
        <v>0</v>
      </c>
      <c r="AT611" s="1">
        <v>0</v>
      </c>
      <c r="AU611" s="1">
        <v>0</v>
      </c>
      <c r="AV611" s="1">
        <v>0</v>
      </c>
      <c r="AW611" s="1">
        <v>0</v>
      </c>
      <c r="AX611" s="1">
        <v>0</v>
      </c>
      <c r="AY611" s="1">
        <v>0</v>
      </c>
      <c r="AZ611" s="1">
        <v>0</v>
      </c>
      <c r="BA611" s="1">
        <v>0</v>
      </c>
      <c r="BB611" s="1">
        <v>0</v>
      </c>
      <c r="BC611" s="1">
        <v>0</v>
      </c>
      <c r="BD611" s="1">
        <v>0</v>
      </c>
      <c r="BE611" s="1">
        <v>0</v>
      </c>
      <c r="BF611" s="1">
        <v>0</v>
      </c>
      <c r="BG611" s="1">
        <v>0</v>
      </c>
      <c r="BH611" s="1">
        <v>0</v>
      </c>
      <c r="BI611" s="1">
        <v>0</v>
      </c>
      <c r="BJ611" s="1">
        <v>0</v>
      </c>
      <c r="BK611" s="1">
        <v>0</v>
      </c>
      <c r="BL611" s="1">
        <v>0</v>
      </c>
      <c r="BM611" s="1">
        <v>0</v>
      </c>
      <c r="BN611" s="1">
        <v>0</v>
      </c>
      <c r="BO611" s="1">
        <v>0</v>
      </c>
      <c r="BP611" s="1">
        <v>0</v>
      </c>
      <c r="BQ611" s="2" t="str">
        <f>HYPERLINK("http://www.d20pfsrd.com/magic/all-spells/w/wish","Wish")</f>
        <v>Wish</v>
      </c>
      <c r="BR611" s="1">
        <v>614</v>
      </c>
      <c r="BS611" s="1">
        <v>25000</v>
      </c>
      <c r="BT611" s="1" t="s">
        <v>4153</v>
      </c>
      <c r="BX611" s="1">
        <v>0</v>
      </c>
      <c r="BY611" s="1" t="s">
        <v>104</v>
      </c>
      <c r="BZ611" s="1" t="s">
        <v>104</v>
      </c>
      <c r="CA611" s="1">
        <v>9</v>
      </c>
      <c r="CB611" s="1" t="s">
        <v>104</v>
      </c>
      <c r="CC611" s="1" t="s">
        <v>104</v>
      </c>
      <c r="CD611" s="1" t="s">
        <v>104</v>
      </c>
      <c r="CE611" s="1" t="s">
        <v>104</v>
      </c>
      <c r="CF611" s="1" t="s">
        <v>104</v>
      </c>
      <c r="CG611" s="1" t="s">
        <v>104</v>
      </c>
      <c r="CH611" s="1" t="s">
        <v>104</v>
      </c>
      <c r="CJ611" s="1">
        <v>0</v>
      </c>
      <c r="CK611" s="1">
        <v>0</v>
      </c>
      <c r="CL611" s="1">
        <v>0</v>
      </c>
      <c r="CM611" s="1" t="s">
        <v>104</v>
      </c>
    </row>
    <row r="612" spans="1:91" ht="14.25" customHeight="1" x14ac:dyDescent="0.3">
      <c r="A612" s="1" t="s">
        <v>4154</v>
      </c>
      <c r="B612" s="1" t="s">
        <v>137</v>
      </c>
      <c r="E612" s="1" t="s">
        <v>4073</v>
      </c>
      <c r="F612" s="1" t="s">
        <v>95</v>
      </c>
      <c r="G612" s="1" t="s">
        <v>127</v>
      </c>
      <c r="H612" s="1">
        <v>0</v>
      </c>
      <c r="I612" s="1" t="s">
        <v>128</v>
      </c>
      <c r="L612" s="1" t="s">
        <v>4155</v>
      </c>
      <c r="M612" s="1" t="s">
        <v>119</v>
      </c>
      <c r="N612" s="1">
        <v>0</v>
      </c>
      <c r="O612" s="1">
        <v>0</v>
      </c>
      <c r="P612" s="1" t="s">
        <v>471</v>
      </c>
      <c r="Q612" s="1" t="s">
        <v>472</v>
      </c>
      <c r="R612" s="1" t="s">
        <v>4156</v>
      </c>
      <c r="S612" s="1" t="s">
        <v>103</v>
      </c>
      <c r="T612" s="1">
        <v>1</v>
      </c>
      <c r="U612" s="1">
        <v>1</v>
      </c>
      <c r="V612" s="1">
        <v>0</v>
      </c>
      <c r="W612" s="1">
        <v>0</v>
      </c>
      <c r="X612" s="1">
        <v>1</v>
      </c>
      <c r="Y612" s="1" t="s">
        <v>104</v>
      </c>
      <c r="Z612" s="1" t="s">
        <v>104</v>
      </c>
      <c r="AA612" s="1" t="s">
        <v>104</v>
      </c>
      <c r="AB612" s="1">
        <v>2</v>
      </c>
      <c r="AC612" s="1" t="s">
        <v>104</v>
      </c>
      <c r="AD612" s="1" t="s">
        <v>104</v>
      </c>
      <c r="AE612" s="1" t="s">
        <v>104</v>
      </c>
      <c r="AF612" s="1" t="s">
        <v>104</v>
      </c>
      <c r="AG612" s="1" t="s">
        <v>104</v>
      </c>
      <c r="AH612" s="1" t="s">
        <v>104</v>
      </c>
      <c r="AI612" s="1" t="s">
        <v>104</v>
      </c>
      <c r="AJ612" s="1" t="s">
        <v>104</v>
      </c>
      <c r="AK612" s="1" t="s">
        <v>104</v>
      </c>
      <c r="AL612" s="1" t="s">
        <v>104</v>
      </c>
      <c r="AM612" s="1" t="s">
        <v>104</v>
      </c>
      <c r="AO612" s="1">
        <v>2</v>
      </c>
      <c r="AP612" s="1" t="s">
        <v>4157</v>
      </c>
      <c r="AQ612" s="1" t="s">
        <v>4158</v>
      </c>
      <c r="AR612" s="1">
        <v>0</v>
      </c>
      <c r="AS612" s="1">
        <v>0</v>
      </c>
      <c r="AT612" s="1">
        <v>0</v>
      </c>
      <c r="AU612" s="1">
        <v>0</v>
      </c>
      <c r="AV612" s="1">
        <v>0</v>
      </c>
      <c r="AW612" s="1">
        <v>0</v>
      </c>
      <c r="AX612" s="1">
        <v>0</v>
      </c>
      <c r="AY612" s="1">
        <v>0</v>
      </c>
      <c r="AZ612" s="1">
        <v>0</v>
      </c>
      <c r="BA612" s="1">
        <v>0</v>
      </c>
      <c r="BB612" s="1">
        <v>0</v>
      </c>
      <c r="BC612" s="1">
        <v>0</v>
      </c>
      <c r="BD612" s="1">
        <v>0</v>
      </c>
      <c r="BE612" s="1">
        <v>0</v>
      </c>
      <c r="BF612" s="1">
        <v>0</v>
      </c>
      <c r="BG612" s="1">
        <v>0</v>
      </c>
      <c r="BH612" s="1">
        <v>0</v>
      </c>
      <c r="BI612" s="1">
        <v>0</v>
      </c>
      <c r="BJ612" s="1">
        <v>0</v>
      </c>
      <c r="BK612" s="1">
        <v>0</v>
      </c>
      <c r="BL612" s="1">
        <v>0</v>
      </c>
      <c r="BM612" s="1">
        <v>0</v>
      </c>
      <c r="BN612" s="1">
        <v>0</v>
      </c>
      <c r="BO612" s="1">
        <v>0</v>
      </c>
      <c r="BP612" s="1">
        <v>0</v>
      </c>
      <c r="BQ612" s="2" t="str">
        <f>HYPERLINK("http://www.d20pfsrd.com/magic/all-spells/w/wood-shape","Wood Shape")</f>
        <v>Wood Shape</v>
      </c>
      <c r="BR612" s="1">
        <v>615</v>
      </c>
      <c r="BS612" s="1" t="s">
        <v>104</v>
      </c>
      <c r="BX612" s="1">
        <v>0</v>
      </c>
      <c r="BY612" s="1" t="s">
        <v>104</v>
      </c>
      <c r="BZ612" s="1">
        <v>2</v>
      </c>
      <c r="CA612" s="1" t="s">
        <v>104</v>
      </c>
      <c r="CB612" s="1" t="s">
        <v>104</v>
      </c>
      <c r="CC612" s="1" t="s">
        <v>104</v>
      </c>
      <c r="CD612" s="1">
        <v>2</v>
      </c>
      <c r="CE612" s="1" t="s">
        <v>104</v>
      </c>
      <c r="CF612" s="1" t="s">
        <v>104</v>
      </c>
      <c r="CG612" s="1" t="s">
        <v>104</v>
      </c>
      <c r="CH612" s="1">
        <v>2</v>
      </c>
      <c r="CJ612" s="1">
        <v>0</v>
      </c>
      <c r="CK612" s="1">
        <v>0</v>
      </c>
      <c r="CL612" s="1">
        <v>0</v>
      </c>
      <c r="CM612" s="1" t="s">
        <v>104</v>
      </c>
    </row>
    <row r="613" spans="1:91" ht="14.25" customHeight="1" x14ac:dyDescent="0.3">
      <c r="A613" s="1" t="s">
        <v>4159</v>
      </c>
      <c r="B613" s="1" t="s">
        <v>92</v>
      </c>
      <c r="C613" s="1" t="s">
        <v>1160</v>
      </c>
      <c r="E613" s="1" t="s">
        <v>4160</v>
      </c>
      <c r="F613" s="1" t="s">
        <v>95</v>
      </c>
      <c r="G613" s="1" t="s">
        <v>237</v>
      </c>
      <c r="H613" s="1">
        <v>0</v>
      </c>
      <c r="I613" s="1" t="s">
        <v>289</v>
      </c>
      <c r="L613" s="1" t="s">
        <v>4161</v>
      </c>
      <c r="M613" s="1" t="s">
        <v>119</v>
      </c>
      <c r="N613" s="1">
        <v>0</v>
      </c>
      <c r="O613" s="1">
        <v>0</v>
      </c>
      <c r="P613" s="1" t="s">
        <v>4162</v>
      </c>
      <c r="Q613" s="1" t="s">
        <v>4163</v>
      </c>
      <c r="R613" s="1" t="s">
        <v>4164</v>
      </c>
      <c r="S613" s="1" t="s">
        <v>103</v>
      </c>
      <c r="T613" s="1">
        <v>1</v>
      </c>
      <c r="U613" s="1">
        <v>0</v>
      </c>
      <c r="V613" s="1">
        <v>0</v>
      </c>
      <c r="W613" s="1">
        <v>0</v>
      </c>
      <c r="X613" s="1">
        <v>0</v>
      </c>
      <c r="Y613" s="1" t="s">
        <v>104</v>
      </c>
      <c r="Z613" s="1" t="s">
        <v>104</v>
      </c>
      <c r="AA613" s="1">
        <v>6</v>
      </c>
      <c r="AB613" s="1">
        <v>8</v>
      </c>
      <c r="AC613" s="1" t="s">
        <v>104</v>
      </c>
      <c r="AD613" s="1" t="s">
        <v>104</v>
      </c>
      <c r="AE613" s="1" t="s">
        <v>104</v>
      </c>
      <c r="AF613" s="1" t="s">
        <v>104</v>
      </c>
      <c r="AG613" s="1" t="s">
        <v>104</v>
      </c>
      <c r="AH613" s="1" t="s">
        <v>104</v>
      </c>
      <c r="AI613" s="1" t="s">
        <v>104</v>
      </c>
      <c r="AJ613" s="1">
        <v>6</v>
      </c>
      <c r="AK613" s="1" t="s">
        <v>104</v>
      </c>
      <c r="AL613" s="1" t="s">
        <v>104</v>
      </c>
      <c r="AM613" s="1" t="s">
        <v>104</v>
      </c>
      <c r="AO613" s="1">
        <v>6</v>
      </c>
      <c r="AQ613" s="1" t="s">
        <v>4165</v>
      </c>
      <c r="AR613" s="1">
        <v>0</v>
      </c>
      <c r="AS613" s="1">
        <v>0</v>
      </c>
      <c r="AT613" s="1">
        <v>0</v>
      </c>
      <c r="AU613" s="1">
        <v>0</v>
      </c>
      <c r="AV613" s="1">
        <v>0</v>
      </c>
      <c r="AW613" s="1">
        <v>0</v>
      </c>
      <c r="AX613" s="1">
        <v>0</v>
      </c>
      <c r="AY613" s="1">
        <v>0</v>
      </c>
      <c r="AZ613" s="1">
        <v>0</v>
      </c>
      <c r="BA613" s="1">
        <v>0</v>
      </c>
      <c r="BB613" s="1">
        <v>0</v>
      </c>
      <c r="BC613" s="1">
        <v>0</v>
      </c>
      <c r="BD613" s="1">
        <v>0</v>
      </c>
      <c r="BE613" s="1">
        <v>0</v>
      </c>
      <c r="BF613" s="1">
        <v>0</v>
      </c>
      <c r="BG613" s="1">
        <v>0</v>
      </c>
      <c r="BH613" s="1">
        <v>0</v>
      </c>
      <c r="BI613" s="1">
        <v>0</v>
      </c>
      <c r="BJ613" s="1">
        <v>0</v>
      </c>
      <c r="BK613" s="1">
        <v>0</v>
      </c>
      <c r="BL613" s="1">
        <v>0</v>
      </c>
      <c r="BM613" s="1">
        <v>0</v>
      </c>
      <c r="BN613" s="1">
        <v>0</v>
      </c>
      <c r="BO613" s="1">
        <v>0</v>
      </c>
      <c r="BP613" s="1">
        <v>0</v>
      </c>
      <c r="BQ613" s="2" t="str">
        <f>HYPERLINK("http://www.d20pfsrd.com/magic/all-spells/w/word-of-recall","Word of Recall")</f>
        <v>Word of Recall</v>
      </c>
      <c r="BR613" s="1">
        <v>616</v>
      </c>
      <c r="BS613" s="1" t="s">
        <v>104</v>
      </c>
      <c r="BU613" s="1" t="s">
        <v>4166</v>
      </c>
      <c r="BX613" s="1">
        <v>0</v>
      </c>
      <c r="BY613" s="1" t="s">
        <v>104</v>
      </c>
      <c r="BZ613" s="1" t="s">
        <v>104</v>
      </c>
      <c r="CA613" s="1">
        <v>7</v>
      </c>
      <c r="CB613" s="1" t="s">
        <v>104</v>
      </c>
      <c r="CC613" s="1" t="s">
        <v>104</v>
      </c>
      <c r="CD613" s="1" t="s">
        <v>104</v>
      </c>
      <c r="CE613" s="1" t="s">
        <v>104</v>
      </c>
      <c r="CF613" s="1" t="s">
        <v>104</v>
      </c>
      <c r="CG613" s="1" t="s">
        <v>104</v>
      </c>
      <c r="CH613" s="1" t="s">
        <v>104</v>
      </c>
      <c r="CJ613" s="1">
        <v>0</v>
      </c>
      <c r="CK613" s="1">
        <v>0</v>
      </c>
      <c r="CL613" s="1">
        <v>0</v>
      </c>
      <c r="CM613" s="1" t="s">
        <v>104</v>
      </c>
    </row>
    <row r="614" spans="1:91" ht="14.25" customHeight="1" x14ac:dyDescent="0.3">
      <c r="A614" s="1" t="s">
        <v>4167</v>
      </c>
      <c r="B614" s="1" t="s">
        <v>434</v>
      </c>
      <c r="D614" s="1" t="s">
        <v>4168</v>
      </c>
      <c r="E614" s="1" t="s">
        <v>447</v>
      </c>
      <c r="F614" s="1" t="s">
        <v>95</v>
      </c>
      <c r="G614" s="1" t="s">
        <v>237</v>
      </c>
      <c r="H614" s="1">
        <v>0</v>
      </c>
      <c r="I614" s="1" t="s">
        <v>448</v>
      </c>
      <c r="J614" s="1" t="s">
        <v>4169</v>
      </c>
      <c r="M614" s="1" t="s">
        <v>119</v>
      </c>
      <c r="N614" s="1">
        <v>0</v>
      </c>
      <c r="O614" s="1">
        <v>0</v>
      </c>
      <c r="P614" s="1" t="s">
        <v>176</v>
      </c>
      <c r="Q614" s="1" t="s">
        <v>184</v>
      </c>
      <c r="R614" s="1" t="s">
        <v>4170</v>
      </c>
      <c r="S614" s="1" t="s">
        <v>103</v>
      </c>
      <c r="T614" s="1">
        <v>1</v>
      </c>
      <c r="U614" s="1">
        <v>0</v>
      </c>
      <c r="V614" s="1">
        <v>0</v>
      </c>
      <c r="W614" s="1">
        <v>0</v>
      </c>
      <c r="X614" s="1">
        <v>0</v>
      </c>
      <c r="Y614" s="1" t="s">
        <v>104</v>
      </c>
      <c r="Z614" s="1" t="s">
        <v>104</v>
      </c>
      <c r="AA614" s="1">
        <v>7</v>
      </c>
      <c r="AB614" s="1" t="s">
        <v>104</v>
      </c>
      <c r="AC614" s="1" t="s">
        <v>104</v>
      </c>
      <c r="AD614" s="1" t="s">
        <v>104</v>
      </c>
      <c r="AE614" s="1" t="s">
        <v>104</v>
      </c>
      <c r="AF614" s="1" t="s">
        <v>104</v>
      </c>
      <c r="AG614" s="1" t="s">
        <v>104</v>
      </c>
      <c r="AH614" s="1" t="s">
        <v>104</v>
      </c>
      <c r="AI614" s="1">
        <v>6</v>
      </c>
      <c r="AJ614" s="1">
        <v>7</v>
      </c>
      <c r="AK614" s="1" t="s">
        <v>104</v>
      </c>
      <c r="AL614" s="1" t="s">
        <v>104</v>
      </c>
      <c r="AM614" s="1" t="s">
        <v>104</v>
      </c>
      <c r="AO614" s="1">
        <v>7</v>
      </c>
      <c r="AP614" s="1" t="s">
        <v>4171</v>
      </c>
      <c r="AQ614" s="1" t="s">
        <v>4172</v>
      </c>
      <c r="AR614" s="1">
        <v>0</v>
      </c>
      <c r="AS614" s="1">
        <v>0</v>
      </c>
      <c r="AT614" s="1">
        <v>1</v>
      </c>
      <c r="AU614" s="1">
        <v>0</v>
      </c>
      <c r="AV614" s="1">
        <v>0</v>
      </c>
      <c r="AW614" s="1">
        <v>0</v>
      </c>
      <c r="AX614" s="1">
        <v>0</v>
      </c>
      <c r="AY614" s="1">
        <v>0</v>
      </c>
      <c r="AZ614" s="1">
        <v>0</v>
      </c>
      <c r="BA614" s="1">
        <v>0</v>
      </c>
      <c r="BB614" s="1">
        <v>0</v>
      </c>
      <c r="BC614" s="1">
        <v>0</v>
      </c>
      <c r="BD614" s="1">
        <v>0</v>
      </c>
      <c r="BE614" s="1">
        <v>0</v>
      </c>
      <c r="BF614" s="1">
        <v>0</v>
      </c>
      <c r="BG614" s="1">
        <v>0</v>
      </c>
      <c r="BH614" s="1">
        <v>0</v>
      </c>
      <c r="BI614" s="1">
        <v>0</v>
      </c>
      <c r="BJ614" s="1">
        <v>0</v>
      </c>
      <c r="BK614" s="1">
        <v>0</v>
      </c>
      <c r="BL614" s="1">
        <v>0</v>
      </c>
      <c r="BM614" s="1">
        <v>0</v>
      </c>
      <c r="BN614" s="1">
        <v>0</v>
      </c>
      <c r="BO614" s="1">
        <v>1</v>
      </c>
      <c r="BP614" s="1">
        <v>0</v>
      </c>
      <c r="BQ614" s="2" t="str">
        <f>HYPERLINK("http://www.d20pfsrd.com/magic/all-spells/w/word-of-chaos","Word of Chaos")</f>
        <v>Word of Chaos</v>
      </c>
      <c r="BR614" s="1">
        <v>617</v>
      </c>
      <c r="BS614" s="1" t="s">
        <v>104</v>
      </c>
      <c r="BV614" s="1" t="s">
        <v>4173</v>
      </c>
      <c r="BX614" s="1">
        <v>1</v>
      </c>
      <c r="BY614" s="1" t="s">
        <v>104</v>
      </c>
      <c r="BZ614" s="1" t="s">
        <v>104</v>
      </c>
      <c r="CA614" s="1" t="s">
        <v>104</v>
      </c>
      <c r="CB614" s="1" t="s">
        <v>104</v>
      </c>
      <c r="CC614" s="1" t="s">
        <v>104</v>
      </c>
      <c r="CD614" s="1" t="s">
        <v>104</v>
      </c>
      <c r="CE614" s="1" t="s">
        <v>104</v>
      </c>
      <c r="CF614" s="1" t="s">
        <v>104</v>
      </c>
      <c r="CG614" s="1" t="s">
        <v>104</v>
      </c>
      <c r="CH614" s="1" t="s">
        <v>104</v>
      </c>
      <c r="CJ614" s="1">
        <v>0</v>
      </c>
      <c r="CK614" s="1">
        <v>0</v>
      </c>
      <c r="CL614" s="1">
        <v>0</v>
      </c>
      <c r="CM614" s="1" t="s">
        <v>104</v>
      </c>
    </row>
    <row r="615" spans="1:91" ht="14.25" customHeight="1" x14ac:dyDescent="0.3">
      <c r="A615" s="1" t="s">
        <v>4174</v>
      </c>
      <c r="B615" s="1" t="s">
        <v>507</v>
      </c>
      <c r="C615" s="1" t="s">
        <v>508</v>
      </c>
      <c r="E615" s="1" t="s">
        <v>4175</v>
      </c>
      <c r="F615" s="1" t="s">
        <v>255</v>
      </c>
      <c r="G615" s="1" t="s">
        <v>116</v>
      </c>
      <c r="H615" s="1">
        <v>0</v>
      </c>
      <c r="I615" s="1" t="s">
        <v>157</v>
      </c>
      <c r="J615" s="1" t="s">
        <v>4176</v>
      </c>
      <c r="M615" s="1" t="s">
        <v>201</v>
      </c>
      <c r="N615" s="1">
        <v>1</v>
      </c>
      <c r="O615" s="1">
        <v>0</v>
      </c>
      <c r="R615" s="1" t="s">
        <v>4177</v>
      </c>
      <c r="S615" s="1" t="s">
        <v>103</v>
      </c>
      <c r="T615" s="1">
        <v>1</v>
      </c>
      <c r="U615" s="1">
        <v>1</v>
      </c>
      <c r="V615" s="1">
        <v>0</v>
      </c>
      <c r="W615" s="1">
        <v>0</v>
      </c>
      <c r="X615" s="1">
        <v>0</v>
      </c>
      <c r="Y615" s="1" t="s">
        <v>104</v>
      </c>
      <c r="Z615" s="1" t="s">
        <v>104</v>
      </c>
      <c r="AA615" s="1" t="s">
        <v>104</v>
      </c>
      <c r="AB615" s="1" t="s">
        <v>104</v>
      </c>
      <c r="AC615" s="1" t="s">
        <v>104</v>
      </c>
      <c r="AD615" s="1">
        <v>4</v>
      </c>
      <c r="AE615" s="1" t="s">
        <v>104</v>
      </c>
      <c r="AF615" s="1" t="s">
        <v>104</v>
      </c>
      <c r="AG615" s="1" t="s">
        <v>104</v>
      </c>
      <c r="AH615" s="1" t="s">
        <v>104</v>
      </c>
      <c r="AI615" s="1" t="s">
        <v>104</v>
      </c>
      <c r="AJ615" s="1" t="s">
        <v>104</v>
      </c>
      <c r="AK615" s="1" t="s">
        <v>104</v>
      </c>
      <c r="AL615" s="1" t="s">
        <v>104</v>
      </c>
      <c r="AM615" s="1" t="s">
        <v>104</v>
      </c>
      <c r="AO615" s="1">
        <v>4</v>
      </c>
      <c r="AP615" s="1" t="s">
        <v>4178</v>
      </c>
      <c r="AQ615" s="1" t="s">
        <v>4179</v>
      </c>
      <c r="AR615" s="1">
        <v>0</v>
      </c>
      <c r="AS615" s="1">
        <v>0</v>
      </c>
      <c r="AT615" s="1">
        <v>0</v>
      </c>
      <c r="AU615" s="1">
        <v>0</v>
      </c>
      <c r="AV615" s="1">
        <v>0</v>
      </c>
      <c r="AW615" s="1">
        <v>0</v>
      </c>
      <c r="AX615" s="1">
        <v>0</v>
      </c>
      <c r="AY615" s="1">
        <v>0</v>
      </c>
      <c r="AZ615" s="1">
        <v>0</v>
      </c>
      <c r="BA615" s="1">
        <v>0</v>
      </c>
      <c r="BB615" s="1">
        <v>0</v>
      </c>
      <c r="BC615" s="1">
        <v>0</v>
      </c>
      <c r="BD615" s="1">
        <v>0</v>
      </c>
      <c r="BE615" s="1">
        <v>0</v>
      </c>
      <c r="BF615" s="1">
        <v>0</v>
      </c>
      <c r="BG615" s="1">
        <v>0</v>
      </c>
      <c r="BH615" s="1">
        <v>0</v>
      </c>
      <c r="BI615" s="1">
        <v>0</v>
      </c>
      <c r="BJ615" s="1">
        <v>0</v>
      </c>
      <c r="BK615" s="1">
        <v>0</v>
      </c>
      <c r="BL615" s="1">
        <v>0</v>
      </c>
      <c r="BM615" s="1">
        <v>0</v>
      </c>
      <c r="BN615" s="1">
        <v>0</v>
      </c>
      <c r="BO615" s="1">
        <v>0</v>
      </c>
      <c r="BP615" s="1">
        <v>0</v>
      </c>
      <c r="BQ615" s="2" t="str">
        <f>HYPERLINK("http://www.d20pfsrd.com/magic/all-spells/z/zone-of-silence","Zone of Silence")</f>
        <v>Zone of Silence</v>
      </c>
      <c r="BR615" s="1">
        <v>618</v>
      </c>
      <c r="BS615" s="1" t="s">
        <v>104</v>
      </c>
      <c r="BX615" s="1">
        <v>0</v>
      </c>
      <c r="BY615" s="1" t="s">
        <v>104</v>
      </c>
      <c r="BZ615" s="1" t="s">
        <v>104</v>
      </c>
      <c r="CA615" s="1" t="s">
        <v>104</v>
      </c>
      <c r="CB615" s="1" t="s">
        <v>104</v>
      </c>
      <c r="CC615" s="1">
        <v>4</v>
      </c>
      <c r="CD615" s="1" t="s">
        <v>104</v>
      </c>
      <c r="CE615" s="1" t="s">
        <v>104</v>
      </c>
      <c r="CF615" s="1" t="s">
        <v>104</v>
      </c>
      <c r="CG615" s="1" t="s">
        <v>104</v>
      </c>
      <c r="CH615" s="1" t="s">
        <v>104</v>
      </c>
      <c r="CJ615" s="1">
        <v>0</v>
      </c>
      <c r="CK615" s="1">
        <v>0</v>
      </c>
      <c r="CL615" s="1">
        <v>0</v>
      </c>
      <c r="CM615" s="1" t="s">
        <v>104</v>
      </c>
    </row>
    <row r="616" spans="1:91" ht="14.25" customHeight="1" x14ac:dyDescent="0.3">
      <c r="A616" s="1" t="s">
        <v>4180</v>
      </c>
      <c r="B616" s="1" t="s">
        <v>123</v>
      </c>
      <c r="C616" s="1" t="s">
        <v>124</v>
      </c>
      <c r="D616" s="1" t="s">
        <v>125</v>
      </c>
      <c r="E616" s="1" t="s">
        <v>4181</v>
      </c>
      <c r="F616" s="1" t="s">
        <v>95</v>
      </c>
      <c r="G616" s="1" t="s">
        <v>127</v>
      </c>
      <c r="H616" s="1">
        <v>0</v>
      </c>
      <c r="I616" s="1" t="s">
        <v>117</v>
      </c>
      <c r="J616" s="1" t="s">
        <v>799</v>
      </c>
      <c r="M616" s="1" t="s">
        <v>130</v>
      </c>
      <c r="N616" s="1">
        <v>0</v>
      </c>
      <c r="O616" s="1">
        <v>0</v>
      </c>
      <c r="P616" s="1" t="s">
        <v>211</v>
      </c>
      <c r="Q616" s="1" t="s">
        <v>184</v>
      </c>
      <c r="R616" s="1" t="s">
        <v>4182</v>
      </c>
      <c r="S616" s="1" t="s">
        <v>103</v>
      </c>
      <c r="T616" s="1">
        <v>1</v>
      </c>
      <c r="U616" s="1">
        <v>1</v>
      </c>
      <c r="V616" s="1">
        <v>0</v>
      </c>
      <c r="W616" s="1">
        <v>0</v>
      </c>
      <c r="X616" s="1">
        <v>1</v>
      </c>
      <c r="Y616" s="1" t="s">
        <v>104</v>
      </c>
      <c r="Z616" s="1" t="s">
        <v>104</v>
      </c>
      <c r="AA616" s="1">
        <v>2</v>
      </c>
      <c r="AB616" s="1" t="s">
        <v>104</v>
      </c>
      <c r="AC616" s="1" t="s">
        <v>104</v>
      </c>
      <c r="AD616" s="1" t="s">
        <v>104</v>
      </c>
      <c r="AE616" s="1">
        <v>2</v>
      </c>
      <c r="AF616" s="1" t="s">
        <v>104</v>
      </c>
      <c r="AG616" s="1" t="s">
        <v>104</v>
      </c>
      <c r="AH616" s="1">
        <v>2</v>
      </c>
      <c r="AI616" s="1">
        <v>2</v>
      </c>
      <c r="AJ616" s="1">
        <v>2</v>
      </c>
      <c r="AK616" s="1" t="s">
        <v>104</v>
      </c>
      <c r="AL616" s="1" t="s">
        <v>104</v>
      </c>
      <c r="AM616" s="1" t="s">
        <v>104</v>
      </c>
      <c r="AO616" s="1">
        <v>2</v>
      </c>
      <c r="AP616" s="1" t="s">
        <v>4183</v>
      </c>
      <c r="AQ616" s="1" t="s">
        <v>4184</v>
      </c>
      <c r="AR616" s="1">
        <v>0</v>
      </c>
      <c r="AS616" s="1">
        <v>0</v>
      </c>
      <c r="AT616" s="1">
        <v>0</v>
      </c>
      <c r="AU616" s="1">
        <v>0</v>
      </c>
      <c r="AV616" s="1">
        <v>0</v>
      </c>
      <c r="AW616" s="1">
        <v>0</v>
      </c>
      <c r="AX616" s="1">
        <v>0</v>
      </c>
      <c r="AY616" s="1">
        <v>0</v>
      </c>
      <c r="AZ616" s="1">
        <v>0</v>
      </c>
      <c r="BA616" s="1">
        <v>0</v>
      </c>
      <c r="BB616" s="1">
        <v>0</v>
      </c>
      <c r="BC616" s="1">
        <v>0</v>
      </c>
      <c r="BD616" s="1">
        <v>0</v>
      </c>
      <c r="BE616" s="1">
        <v>0</v>
      </c>
      <c r="BF616" s="1">
        <v>0</v>
      </c>
      <c r="BG616" s="1">
        <v>0</v>
      </c>
      <c r="BH616" s="1">
        <v>0</v>
      </c>
      <c r="BI616" s="1">
        <v>0</v>
      </c>
      <c r="BJ616" s="1">
        <v>0</v>
      </c>
      <c r="BK616" s="1">
        <v>1</v>
      </c>
      <c r="BL616" s="1">
        <v>0</v>
      </c>
      <c r="BM616" s="1">
        <v>0</v>
      </c>
      <c r="BN616" s="1">
        <v>0</v>
      </c>
      <c r="BO616" s="1">
        <v>0</v>
      </c>
      <c r="BP616" s="1">
        <v>0</v>
      </c>
      <c r="BQ616" s="2" t="str">
        <f>HYPERLINK("http://www.d20pfsrd.com/magic/all-spells/z/zone-of-truth","Zone of Truth")</f>
        <v>Zone of Truth</v>
      </c>
      <c r="BR616" s="1">
        <v>619</v>
      </c>
      <c r="BS616" s="1" t="s">
        <v>104</v>
      </c>
      <c r="BX616" s="1">
        <v>0</v>
      </c>
      <c r="BY616" s="1" t="s">
        <v>104</v>
      </c>
      <c r="BZ616" s="1" t="s">
        <v>104</v>
      </c>
      <c r="CA616" s="1">
        <v>2</v>
      </c>
      <c r="CB616" s="1">
        <v>2</v>
      </c>
      <c r="CC616" s="1" t="s">
        <v>104</v>
      </c>
      <c r="CD616" s="1" t="s">
        <v>104</v>
      </c>
      <c r="CE616" s="1" t="s">
        <v>104</v>
      </c>
      <c r="CF616" s="1" t="s">
        <v>104</v>
      </c>
      <c r="CG616" s="1" t="s">
        <v>104</v>
      </c>
      <c r="CH616" s="1" t="s">
        <v>104</v>
      </c>
      <c r="CJ616" s="1">
        <v>0</v>
      </c>
      <c r="CK616" s="1">
        <v>0</v>
      </c>
      <c r="CL616" s="1">
        <v>0</v>
      </c>
      <c r="CM616" s="1" t="s">
        <v>104</v>
      </c>
    </row>
    <row r="617" spans="1:91" ht="14.25" customHeight="1" x14ac:dyDescent="0.3">
      <c r="A617" s="1" t="s">
        <v>4185</v>
      </c>
      <c r="B617" s="1" t="s">
        <v>92</v>
      </c>
      <c r="C617" s="1" t="s">
        <v>93</v>
      </c>
      <c r="D617" s="1" t="s">
        <v>51</v>
      </c>
      <c r="E617" s="1" t="s">
        <v>4186</v>
      </c>
      <c r="F617" s="1" t="s">
        <v>95</v>
      </c>
      <c r="G617" s="1" t="s">
        <v>4187</v>
      </c>
      <c r="H617" s="1">
        <v>0</v>
      </c>
      <c r="I617" s="1" t="s">
        <v>109</v>
      </c>
      <c r="K617" s="1" t="s">
        <v>4188</v>
      </c>
      <c r="M617" s="1" t="s">
        <v>119</v>
      </c>
      <c r="N617" s="1">
        <v>0</v>
      </c>
      <c r="O617" s="1">
        <v>0</v>
      </c>
      <c r="P617" s="1" t="s">
        <v>145</v>
      </c>
      <c r="Q617" s="1" t="s">
        <v>101</v>
      </c>
      <c r="R617" s="1" t="s">
        <v>4189</v>
      </c>
      <c r="S617" s="1" t="s">
        <v>103</v>
      </c>
      <c r="T617" s="1">
        <v>1</v>
      </c>
      <c r="U617" s="1">
        <v>1</v>
      </c>
      <c r="V617" s="1">
        <v>1</v>
      </c>
      <c r="W617" s="1">
        <v>0</v>
      </c>
      <c r="X617" s="1">
        <v>1</v>
      </c>
      <c r="Y617" s="1">
        <v>5</v>
      </c>
      <c r="Z617" s="1">
        <v>5</v>
      </c>
      <c r="AA617" s="1">
        <v>5</v>
      </c>
      <c r="AB617" s="1">
        <v>6</v>
      </c>
      <c r="AC617" s="1" t="s">
        <v>104</v>
      </c>
      <c r="AD617" s="1" t="s">
        <v>104</v>
      </c>
      <c r="AE617" s="1" t="s">
        <v>104</v>
      </c>
      <c r="AF617" s="1" t="s">
        <v>104</v>
      </c>
      <c r="AG617" s="1">
        <v>4</v>
      </c>
      <c r="AH617" s="1" t="s">
        <v>104</v>
      </c>
      <c r="AI617" s="1" t="s">
        <v>104</v>
      </c>
      <c r="AJ617" s="1">
        <v>5</v>
      </c>
      <c r="AK617" s="1" t="s">
        <v>104</v>
      </c>
      <c r="AL617" s="1">
        <v>5</v>
      </c>
      <c r="AM617" s="1">
        <v>5</v>
      </c>
      <c r="AO617" s="1">
        <v>5</v>
      </c>
      <c r="AP617" s="1" t="s">
        <v>4190</v>
      </c>
      <c r="AQ617" s="1" t="s">
        <v>4191</v>
      </c>
      <c r="AR617" s="1">
        <v>0</v>
      </c>
      <c r="AS617" s="1">
        <v>0</v>
      </c>
      <c r="AT617" s="1">
        <v>0</v>
      </c>
      <c r="AU617" s="1">
        <v>0</v>
      </c>
      <c r="AV617" s="1">
        <v>0</v>
      </c>
      <c r="AW617" s="1">
        <v>0</v>
      </c>
      <c r="AX617" s="1">
        <v>0</v>
      </c>
      <c r="AY617" s="1">
        <v>0</v>
      </c>
      <c r="AZ617" s="1">
        <v>1</v>
      </c>
      <c r="BA617" s="1">
        <v>0</v>
      </c>
      <c r="BB617" s="1">
        <v>0</v>
      </c>
      <c r="BC617" s="1">
        <v>0</v>
      </c>
      <c r="BD617" s="1">
        <v>0</v>
      </c>
      <c r="BE617" s="1">
        <v>0</v>
      </c>
      <c r="BF617" s="1">
        <v>0</v>
      </c>
      <c r="BG617" s="1">
        <v>0</v>
      </c>
      <c r="BH617" s="1">
        <v>0</v>
      </c>
      <c r="BI617" s="1">
        <v>0</v>
      </c>
      <c r="BJ617" s="1">
        <v>0</v>
      </c>
      <c r="BK617" s="1">
        <v>0</v>
      </c>
      <c r="BL617" s="1">
        <v>0</v>
      </c>
      <c r="BM617" s="1">
        <v>0</v>
      </c>
      <c r="BN617" s="1">
        <v>0</v>
      </c>
      <c r="BO617" s="1">
        <v>0</v>
      </c>
      <c r="BP617" s="1">
        <v>0</v>
      </c>
      <c r="BQ617" s="2" t="str">
        <f>HYPERLINK("http://www.d20pfsrd.com/magic/all-spells/w/wall-of-stone","Wall of Stone")</f>
        <v>Wall of Stone</v>
      </c>
      <c r="BR617" s="1">
        <v>620</v>
      </c>
      <c r="BS617" s="1" t="s">
        <v>104</v>
      </c>
      <c r="BT617" s="1" t="s">
        <v>4192</v>
      </c>
      <c r="BU617" s="1" t="s">
        <v>4193</v>
      </c>
      <c r="BV617" s="1" t="s">
        <v>4194</v>
      </c>
      <c r="BW617" s="1" t="s">
        <v>4195</v>
      </c>
      <c r="BX617" s="1">
        <v>1</v>
      </c>
      <c r="BY617" s="1" t="s">
        <v>104</v>
      </c>
      <c r="BZ617" s="1">
        <v>6</v>
      </c>
      <c r="CA617" s="1" t="s">
        <v>104</v>
      </c>
      <c r="CB617" s="1" t="s">
        <v>104</v>
      </c>
      <c r="CC617" s="1" t="s">
        <v>104</v>
      </c>
      <c r="CD617" s="1">
        <v>5</v>
      </c>
      <c r="CE617" s="1" t="s">
        <v>104</v>
      </c>
      <c r="CF617" s="1" t="s">
        <v>104</v>
      </c>
      <c r="CG617" s="1" t="s">
        <v>104</v>
      </c>
      <c r="CH617" s="1">
        <v>6</v>
      </c>
      <c r="CJ617" s="1">
        <v>0</v>
      </c>
      <c r="CK617" s="1">
        <v>0</v>
      </c>
      <c r="CL617" s="1">
        <v>0</v>
      </c>
      <c r="CM617" s="1">
        <v>5</v>
      </c>
    </row>
    <row r="618" spans="1:91" ht="14.25" customHeight="1" x14ac:dyDescent="0.3">
      <c r="A618" s="1" t="s">
        <v>4196</v>
      </c>
      <c r="B618" s="1" t="s">
        <v>434</v>
      </c>
      <c r="D618" s="1" t="s">
        <v>54</v>
      </c>
      <c r="E618" s="1" t="s">
        <v>4197</v>
      </c>
      <c r="F618" s="1" t="s">
        <v>95</v>
      </c>
      <c r="G618" s="1" t="s">
        <v>116</v>
      </c>
      <c r="H618" s="1">
        <v>0</v>
      </c>
      <c r="I618" s="1" t="s">
        <v>117</v>
      </c>
      <c r="L618" s="1" t="s">
        <v>4198</v>
      </c>
      <c r="M618" s="1" t="s">
        <v>4199</v>
      </c>
      <c r="N618" s="1">
        <v>0</v>
      </c>
      <c r="O618" s="1">
        <v>0</v>
      </c>
      <c r="P618" s="1" t="s">
        <v>183</v>
      </c>
      <c r="Q618" s="1" t="s">
        <v>184</v>
      </c>
      <c r="R618" s="1" t="s">
        <v>4200</v>
      </c>
      <c r="S618" s="1" t="s">
        <v>4201</v>
      </c>
      <c r="T618" s="1">
        <v>1</v>
      </c>
      <c r="U618" s="1">
        <v>1</v>
      </c>
      <c r="V618" s="1">
        <v>0</v>
      </c>
      <c r="W618" s="1">
        <v>0</v>
      </c>
      <c r="X618" s="1">
        <v>0</v>
      </c>
      <c r="Y618" s="1">
        <v>4</v>
      </c>
      <c r="Z618" s="1">
        <v>4</v>
      </c>
      <c r="AA618" s="1">
        <v>3</v>
      </c>
      <c r="AB618" s="1" t="s">
        <v>104</v>
      </c>
      <c r="AC618" s="1" t="s">
        <v>104</v>
      </c>
      <c r="AD618" s="1" t="s">
        <v>104</v>
      </c>
      <c r="AE618" s="1" t="s">
        <v>104</v>
      </c>
      <c r="AF618" s="1" t="s">
        <v>104</v>
      </c>
      <c r="AG618" s="1" t="s">
        <v>104</v>
      </c>
      <c r="AH618" s="1" t="s">
        <v>104</v>
      </c>
      <c r="AI618" s="1" t="s">
        <v>104</v>
      </c>
      <c r="AJ618" s="1">
        <v>3</v>
      </c>
      <c r="AK618" s="1" t="s">
        <v>104</v>
      </c>
      <c r="AL618" s="1" t="s">
        <v>104</v>
      </c>
      <c r="AM618" s="1" t="s">
        <v>104</v>
      </c>
      <c r="AO618" s="1">
        <v>4</v>
      </c>
      <c r="AP618" s="1" t="s">
        <v>4202</v>
      </c>
      <c r="AQ618" s="1" t="s">
        <v>4203</v>
      </c>
      <c r="AR618" s="1">
        <v>0</v>
      </c>
      <c r="AS618" s="1">
        <v>0</v>
      </c>
      <c r="AT618" s="1">
        <v>0</v>
      </c>
      <c r="AU618" s="1">
        <v>0</v>
      </c>
      <c r="AV618" s="1">
        <v>0</v>
      </c>
      <c r="AW618" s="1">
        <v>0</v>
      </c>
      <c r="AX618" s="1">
        <v>0</v>
      </c>
      <c r="AY618" s="1">
        <v>0</v>
      </c>
      <c r="AZ618" s="1">
        <v>0</v>
      </c>
      <c r="BA618" s="1">
        <v>0</v>
      </c>
      <c r="BB618" s="1">
        <v>0</v>
      </c>
      <c r="BC618" s="1">
        <v>1</v>
      </c>
      <c r="BD618" s="1">
        <v>0</v>
      </c>
      <c r="BE618" s="1">
        <v>0</v>
      </c>
      <c r="BF618" s="1">
        <v>0</v>
      </c>
      <c r="BG618" s="1">
        <v>0</v>
      </c>
      <c r="BH618" s="1">
        <v>0</v>
      </c>
      <c r="BI618" s="1">
        <v>0</v>
      </c>
      <c r="BJ618" s="1">
        <v>0</v>
      </c>
      <c r="BK618" s="1">
        <v>0</v>
      </c>
      <c r="BL618" s="1">
        <v>0</v>
      </c>
      <c r="BM618" s="1">
        <v>0</v>
      </c>
      <c r="BN618" s="1">
        <v>0</v>
      </c>
      <c r="BO618" s="1">
        <v>0</v>
      </c>
      <c r="BP618" s="1">
        <v>0</v>
      </c>
      <c r="BQ618" s="2" t="str">
        <f>HYPERLINK("http://www.d20pfsrd.com/magic/all-spells/a/a/agonize","Agonize")</f>
        <v>Agonize</v>
      </c>
      <c r="BR618" s="1">
        <v>621</v>
      </c>
      <c r="BS618" s="1" t="s">
        <v>104</v>
      </c>
      <c r="BX618" s="1">
        <v>0</v>
      </c>
      <c r="BY618" s="1" t="s">
        <v>104</v>
      </c>
      <c r="BZ618" s="1" t="s">
        <v>104</v>
      </c>
      <c r="CA618" s="1">
        <v>4</v>
      </c>
      <c r="CB618" s="1" t="s">
        <v>104</v>
      </c>
      <c r="CC618" s="1" t="s">
        <v>104</v>
      </c>
      <c r="CD618" s="1">
        <v>3</v>
      </c>
      <c r="CE618" s="1" t="s">
        <v>104</v>
      </c>
      <c r="CF618" s="1" t="s">
        <v>104</v>
      </c>
      <c r="CG618" s="1" t="s">
        <v>104</v>
      </c>
      <c r="CH618" s="1" t="s">
        <v>104</v>
      </c>
      <c r="CJ618" s="1">
        <v>0</v>
      </c>
      <c r="CK618" s="1">
        <v>0</v>
      </c>
      <c r="CL618" s="1">
        <v>0</v>
      </c>
      <c r="CM618" s="1">
        <v>4</v>
      </c>
    </row>
    <row r="619" spans="1:91" ht="14.25" customHeight="1" x14ac:dyDescent="0.3">
      <c r="A619" s="1" t="s">
        <v>4204</v>
      </c>
      <c r="B619" s="1" t="s">
        <v>137</v>
      </c>
      <c r="D619" s="1" t="s">
        <v>56</v>
      </c>
      <c r="E619" s="1" t="s">
        <v>4205</v>
      </c>
      <c r="F619" s="1" t="s">
        <v>95</v>
      </c>
      <c r="G619" s="1" t="s">
        <v>116</v>
      </c>
      <c r="H619" s="1">
        <v>0</v>
      </c>
      <c r="I619" s="1" t="s">
        <v>4206</v>
      </c>
      <c r="L619" s="1" t="s">
        <v>4207</v>
      </c>
      <c r="M619" s="1" t="s">
        <v>4208</v>
      </c>
      <c r="N619" s="1">
        <v>0</v>
      </c>
      <c r="O619" s="1">
        <v>0</v>
      </c>
      <c r="P619" s="1" t="s">
        <v>4209</v>
      </c>
      <c r="Q619" s="1" t="s">
        <v>4210</v>
      </c>
      <c r="R619" s="1" t="s">
        <v>4211</v>
      </c>
      <c r="S619" s="1" t="s">
        <v>4212</v>
      </c>
      <c r="T619" s="1">
        <v>1</v>
      </c>
      <c r="U619" s="1">
        <v>1</v>
      </c>
      <c r="V619" s="1">
        <v>0</v>
      </c>
      <c r="W619" s="1">
        <v>0</v>
      </c>
      <c r="X619" s="1">
        <v>0</v>
      </c>
      <c r="Y619" s="1">
        <v>1</v>
      </c>
      <c r="Z619" s="1">
        <v>1</v>
      </c>
      <c r="AA619" s="1">
        <v>1</v>
      </c>
      <c r="AB619" s="1">
        <v>1</v>
      </c>
      <c r="AC619" s="1" t="s">
        <v>104</v>
      </c>
      <c r="AD619" s="1" t="s">
        <v>104</v>
      </c>
      <c r="AE619" s="1" t="s">
        <v>104</v>
      </c>
      <c r="AF619" s="1" t="s">
        <v>104</v>
      </c>
      <c r="AG619" s="1" t="s">
        <v>104</v>
      </c>
      <c r="AH619" s="1" t="s">
        <v>104</v>
      </c>
      <c r="AI619" s="1" t="s">
        <v>104</v>
      </c>
      <c r="AJ619" s="1">
        <v>1</v>
      </c>
      <c r="AK619" s="1" t="s">
        <v>104</v>
      </c>
      <c r="AL619" s="1" t="s">
        <v>104</v>
      </c>
      <c r="AM619" s="1" t="s">
        <v>104</v>
      </c>
      <c r="AO619" s="1">
        <v>1</v>
      </c>
      <c r="AR619" s="1">
        <v>0</v>
      </c>
      <c r="AS619" s="1">
        <v>0</v>
      </c>
      <c r="AT619" s="1">
        <v>0</v>
      </c>
      <c r="AU619" s="1">
        <v>0</v>
      </c>
      <c r="AV619" s="1">
        <v>0</v>
      </c>
      <c r="AW619" s="1">
        <v>0</v>
      </c>
      <c r="AX619" s="1">
        <v>0</v>
      </c>
      <c r="AY619" s="1">
        <v>0</v>
      </c>
      <c r="AZ619" s="1">
        <v>0</v>
      </c>
      <c r="BA619" s="1">
        <v>0</v>
      </c>
      <c r="BB619" s="1">
        <v>0</v>
      </c>
      <c r="BC619" s="1">
        <v>0</v>
      </c>
      <c r="BD619" s="1">
        <v>0</v>
      </c>
      <c r="BE619" s="1">
        <v>1</v>
      </c>
      <c r="BF619" s="1">
        <v>0</v>
      </c>
      <c r="BG619" s="1">
        <v>0</v>
      </c>
      <c r="BH619" s="1">
        <v>0</v>
      </c>
      <c r="BI619" s="1">
        <v>0</v>
      </c>
      <c r="BJ619" s="1">
        <v>0</v>
      </c>
      <c r="BK619" s="1">
        <v>0</v>
      </c>
      <c r="BL619" s="1">
        <v>0</v>
      </c>
      <c r="BM619" s="1">
        <v>0</v>
      </c>
      <c r="BN619" s="1">
        <v>0</v>
      </c>
      <c r="BO619" s="1">
        <v>0</v>
      </c>
      <c r="BP619" s="1">
        <v>0</v>
      </c>
      <c r="BQ619" s="2" t="str">
        <f>HYPERLINK("http://www.d20pfsrd.com/magic/all-spells/b/b/burning-disarm","Burning Disarm")</f>
        <v>Burning Disarm</v>
      </c>
      <c r="BR619" s="1">
        <v>627</v>
      </c>
      <c r="BS619" s="1" t="s">
        <v>104</v>
      </c>
      <c r="BX619" s="1">
        <v>0</v>
      </c>
      <c r="BY619" s="1" t="s">
        <v>104</v>
      </c>
      <c r="BZ619" s="1" t="s">
        <v>104</v>
      </c>
      <c r="CA619" s="1" t="s">
        <v>104</v>
      </c>
      <c r="CB619" s="1" t="s">
        <v>104</v>
      </c>
      <c r="CC619" s="1" t="s">
        <v>104</v>
      </c>
      <c r="CD619" s="1" t="s">
        <v>104</v>
      </c>
      <c r="CE619" s="1" t="s">
        <v>104</v>
      </c>
      <c r="CF619" s="1" t="s">
        <v>104</v>
      </c>
      <c r="CG619" s="1" t="s">
        <v>104</v>
      </c>
      <c r="CH619" s="1">
        <v>1</v>
      </c>
      <c r="CJ619" s="1">
        <v>0</v>
      </c>
      <c r="CK619" s="1">
        <v>0</v>
      </c>
      <c r="CL619" s="1">
        <v>0</v>
      </c>
      <c r="CM619" s="1" t="s">
        <v>104</v>
      </c>
    </row>
    <row r="620" spans="1:91" ht="14.25" customHeight="1" x14ac:dyDescent="0.3">
      <c r="A620" s="1" t="s">
        <v>4213</v>
      </c>
      <c r="B620" s="1" t="s">
        <v>162</v>
      </c>
      <c r="E620" s="1" t="s">
        <v>4214</v>
      </c>
      <c r="F620" s="1" t="s">
        <v>1502</v>
      </c>
      <c r="G620" s="1" t="s">
        <v>237</v>
      </c>
      <c r="H620" s="1">
        <v>0</v>
      </c>
      <c r="I620" s="1" t="s">
        <v>4215</v>
      </c>
      <c r="L620" s="1" t="s">
        <v>4216</v>
      </c>
      <c r="M620" s="1" t="s">
        <v>119</v>
      </c>
      <c r="N620" s="1">
        <v>0</v>
      </c>
      <c r="O620" s="1">
        <v>0</v>
      </c>
      <c r="P620" s="1" t="s">
        <v>100</v>
      </c>
      <c r="Q620" s="1" t="s">
        <v>184</v>
      </c>
      <c r="R620" s="1" t="s">
        <v>4217</v>
      </c>
      <c r="S620" s="1" t="s">
        <v>4212</v>
      </c>
      <c r="T620" s="1">
        <v>1</v>
      </c>
      <c r="U620" s="1">
        <v>0</v>
      </c>
      <c r="V620" s="1">
        <v>0</v>
      </c>
      <c r="W620" s="1">
        <v>0</v>
      </c>
      <c r="X620" s="1">
        <v>0</v>
      </c>
      <c r="Y620" s="1">
        <v>3</v>
      </c>
      <c r="Z620" s="1">
        <v>3</v>
      </c>
      <c r="AA620" s="1" t="s">
        <v>104</v>
      </c>
      <c r="AB620" s="1" t="s">
        <v>104</v>
      </c>
      <c r="AC620" s="1" t="s">
        <v>104</v>
      </c>
      <c r="AD620" s="1" t="s">
        <v>104</v>
      </c>
      <c r="AE620" s="1" t="s">
        <v>104</v>
      </c>
      <c r="AF620" s="1" t="s">
        <v>104</v>
      </c>
      <c r="AG620" s="1" t="s">
        <v>104</v>
      </c>
      <c r="AH620" s="1" t="s">
        <v>104</v>
      </c>
      <c r="AI620" s="1" t="s">
        <v>104</v>
      </c>
      <c r="AJ620" s="1" t="s">
        <v>104</v>
      </c>
      <c r="AK620" s="1" t="s">
        <v>104</v>
      </c>
      <c r="AL620" s="1" t="s">
        <v>104</v>
      </c>
      <c r="AM620" s="1" t="s">
        <v>104</v>
      </c>
      <c r="AO620" s="1">
        <v>3</v>
      </c>
      <c r="AR620" s="1">
        <v>0</v>
      </c>
      <c r="AS620" s="1">
        <v>0</v>
      </c>
      <c r="AT620" s="1">
        <v>0</v>
      </c>
      <c r="AU620" s="1">
        <v>0</v>
      </c>
      <c r="AV620" s="1">
        <v>0</v>
      </c>
      <c r="AW620" s="1">
        <v>0</v>
      </c>
      <c r="AX620" s="1">
        <v>0</v>
      </c>
      <c r="AY620" s="1">
        <v>0</v>
      </c>
      <c r="AZ620" s="1">
        <v>0</v>
      </c>
      <c r="BA620" s="1">
        <v>0</v>
      </c>
      <c r="BB620" s="1">
        <v>0</v>
      </c>
      <c r="BC620" s="1">
        <v>0</v>
      </c>
      <c r="BD620" s="1">
        <v>0</v>
      </c>
      <c r="BE620" s="1">
        <v>0</v>
      </c>
      <c r="BF620" s="1">
        <v>0</v>
      </c>
      <c r="BG620" s="1">
        <v>0</v>
      </c>
      <c r="BH620" s="1">
        <v>0</v>
      </c>
      <c r="BI620" s="1">
        <v>0</v>
      </c>
      <c r="BJ620" s="1">
        <v>0</v>
      </c>
      <c r="BK620" s="1">
        <v>0</v>
      </c>
      <c r="BL620" s="1">
        <v>0</v>
      </c>
      <c r="BM620" s="1">
        <v>0</v>
      </c>
      <c r="BN620" s="1">
        <v>0</v>
      </c>
      <c r="BO620" s="1">
        <v>0</v>
      </c>
      <c r="BP620" s="1">
        <v>0</v>
      </c>
      <c r="BQ620" s="2" t="str">
        <f>HYPERLINK("http://www.d20pfsrd.com/magic/all-spells/d/dweomer-retaliation","Dweomer Retaliation")</f>
        <v>Dweomer Retaliation</v>
      </c>
      <c r="BR620" s="1">
        <v>629</v>
      </c>
      <c r="BS620" s="1" t="s">
        <v>104</v>
      </c>
      <c r="BX620" s="1">
        <v>0</v>
      </c>
      <c r="BY620" s="1" t="s">
        <v>104</v>
      </c>
      <c r="BZ620" s="1" t="s">
        <v>104</v>
      </c>
      <c r="CA620" s="1" t="s">
        <v>104</v>
      </c>
      <c r="CB620" s="1" t="s">
        <v>104</v>
      </c>
      <c r="CC620" s="1" t="s">
        <v>104</v>
      </c>
      <c r="CD620" s="1" t="s">
        <v>104</v>
      </c>
      <c r="CE620" s="1" t="s">
        <v>104</v>
      </c>
      <c r="CF620" s="1" t="s">
        <v>104</v>
      </c>
      <c r="CG620" s="1" t="s">
        <v>104</v>
      </c>
      <c r="CH620" s="1" t="s">
        <v>104</v>
      </c>
      <c r="CJ620" s="1">
        <v>0</v>
      </c>
      <c r="CK620" s="1">
        <v>0</v>
      </c>
      <c r="CL620" s="1">
        <v>0</v>
      </c>
      <c r="CM620" s="1" t="s">
        <v>104</v>
      </c>
    </row>
    <row r="621" spans="1:91" ht="14.25" customHeight="1" x14ac:dyDescent="0.3">
      <c r="A621" s="1" t="s">
        <v>4218</v>
      </c>
      <c r="B621" s="1" t="s">
        <v>434</v>
      </c>
      <c r="D621" s="1" t="s">
        <v>57</v>
      </c>
      <c r="E621" s="1" t="s">
        <v>4219</v>
      </c>
      <c r="F621" s="1" t="s">
        <v>1502</v>
      </c>
      <c r="G621" s="1" t="s">
        <v>237</v>
      </c>
      <c r="H621" s="1">
        <v>0</v>
      </c>
      <c r="I621" s="1" t="s">
        <v>4220</v>
      </c>
      <c r="K621" s="1" t="s">
        <v>4221</v>
      </c>
      <c r="M621" s="1" t="s">
        <v>111</v>
      </c>
      <c r="N621" s="1">
        <v>1</v>
      </c>
      <c r="O621" s="1">
        <v>0</v>
      </c>
      <c r="P621" s="1" t="s">
        <v>4222</v>
      </c>
      <c r="Q621" s="1" t="s">
        <v>4223</v>
      </c>
      <c r="R621" s="1" t="s">
        <v>4224</v>
      </c>
      <c r="S621" s="1" t="s">
        <v>4212</v>
      </c>
      <c r="T621" s="1">
        <v>1</v>
      </c>
      <c r="U621" s="1">
        <v>0</v>
      </c>
      <c r="V621" s="1">
        <v>0</v>
      </c>
      <c r="W621" s="1">
        <v>0</v>
      </c>
      <c r="X621" s="1">
        <v>0</v>
      </c>
      <c r="Y621" s="1">
        <v>4</v>
      </c>
      <c r="Z621" s="1">
        <v>4</v>
      </c>
      <c r="AA621" s="1" t="s">
        <v>104</v>
      </c>
      <c r="AB621" s="1" t="s">
        <v>104</v>
      </c>
      <c r="AC621" s="1" t="s">
        <v>104</v>
      </c>
      <c r="AD621" s="1" t="s">
        <v>104</v>
      </c>
      <c r="AE621" s="1" t="s">
        <v>104</v>
      </c>
      <c r="AF621" s="1" t="s">
        <v>104</v>
      </c>
      <c r="AG621" s="1" t="s">
        <v>104</v>
      </c>
      <c r="AH621" s="1" t="s">
        <v>104</v>
      </c>
      <c r="AI621" s="1" t="s">
        <v>104</v>
      </c>
      <c r="AJ621" s="1" t="s">
        <v>104</v>
      </c>
      <c r="AK621" s="1" t="s">
        <v>104</v>
      </c>
      <c r="AL621" s="1" t="s">
        <v>104</v>
      </c>
      <c r="AM621" s="1" t="s">
        <v>104</v>
      </c>
      <c r="AO621" s="1">
        <v>4</v>
      </c>
      <c r="AR621" s="1">
        <v>0</v>
      </c>
      <c r="AS621" s="1">
        <v>0</v>
      </c>
      <c r="AT621" s="1">
        <v>0</v>
      </c>
      <c r="AU621" s="1">
        <v>0</v>
      </c>
      <c r="AV621" s="1">
        <v>0</v>
      </c>
      <c r="AW621" s="1">
        <v>0</v>
      </c>
      <c r="AX621" s="1">
        <v>0</v>
      </c>
      <c r="AY621" s="1">
        <v>0</v>
      </c>
      <c r="AZ621" s="1">
        <v>0</v>
      </c>
      <c r="BA621" s="1">
        <v>0</v>
      </c>
      <c r="BB621" s="1">
        <v>0</v>
      </c>
      <c r="BC621" s="1">
        <v>0</v>
      </c>
      <c r="BD621" s="1">
        <v>0</v>
      </c>
      <c r="BE621" s="1">
        <v>0</v>
      </c>
      <c r="BF621" s="1">
        <v>0</v>
      </c>
      <c r="BG621" s="1">
        <v>0</v>
      </c>
      <c r="BH621" s="1">
        <v>0</v>
      </c>
      <c r="BI621" s="1">
        <v>0</v>
      </c>
      <c r="BJ621" s="1">
        <v>0</v>
      </c>
      <c r="BK621" s="1">
        <v>0</v>
      </c>
      <c r="BL621" s="1">
        <v>0</v>
      </c>
      <c r="BM621" s="1">
        <v>0</v>
      </c>
      <c r="BN621" s="1">
        <v>0</v>
      </c>
      <c r="BO621" s="1">
        <v>0</v>
      </c>
      <c r="BP621" s="1">
        <v>0</v>
      </c>
      <c r="BQ621" s="2" t="str">
        <f>HYPERLINK("http://www.d20pfsrd.com/magic/all-spells/e/e/emergency-force-sphere","Emergency Force Sphere")</f>
        <v>Emergency Force Sphere</v>
      </c>
      <c r="BR621" s="1">
        <v>630</v>
      </c>
      <c r="BS621" s="1" t="s">
        <v>104</v>
      </c>
      <c r="BX621" s="1">
        <v>0</v>
      </c>
      <c r="BY621" s="1" t="s">
        <v>104</v>
      </c>
      <c r="BZ621" s="1" t="s">
        <v>104</v>
      </c>
      <c r="CA621" s="1" t="s">
        <v>104</v>
      </c>
      <c r="CB621" s="1" t="s">
        <v>104</v>
      </c>
      <c r="CC621" s="1" t="s">
        <v>104</v>
      </c>
      <c r="CD621" s="1" t="s">
        <v>104</v>
      </c>
      <c r="CE621" s="1" t="s">
        <v>104</v>
      </c>
      <c r="CF621" s="1" t="s">
        <v>104</v>
      </c>
      <c r="CG621" s="1" t="s">
        <v>104</v>
      </c>
      <c r="CH621" s="1" t="s">
        <v>104</v>
      </c>
      <c r="CJ621" s="1">
        <v>0</v>
      </c>
      <c r="CK621" s="1">
        <v>0</v>
      </c>
      <c r="CL621" s="1">
        <v>0</v>
      </c>
      <c r="CM621" s="1" t="s">
        <v>104</v>
      </c>
    </row>
    <row r="622" spans="1:91" ht="14.25" customHeight="1" x14ac:dyDescent="0.3">
      <c r="A622" s="1" t="s">
        <v>4225</v>
      </c>
      <c r="B622" s="1" t="s">
        <v>92</v>
      </c>
      <c r="C622" s="1" t="s">
        <v>1160</v>
      </c>
      <c r="D622" s="1" t="s">
        <v>54</v>
      </c>
      <c r="E622" s="1" t="s">
        <v>4226</v>
      </c>
      <c r="F622" s="1" t="s">
        <v>95</v>
      </c>
      <c r="G622" s="1" t="s">
        <v>4227</v>
      </c>
      <c r="H622" s="1">
        <v>1</v>
      </c>
      <c r="I622" s="1" t="s">
        <v>109</v>
      </c>
      <c r="L622" s="1" t="s">
        <v>4228</v>
      </c>
      <c r="M622" s="1" t="s">
        <v>119</v>
      </c>
      <c r="N622" s="1">
        <v>0</v>
      </c>
      <c r="O622" s="1">
        <v>0</v>
      </c>
      <c r="P622" s="1" t="s">
        <v>375</v>
      </c>
      <c r="Q622" s="1" t="s">
        <v>131</v>
      </c>
      <c r="R622" s="1" t="s">
        <v>4229</v>
      </c>
      <c r="S622" s="1" t="s">
        <v>4212</v>
      </c>
      <c r="T622" s="1">
        <v>1</v>
      </c>
      <c r="U622" s="1">
        <v>1</v>
      </c>
      <c r="V622" s="1">
        <v>1</v>
      </c>
      <c r="W622" s="1">
        <v>0</v>
      </c>
      <c r="X622" s="1">
        <v>0</v>
      </c>
      <c r="Y622" s="1">
        <v>7</v>
      </c>
      <c r="Z622" s="1">
        <v>7</v>
      </c>
      <c r="AA622" s="1">
        <v>7</v>
      </c>
      <c r="AB622" s="1" t="s">
        <v>104</v>
      </c>
      <c r="AC622" s="1" t="s">
        <v>104</v>
      </c>
      <c r="AD622" s="1" t="s">
        <v>104</v>
      </c>
      <c r="AE622" s="1" t="s">
        <v>104</v>
      </c>
      <c r="AF622" s="1" t="s">
        <v>104</v>
      </c>
      <c r="AG622" s="1" t="s">
        <v>104</v>
      </c>
      <c r="AH622" s="1" t="s">
        <v>104</v>
      </c>
      <c r="AI622" s="1" t="s">
        <v>104</v>
      </c>
      <c r="AJ622" s="1">
        <v>7</v>
      </c>
      <c r="AK622" s="1" t="s">
        <v>104</v>
      </c>
      <c r="AL622" s="1" t="s">
        <v>104</v>
      </c>
      <c r="AM622" s="1" t="s">
        <v>104</v>
      </c>
      <c r="AO622" s="1">
        <v>7</v>
      </c>
      <c r="AR622" s="1">
        <v>0</v>
      </c>
      <c r="AS622" s="1">
        <v>0</v>
      </c>
      <c r="AT622" s="1">
        <v>0</v>
      </c>
      <c r="AU622" s="1">
        <v>0</v>
      </c>
      <c r="AV622" s="1">
        <v>0</v>
      </c>
      <c r="AW622" s="1">
        <v>0</v>
      </c>
      <c r="AX622" s="1">
        <v>0</v>
      </c>
      <c r="AY622" s="1">
        <v>0</v>
      </c>
      <c r="AZ622" s="1">
        <v>0</v>
      </c>
      <c r="BA622" s="1">
        <v>0</v>
      </c>
      <c r="BB622" s="1">
        <v>0</v>
      </c>
      <c r="BC622" s="1">
        <v>1</v>
      </c>
      <c r="BD622" s="1">
        <v>0</v>
      </c>
      <c r="BE622" s="1">
        <v>0</v>
      </c>
      <c r="BF622" s="1">
        <v>0</v>
      </c>
      <c r="BG622" s="1">
        <v>0</v>
      </c>
      <c r="BH622" s="1">
        <v>0</v>
      </c>
      <c r="BI622" s="1">
        <v>0</v>
      </c>
      <c r="BJ622" s="1">
        <v>0</v>
      </c>
      <c r="BK622" s="1">
        <v>0</v>
      </c>
      <c r="BL622" s="1">
        <v>0</v>
      </c>
      <c r="BM622" s="1">
        <v>0</v>
      </c>
      <c r="BN622" s="1">
        <v>0</v>
      </c>
      <c r="BO622" s="1">
        <v>0</v>
      </c>
      <c r="BP622" s="1">
        <v>0</v>
      </c>
      <c r="BQ622" s="2" t="str">
        <f>HYPERLINK("http://www.d20pfsrd.com/magic/all-spells/s/s/signifier-s-rally","Signifer's Rally")</f>
        <v>Signifer's Rally</v>
      </c>
      <c r="BR622" s="1">
        <v>631</v>
      </c>
      <c r="BS622" s="1">
        <v>100</v>
      </c>
      <c r="BX622" s="1">
        <v>0</v>
      </c>
      <c r="BY622" s="1" t="s">
        <v>104</v>
      </c>
      <c r="BZ622" s="1" t="s">
        <v>104</v>
      </c>
      <c r="CA622" s="1" t="s">
        <v>104</v>
      </c>
      <c r="CB622" s="1" t="s">
        <v>104</v>
      </c>
      <c r="CC622" s="1" t="s">
        <v>104</v>
      </c>
      <c r="CD622" s="1" t="s">
        <v>104</v>
      </c>
      <c r="CE622" s="1" t="s">
        <v>104</v>
      </c>
      <c r="CF622" s="1" t="s">
        <v>104</v>
      </c>
      <c r="CG622" s="1" t="s">
        <v>104</v>
      </c>
      <c r="CH622" s="1" t="s">
        <v>104</v>
      </c>
      <c r="CJ622" s="1">
        <v>0</v>
      </c>
      <c r="CK622" s="1">
        <v>0</v>
      </c>
      <c r="CL622" s="1">
        <v>0</v>
      </c>
      <c r="CM622" s="1" t="s">
        <v>104</v>
      </c>
    </row>
    <row r="623" spans="1:91" ht="14.25" customHeight="1" x14ac:dyDescent="0.3">
      <c r="A623" s="1" t="s">
        <v>4230</v>
      </c>
      <c r="B623" s="1" t="s">
        <v>507</v>
      </c>
      <c r="C623" s="1" t="s">
        <v>65</v>
      </c>
      <c r="E623" s="1" t="s">
        <v>4214</v>
      </c>
      <c r="F623" s="1" t="s">
        <v>287</v>
      </c>
      <c r="G623" s="1" t="s">
        <v>4231</v>
      </c>
      <c r="H623" s="1">
        <v>0</v>
      </c>
      <c r="I623" s="1" t="s">
        <v>705</v>
      </c>
      <c r="K623" s="1" t="s">
        <v>4232</v>
      </c>
      <c r="M623" s="1" t="s">
        <v>2330</v>
      </c>
      <c r="N623" s="1">
        <v>1</v>
      </c>
      <c r="O623" s="1">
        <v>0</v>
      </c>
      <c r="P623" s="1" t="s">
        <v>4222</v>
      </c>
      <c r="Q623" s="1" t="s">
        <v>4223</v>
      </c>
      <c r="R623" s="1" t="s">
        <v>4233</v>
      </c>
      <c r="S623" s="1" t="s">
        <v>4212</v>
      </c>
      <c r="T623" s="1">
        <v>1</v>
      </c>
      <c r="U623" s="1">
        <v>1</v>
      </c>
      <c r="V623" s="1">
        <v>1</v>
      </c>
      <c r="W623" s="1">
        <v>0</v>
      </c>
      <c r="X623" s="1">
        <v>0</v>
      </c>
      <c r="Y623" s="1">
        <v>3</v>
      </c>
      <c r="Z623" s="1">
        <v>3</v>
      </c>
      <c r="AA623" s="1" t="s">
        <v>104</v>
      </c>
      <c r="AB623" s="1" t="s">
        <v>104</v>
      </c>
      <c r="AC623" s="1" t="s">
        <v>104</v>
      </c>
      <c r="AD623" s="1" t="s">
        <v>104</v>
      </c>
      <c r="AE623" s="1" t="s">
        <v>104</v>
      </c>
      <c r="AF623" s="1" t="s">
        <v>104</v>
      </c>
      <c r="AG623" s="1" t="s">
        <v>104</v>
      </c>
      <c r="AH623" s="1" t="s">
        <v>104</v>
      </c>
      <c r="AI623" s="1" t="s">
        <v>104</v>
      </c>
      <c r="AJ623" s="1" t="s">
        <v>104</v>
      </c>
      <c r="AK623" s="1" t="s">
        <v>104</v>
      </c>
      <c r="AL623" s="1" t="s">
        <v>104</v>
      </c>
      <c r="AM623" s="1" t="s">
        <v>104</v>
      </c>
      <c r="AO623" s="1">
        <v>3</v>
      </c>
      <c r="AR623" s="1">
        <v>0</v>
      </c>
      <c r="AS623" s="1">
        <v>0</v>
      </c>
      <c r="AT623" s="1">
        <v>0</v>
      </c>
      <c r="AU623" s="1">
        <v>0</v>
      </c>
      <c r="AV623" s="1">
        <v>0</v>
      </c>
      <c r="AW623" s="1">
        <v>0</v>
      </c>
      <c r="AX623" s="1">
        <v>0</v>
      </c>
      <c r="AY623" s="1">
        <v>0</v>
      </c>
      <c r="AZ623" s="1">
        <v>0</v>
      </c>
      <c r="BA623" s="1">
        <v>0</v>
      </c>
      <c r="BB623" s="1">
        <v>0</v>
      </c>
      <c r="BC623" s="1">
        <v>0</v>
      </c>
      <c r="BD623" s="1">
        <v>0</v>
      </c>
      <c r="BE623" s="1">
        <v>0</v>
      </c>
      <c r="BF623" s="1">
        <v>0</v>
      </c>
      <c r="BG623" s="1">
        <v>0</v>
      </c>
      <c r="BH623" s="1">
        <v>0</v>
      </c>
      <c r="BI623" s="1">
        <v>0</v>
      </c>
      <c r="BJ623" s="1">
        <v>0</v>
      </c>
      <c r="BK623" s="1">
        <v>0</v>
      </c>
      <c r="BL623" s="1">
        <v>0</v>
      </c>
      <c r="BM623" s="1">
        <v>0</v>
      </c>
      <c r="BN623" s="1">
        <v>0</v>
      </c>
      <c r="BO623" s="1">
        <v>0</v>
      </c>
      <c r="BP623" s="1">
        <v>0</v>
      </c>
      <c r="BQ623" s="2" t="str">
        <f>HYPERLINK("http://www.d20pfsrd.com/magic/all-spells/t/t/twine-double","Twine Double")</f>
        <v>Twine Double</v>
      </c>
      <c r="BR623" s="1">
        <v>632</v>
      </c>
      <c r="BS623" s="1" t="s">
        <v>104</v>
      </c>
      <c r="BX623" s="1">
        <v>0</v>
      </c>
      <c r="BY623" s="1" t="s">
        <v>104</v>
      </c>
      <c r="BZ623" s="1" t="s">
        <v>104</v>
      </c>
      <c r="CA623" s="1" t="s">
        <v>104</v>
      </c>
      <c r="CB623" s="1" t="s">
        <v>104</v>
      </c>
      <c r="CC623" s="1" t="s">
        <v>104</v>
      </c>
      <c r="CD623" s="1" t="s">
        <v>104</v>
      </c>
      <c r="CE623" s="1" t="s">
        <v>104</v>
      </c>
      <c r="CF623" s="1" t="s">
        <v>104</v>
      </c>
      <c r="CG623" s="1" t="s">
        <v>104</v>
      </c>
      <c r="CH623" s="1" t="s">
        <v>104</v>
      </c>
      <c r="CJ623" s="1">
        <v>0</v>
      </c>
      <c r="CK623" s="1">
        <v>0</v>
      </c>
      <c r="CL623" s="1">
        <v>0</v>
      </c>
      <c r="CM623" s="1" t="s">
        <v>104</v>
      </c>
    </row>
    <row r="624" spans="1:91" ht="14.25" customHeight="1" x14ac:dyDescent="0.3">
      <c r="A624" s="1" t="s">
        <v>4234</v>
      </c>
      <c r="B624" s="1" t="s">
        <v>216</v>
      </c>
      <c r="D624" s="1" t="s">
        <v>3185</v>
      </c>
      <c r="E624" s="1" t="s">
        <v>4235</v>
      </c>
      <c r="F624" s="1" t="s">
        <v>95</v>
      </c>
      <c r="G624" s="1" t="s">
        <v>4236</v>
      </c>
      <c r="H624" s="1">
        <v>0</v>
      </c>
      <c r="I624" s="1" t="s">
        <v>914</v>
      </c>
      <c r="J624" s="1" t="s">
        <v>549</v>
      </c>
      <c r="M624" s="1" t="s">
        <v>4237</v>
      </c>
      <c r="N624" s="1">
        <v>0</v>
      </c>
      <c r="O624" s="1">
        <v>0</v>
      </c>
      <c r="P624" s="1" t="s">
        <v>276</v>
      </c>
      <c r="Q624" s="1" t="s">
        <v>184</v>
      </c>
      <c r="R624" s="1" t="s">
        <v>4238</v>
      </c>
      <c r="S624" s="1" t="s">
        <v>103</v>
      </c>
      <c r="T624" s="1">
        <v>1</v>
      </c>
      <c r="U624" s="1">
        <v>1</v>
      </c>
      <c r="V624" s="1">
        <v>1</v>
      </c>
      <c r="W624" s="1">
        <v>0</v>
      </c>
      <c r="X624" s="1">
        <v>0</v>
      </c>
      <c r="Y624" s="1">
        <v>4</v>
      </c>
      <c r="Z624" s="1">
        <v>4</v>
      </c>
      <c r="AA624" s="1" t="s">
        <v>104</v>
      </c>
      <c r="AB624" s="1" t="s">
        <v>104</v>
      </c>
      <c r="AC624" s="1" t="s">
        <v>104</v>
      </c>
      <c r="AD624" s="1">
        <v>3</v>
      </c>
      <c r="AE624" s="1" t="s">
        <v>104</v>
      </c>
      <c r="AF624" s="1" t="s">
        <v>104</v>
      </c>
      <c r="AG624" s="1" t="s">
        <v>104</v>
      </c>
      <c r="AH624" s="1">
        <v>4</v>
      </c>
      <c r="AI624" s="1">
        <v>4</v>
      </c>
      <c r="AJ624" s="1" t="s">
        <v>104</v>
      </c>
      <c r="AK624" s="1">
        <v>4</v>
      </c>
      <c r="AL624" s="1" t="s">
        <v>104</v>
      </c>
      <c r="AM624" s="1" t="s">
        <v>104</v>
      </c>
      <c r="AO624" s="1">
        <v>4</v>
      </c>
      <c r="AP624" s="1" t="s">
        <v>4239</v>
      </c>
      <c r="AQ624" s="1" t="s">
        <v>4240</v>
      </c>
      <c r="AR624" s="1">
        <v>0</v>
      </c>
      <c r="AS624" s="1">
        <v>0</v>
      </c>
      <c r="AT624" s="1">
        <v>0</v>
      </c>
      <c r="AU624" s="1">
        <v>0</v>
      </c>
      <c r="AV624" s="1">
        <v>0</v>
      </c>
      <c r="AW624" s="1">
        <v>0</v>
      </c>
      <c r="AX624" s="1">
        <v>0</v>
      </c>
      <c r="AY624" s="1">
        <v>0</v>
      </c>
      <c r="AZ624" s="1">
        <v>0</v>
      </c>
      <c r="BA624" s="1">
        <v>0</v>
      </c>
      <c r="BB624" s="1">
        <v>1</v>
      </c>
      <c r="BC624" s="1">
        <v>0</v>
      </c>
      <c r="BD624" s="1">
        <v>1</v>
      </c>
      <c r="BE624" s="1">
        <v>0</v>
      </c>
      <c r="BF624" s="1">
        <v>0</v>
      </c>
      <c r="BG624" s="1">
        <v>0</v>
      </c>
      <c r="BH624" s="1">
        <v>0</v>
      </c>
      <c r="BI624" s="1">
        <v>0</v>
      </c>
      <c r="BJ624" s="1">
        <v>0</v>
      </c>
      <c r="BK624" s="1">
        <v>1</v>
      </c>
      <c r="BL624" s="1">
        <v>0</v>
      </c>
      <c r="BM624" s="1">
        <v>0</v>
      </c>
      <c r="BN624" s="1">
        <v>0</v>
      </c>
      <c r="BO624" s="1">
        <v>0</v>
      </c>
      <c r="BP624" s="1">
        <v>0</v>
      </c>
      <c r="BQ624" s="2" t="str">
        <f>HYPERLINK("http://www.d20pfsrd.com/magic/all-spells/f/fear","Fear")</f>
        <v>Fear</v>
      </c>
      <c r="BR624" s="1">
        <v>633</v>
      </c>
      <c r="BS624" s="1" t="s">
        <v>104</v>
      </c>
      <c r="BT624" s="1" t="s">
        <v>4241</v>
      </c>
      <c r="BX624" s="1">
        <v>0</v>
      </c>
      <c r="BY624" s="1">
        <v>4</v>
      </c>
      <c r="BZ624" s="1">
        <v>4</v>
      </c>
      <c r="CA624" s="1">
        <v>4</v>
      </c>
      <c r="CB624" s="1">
        <v>4</v>
      </c>
      <c r="CC624" s="1">
        <v>3</v>
      </c>
      <c r="CD624" s="1">
        <v>4</v>
      </c>
      <c r="CE624" s="1">
        <v>4</v>
      </c>
      <c r="CF624" s="1" t="s">
        <v>104</v>
      </c>
      <c r="CG624" s="1" t="s">
        <v>104</v>
      </c>
      <c r="CH624" s="1" t="s">
        <v>104</v>
      </c>
      <c r="CJ624" s="1">
        <v>0</v>
      </c>
      <c r="CK624" s="1">
        <v>0</v>
      </c>
      <c r="CL624" s="1">
        <v>0</v>
      </c>
      <c r="CM624" s="1" t="s">
        <v>104</v>
      </c>
    </row>
    <row r="625" spans="1:91" ht="14.25" customHeight="1" x14ac:dyDescent="0.3">
      <c r="A625" s="1" t="s">
        <v>4242</v>
      </c>
      <c r="B625" s="1" t="s">
        <v>123</v>
      </c>
      <c r="C625" s="1" t="s">
        <v>124</v>
      </c>
      <c r="D625" s="1" t="s">
        <v>125</v>
      </c>
      <c r="E625" s="1" t="s">
        <v>4243</v>
      </c>
      <c r="F625" s="1" t="s">
        <v>95</v>
      </c>
      <c r="G625" s="1" t="s">
        <v>116</v>
      </c>
      <c r="H625" s="1">
        <v>0</v>
      </c>
      <c r="I625" s="1" t="s">
        <v>109</v>
      </c>
      <c r="L625" s="1" t="s">
        <v>643</v>
      </c>
      <c r="M625" s="1" t="s">
        <v>1996</v>
      </c>
      <c r="N625" s="1">
        <v>1</v>
      </c>
      <c r="O625" s="1">
        <v>0</v>
      </c>
      <c r="P625" s="1" t="s">
        <v>418</v>
      </c>
      <c r="Q625" s="1" t="s">
        <v>184</v>
      </c>
      <c r="R625" s="1" t="s">
        <v>4244</v>
      </c>
      <c r="S625" s="1" t="s">
        <v>103</v>
      </c>
      <c r="T625" s="1">
        <v>1</v>
      </c>
      <c r="U625" s="1">
        <v>1</v>
      </c>
      <c r="V625" s="1">
        <v>0</v>
      </c>
      <c r="W625" s="1">
        <v>0</v>
      </c>
      <c r="X625" s="1">
        <v>0</v>
      </c>
      <c r="Y625" s="1" t="s">
        <v>104</v>
      </c>
      <c r="Z625" s="1" t="s">
        <v>104</v>
      </c>
      <c r="AA625" s="1" t="s">
        <v>104</v>
      </c>
      <c r="AB625" s="1">
        <v>2</v>
      </c>
      <c r="AC625" s="1">
        <v>2</v>
      </c>
      <c r="AD625" s="1" t="s">
        <v>104</v>
      </c>
      <c r="AE625" s="1" t="s">
        <v>104</v>
      </c>
      <c r="AF625" s="1" t="s">
        <v>104</v>
      </c>
      <c r="AG625" s="1" t="s">
        <v>104</v>
      </c>
      <c r="AH625" s="1" t="s">
        <v>104</v>
      </c>
      <c r="AI625" s="1" t="s">
        <v>104</v>
      </c>
      <c r="AJ625" s="1" t="s">
        <v>104</v>
      </c>
      <c r="AK625" s="1" t="s">
        <v>104</v>
      </c>
      <c r="AL625" s="1" t="s">
        <v>104</v>
      </c>
      <c r="AM625" s="1" t="s">
        <v>104</v>
      </c>
      <c r="AO625" s="1">
        <v>2</v>
      </c>
      <c r="AP625" s="1" t="s">
        <v>4245</v>
      </c>
      <c r="AQ625" s="1" t="s">
        <v>4246</v>
      </c>
      <c r="AR625" s="1">
        <v>0</v>
      </c>
      <c r="AS625" s="1">
        <v>0</v>
      </c>
      <c r="AT625" s="1">
        <v>0</v>
      </c>
      <c r="AU625" s="1">
        <v>0</v>
      </c>
      <c r="AV625" s="1">
        <v>0</v>
      </c>
      <c r="AW625" s="1">
        <v>0</v>
      </c>
      <c r="AX625" s="1">
        <v>0</v>
      </c>
      <c r="AY625" s="1">
        <v>0</v>
      </c>
      <c r="AZ625" s="1">
        <v>0</v>
      </c>
      <c r="BA625" s="1">
        <v>0</v>
      </c>
      <c r="BB625" s="1">
        <v>0</v>
      </c>
      <c r="BC625" s="1">
        <v>0</v>
      </c>
      <c r="BD625" s="1">
        <v>0</v>
      </c>
      <c r="BE625" s="1">
        <v>0</v>
      </c>
      <c r="BF625" s="1">
        <v>0</v>
      </c>
      <c r="BG625" s="1">
        <v>0</v>
      </c>
      <c r="BH625" s="1">
        <v>0</v>
      </c>
      <c r="BI625" s="1">
        <v>0</v>
      </c>
      <c r="BJ625" s="1">
        <v>0</v>
      </c>
      <c r="BK625" s="1">
        <v>1</v>
      </c>
      <c r="BL625" s="1">
        <v>0</v>
      </c>
      <c r="BM625" s="1">
        <v>0</v>
      </c>
      <c r="BN625" s="1">
        <v>0</v>
      </c>
      <c r="BO625" s="1">
        <v>0</v>
      </c>
      <c r="BP625" s="1">
        <v>0</v>
      </c>
      <c r="BQ625" s="2" t="str">
        <f>HYPERLINK("http://www.d20pfsrd.com/magic/all-spells/h/hold-animal","Hold Animal")</f>
        <v>Hold Animal</v>
      </c>
      <c r="BR625" s="1">
        <v>634</v>
      </c>
      <c r="BS625" s="1" t="s">
        <v>104</v>
      </c>
      <c r="BX625" s="1">
        <v>0</v>
      </c>
      <c r="BY625" s="1" t="s">
        <v>104</v>
      </c>
      <c r="BZ625" s="1" t="s">
        <v>104</v>
      </c>
      <c r="CA625" s="1">
        <v>2</v>
      </c>
      <c r="CB625" s="1" t="s">
        <v>104</v>
      </c>
      <c r="CC625" s="1">
        <v>2</v>
      </c>
      <c r="CD625" s="1" t="s">
        <v>104</v>
      </c>
      <c r="CE625" s="1" t="s">
        <v>104</v>
      </c>
      <c r="CF625" s="1" t="s">
        <v>104</v>
      </c>
      <c r="CG625" s="1" t="s">
        <v>104</v>
      </c>
      <c r="CH625" s="1">
        <v>2</v>
      </c>
      <c r="CJ625" s="1">
        <v>0</v>
      </c>
      <c r="CK625" s="1">
        <v>0</v>
      </c>
      <c r="CL625" s="1">
        <v>0</v>
      </c>
      <c r="CM625" s="1" t="s">
        <v>104</v>
      </c>
    </row>
    <row r="626" spans="1:91" ht="14.25" customHeight="1" x14ac:dyDescent="0.3">
      <c r="A626" s="1" t="s">
        <v>4247</v>
      </c>
      <c r="B626" s="1" t="s">
        <v>92</v>
      </c>
      <c r="C626" s="1" t="s">
        <v>903</v>
      </c>
      <c r="E626" s="1" t="s">
        <v>4248</v>
      </c>
      <c r="F626" s="1" t="s">
        <v>255</v>
      </c>
      <c r="G626" s="1" t="s">
        <v>127</v>
      </c>
      <c r="H626" s="1">
        <v>0</v>
      </c>
      <c r="I626" s="1" t="s">
        <v>97</v>
      </c>
      <c r="K626" s="1" t="s">
        <v>4249</v>
      </c>
      <c r="M626" s="1" t="s">
        <v>130</v>
      </c>
      <c r="N626" s="1">
        <v>0</v>
      </c>
      <c r="O626" s="1">
        <v>0</v>
      </c>
      <c r="P626" s="1" t="s">
        <v>100</v>
      </c>
      <c r="Q626" s="1" t="s">
        <v>101</v>
      </c>
      <c r="R626" s="1" t="s">
        <v>4250</v>
      </c>
      <c r="S626" s="1" t="s">
        <v>103</v>
      </c>
      <c r="T626" s="1">
        <v>1</v>
      </c>
      <c r="U626" s="1">
        <v>1</v>
      </c>
      <c r="V626" s="1">
        <v>0</v>
      </c>
      <c r="W626" s="1">
        <v>0</v>
      </c>
      <c r="X626" s="1">
        <v>1</v>
      </c>
      <c r="Y626" s="1" t="s">
        <v>104</v>
      </c>
      <c r="Z626" s="1" t="s">
        <v>104</v>
      </c>
      <c r="AA626" s="1">
        <v>5</v>
      </c>
      <c r="AB626" s="1">
        <v>5</v>
      </c>
      <c r="AC626" s="1" t="s">
        <v>104</v>
      </c>
      <c r="AD626" s="1" t="s">
        <v>104</v>
      </c>
      <c r="AE626" s="1" t="s">
        <v>104</v>
      </c>
      <c r="AF626" s="1" t="s">
        <v>104</v>
      </c>
      <c r="AG626" s="1">
        <v>4</v>
      </c>
      <c r="AH626" s="1" t="s">
        <v>104</v>
      </c>
      <c r="AI626" s="1" t="s">
        <v>104</v>
      </c>
      <c r="AJ626" s="1">
        <v>5</v>
      </c>
      <c r="AK626" s="1" t="s">
        <v>104</v>
      </c>
      <c r="AL626" s="1" t="s">
        <v>104</v>
      </c>
      <c r="AM626" s="1" t="s">
        <v>104</v>
      </c>
      <c r="AO626" s="1">
        <v>5</v>
      </c>
      <c r="AP626" s="1" t="s">
        <v>4251</v>
      </c>
      <c r="AQ626" s="1" t="s">
        <v>4252</v>
      </c>
      <c r="AR626" s="1">
        <v>0</v>
      </c>
      <c r="AS626" s="1">
        <v>0</v>
      </c>
      <c r="AT626" s="1">
        <v>0</v>
      </c>
      <c r="AU626" s="1">
        <v>0</v>
      </c>
      <c r="AV626" s="1">
        <v>0</v>
      </c>
      <c r="AW626" s="1">
        <v>0</v>
      </c>
      <c r="AX626" s="1">
        <v>0</v>
      </c>
      <c r="AY626" s="1">
        <v>0</v>
      </c>
      <c r="AZ626" s="1">
        <v>0</v>
      </c>
      <c r="BA626" s="1">
        <v>0</v>
      </c>
      <c r="BB626" s="1">
        <v>0</v>
      </c>
      <c r="BC626" s="1">
        <v>0</v>
      </c>
      <c r="BD626" s="1">
        <v>0</v>
      </c>
      <c r="BE626" s="1">
        <v>0</v>
      </c>
      <c r="BF626" s="1">
        <v>0</v>
      </c>
      <c r="BG626" s="1">
        <v>0</v>
      </c>
      <c r="BH626" s="1">
        <v>0</v>
      </c>
      <c r="BI626" s="1">
        <v>0</v>
      </c>
      <c r="BJ626" s="1">
        <v>0</v>
      </c>
      <c r="BK626" s="1">
        <v>0</v>
      </c>
      <c r="BL626" s="1">
        <v>0</v>
      </c>
      <c r="BM626" s="1">
        <v>0</v>
      </c>
      <c r="BN626" s="1">
        <v>0</v>
      </c>
      <c r="BO626" s="1">
        <v>0</v>
      </c>
      <c r="BP626" s="1">
        <v>0</v>
      </c>
      <c r="BQ626" s="2" t="str">
        <f>HYPERLINK("http://www.d20pfsrd.com/magic/all-spells/i/insect-plague","Insect Plague")</f>
        <v>Insect Plague</v>
      </c>
      <c r="BR626" s="1">
        <v>635</v>
      </c>
      <c r="BS626" s="1" t="s">
        <v>104</v>
      </c>
      <c r="BT626" s="1" t="s">
        <v>4253</v>
      </c>
      <c r="BX626" s="1">
        <v>0</v>
      </c>
      <c r="BY626" s="1" t="s">
        <v>104</v>
      </c>
      <c r="BZ626" s="1">
        <v>5</v>
      </c>
      <c r="CA626" s="1" t="s">
        <v>104</v>
      </c>
      <c r="CB626" s="1" t="s">
        <v>104</v>
      </c>
      <c r="CC626" s="1" t="s">
        <v>104</v>
      </c>
      <c r="CD626" s="1" t="s">
        <v>104</v>
      </c>
      <c r="CE626" s="1" t="s">
        <v>104</v>
      </c>
      <c r="CF626" s="1" t="s">
        <v>104</v>
      </c>
      <c r="CG626" s="1" t="s">
        <v>104</v>
      </c>
      <c r="CH626" s="1">
        <v>5</v>
      </c>
      <c r="CJ626" s="1">
        <v>0</v>
      </c>
      <c r="CK626" s="1">
        <v>0</v>
      </c>
      <c r="CL626" s="1">
        <v>0</v>
      </c>
      <c r="CM626" s="1">
        <v>5</v>
      </c>
    </row>
    <row r="627" spans="1:91" ht="14.25" customHeight="1" x14ac:dyDescent="0.3">
      <c r="A627" s="1" t="s">
        <v>4254</v>
      </c>
      <c r="B627" s="1" t="s">
        <v>137</v>
      </c>
      <c r="C627" s="1" t="s">
        <v>154</v>
      </c>
      <c r="E627" s="1" t="s">
        <v>4255</v>
      </c>
      <c r="F627" s="1" t="s">
        <v>95</v>
      </c>
      <c r="G627" s="1" t="s">
        <v>116</v>
      </c>
      <c r="H627" s="1">
        <v>0</v>
      </c>
      <c r="I627" s="1" t="s">
        <v>117</v>
      </c>
      <c r="L627" s="1" t="s">
        <v>1065</v>
      </c>
      <c r="M627" s="1" t="s">
        <v>298</v>
      </c>
      <c r="N627" s="1">
        <v>0</v>
      </c>
      <c r="O627" s="1">
        <v>0</v>
      </c>
      <c r="P627" s="1" t="s">
        <v>4256</v>
      </c>
      <c r="Q627" s="1" t="s">
        <v>184</v>
      </c>
      <c r="R627" s="1" t="s">
        <v>4257</v>
      </c>
      <c r="S627" s="1" t="s">
        <v>103</v>
      </c>
      <c r="T627" s="1">
        <v>1</v>
      </c>
      <c r="U627" s="1">
        <v>1</v>
      </c>
      <c r="V627" s="1">
        <v>0</v>
      </c>
      <c r="W627" s="1">
        <v>0</v>
      </c>
      <c r="X627" s="1">
        <v>0</v>
      </c>
      <c r="Y627" s="1">
        <v>5</v>
      </c>
      <c r="Z627" s="1">
        <v>5</v>
      </c>
      <c r="AA627" s="1" t="s">
        <v>104</v>
      </c>
      <c r="AB627" s="1">
        <v>5</v>
      </c>
      <c r="AC627" s="1" t="s">
        <v>104</v>
      </c>
      <c r="AD627" s="1" t="s">
        <v>104</v>
      </c>
      <c r="AE627" s="1" t="s">
        <v>104</v>
      </c>
      <c r="AF627" s="1" t="s">
        <v>104</v>
      </c>
      <c r="AG627" s="1">
        <v>4</v>
      </c>
      <c r="AH627" s="1">
        <v>5</v>
      </c>
      <c r="AI627" s="1" t="s">
        <v>104</v>
      </c>
      <c r="AJ627" s="1" t="s">
        <v>104</v>
      </c>
      <c r="AK627" s="1" t="s">
        <v>104</v>
      </c>
      <c r="AL627" s="1">
        <v>5</v>
      </c>
      <c r="AM627" s="1">
        <v>5</v>
      </c>
      <c r="AO627" s="1">
        <v>5</v>
      </c>
      <c r="AQ627" s="1" t="s">
        <v>4258</v>
      </c>
      <c r="AR627" s="1">
        <v>0</v>
      </c>
      <c r="AS627" s="1">
        <v>0</v>
      </c>
      <c r="AT627" s="1">
        <v>0</v>
      </c>
      <c r="AU627" s="1">
        <v>0</v>
      </c>
      <c r="AV627" s="1">
        <v>0</v>
      </c>
      <c r="AW627" s="1">
        <v>0</v>
      </c>
      <c r="AX627" s="1">
        <v>0</v>
      </c>
      <c r="AY627" s="1">
        <v>0</v>
      </c>
      <c r="AZ627" s="1">
        <v>0</v>
      </c>
      <c r="BA627" s="1">
        <v>0</v>
      </c>
      <c r="BB627" s="1">
        <v>0</v>
      </c>
      <c r="BC627" s="1">
        <v>0</v>
      </c>
      <c r="BD627" s="1">
        <v>0</v>
      </c>
      <c r="BE627" s="1">
        <v>0</v>
      </c>
      <c r="BF627" s="1">
        <v>0</v>
      </c>
      <c r="BG627" s="1">
        <v>0</v>
      </c>
      <c r="BH627" s="1">
        <v>0</v>
      </c>
      <c r="BI627" s="1">
        <v>0</v>
      </c>
      <c r="BJ627" s="1">
        <v>0</v>
      </c>
      <c r="BK627" s="1">
        <v>0</v>
      </c>
      <c r="BL627" s="1">
        <v>0</v>
      </c>
      <c r="BM627" s="1">
        <v>0</v>
      </c>
      <c r="BN627" s="1">
        <v>0</v>
      </c>
      <c r="BO627" s="1">
        <v>0</v>
      </c>
      <c r="BP627" s="1">
        <v>0</v>
      </c>
      <c r="BQ627" s="2" t="str">
        <f>HYPERLINK("http://www.d20pfsrd.com/magic/all-spells/b/baleful-polymorph","Baleful Polymorph")</f>
        <v>Baleful Polymorph</v>
      </c>
      <c r="BR627" s="1">
        <v>636</v>
      </c>
      <c r="BS627" s="1" t="s">
        <v>104</v>
      </c>
      <c r="BV627" s="1" t="s">
        <v>4259</v>
      </c>
      <c r="BW627" s="1" t="s">
        <v>4260</v>
      </c>
      <c r="BX627" s="1">
        <v>1</v>
      </c>
      <c r="BY627" s="1" t="s">
        <v>104</v>
      </c>
      <c r="BZ627" s="1">
        <v>5</v>
      </c>
      <c r="CA627" s="1" t="s">
        <v>104</v>
      </c>
      <c r="CB627" s="1" t="s">
        <v>104</v>
      </c>
      <c r="CC627" s="1" t="s">
        <v>104</v>
      </c>
      <c r="CD627" s="1" t="s">
        <v>104</v>
      </c>
      <c r="CE627" s="1" t="s">
        <v>104</v>
      </c>
      <c r="CF627" s="1" t="s">
        <v>104</v>
      </c>
      <c r="CG627" s="1" t="s">
        <v>104</v>
      </c>
      <c r="CH627" s="1">
        <v>5</v>
      </c>
      <c r="CJ627" s="1">
        <v>0</v>
      </c>
      <c r="CK627" s="1">
        <v>0</v>
      </c>
      <c r="CL627" s="1">
        <v>0</v>
      </c>
      <c r="CM627" s="1">
        <v>5</v>
      </c>
    </row>
    <row r="628" spans="1:91" ht="14.25" customHeight="1" x14ac:dyDescent="0.3">
      <c r="A628" s="1" t="s">
        <v>4261</v>
      </c>
      <c r="B628" s="1" t="s">
        <v>172</v>
      </c>
      <c r="E628" s="1" t="s">
        <v>3231</v>
      </c>
      <c r="F628" s="1" t="s">
        <v>191</v>
      </c>
      <c r="G628" s="1" t="s">
        <v>2887</v>
      </c>
      <c r="H628" s="1">
        <v>0</v>
      </c>
      <c r="I628" s="1" t="s">
        <v>2888</v>
      </c>
      <c r="K628" s="1" t="s">
        <v>2889</v>
      </c>
      <c r="M628" s="1" t="s">
        <v>2890</v>
      </c>
      <c r="N628" s="1">
        <v>1</v>
      </c>
      <c r="O628" s="1">
        <v>0</v>
      </c>
      <c r="P628" s="1" t="s">
        <v>100</v>
      </c>
      <c r="Q628" s="1" t="s">
        <v>101</v>
      </c>
      <c r="R628" s="1" t="s">
        <v>4262</v>
      </c>
      <c r="S628" s="1" t="s">
        <v>103</v>
      </c>
      <c r="T628" s="1">
        <v>1</v>
      </c>
      <c r="U628" s="1">
        <v>1</v>
      </c>
      <c r="V628" s="1">
        <v>1</v>
      </c>
      <c r="W628" s="1">
        <v>0</v>
      </c>
      <c r="X628" s="1">
        <v>0</v>
      </c>
      <c r="Y628" s="1">
        <v>5</v>
      </c>
      <c r="Z628" s="1">
        <v>5</v>
      </c>
      <c r="AA628" s="1" t="s">
        <v>104</v>
      </c>
      <c r="AB628" s="1" t="s">
        <v>104</v>
      </c>
      <c r="AC628" s="1" t="s">
        <v>104</v>
      </c>
      <c r="AD628" s="1" t="s">
        <v>104</v>
      </c>
      <c r="AE628" s="1" t="s">
        <v>104</v>
      </c>
      <c r="AF628" s="1" t="s">
        <v>104</v>
      </c>
      <c r="AG628" s="1" t="s">
        <v>104</v>
      </c>
      <c r="AH628" s="1">
        <v>5</v>
      </c>
      <c r="AI628" s="1" t="s">
        <v>104</v>
      </c>
      <c r="AJ628" s="1" t="s">
        <v>104</v>
      </c>
      <c r="AK628" s="1" t="s">
        <v>104</v>
      </c>
      <c r="AL628" s="1" t="s">
        <v>104</v>
      </c>
      <c r="AM628" s="1" t="s">
        <v>104</v>
      </c>
      <c r="AO628" s="1">
        <v>5</v>
      </c>
      <c r="AQ628" s="1" t="s">
        <v>4263</v>
      </c>
      <c r="AR628" s="1">
        <v>0</v>
      </c>
      <c r="AS628" s="1">
        <v>0</v>
      </c>
      <c r="AT628" s="1">
        <v>0</v>
      </c>
      <c r="AU628" s="1">
        <v>0</v>
      </c>
      <c r="AV628" s="1">
        <v>0</v>
      </c>
      <c r="AW628" s="1">
        <v>0</v>
      </c>
      <c r="AX628" s="1">
        <v>0</v>
      </c>
      <c r="AY628" s="1">
        <v>0</v>
      </c>
      <c r="AZ628" s="1">
        <v>0</v>
      </c>
      <c r="BA628" s="1">
        <v>0</v>
      </c>
      <c r="BB628" s="1">
        <v>0</v>
      </c>
      <c r="BC628" s="1">
        <v>0</v>
      </c>
      <c r="BD628" s="1">
        <v>0</v>
      </c>
      <c r="BE628" s="1">
        <v>0</v>
      </c>
      <c r="BF628" s="1">
        <v>0</v>
      </c>
      <c r="BG628" s="1">
        <v>0</v>
      </c>
      <c r="BH628" s="1">
        <v>0</v>
      </c>
      <c r="BI628" s="1">
        <v>0</v>
      </c>
      <c r="BJ628" s="1">
        <v>0</v>
      </c>
      <c r="BK628" s="1">
        <v>0</v>
      </c>
      <c r="BL628" s="1">
        <v>0</v>
      </c>
      <c r="BM628" s="1">
        <v>0</v>
      </c>
      <c r="BN628" s="1">
        <v>0</v>
      </c>
      <c r="BO628" s="1">
        <v>0</v>
      </c>
      <c r="BP628" s="1">
        <v>0</v>
      </c>
      <c r="BQ628" s="2" t="str">
        <f>HYPERLINK("http://www.d20pfsrd.com/magic/all-spells/p/prying-eyes","Prying Eyes")</f>
        <v>Prying Eyes</v>
      </c>
      <c r="BR628" s="1">
        <v>637</v>
      </c>
      <c r="BS628" s="1" t="s">
        <v>104</v>
      </c>
      <c r="BT628" s="1" t="s">
        <v>4264</v>
      </c>
      <c r="BX628" s="1">
        <v>0</v>
      </c>
      <c r="BY628" s="1" t="s">
        <v>104</v>
      </c>
      <c r="BZ628" s="1" t="s">
        <v>104</v>
      </c>
      <c r="CA628" s="1">
        <v>5</v>
      </c>
      <c r="CB628" s="1" t="s">
        <v>104</v>
      </c>
      <c r="CC628" s="1">
        <v>5</v>
      </c>
      <c r="CD628" s="1">
        <v>5</v>
      </c>
      <c r="CE628" s="1">
        <v>5</v>
      </c>
      <c r="CF628" s="1" t="s">
        <v>104</v>
      </c>
      <c r="CG628" s="1" t="s">
        <v>104</v>
      </c>
      <c r="CH628" s="1" t="s">
        <v>104</v>
      </c>
      <c r="CJ628" s="1">
        <v>0</v>
      </c>
      <c r="CK628" s="1">
        <v>0</v>
      </c>
      <c r="CL628" s="1">
        <v>0</v>
      </c>
      <c r="CM628" s="1" t="s">
        <v>104</v>
      </c>
    </row>
    <row r="629" spans="1:91" ht="14.25" customHeight="1" x14ac:dyDescent="0.3">
      <c r="A629" s="1" t="s">
        <v>4265</v>
      </c>
      <c r="B629" s="1" t="s">
        <v>92</v>
      </c>
      <c r="C629" s="1" t="s">
        <v>903</v>
      </c>
      <c r="E629" s="1" t="s">
        <v>313</v>
      </c>
      <c r="F629" s="1" t="s">
        <v>95</v>
      </c>
      <c r="G629" s="1" t="s">
        <v>4266</v>
      </c>
      <c r="H629" s="1">
        <v>1</v>
      </c>
      <c r="I629" s="1" t="s">
        <v>145</v>
      </c>
      <c r="L629" s="1" t="s">
        <v>4267</v>
      </c>
      <c r="M629" s="1" t="s">
        <v>1457</v>
      </c>
      <c r="N629" s="1">
        <v>0</v>
      </c>
      <c r="O629" s="1">
        <v>0</v>
      </c>
      <c r="P629" s="1" t="s">
        <v>100</v>
      </c>
      <c r="Q629" s="1" t="s">
        <v>101</v>
      </c>
      <c r="R629" s="1" t="s">
        <v>4268</v>
      </c>
      <c r="S629" s="1" t="s">
        <v>103</v>
      </c>
      <c r="T629" s="1">
        <v>1</v>
      </c>
      <c r="U629" s="1">
        <v>1</v>
      </c>
      <c r="V629" s="1">
        <v>1</v>
      </c>
      <c r="W629" s="1">
        <v>0</v>
      </c>
      <c r="X629" s="1">
        <v>0</v>
      </c>
      <c r="Y629" s="1">
        <v>7</v>
      </c>
      <c r="Z629" s="1">
        <v>7</v>
      </c>
      <c r="AA629" s="1" t="s">
        <v>104</v>
      </c>
      <c r="AB629" s="1" t="s">
        <v>104</v>
      </c>
      <c r="AC629" s="1" t="s">
        <v>104</v>
      </c>
      <c r="AD629" s="1" t="s">
        <v>104</v>
      </c>
      <c r="AE629" s="1" t="s">
        <v>104</v>
      </c>
      <c r="AF629" s="1" t="s">
        <v>104</v>
      </c>
      <c r="AG629" s="1" t="s">
        <v>104</v>
      </c>
      <c r="AH629" s="1">
        <v>7</v>
      </c>
      <c r="AI629" s="1" t="s">
        <v>104</v>
      </c>
      <c r="AJ629" s="1" t="s">
        <v>104</v>
      </c>
      <c r="AK629" s="1" t="s">
        <v>104</v>
      </c>
      <c r="AL629" s="1" t="s">
        <v>104</v>
      </c>
      <c r="AM629" s="1" t="s">
        <v>104</v>
      </c>
      <c r="AO629" s="1">
        <v>7</v>
      </c>
      <c r="AP629" s="1" t="s">
        <v>4269</v>
      </c>
      <c r="AQ629" s="1" t="s">
        <v>4270</v>
      </c>
      <c r="AR629" s="1">
        <v>0</v>
      </c>
      <c r="AS629" s="1">
        <v>0</v>
      </c>
      <c r="AT629" s="1">
        <v>0</v>
      </c>
      <c r="AU629" s="1">
        <v>0</v>
      </c>
      <c r="AV629" s="1">
        <v>0</v>
      </c>
      <c r="AW629" s="1">
        <v>0</v>
      </c>
      <c r="AX629" s="1">
        <v>0</v>
      </c>
      <c r="AY629" s="1">
        <v>0</v>
      </c>
      <c r="AZ629" s="1">
        <v>0</v>
      </c>
      <c r="BA629" s="1">
        <v>0</v>
      </c>
      <c r="BB629" s="1">
        <v>0</v>
      </c>
      <c r="BC629" s="1">
        <v>0</v>
      </c>
      <c r="BD629" s="1">
        <v>0</v>
      </c>
      <c r="BE629" s="1">
        <v>0</v>
      </c>
      <c r="BF629" s="1">
        <v>0</v>
      </c>
      <c r="BG629" s="1">
        <v>0</v>
      </c>
      <c r="BH629" s="1">
        <v>0</v>
      </c>
      <c r="BI629" s="1">
        <v>0</v>
      </c>
      <c r="BJ629" s="1">
        <v>0</v>
      </c>
      <c r="BK629" s="1">
        <v>0</v>
      </c>
      <c r="BL629" s="1">
        <v>0</v>
      </c>
      <c r="BM629" s="1">
        <v>0</v>
      </c>
      <c r="BN629" s="1">
        <v>0</v>
      </c>
      <c r="BO629" s="1">
        <v>0</v>
      </c>
      <c r="BP629" s="1">
        <v>0</v>
      </c>
      <c r="BQ629" s="2" t="str">
        <f>HYPERLINK("http://www.d20pfsrd.com/magic/all-spells/i/instant-summons","Instant Summons")</f>
        <v>Instant Summons</v>
      </c>
      <c r="BR629" s="1">
        <v>638</v>
      </c>
      <c r="BS629" s="1">
        <v>1000</v>
      </c>
      <c r="BX629" s="1">
        <v>0</v>
      </c>
      <c r="BY629" s="1" t="s">
        <v>104</v>
      </c>
      <c r="BZ629" s="1" t="s">
        <v>104</v>
      </c>
      <c r="CA629" s="1">
        <v>7</v>
      </c>
      <c r="CB629" s="1" t="s">
        <v>104</v>
      </c>
      <c r="CC629" s="1" t="s">
        <v>104</v>
      </c>
      <c r="CD629" s="1" t="s">
        <v>104</v>
      </c>
      <c r="CE629" s="1" t="s">
        <v>104</v>
      </c>
      <c r="CF629" s="1" t="s">
        <v>104</v>
      </c>
      <c r="CG629" s="1" t="s">
        <v>104</v>
      </c>
      <c r="CH629" s="1" t="s">
        <v>104</v>
      </c>
      <c r="CJ629" s="1">
        <v>0</v>
      </c>
      <c r="CK629" s="1">
        <v>0</v>
      </c>
      <c r="CL629" s="1">
        <v>0</v>
      </c>
      <c r="CM629" s="1" t="s">
        <v>104</v>
      </c>
    </row>
    <row r="630" spans="1:91" ht="14.25" customHeight="1" x14ac:dyDescent="0.3">
      <c r="A630" s="1" t="s">
        <v>4271</v>
      </c>
      <c r="B630" s="1" t="s">
        <v>434</v>
      </c>
      <c r="E630" s="1" t="s">
        <v>4272</v>
      </c>
      <c r="F630" s="1" t="s">
        <v>287</v>
      </c>
      <c r="G630" s="1" t="s">
        <v>4273</v>
      </c>
      <c r="H630" s="1">
        <v>0</v>
      </c>
      <c r="I630" s="1" t="s">
        <v>128</v>
      </c>
      <c r="L630" s="1" t="s">
        <v>4274</v>
      </c>
      <c r="M630" s="1" t="s">
        <v>4275</v>
      </c>
      <c r="N630" s="1">
        <v>0</v>
      </c>
      <c r="O630" s="1">
        <v>0</v>
      </c>
      <c r="P630" s="1" t="s">
        <v>375</v>
      </c>
      <c r="Q630" s="1" t="s">
        <v>131</v>
      </c>
      <c r="R630" s="1" t="s">
        <v>4276</v>
      </c>
      <c r="S630" s="1" t="s">
        <v>4277</v>
      </c>
      <c r="T630" s="1">
        <v>1</v>
      </c>
      <c r="U630" s="1">
        <v>1</v>
      </c>
      <c r="V630" s="1">
        <v>0</v>
      </c>
      <c r="W630" s="1">
        <v>0</v>
      </c>
      <c r="X630" s="1">
        <v>0</v>
      </c>
      <c r="Y630" s="1" t="s">
        <v>104</v>
      </c>
      <c r="Z630" s="1" t="s">
        <v>104</v>
      </c>
      <c r="AA630" s="1">
        <v>5</v>
      </c>
      <c r="AB630" s="1" t="s">
        <v>104</v>
      </c>
      <c r="AC630" s="1" t="s">
        <v>104</v>
      </c>
      <c r="AD630" s="1" t="s">
        <v>104</v>
      </c>
      <c r="AE630" s="1" t="s">
        <v>104</v>
      </c>
      <c r="AF630" s="1" t="s">
        <v>104</v>
      </c>
      <c r="AG630" s="1" t="s">
        <v>104</v>
      </c>
      <c r="AH630" s="1" t="s">
        <v>104</v>
      </c>
      <c r="AI630" s="1" t="s">
        <v>104</v>
      </c>
      <c r="AJ630" s="1">
        <v>5</v>
      </c>
      <c r="AK630" s="1" t="s">
        <v>104</v>
      </c>
      <c r="AL630" s="1" t="s">
        <v>104</v>
      </c>
      <c r="AM630" s="1" t="s">
        <v>104</v>
      </c>
      <c r="AN630" s="1" t="s">
        <v>4278</v>
      </c>
      <c r="AO630" s="1">
        <v>5</v>
      </c>
      <c r="AR630" s="1">
        <v>0</v>
      </c>
      <c r="AS630" s="1">
        <v>0</v>
      </c>
      <c r="AT630" s="1">
        <v>0</v>
      </c>
      <c r="AU630" s="1">
        <v>0</v>
      </c>
      <c r="AV630" s="1">
        <v>0</v>
      </c>
      <c r="AW630" s="1">
        <v>0</v>
      </c>
      <c r="AX630" s="1">
        <v>0</v>
      </c>
      <c r="AY630" s="1">
        <v>0</v>
      </c>
      <c r="AZ630" s="1">
        <v>0</v>
      </c>
      <c r="BA630" s="1">
        <v>0</v>
      </c>
      <c r="BB630" s="1">
        <v>0</v>
      </c>
      <c r="BC630" s="1">
        <v>0</v>
      </c>
      <c r="BD630" s="1">
        <v>0</v>
      </c>
      <c r="BE630" s="1">
        <v>0</v>
      </c>
      <c r="BF630" s="1">
        <v>0</v>
      </c>
      <c r="BG630" s="1">
        <v>0</v>
      </c>
      <c r="BH630" s="1">
        <v>0</v>
      </c>
      <c r="BI630" s="1">
        <v>0</v>
      </c>
      <c r="BJ630" s="1">
        <v>0</v>
      </c>
      <c r="BK630" s="1">
        <v>0</v>
      </c>
      <c r="BL630" s="1">
        <v>0</v>
      </c>
      <c r="BM630" s="1">
        <v>0</v>
      </c>
      <c r="BN630" s="1">
        <v>0</v>
      </c>
      <c r="BO630" s="1">
        <v>0</v>
      </c>
      <c r="BP630" s="1">
        <v>0</v>
      </c>
      <c r="BQ630" s="2" t="str">
        <f>HYPERLINK("http://www.d20pfsrd.com/magic/all-spells/s/s/spellcasting-contract","Spellcasting Contract, Lesser")</f>
        <v>Spellcasting Contract, Lesser</v>
      </c>
      <c r="BR630" s="1">
        <v>641</v>
      </c>
      <c r="BS630" s="1" t="s">
        <v>104</v>
      </c>
      <c r="BX630" s="1">
        <v>0</v>
      </c>
      <c r="BY630" s="1" t="s">
        <v>104</v>
      </c>
      <c r="BZ630" s="1" t="s">
        <v>104</v>
      </c>
      <c r="CA630" s="1" t="s">
        <v>104</v>
      </c>
      <c r="CB630" s="1" t="s">
        <v>104</v>
      </c>
      <c r="CC630" s="1" t="s">
        <v>104</v>
      </c>
      <c r="CD630" s="1" t="s">
        <v>104</v>
      </c>
      <c r="CE630" s="1" t="s">
        <v>104</v>
      </c>
      <c r="CF630" s="1" t="s">
        <v>104</v>
      </c>
      <c r="CG630" s="1" t="s">
        <v>104</v>
      </c>
      <c r="CH630" s="1" t="s">
        <v>104</v>
      </c>
      <c r="CJ630" s="1">
        <v>0</v>
      </c>
      <c r="CK630" s="1">
        <v>0</v>
      </c>
      <c r="CL630" s="1">
        <v>0</v>
      </c>
      <c r="CM630" s="1" t="s">
        <v>104</v>
      </c>
    </row>
    <row r="631" spans="1:91" ht="14.25" customHeight="1" x14ac:dyDescent="0.3">
      <c r="A631" s="1" t="s">
        <v>4279</v>
      </c>
      <c r="B631" s="1" t="s">
        <v>434</v>
      </c>
      <c r="E631" s="1" t="s">
        <v>4280</v>
      </c>
      <c r="F631" s="1" t="s">
        <v>287</v>
      </c>
      <c r="G631" s="1" t="s">
        <v>4273</v>
      </c>
      <c r="H631" s="1">
        <v>0</v>
      </c>
      <c r="I631" s="1" t="s">
        <v>128</v>
      </c>
      <c r="L631" s="1" t="s">
        <v>4274</v>
      </c>
      <c r="M631" s="1" t="s">
        <v>4275</v>
      </c>
      <c r="N631" s="1">
        <v>0</v>
      </c>
      <c r="O631" s="1">
        <v>0</v>
      </c>
      <c r="P631" s="1" t="s">
        <v>375</v>
      </c>
      <c r="Q631" s="1" t="s">
        <v>131</v>
      </c>
      <c r="R631" s="1" t="s">
        <v>4281</v>
      </c>
      <c r="S631" s="1" t="s">
        <v>4277</v>
      </c>
      <c r="T631" s="1">
        <v>1</v>
      </c>
      <c r="U631" s="1">
        <v>1</v>
      </c>
      <c r="V631" s="1">
        <v>0</v>
      </c>
      <c r="W631" s="1">
        <v>0</v>
      </c>
      <c r="X631" s="1">
        <v>0</v>
      </c>
      <c r="Y631" s="1" t="s">
        <v>104</v>
      </c>
      <c r="Z631" s="1" t="s">
        <v>104</v>
      </c>
      <c r="AA631" s="1">
        <v>7</v>
      </c>
      <c r="AB631" s="1" t="s">
        <v>104</v>
      </c>
      <c r="AC631" s="1" t="s">
        <v>104</v>
      </c>
      <c r="AD631" s="1" t="s">
        <v>104</v>
      </c>
      <c r="AE631" s="1" t="s">
        <v>104</v>
      </c>
      <c r="AF631" s="1" t="s">
        <v>104</v>
      </c>
      <c r="AG631" s="1" t="s">
        <v>104</v>
      </c>
      <c r="AH631" s="1" t="s">
        <v>104</v>
      </c>
      <c r="AI631" s="1" t="s">
        <v>104</v>
      </c>
      <c r="AJ631" s="1">
        <v>7</v>
      </c>
      <c r="AK631" s="1" t="s">
        <v>104</v>
      </c>
      <c r="AL631" s="1" t="s">
        <v>104</v>
      </c>
      <c r="AM631" s="1" t="s">
        <v>104</v>
      </c>
      <c r="AN631" s="1" t="s">
        <v>4278</v>
      </c>
      <c r="AO631" s="1">
        <v>7</v>
      </c>
      <c r="AR631" s="1">
        <v>0</v>
      </c>
      <c r="AS631" s="1">
        <v>0</v>
      </c>
      <c r="AT631" s="1">
        <v>0</v>
      </c>
      <c r="AU631" s="1">
        <v>0</v>
      </c>
      <c r="AV631" s="1">
        <v>0</v>
      </c>
      <c r="AW631" s="1">
        <v>0</v>
      </c>
      <c r="AX631" s="1">
        <v>0</v>
      </c>
      <c r="AY631" s="1">
        <v>0</v>
      </c>
      <c r="AZ631" s="1">
        <v>0</v>
      </c>
      <c r="BA631" s="1">
        <v>0</v>
      </c>
      <c r="BB631" s="1">
        <v>0</v>
      </c>
      <c r="BC631" s="1">
        <v>0</v>
      </c>
      <c r="BD631" s="1">
        <v>0</v>
      </c>
      <c r="BE631" s="1">
        <v>0</v>
      </c>
      <c r="BF631" s="1">
        <v>0</v>
      </c>
      <c r="BG631" s="1">
        <v>0</v>
      </c>
      <c r="BH631" s="1">
        <v>0</v>
      </c>
      <c r="BI631" s="1">
        <v>0</v>
      </c>
      <c r="BJ631" s="1">
        <v>0</v>
      </c>
      <c r="BK631" s="1">
        <v>0</v>
      </c>
      <c r="BL631" s="1">
        <v>0</v>
      </c>
      <c r="BM631" s="1">
        <v>0</v>
      </c>
      <c r="BN631" s="1">
        <v>0</v>
      </c>
      <c r="BO631" s="1">
        <v>0</v>
      </c>
      <c r="BP631" s="1">
        <v>0</v>
      </c>
      <c r="BQ631" s="2" t="str">
        <f>HYPERLINK("http://www.d20pfsrd.com/magic/all-spells/s/s/spellcasting-contract","Spellcasting Contract")</f>
        <v>Spellcasting Contract</v>
      </c>
      <c r="BR631" s="1">
        <v>642</v>
      </c>
      <c r="BS631" s="1" t="s">
        <v>104</v>
      </c>
      <c r="BX631" s="1">
        <v>0</v>
      </c>
      <c r="BY631" s="1" t="s">
        <v>104</v>
      </c>
      <c r="BZ631" s="1" t="s">
        <v>104</v>
      </c>
      <c r="CA631" s="1" t="s">
        <v>104</v>
      </c>
      <c r="CB631" s="1" t="s">
        <v>104</v>
      </c>
      <c r="CC631" s="1" t="s">
        <v>104</v>
      </c>
      <c r="CD631" s="1" t="s">
        <v>104</v>
      </c>
      <c r="CE631" s="1" t="s">
        <v>104</v>
      </c>
      <c r="CF631" s="1" t="s">
        <v>104</v>
      </c>
      <c r="CG631" s="1" t="s">
        <v>104</v>
      </c>
      <c r="CH631" s="1" t="s">
        <v>104</v>
      </c>
      <c r="CJ631" s="1">
        <v>0</v>
      </c>
      <c r="CK631" s="1">
        <v>0</v>
      </c>
      <c r="CL631" s="1">
        <v>0</v>
      </c>
      <c r="CM631" s="1" t="s">
        <v>104</v>
      </c>
    </row>
    <row r="632" spans="1:91" ht="14.25" customHeight="1" x14ac:dyDescent="0.3">
      <c r="A632" s="1" t="s">
        <v>4282</v>
      </c>
      <c r="B632" s="1" t="s">
        <v>434</v>
      </c>
      <c r="E632" s="1" t="s">
        <v>2542</v>
      </c>
      <c r="F632" s="1" t="s">
        <v>287</v>
      </c>
      <c r="G632" s="1" t="s">
        <v>4273</v>
      </c>
      <c r="H632" s="1">
        <v>0</v>
      </c>
      <c r="I632" s="1" t="s">
        <v>128</v>
      </c>
      <c r="L632" s="1" t="s">
        <v>4274</v>
      </c>
      <c r="M632" s="1" t="s">
        <v>4275</v>
      </c>
      <c r="N632" s="1">
        <v>0</v>
      </c>
      <c r="O632" s="1">
        <v>0</v>
      </c>
      <c r="P632" s="1" t="s">
        <v>375</v>
      </c>
      <c r="Q632" s="1" t="s">
        <v>131</v>
      </c>
      <c r="R632" s="1" t="s">
        <v>4283</v>
      </c>
      <c r="S632" s="1" t="s">
        <v>4277</v>
      </c>
      <c r="T632" s="1">
        <v>1</v>
      </c>
      <c r="U632" s="1">
        <v>1</v>
      </c>
      <c r="V632" s="1">
        <v>0</v>
      </c>
      <c r="W632" s="1">
        <v>0</v>
      </c>
      <c r="X632" s="1">
        <v>0</v>
      </c>
      <c r="Y632" s="1" t="s">
        <v>104</v>
      </c>
      <c r="Z632" s="1" t="s">
        <v>104</v>
      </c>
      <c r="AA632" s="1">
        <v>9</v>
      </c>
      <c r="AB632" s="1" t="s">
        <v>104</v>
      </c>
      <c r="AC632" s="1" t="s">
        <v>104</v>
      </c>
      <c r="AD632" s="1" t="s">
        <v>104</v>
      </c>
      <c r="AE632" s="1" t="s">
        <v>104</v>
      </c>
      <c r="AF632" s="1" t="s">
        <v>104</v>
      </c>
      <c r="AG632" s="1" t="s">
        <v>104</v>
      </c>
      <c r="AH632" s="1" t="s">
        <v>104</v>
      </c>
      <c r="AI632" s="1" t="s">
        <v>104</v>
      </c>
      <c r="AJ632" s="1">
        <v>9</v>
      </c>
      <c r="AK632" s="1" t="s">
        <v>104</v>
      </c>
      <c r="AL632" s="1" t="s">
        <v>104</v>
      </c>
      <c r="AM632" s="1" t="s">
        <v>104</v>
      </c>
      <c r="AN632" s="1" t="s">
        <v>4278</v>
      </c>
      <c r="AO632" s="1">
        <v>9</v>
      </c>
      <c r="AR632" s="1">
        <v>0</v>
      </c>
      <c r="AS632" s="1">
        <v>0</v>
      </c>
      <c r="AT632" s="1">
        <v>0</v>
      </c>
      <c r="AU632" s="1">
        <v>0</v>
      </c>
      <c r="AV632" s="1">
        <v>0</v>
      </c>
      <c r="AW632" s="1">
        <v>0</v>
      </c>
      <c r="AX632" s="1">
        <v>0</v>
      </c>
      <c r="AY632" s="1">
        <v>0</v>
      </c>
      <c r="AZ632" s="1">
        <v>0</v>
      </c>
      <c r="BA632" s="1">
        <v>0</v>
      </c>
      <c r="BB632" s="1">
        <v>0</v>
      </c>
      <c r="BC632" s="1">
        <v>0</v>
      </c>
      <c r="BD632" s="1">
        <v>0</v>
      </c>
      <c r="BE632" s="1">
        <v>0</v>
      </c>
      <c r="BF632" s="1">
        <v>0</v>
      </c>
      <c r="BG632" s="1">
        <v>0</v>
      </c>
      <c r="BH632" s="1">
        <v>0</v>
      </c>
      <c r="BI632" s="1">
        <v>0</v>
      </c>
      <c r="BJ632" s="1">
        <v>0</v>
      </c>
      <c r="BK632" s="1">
        <v>0</v>
      </c>
      <c r="BL632" s="1">
        <v>0</v>
      </c>
      <c r="BM632" s="1">
        <v>0</v>
      </c>
      <c r="BN632" s="1">
        <v>0</v>
      </c>
      <c r="BO632" s="1">
        <v>0</v>
      </c>
      <c r="BP632" s="1">
        <v>0</v>
      </c>
      <c r="BQ632" s="2" t="str">
        <f>HYPERLINK("http://www.d20pfsrd.com/magic/all-spells/s/s/spellcasting-contract","Spellcasting Contract, Greater")</f>
        <v>Spellcasting Contract, Greater</v>
      </c>
      <c r="BR632" s="1">
        <v>643</v>
      </c>
      <c r="BS632" s="1" t="s">
        <v>104</v>
      </c>
      <c r="BX632" s="1">
        <v>0</v>
      </c>
      <c r="BY632" s="1" t="s">
        <v>104</v>
      </c>
      <c r="BZ632" s="1" t="s">
        <v>104</v>
      </c>
      <c r="CA632" s="1" t="s">
        <v>104</v>
      </c>
      <c r="CB632" s="1" t="s">
        <v>104</v>
      </c>
      <c r="CC632" s="1" t="s">
        <v>104</v>
      </c>
      <c r="CD632" s="1" t="s">
        <v>104</v>
      </c>
      <c r="CE632" s="1" t="s">
        <v>104</v>
      </c>
      <c r="CF632" s="1" t="s">
        <v>104</v>
      </c>
      <c r="CG632" s="1" t="s">
        <v>104</v>
      </c>
      <c r="CH632" s="1" t="s">
        <v>104</v>
      </c>
      <c r="CJ632" s="1">
        <v>0</v>
      </c>
      <c r="CK632" s="1">
        <v>0</v>
      </c>
      <c r="CL632" s="1">
        <v>0</v>
      </c>
      <c r="CM632" s="1" t="s">
        <v>104</v>
      </c>
    </row>
    <row r="633" spans="1:91" ht="14.25" customHeight="1" x14ac:dyDescent="0.3">
      <c r="A633" s="1" t="s">
        <v>4284</v>
      </c>
      <c r="B633" s="1" t="s">
        <v>172</v>
      </c>
      <c r="E633" s="1" t="s">
        <v>4285</v>
      </c>
      <c r="F633" s="1" t="s">
        <v>191</v>
      </c>
      <c r="G633" s="1" t="s">
        <v>4286</v>
      </c>
      <c r="H633" s="1">
        <v>0</v>
      </c>
      <c r="I633" s="1" t="s">
        <v>157</v>
      </c>
      <c r="L633" s="1" t="s">
        <v>158</v>
      </c>
      <c r="M633" s="1" t="s">
        <v>2330</v>
      </c>
      <c r="N633" s="1">
        <v>0</v>
      </c>
      <c r="O633" s="1">
        <v>0</v>
      </c>
      <c r="R633" s="1" t="s">
        <v>4287</v>
      </c>
      <c r="S633" s="1" t="s">
        <v>4288</v>
      </c>
      <c r="T633" s="1">
        <v>1</v>
      </c>
      <c r="U633" s="1">
        <v>1</v>
      </c>
      <c r="V633" s="1">
        <v>0</v>
      </c>
      <c r="W633" s="1">
        <v>0</v>
      </c>
      <c r="X633" s="1">
        <v>1</v>
      </c>
      <c r="Y633" s="1" t="s">
        <v>104</v>
      </c>
      <c r="Z633" s="1" t="s">
        <v>104</v>
      </c>
      <c r="AA633" s="1">
        <v>2</v>
      </c>
      <c r="AB633" s="1" t="s">
        <v>104</v>
      </c>
      <c r="AC633" s="1" t="s">
        <v>104</v>
      </c>
      <c r="AD633" s="1">
        <v>2</v>
      </c>
      <c r="AE633" s="1" t="s">
        <v>104</v>
      </c>
      <c r="AF633" s="1" t="s">
        <v>104</v>
      </c>
      <c r="AG633" s="1" t="s">
        <v>104</v>
      </c>
      <c r="AH633" s="1" t="s">
        <v>104</v>
      </c>
      <c r="AI633" s="1" t="s">
        <v>104</v>
      </c>
      <c r="AJ633" s="1">
        <v>2</v>
      </c>
      <c r="AK633" s="1" t="s">
        <v>104</v>
      </c>
      <c r="AL633" s="1" t="s">
        <v>104</v>
      </c>
      <c r="AM633" s="1" t="s">
        <v>104</v>
      </c>
      <c r="AO633" s="1">
        <v>2</v>
      </c>
      <c r="AR633" s="1">
        <v>0</v>
      </c>
      <c r="AS633" s="1">
        <v>0</v>
      </c>
      <c r="AT633" s="1">
        <v>0</v>
      </c>
      <c r="AU633" s="1">
        <v>0</v>
      </c>
      <c r="AV633" s="1">
        <v>0</v>
      </c>
      <c r="AW633" s="1">
        <v>0</v>
      </c>
      <c r="AX633" s="1">
        <v>0</v>
      </c>
      <c r="AY633" s="1">
        <v>0</v>
      </c>
      <c r="AZ633" s="1">
        <v>0</v>
      </c>
      <c r="BA633" s="1">
        <v>0</v>
      </c>
      <c r="BB633" s="1">
        <v>0</v>
      </c>
      <c r="BC633" s="1">
        <v>0</v>
      </c>
      <c r="BD633" s="1">
        <v>0</v>
      </c>
      <c r="BE633" s="1">
        <v>0</v>
      </c>
      <c r="BF633" s="1">
        <v>0</v>
      </c>
      <c r="BG633" s="1">
        <v>0</v>
      </c>
      <c r="BH633" s="1">
        <v>0</v>
      </c>
      <c r="BI633" s="1">
        <v>0</v>
      </c>
      <c r="BJ633" s="1">
        <v>0</v>
      </c>
      <c r="BK633" s="1">
        <v>0</v>
      </c>
      <c r="BL633" s="1">
        <v>0</v>
      </c>
      <c r="BM633" s="1">
        <v>0</v>
      </c>
      <c r="BN633" s="1">
        <v>0</v>
      </c>
      <c r="BO633" s="1">
        <v>0</v>
      </c>
      <c r="BP633" s="1">
        <v>0</v>
      </c>
      <c r="BQ633" s="2" t="str">
        <f>HYPERLINK("http://www.d20pfsrd.com/magic/all-spells/a/a/ancestral-communion","Ancestral Communion")</f>
        <v>Ancestral Communion</v>
      </c>
      <c r="BR633" s="1">
        <v>644</v>
      </c>
      <c r="BS633" s="1" t="s">
        <v>104</v>
      </c>
      <c r="BX633" s="1">
        <v>0</v>
      </c>
      <c r="BY633" s="1" t="s">
        <v>104</v>
      </c>
      <c r="BZ633" s="1" t="s">
        <v>104</v>
      </c>
      <c r="CA633" s="1" t="s">
        <v>104</v>
      </c>
      <c r="CB633" s="1" t="s">
        <v>104</v>
      </c>
      <c r="CC633" s="1" t="s">
        <v>104</v>
      </c>
      <c r="CD633" s="1" t="s">
        <v>104</v>
      </c>
      <c r="CE633" s="1" t="s">
        <v>104</v>
      </c>
      <c r="CF633" s="1" t="s">
        <v>104</v>
      </c>
      <c r="CG633" s="1" t="s">
        <v>104</v>
      </c>
      <c r="CH633" s="1" t="s">
        <v>104</v>
      </c>
      <c r="CJ633" s="1">
        <v>0</v>
      </c>
      <c r="CK633" s="1">
        <v>0</v>
      </c>
      <c r="CL633" s="1">
        <v>0</v>
      </c>
      <c r="CM633" s="1" t="s">
        <v>104</v>
      </c>
    </row>
    <row r="634" spans="1:91" ht="14.25" customHeight="1" x14ac:dyDescent="0.3">
      <c r="A634" s="1" t="s">
        <v>4289</v>
      </c>
      <c r="B634" s="1" t="s">
        <v>92</v>
      </c>
      <c r="C634" s="1" t="s">
        <v>903</v>
      </c>
      <c r="E634" s="1" t="s">
        <v>4290</v>
      </c>
      <c r="F634" s="1" t="s">
        <v>95</v>
      </c>
      <c r="G634" s="1" t="s">
        <v>4286</v>
      </c>
      <c r="H634" s="1">
        <v>0</v>
      </c>
      <c r="I634" s="1" t="s">
        <v>157</v>
      </c>
      <c r="K634" s="1" t="s">
        <v>4291</v>
      </c>
      <c r="M634" s="1" t="s">
        <v>4292</v>
      </c>
      <c r="N634" s="1">
        <v>0</v>
      </c>
      <c r="O634" s="1">
        <v>0</v>
      </c>
      <c r="R634" s="1" t="s">
        <v>4293</v>
      </c>
      <c r="S634" s="1" t="s">
        <v>4288</v>
      </c>
      <c r="T634" s="1">
        <v>1</v>
      </c>
      <c r="U634" s="1">
        <v>1</v>
      </c>
      <c r="V634" s="1">
        <v>0</v>
      </c>
      <c r="W634" s="1">
        <v>0</v>
      </c>
      <c r="X634" s="1">
        <v>1</v>
      </c>
      <c r="Y634" s="1" t="s">
        <v>104</v>
      </c>
      <c r="Z634" s="1" t="s">
        <v>104</v>
      </c>
      <c r="AA634" s="1">
        <v>4</v>
      </c>
      <c r="AB634" s="1" t="s">
        <v>104</v>
      </c>
      <c r="AC634" s="1" t="s">
        <v>104</v>
      </c>
      <c r="AD634" s="1">
        <v>4</v>
      </c>
      <c r="AE634" s="1" t="s">
        <v>104</v>
      </c>
      <c r="AF634" s="1" t="s">
        <v>104</v>
      </c>
      <c r="AG634" s="1" t="s">
        <v>104</v>
      </c>
      <c r="AH634" s="1" t="s">
        <v>104</v>
      </c>
      <c r="AI634" s="1" t="s">
        <v>104</v>
      </c>
      <c r="AJ634" s="1">
        <v>4</v>
      </c>
      <c r="AK634" s="1" t="s">
        <v>104</v>
      </c>
      <c r="AL634" s="1" t="s">
        <v>104</v>
      </c>
      <c r="AM634" s="1" t="s">
        <v>104</v>
      </c>
      <c r="AO634" s="1">
        <v>4</v>
      </c>
      <c r="AR634" s="1">
        <v>0</v>
      </c>
      <c r="AS634" s="1">
        <v>0</v>
      </c>
      <c r="AT634" s="1">
        <v>0</v>
      </c>
      <c r="AU634" s="1">
        <v>0</v>
      </c>
      <c r="AV634" s="1">
        <v>0</v>
      </c>
      <c r="AW634" s="1">
        <v>0</v>
      </c>
      <c r="AX634" s="1">
        <v>0</v>
      </c>
      <c r="AY634" s="1">
        <v>0</v>
      </c>
      <c r="AZ634" s="1">
        <v>0</v>
      </c>
      <c r="BA634" s="1">
        <v>0</v>
      </c>
      <c r="BB634" s="1">
        <v>0</v>
      </c>
      <c r="BC634" s="1">
        <v>0</v>
      </c>
      <c r="BD634" s="1">
        <v>0</v>
      </c>
      <c r="BE634" s="1">
        <v>0</v>
      </c>
      <c r="BF634" s="1">
        <v>0</v>
      </c>
      <c r="BG634" s="1">
        <v>0</v>
      </c>
      <c r="BH634" s="1">
        <v>0</v>
      </c>
      <c r="BI634" s="1">
        <v>0</v>
      </c>
      <c r="BJ634" s="1">
        <v>0</v>
      </c>
      <c r="BK634" s="1">
        <v>0</v>
      </c>
      <c r="BL634" s="1">
        <v>0</v>
      </c>
      <c r="BM634" s="1">
        <v>0</v>
      </c>
      <c r="BN634" s="1">
        <v>0</v>
      </c>
      <c r="BO634" s="1">
        <v>0</v>
      </c>
      <c r="BP634" s="1">
        <v>0</v>
      </c>
      <c r="BQ634" s="2" t="str">
        <f>HYPERLINK("http://www.d20pfsrd.com/magic/all-spells/a/a/ancestral-gift","Ancestral Gift")</f>
        <v>Ancestral Gift</v>
      </c>
      <c r="BR634" s="1">
        <v>645</v>
      </c>
      <c r="BS634" s="1" t="s">
        <v>104</v>
      </c>
      <c r="BX634" s="1">
        <v>0</v>
      </c>
      <c r="BY634" s="1" t="s">
        <v>104</v>
      </c>
      <c r="BZ634" s="1" t="s">
        <v>104</v>
      </c>
      <c r="CA634" s="1" t="s">
        <v>104</v>
      </c>
      <c r="CB634" s="1" t="s">
        <v>104</v>
      </c>
      <c r="CC634" s="1" t="s">
        <v>104</v>
      </c>
      <c r="CD634" s="1" t="s">
        <v>104</v>
      </c>
      <c r="CE634" s="1" t="s">
        <v>104</v>
      </c>
      <c r="CF634" s="1" t="s">
        <v>104</v>
      </c>
      <c r="CG634" s="1" t="s">
        <v>104</v>
      </c>
      <c r="CH634" s="1" t="s">
        <v>104</v>
      </c>
      <c r="CJ634" s="1">
        <v>0</v>
      </c>
      <c r="CK634" s="1">
        <v>0</v>
      </c>
      <c r="CL634" s="1">
        <v>0</v>
      </c>
      <c r="CM634" s="1" t="s">
        <v>104</v>
      </c>
    </row>
    <row r="635" spans="1:91" ht="14.25" customHeight="1" x14ac:dyDescent="0.3">
      <c r="A635" s="1" t="s">
        <v>4294</v>
      </c>
      <c r="B635" s="1" t="s">
        <v>92</v>
      </c>
      <c r="C635" s="1" t="s">
        <v>903</v>
      </c>
      <c r="E635" s="1" t="s">
        <v>4295</v>
      </c>
      <c r="F635" s="1" t="s">
        <v>95</v>
      </c>
      <c r="G635" s="1" t="s">
        <v>4286</v>
      </c>
      <c r="H635" s="1">
        <v>0</v>
      </c>
      <c r="I635" s="1" t="s">
        <v>109</v>
      </c>
      <c r="K635" s="1" t="s">
        <v>4296</v>
      </c>
      <c r="M635" s="1" t="s">
        <v>111</v>
      </c>
      <c r="N635" s="1">
        <v>1</v>
      </c>
      <c r="O635" s="1">
        <v>0</v>
      </c>
      <c r="P635" s="1" t="s">
        <v>100</v>
      </c>
      <c r="Q635" s="1" t="s">
        <v>184</v>
      </c>
      <c r="R635" s="1" t="s">
        <v>4297</v>
      </c>
      <c r="S635" s="1" t="s">
        <v>4288</v>
      </c>
      <c r="T635" s="1">
        <v>1</v>
      </c>
      <c r="U635" s="1">
        <v>1</v>
      </c>
      <c r="V635" s="1">
        <v>0</v>
      </c>
      <c r="W635" s="1">
        <v>0</v>
      </c>
      <c r="X635" s="1">
        <v>1</v>
      </c>
      <c r="Y635" s="1" t="s">
        <v>104</v>
      </c>
      <c r="Z635" s="1" t="s">
        <v>104</v>
      </c>
      <c r="AA635" s="1">
        <v>3</v>
      </c>
      <c r="AB635" s="1" t="s">
        <v>104</v>
      </c>
      <c r="AC635" s="1" t="s">
        <v>104</v>
      </c>
      <c r="AD635" s="1">
        <v>3</v>
      </c>
      <c r="AE635" s="1" t="s">
        <v>104</v>
      </c>
      <c r="AF635" s="1" t="s">
        <v>104</v>
      </c>
      <c r="AG635" s="1" t="s">
        <v>104</v>
      </c>
      <c r="AH635" s="1" t="s">
        <v>104</v>
      </c>
      <c r="AI635" s="1" t="s">
        <v>104</v>
      </c>
      <c r="AJ635" s="1">
        <v>3</v>
      </c>
      <c r="AK635" s="1" t="s">
        <v>104</v>
      </c>
      <c r="AL635" s="1" t="s">
        <v>104</v>
      </c>
      <c r="AM635" s="1" t="s">
        <v>104</v>
      </c>
      <c r="AO635" s="1">
        <v>3</v>
      </c>
      <c r="AR635" s="1">
        <v>0</v>
      </c>
      <c r="AS635" s="1">
        <v>0</v>
      </c>
      <c r="AT635" s="1">
        <v>0</v>
      </c>
      <c r="AU635" s="1">
        <v>0</v>
      </c>
      <c r="AV635" s="1">
        <v>0</v>
      </c>
      <c r="AW635" s="1">
        <v>0</v>
      </c>
      <c r="AX635" s="1">
        <v>0</v>
      </c>
      <c r="AY635" s="1">
        <v>0</v>
      </c>
      <c r="AZ635" s="1">
        <v>0</v>
      </c>
      <c r="BA635" s="1">
        <v>0</v>
      </c>
      <c r="BB635" s="1">
        <v>0</v>
      </c>
      <c r="BC635" s="1">
        <v>0</v>
      </c>
      <c r="BD635" s="1">
        <v>0</v>
      </c>
      <c r="BE635" s="1">
        <v>0</v>
      </c>
      <c r="BF635" s="1">
        <v>0</v>
      </c>
      <c r="BG635" s="1">
        <v>0</v>
      </c>
      <c r="BH635" s="1">
        <v>0</v>
      </c>
      <c r="BI635" s="1">
        <v>0</v>
      </c>
      <c r="BJ635" s="1">
        <v>0</v>
      </c>
      <c r="BK635" s="1">
        <v>0</v>
      </c>
      <c r="BL635" s="1">
        <v>0</v>
      </c>
      <c r="BM635" s="1">
        <v>0</v>
      </c>
      <c r="BN635" s="1">
        <v>0</v>
      </c>
      <c r="BO635" s="1">
        <v>0</v>
      </c>
      <c r="BP635" s="1">
        <v>0</v>
      </c>
      <c r="BQ635" s="2" t="str">
        <f>HYPERLINK("http://www.d20pfsrd.com/magic/all-spells/s/s/summon-ancestral-guardian","Summon Ancestral Guardian")</f>
        <v>Summon Ancestral Guardian</v>
      </c>
      <c r="BR635" s="1">
        <v>646</v>
      </c>
      <c r="BS635" s="1" t="s">
        <v>104</v>
      </c>
      <c r="BX635" s="1">
        <v>0</v>
      </c>
      <c r="BY635" s="1" t="s">
        <v>104</v>
      </c>
      <c r="BZ635" s="1" t="s">
        <v>104</v>
      </c>
      <c r="CA635" s="1" t="s">
        <v>104</v>
      </c>
      <c r="CB635" s="1" t="s">
        <v>104</v>
      </c>
      <c r="CC635" s="1" t="s">
        <v>104</v>
      </c>
      <c r="CD635" s="1" t="s">
        <v>104</v>
      </c>
      <c r="CE635" s="1" t="s">
        <v>104</v>
      </c>
      <c r="CF635" s="1" t="s">
        <v>104</v>
      </c>
      <c r="CG635" s="1" t="s">
        <v>104</v>
      </c>
      <c r="CH635" s="1" t="s">
        <v>104</v>
      </c>
      <c r="CJ635" s="1">
        <v>0</v>
      </c>
      <c r="CK635" s="1">
        <v>0</v>
      </c>
      <c r="CL635" s="1">
        <v>0</v>
      </c>
      <c r="CM635" s="1" t="s">
        <v>104</v>
      </c>
    </row>
    <row r="636" spans="1:91" ht="14.25" customHeight="1" x14ac:dyDescent="0.3">
      <c r="A636" s="1" t="s">
        <v>4298</v>
      </c>
      <c r="B636" s="1" t="s">
        <v>172</v>
      </c>
      <c r="E636" s="1" t="s">
        <v>4299</v>
      </c>
      <c r="F636" s="1" t="s">
        <v>95</v>
      </c>
      <c r="G636" s="1" t="s">
        <v>127</v>
      </c>
      <c r="H636" s="1">
        <v>0</v>
      </c>
      <c r="I636" s="1" t="s">
        <v>128</v>
      </c>
      <c r="L636" s="1" t="s">
        <v>374</v>
      </c>
      <c r="M636" s="1" t="s">
        <v>581</v>
      </c>
      <c r="N636" s="1">
        <v>1</v>
      </c>
      <c r="O636" s="1">
        <v>0</v>
      </c>
      <c r="P636" s="1" t="s">
        <v>375</v>
      </c>
      <c r="Q636" s="1" t="s">
        <v>131</v>
      </c>
      <c r="R636" s="1" t="s">
        <v>4300</v>
      </c>
      <c r="S636" s="1" t="s">
        <v>4288</v>
      </c>
      <c r="T636" s="1">
        <v>1</v>
      </c>
      <c r="U636" s="1">
        <v>1</v>
      </c>
      <c r="V636" s="1">
        <v>0</v>
      </c>
      <c r="W636" s="1">
        <v>0</v>
      </c>
      <c r="X636" s="1">
        <v>1</v>
      </c>
      <c r="Y636" s="1" t="s">
        <v>104</v>
      </c>
      <c r="Z636" s="1" t="s">
        <v>104</v>
      </c>
      <c r="AA636" s="1" t="s">
        <v>104</v>
      </c>
      <c r="AB636" s="1">
        <v>4</v>
      </c>
      <c r="AC636" s="1">
        <v>3</v>
      </c>
      <c r="AD636" s="1" t="s">
        <v>104</v>
      </c>
      <c r="AE636" s="1" t="s">
        <v>104</v>
      </c>
      <c r="AF636" s="1" t="s">
        <v>104</v>
      </c>
      <c r="AG636" s="1" t="s">
        <v>104</v>
      </c>
      <c r="AH636" s="1" t="s">
        <v>104</v>
      </c>
      <c r="AI636" s="1" t="s">
        <v>104</v>
      </c>
      <c r="AJ636" s="1" t="s">
        <v>104</v>
      </c>
      <c r="AK636" s="1" t="s">
        <v>104</v>
      </c>
      <c r="AL636" s="1" t="s">
        <v>104</v>
      </c>
      <c r="AM636" s="1" t="s">
        <v>104</v>
      </c>
      <c r="AO636" s="1">
        <v>4</v>
      </c>
      <c r="AR636" s="1">
        <v>0</v>
      </c>
      <c r="AS636" s="1">
        <v>0</v>
      </c>
      <c r="AT636" s="1">
        <v>0</v>
      </c>
      <c r="AU636" s="1">
        <v>0</v>
      </c>
      <c r="AV636" s="1">
        <v>0</v>
      </c>
      <c r="AW636" s="1">
        <v>0</v>
      </c>
      <c r="AX636" s="1">
        <v>0</v>
      </c>
      <c r="AY636" s="1">
        <v>0</v>
      </c>
      <c r="AZ636" s="1">
        <v>0</v>
      </c>
      <c r="BA636" s="1">
        <v>0</v>
      </c>
      <c r="BB636" s="1">
        <v>0</v>
      </c>
      <c r="BC636" s="1">
        <v>0</v>
      </c>
      <c r="BD636" s="1">
        <v>0</v>
      </c>
      <c r="BE636" s="1">
        <v>0</v>
      </c>
      <c r="BF636" s="1">
        <v>0</v>
      </c>
      <c r="BG636" s="1">
        <v>0</v>
      </c>
      <c r="BH636" s="1">
        <v>0</v>
      </c>
      <c r="BI636" s="1">
        <v>0</v>
      </c>
      <c r="BJ636" s="1">
        <v>0</v>
      </c>
      <c r="BK636" s="1">
        <v>0</v>
      </c>
      <c r="BL636" s="1">
        <v>0</v>
      </c>
      <c r="BM636" s="1">
        <v>0</v>
      </c>
      <c r="BN636" s="1">
        <v>0</v>
      </c>
      <c r="BO636" s="1">
        <v>0</v>
      </c>
      <c r="BP636" s="1">
        <v>0</v>
      </c>
      <c r="BQ636" s="2" t="str">
        <f>HYPERLINK("http://www.d20pfsrd.com/magic/all-spells/s/s/see-through-stone","See Through Stone")</f>
        <v>See Through Stone</v>
      </c>
      <c r="BR636" s="1">
        <v>647</v>
      </c>
      <c r="BS636" s="1" t="s">
        <v>104</v>
      </c>
      <c r="BX636" s="1">
        <v>0</v>
      </c>
      <c r="BY636" s="1" t="s">
        <v>104</v>
      </c>
      <c r="BZ636" s="1" t="s">
        <v>104</v>
      </c>
      <c r="CA636" s="1" t="s">
        <v>104</v>
      </c>
      <c r="CB636" s="1" t="s">
        <v>104</v>
      </c>
      <c r="CC636" s="1" t="s">
        <v>104</v>
      </c>
      <c r="CD636" s="1" t="s">
        <v>104</v>
      </c>
      <c r="CE636" s="1" t="s">
        <v>104</v>
      </c>
      <c r="CF636" s="1" t="s">
        <v>104</v>
      </c>
      <c r="CG636" s="1" t="s">
        <v>104</v>
      </c>
      <c r="CH636" s="1">
        <v>3</v>
      </c>
      <c r="CJ636" s="1">
        <v>0</v>
      </c>
      <c r="CK636" s="1">
        <v>0</v>
      </c>
      <c r="CL636" s="1">
        <v>0</v>
      </c>
      <c r="CM636" s="1" t="s">
        <v>104</v>
      </c>
    </row>
    <row r="637" spans="1:91" ht="14.25" customHeight="1" x14ac:dyDescent="0.3">
      <c r="A637" s="1" t="s">
        <v>4301</v>
      </c>
      <c r="B637" s="1" t="s">
        <v>137</v>
      </c>
      <c r="E637" s="1" t="s">
        <v>4214</v>
      </c>
      <c r="F637" s="1" t="s">
        <v>191</v>
      </c>
      <c r="G637" s="1" t="s">
        <v>4302</v>
      </c>
      <c r="H637" s="1">
        <v>0</v>
      </c>
      <c r="I637" s="1" t="s">
        <v>128</v>
      </c>
      <c r="L637" s="1" t="s">
        <v>479</v>
      </c>
      <c r="M637" s="1" t="s">
        <v>298</v>
      </c>
      <c r="N637" s="1">
        <v>0</v>
      </c>
      <c r="O637" s="1">
        <v>0</v>
      </c>
      <c r="P637" s="1" t="s">
        <v>100</v>
      </c>
      <c r="Q637" s="1" t="s">
        <v>101</v>
      </c>
      <c r="R637" s="1" t="s">
        <v>4303</v>
      </c>
      <c r="S637" s="1" t="s">
        <v>4288</v>
      </c>
      <c r="T637" s="1">
        <v>1</v>
      </c>
      <c r="U637" s="1">
        <v>1</v>
      </c>
      <c r="V637" s="1">
        <v>1</v>
      </c>
      <c r="W637" s="1">
        <v>0</v>
      </c>
      <c r="X637" s="1">
        <v>0</v>
      </c>
      <c r="Y637" s="1">
        <v>3</v>
      </c>
      <c r="Z637" s="1">
        <v>3</v>
      </c>
      <c r="AA637" s="1" t="s">
        <v>104</v>
      </c>
      <c r="AB637" s="1" t="s">
        <v>104</v>
      </c>
      <c r="AC637" s="1" t="s">
        <v>104</v>
      </c>
      <c r="AD637" s="1" t="s">
        <v>104</v>
      </c>
      <c r="AE637" s="1" t="s">
        <v>104</v>
      </c>
      <c r="AF637" s="1" t="s">
        <v>104</v>
      </c>
      <c r="AG637" s="1" t="s">
        <v>104</v>
      </c>
      <c r="AH637" s="1" t="s">
        <v>104</v>
      </c>
      <c r="AI637" s="1" t="s">
        <v>104</v>
      </c>
      <c r="AJ637" s="1" t="s">
        <v>104</v>
      </c>
      <c r="AK637" s="1" t="s">
        <v>104</v>
      </c>
      <c r="AL637" s="1" t="s">
        <v>104</v>
      </c>
      <c r="AM637" s="1" t="s">
        <v>104</v>
      </c>
      <c r="AO637" s="1">
        <v>3</v>
      </c>
      <c r="AR637" s="1">
        <v>0</v>
      </c>
      <c r="AS637" s="1">
        <v>0</v>
      </c>
      <c r="AT637" s="1">
        <v>0</v>
      </c>
      <c r="AU637" s="1">
        <v>0</v>
      </c>
      <c r="AV637" s="1">
        <v>0</v>
      </c>
      <c r="AW637" s="1">
        <v>0</v>
      </c>
      <c r="AX637" s="1">
        <v>0</v>
      </c>
      <c r="AY637" s="1">
        <v>0</v>
      </c>
      <c r="AZ637" s="1">
        <v>0</v>
      </c>
      <c r="BA637" s="1">
        <v>0</v>
      </c>
      <c r="BB637" s="1">
        <v>0</v>
      </c>
      <c r="BC637" s="1">
        <v>0</v>
      </c>
      <c r="BD637" s="1">
        <v>0</v>
      </c>
      <c r="BE637" s="1">
        <v>0</v>
      </c>
      <c r="BF637" s="1">
        <v>0</v>
      </c>
      <c r="BG637" s="1">
        <v>0</v>
      </c>
      <c r="BH637" s="1">
        <v>0</v>
      </c>
      <c r="BI637" s="1">
        <v>0</v>
      </c>
      <c r="BJ637" s="1">
        <v>0</v>
      </c>
      <c r="BK637" s="1">
        <v>0</v>
      </c>
      <c r="BL637" s="1">
        <v>0</v>
      </c>
      <c r="BM637" s="1">
        <v>0</v>
      </c>
      <c r="BN637" s="1">
        <v>0</v>
      </c>
      <c r="BO637" s="1">
        <v>0</v>
      </c>
      <c r="BP637" s="1">
        <v>0</v>
      </c>
      <c r="BQ637" s="2" t="str">
        <f>HYPERLINK("http://www.d20pfsrd.com/magic/all-spells/r/r/rune-of-durability","Rune of Durability")</f>
        <v>Rune of Durability</v>
      </c>
      <c r="BR637" s="1">
        <v>648</v>
      </c>
      <c r="BS637" s="1" t="s">
        <v>104</v>
      </c>
      <c r="BX637" s="1">
        <v>0</v>
      </c>
      <c r="BY637" s="1" t="s">
        <v>104</v>
      </c>
      <c r="BZ637" s="1" t="s">
        <v>104</v>
      </c>
      <c r="CA637" s="1" t="s">
        <v>104</v>
      </c>
      <c r="CB637" s="1" t="s">
        <v>104</v>
      </c>
      <c r="CC637" s="1" t="s">
        <v>104</v>
      </c>
      <c r="CD637" s="1" t="s">
        <v>104</v>
      </c>
      <c r="CE637" s="1" t="s">
        <v>104</v>
      </c>
      <c r="CF637" s="1" t="s">
        <v>104</v>
      </c>
      <c r="CG637" s="1" t="s">
        <v>104</v>
      </c>
      <c r="CH637" s="1" t="s">
        <v>104</v>
      </c>
      <c r="CJ637" s="1">
        <v>0</v>
      </c>
      <c r="CK637" s="1">
        <v>0</v>
      </c>
      <c r="CL637" s="1">
        <v>0</v>
      </c>
      <c r="CM637" s="1" t="s">
        <v>104</v>
      </c>
    </row>
    <row r="638" spans="1:91" ht="14.25" customHeight="1" x14ac:dyDescent="0.3">
      <c r="A638" s="1" t="s">
        <v>4304</v>
      </c>
      <c r="B638" s="1" t="s">
        <v>162</v>
      </c>
      <c r="E638" s="1" t="s">
        <v>4214</v>
      </c>
      <c r="F638" s="1" t="s">
        <v>273</v>
      </c>
      <c r="G638" s="1" t="s">
        <v>4305</v>
      </c>
      <c r="H638" s="1">
        <v>1</v>
      </c>
      <c r="I638" s="1" t="s">
        <v>128</v>
      </c>
      <c r="L638" s="1" t="s">
        <v>4306</v>
      </c>
      <c r="M638" s="1" t="s">
        <v>1457</v>
      </c>
      <c r="N638" s="1">
        <v>1</v>
      </c>
      <c r="O638" s="1">
        <v>0</v>
      </c>
      <c r="P638" s="1" t="s">
        <v>550</v>
      </c>
      <c r="Q638" s="1" t="s">
        <v>4307</v>
      </c>
      <c r="R638" s="1" t="s">
        <v>4308</v>
      </c>
      <c r="S638" s="1" t="s">
        <v>4288</v>
      </c>
      <c r="T638" s="1">
        <v>1</v>
      </c>
      <c r="U638" s="1">
        <v>1</v>
      </c>
      <c r="V638" s="1">
        <v>1</v>
      </c>
      <c r="W638" s="1">
        <v>0</v>
      </c>
      <c r="X638" s="1">
        <v>0</v>
      </c>
      <c r="Y638" s="1">
        <v>3</v>
      </c>
      <c r="Z638" s="1">
        <v>3</v>
      </c>
      <c r="AA638" s="1" t="s">
        <v>104</v>
      </c>
      <c r="AB638" s="1" t="s">
        <v>104</v>
      </c>
      <c r="AC638" s="1" t="s">
        <v>104</v>
      </c>
      <c r="AD638" s="1" t="s">
        <v>104</v>
      </c>
      <c r="AE638" s="1" t="s">
        <v>104</v>
      </c>
      <c r="AF638" s="1" t="s">
        <v>104</v>
      </c>
      <c r="AG638" s="1" t="s">
        <v>104</v>
      </c>
      <c r="AH638" s="1" t="s">
        <v>104</v>
      </c>
      <c r="AI638" s="1" t="s">
        <v>104</v>
      </c>
      <c r="AJ638" s="1" t="s">
        <v>104</v>
      </c>
      <c r="AK638" s="1" t="s">
        <v>104</v>
      </c>
      <c r="AL638" s="1" t="s">
        <v>104</v>
      </c>
      <c r="AM638" s="1" t="s">
        <v>104</v>
      </c>
      <c r="AO638" s="1">
        <v>3</v>
      </c>
      <c r="AR638" s="1">
        <v>0</v>
      </c>
      <c r="AS638" s="1">
        <v>0</v>
      </c>
      <c r="AT638" s="1">
        <v>0</v>
      </c>
      <c r="AU638" s="1">
        <v>0</v>
      </c>
      <c r="AV638" s="1">
        <v>0</v>
      </c>
      <c r="AW638" s="1">
        <v>0</v>
      </c>
      <c r="AX638" s="1">
        <v>0</v>
      </c>
      <c r="AY638" s="1">
        <v>0</v>
      </c>
      <c r="AZ638" s="1">
        <v>0</v>
      </c>
      <c r="BA638" s="1">
        <v>0</v>
      </c>
      <c r="BB638" s="1">
        <v>0</v>
      </c>
      <c r="BC638" s="1">
        <v>0</v>
      </c>
      <c r="BD638" s="1">
        <v>0</v>
      </c>
      <c r="BE638" s="1">
        <v>0</v>
      </c>
      <c r="BF638" s="1">
        <v>0</v>
      </c>
      <c r="BG638" s="1">
        <v>0</v>
      </c>
      <c r="BH638" s="1">
        <v>0</v>
      </c>
      <c r="BI638" s="1">
        <v>0</v>
      </c>
      <c r="BJ638" s="1">
        <v>0</v>
      </c>
      <c r="BK638" s="1">
        <v>0</v>
      </c>
      <c r="BL638" s="1">
        <v>0</v>
      </c>
      <c r="BM638" s="1">
        <v>0</v>
      </c>
      <c r="BN638" s="1">
        <v>0</v>
      </c>
      <c r="BO638" s="1">
        <v>0</v>
      </c>
      <c r="BP638" s="1">
        <v>0</v>
      </c>
      <c r="BQ638" s="2" t="str">
        <f>HYPERLINK("http://www.d20pfsrd.com/magic/all-spells/r/r/rune-of-warding","Rune of Warding")</f>
        <v>Rune of Warding</v>
      </c>
      <c r="BR638" s="1">
        <v>649</v>
      </c>
      <c r="BS638" s="1">
        <v>200</v>
      </c>
      <c r="BX638" s="1">
        <v>0</v>
      </c>
      <c r="BY638" s="1" t="s">
        <v>104</v>
      </c>
      <c r="BZ638" s="1" t="s">
        <v>104</v>
      </c>
      <c r="CA638" s="1" t="s">
        <v>104</v>
      </c>
      <c r="CB638" s="1" t="s">
        <v>104</v>
      </c>
      <c r="CC638" s="1" t="s">
        <v>104</v>
      </c>
      <c r="CD638" s="1" t="s">
        <v>104</v>
      </c>
      <c r="CE638" s="1" t="s">
        <v>104</v>
      </c>
      <c r="CF638" s="1" t="s">
        <v>104</v>
      </c>
      <c r="CG638" s="1" t="s">
        <v>104</v>
      </c>
      <c r="CH638" s="1" t="s">
        <v>104</v>
      </c>
      <c r="CJ638" s="1">
        <v>0</v>
      </c>
      <c r="CK638" s="1">
        <v>0</v>
      </c>
      <c r="CL638" s="1">
        <v>0</v>
      </c>
      <c r="CM638" s="1" t="s">
        <v>104</v>
      </c>
    </row>
    <row r="639" spans="1:91" ht="14.25" customHeight="1" x14ac:dyDescent="0.3">
      <c r="A639" s="1" t="s">
        <v>4309</v>
      </c>
      <c r="B639" s="1" t="s">
        <v>92</v>
      </c>
      <c r="C639" s="1" t="s">
        <v>93</v>
      </c>
      <c r="D639" s="1" t="s">
        <v>54</v>
      </c>
      <c r="E639" s="1" t="s">
        <v>4310</v>
      </c>
      <c r="F639" s="1" t="s">
        <v>287</v>
      </c>
      <c r="G639" s="1" t="s">
        <v>4311</v>
      </c>
      <c r="H639" s="1">
        <v>0</v>
      </c>
      <c r="I639" s="1" t="s">
        <v>128</v>
      </c>
      <c r="K639" s="1" t="s">
        <v>4312</v>
      </c>
      <c r="M639" s="1" t="s">
        <v>4313</v>
      </c>
      <c r="N639" s="1">
        <v>0</v>
      </c>
      <c r="O639" s="1">
        <v>0</v>
      </c>
      <c r="P639" s="1" t="s">
        <v>100</v>
      </c>
      <c r="Q639" s="1" t="s">
        <v>101</v>
      </c>
      <c r="R639" s="1" t="s">
        <v>4314</v>
      </c>
      <c r="S639" s="1" t="s">
        <v>4315</v>
      </c>
      <c r="T639" s="1">
        <v>1</v>
      </c>
      <c r="U639" s="1">
        <v>1</v>
      </c>
      <c r="V639" s="1">
        <v>1</v>
      </c>
      <c r="W639" s="1">
        <v>0</v>
      </c>
      <c r="X639" s="1">
        <v>0</v>
      </c>
      <c r="Y639" s="1">
        <v>6</v>
      </c>
      <c r="Z639" s="1">
        <v>6</v>
      </c>
      <c r="AA639" s="1">
        <v>6</v>
      </c>
      <c r="AB639" s="1" t="s">
        <v>104</v>
      </c>
      <c r="AC639" s="1" t="s">
        <v>104</v>
      </c>
      <c r="AD639" s="1" t="s">
        <v>104</v>
      </c>
      <c r="AE639" s="1" t="s">
        <v>104</v>
      </c>
      <c r="AF639" s="1" t="s">
        <v>104</v>
      </c>
      <c r="AG639" s="1" t="s">
        <v>104</v>
      </c>
      <c r="AH639" s="1" t="s">
        <v>104</v>
      </c>
      <c r="AI639" s="1" t="s">
        <v>104</v>
      </c>
      <c r="AJ639" s="1">
        <v>6</v>
      </c>
      <c r="AK639" s="1" t="s">
        <v>104</v>
      </c>
      <c r="AL639" s="1" t="s">
        <v>104</v>
      </c>
      <c r="AM639" s="1" t="s">
        <v>104</v>
      </c>
      <c r="AO639" s="1">
        <v>6</v>
      </c>
      <c r="AR639" s="1">
        <v>0</v>
      </c>
      <c r="AS639" s="1">
        <v>0</v>
      </c>
      <c r="AT639" s="1">
        <v>0</v>
      </c>
      <c r="AU639" s="1">
        <v>0</v>
      </c>
      <c r="AV639" s="1">
        <v>0</v>
      </c>
      <c r="AW639" s="1">
        <v>0</v>
      </c>
      <c r="AX639" s="1">
        <v>0</v>
      </c>
      <c r="AY639" s="1">
        <v>0</v>
      </c>
      <c r="AZ639" s="1">
        <v>0</v>
      </c>
      <c r="BA639" s="1">
        <v>0</v>
      </c>
      <c r="BB639" s="1">
        <v>0</v>
      </c>
      <c r="BC639" s="1">
        <v>1</v>
      </c>
      <c r="BD639" s="1">
        <v>0</v>
      </c>
      <c r="BE639" s="1">
        <v>0</v>
      </c>
      <c r="BF639" s="1">
        <v>0</v>
      </c>
      <c r="BG639" s="1">
        <v>0</v>
      </c>
      <c r="BH639" s="1">
        <v>0</v>
      </c>
      <c r="BI639" s="1">
        <v>0</v>
      </c>
      <c r="BJ639" s="1">
        <v>0</v>
      </c>
      <c r="BK639" s="1">
        <v>0</v>
      </c>
      <c r="BL639" s="1">
        <v>0</v>
      </c>
      <c r="BM639" s="1">
        <v>0</v>
      </c>
      <c r="BN639" s="1">
        <v>0</v>
      </c>
      <c r="BO639" s="1">
        <v>0</v>
      </c>
      <c r="BP639" s="1">
        <v>0</v>
      </c>
      <c r="BQ639" s="2" t="str">
        <f>HYPERLINK("http://www.d20pfsrd.com/magic/all-spells/g/g/genius-avaricious","Genius Avaricious")</f>
        <v>Genius Avaricious</v>
      </c>
      <c r="BR639" s="1">
        <v>654</v>
      </c>
      <c r="BS639" s="1" t="s">
        <v>104</v>
      </c>
      <c r="BX639" s="1">
        <v>0</v>
      </c>
      <c r="BY639" s="1" t="s">
        <v>104</v>
      </c>
      <c r="BZ639" s="1" t="s">
        <v>104</v>
      </c>
      <c r="CA639" s="1" t="s">
        <v>104</v>
      </c>
      <c r="CB639" s="1" t="s">
        <v>104</v>
      </c>
      <c r="CC639" s="1" t="s">
        <v>104</v>
      </c>
      <c r="CD639" s="1" t="s">
        <v>104</v>
      </c>
      <c r="CE639" s="1" t="s">
        <v>104</v>
      </c>
      <c r="CF639" s="1" t="s">
        <v>104</v>
      </c>
      <c r="CG639" s="1" t="s">
        <v>104</v>
      </c>
      <c r="CH639" s="1" t="s">
        <v>104</v>
      </c>
      <c r="CJ639" s="1">
        <v>0</v>
      </c>
      <c r="CK639" s="1">
        <v>0</v>
      </c>
      <c r="CL639" s="1">
        <v>0</v>
      </c>
      <c r="CM639" s="1" t="s">
        <v>104</v>
      </c>
    </row>
    <row r="640" spans="1:91" ht="14.25" customHeight="1" x14ac:dyDescent="0.3">
      <c r="A640" s="1" t="s">
        <v>4316</v>
      </c>
      <c r="B640" s="1" t="s">
        <v>162</v>
      </c>
      <c r="E640" s="1" t="s">
        <v>4317</v>
      </c>
      <c r="F640" s="1" t="s">
        <v>95</v>
      </c>
      <c r="G640" s="1" t="s">
        <v>127</v>
      </c>
      <c r="H640" s="1">
        <v>0</v>
      </c>
      <c r="I640" s="1" t="s">
        <v>128</v>
      </c>
      <c r="L640" s="1" t="s">
        <v>374</v>
      </c>
      <c r="M640" s="1" t="s">
        <v>3604</v>
      </c>
      <c r="N640" s="1">
        <v>0</v>
      </c>
      <c r="O640" s="1">
        <v>0</v>
      </c>
      <c r="P640" s="1" t="s">
        <v>1058</v>
      </c>
      <c r="Q640" s="1" t="s">
        <v>131</v>
      </c>
      <c r="R640" s="1" t="s">
        <v>4318</v>
      </c>
      <c r="S640" s="1" t="s">
        <v>103</v>
      </c>
      <c r="T640" s="1">
        <v>1</v>
      </c>
      <c r="U640" s="1">
        <v>1</v>
      </c>
      <c r="V640" s="1">
        <v>0</v>
      </c>
      <c r="W640" s="1">
        <v>0</v>
      </c>
      <c r="X640" s="1">
        <v>1</v>
      </c>
      <c r="Y640" s="1">
        <v>3</v>
      </c>
      <c r="Z640" s="1">
        <v>3</v>
      </c>
      <c r="AA640" s="1">
        <v>3</v>
      </c>
      <c r="AB640" s="1">
        <v>3</v>
      </c>
      <c r="AC640" s="1">
        <v>2</v>
      </c>
      <c r="AD640" s="1" t="s">
        <v>104</v>
      </c>
      <c r="AE640" s="1" t="s">
        <v>104</v>
      </c>
      <c r="AF640" s="1">
        <v>3</v>
      </c>
      <c r="AG640" s="1">
        <v>3</v>
      </c>
      <c r="AH640" s="1" t="s">
        <v>104</v>
      </c>
      <c r="AI640" s="1">
        <v>3</v>
      </c>
      <c r="AJ640" s="1">
        <v>3</v>
      </c>
      <c r="AK640" s="1" t="s">
        <v>104</v>
      </c>
      <c r="AL640" s="1" t="s">
        <v>104</v>
      </c>
      <c r="AM640" s="1" t="s">
        <v>104</v>
      </c>
      <c r="AO640" s="1">
        <v>3</v>
      </c>
      <c r="AP640" s="1" t="s">
        <v>4319</v>
      </c>
      <c r="AQ640" s="1" t="s">
        <v>4320</v>
      </c>
      <c r="AR640" s="1">
        <v>0</v>
      </c>
      <c r="AS640" s="1">
        <v>0</v>
      </c>
      <c r="AT640" s="1">
        <v>0</v>
      </c>
      <c r="AU640" s="1">
        <v>0</v>
      </c>
      <c r="AV640" s="1">
        <v>0</v>
      </c>
      <c r="AW640" s="1">
        <v>0</v>
      </c>
      <c r="AX640" s="1">
        <v>0</v>
      </c>
      <c r="AY640" s="1">
        <v>0</v>
      </c>
      <c r="AZ640" s="1">
        <v>0</v>
      </c>
      <c r="BA640" s="1">
        <v>0</v>
      </c>
      <c r="BB640" s="1">
        <v>0</v>
      </c>
      <c r="BC640" s="1">
        <v>0</v>
      </c>
      <c r="BD640" s="1">
        <v>0</v>
      </c>
      <c r="BE640" s="1">
        <v>0</v>
      </c>
      <c r="BF640" s="1">
        <v>0</v>
      </c>
      <c r="BG640" s="1">
        <v>0</v>
      </c>
      <c r="BH640" s="1">
        <v>0</v>
      </c>
      <c r="BI640" s="1">
        <v>0</v>
      </c>
      <c r="BJ640" s="1">
        <v>0</v>
      </c>
      <c r="BK640" s="1">
        <v>0</v>
      </c>
      <c r="BL640" s="1">
        <v>0</v>
      </c>
      <c r="BM640" s="1">
        <v>0</v>
      </c>
      <c r="BN640" s="1">
        <v>0</v>
      </c>
      <c r="BO640" s="1">
        <v>0</v>
      </c>
      <c r="BP640" s="1">
        <v>0</v>
      </c>
      <c r="BQ640" s="2" t="str">
        <f>HYPERLINK("http://www.d20pfsrd.com/magic/all-spells/p/protection-from-energy","Protection from Energy")</f>
        <v>Protection from Energy</v>
      </c>
      <c r="BR640" s="1">
        <v>655</v>
      </c>
      <c r="BS640" s="1" t="s">
        <v>104</v>
      </c>
      <c r="BT640" s="1" t="s">
        <v>4321</v>
      </c>
      <c r="BU640" s="1" t="s">
        <v>4322</v>
      </c>
      <c r="BX640" s="1">
        <v>0</v>
      </c>
      <c r="BY640" s="1">
        <v>3</v>
      </c>
      <c r="BZ640" s="1">
        <v>3</v>
      </c>
      <c r="CA640" s="1">
        <v>3</v>
      </c>
      <c r="CB640" s="1" t="s">
        <v>104</v>
      </c>
      <c r="CC640" s="1" t="s">
        <v>104</v>
      </c>
      <c r="CD640" s="1">
        <v>3</v>
      </c>
      <c r="CE640" s="1">
        <v>3</v>
      </c>
      <c r="CF640" s="1" t="s">
        <v>104</v>
      </c>
      <c r="CG640" s="1" t="s">
        <v>104</v>
      </c>
      <c r="CH640" s="1">
        <v>2</v>
      </c>
      <c r="CJ640" s="1">
        <v>0</v>
      </c>
      <c r="CK640" s="1">
        <v>0</v>
      </c>
      <c r="CL640" s="1">
        <v>0</v>
      </c>
      <c r="CM640" s="1">
        <v>3</v>
      </c>
    </row>
    <row r="641" spans="1:91" ht="14.25" customHeight="1" x14ac:dyDescent="0.3">
      <c r="A641" s="1" t="s">
        <v>4323</v>
      </c>
      <c r="B641" s="1" t="s">
        <v>92</v>
      </c>
      <c r="C641" s="1" t="s">
        <v>2732</v>
      </c>
      <c r="E641" s="1" t="s">
        <v>4324</v>
      </c>
      <c r="F641" s="1" t="s">
        <v>4199</v>
      </c>
      <c r="G641" s="1" t="s">
        <v>116</v>
      </c>
      <c r="H641" s="1">
        <v>0</v>
      </c>
      <c r="I641" s="1" t="s">
        <v>97</v>
      </c>
      <c r="L641" s="1" t="s">
        <v>4325</v>
      </c>
      <c r="M641" s="1" t="s">
        <v>1457</v>
      </c>
      <c r="N641" s="1">
        <v>0</v>
      </c>
      <c r="O641" s="1">
        <v>0</v>
      </c>
      <c r="P641" s="1" t="s">
        <v>100</v>
      </c>
      <c r="Q641" s="1" t="s">
        <v>101</v>
      </c>
      <c r="R641" s="1" t="s">
        <v>4326</v>
      </c>
      <c r="S641" s="1" t="s">
        <v>4327</v>
      </c>
      <c r="T641" s="1">
        <v>1</v>
      </c>
      <c r="U641" s="1">
        <v>1</v>
      </c>
      <c r="V641" s="1">
        <v>0</v>
      </c>
      <c r="W641" s="1">
        <v>0</v>
      </c>
      <c r="X641" s="1">
        <v>0</v>
      </c>
      <c r="Y641" s="1">
        <v>2</v>
      </c>
      <c r="Z641" s="1">
        <v>2</v>
      </c>
      <c r="AA641" s="1" t="s">
        <v>104</v>
      </c>
      <c r="AB641" s="1" t="s">
        <v>104</v>
      </c>
      <c r="AC641" s="1" t="s">
        <v>104</v>
      </c>
      <c r="AD641" s="1">
        <v>2</v>
      </c>
      <c r="AE641" s="1" t="s">
        <v>104</v>
      </c>
      <c r="AF641" s="1" t="s">
        <v>104</v>
      </c>
      <c r="AG641" s="1" t="s">
        <v>104</v>
      </c>
      <c r="AH641" s="1" t="s">
        <v>104</v>
      </c>
      <c r="AI641" s="1" t="s">
        <v>104</v>
      </c>
      <c r="AJ641" s="1" t="s">
        <v>104</v>
      </c>
      <c r="AK641" s="1" t="s">
        <v>104</v>
      </c>
      <c r="AL641" s="1" t="s">
        <v>104</v>
      </c>
      <c r="AM641" s="1" t="s">
        <v>104</v>
      </c>
      <c r="AO641" s="1">
        <v>2</v>
      </c>
      <c r="AR641" s="1">
        <v>0</v>
      </c>
      <c r="AS641" s="1">
        <v>0</v>
      </c>
      <c r="AT641" s="1">
        <v>0</v>
      </c>
      <c r="AU641" s="1">
        <v>0</v>
      </c>
      <c r="AV641" s="1">
        <v>0</v>
      </c>
      <c r="AW641" s="1">
        <v>0</v>
      </c>
      <c r="AX641" s="1">
        <v>0</v>
      </c>
      <c r="AY641" s="1">
        <v>0</v>
      </c>
      <c r="AZ641" s="1">
        <v>0</v>
      </c>
      <c r="BA641" s="1">
        <v>0</v>
      </c>
      <c r="BB641" s="1">
        <v>0</v>
      </c>
      <c r="BC641" s="1">
        <v>0</v>
      </c>
      <c r="BD641" s="1">
        <v>0</v>
      </c>
      <c r="BE641" s="1">
        <v>0</v>
      </c>
      <c r="BF641" s="1">
        <v>0</v>
      </c>
      <c r="BG641" s="1">
        <v>0</v>
      </c>
      <c r="BH641" s="1">
        <v>0</v>
      </c>
      <c r="BI641" s="1">
        <v>0</v>
      </c>
      <c r="BJ641" s="1">
        <v>0</v>
      </c>
      <c r="BK641" s="1">
        <v>0</v>
      </c>
      <c r="BL641" s="1">
        <v>0</v>
      </c>
      <c r="BM641" s="1">
        <v>0</v>
      </c>
      <c r="BN641" s="1">
        <v>0</v>
      </c>
      <c r="BO641" s="1">
        <v>0</v>
      </c>
      <c r="BP641" s="1">
        <v>0</v>
      </c>
      <c r="BQ641" s="1" t="s">
        <v>104</v>
      </c>
      <c r="BR641" s="1">
        <v>657</v>
      </c>
      <c r="BS641" s="1" t="s">
        <v>104</v>
      </c>
      <c r="BX641" s="1">
        <v>0</v>
      </c>
      <c r="BY641" s="1" t="s">
        <v>104</v>
      </c>
      <c r="BZ641" s="1" t="s">
        <v>104</v>
      </c>
      <c r="CA641" s="1" t="s">
        <v>104</v>
      </c>
      <c r="CB641" s="1" t="s">
        <v>104</v>
      </c>
      <c r="CC641" s="1" t="s">
        <v>104</v>
      </c>
      <c r="CD641" s="1" t="s">
        <v>104</v>
      </c>
      <c r="CE641" s="1" t="s">
        <v>104</v>
      </c>
      <c r="CF641" s="1" t="s">
        <v>104</v>
      </c>
      <c r="CG641" s="1" t="s">
        <v>104</v>
      </c>
      <c r="CH641" s="1" t="s">
        <v>104</v>
      </c>
      <c r="CJ641" s="1">
        <v>0</v>
      </c>
      <c r="CK641" s="1">
        <v>0</v>
      </c>
      <c r="CL641" s="1">
        <v>0</v>
      </c>
      <c r="CM641" s="1" t="s">
        <v>104</v>
      </c>
    </row>
    <row r="642" spans="1:91" ht="14.25" customHeight="1" x14ac:dyDescent="0.3">
      <c r="A642" s="1" t="s">
        <v>4328</v>
      </c>
      <c r="B642" s="1" t="s">
        <v>172</v>
      </c>
      <c r="C642" s="1" t="s">
        <v>285</v>
      </c>
      <c r="E642" s="1" t="s">
        <v>4214</v>
      </c>
      <c r="F642" s="1" t="s">
        <v>273</v>
      </c>
      <c r="G642" s="1" t="s">
        <v>4329</v>
      </c>
      <c r="H642" s="1">
        <v>1</v>
      </c>
      <c r="I642" s="1" t="s">
        <v>145</v>
      </c>
      <c r="M642" s="1" t="s">
        <v>2330</v>
      </c>
      <c r="N642" s="1">
        <v>0</v>
      </c>
      <c r="O642" s="1">
        <v>0</v>
      </c>
      <c r="P642" s="1" t="s">
        <v>100</v>
      </c>
      <c r="Q642" s="1" t="s">
        <v>101</v>
      </c>
      <c r="R642" s="1" t="s">
        <v>4330</v>
      </c>
      <c r="S642" s="1" t="s">
        <v>4327</v>
      </c>
      <c r="T642" s="1">
        <v>1</v>
      </c>
      <c r="U642" s="1">
        <v>1</v>
      </c>
      <c r="V642" s="1">
        <v>0</v>
      </c>
      <c r="W642" s="1">
        <v>0</v>
      </c>
      <c r="X642" s="1">
        <v>0</v>
      </c>
      <c r="Y642" s="1">
        <v>3</v>
      </c>
      <c r="Z642" s="1">
        <v>3</v>
      </c>
      <c r="AA642" s="1" t="s">
        <v>104</v>
      </c>
      <c r="AB642" s="1" t="s">
        <v>104</v>
      </c>
      <c r="AC642" s="1" t="s">
        <v>104</v>
      </c>
      <c r="AD642" s="1" t="s">
        <v>104</v>
      </c>
      <c r="AE642" s="1" t="s">
        <v>104</v>
      </c>
      <c r="AF642" s="1" t="s">
        <v>104</v>
      </c>
      <c r="AG642" s="1" t="s">
        <v>104</v>
      </c>
      <c r="AH642" s="1" t="s">
        <v>104</v>
      </c>
      <c r="AI642" s="1" t="s">
        <v>104</v>
      </c>
      <c r="AJ642" s="1" t="s">
        <v>104</v>
      </c>
      <c r="AK642" s="1" t="s">
        <v>104</v>
      </c>
      <c r="AL642" s="1" t="s">
        <v>104</v>
      </c>
      <c r="AM642" s="1" t="s">
        <v>104</v>
      </c>
      <c r="AO642" s="1">
        <v>3</v>
      </c>
      <c r="AR642" s="1">
        <v>0</v>
      </c>
      <c r="AS642" s="1">
        <v>0</v>
      </c>
      <c r="AT642" s="1">
        <v>0</v>
      </c>
      <c r="AU642" s="1">
        <v>0</v>
      </c>
      <c r="AV642" s="1">
        <v>0</v>
      </c>
      <c r="AW642" s="1">
        <v>0</v>
      </c>
      <c r="AX642" s="1">
        <v>0</v>
      </c>
      <c r="AY642" s="1">
        <v>0</v>
      </c>
      <c r="AZ642" s="1">
        <v>0</v>
      </c>
      <c r="BA642" s="1">
        <v>0</v>
      </c>
      <c r="BB642" s="1">
        <v>0</v>
      </c>
      <c r="BC642" s="1">
        <v>0</v>
      </c>
      <c r="BD642" s="1">
        <v>0</v>
      </c>
      <c r="BE642" s="1">
        <v>0</v>
      </c>
      <c r="BF642" s="1">
        <v>0</v>
      </c>
      <c r="BG642" s="1">
        <v>0</v>
      </c>
      <c r="BH642" s="1">
        <v>0</v>
      </c>
      <c r="BI642" s="1">
        <v>0</v>
      </c>
      <c r="BJ642" s="1">
        <v>0</v>
      </c>
      <c r="BK642" s="1">
        <v>0</v>
      </c>
      <c r="BL642" s="1">
        <v>0</v>
      </c>
      <c r="BM642" s="1">
        <v>0</v>
      </c>
      <c r="BN642" s="1">
        <v>0</v>
      </c>
      <c r="BO642" s="1">
        <v>0</v>
      </c>
      <c r="BP642" s="1">
        <v>0</v>
      </c>
      <c r="BQ642" s="1" t="s">
        <v>104</v>
      </c>
      <c r="BR642" s="1">
        <v>658</v>
      </c>
      <c r="BS642" s="1">
        <v>50</v>
      </c>
      <c r="BX642" s="1">
        <v>0</v>
      </c>
      <c r="BY642" s="1" t="s">
        <v>104</v>
      </c>
      <c r="BZ642" s="1" t="s">
        <v>104</v>
      </c>
      <c r="CA642" s="1" t="s">
        <v>104</v>
      </c>
      <c r="CB642" s="1" t="s">
        <v>104</v>
      </c>
      <c r="CC642" s="1" t="s">
        <v>104</v>
      </c>
      <c r="CD642" s="1" t="s">
        <v>104</v>
      </c>
      <c r="CE642" s="1" t="s">
        <v>104</v>
      </c>
      <c r="CF642" s="1" t="s">
        <v>104</v>
      </c>
      <c r="CG642" s="1" t="s">
        <v>104</v>
      </c>
      <c r="CH642" s="1" t="s">
        <v>104</v>
      </c>
      <c r="CJ642" s="1">
        <v>0</v>
      </c>
      <c r="CK642" s="1">
        <v>0</v>
      </c>
      <c r="CL642" s="1">
        <v>0</v>
      </c>
      <c r="CM642" s="1" t="s">
        <v>104</v>
      </c>
    </row>
    <row r="643" spans="1:91" ht="14.25" customHeight="1" x14ac:dyDescent="0.3">
      <c r="A643" s="1" t="s">
        <v>4331</v>
      </c>
      <c r="B643" s="1" t="s">
        <v>507</v>
      </c>
      <c r="C643" s="1" t="s">
        <v>1308</v>
      </c>
      <c r="D643" s="1" t="s">
        <v>125</v>
      </c>
      <c r="E643" s="1" t="s">
        <v>4214</v>
      </c>
      <c r="F643" s="1" t="s">
        <v>95</v>
      </c>
      <c r="G643" s="1" t="s">
        <v>116</v>
      </c>
      <c r="H643" s="1">
        <v>0</v>
      </c>
      <c r="I643" s="1" t="s">
        <v>128</v>
      </c>
      <c r="L643" s="1" t="s">
        <v>479</v>
      </c>
      <c r="M643" s="1" t="s">
        <v>4332</v>
      </c>
      <c r="N643" s="1">
        <v>0</v>
      </c>
      <c r="O643" s="1">
        <v>0</v>
      </c>
      <c r="P643" s="1" t="s">
        <v>4333</v>
      </c>
      <c r="Q643" s="1" t="s">
        <v>184</v>
      </c>
      <c r="R643" s="1" t="s">
        <v>4334</v>
      </c>
      <c r="S643" s="1" t="s">
        <v>4335</v>
      </c>
      <c r="T643" s="1">
        <v>1</v>
      </c>
      <c r="U643" s="1">
        <v>1</v>
      </c>
      <c r="V643" s="1">
        <v>0</v>
      </c>
      <c r="W643" s="1">
        <v>0</v>
      </c>
      <c r="X643" s="1">
        <v>0</v>
      </c>
      <c r="Y643" s="1">
        <v>3</v>
      </c>
      <c r="Z643" s="1">
        <v>3</v>
      </c>
      <c r="AA643" s="1" t="s">
        <v>104</v>
      </c>
      <c r="AB643" s="1" t="s">
        <v>104</v>
      </c>
      <c r="AC643" s="1" t="s">
        <v>104</v>
      </c>
      <c r="AD643" s="1" t="s">
        <v>104</v>
      </c>
      <c r="AE643" s="1" t="s">
        <v>104</v>
      </c>
      <c r="AF643" s="1" t="s">
        <v>104</v>
      </c>
      <c r="AG643" s="1" t="s">
        <v>104</v>
      </c>
      <c r="AH643" s="1" t="s">
        <v>104</v>
      </c>
      <c r="AI643" s="1" t="s">
        <v>104</v>
      </c>
      <c r="AJ643" s="1" t="s">
        <v>104</v>
      </c>
      <c r="AK643" s="1" t="s">
        <v>104</v>
      </c>
      <c r="AL643" s="1" t="s">
        <v>104</v>
      </c>
      <c r="AM643" s="1" t="s">
        <v>104</v>
      </c>
      <c r="AO643" s="1">
        <v>3</v>
      </c>
      <c r="AR643" s="1">
        <v>0</v>
      </c>
      <c r="AS643" s="1">
        <v>0</v>
      </c>
      <c r="AT643" s="1">
        <v>0</v>
      </c>
      <c r="AU643" s="1">
        <v>0</v>
      </c>
      <c r="AV643" s="1">
        <v>0</v>
      </c>
      <c r="AW643" s="1">
        <v>0</v>
      </c>
      <c r="AX643" s="1">
        <v>0</v>
      </c>
      <c r="AY643" s="1">
        <v>0</v>
      </c>
      <c r="AZ643" s="1">
        <v>0</v>
      </c>
      <c r="BA643" s="1">
        <v>0</v>
      </c>
      <c r="BB643" s="1">
        <v>0</v>
      </c>
      <c r="BC643" s="1">
        <v>0</v>
      </c>
      <c r="BD643" s="1">
        <v>0</v>
      </c>
      <c r="BE643" s="1">
        <v>0</v>
      </c>
      <c r="BF643" s="1">
        <v>0</v>
      </c>
      <c r="BG643" s="1">
        <v>0</v>
      </c>
      <c r="BH643" s="1">
        <v>0</v>
      </c>
      <c r="BI643" s="1">
        <v>0</v>
      </c>
      <c r="BJ643" s="1">
        <v>0</v>
      </c>
      <c r="BK643" s="1">
        <v>1</v>
      </c>
      <c r="BL643" s="1">
        <v>0</v>
      </c>
      <c r="BM643" s="1">
        <v>0</v>
      </c>
      <c r="BN643" s="1">
        <v>0</v>
      </c>
      <c r="BO643" s="1">
        <v>0</v>
      </c>
      <c r="BP643" s="1">
        <v>0</v>
      </c>
      <c r="BQ643" s="2" t="str">
        <f>HYPERLINK("http://www.d20pfsrd.com/magic/all-spells/i/i/illusory-poison","Illusory Poison")</f>
        <v>Illusory Poison</v>
      </c>
      <c r="BR643" s="1">
        <v>659</v>
      </c>
      <c r="BS643" s="1" t="s">
        <v>104</v>
      </c>
      <c r="BX643" s="1">
        <v>0</v>
      </c>
      <c r="BY643" s="1" t="s">
        <v>104</v>
      </c>
      <c r="BZ643" s="1" t="s">
        <v>104</v>
      </c>
      <c r="CA643" s="1" t="s">
        <v>104</v>
      </c>
      <c r="CB643" s="1" t="s">
        <v>104</v>
      </c>
      <c r="CC643" s="1" t="s">
        <v>104</v>
      </c>
      <c r="CD643" s="1" t="s">
        <v>104</v>
      </c>
      <c r="CE643" s="1" t="s">
        <v>104</v>
      </c>
      <c r="CF643" s="1" t="s">
        <v>104</v>
      </c>
      <c r="CG643" s="1" t="s">
        <v>104</v>
      </c>
      <c r="CH643" s="1" t="s">
        <v>104</v>
      </c>
      <c r="CJ643" s="1">
        <v>0</v>
      </c>
      <c r="CK643" s="1">
        <v>0</v>
      </c>
      <c r="CL643" s="1">
        <v>0</v>
      </c>
      <c r="CM643" s="1" t="s">
        <v>104</v>
      </c>
    </row>
    <row r="644" spans="1:91" ht="14.25" customHeight="1" x14ac:dyDescent="0.3">
      <c r="A644" s="1" t="s">
        <v>4336</v>
      </c>
      <c r="B644" s="1" t="s">
        <v>137</v>
      </c>
      <c r="E644" s="1" t="s">
        <v>4214</v>
      </c>
      <c r="F644" s="1" t="s">
        <v>255</v>
      </c>
      <c r="G644" s="1" t="s">
        <v>116</v>
      </c>
      <c r="H644" s="1">
        <v>0</v>
      </c>
      <c r="I644" s="1" t="s">
        <v>157</v>
      </c>
      <c r="L644" s="1" t="s">
        <v>158</v>
      </c>
      <c r="M644" s="1" t="s">
        <v>4337</v>
      </c>
      <c r="N644" s="1">
        <v>0</v>
      </c>
      <c r="O644" s="1">
        <v>0</v>
      </c>
      <c r="R644" s="1" t="s">
        <v>4338</v>
      </c>
      <c r="S644" s="1" t="s">
        <v>4339</v>
      </c>
      <c r="T644" s="1">
        <v>1</v>
      </c>
      <c r="U644" s="1">
        <v>1</v>
      </c>
      <c r="V644" s="1">
        <v>0</v>
      </c>
      <c r="W644" s="1">
        <v>0</v>
      </c>
      <c r="X644" s="1">
        <v>0</v>
      </c>
      <c r="Y644" s="1">
        <v>3</v>
      </c>
      <c r="Z644" s="1">
        <v>3</v>
      </c>
      <c r="AA644" s="1" t="s">
        <v>104</v>
      </c>
      <c r="AB644" s="1" t="s">
        <v>104</v>
      </c>
      <c r="AC644" s="1" t="s">
        <v>104</v>
      </c>
      <c r="AD644" s="1" t="s">
        <v>104</v>
      </c>
      <c r="AE644" s="1" t="s">
        <v>104</v>
      </c>
      <c r="AF644" s="1" t="s">
        <v>104</v>
      </c>
      <c r="AG644" s="1" t="s">
        <v>104</v>
      </c>
      <c r="AH644" s="1" t="s">
        <v>104</v>
      </c>
      <c r="AI644" s="1" t="s">
        <v>104</v>
      </c>
      <c r="AJ644" s="1" t="s">
        <v>104</v>
      </c>
      <c r="AK644" s="1" t="s">
        <v>104</v>
      </c>
      <c r="AL644" s="1" t="s">
        <v>104</v>
      </c>
      <c r="AM644" s="1" t="s">
        <v>104</v>
      </c>
      <c r="AO644" s="1">
        <v>3</v>
      </c>
      <c r="AR644" s="1">
        <v>0</v>
      </c>
      <c r="AS644" s="1">
        <v>0</v>
      </c>
      <c r="AT644" s="1">
        <v>0</v>
      </c>
      <c r="AU644" s="1">
        <v>0</v>
      </c>
      <c r="AV644" s="1">
        <v>0</v>
      </c>
      <c r="AW644" s="1">
        <v>0</v>
      </c>
      <c r="AX644" s="1">
        <v>0</v>
      </c>
      <c r="AY644" s="1">
        <v>0</v>
      </c>
      <c r="AZ644" s="1">
        <v>0</v>
      </c>
      <c r="BA644" s="1">
        <v>0</v>
      </c>
      <c r="BB644" s="1">
        <v>0</v>
      </c>
      <c r="BC644" s="1">
        <v>0</v>
      </c>
      <c r="BD644" s="1">
        <v>0</v>
      </c>
      <c r="BE644" s="1">
        <v>0</v>
      </c>
      <c r="BF644" s="1">
        <v>0</v>
      </c>
      <c r="BG644" s="1">
        <v>0</v>
      </c>
      <c r="BH644" s="1">
        <v>0</v>
      </c>
      <c r="BI644" s="1">
        <v>0</v>
      </c>
      <c r="BJ644" s="1">
        <v>0</v>
      </c>
      <c r="BK644" s="1">
        <v>0</v>
      </c>
      <c r="BL644" s="1">
        <v>0</v>
      </c>
      <c r="BM644" s="1">
        <v>0</v>
      </c>
      <c r="BN644" s="1">
        <v>0</v>
      </c>
      <c r="BO644" s="1">
        <v>0</v>
      </c>
      <c r="BP644" s="1">
        <v>0</v>
      </c>
      <c r="BQ644" s="1" t="s">
        <v>104</v>
      </c>
      <c r="BR644" s="1">
        <v>660</v>
      </c>
      <c r="BS644" s="1" t="s">
        <v>104</v>
      </c>
      <c r="BX644" s="1">
        <v>0</v>
      </c>
      <c r="BY644" s="1" t="s">
        <v>104</v>
      </c>
      <c r="BZ644" s="1" t="s">
        <v>104</v>
      </c>
      <c r="CA644" s="1" t="s">
        <v>104</v>
      </c>
      <c r="CB644" s="1" t="s">
        <v>104</v>
      </c>
      <c r="CC644" s="1" t="s">
        <v>104</v>
      </c>
      <c r="CD644" s="1" t="s">
        <v>104</v>
      </c>
      <c r="CE644" s="1" t="s">
        <v>104</v>
      </c>
      <c r="CF644" s="1" t="s">
        <v>104</v>
      </c>
      <c r="CG644" s="1" t="s">
        <v>104</v>
      </c>
      <c r="CH644" s="1" t="s">
        <v>104</v>
      </c>
      <c r="CJ644" s="1">
        <v>0</v>
      </c>
      <c r="CK644" s="1">
        <v>0</v>
      </c>
      <c r="CL644" s="1">
        <v>0</v>
      </c>
      <c r="CM644" s="1" t="s">
        <v>104</v>
      </c>
    </row>
    <row r="645" spans="1:91" ht="14.25" customHeight="1" x14ac:dyDescent="0.3">
      <c r="A645" s="1" t="s">
        <v>4340</v>
      </c>
      <c r="B645" s="1" t="s">
        <v>216</v>
      </c>
      <c r="D645" s="1" t="s">
        <v>1015</v>
      </c>
      <c r="E645" s="1" t="s">
        <v>4341</v>
      </c>
      <c r="F645" s="1" t="s">
        <v>255</v>
      </c>
      <c r="G645" s="1" t="s">
        <v>4342</v>
      </c>
      <c r="H645" s="1">
        <v>1</v>
      </c>
      <c r="I645" s="1" t="s">
        <v>117</v>
      </c>
      <c r="L645" s="1" t="s">
        <v>4343</v>
      </c>
      <c r="M645" s="1" t="s">
        <v>4344</v>
      </c>
      <c r="N645" s="1">
        <v>0</v>
      </c>
      <c r="O645" s="1">
        <v>0</v>
      </c>
      <c r="P645" s="1" t="s">
        <v>2051</v>
      </c>
      <c r="Q645" s="1" t="s">
        <v>184</v>
      </c>
      <c r="R645" s="1" t="s">
        <v>4345</v>
      </c>
      <c r="S645" s="1" t="s">
        <v>4339</v>
      </c>
      <c r="T645" s="1">
        <v>1</v>
      </c>
      <c r="U645" s="1">
        <v>1</v>
      </c>
      <c r="V645" s="1">
        <v>1</v>
      </c>
      <c r="W645" s="1">
        <v>0</v>
      </c>
      <c r="X645" s="1">
        <v>0</v>
      </c>
      <c r="Y645" s="1">
        <v>9</v>
      </c>
      <c r="Z645" s="1">
        <v>9</v>
      </c>
      <c r="AA645" s="1">
        <v>9</v>
      </c>
      <c r="AB645" s="1" t="s">
        <v>104</v>
      </c>
      <c r="AC645" s="1" t="s">
        <v>104</v>
      </c>
      <c r="AD645" s="1" t="s">
        <v>104</v>
      </c>
      <c r="AE645" s="1" t="s">
        <v>104</v>
      </c>
      <c r="AF645" s="1" t="s">
        <v>104</v>
      </c>
      <c r="AG645" s="1" t="s">
        <v>104</v>
      </c>
      <c r="AH645" s="1" t="s">
        <v>104</v>
      </c>
      <c r="AI645" s="1" t="s">
        <v>104</v>
      </c>
      <c r="AJ645" s="1">
        <v>9</v>
      </c>
      <c r="AK645" s="1" t="s">
        <v>104</v>
      </c>
      <c r="AL645" s="1" t="s">
        <v>104</v>
      </c>
      <c r="AM645" s="1" t="s">
        <v>104</v>
      </c>
      <c r="AO645" s="1">
        <v>9</v>
      </c>
      <c r="AR645" s="1">
        <v>0</v>
      </c>
      <c r="AS645" s="1">
        <v>0</v>
      </c>
      <c r="AT645" s="1">
        <v>0</v>
      </c>
      <c r="AU645" s="1">
        <v>0</v>
      </c>
      <c r="AV645" s="1">
        <v>0</v>
      </c>
      <c r="AW645" s="1">
        <v>0</v>
      </c>
      <c r="AX645" s="1">
        <v>1</v>
      </c>
      <c r="AY645" s="1">
        <v>0</v>
      </c>
      <c r="AZ645" s="1">
        <v>0</v>
      </c>
      <c r="BA645" s="1">
        <v>0</v>
      </c>
      <c r="BB645" s="1">
        <v>0</v>
      </c>
      <c r="BC645" s="1">
        <v>1</v>
      </c>
      <c r="BD645" s="1">
        <v>0</v>
      </c>
      <c r="BE645" s="1">
        <v>0</v>
      </c>
      <c r="BF645" s="1">
        <v>0</v>
      </c>
      <c r="BG645" s="1">
        <v>0</v>
      </c>
      <c r="BH645" s="1">
        <v>0</v>
      </c>
      <c r="BI645" s="1">
        <v>0</v>
      </c>
      <c r="BJ645" s="1">
        <v>0</v>
      </c>
      <c r="BK645" s="1">
        <v>0</v>
      </c>
      <c r="BL645" s="1">
        <v>0</v>
      </c>
      <c r="BM645" s="1">
        <v>0</v>
      </c>
      <c r="BN645" s="1">
        <v>0</v>
      </c>
      <c r="BO645" s="1">
        <v>0</v>
      </c>
      <c r="BP645" s="1">
        <v>0</v>
      </c>
      <c r="BQ645" s="1" t="s">
        <v>104</v>
      </c>
      <c r="BR645" s="1">
        <v>661</v>
      </c>
      <c r="BS645" s="1">
        <v>100</v>
      </c>
      <c r="BX645" s="1">
        <v>0</v>
      </c>
      <c r="BY645" s="1" t="s">
        <v>104</v>
      </c>
      <c r="BZ645" s="1" t="s">
        <v>104</v>
      </c>
      <c r="CA645" s="1" t="s">
        <v>104</v>
      </c>
      <c r="CB645" s="1" t="s">
        <v>104</v>
      </c>
      <c r="CC645" s="1" t="s">
        <v>104</v>
      </c>
      <c r="CD645" s="1" t="s">
        <v>104</v>
      </c>
      <c r="CE645" s="1" t="s">
        <v>104</v>
      </c>
      <c r="CF645" s="1" t="s">
        <v>104</v>
      </c>
      <c r="CG645" s="1" t="s">
        <v>104</v>
      </c>
      <c r="CH645" s="1" t="s">
        <v>104</v>
      </c>
      <c r="CJ645" s="1">
        <v>0</v>
      </c>
      <c r="CK645" s="1">
        <v>0</v>
      </c>
      <c r="CL645" s="1">
        <v>0</v>
      </c>
      <c r="CM645" s="1" t="s">
        <v>104</v>
      </c>
    </row>
    <row r="646" spans="1:91" ht="14.25" customHeight="1" x14ac:dyDescent="0.3">
      <c r="A646" s="1" t="s">
        <v>4346</v>
      </c>
      <c r="B646" s="1" t="s">
        <v>137</v>
      </c>
      <c r="E646" s="1" t="s">
        <v>4347</v>
      </c>
      <c r="F646" s="1" t="s">
        <v>95</v>
      </c>
      <c r="G646" s="1" t="s">
        <v>237</v>
      </c>
      <c r="H646" s="1">
        <v>0</v>
      </c>
      <c r="I646" s="1" t="s">
        <v>157</v>
      </c>
      <c r="L646" s="1" t="s">
        <v>158</v>
      </c>
      <c r="M646" s="1" t="s">
        <v>2330</v>
      </c>
      <c r="N646" s="1">
        <v>0</v>
      </c>
      <c r="O646" s="1">
        <v>0</v>
      </c>
      <c r="R646" s="1" t="s">
        <v>4348</v>
      </c>
      <c r="S646" s="1" t="s">
        <v>4339</v>
      </c>
      <c r="T646" s="1">
        <v>1</v>
      </c>
      <c r="U646" s="1">
        <v>0</v>
      </c>
      <c r="V646" s="1">
        <v>0</v>
      </c>
      <c r="W646" s="1">
        <v>0</v>
      </c>
      <c r="X646" s="1">
        <v>0</v>
      </c>
      <c r="Y646" s="1">
        <v>1</v>
      </c>
      <c r="Z646" s="1">
        <v>1</v>
      </c>
      <c r="AA646" s="1" t="s">
        <v>104</v>
      </c>
      <c r="AB646" s="1" t="s">
        <v>104</v>
      </c>
      <c r="AC646" s="1" t="s">
        <v>104</v>
      </c>
      <c r="AD646" s="1">
        <v>1</v>
      </c>
      <c r="AE646" s="1" t="s">
        <v>104</v>
      </c>
      <c r="AF646" s="1" t="s">
        <v>104</v>
      </c>
      <c r="AG646" s="1" t="s">
        <v>104</v>
      </c>
      <c r="AH646" s="1" t="s">
        <v>104</v>
      </c>
      <c r="AI646" s="1" t="s">
        <v>104</v>
      </c>
      <c r="AJ646" s="1" t="s">
        <v>104</v>
      </c>
      <c r="AK646" s="1" t="s">
        <v>104</v>
      </c>
      <c r="AL646" s="1" t="s">
        <v>104</v>
      </c>
      <c r="AM646" s="1" t="s">
        <v>104</v>
      </c>
      <c r="AO646" s="1">
        <v>1</v>
      </c>
      <c r="AR646" s="1">
        <v>0</v>
      </c>
      <c r="AS646" s="1">
        <v>0</v>
      </c>
      <c r="AT646" s="1">
        <v>0</v>
      </c>
      <c r="AU646" s="1">
        <v>0</v>
      </c>
      <c r="AV646" s="1">
        <v>0</v>
      </c>
      <c r="AW646" s="1">
        <v>0</v>
      </c>
      <c r="AX646" s="1">
        <v>0</v>
      </c>
      <c r="AY646" s="1">
        <v>0</v>
      </c>
      <c r="AZ646" s="1">
        <v>0</v>
      </c>
      <c r="BA646" s="1">
        <v>0</v>
      </c>
      <c r="BB646" s="1">
        <v>0</v>
      </c>
      <c r="BC646" s="1">
        <v>0</v>
      </c>
      <c r="BD646" s="1">
        <v>0</v>
      </c>
      <c r="BE646" s="1">
        <v>0</v>
      </c>
      <c r="BF646" s="1">
        <v>0</v>
      </c>
      <c r="BG646" s="1">
        <v>0</v>
      </c>
      <c r="BH646" s="1">
        <v>0</v>
      </c>
      <c r="BI646" s="1">
        <v>0</v>
      </c>
      <c r="BJ646" s="1">
        <v>0</v>
      </c>
      <c r="BK646" s="1">
        <v>0</v>
      </c>
      <c r="BL646" s="1">
        <v>0</v>
      </c>
      <c r="BM646" s="1">
        <v>0</v>
      </c>
      <c r="BN646" s="1">
        <v>0</v>
      </c>
      <c r="BO646" s="1">
        <v>0</v>
      </c>
      <c r="BP646" s="1">
        <v>0</v>
      </c>
      <c r="BQ646" s="1" t="s">
        <v>104</v>
      </c>
      <c r="BR646" s="1">
        <v>662</v>
      </c>
      <c r="BS646" s="1" t="s">
        <v>104</v>
      </c>
      <c r="BX646" s="1">
        <v>0</v>
      </c>
      <c r="BY646" s="1" t="s">
        <v>104</v>
      </c>
      <c r="BZ646" s="1" t="s">
        <v>104</v>
      </c>
      <c r="CA646" s="1" t="s">
        <v>104</v>
      </c>
      <c r="CB646" s="1" t="s">
        <v>104</v>
      </c>
      <c r="CC646" s="1" t="s">
        <v>104</v>
      </c>
      <c r="CD646" s="1" t="s">
        <v>104</v>
      </c>
      <c r="CE646" s="1" t="s">
        <v>104</v>
      </c>
      <c r="CF646" s="1" t="s">
        <v>104</v>
      </c>
      <c r="CG646" s="1" t="s">
        <v>104</v>
      </c>
      <c r="CH646" s="1" t="s">
        <v>104</v>
      </c>
      <c r="CJ646" s="1">
        <v>0</v>
      </c>
      <c r="CK646" s="1">
        <v>0</v>
      </c>
      <c r="CL646" s="1">
        <v>0</v>
      </c>
      <c r="CM646" s="1" t="s">
        <v>104</v>
      </c>
    </row>
    <row r="647" spans="1:91" ht="14.25" customHeight="1" x14ac:dyDescent="0.3">
      <c r="A647" s="1" t="s">
        <v>4349</v>
      </c>
      <c r="B647" s="1" t="s">
        <v>92</v>
      </c>
      <c r="C647" s="1" t="s">
        <v>903</v>
      </c>
      <c r="D647" s="1" t="s">
        <v>145</v>
      </c>
      <c r="E647" s="1" t="s">
        <v>3717</v>
      </c>
      <c r="F647" s="1" t="s">
        <v>287</v>
      </c>
      <c r="G647" s="1" t="s">
        <v>127</v>
      </c>
      <c r="H647" s="1">
        <v>0</v>
      </c>
      <c r="I647" s="1" t="s">
        <v>4350</v>
      </c>
      <c r="K647" s="1" t="s">
        <v>4351</v>
      </c>
      <c r="M647" s="1" t="s">
        <v>4292</v>
      </c>
      <c r="N647" s="1">
        <v>1</v>
      </c>
      <c r="O647" s="1">
        <v>0</v>
      </c>
      <c r="P647" s="1" t="s">
        <v>100</v>
      </c>
      <c r="Q647" s="1" t="s">
        <v>101</v>
      </c>
      <c r="R647" s="1" t="s">
        <v>4352</v>
      </c>
      <c r="S647" s="1" t="s">
        <v>4339</v>
      </c>
      <c r="T647" s="1">
        <v>1</v>
      </c>
      <c r="U647" s="1">
        <v>1</v>
      </c>
      <c r="V647" s="1">
        <v>0</v>
      </c>
      <c r="W647" s="1">
        <v>0</v>
      </c>
      <c r="X647" s="1">
        <v>1</v>
      </c>
      <c r="Y647" s="1" t="s">
        <v>104</v>
      </c>
      <c r="Z647" s="1" t="s">
        <v>104</v>
      </c>
      <c r="AA647" s="1" t="s">
        <v>104</v>
      </c>
      <c r="AB647" s="1">
        <v>9</v>
      </c>
      <c r="AC647" s="1" t="s">
        <v>104</v>
      </c>
      <c r="AD647" s="1" t="s">
        <v>104</v>
      </c>
      <c r="AE647" s="1" t="s">
        <v>104</v>
      </c>
      <c r="AF647" s="1" t="s">
        <v>104</v>
      </c>
      <c r="AG647" s="1" t="s">
        <v>104</v>
      </c>
      <c r="AH647" s="1" t="s">
        <v>104</v>
      </c>
      <c r="AI647" s="1" t="s">
        <v>104</v>
      </c>
      <c r="AJ647" s="1" t="s">
        <v>104</v>
      </c>
      <c r="AK647" s="1" t="s">
        <v>104</v>
      </c>
      <c r="AL647" s="1" t="s">
        <v>104</v>
      </c>
      <c r="AM647" s="1" t="s">
        <v>104</v>
      </c>
      <c r="AO647" s="1">
        <v>9</v>
      </c>
      <c r="AR647" s="1">
        <v>0</v>
      </c>
      <c r="AS647" s="1">
        <v>0</v>
      </c>
      <c r="AT647" s="1">
        <v>0</v>
      </c>
      <c r="AU647" s="1">
        <v>0</v>
      </c>
      <c r="AV647" s="1">
        <v>0</v>
      </c>
      <c r="AW647" s="1">
        <v>0</v>
      </c>
      <c r="AX647" s="1">
        <v>0</v>
      </c>
      <c r="AY647" s="1">
        <v>0</v>
      </c>
      <c r="AZ647" s="1">
        <v>0</v>
      </c>
      <c r="BA647" s="1">
        <v>0</v>
      </c>
      <c r="BB647" s="1">
        <v>0</v>
      </c>
      <c r="BC647" s="1">
        <v>0</v>
      </c>
      <c r="BD647" s="1">
        <v>0</v>
      </c>
      <c r="BE647" s="1">
        <v>0</v>
      </c>
      <c r="BF647" s="1">
        <v>0</v>
      </c>
      <c r="BG647" s="1">
        <v>0</v>
      </c>
      <c r="BH647" s="1">
        <v>0</v>
      </c>
      <c r="BI647" s="1">
        <v>0</v>
      </c>
      <c r="BJ647" s="1">
        <v>0</v>
      </c>
      <c r="BK647" s="1">
        <v>0</v>
      </c>
      <c r="BL647" s="1">
        <v>0</v>
      </c>
      <c r="BM647" s="1">
        <v>0</v>
      </c>
      <c r="BN647" s="1">
        <v>0</v>
      </c>
      <c r="BO647" s="1">
        <v>0</v>
      </c>
      <c r="BP647" s="1">
        <v>0</v>
      </c>
      <c r="BQ647" s="1" t="s">
        <v>104</v>
      </c>
      <c r="BR647" s="1">
        <v>663</v>
      </c>
      <c r="BS647" s="1" t="s">
        <v>104</v>
      </c>
      <c r="BX647" s="1">
        <v>0</v>
      </c>
      <c r="BY647" s="1" t="s">
        <v>104</v>
      </c>
      <c r="BZ647" s="1" t="s">
        <v>104</v>
      </c>
      <c r="CA647" s="1" t="s">
        <v>104</v>
      </c>
      <c r="CB647" s="1" t="s">
        <v>104</v>
      </c>
      <c r="CC647" s="1" t="s">
        <v>104</v>
      </c>
      <c r="CD647" s="1" t="s">
        <v>104</v>
      </c>
      <c r="CE647" s="1" t="s">
        <v>104</v>
      </c>
      <c r="CF647" s="1" t="s">
        <v>104</v>
      </c>
      <c r="CG647" s="1" t="s">
        <v>104</v>
      </c>
      <c r="CH647" s="1" t="s">
        <v>104</v>
      </c>
      <c r="CJ647" s="1">
        <v>0</v>
      </c>
      <c r="CK647" s="1">
        <v>0</v>
      </c>
      <c r="CL647" s="1">
        <v>0</v>
      </c>
      <c r="CM647" s="1" t="s">
        <v>104</v>
      </c>
    </row>
    <row r="648" spans="1:91" ht="14.25" customHeight="1" x14ac:dyDescent="0.3">
      <c r="A648" s="1" t="s">
        <v>4353</v>
      </c>
      <c r="B648" s="1" t="s">
        <v>216</v>
      </c>
      <c r="E648" s="1" t="s">
        <v>3371</v>
      </c>
      <c r="F648" s="1" t="s">
        <v>95</v>
      </c>
      <c r="G648" s="1" t="s">
        <v>127</v>
      </c>
      <c r="H648" s="1">
        <v>0</v>
      </c>
      <c r="I648" s="1" t="s">
        <v>128</v>
      </c>
      <c r="L648" s="1" t="s">
        <v>374</v>
      </c>
      <c r="M648" s="1" t="s">
        <v>2330</v>
      </c>
      <c r="N648" s="1">
        <v>1</v>
      </c>
      <c r="O648" s="1">
        <v>0</v>
      </c>
      <c r="P648" s="1" t="s">
        <v>100</v>
      </c>
      <c r="Q648" s="1" t="s">
        <v>101</v>
      </c>
      <c r="R648" s="1" t="s">
        <v>4354</v>
      </c>
      <c r="S648" s="1" t="s">
        <v>4339</v>
      </c>
      <c r="T648" s="1">
        <v>1</v>
      </c>
      <c r="U648" s="1">
        <v>1</v>
      </c>
      <c r="V648" s="1">
        <v>0</v>
      </c>
      <c r="W648" s="1">
        <v>0</v>
      </c>
      <c r="X648" s="1">
        <v>1</v>
      </c>
      <c r="Y648" s="1" t="s">
        <v>104</v>
      </c>
      <c r="Z648" s="1" t="s">
        <v>104</v>
      </c>
      <c r="AA648" s="1" t="s">
        <v>104</v>
      </c>
      <c r="AB648" s="1">
        <v>1</v>
      </c>
      <c r="AC648" s="1" t="s">
        <v>104</v>
      </c>
      <c r="AD648" s="1" t="s">
        <v>104</v>
      </c>
      <c r="AE648" s="1" t="s">
        <v>104</v>
      </c>
      <c r="AF648" s="1" t="s">
        <v>104</v>
      </c>
      <c r="AG648" s="1" t="s">
        <v>104</v>
      </c>
      <c r="AH648" s="1" t="s">
        <v>104</v>
      </c>
      <c r="AI648" s="1" t="s">
        <v>104</v>
      </c>
      <c r="AJ648" s="1" t="s">
        <v>104</v>
      </c>
      <c r="AK648" s="1" t="s">
        <v>104</v>
      </c>
      <c r="AL648" s="1" t="s">
        <v>104</v>
      </c>
      <c r="AM648" s="1" t="s">
        <v>104</v>
      </c>
      <c r="AO648" s="1">
        <v>1</v>
      </c>
      <c r="AR648" s="1">
        <v>0</v>
      </c>
      <c r="AS648" s="1">
        <v>0</v>
      </c>
      <c r="AT648" s="1">
        <v>0</v>
      </c>
      <c r="AU648" s="1">
        <v>0</v>
      </c>
      <c r="AV648" s="1">
        <v>0</v>
      </c>
      <c r="AW648" s="1">
        <v>0</v>
      </c>
      <c r="AX648" s="1">
        <v>0</v>
      </c>
      <c r="AY648" s="1">
        <v>0</v>
      </c>
      <c r="AZ648" s="1">
        <v>0</v>
      </c>
      <c r="BA648" s="1">
        <v>0</v>
      </c>
      <c r="BB648" s="1">
        <v>0</v>
      </c>
      <c r="BC648" s="1">
        <v>0</v>
      </c>
      <c r="BD648" s="1">
        <v>0</v>
      </c>
      <c r="BE648" s="1">
        <v>0</v>
      </c>
      <c r="BF648" s="1">
        <v>0</v>
      </c>
      <c r="BG648" s="1">
        <v>0</v>
      </c>
      <c r="BH648" s="1">
        <v>0</v>
      </c>
      <c r="BI648" s="1">
        <v>0</v>
      </c>
      <c r="BJ648" s="1">
        <v>0</v>
      </c>
      <c r="BK648" s="1">
        <v>0</v>
      </c>
      <c r="BL648" s="1">
        <v>0</v>
      </c>
      <c r="BM648" s="1">
        <v>0</v>
      </c>
      <c r="BN648" s="1">
        <v>0</v>
      </c>
      <c r="BO648" s="1">
        <v>0</v>
      </c>
      <c r="BP648" s="1">
        <v>0</v>
      </c>
      <c r="BQ648" s="1" t="s">
        <v>104</v>
      </c>
      <c r="BR648" s="1">
        <v>664</v>
      </c>
      <c r="BS648" s="1" t="s">
        <v>104</v>
      </c>
      <c r="BX648" s="1">
        <v>0</v>
      </c>
      <c r="BY648" s="1" t="s">
        <v>104</v>
      </c>
      <c r="BZ648" s="1" t="s">
        <v>104</v>
      </c>
      <c r="CA648" s="1" t="s">
        <v>104</v>
      </c>
      <c r="CB648" s="1" t="s">
        <v>104</v>
      </c>
      <c r="CC648" s="1" t="s">
        <v>104</v>
      </c>
      <c r="CD648" s="1" t="s">
        <v>104</v>
      </c>
      <c r="CE648" s="1" t="s">
        <v>104</v>
      </c>
      <c r="CF648" s="1" t="s">
        <v>104</v>
      </c>
      <c r="CG648" s="1" t="s">
        <v>104</v>
      </c>
      <c r="CH648" s="1">
        <v>1</v>
      </c>
      <c r="CJ648" s="1">
        <v>0</v>
      </c>
      <c r="CK648" s="1">
        <v>0</v>
      </c>
      <c r="CL648" s="1">
        <v>0</v>
      </c>
      <c r="CM648" s="1" t="s">
        <v>104</v>
      </c>
    </row>
    <row r="649" spans="1:91" ht="14.25" customHeight="1" x14ac:dyDescent="0.3">
      <c r="A649" s="1" t="s">
        <v>4355</v>
      </c>
      <c r="B649" s="1" t="s">
        <v>216</v>
      </c>
      <c r="D649" s="1" t="s">
        <v>4356</v>
      </c>
      <c r="E649" s="1" t="s">
        <v>4357</v>
      </c>
      <c r="F649" s="1" t="s">
        <v>95</v>
      </c>
      <c r="G649" s="1" t="s">
        <v>237</v>
      </c>
      <c r="H649" s="1">
        <v>0</v>
      </c>
      <c r="I649" s="1" t="s">
        <v>4350</v>
      </c>
      <c r="L649" s="1" t="s">
        <v>1006</v>
      </c>
      <c r="M649" s="1" t="s">
        <v>255</v>
      </c>
      <c r="N649" s="1">
        <v>0</v>
      </c>
      <c r="O649" s="1">
        <v>0</v>
      </c>
      <c r="P649" s="1" t="s">
        <v>211</v>
      </c>
      <c r="Q649" s="1" t="s">
        <v>184</v>
      </c>
      <c r="R649" s="1" t="s">
        <v>4358</v>
      </c>
      <c r="S649" s="1" t="s">
        <v>4339</v>
      </c>
      <c r="T649" s="1">
        <v>1</v>
      </c>
      <c r="U649" s="1">
        <v>0</v>
      </c>
      <c r="V649" s="1">
        <v>0</v>
      </c>
      <c r="W649" s="1">
        <v>0</v>
      </c>
      <c r="X649" s="1">
        <v>0</v>
      </c>
      <c r="Y649" s="1">
        <v>0</v>
      </c>
      <c r="Z649" s="1">
        <v>0</v>
      </c>
      <c r="AA649" s="1">
        <v>0</v>
      </c>
      <c r="AB649" s="1" t="s">
        <v>104</v>
      </c>
      <c r="AC649" s="1" t="s">
        <v>104</v>
      </c>
      <c r="AD649" s="1">
        <v>1</v>
      </c>
      <c r="AE649" s="1" t="s">
        <v>104</v>
      </c>
      <c r="AF649" s="1" t="s">
        <v>104</v>
      </c>
      <c r="AG649" s="1" t="s">
        <v>104</v>
      </c>
      <c r="AH649" s="1" t="s">
        <v>104</v>
      </c>
      <c r="AI649" s="1" t="s">
        <v>104</v>
      </c>
      <c r="AJ649" s="1">
        <v>0</v>
      </c>
      <c r="AK649" s="1" t="s">
        <v>104</v>
      </c>
      <c r="AL649" s="1" t="s">
        <v>104</v>
      </c>
      <c r="AM649" s="1" t="s">
        <v>104</v>
      </c>
      <c r="AO649" s="1">
        <v>0</v>
      </c>
      <c r="AR649" s="1">
        <v>0</v>
      </c>
      <c r="AS649" s="1">
        <v>0</v>
      </c>
      <c r="AT649" s="1">
        <v>0</v>
      </c>
      <c r="AU649" s="1">
        <v>0</v>
      </c>
      <c r="AV649" s="1">
        <v>0</v>
      </c>
      <c r="AW649" s="1">
        <v>0</v>
      </c>
      <c r="AX649" s="1">
        <v>0</v>
      </c>
      <c r="AY649" s="1">
        <v>0</v>
      </c>
      <c r="AZ649" s="1">
        <v>0</v>
      </c>
      <c r="BA649" s="1">
        <v>0</v>
      </c>
      <c r="BB649" s="1">
        <v>0</v>
      </c>
      <c r="BC649" s="1">
        <v>0</v>
      </c>
      <c r="BD649" s="1">
        <v>1</v>
      </c>
      <c r="BE649" s="1">
        <v>0</v>
      </c>
      <c r="BF649" s="1">
        <v>0</v>
      </c>
      <c r="BG649" s="1">
        <v>0</v>
      </c>
      <c r="BH649" s="1">
        <v>0</v>
      </c>
      <c r="BI649" s="1">
        <v>0</v>
      </c>
      <c r="BJ649" s="1">
        <v>0</v>
      </c>
      <c r="BK649" s="1">
        <v>1</v>
      </c>
      <c r="BL649" s="1">
        <v>0</v>
      </c>
      <c r="BM649" s="1">
        <v>0</v>
      </c>
      <c r="BN649" s="1">
        <v>0</v>
      </c>
      <c r="BO649" s="1">
        <v>1</v>
      </c>
      <c r="BP649" s="1">
        <v>0</v>
      </c>
      <c r="BQ649" s="1" t="s">
        <v>104</v>
      </c>
      <c r="BR649" s="1">
        <v>666</v>
      </c>
      <c r="BS649" s="1" t="s">
        <v>104</v>
      </c>
      <c r="BX649" s="1">
        <v>0</v>
      </c>
      <c r="BY649" s="1" t="s">
        <v>104</v>
      </c>
      <c r="BZ649" s="1" t="s">
        <v>104</v>
      </c>
      <c r="CA649" s="1" t="s">
        <v>104</v>
      </c>
      <c r="CB649" s="1" t="s">
        <v>104</v>
      </c>
      <c r="CC649" s="1" t="s">
        <v>104</v>
      </c>
      <c r="CD649" s="1" t="s">
        <v>104</v>
      </c>
      <c r="CE649" s="1" t="s">
        <v>104</v>
      </c>
      <c r="CF649" s="1" t="s">
        <v>104</v>
      </c>
      <c r="CG649" s="1" t="s">
        <v>104</v>
      </c>
      <c r="CH649" s="1" t="s">
        <v>104</v>
      </c>
      <c r="CJ649" s="1">
        <v>0</v>
      </c>
      <c r="CK649" s="1">
        <v>0</v>
      </c>
      <c r="CL649" s="1">
        <v>0</v>
      </c>
      <c r="CM649" s="1" t="s">
        <v>104</v>
      </c>
    </row>
    <row r="650" spans="1:91" ht="14.25" customHeight="1" x14ac:dyDescent="0.3">
      <c r="A650" s="1" t="s">
        <v>4359</v>
      </c>
      <c r="B650" s="1" t="s">
        <v>216</v>
      </c>
      <c r="D650" s="1" t="s">
        <v>54</v>
      </c>
      <c r="E650" s="1" t="s">
        <v>4360</v>
      </c>
      <c r="F650" s="1" t="s">
        <v>95</v>
      </c>
      <c r="G650" s="1" t="s">
        <v>116</v>
      </c>
      <c r="H650" s="1">
        <v>0</v>
      </c>
      <c r="I650" s="1" t="s">
        <v>109</v>
      </c>
      <c r="K650" s="1" t="s">
        <v>4361</v>
      </c>
      <c r="M650" s="1" t="s">
        <v>3323</v>
      </c>
      <c r="N650" s="1">
        <v>1</v>
      </c>
      <c r="O650" s="1">
        <v>0</v>
      </c>
      <c r="P650" s="1" t="s">
        <v>100</v>
      </c>
      <c r="Q650" s="1" t="s">
        <v>101</v>
      </c>
      <c r="R650" s="1" t="s">
        <v>4362</v>
      </c>
      <c r="S650" s="1" t="s">
        <v>4339</v>
      </c>
      <c r="T650" s="1">
        <v>1</v>
      </c>
      <c r="U650" s="1">
        <v>1</v>
      </c>
      <c r="V650" s="1">
        <v>0</v>
      </c>
      <c r="W650" s="1">
        <v>0</v>
      </c>
      <c r="X650" s="1">
        <v>0</v>
      </c>
      <c r="Y650" s="1">
        <v>8</v>
      </c>
      <c r="Z650" s="1">
        <v>8</v>
      </c>
      <c r="AA650" s="1">
        <v>8</v>
      </c>
      <c r="AB650" s="1" t="s">
        <v>104</v>
      </c>
      <c r="AC650" s="1" t="s">
        <v>104</v>
      </c>
      <c r="AD650" s="1" t="s">
        <v>104</v>
      </c>
      <c r="AE650" s="1" t="s">
        <v>104</v>
      </c>
      <c r="AF650" s="1" t="s">
        <v>104</v>
      </c>
      <c r="AG650" s="1" t="s">
        <v>104</v>
      </c>
      <c r="AH650" s="1" t="s">
        <v>104</v>
      </c>
      <c r="AI650" s="1" t="s">
        <v>104</v>
      </c>
      <c r="AJ650" s="1">
        <v>8</v>
      </c>
      <c r="AK650" s="1" t="s">
        <v>104</v>
      </c>
      <c r="AL650" s="1" t="s">
        <v>104</v>
      </c>
      <c r="AM650" s="1" t="s">
        <v>104</v>
      </c>
      <c r="AO650" s="1">
        <v>8</v>
      </c>
      <c r="AR650" s="1">
        <v>0</v>
      </c>
      <c r="AS650" s="1">
        <v>0</v>
      </c>
      <c r="AT650" s="1">
        <v>0</v>
      </c>
      <c r="AU650" s="1">
        <v>0</v>
      </c>
      <c r="AV650" s="1">
        <v>0</v>
      </c>
      <c r="AW650" s="1">
        <v>0</v>
      </c>
      <c r="AX650" s="1">
        <v>0</v>
      </c>
      <c r="AY650" s="1">
        <v>0</v>
      </c>
      <c r="AZ650" s="1">
        <v>0</v>
      </c>
      <c r="BA650" s="1">
        <v>0</v>
      </c>
      <c r="BB650" s="1">
        <v>0</v>
      </c>
      <c r="BC650" s="1">
        <v>1</v>
      </c>
      <c r="BD650" s="1">
        <v>0</v>
      </c>
      <c r="BE650" s="1">
        <v>0</v>
      </c>
      <c r="BF650" s="1">
        <v>0</v>
      </c>
      <c r="BG650" s="1">
        <v>0</v>
      </c>
      <c r="BH650" s="1">
        <v>0</v>
      </c>
      <c r="BI650" s="1">
        <v>0</v>
      </c>
      <c r="BJ650" s="1">
        <v>0</v>
      </c>
      <c r="BK650" s="1">
        <v>0</v>
      </c>
      <c r="BL650" s="1">
        <v>0</v>
      </c>
      <c r="BM650" s="1">
        <v>0</v>
      </c>
      <c r="BN650" s="1">
        <v>0</v>
      </c>
      <c r="BO650" s="1">
        <v>0</v>
      </c>
      <c r="BP650" s="1">
        <v>0</v>
      </c>
      <c r="BQ650" s="1" t="s">
        <v>104</v>
      </c>
      <c r="BR650" s="1">
        <v>667</v>
      </c>
      <c r="BS650" s="1" t="s">
        <v>104</v>
      </c>
      <c r="BX650" s="1">
        <v>0</v>
      </c>
      <c r="BY650" s="1" t="s">
        <v>104</v>
      </c>
      <c r="BZ650" s="1" t="s">
        <v>104</v>
      </c>
      <c r="CA650" s="1" t="s">
        <v>104</v>
      </c>
      <c r="CB650" s="1" t="s">
        <v>104</v>
      </c>
      <c r="CC650" s="1" t="s">
        <v>104</v>
      </c>
      <c r="CD650" s="1" t="s">
        <v>104</v>
      </c>
      <c r="CE650" s="1" t="s">
        <v>104</v>
      </c>
      <c r="CF650" s="1" t="s">
        <v>104</v>
      </c>
      <c r="CG650" s="1" t="s">
        <v>104</v>
      </c>
      <c r="CH650" s="1" t="s">
        <v>104</v>
      </c>
      <c r="CJ650" s="1">
        <v>0</v>
      </c>
      <c r="CK650" s="1">
        <v>0</v>
      </c>
      <c r="CL650" s="1">
        <v>0</v>
      </c>
      <c r="CM650" s="1" t="s">
        <v>104</v>
      </c>
    </row>
    <row r="651" spans="1:91" ht="14.25" customHeight="1" x14ac:dyDescent="0.3">
      <c r="A651" s="1" t="s">
        <v>4363</v>
      </c>
      <c r="B651" s="1" t="s">
        <v>137</v>
      </c>
      <c r="E651" s="1" t="s">
        <v>4364</v>
      </c>
      <c r="F651" s="1" t="s">
        <v>95</v>
      </c>
      <c r="G651" s="1" t="s">
        <v>116</v>
      </c>
      <c r="H651" s="1">
        <v>0</v>
      </c>
      <c r="I651" s="1" t="s">
        <v>128</v>
      </c>
      <c r="L651" s="1" t="s">
        <v>4365</v>
      </c>
      <c r="M651" s="1" t="s">
        <v>4292</v>
      </c>
      <c r="N651" s="1">
        <v>0</v>
      </c>
      <c r="O651" s="1">
        <v>0</v>
      </c>
      <c r="P651" s="1" t="s">
        <v>1605</v>
      </c>
      <c r="Q651" s="1" t="s">
        <v>101</v>
      </c>
      <c r="R651" s="1" t="s">
        <v>4366</v>
      </c>
      <c r="S651" s="1" t="s">
        <v>4339</v>
      </c>
      <c r="T651" s="1">
        <v>1</v>
      </c>
      <c r="U651" s="1">
        <v>1</v>
      </c>
      <c r="V651" s="1">
        <v>0</v>
      </c>
      <c r="W651" s="1">
        <v>0</v>
      </c>
      <c r="X651" s="1">
        <v>0</v>
      </c>
      <c r="Y651" s="1">
        <v>1</v>
      </c>
      <c r="Z651" s="1">
        <v>1</v>
      </c>
      <c r="AA651" s="1" t="s">
        <v>104</v>
      </c>
      <c r="AB651" s="1">
        <v>1</v>
      </c>
      <c r="AC651" s="1" t="s">
        <v>104</v>
      </c>
      <c r="AD651" s="1">
        <v>1</v>
      </c>
      <c r="AE651" s="1" t="s">
        <v>104</v>
      </c>
      <c r="AF651" s="1" t="s">
        <v>104</v>
      </c>
      <c r="AG651" s="1" t="s">
        <v>104</v>
      </c>
      <c r="AH651" s="1" t="s">
        <v>104</v>
      </c>
      <c r="AI651" s="1" t="s">
        <v>104</v>
      </c>
      <c r="AJ651" s="1" t="s">
        <v>104</v>
      </c>
      <c r="AK651" s="1" t="s">
        <v>104</v>
      </c>
      <c r="AL651" s="1" t="s">
        <v>104</v>
      </c>
      <c r="AM651" s="1" t="s">
        <v>104</v>
      </c>
      <c r="AO651" s="1">
        <v>1</v>
      </c>
      <c r="AR651" s="1">
        <v>0</v>
      </c>
      <c r="AS651" s="1">
        <v>0</v>
      </c>
      <c r="AT651" s="1">
        <v>0</v>
      </c>
      <c r="AU651" s="1">
        <v>0</v>
      </c>
      <c r="AV651" s="1">
        <v>0</v>
      </c>
      <c r="AW651" s="1">
        <v>0</v>
      </c>
      <c r="AX651" s="1">
        <v>0</v>
      </c>
      <c r="AY651" s="1">
        <v>0</v>
      </c>
      <c r="AZ651" s="1">
        <v>0</v>
      </c>
      <c r="BA651" s="1">
        <v>0</v>
      </c>
      <c r="BB651" s="1">
        <v>0</v>
      </c>
      <c r="BC651" s="1">
        <v>0</v>
      </c>
      <c r="BD651" s="1">
        <v>0</v>
      </c>
      <c r="BE651" s="1">
        <v>0</v>
      </c>
      <c r="BF651" s="1">
        <v>0</v>
      </c>
      <c r="BG651" s="1">
        <v>0</v>
      </c>
      <c r="BH651" s="1">
        <v>0</v>
      </c>
      <c r="BI651" s="1">
        <v>0</v>
      </c>
      <c r="BJ651" s="1">
        <v>0</v>
      </c>
      <c r="BK651" s="1">
        <v>0</v>
      </c>
      <c r="BL651" s="1">
        <v>0</v>
      </c>
      <c r="BM651" s="1">
        <v>0</v>
      </c>
      <c r="BN651" s="1">
        <v>0</v>
      </c>
      <c r="BO651" s="1">
        <v>0</v>
      </c>
      <c r="BP651" s="1">
        <v>0</v>
      </c>
      <c r="BQ651" s="1" t="s">
        <v>104</v>
      </c>
      <c r="BR651" s="1">
        <v>668</v>
      </c>
      <c r="BS651" s="1" t="s">
        <v>104</v>
      </c>
      <c r="BX651" s="1">
        <v>0</v>
      </c>
      <c r="BY651" s="1" t="s">
        <v>104</v>
      </c>
      <c r="BZ651" s="1" t="s">
        <v>104</v>
      </c>
      <c r="CA651" s="1" t="s">
        <v>104</v>
      </c>
      <c r="CB651" s="1" t="s">
        <v>104</v>
      </c>
      <c r="CC651" s="1" t="s">
        <v>104</v>
      </c>
      <c r="CD651" s="1" t="s">
        <v>104</v>
      </c>
      <c r="CE651" s="1" t="s">
        <v>104</v>
      </c>
      <c r="CF651" s="1" t="s">
        <v>104</v>
      </c>
      <c r="CG651" s="1" t="s">
        <v>104</v>
      </c>
      <c r="CH651" s="1">
        <v>1</v>
      </c>
      <c r="CJ651" s="1">
        <v>0</v>
      </c>
      <c r="CK651" s="1">
        <v>0</v>
      </c>
      <c r="CL651" s="1">
        <v>0</v>
      </c>
      <c r="CM651" s="1" t="s">
        <v>104</v>
      </c>
    </row>
    <row r="652" spans="1:91" ht="14.25" customHeight="1" x14ac:dyDescent="0.3">
      <c r="A652" s="1" t="s">
        <v>4367</v>
      </c>
      <c r="B652" s="1" t="s">
        <v>137</v>
      </c>
      <c r="E652" s="1" t="s">
        <v>4368</v>
      </c>
      <c r="F652" s="1" t="s">
        <v>95</v>
      </c>
      <c r="G652" s="1" t="s">
        <v>4369</v>
      </c>
      <c r="H652" s="1">
        <v>0</v>
      </c>
      <c r="I652" s="1" t="s">
        <v>128</v>
      </c>
      <c r="L652" s="1" t="s">
        <v>374</v>
      </c>
      <c r="M652" s="1" t="s">
        <v>4292</v>
      </c>
      <c r="N652" s="1">
        <v>0</v>
      </c>
      <c r="O652" s="1">
        <v>0</v>
      </c>
      <c r="P652" s="1" t="s">
        <v>375</v>
      </c>
      <c r="Q652" s="1" t="s">
        <v>184</v>
      </c>
      <c r="R652" s="1" t="s">
        <v>4370</v>
      </c>
      <c r="S652" s="1" t="s">
        <v>4371</v>
      </c>
      <c r="T652" s="1">
        <v>1</v>
      </c>
      <c r="U652" s="1">
        <v>1</v>
      </c>
      <c r="V652" s="1">
        <v>1</v>
      </c>
      <c r="W652" s="1">
        <v>0</v>
      </c>
      <c r="X652" s="1">
        <v>0</v>
      </c>
      <c r="Y652" s="1">
        <v>3</v>
      </c>
      <c r="Z652" s="1">
        <v>3</v>
      </c>
      <c r="AA652" s="1" t="s">
        <v>104</v>
      </c>
      <c r="AB652" s="1">
        <v>3</v>
      </c>
      <c r="AC652" s="1">
        <v>2</v>
      </c>
      <c r="AD652" s="1" t="s">
        <v>104</v>
      </c>
      <c r="AE652" s="1" t="s">
        <v>104</v>
      </c>
      <c r="AF652" s="1" t="s">
        <v>104</v>
      </c>
      <c r="AG652" s="1" t="s">
        <v>104</v>
      </c>
      <c r="AH652" s="1" t="s">
        <v>104</v>
      </c>
      <c r="AI652" s="1" t="s">
        <v>104</v>
      </c>
      <c r="AJ652" s="1" t="s">
        <v>104</v>
      </c>
      <c r="AK652" s="1" t="s">
        <v>104</v>
      </c>
      <c r="AL652" s="1" t="s">
        <v>104</v>
      </c>
      <c r="AM652" s="1" t="s">
        <v>104</v>
      </c>
      <c r="AO652" s="1">
        <v>3</v>
      </c>
      <c r="AR652" s="1">
        <v>0</v>
      </c>
      <c r="AS652" s="1">
        <v>0</v>
      </c>
      <c r="AT652" s="1">
        <v>0</v>
      </c>
      <c r="AU652" s="1">
        <v>0</v>
      </c>
      <c r="AV652" s="1">
        <v>0</v>
      </c>
      <c r="AW652" s="1">
        <v>0</v>
      </c>
      <c r="AX652" s="1">
        <v>0</v>
      </c>
      <c r="AY652" s="1">
        <v>0</v>
      </c>
      <c r="AZ652" s="1">
        <v>0</v>
      </c>
      <c r="BA652" s="1">
        <v>0</v>
      </c>
      <c r="BB652" s="1">
        <v>0</v>
      </c>
      <c r="BC652" s="1">
        <v>0</v>
      </c>
      <c r="BD652" s="1">
        <v>0</v>
      </c>
      <c r="BE652" s="1">
        <v>0</v>
      </c>
      <c r="BF652" s="1">
        <v>0</v>
      </c>
      <c r="BG652" s="1">
        <v>0</v>
      </c>
      <c r="BH652" s="1">
        <v>0</v>
      </c>
      <c r="BI652" s="1">
        <v>0</v>
      </c>
      <c r="BJ652" s="1">
        <v>0</v>
      </c>
      <c r="BK652" s="1">
        <v>0</v>
      </c>
      <c r="BL652" s="1">
        <v>0</v>
      </c>
      <c r="BM652" s="1">
        <v>0</v>
      </c>
      <c r="BN652" s="1">
        <v>0</v>
      </c>
      <c r="BO652" s="1">
        <v>0</v>
      </c>
      <c r="BP652" s="1">
        <v>0</v>
      </c>
      <c r="BQ652" s="2" t="str">
        <f>HYPERLINK("http://www.d20pfsrd.com/magic/all-spells/a/a/ape-walk","Ape Walk")</f>
        <v>Ape Walk</v>
      </c>
      <c r="BR652" s="1">
        <v>669</v>
      </c>
      <c r="BS652" s="1" t="s">
        <v>104</v>
      </c>
      <c r="BX652" s="1">
        <v>0</v>
      </c>
      <c r="BY652" s="1" t="s">
        <v>104</v>
      </c>
      <c r="BZ652" s="1" t="s">
        <v>104</v>
      </c>
      <c r="CA652" s="1" t="s">
        <v>104</v>
      </c>
      <c r="CB652" s="1" t="s">
        <v>104</v>
      </c>
      <c r="CC652" s="1" t="s">
        <v>104</v>
      </c>
      <c r="CD652" s="1" t="s">
        <v>104</v>
      </c>
      <c r="CE652" s="1" t="s">
        <v>104</v>
      </c>
      <c r="CF652" s="1" t="s">
        <v>104</v>
      </c>
      <c r="CG652" s="1" t="s">
        <v>104</v>
      </c>
      <c r="CH652" s="1">
        <v>2</v>
      </c>
      <c r="CJ652" s="1">
        <v>0</v>
      </c>
      <c r="CK652" s="1">
        <v>0</v>
      </c>
      <c r="CL652" s="1">
        <v>0</v>
      </c>
      <c r="CM652" s="1" t="s">
        <v>104</v>
      </c>
    </row>
    <row r="653" spans="1:91" ht="14.25" customHeight="1" x14ac:dyDescent="0.3">
      <c r="A653" s="1" t="s">
        <v>4372</v>
      </c>
      <c r="B653" s="1" t="s">
        <v>216</v>
      </c>
      <c r="E653" s="1" t="s">
        <v>4373</v>
      </c>
      <c r="F653" s="1" t="s">
        <v>95</v>
      </c>
      <c r="G653" s="1" t="s">
        <v>4374</v>
      </c>
      <c r="H653" s="1">
        <v>0</v>
      </c>
      <c r="I653" s="1" t="s">
        <v>117</v>
      </c>
      <c r="J653" s="1" t="s">
        <v>145</v>
      </c>
      <c r="L653" s="1" t="s">
        <v>145</v>
      </c>
      <c r="M653" s="1" t="s">
        <v>119</v>
      </c>
      <c r="N653" s="1">
        <v>0</v>
      </c>
      <c r="O653" s="1">
        <v>0</v>
      </c>
      <c r="P653" s="1" t="s">
        <v>100</v>
      </c>
      <c r="Q653" s="1" t="s">
        <v>184</v>
      </c>
      <c r="R653" s="1" t="s">
        <v>4375</v>
      </c>
      <c r="S653" s="1" t="s">
        <v>4371</v>
      </c>
      <c r="T653" s="1">
        <v>1</v>
      </c>
      <c r="U653" s="1">
        <v>1</v>
      </c>
      <c r="V653" s="1">
        <v>1</v>
      </c>
      <c r="W653" s="1">
        <v>0</v>
      </c>
      <c r="X653" s="1">
        <v>0</v>
      </c>
      <c r="Y653" s="1">
        <v>2</v>
      </c>
      <c r="Z653" s="1">
        <v>2</v>
      </c>
      <c r="AA653" s="1" t="s">
        <v>104</v>
      </c>
      <c r="AB653" s="1">
        <v>2</v>
      </c>
      <c r="AC653" s="1">
        <v>1</v>
      </c>
      <c r="AD653" s="1" t="s">
        <v>104</v>
      </c>
      <c r="AE653" s="1" t="s">
        <v>104</v>
      </c>
      <c r="AF653" s="1" t="s">
        <v>104</v>
      </c>
      <c r="AG653" s="1" t="s">
        <v>104</v>
      </c>
      <c r="AH653" s="1" t="s">
        <v>104</v>
      </c>
      <c r="AI653" s="1" t="s">
        <v>104</v>
      </c>
      <c r="AJ653" s="1" t="s">
        <v>104</v>
      </c>
      <c r="AK653" s="1" t="s">
        <v>104</v>
      </c>
      <c r="AL653" s="1" t="s">
        <v>104</v>
      </c>
      <c r="AM653" s="1" t="s">
        <v>104</v>
      </c>
      <c r="AO653" s="1">
        <v>2</v>
      </c>
      <c r="AP653" s="1" t="s">
        <v>4376</v>
      </c>
      <c r="AR653" s="1">
        <v>0</v>
      </c>
      <c r="AS653" s="1">
        <v>0</v>
      </c>
      <c r="AT653" s="1">
        <v>0</v>
      </c>
      <c r="AU653" s="1">
        <v>0</v>
      </c>
      <c r="AV653" s="1">
        <v>0</v>
      </c>
      <c r="AW653" s="1">
        <v>0</v>
      </c>
      <c r="AX653" s="1">
        <v>0</v>
      </c>
      <c r="AY653" s="1">
        <v>0</v>
      </c>
      <c r="AZ653" s="1">
        <v>0</v>
      </c>
      <c r="BA653" s="1">
        <v>0</v>
      </c>
      <c r="BB653" s="1">
        <v>0</v>
      </c>
      <c r="BC653" s="1">
        <v>0</v>
      </c>
      <c r="BD653" s="1">
        <v>0</v>
      </c>
      <c r="BE653" s="1">
        <v>0</v>
      </c>
      <c r="BF653" s="1">
        <v>0</v>
      </c>
      <c r="BG653" s="1">
        <v>0</v>
      </c>
      <c r="BH653" s="1">
        <v>0</v>
      </c>
      <c r="BI653" s="1">
        <v>0</v>
      </c>
      <c r="BJ653" s="1">
        <v>0</v>
      </c>
      <c r="BK653" s="1">
        <v>0</v>
      </c>
      <c r="BL653" s="1">
        <v>0</v>
      </c>
      <c r="BM653" s="1">
        <v>0</v>
      </c>
      <c r="BN653" s="1">
        <v>0</v>
      </c>
      <c r="BO653" s="1">
        <v>0</v>
      </c>
      <c r="BP653" s="1">
        <v>0</v>
      </c>
      <c r="BQ653" s="2" t="str">
        <f>HYPERLINK("http://www.d20pfsrd.com/magic/all-spells/d/defoliate","Defoliate")</f>
        <v>Defoliate</v>
      </c>
      <c r="BR653" s="1">
        <v>670</v>
      </c>
      <c r="BS653" s="1" t="s">
        <v>104</v>
      </c>
      <c r="BX653" s="1">
        <v>0</v>
      </c>
      <c r="BY653" s="1" t="s">
        <v>104</v>
      </c>
      <c r="BZ653" s="1" t="s">
        <v>104</v>
      </c>
      <c r="CA653" s="1" t="s">
        <v>104</v>
      </c>
      <c r="CB653" s="1" t="s">
        <v>104</v>
      </c>
      <c r="CC653" s="1" t="s">
        <v>104</v>
      </c>
      <c r="CD653" s="1" t="s">
        <v>104</v>
      </c>
      <c r="CE653" s="1" t="s">
        <v>104</v>
      </c>
      <c r="CF653" s="1" t="s">
        <v>104</v>
      </c>
      <c r="CG653" s="1" t="s">
        <v>104</v>
      </c>
      <c r="CH653" s="1">
        <v>1</v>
      </c>
      <c r="CJ653" s="1">
        <v>0</v>
      </c>
      <c r="CK653" s="1">
        <v>0</v>
      </c>
      <c r="CL653" s="1">
        <v>0</v>
      </c>
      <c r="CM653" s="1" t="s">
        <v>104</v>
      </c>
    </row>
    <row r="654" spans="1:91" ht="14.25" customHeight="1" x14ac:dyDescent="0.3">
      <c r="A654" s="1" t="s">
        <v>4377</v>
      </c>
      <c r="B654" s="1" t="s">
        <v>434</v>
      </c>
      <c r="D654" s="1" t="s">
        <v>56</v>
      </c>
      <c r="E654" s="1" t="s">
        <v>4378</v>
      </c>
      <c r="F654" s="1" t="s">
        <v>95</v>
      </c>
      <c r="G654" s="1" t="s">
        <v>3004</v>
      </c>
      <c r="H654" s="1">
        <v>0</v>
      </c>
      <c r="I654" s="1" t="s">
        <v>117</v>
      </c>
      <c r="K654" s="1" t="s">
        <v>1148</v>
      </c>
      <c r="M654" s="1" t="s">
        <v>2330</v>
      </c>
      <c r="N654" s="1">
        <v>0</v>
      </c>
      <c r="O654" s="1">
        <v>0</v>
      </c>
      <c r="P654" s="1" t="s">
        <v>4379</v>
      </c>
      <c r="Q654" s="1" t="s">
        <v>184</v>
      </c>
      <c r="R654" s="1" t="s">
        <v>4380</v>
      </c>
      <c r="S654" s="1" t="s">
        <v>4371</v>
      </c>
      <c r="T654" s="1">
        <v>1</v>
      </c>
      <c r="U654" s="1">
        <v>1</v>
      </c>
      <c r="V654" s="1">
        <v>1</v>
      </c>
      <c r="W654" s="1">
        <v>0</v>
      </c>
      <c r="X654" s="1">
        <v>0</v>
      </c>
      <c r="Y654" s="1">
        <v>3</v>
      </c>
      <c r="Z654" s="1">
        <v>3</v>
      </c>
      <c r="AA654" s="1" t="s">
        <v>104</v>
      </c>
      <c r="AB654" s="1">
        <v>3</v>
      </c>
      <c r="AC654" s="1" t="s">
        <v>104</v>
      </c>
      <c r="AD654" s="1" t="s">
        <v>104</v>
      </c>
      <c r="AE654" s="1" t="s">
        <v>104</v>
      </c>
      <c r="AF654" s="1" t="s">
        <v>104</v>
      </c>
      <c r="AG654" s="1" t="s">
        <v>104</v>
      </c>
      <c r="AH654" s="1" t="s">
        <v>104</v>
      </c>
      <c r="AI654" s="1" t="s">
        <v>104</v>
      </c>
      <c r="AJ654" s="1" t="s">
        <v>104</v>
      </c>
      <c r="AK654" s="1" t="s">
        <v>104</v>
      </c>
      <c r="AL654" s="1" t="s">
        <v>104</v>
      </c>
      <c r="AM654" s="1" t="s">
        <v>104</v>
      </c>
      <c r="AO654" s="1">
        <v>3</v>
      </c>
      <c r="AR654" s="1">
        <v>0</v>
      </c>
      <c r="AS654" s="1">
        <v>0</v>
      </c>
      <c r="AT654" s="1">
        <v>0</v>
      </c>
      <c r="AU654" s="1">
        <v>0</v>
      </c>
      <c r="AV654" s="1">
        <v>0</v>
      </c>
      <c r="AW654" s="1">
        <v>0</v>
      </c>
      <c r="AX654" s="1">
        <v>0</v>
      </c>
      <c r="AY654" s="1">
        <v>0</v>
      </c>
      <c r="AZ654" s="1">
        <v>0</v>
      </c>
      <c r="BA654" s="1">
        <v>0</v>
      </c>
      <c r="BB654" s="1">
        <v>0</v>
      </c>
      <c r="BC654" s="1">
        <v>0</v>
      </c>
      <c r="BD654" s="1">
        <v>0</v>
      </c>
      <c r="BE654" s="1">
        <v>1</v>
      </c>
      <c r="BF654" s="1">
        <v>0</v>
      </c>
      <c r="BG654" s="1">
        <v>0</v>
      </c>
      <c r="BH654" s="1">
        <v>0</v>
      </c>
      <c r="BI654" s="1">
        <v>0</v>
      </c>
      <c r="BJ654" s="1">
        <v>0</v>
      </c>
      <c r="BK654" s="1">
        <v>0</v>
      </c>
      <c r="BL654" s="1">
        <v>0</v>
      </c>
      <c r="BM654" s="1">
        <v>0</v>
      </c>
      <c r="BN654" s="1">
        <v>0</v>
      </c>
      <c r="BO654" s="1">
        <v>0</v>
      </c>
      <c r="BP654" s="1">
        <v>0</v>
      </c>
      <c r="BQ654" s="2" t="str">
        <f>HYPERLINK("http://www.d20pfsrd.com/magic/all-spells/h/h/heatstroke","Heatstroke")</f>
        <v>Heatstroke</v>
      </c>
      <c r="BR654" s="1">
        <v>671</v>
      </c>
      <c r="BS654" s="1" t="s">
        <v>104</v>
      </c>
      <c r="BX654" s="1">
        <v>0</v>
      </c>
      <c r="BY654" s="1" t="s">
        <v>104</v>
      </c>
      <c r="BZ654" s="1" t="s">
        <v>104</v>
      </c>
      <c r="CA654" s="1" t="s">
        <v>104</v>
      </c>
      <c r="CB654" s="1" t="s">
        <v>104</v>
      </c>
      <c r="CC654" s="1" t="s">
        <v>104</v>
      </c>
      <c r="CD654" s="1" t="s">
        <v>104</v>
      </c>
      <c r="CE654" s="1" t="s">
        <v>104</v>
      </c>
      <c r="CF654" s="1" t="s">
        <v>104</v>
      </c>
      <c r="CG654" s="1" t="s">
        <v>104</v>
      </c>
      <c r="CH654" s="1">
        <v>3</v>
      </c>
      <c r="CJ654" s="1">
        <v>0</v>
      </c>
      <c r="CK654" s="1">
        <v>0</v>
      </c>
      <c r="CL654" s="1">
        <v>0</v>
      </c>
      <c r="CM654" s="1" t="s">
        <v>104</v>
      </c>
    </row>
    <row r="655" spans="1:91" ht="14.25" customHeight="1" x14ac:dyDescent="0.3">
      <c r="A655" s="1" t="s">
        <v>4381</v>
      </c>
      <c r="B655" s="1" t="s">
        <v>123</v>
      </c>
      <c r="E655" s="1" t="s">
        <v>4382</v>
      </c>
      <c r="F655" s="1" t="s">
        <v>95</v>
      </c>
      <c r="G655" s="1" t="s">
        <v>116</v>
      </c>
      <c r="H655" s="1">
        <v>0</v>
      </c>
      <c r="I655" s="1" t="s">
        <v>117</v>
      </c>
      <c r="L655" s="1" t="s">
        <v>3068</v>
      </c>
      <c r="M655" s="1" t="s">
        <v>861</v>
      </c>
      <c r="N655" s="1">
        <v>0</v>
      </c>
      <c r="O655" s="1">
        <v>0</v>
      </c>
      <c r="P655" s="1" t="s">
        <v>375</v>
      </c>
      <c r="Q655" s="1" t="s">
        <v>131</v>
      </c>
      <c r="R655" s="1" t="s">
        <v>4383</v>
      </c>
      <c r="S655" s="1" t="s">
        <v>4384</v>
      </c>
      <c r="T655" s="1">
        <v>1</v>
      </c>
      <c r="U655" s="1">
        <v>1</v>
      </c>
      <c r="V655" s="1">
        <v>0</v>
      </c>
      <c r="W655" s="1">
        <v>0</v>
      </c>
      <c r="X655" s="1">
        <v>0</v>
      </c>
      <c r="Y655" s="1" t="s">
        <v>104</v>
      </c>
      <c r="Z655" s="1" t="s">
        <v>104</v>
      </c>
      <c r="AA655" s="1">
        <v>1</v>
      </c>
      <c r="AB655" s="1" t="s">
        <v>104</v>
      </c>
      <c r="AC655" s="1" t="s">
        <v>104</v>
      </c>
      <c r="AD655" s="1">
        <v>1</v>
      </c>
      <c r="AE655" s="1" t="s">
        <v>104</v>
      </c>
      <c r="AF655" s="1" t="s">
        <v>104</v>
      </c>
      <c r="AG655" s="1" t="s">
        <v>104</v>
      </c>
      <c r="AH655" s="1" t="s">
        <v>104</v>
      </c>
      <c r="AI655" s="1" t="s">
        <v>104</v>
      </c>
      <c r="AJ655" s="1">
        <v>1</v>
      </c>
      <c r="AK655" s="1" t="s">
        <v>104</v>
      </c>
      <c r="AL655" s="1" t="s">
        <v>104</v>
      </c>
      <c r="AM655" s="1" t="s">
        <v>104</v>
      </c>
      <c r="AO655" s="1">
        <v>1</v>
      </c>
      <c r="AR655" s="1">
        <v>0</v>
      </c>
      <c r="AS655" s="1">
        <v>0</v>
      </c>
      <c r="AT655" s="1">
        <v>0</v>
      </c>
      <c r="AU655" s="1">
        <v>0</v>
      </c>
      <c r="AV655" s="1">
        <v>0</v>
      </c>
      <c r="AW655" s="1">
        <v>0</v>
      </c>
      <c r="AX655" s="1">
        <v>0</v>
      </c>
      <c r="AY655" s="1">
        <v>0</v>
      </c>
      <c r="AZ655" s="1">
        <v>0</v>
      </c>
      <c r="BA655" s="1">
        <v>0</v>
      </c>
      <c r="BB655" s="1">
        <v>0</v>
      </c>
      <c r="BC655" s="1">
        <v>0</v>
      </c>
      <c r="BD655" s="1">
        <v>0</v>
      </c>
      <c r="BE655" s="1">
        <v>0</v>
      </c>
      <c r="BF655" s="1">
        <v>0</v>
      </c>
      <c r="BG655" s="1">
        <v>0</v>
      </c>
      <c r="BH655" s="1">
        <v>0</v>
      </c>
      <c r="BI655" s="1">
        <v>0</v>
      </c>
      <c r="BJ655" s="1">
        <v>0</v>
      </c>
      <c r="BK655" s="1">
        <v>0</v>
      </c>
      <c r="BL655" s="1">
        <v>0</v>
      </c>
      <c r="BM655" s="1">
        <v>0</v>
      </c>
      <c r="BN655" s="1">
        <v>0</v>
      </c>
      <c r="BO655" s="1">
        <v>0</v>
      </c>
      <c r="BP655" s="1">
        <v>0</v>
      </c>
      <c r="BQ655" s="1" t="s">
        <v>104</v>
      </c>
      <c r="BR655" s="1">
        <v>672</v>
      </c>
      <c r="BS655" s="1" t="s">
        <v>104</v>
      </c>
      <c r="BX655" s="1">
        <v>0</v>
      </c>
      <c r="BY655" s="1" t="s">
        <v>104</v>
      </c>
      <c r="BZ655" s="1" t="s">
        <v>104</v>
      </c>
      <c r="CA655" s="1" t="s">
        <v>104</v>
      </c>
      <c r="CB655" s="1" t="s">
        <v>104</v>
      </c>
      <c r="CC655" s="1" t="s">
        <v>104</v>
      </c>
      <c r="CD655" s="1" t="s">
        <v>104</v>
      </c>
      <c r="CE655" s="1" t="s">
        <v>104</v>
      </c>
      <c r="CF655" s="1" t="s">
        <v>104</v>
      </c>
      <c r="CG655" s="1" t="s">
        <v>104</v>
      </c>
      <c r="CH655" s="1" t="s">
        <v>104</v>
      </c>
      <c r="CJ655" s="1">
        <v>0</v>
      </c>
      <c r="CK655" s="1">
        <v>0</v>
      </c>
      <c r="CL655" s="1">
        <v>0</v>
      </c>
      <c r="CM655" s="1" t="s">
        <v>104</v>
      </c>
    </row>
    <row r="656" spans="1:91" ht="14.25" customHeight="1" x14ac:dyDescent="0.3">
      <c r="A656" s="1" t="s">
        <v>4385</v>
      </c>
      <c r="B656" s="1" t="s">
        <v>123</v>
      </c>
      <c r="C656" s="1" t="s">
        <v>124</v>
      </c>
      <c r="D656" s="1" t="s">
        <v>125</v>
      </c>
      <c r="E656" s="1" t="s">
        <v>4386</v>
      </c>
      <c r="F656" s="1" t="s">
        <v>95</v>
      </c>
      <c r="G656" s="1" t="s">
        <v>4387</v>
      </c>
      <c r="H656" s="1">
        <v>0</v>
      </c>
      <c r="I656" s="1" t="s">
        <v>4350</v>
      </c>
      <c r="L656" s="1" t="s">
        <v>4388</v>
      </c>
      <c r="M656" s="1" t="s">
        <v>111</v>
      </c>
      <c r="N656" s="1">
        <v>0</v>
      </c>
      <c r="O656" s="1">
        <v>0</v>
      </c>
      <c r="P656" s="1" t="s">
        <v>375</v>
      </c>
      <c r="Q656" s="1" t="s">
        <v>131</v>
      </c>
      <c r="R656" s="1" t="s">
        <v>4389</v>
      </c>
      <c r="S656" s="1" t="s">
        <v>4390</v>
      </c>
      <c r="T656" s="1">
        <v>1</v>
      </c>
      <c r="U656" s="1">
        <v>1</v>
      </c>
      <c r="V656" s="1">
        <v>1</v>
      </c>
      <c r="W656" s="1">
        <v>0</v>
      </c>
      <c r="X656" s="1">
        <v>0</v>
      </c>
      <c r="Y656" s="1">
        <v>3</v>
      </c>
      <c r="Z656" s="1">
        <v>3</v>
      </c>
      <c r="AA656" s="1">
        <v>3</v>
      </c>
      <c r="AB656" s="1" t="s">
        <v>104</v>
      </c>
      <c r="AC656" s="1" t="s">
        <v>104</v>
      </c>
      <c r="AD656" s="1">
        <v>2</v>
      </c>
      <c r="AE656" s="1" t="s">
        <v>104</v>
      </c>
      <c r="AF656" s="1" t="s">
        <v>104</v>
      </c>
      <c r="AG656" s="1" t="s">
        <v>104</v>
      </c>
      <c r="AH656" s="1" t="s">
        <v>104</v>
      </c>
      <c r="AI656" s="1" t="s">
        <v>104</v>
      </c>
      <c r="AJ656" s="1">
        <v>3</v>
      </c>
      <c r="AK656" s="1" t="s">
        <v>104</v>
      </c>
      <c r="AL656" s="1" t="s">
        <v>104</v>
      </c>
      <c r="AM656" s="1" t="s">
        <v>104</v>
      </c>
      <c r="AO656" s="1">
        <v>3</v>
      </c>
      <c r="AR656" s="1">
        <v>0</v>
      </c>
      <c r="AS656" s="1">
        <v>0</v>
      </c>
      <c r="AT656" s="1">
        <v>0</v>
      </c>
      <c r="AU656" s="1">
        <v>0</v>
      </c>
      <c r="AV656" s="1">
        <v>0</v>
      </c>
      <c r="AW656" s="1">
        <v>0</v>
      </c>
      <c r="AX656" s="1">
        <v>0</v>
      </c>
      <c r="AY656" s="1">
        <v>0</v>
      </c>
      <c r="AZ656" s="1">
        <v>0</v>
      </c>
      <c r="BA656" s="1">
        <v>0</v>
      </c>
      <c r="BB656" s="1">
        <v>0</v>
      </c>
      <c r="BC656" s="1">
        <v>0</v>
      </c>
      <c r="BD656" s="1">
        <v>0</v>
      </c>
      <c r="BE656" s="1">
        <v>0</v>
      </c>
      <c r="BF656" s="1">
        <v>0</v>
      </c>
      <c r="BG656" s="1">
        <v>0</v>
      </c>
      <c r="BH656" s="1">
        <v>0</v>
      </c>
      <c r="BI656" s="1">
        <v>0</v>
      </c>
      <c r="BJ656" s="1">
        <v>0</v>
      </c>
      <c r="BK656" s="1">
        <v>1</v>
      </c>
      <c r="BL656" s="1">
        <v>0</v>
      </c>
      <c r="BM656" s="1">
        <v>0</v>
      </c>
      <c r="BN656" s="1">
        <v>0</v>
      </c>
      <c r="BO656" s="1">
        <v>0</v>
      </c>
      <c r="BP656" s="1">
        <v>0</v>
      </c>
      <c r="BQ656" s="1" t="s">
        <v>104</v>
      </c>
      <c r="BR656" s="1">
        <v>673</v>
      </c>
      <c r="BS656" s="1" t="s">
        <v>104</v>
      </c>
      <c r="BX656" s="1">
        <v>0</v>
      </c>
      <c r="BY656" s="1" t="s">
        <v>104</v>
      </c>
      <c r="BZ656" s="1" t="s">
        <v>104</v>
      </c>
      <c r="CA656" s="1" t="s">
        <v>104</v>
      </c>
      <c r="CB656" s="1" t="s">
        <v>104</v>
      </c>
      <c r="CC656" s="1" t="s">
        <v>104</v>
      </c>
      <c r="CD656" s="1" t="s">
        <v>104</v>
      </c>
      <c r="CE656" s="1" t="s">
        <v>104</v>
      </c>
      <c r="CF656" s="1" t="s">
        <v>104</v>
      </c>
      <c r="CG656" s="1" t="s">
        <v>104</v>
      </c>
      <c r="CH656" s="1" t="s">
        <v>104</v>
      </c>
      <c r="CJ656" s="1">
        <v>0</v>
      </c>
      <c r="CK656" s="1">
        <v>0</v>
      </c>
      <c r="CL656" s="1">
        <v>0</v>
      </c>
      <c r="CM656" s="1" t="s">
        <v>104</v>
      </c>
    </row>
    <row r="657" spans="1:91" ht="14.25" customHeight="1" x14ac:dyDescent="0.3">
      <c r="A657" s="1" t="s">
        <v>4391</v>
      </c>
      <c r="B657" s="1" t="s">
        <v>162</v>
      </c>
      <c r="E657" s="1" t="s">
        <v>4392</v>
      </c>
      <c r="F657" s="1" t="s">
        <v>95</v>
      </c>
      <c r="G657" s="1" t="s">
        <v>127</v>
      </c>
      <c r="H657" s="1">
        <v>0</v>
      </c>
      <c r="I657" s="1" t="s">
        <v>128</v>
      </c>
      <c r="L657" s="1" t="s">
        <v>4393</v>
      </c>
      <c r="M657" s="1" t="s">
        <v>2330</v>
      </c>
      <c r="N657" s="1">
        <v>0</v>
      </c>
      <c r="O657" s="1">
        <v>0</v>
      </c>
      <c r="P657" s="1" t="s">
        <v>211</v>
      </c>
      <c r="Q657" s="1" t="s">
        <v>101</v>
      </c>
      <c r="R657" s="1" t="s">
        <v>4394</v>
      </c>
      <c r="S657" s="1" t="s">
        <v>4390</v>
      </c>
      <c r="T657" s="1">
        <v>1</v>
      </c>
      <c r="U657" s="1">
        <v>1</v>
      </c>
      <c r="V657" s="1">
        <v>0</v>
      </c>
      <c r="W657" s="1">
        <v>0</v>
      </c>
      <c r="X657" s="1">
        <v>1</v>
      </c>
      <c r="Y657" s="1" t="s">
        <v>104</v>
      </c>
      <c r="Z657" s="1" t="s">
        <v>104</v>
      </c>
      <c r="AA657" s="1">
        <v>1</v>
      </c>
      <c r="AB657" s="1" t="s">
        <v>104</v>
      </c>
      <c r="AC657" s="1" t="s">
        <v>104</v>
      </c>
      <c r="AD657" s="1" t="s">
        <v>104</v>
      </c>
      <c r="AE657" s="1" t="s">
        <v>104</v>
      </c>
      <c r="AF657" s="1" t="s">
        <v>104</v>
      </c>
      <c r="AG657" s="1" t="s">
        <v>104</v>
      </c>
      <c r="AH657" s="1" t="s">
        <v>104</v>
      </c>
      <c r="AI657" s="1" t="s">
        <v>104</v>
      </c>
      <c r="AJ657" s="1">
        <v>1</v>
      </c>
      <c r="AK657" s="1" t="s">
        <v>104</v>
      </c>
      <c r="AL657" s="1" t="s">
        <v>104</v>
      </c>
      <c r="AM657" s="1" t="s">
        <v>104</v>
      </c>
      <c r="AO657" s="1">
        <v>1</v>
      </c>
      <c r="AR657" s="1">
        <v>0</v>
      </c>
      <c r="AS657" s="1">
        <v>0</v>
      </c>
      <c r="AT657" s="1">
        <v>0</v>
      </c>
      <c r="AU657" s="1">
        <v>0</v>
      </c>
      <c r="AV657" s="1">
        <v>0</v>
      </c>
      <c r="AW657" s="1">
        <v>0</v>
      </c>
      <c r="AX657" s="1">
        <v>0</v>
      </c>
      <c r="AY657" s="1">
        <v>0</v>
      </c>
      <c r="AZ657" s="1">
        <v>0</v>
      </c>
      <c r="BA657" s="1">
        <v>0</v>
      </c>
      <c r="BB657" s="1">
        <v>0</v>
      </c>
      <c r="BC657" s="1">
        <v>0</v>
      </c>
      <c r="BD657" s="1">
        <v>0</v>
      </c>
      <c r="BE657" s="1">
        <v>0</v>
      </c>
      <c r="BF657" s="1">
        <v>0</v>
      </c>
      <c r="BG657" s="1">
        <v>0</v>
      </c>
      <c r="BH657" s="1">
        <v>0</v>
      </c>
      <c r="BI657" s="1">
        <v>0</v>
      </c>
      <c r="BJ657" s="1">
        <v>0</v>
      </c>
      <c r="BK657" s="1">
        <v>0</v>
      </c>
      <c r="BL657" s="1">
        <v>0</v>
      </c>
      <c r="BM657" s="1">
        <v>0</v>
      </c>
      <c r="BN657" s="1">
        <v>0</v>
      </c>
      <c r="BO657" s="1">
        <v>0</v>
      </c>
      <c r="BP657" s="1">
        <v>0</v>
      </c>
      <c r="BQ657" s="1" t="s">
        <v>104</v>
      </c>
      <c r="BR657" s="1">
        <v>676</v>
      </c>
      <c r="BS657" s="1" t="s">
        <v>104</v>
      </c>
      <c r="BX657" s="1">
        <v>0</v>
      </c>
      <c r="BY657" s="1" t="s">
        <v>104</v>
      </c>
      <c r="BZ657" s="1" t="s">
        <v>104</v>
      </c>
      <c r="CA657" s="1" t="s">
        <v>104</v>
      </c>
      <c r="CB657" s="1" t="s">
        <v>104</v>
      </c>
      <c r="CC657" s="1" t="s">
        <v>104</v>
      </c>
      <c r="CD657" s="1" t="s">
        <v>104</v>
      </c>
      <c r="CE657" s="1" t="s">
        <v>104</v>
      </c>
      <c r="CF657" s="1" t="s">
        <v>104</v>
      </c>
      <c r="CG657" s="1" t="s">
        <v>104</v>
      </c>
      <c r="CH657" s="1" t="s">
        <v>104</v>
      </c>
      <c r="CJ657" s="1">
        <v>0</v>
      </c>
      <c r="CK657" s="1">
        <v>0</v>
      </c>
      <c r="CL657" s="1">
        <v>0</v>
      </c>
      <c r="CM657" s="1" t="s">
        <v>104</v>
      </c>
    </row>
    <row r="658" spans="1:91" ht="14.25" customHeight="1" x14ac:dyDescent="0.3">
      <c r="A658" s="1" t="s">
        <v>4395</v>
      </c>
      <c r="B658" s="1" t="s">
        <v>137</v>
      </c>
      <c r="E658" s="1" t="s">
        <v>4396</v>
      </c>
      <c r="F658" s="1" t="s">
        <v>95</v>
      </c>
      <c r="G658" s="1" t="s">
        <v>116</v>
      </c>
      <c r="H658" s="1">
        <v>0</v>
      </c>
      <c r="I658" s="1" t="s">
        <v>128</v>
      </c>
      <c r="L658" s="1" t="s">
        <v>374</v>
      </c>
      <c r="M658" s="1" t="s">
        <v>1874</v>
      </c>
      <c r="N658" s="1">
        <v>0</v>
      </c>
      <c r="O658" s="1">
        <v>0</v>
      </c>
      <c r="P658" s="1" t="s">
        <v>375</v>
      </c>
      <c r="Q658" s="1" t="s">
        <v>184</v>
      </c>
      <c r="R658" s="1" t="s">
        <v>4397</v>
      </c>
      <c r="S658" s="1" t="s">
        <v>4390</v>
      </c>
      <c r="T658" s="1">
        <v>1</v>
      </c>
      <c r="U658" s="1">
        <v>1</v>
      </c>
      <c r="V658" s="1">
        <v>0</v>
      </c>
      <c r="W658" s="1">
        <v>0</v>
      </c>
      <c r="X658" s="1">
        <v>0</v>
      </c>
      <c r="Y658" s="1" t="s">
        <v>104</v>
      </c>
      <c r="Z658" s="1" t="s">
        <v>104</v>
      </c>
      <c r="AA658" s="1">
        <v>0</v>
      </c>
      <c r="AB658" s="1" t="s">
        <v>104</v>
      </c>
      <c r="AC658" s="1" t="s">
        <v>104</v>
      </c>
      <c r="AD658" s="1" t="s">
        <v>104</v>
      </c>
      <c r="AE658" s="1" t="s">
        <v>104</v>
      </c>
      <c r="AF658" s="1" t="s">
        <v>104</v>
      </c>
      <c r="AG658" s="1" t="s">
        <v>104</v>
      </c>
      <c r="AH658" s="1" t="s">
        <v>104</v>
      </c>
      <c r="AI658" s="1" t="s">
        <v>104</v>
      </c>
      <c r="AJ658" s="1">
        <v>0</v>
      </c>
      <c r="AK658" s="1" t="s">
        <v>104</v>
      </c>
      <c r="AL658" s="1" t="s">
        <v>104</v>
      </c>
      <c r="AM658" s="1" t="s">
        <v>104</v>
      </c>
      <c r="AO658" s="1">
        <v>0</v>
      </c>
      <c r="AR658" s="1">
        <v>0</v>
      </c>
      <c r="AS658" s="1">
        <v>0</v>
      </c>
      <c r="AT658" s="1">
        <v>0</v>
      </c>
      <c r="AU658" s="1">
        <v>0</v>
      </c>
      <c r="AV658" s="1">
        <v>0</v>
      </c>
      <c r="AW658" s="1">
        <v>0</v>
      </c>
      <c r="AX658" s="1">
        <v>0</v>
      </c>
      <c r="AY658" s="1">
        <v>0</v>
      </c>
      <c r="AZ658" s="1">
        <v>0</v>
      </c>
      <c r="BA658" s="1">
        <v>0</v>
      </c>
      <c r="BB658" s="1">
        <v>0</v>
      </c>
      <c r="BC658" s="1">
        <v>0</v>
      </c>
      <c r="BD658" s="1">
        <v>0</v>
      </c>
      <c r="BE658" s="1">
        <v>0</v>
      </c>
      <c r="BF658" s="1">
        <v>0</v>
      </c>
      <c r="BG658" s="1">
        <v>0</v>
      </c>
      <c r="BH658" s="1">
        <v>0</v>
      </c>
      <c r="BI658" s="1">
        <v>0</v>
      </c>
      <c r="BJ658" s="1">
        <v>0</v>
      </c>
      <c r="BK658" s="1">
        <v>0</v>
      </c>
      <c r="BL658" s="1">
        <v>0</v>
      </c>
      <c r="BM658" s="1">
        <v>0</v>
      </c>
      <c r="BN658" s="1">
        <v>0</v>
      </c>
      <c r="BO658" s="1">
        <v>0</v>
      </c>
      <c r="BP658" s="1">
        <v>0</v>
      </c>
      <c r="BQ658" s="1" t="s">
        <v>104</v>
      </c>
      <c r="BR658" s="1">
        <v>678</v>
      </c>
      <c r="BS658" s="1" t="s">
        <v>104</v>
      </c>
      <c r="BX658" s="1">
        <v>0</v>
      </c>
      <c r="BY658" s="1" t="s">
        <v>104</v>
      </c>
      <c r="BZ658" s="1" t="s">
        <v>104</v>
      </c>
      <c r="CA658" s="1" t="s">
        <v>104</v>
      </c>
      <c r="CB658" s="1" t="s">
        <v>104</v>
      </c>
      <c r="CC658" s="1" t="s">
        <v>104</v>
      </c>
      <c r="CD658" s="1" t="s">
        <v>104</v>
      </c>
      <c r="CE658" s="1" t="s">
        <v>104</v>
      </c>
      <c r="CF658" s="1" t="s">
        <v>104</v>
      </c>
      <c r="CG658" s="1" t="s">
        <v>104</v>
      </c>
      <c r="CH658" s="1" t="s">
        <v>104</v>
      </c>
      <c r="CJ658" s="1">
        <v>0</v>
      </c>
      <c r="CK658" s="1">
        <v>0</v>
      </c>
      <c r="CL658" s="1">
        <v>0</v>
      </c>
      <c r="CM658" s="1" t="s">
        <v>104</v>
      </c>
    </row>
    <row r="659" spans="1:91" ht="14.25" customHeight="1" x14ac:dyDescent="0.3">
      <c r="A659" s="1" t="s">
        <v>4398</v>
      </c>
      <c r="B659" s="1" t="s">
        <v>137</v>
      </c>
      <c r="E659" s="1" t="s">
        <v>4399</v>
      </c>
      <c r="F659" s="1" t="s">
        <v>95</v>
      </c>
      <c r="G659" s="1" t="s">
        <v>1802</v>
      </c>
      <c r="H659" s="1">
        <v>0</v>
      </c>
      <c r="I659" s="1" t="s">
        <v>128</v>
      </c>
      <c r="L659" s="1" t="s">
        <v>983</v>
      </c>
      <c r="M659" s="1" t="s">
        <v>4400</v>
      </c>
      <c r="N659" s="1">
        <v>1</v>
      </c>
      <c r="O659" s="1">
        <v>0</v>
      </c>
      <c r="P659" s="1" t="s">
        <v>4401</v>
      </c>
      <c r="Q659" s="1" t="s">
        <v>101</v>
      </c>
      <c r="R659" s="1" t="s">
        <v>4402</v>
      </c>
      <c r="S659" s="1" t="s">
        <v>4403</v>
      </c>
      <c r="T659" s="1">
        <v>0</v>
      </c>
      <c r="U659" s="1">
        <v>1</v>
      </c>
      <c r="V659" s="1">
        <v>0</v>
      </c>
      <c r="W659" s="1">
        <v>0</v>
      </c>
      <c r="X659" s="1">
        <v>0</v>
      </c>
      <c r="Y659" s="1" t="s">
        <v>104</v>
      </c>
      <c r="Z659" s="1" t="s">
        <v>104</v>
      </c>
      <c r="AA659" s="1" t="s">
        <v>104</v>
      </c>
      <c r="AB659" s="1" t="s">
        <v>104</v>
      </c>
      <c r="AC659" s="1" t="s">
        <v>104</v>
      </c>
      <c r="AD659" s="1" t="s">
        <v>104</v>
      </c>
      <c r="AE659" s="1" t="s">
        <v>104</v>
      </c>
      <c r="AF659" s="1">
        <v>3</v>
      </c>
      <c r="AG659" s="1" t="s">
        <v>104</v>
      </c>
      <c r="AH659" s="1" t="s">
        <v>104</v>
      </c>
      <c r="AI659" s="1" t="s">
        <v>104</v>
      </c>
      <c r="AJ659" s="1" t="s">
        <v>104</v>
      </c>
      <c r="AK659" s="1" t="s">
        <v>104</v>
      </c>
      <c r="AL659" s="1" t="s">
        <v>104</v>
      </c>
      <c r="AM659" s="1" t="s">
        <v>104</v>
      </c>
      <c r="AO659" s="1">
        <v>3</v>
      </c>
      <c r="AQ659" s="1" t="s">
        <v>4404</v>
      </c>
      <c r="AR659" s="1">
        <v>0</v>
      </c>
      <c r="AS659" s="1">
        <v>0</v>
      </c>
      <c r="AT659" s="1">
        <v>0</v>
      </c>
      <c r="AU659" s="1">
        <v>0</v>
      </c>
      <c r="AV659" s="1">
        <v>0</v>
      </c>
      <c r="AW659" s="1">
        <v>0</v>
      </c>
      <c r="AX659" s="1">
        <v>0</v>
      </c>
      <c r="AY659" s="1">
        <v>0</v>
      </c>
      <c r="AZ659" s="1">
        <v>0</v>
      </c>
      <c r="BA659" s="1">
        <v>0</v>
      </c>
      <c r="BB659" s="1">
        <v>0</v>
      </c>
      <c r="BC659" s="1">
        <v>0</v>
      </c>
      <c r="BD659" s="1">
        <v>0</v>
      </c>
      <c r="BE659" s="1">
        <v>0</v>
      </c>
      <c r="BF659" s="1">
        <v>0</v>
      </c>
      <c r="BG659" s="1">
        <v>0</v>
      </c>
      <c r="BH659" s="1">
        <v>0</v>
      </c>
      <c r="BI659" s="1">
        <v>0</v>
      </c>
      <c r="BJ659" s="1">
        <v>0</v>
      </c>
      <c r="BK659" s="1">
        <v>0</v>
      </c>
      <c r="BL659" s="1">
        <v>0</v>
      </c>
      <c r="BM659" s="1">
        <v>0</v>
      </c>
      <c r="BN659" s="1">
        <v>0</v>
      </c>
      <c r="BO659" s="1">
        <v>0</v>
      </c>
      <c r="BP659" s="1">
        <v>0</v>
      </c>
      <c r="BQ659" s="2" t="str">
        <f>HYPERLINK("http://www.d20pfsrd.com/magic/all-spells/a/absorbing-touch","Absorbing Touch")</f>
        <v>Absorbing Touch</v>
      </c>
      <c r="BR659" s="1">
        <v>679</v>
      </c>
      <c r="BS659" s="1" t="s">
        <v>104</v>
      </c>
      <c r="BX659" s="1">
        <v>0</v>
      </c>
      <c r="BY659" s="1" t="s">
        <v>104</v>
      </c>
      <c r="BZ659" s="1" t="s">
        <v>104</v>
      </c>
      <c r="CA659" s="1" t="s">
        <v>104</v>
      </c>
      <c r="CB659" s="1" t="s">
        <v>104</v>
      </c>
      <c r="CC659" s="1" t="s">
        <v>104</v>
      </c>
      <c r="CD659" s="1" t="s">
        <v>104</v>
      </c>
      <c r="CE659" s="1" t="s">
        <v>104</v>
      </c>
      <c r="CF659" s="1" t="s">
        <v>104</v>
      </c>
      <c r="CG659" s="1" t="s">
        <v>104</v>
      </c>
      <c r="CH659" s="1" t="s">
        <v>104</v>
      </c>
      <c r="CJ659" s="1">
        <v>0</v>
      </c>
      <c r="CK659" s="1">
        <v>0</v>
      </c>
      <c r="CL659" s="1">
        <v>0</v>
      </c>
      <c r="CM659" s="1" t="s">
        <v>104</v>
      </c>
    </row>
    <row r="660" spans="1:91" ht="14.25" customHeight="1" x14ac:dyDescent="0.3">
      <c r="A660" s="1" t="s">
        <v>4405</v>
      </c>
      <c r="B660" s="1" t="s">
        <v>137</v>
      </c>
      <c r="D660" s="1" t="s">
        <v>64</v>
      </c>
      <c r="E660" s="1" t="s">
        <v>4406</v>
      </c>
      <c r="F660" s="1" t="s">
        <v>95</v>
      </c>
      <c r="G660" s="1" t="s">
        <v>4407</v>
      </c>
      <c r="H660" s="1">
        <v>0</v>
      </c>
      <c r="I660" s="1" t="s">
        <v>128</v>
      </c>
      <c r="L660" s="1" t="s">
        <v>374</v>
      </c>
      <c r="M660" s="1" t="s">
        <v>119</v>
      </c>
      <c r="N660" s="1">
        <v>0</v>
      </c>
      <c r="O660" s="1">
        <v>0</v>
      </c>
      <c r="P660" s="1" t="s">
        <v>183</v>
      </c>
      <c r="Q660" s="1" t="s">
        <v>184</v>
      </c>
      <c r="R660" s="1" t="s">
        <v>4408</v>
      </c>
      <c r="S660" s="1" t="s">
        <v>4403</v>
      </c>
      <c r="T660" s="1">
        <v>1</v>
      </c>
      <c r="U660" s="1">
        <v>1</v>
      </c>
      <c r="V660" s="1">
        <v>1</v>
      </c>
      <c r="W660" s="1">
        <v>0</v>
      </c>
      <c r="X660" s="1">
        <v>0</v>
      </c>
      <c r="Y660" s="1">
        <v>2</v>
      </c>
      <c r="Z660" s="1">
        <v>2</v>
      </c>
      <c r="AA660" s="1" t="s">
        <v>104</v>
      </c>
      <c r="AB660" s="1">
        <v>2</v>
      </c>
      <c r="AC660" s="1">
        <v>2</v>
      </c>
      <c r="AD660" s="1" t="s">
        <v>104</v>
      </c>
      <c r="AE660" s="1" t="s">
        <v>104</v>
      </c>
      <c r="AF660" s="1" t="s">
        <v>104</v>
      </c>
      <c r="AG660" s="1" t="s">
        <v>104</v>
      </c>
      <c r="AH660" s="1" t="s">
        <v>104</v>
      </c>
      <c r="AI660" s="1" t="s">
        <v>104</v>
      </c>
      <c r="AJ660" s="1" t="s">
        <v>104</v>
      </c>
      <c r="AK660" s="1" t="s">
        <v>104</v>
      </c>
      <c r="AL660" s="1" t="s">
        <v>104</v>
      </c>
      <c r="AM660" s="1" t="s">
        <v>104</v>
      </c>
      <c r="AO660" s="1">
        <v>2</v>
      </c>
      <c r="AQ660" s="1" t="s">
        <v>4409</v>
      </c>
      <c r="AR660" s="1">
        <v>0</v>
      </c>
      <c r="AS660" s="1">
        <v>0</v>
      </c>
      <c r="AT660" s="1">
        <v>0</v>
      </c>
      <c r="AU660" s="1">
        <v>0</v>
      </c>
      <c r="AV660" s="1">
        <v>0</v>
      </c>
      <c r="AW660" s="1">
        <v>0</v>
      </c>
      <c r="AX660" s="1">
        <v>0</v>
      </c>
      <c r="AY660" s="1">
        <v>0</v>
      </c>
      <c r="AZ660" s="1">
        <v>0</v>
      </c>
      <c r="BA660" s="1">
        <v>0</v>
      </c>
      <c r="BB660" s="1">
        <v>0</v>
      </c>
      <c r="BC660" s="1">
        <v>0</v>
      </c>
      <c r="BD660" s="1">
        <v>0</v>
      </c>
      <c r="BE660" s="1">
        <v>0</v>
      </c>
      <c r="BF660" s="1">
        <v>0</v>
      </c>
      <c r="BG660" s="1">
        <v>0</v>
      </c>
      <c r="BH660" s="1">
        <v>0</v>
      </c>
      <c r="BI660" s="1">
        <v>0</v>
      </c>
      <c r="BJ660" s="1">
        <v>0</v>
      </c>
      <c r="BK660" s="1">
        <v>0</v>
      </c>
      <c r="BL660" s="1">
        <v>0</v>
      </c>
      <c r="BM660" s="1">
        <v>1</v>
      </c>
      <c r="BN660" s="1">
        <v>0</v>
      </c>
      <c r="BO660" s="1">
        <v>0</v>
      </c>
      <c r="BP660" s="1">
        <v>0</v>
      </c>
      <c r="BQ660" s="2" t="str">
        <f>HYPERLINK("http://www.d20pfsrd.com/magic/all-spells/a/accelerate-poison","Accelerate Poison")</f>
        <v>Accelerate Poison</v>
      </c>
      <c r="BR660" s="1">
        <v>680</v>
      </c>
      <c r="BS660" s="1" t="s">
        <v>104</v>
      </c>
      <c r="BU660" s="1" t="s">
        <v>745</v>
      </c>
      <c r="BX660" s="1">
        <v>0</v>
      </c>
      <c r="BY660" s="1" t="s">
        <v>104</v>
      </c>
      <c r="BZ660" s="1" t="s">
        <v>104</v>
      </c>
      <c r="CA660" s="1" t="s">
        <v>104</v>
      </c>
      <c r="CB660" s="1" t="s">
        <v>104</v>
      </c>
      <c r="CC660" s="1" t="s">
        <v>104</v>
      </c>
      <c r="CD660" s="1">
        <v>2</v>
      </c>
      <c r="CE660" s="1" t="s">
        <v>104</v>
      </c>
      <c r="CF660" s="1" t="s">
        <v>104</v>
      </c>
      <c r="CG660" s="1" t="s">
        <v>104</v>
      </c>
      <c r="CH660" s="1">
        <v>2</v>
      </c>
      <c r="CJ660" s="1">
        <v>0</v>
      </c>
      <c r="CK660" s="1">
        <v>0</v>
      </c>
      <c r="CL660" s="1">
        <v>0</v>
      </c>
      <c r="CM660" s="1" t="s">
        <v>104</v>
      </c>
    </row>
    <row r="661" spans="1:91" ht="14.25" customHeight="1" x14ac:dyDescent="0.3">
      <c r="A661" s="1" t="s">
        <v>4410</v>
      </c>
      <c r="B661" s="1" t="s">
        <v>92</v>
      </c>
      <c r="C661" s="1" t="s">
        <v>93</v>
      </c>
      <c r="D661" s="1" t="s">
        <v>43</v>
      </c>
      <c r="E661" s="1" t="s">
        <v>4411</v>
      </c>
      <c r="F661" s="1" t="s">
        <v>95</v>
      </c>
      <c r="G661" s="1" t="s">
        <v>4412</v>
      </c>
      <c r="H661" s="1">
        <v>1</v>
      </c>
      <c r="I661" s="1" t="s">
        <v>109</v>
      </c>
      <c r="K661" s="1" t="s">
        <v>4413</v>
      </c>
      <c r="M661" s="1" t="s">
        <v>4414</v>
      </c>
      <c r="N661" s="1">
        <v>0</v>
      </c>
      <c r="O661" s="1">
        <v>0</v>
      </c>
      <c r="P661" s="1" t="s">
        <v>4047</v>
      </c>
      <c r="Q661" s="1" t="s">
        <v>101</v>
      </c>
      <c r="R661" s="1" t="s">
        <v>4415</v>
      </c>
      <c r="S661" s="1" t="s">
        <v>4403</v>
      </c>
      <c r="T661" s="1">
        <v>1</v>
      </c>
      <c r="U661" s="1">
        <v>1</v>
      </c>
      <c r="V661" s="1">
        <v>1</v>
      </c>
      <c r="W661" s="1">
        <v>0</v>
      </c>
      <c r="X661" s="1">
        <v>0</v>
      </c>
      <c r="Y661" s="1">
        <v>4</v>
      </c>
      <c r="Z661" s="1">
        <v>4</v>
      </c>
      <c r="AA661" s="1" t="s">
        <v>104</v>
      </c>
      <c r="AB661" s="1" t="s">
        <v>104</v>
      </c>
      <c r="AC661" s="1" t="s">
        <v>104</v>
      </c>
      <c r="AD661" s="1" t="s">
        <v>104</v>
      </c>
      <c r="AE661" s="1" t="s">
        <v>104</v>
      </c>
      <c r="AF661" s="1" t="s">
        <v>104</v>
      </c>
      <c r="AG661" s="1">
        <v>4</v>
      </c>
      <c r="AH661" s="1" t="s">
        <v>104</v>
      </c>
      <c r="AI661" s="1" t="s">
        <v>104</v>
      </c>
      <c r="AJ661" s="1" t="s">
        <v>104</v>
      </c>
      <c r="AK661" s="1" t="s">
        <v>104</v>
      </c>
      <c r="AL661" s="1" t="s">
        <v>104</v>
      </c>
      <c r="AM661" s="1" t="s">
        <v>104</v>
      </c>
      <c r="AO661" s="1">
        <v>4</v>
      </c>
      <c r="AQ661" s="1" t="s">
        <v>4416</v>
      </c>
      <c r="AR661" s="1">
        <v>1</v>
      </c>
      <c r="AS661" s="1">
        <v>0</v>
      </c>
      <c r="AT661" s="1">
        <v>0</v>
      </c>
      <c r="AU661" s="1">
        <v>0</v>
      </c>
      <c r="AV661" s="1">
        <v>0</v>
      </c>
      <c r="AW661" s="1">
        <v>0</v>
      </c>
      <c r="AX661" s="1">
        <v>0</v>
      </c>
      <c r="AY661" s="1">
        <v>0</v>
      </c>
      <c r="AZ661" s="1">
        <v>0</v>
      </c>
      <c r="BA661" s="1">
        <v>0</v>
      </c>
      <c r="BB661" s="1">
        <v>0</v>
      </c>
      <c r="BC661" s="1">
        <v>0</v>
      </c>
      <c r="BD661" s="1">
        <v>0</v>
      </c>
      <c r="BE661" s="1">
        <v>0</v>
      </c>
      <c r="BF661" s="1">
        <v>0</v>
      </c>
      <c r="BG661" s="1">
        <v>0</v>
      </c>
      <c r="BH661" s="1">
        <v>0</v>
      </c>
      <c r="BI661" s="1">
        <v>0</v>
      </c>
      <c r="BJ661" s="1">
        <v>0</v>
      </c>
      <c r="BK661" s="1">
        <v>0</v>
      </c>
      <c r="BL661" s="1">
        <v>0</v>
      </c>
      <c r="BM661" s="1">
        <v>0</v>
      </c>
      <c r="BN661" s="1">
        <v>0</v>
      </c>
      <c r="BO661" s="1">
        <v>0</v>
      </c>
      <c r="BP661" s="1">
        <v>0</v>
      </c>
      <c r="BQ661" s="2" t="str">
        <f>HYPERLINK("http://www.d20pfsrd.com/magic/all-spells/a/acid-pit","Acid Pit")</f>
        <v>Acid Pit</v>
      </c>
      <c r="BR661" s="1">
        <v>681</v>
      </c>
      <c r="BS661" s="1">
        <v>10</v>
      </c>
      <c r="BX661" s="1">
        <v>0</v>
      </c>
      <c r="BY661" s="1" t="s">
        <v>104</v>
      </c>
      <c r="BZ661" s="1" t="s">
        <v>104</v>
      </c>
      <c r="CA661" s="1" t="s">
        <v>104</v>
      </c>
      <c r="CB661" s="1" t="s">
        <v>104</v>
      </c>
      <c r="CC661" s="1" t="s">
        <v>104</v>
      </c>
      <c r="CD661" s="1" t="s">
        <v>104</v>
      </c>
      <c r="CE661" s="1" t="s">
        <v>104</v>
      </c>
      <c r="CF661" s="1" t="s">
        <v>104</v>
      </c>
      <c r="CG661" s="1" t="s">
        <v>104</v>
      </c>
      <c r="CH661" s="1" t="s">
        <v>104</v>
      </c>
      <c r="CJ661" s="1">
        <v>0</v>
      </c>
      <c r="CK661" s="1">
        <v>0</v>
      </c>
      <c r="CL661" s="1">
        <v>0</v>
      </c>
      <c r="CM661" s="1">
        <v>4</v>
      </c>
    </row>
    <row r="662" spans="1:91" ht="14.25" customHeight="1" x14ac:dyDescent="0.3">
      <c r="A662" s="1" t="s">
        <v>4417</v>
      </c>
      <c r="B662" s="1" t="s">
        <v>137</v>
      </c>
      <c r="E662" s="1" t="s">
        <v>4418</v>
      </c>
      <c r="F662" s="1" t="s">
        <v>95</v>
      </c>
      <c r="G662" s="1" t="s">
        <v>1802</v>
      </c>
      <c r="H662" s="1">
        <v>0</v>
      </c>
      <c r="I662" s="1" t="s">
        <v>157</v>
      </c>
      <c r="L662" s="1" t="s">
        <v>158</v>
      </c>
      <c r="M662" s="1" t="s">
        <v>255</v>
      </c>
      <c r="N662" s="1">
        <v>0</v>
      </c>
      <c r="O662" s="1">
        <v>0</v>
      </c>
      <c r="R662" s="1" t="s">
        <v>4419</v>
      </c>
      <c r="S662" s="1" t="s">
        <v>4403</v>
      </c>
      <c r="T662" s="1">
        <v>0</v>
      </c>
      <c r="U662" s="1">
        <v>1</v>
      </c>
      <c r="V662" s="1">
        <v>0</v>
      </c>
      <c r="W662" s="1">
        <v>0</v>
      </c>
      <c r="X662" s="1">
        <v>0</v>
      </c>
      <c r="Y662" s="1" t="s">
        <v>104</v>
      </c>
      <c r="Z662" s="1" t="s">
        <v>104</v>
      </c>
      <c r="AA662" s="1" t="s">
        <v>104</v>
      </c>
      <c r="AB662" s="1" t="s">
        <v>104</v>
      </c>
      <c r="AC662" s="1" t="s">
        <v>104</v>
      </c>
      <c r="AD662" s="1" t="s">
        <v>104</v>
      </c>
      <c r="AE662" s="1" t="s">
        <v>104</v>
      </c>
      <c r="AF662" s="1">
        <v>2</v>
      </c>
      <c r="AG662" s="1" t="s">
        <v>104</v>
      </c>
      <c r="AH662" s="1" t="s">
        <v>104</v>
      </c>
      <c r="AI662" s="1" t="s">
        <v>104</v>
      </c>
      <c r="AJ662" s="1" t="s">
        <v>104</v>
      </c>
      <c r="AK662" s="1" t="s">
        <v>104</v>
      </c>
      <c r="AL662" s="1" t="s">
        <v>104</v>
      </c>
      <c r="AM662" s="1" t="s">
        <v>104</v>
      </c>
      <c r="AO662" s="1">
        <v>2</v>
      </c>
      <c r="AQ662" s="1" t="s">
        <v>4420</v>
      </c>
      <c r="AR662" s="1">
        <v>0</v>
      </c>
      <c r="AS662" s="1">
        <v>0</v>
      </c>
      <c r="AT662" s="1">
        <v>0</v>
      </c>
      <c r="AU662" s="1">
        <v>0</v>
      </c>
      <c r="AV662" s="1">
        <v>0</v>
      </c>
      <c r="AW662" s="1">
        <v>0</v>
      </c>
      <c r="AX662" s="1">
        <v>0</v>
      </c>
      <c r="AY662" s="1">
        <v>0</v>
      </c>
      <c r="AZ662" s="1">
        <v>0</v>
      </c>
      <c r="BA662" s="1">
        <v>0</v>
      </c>
      <c r="BB662" s="1">
        <v>0</v>
      </c>
      <c r="BC662" s="1">
        <v>0</v>
      </c>
      <c r="BD662" s="1">
        <v>0</v>
      </c>
      <c r="BE662" s="1">
        <v>0</v>
      </c>
      <c r="BF662" s="1">
        <v>0</v>
      </c>
      <c r="BG662" s="1">
        <v>0</v>
      </c>
      <c r="BH662" s="1">
        <v>0</v>
      </c>
      <c r="BI662" s="1">
        <v>0</v>
      </c>
      <c r="BJ662" s="1">
        <v>0</v>
      </c>
      <c r="BK662" s="1">
        <v>0</v>
      </c>
      <c r="BL662" s="1">
        <v>0</v>
      </c>
      <c r="BM662" s="1">
        <v>0</v>
      </c>
      <c r="BN662" s="1">
        <v>0</v>
      </c>
      <c r="BO662" s="1">
        <v>0</v>
      </c>
      <c r="BP662" s="1">
        <v>0</v>
      </c>
      <c r="BQ662" s="2" t="str">
        <f>HYPERLINK("http://www.d20pfsrd.com/magic/all-spells/a/alchemical-allocation","Alchemical Allocation")</f>
        <v>Alchemical Allocation</v>
      </c>
      <c r="BR662" s="1">
        <v>682</v>
      </c>
      <c r="BS662" s="1" t="s">
        <v>104</v>
      </c>
      <c r="BX662" s="1">
        <v>0</v>
      </c>
      <c r="BY662" s="1" t="s">
        <v>104</v>
      </c>
      <c r="BZ662" s="1" t="s">
        <v>104</v>
      </c>
      <c r="CA662" s="1" t="s">
        <v>104</v>
      </c>
      <c r="CB662" s="1" t="s">
        <v>104</v>
      </c>
      <c r="CC662" s="1" t="s">
        <v>104</v>
      </c>
      <c r="CD662" s="1" t="s">
        <v>104</v>
      </c>
      <c r="CE662" s="1" t="s">
        <v>104</v>
      </c>
      <c r="CF662" s="1" t="s">
        <v>104</v>
      </c>
      <c r="CG662" s="1" t="s">
        <v>104</v>
      </c>
      <c r="CH662" s="1" t="s">
        <v>104</v>
      </c>
      <c r="CJ662" s="1">
        <v>0</v>
      </c>
      <c r="CK662" s="1">
        <v>0</v>
      </c>
      <c r="CL662" s="1">
        <v>0</v>
      </c>
      <c r="CM662" s="1" t="s">
        <v>104</v>
      </c>
    </row>
    <row r="663" spans="1:91" ht="14.25" customHeight="1" x14ac:dyDescent="0.3">
      <c r="A663" s="1" t="s">
        <v>4421</v>
      </c>
      <c r="B663" s="1" t="s">
        <v>137</v>
      </c>
      <c r="E663" s="1" t="s">
        <v>4422</v>
      </c>
      <c r="F663" s="1" t="s">
        <v>95</v>
      </c>
      <c r="G663" s="1" t="s">
        <v>4423</v>
      </c>
      <c r="H663" s="1">
        <v>0</v>
      </c>
      <c r="I663" s="1" t="s">
        <v>128</v>
      </c>
      <c r="L663" s="1" t="s">
        <v>4424</v>
      </c>
      <c r="M663" s="1" t="s">
        <v>119</v>
      </c>
      <c r="N663" s="1">
        <v>0</v>
      </c>
      <c r="O663" s="1">
        <v>0</v>
      </c>
      <c r="P663" s="1" t="s">
        <v>471</v>
      </c>
      <c r="Q663" s="1" t="s">
        <v>472</v>
      </c>
      <c r="R663" s="1" t="s">
        <v>4425</v>
      </c>
      <c r="S663" s="1" t="s">
        <v>4403</v>
      </c>
      <c r="T663" s="1">
        <v>1</v>
      </c>
      <c r="U663" s="1">
        <v>1</v>
      </c>
      <c r="V663" s="1">
        <v>1</v>
      </c>
      <c r="W663" s="1">
        <v>0</v>
      </c>
      <c r="X663" s="1">
        <v>0</v>
      </c>
      <c r="Y663" s="1" t="s">
        <v>104</v>
      </c>
      <c r="Z663" s="1" t="s">
        <v>104</v>
      </c>
      <c r="AA663" s="1" t="s">
        <v>104</v>
      </c>
      <c r="AB663" s="1" t="s">
        <v>104</v>
      </c>
      <c r="AC663" s="1">
        <v>2</v>
      </c>
      <c r="AD663" s="1" t="s">
        <v>104</v>
      </c>
      <c r="AE663" s="1" t="s">
        <v>104</v>
      </c>
      <c r="AF663" s="1" t="s">
        <v>104</v>
      </c>
      <c r="AG663" s="1" t="s">
        <v>104</v>
      </c>
      <c r="AH663" s="1" t="s">
        <v>104</v>
      </c>
      <c r="AI663" s="1" t="s">
        <v>104</v>
      </c>
      <c r="AJ663" s="1" t="s">
        <v>104</v>
      </c>
      <c r="AK663" s="1" t="s">
        <v>104</v>
      </c>
      <c r="AL663" s="1" t="s">
        <v>104</v>
      </c>
      <c r="AM663" s="1" t="s">
        <v>104</v>
      </c>
      <c r="AO663" s="1">
        <v>2</v>
      </c>
      <c r="AQ663" s="1" t="s">
        <v>4426</v>
      </c>
      <c r="AR663" s="1">
        <v>0</v>
      </c>
      <c r="AS663" s="1">
        <v>0</v>
      </c>
      <c r="AT663" s="1">
        <v>0</v>
      </c>
      <c r="AU663" s="1">
        <v>0</v>
      </c>
      <c r="AV663" s="1">
        <v>0</v>
      </c>
      <c r="AW663" s="1">
        <v>0</v>
      </c>
      <c r="AX663" s="1">
        <v>0</v>
      </c>
      <c r="AY663" s="1">
        <v>0</v>
      </c>
      <c r="AZ663" s="1">
        <v>0</v>
      </c>
      <c r="BA663" s="1">
        <v>0</v>
      </c>
      <c r="BB663" s="1">
        <v>0</v>
      </c>
      <c r="BC663" s="1">
        <v>0</v>
      </c>
      <c r="BD663" s="1">
        <v>0</v>
      </c>
      <c r="BE663" s="1">
        <v>0</v>
      </c>
      <c r="BF663" s="1">
        <v>0</v>
      </c>
      <c r="BG663" s="1">
        <v>0</v>
      </c>
      <c r="BH663" s="1">
        <v>0</v>
      </c>
      <c r="BI663" s="1">
        <v>0</v>
      </c>
      <c r="BJ663" s="1">
        <v>0</v>
      </c>
      <c r="BK663" s="1">
        <v>0</v>
      </c>
      <c r="BL663" s="1">
        <v>0</v>
      </c>
      <c r="BM663" s="1">
        <v>0</v>
      </c>
      <c r="BN663" s="1">
        <v>0</v>
      </c>
      <c r="BO663" s="1">
        <v>0</v>
      </c>
      <c r="BP663" s="1">
        <v>0</v>
      </c>
      <c r="BQ663" s="2" t="str">
        <f>HYPERLINK("http://www.d20pfsrd.com/magic/all-spells/a/allfood","Allfood")</f>
        <v>Allfood</v>
      </c>
      <c r="BR663" s="1">
        <v>683</v>
      </c>
      <c r="BS663" s="1" t="s">
        <v>104</v>
      </c>
      <c r="BX663" s="1">
        <v>0</v>
      </c>
      <c r="BY663" s="1" t="s">
        <v>104</v>
      </c>
      <c r="BZ663" s="1" t="s">
        <v>104</v>
      </c>
      <c r="CA663" s="1" t="s">
        <v>104</v>
      </c>
      <c r="CB663" s="1" t="s">
        <v>104</v>
      </c>
      <c r="CC663" s="1" t="s">
        <v>104</v>
      </c>
      <c r="CD663" s="1" t="s">
        <v>104</v>
      </c>
      <c r="CE663" s="1" t="s">
        <v>104</v>
      </c>
      <c r="CF663" s="1" t="s">
        <v>104</v>
      </c>
      <c r="CG663" s="1" t="s">
        <v>104</v>
      </c>
      <c r="CH663" s="1">
        <v>2</v>
      </c>
      <c r="CJ663" s="1">
        <v>0</v>
      </c>
      <c r="CK663" s="1">
        <v>0</v>
      </c>
      <c r="CL663" s="1">
        <v>0</v>
      </c>
      <c r="CM663" s="1" t="s">
        <v>104</v>
      </c>
    </row>
    <row r="664" spans="1:91" ht="14.25" customHeight="1" x14ac:dyDescent="0.3">
      <c r="A664" s="1" t="s">
        <v>4427</v>
      </c>
      <c r="B664" s="1" t="s">
        <v>137</v>
      </c>
      <c r="D664" s="1" t="s">
        <v>44</v>
      </c>
      <c r="E664" s="1" t="s">
        <v>4428</v>
      </c>
      <c r="F664" s="1" t="s">
        <v>191</v>
      </c>
      <c r="G664" s="1" t="s">
        <v>116</v>
      </c>
      <c r="H664" s="1">
        <v>0</v>
      </c>
      <c r="I664" s="1" t="s">
        <v>128</v>
      </c>
      <c r="J664" s="1" t="s">
        <v>4429</v>
      </c>
      <c r="M664" s="1" t="s">
        <v>201</v>
      </c>
      <c r="N664" s="1">
        <v>0</v>
      </c>
      <c r="O664" s="1">
        <v>0</v>
      </c>
      <c r="P664" s="1" t="s">
        <v>211</v>
      </c>
      <c r="Q664" s="1" t="s">
        <v>184</v>
      </c>
      <c r="R664" s="1" t="s">
        <v>4430</v>
      </c>
      <c r="S664" s="1" t="s">
        <v>4403</v>
      </c>
      <c r="T664" s="1">
        <v>1</v>
      </c>
      <c r="U664" s="1">
        <v>1</v>
      </c>
      <c r="V664" s="1">
        <v>0</v>
      </c>
      <c r="W664" s="1">
        <v>0</v>
      </c>
      <c r="X664" s="1">
        <v>0</v>
      </c>
      <c r="Y664" s="1">
        <v>1</v>
      </c>
      <c r="Z664" s="1">
        <v>1</v>
      </c>
      <c r="AA664" s="1" t="s">
        <v>104</v>
      </c>
      <c r="AB664" s="1">
        <v>1</v>
      </c>
      <c r="AC664" s="1" t="s">
        <v>104</v>
      </c>
      <c r="AD664" s="1" t="s">
        <v>104</v>
      </c>
      <c r="AE664" s="1" t="s">
        <v>104</v>
      </c>
      <c r="AF664" s="1" t="s">
        <v>104</v>
      </c>
      <c r="AG664" s="1" t="s">
        <v>104</v>
      </c>
      <c r="AH664" s="1" t="s">
        <v>104</v>
      </c>
      <c r="AI664" s="1" t="s">
        <v>104</v>
      </c>
      <c r="AJ664" s="1" t="s">
        <v>104</v>
      </c>
      <c r="AK664" s="1" t="s">
        <v>104</v>
      </c>
      <c r="AL664" s="1" t="s">
        <v>104</v>
      </c>
      <c r="AM664" s="1" t="s">
        <v>104</v>
      </c>
      <c r="AO664" s="1">
        <v>1</v>
      </c>
      <c r="AQ664" s="1" t="s">
        <v>4431</v>
      </c>
      <c r="AR664" s="1">
        <v>0</v>
      </c>
      <c r="AS664" s="1">
        <v>1</v>
      </c>
      <c r="AT664" s="1">
        <v>0</v>
      </c>
      <c r="AU664" s="1">
        <v>0</v>
      </c>
      <c r="AV664" s="1">
        <v>0</v>
      </c>
      <c r="AW664" s="1">
        <v>0</v>
      </c>
      <c r="AX664" s="1">
        <v>0</v>
      </c>
      <c r="AY664" s="1">
        <v>0</v>
      </c>
      <c r="AZ664" s="1">
        <v>0</v>
      </c>
      <c r="BA664" s="1">
        <v>0</v>
      </c>
      <c r="BB664" s="1">
        <v>0</v>
      </c>
      <c r="BC664" s="1">
        <v>0</v>
      </c>
      <c r="BD664" s="1">
        <v>0</v>
      </c>
      <c r="BE664" s="1">
        <v>0</v>
      </c>
      <c r="BF664" s="1">
        <v>0</v>
      </c>
      <c r="BG664" s="1">
        <v>0</v>
      </c>
      <c r="BH664" s="1">
        <v>0</v>
      </c>
      <c r="BI664" s="1">
        <v>0</v>
      </c>
      <c r="BJ664" s="1">
        <v>0</v>
      </c>
      <c r="BK664" s="1">
        <v>0</v>
      </c>
      <c r="BL664" s="1">
        <v>0</v>
      </c>
      <c r="BM664" s="1">
        <v>0</v>
      </c>
      <c r="BN664" s="1">
        <v>0</v>
      </c>
      <c r="BO664" s="1">
        <v>0</v>
      </c>
      <c r="BP664" s="1">
        <v>0</v>
      </c>
      <c r="BQ664" s="2" t="str">
        <f>HYPERLINK("http://www.d20pfsrd.com/magic/all-spells/a/alter-winds","Alter Winds")</f>
        <v>Alter Winds</v>
      </c>
      <c r="BR664" s="1">
        <v>684</v>
      </c>
      <c r="BS664" s="1" t="s">
        <v>104</v>
      </c>
      <c r="BX664" s="1">
        <v>0</v>
      </c>
      <c r="BY664" s="1" t="s">
        <v>104</v>
      </c>
      <c r="BZ664" s="1" t="s">
        <v>104</v>
      </c>
      <c r="CA664" s="1" t="s">
        <v>104</v>
      </c>
      <c r="CB664" s="1" t="s">
        <v>104</v>
      </c>
      <c r="CC664" s="1" t="s">
        <v>104</v>
      </c>
      <c r="CD664" s="1">
        <v>1</v>
      </c>
      <c r="CE664" s="1">
        <v>1</v>
      </c>
      <c r="CF664" s="1" t="s">
        <v>104</v>
      </c>
      <c r="CG664" s="1" t="s">
        <v>104</v>
      </c>
      <c r="CH664" s="1">
        <v>1</v>
      </c>
      <c r="CJ664" s="1">
        <v>0</v>
      </c>
      <c r="CK664" s="1">
        <v>0</v>
      </c>
      <c r="CL664" s="1">
        <v>0</v>
      </c>
      <c r="CM664" s="1" t="s">
        <v>104</v>
      </c>
    </row>
    <row r="665" spans="1:91" ht="14.25" customHeight="1" x14ac:dyDescent="0.3">
      <c r="A665" s="1" t="s">
        <v>4432</v>
      </c>
      <c r="B665" s="1" t="s">
        <v>137</v>
      </c>
      <c r="E665" s="1" t="s">
        <v>4399</v>
      </c>
      <c r="F665" s="1" t="s">
        <v>95</v>
      </c>
      <c r="G665" s="1" t="s">
        <v>1802</v>
      </c>
      <c r="H665" s="1">
        <v>0</v>
      </c>
      <c r="I665" s="1" t="s">
        <v>157</v>
      </c>
      <c r="L665" s="1" t="s">
        <v>158</v>
      </c>
      <c r="M665" s="1" t="s">
        <v>111</v>
      </c>
      <c r="N665" s="1">
        <v>0</v>
      </c>
      <c r="O665" s="1">
        <v>0</v>
      </c>
      <c r="R665" s="1" t="s">
        <v>4433</v>
      </c>
      <c r="S665" s="1" t="s">
        <v>4403</v>
      </c>
      <c r="T665" s="1">
        <v>0</v>
      </c>
      <c r="U665" s="1">
        <v>1</v>
      </c>
      <c r="V665" s="1">
        <v>0</v>
      </c>
      <c r="W665" s="1">
        <v>0</v>
      </c>
      <c r="X665" s="1">
        <v>0</v>
      </c>
      <c r="Y665" s="1" t="s">
        <v>104</v>
      </c>
      <c r="Z665" s="1" t="s">
        <v>104</v>
      </c>
      <c r="AA665" s="1" t="s">
        <v>104</v>
      </c>
      <c r="AB665" s="1" t="s">
        <v>104</v>
      </c>
      <c r="AC665" s="1" t="s">
        <v>104</v>
      </c>
      <c r="AD665" s="1" t="s">
        <v>104</v>
      </c>
      <c r="AE665" s="1" t="s">
        <v>104</v>
      </c>
      <c r="AF665" s="1">
        <v>3</v>
      </c>
      <c r="AG665" s="1" t="s">
        <v>104</v>
      </c>
      <c r="AH665" s="1" t="s">
        <v>104</v>
      </c>
      <c r="AI665" s="1" t="s">
        <v>104</v>
      </c>
      <c r="AJ665" s="1" t="s">
        <v>104</v>
      </c>
      <c r="AK665" s="1" t="s">
        <v>104</v>
      </c>
      <c r="AL665" s="1" t="s">
        <v>104</v>
      </c>
      <c r="AM665" s="1" t="s">
        <v>104</v>
      </c>
      <c r="AO665" s="1">
        <v>3</v>
      </c>
      <c r="AQ665" s="1" t="s">
        <v>4434</v>
      </c>
      <c r="AR665" s="1">
        <v>0</v>
      </c>
      <c r="AS665" s="1">
        <v>0</v>
      </c>
      <c r="AT665" s="1">
        <v>0</v>
      </c>
      <c r="AU665" s="1">
        <v>0</v>
      </c>
      <c r="AV665" s="1">
        <v>0</v>
      </c>
      <c r="AW665" s="1">
        <v>0</v>
      </c>
      <c r="AX665" s="1">
        <v>0</v>
      </c>
      <c r="AY665" s="1">
        <v>0</v>
      </c>
      <c r="AZ665" s="1">
        <v>0</v>
      </c>
      <c r="BA665" s="1">
        <v>0</v>
      </c>
      <c r="BB665" s="1">
        <v>0</v>
      </c>
      <c r="BC665" s="1">
        <v>0</v>
      </c>
      <c r="BD665" s="1">
        <v>0</v>
      </c>
      <c r="BE665" s="1">
        <v>0</v>
      </c>
      <c r="BF665" s="1">
        <v>0</v>
      </c>
      <c r="BG665" s="1">
        <v>0</v>
      </c>
      <c r="BH665" s="1">
        <v>0</v>
      </c>
      <c r="BI665" s="1">
        <v>0</v>
      </c>
      <c r="BJ665" s="1">
        <v>0</v>
      </c>
      <c r="BK665" s="1">
        <v>0</v>
      </c>
      <c r="BL665" s="1">
        <v>0</v>
      </c>
      <c r="BM665" s="1">
        <v>0</v>
      </c>
      <c r="BN665" s="1">
        <v>0</v>
      </c>
      <c r="BO665" s="1">
        <v>0</v>
      </c>
      <c r="BP665" s="1">
        <v>0</v>
      </c>
      <c r="BQ665" s="2" t="str">
        <f>HYPERLINK("http://www.d20pfsrd.com/magic/all-spells/a/amplify-elixir","Amplify Elixir")</f>
        <v>Amplify Elixir</v>
      </c>
      <c r="BR665" s="1">
        <v>685</v>
      </c>
      <c r="BS665" s="1" t="s">
        <v>104</v>
      </c>
      <c r="BX665" s="1">
        <v>0</v>
      </c>
      <c r="BY665" s="1" t="s">
        <v>104</v>
      </c>
      <c r="BZ665" s="1" t="s">
        <v>104</v>
      </c>
      <c r="CA665" s="1" t="s">
        <v>104</v>
      </c>
      <c r="CB665" s="1" t="s">
        <v>104</v>
      </c>
      <c r="CC665" s="1" t="s">
        <v>104</v>
      </c>
      <c r="CD665" s="1" t="s">
        <v>104</v>
      </c>
      <c r="CE665" s="1" t="s">
        <v>104</v>
      </c>
      <c r="CF665" s="1" t="s">
        <v>104</v>
      </c>
      <c r="CG665" s="1" t="s">
        <v>104</v>
      </c>
      <c r="CH665" s="1" t="s">
        <v>104</v>
      </c>
      <c r="CJ665" s="1">
        <v>0</v>
      </c>
      <c r="CK665" s="1">
        <v>0</v>
      </c>
      <c r="CL665" s="1">
        <v>0</v>
      </c>
      <c r="CM665" s="1" t="s">
        <v>104</v>
      </c>
    </row>
    <row r="666" spans="1:91" ht="14.25" customHeight="1" x14ac:dyDescent="0.3">
      <c r="A666" s="1" t="s">
        <v>4435</v>
      </c>
      <c r="B666" s="1" t="s">
        <v>137</v>
      </c>
      <c r="E666" s="1" t="s">
        <v>4436</v>
      </c>
      <c r="F666" s="1" t="s">
        <v>95</v>
      </c>
      <c r="G666" s="1" t="s">
        <v>4437</v>
      </c>
      <c r="H666" s="1">
        <v>0</v>
      </c>
      <c r="I666" s="1" t="s">
        <v>128</v>
      </c>
      <c r="L666" s="1" t="s">
        <v>374</v>
      </c>
      <c r="M666" s="1" t="s">
        <v>166</v>
      </c>
      <c r="N666" s="1">
        <v>0</v>
      </c>
      <c r="O666" s="1">
        <v>0</v>
      </c>
      <c r="P666" s="1" t="s">
        <v>1058</v>
      </c>
      <c r="Q666" s="1" t="s">
        <v>131</v>
      </c>
      <c r="R666" s="1" t="s">
        <v>4438</v>
      </c>
      <c r="S666" s="1" t="s">
        <v>4403</v>
      </c>
      <c r="T666" s="1">
        <v>1</v>
      </c>
      <c r="U666" s="1">
        <v>1</v>
      </c>
      <c r="V666" s="1">
        <v>1</v>
      </c>
      <c r="W666" s="1">
        <v>0</v>
      </c>
      <c r="X666" s="1">
        <v>1</v>
      </c>
      <c r="Y666" s="1">
        <v>1</v>
      </c>
      <c r="Z666" s="1">
        <v>1</v>
      </c>
      <c r="AA666" s="1">
        <v>1</v>
      </c>
      <c r="AB666" s="1">
        <v>1</v>
      </c>
      <c r="AC666" s="1">
        <v>1</v>
      </c>
      <c r="AD666" s="1" t="s">
        <v>104</v>
      </c>
      <c r="AE666" s="1" t="s">
        <v>104</v>
      </c>
      <c r="AF666" s="1">
        <v>1</v>
      </c>
      <c r="AG666" s="1">
        <v>1</v>
      </c>
      <c r="AH666" s="1" t="s">
        <v>104</v>
      </c>
      <c r="AI666" s="1" t="s">
        <v>104</v>
      </c>
      <c r="AJ666" s="1">
        <v>1</v>
      </c>
      <c r="AK666" s="1" t="s">
        <v>104</v>
      </c>
      <c r="AL666" s="1" t="s">
        <v>104</v>
      </c>
      <c r="AM666" s="1" t="s">
        <v>104</v>
      </c>
      <c r="AO666" s="1">
        <v>1</v>
      </c>
      <c r="AQ666" s="1" t="s">
        <v>4439</v>
      </c>
      <c r="AR666" s="1">
        <v>0</v>
      </c>
      <c r="AS666" s="1">
        <v>0</v>
      </c>
      <c r="AT666" s="1">
        <v>0</v>
      </c>
      <c r="AU666" s="1">
        <v>0</v>
      </c>
      <c r="AV666" s="1">
        <v>0</v>
      </c>
      <c r="AW666" s="1">
        <v>0</v>
      </c>
      <c r="AX666" s="1">
        <v>0</v>
      </c>
      <c r="AY666" s="1">
        <v>0</v>
      </c>
      <c r="AZ666" s="1">
        <v>0</v>
      </c>
      <c r="BA666" s="1">
        <v>0</v>
      </c>
      <c r="BB666" s="1">
        <v>0</v>
      </c>
      <c r="BC666" s="1">
        <v>0</v>
      </c>
      <c r="BD666" s="1">
        <v>0</v>
      </c>
      <c r="BE666" s="1">
        <v>0</v>
      </c>
      <c r="BF666" s="1">
        <v>0</v>
      </c>
      <c r="BG666" s="1">
        <v>0</v>
      </c>
      <c r="BH666" s="1">
        <v>0</v>
      </c>
      <c r="BI666" s="1">
        <v>0</v>
      </c>
      <c r="BJ666" s="1">
        <v>0</v>
      </c>
      <c r="BK666" s="1">
        <v>0</v>
      </c>
      <c r="BL666" s="1">
        <v>0</v>
      </c>
      <c r="BM666" s="1">
        <v>0</v>
      </c>
      <c r="BN666" s="1">
        <v>0</v>
      </c>
      <c r="BO666" s="1">
        <v>0</v>
      </c>
      <c r="BP666" s="1">
        <v>0</v>
      </c>
      <c r="BQ666" s="2" t="str">
        <f>HYPERLINK("http://www.d20pfsrd.com/magic/all-spells/a/ant-haul","Ant Haul")</f>
        <v>Ant Haul</v>
      </c>
      <c r="BR666" s="1">
        <v>686</v>
      </c>
      <c r="BS666" s="1" t="s">
        <v>104</v>
      </c>
      <c r="BX666" s="1">
        <v>0</v>
      </c>
      <c r="BY666" s="1" t="s">
        <v>104</v>
      </c>
      <c r="BZ666" s="1" t="s">
        <v>104</v>
      </c>
      <c r="CA666" s="1">
        <v>1</v>
      </c>
      <c r="CB666" s="1">
        <v>1</v>
      </c>
      <c r="CC666" s="1" t="s">
        <v>104</v>
      </c>
      <c r="CD666" s="1">
        <v>1</v>
      </c>
      <c r="CE666" s="1" t="s">
        <v>104</v>
      </c>
      <c r="CF666" s="1" t="s">
        <v>104</v>
      </c>
      <c r="CG666" s="1" t="s">
        <v>104</v>
      </c>
      <c r="CH666" s="1">
        <v>1</v>
      </c>
      <c r="CJ666" s="1">
        <v>0</v>
      </c>
      <c r="CK666" s="1">
        <v>0</v>
      </c>
      <c r="CL666" s="1">
        <v>0</v>
      </c>
      <c r="CM666" s="1">
        <v>1</v>
      </c>
    </row>
    <row r="667" spans="1:91" ht="14.25" customHeight="1" x14ac:dyDescent="0.3">
      <c r="A667" s="1" t="s">
        <v>4440</v>
      </c>
      <c r="B667" s="1" t="s">
        <v>92</v>
      </c>
      <c r="C667" s="1" t="s">
        <v>93</v>
      </c>
      <c r="D667" s="1" t="s">
        <v>67</v>
      </c>
      <c r="E667" s="1" t="s">
        <v>4441</v>
      </c>
      <c r="F667" s="1" t="s">
        <v>95</v>
      </c>
      <c r="G667" s="1" t="s">
        <v>4442</v>
      </c>
      <c r="H667" s="1">
        <v>0</v>
      </c>
      <c r="I667" s="1" t="s">
        <v>109</v>
      </c>
      <c r="K667" s="1" t="s">
        <v>4443</v>
      </c>
      <c r="M667" s="1" t="s">
        <v>111</v>
      </c>
      <c r="N667" s="1">
        <v>0</v>
      </c>
      <c r="O667" s="1">
        <v>0</v>
      </c>
      <c r="P667" s="1" t="s">
        <v>1605</v>
      </c>
      <c r="Q667" s="1" t="s">
        <v>101</v>
      </c>
      <c r="R667" s="1" t="s">
        <v>4444</v>
      </c>
      <c r="S667" s="1" t="s">
        <v>4403</v>
      </c>
      <c r="T667" s="1">
        <v>1</v>
      </c>
      <c r="U667" s="1">
        <v>1</v>
      </c>
      <c r="V667" s="1">
        <v>1</v>
      </c>
      <c r="W667" s="1">
        <v>0</v>
      </c>
      <c r="X667" s="1">
        <v>0</v>
      </c>
      <c r="Y667" s="1">
        <v>3</v>
      </c>
      <c r="Z667" s="1">
        <v>3</v>
      </c>
      <c r="AA667" s="1" t="s">
        <v>104</v>
      </c>
      <c r="AB667" s="1">
        <v>3</v>
      </c>
      <c r="AC667" s="1" t="s">
        <v>104</v>
      </c>
      <c r="AD667" s="1" t="s">
        <v>104</v>
      </c>
      <c r="AE667" s="1" t="s">
        <v>104</v>
      </c>
      <c r="AF667" s="1" t="s">
        <v>104</v>
      </c>
      <c r="AG667" s="1">
        <v>3</v>
      </c>
      <c r="AH667" s="1" t="s">
        <v>104</v>
      </c>
      <c r="AI667" s="1" t="s">
        <v>104</v>
      </c>
      <c r="AJ667" s="1" t="s">
        <v>104</v>
      </c>
      <c r="AK667" s="1" t="s">
        <v>104</v>
      </c>
      <c r="AL667" s="1">
        <v>3</v>
      </c>
      <c r="AM667" s="1" t="s">
        <v>104</v>
      </c>
      <c r="AO667" s="1">
        <v>3</v>
      </c>
      <c r="AQ667" s="1" t="s">
        <v>4445</v>
      </c>
      <c r="AR667" s="1">
        <v>0</v>
      </c>
      <c r="AS667" s="1">
        <v>0</v>
      </c>
      <c r="AT667" s="1">
        <v>0</v>
      </c>
      <c r="AU667" s="1">
        <v>0</v>
      </c>
      <c r="AV667" s="1">
        <v>0</v>
      </c>
      <c r="AW667" s="1">
        <v>0</v>
      </c>
      <c r="AX667" s="1">
        <v>0</v>
      </c>
      <c r="AY667" s="1">
        <v>0</v>
      </c>
      <c r="AZ667" s="1">
        <v>0</v>
      </c>
      <c r="BA667" s="1">
        <v>0</v>
      </c>
      <c r="BB667" s="1">
        <v>0</v>
      </c>
      <c r="BC667" s="1">
        <v>0</v>
      </c>
      <c r="BD667" s="1">
        <v>0</v>
      </c>
      <c r="BE667" s="1">
        <v>0</v>
      </c>
      <c r="BF667" s="1">
        <v>0</v>
      </c>
      <c r="BG667" s="1">
        <v>0</v>
      </c>
      <c r="BH667" s="1">
        <v>0</v>
      </c>
      <c r="BI667" s="1">
        <v>0</v>
      </c>
      <c r="BJ667" s="1">
        <v>0</v>
      </c>
      <c r="BK667" s="1">
        <v>0</v>
      </c>
      <c r="BL667" s="1">
        <v>0</v>
      </c>
      <c r="BM667" s="1">
        <v>0</v>
      </c>
      <c r="BN667" s="1">
        <v>0</v>
      </c>
      <c r="BO667" s="1">
        <v>0</v>
      </c>
      <c r="BP667" s="1">
        <v>1</v>
      </c>
      <c r="BQ667" s="1" t="s">
        <v>104</v>
      </c>
      <c r="BR667" s="1">
        <v>687</v>
      </c>
      <c r="BS667" s="1" t="s">
        <v>104</v>
      </c>
      <c r="BT667" s="1" t="s">
        <v>4446</v>
      </c>
      <c r="BX667" s="1">
        <v>0</v>
      </c>
      <c r="BY667" s="1">
        <v>3</v>
      </c>
      <c r="BZ667" s="1" t="s">
        <v>104</v>
      </c>
      <c r="CA667" s="1" t="s">
        <v>104</v>
      </c>
      <c r="CB667" s="1" t="s">
        <v>104</v>
      </c>
      <c r="CC667" s="1" t="s">
        <v>104</v>
      </c>
      <c r="CD667" s="1" t="s">
        <v>104</v>
      </c>
      <c r="CE667" s="1" t="s">
        <v>104</v>
      </c>
      <c r="CF667" s="1" t="s">
        <v>104</v>
      </c>
      <c r="CG667" s="1" t="s">
        <v>104</v>
      </c>
      <c r="CH667" s="1">
        <v>3</v>
      </c>
      <c r="CJ667" s="1">
        <v>0</v>
      </c>
      <c r="CK667" s="1">
        <v>0</v>
      </c>
      <c r="CL667" s="1">
        <v>0</v>
      </c>
      <c r="CM667" s="1">
        <v>3</v>
      </c>
    </row>
    <row r="668" spans="1:91" ht="14.25" customHeight="1" x14ac:dyDescent="0.3">
      <c r="A668" s="1" t="s">
        <v>4447</v>
      </c>
      <c r="B668" s="1" t="s">
        <v>434</v>
      </c>
      <c r="E668" s="1" t="s">
        <v>1846</v>
      </c>
      <c r="F668" s="1" t="s">
        <v>95</v>
      </c>
      <c r="G668" s="1" t="s">
        <v>4448</v>
      </c>
      <c r="H668" s="1">
        <v>0</v>
      </c>
      <c r="I668" s="1" t="s">
        <v>157</v>
      </c>
      <c r="J668" s="1" t="s">
        <v>3086</v>
      </c>
      <c r="L668" s="1" t="s">
        <v>158</v>
      </c>
      <c r="M668" s="1" t="s">
        <v>111</v>
      </c>
      <c r="N668" s="1">
        <v>0</v>
      </c>
      <c r="O668" s="1">
        <v>0</v>
      </c>
      <c r="P668" s="1" t="s">
        <v>100</v>
      </c>
      <c r="Q668" s="1" t="s">
        <v>101</v>
      </c>
      <c r="R668" s="1" t="s">
        <v>4449</v>
      </c>
      <c r="S668" s="1" t="s">
        <v>4403</v>
      </c>
      <c r="T668" s="1">
        <v>1</v>
      </c>
      <c r="U668" s="1">
        <v>1</v>
      </c>
      <c r="V668" s="1">
        <v>1</v>
      </c>
      <c r="W668" s="1">
        <v>0</v>
      </c>
      <c r="X668" s="1">
        <v>0</v>
      </c>
      <c r="Y668" s="1" t="s">
        <v>104</v>
      </c>
      <c r="Z668" s="1" t="s">
        <v>104</v>
      </c>
      <c r="AA668" s="1" t="s">
        <v>104</v>
      </c>
      <c r="AB668" s="1" t="s">
        <v>104</v>
      </c>
      <c r="AC668" s="1" t="s">
        <v>104</v>
      </c>
      <c r="AD668" s="1">
        <v>3</v>
      </c>
      <c r="AE668" s="1" t="s">
        <v>104</v>
      </c>
      <c r="AF668" s="1" t="s">
        <v>104</v>
      </c>
      <c r="AG668" s="1" t="s">
        <v>104</v>
      </c>
      <c r="AH668" s="1" t="s">
        <v>104</v>
      </c>
      <c r="AI668" s="1" t="s">
        <v>104</v>
      </c>
      <c r="AJ668" s="1" t="s">
        <v>104</v>
      </c>
      <c r="AK668" s="1" t="s">
        <v>104</v>
      </c>
      <c r="AL668" s="1" t="s">
        <v>104</v>
      </c>
      <c r="AM668" s="1" t="s">
        <v>104</v>
      </c>
      <c r="AO668" s="1">
        <v>3</v>
      </c>
      <c r="AQ668" s="1" t="s">
        <v>4450</v>
      </c>
      <c r="AR668" s="1">
        <v>0</v>
      </c>
      <c r="AS668" s="1">
        <v>0</v>
      </c>
      <c r="AT668" s="1">
        <v>0</v>
      </c>
      <c r="AU668" s="1">
        <v>0</v>
      </c>
      <c r="AV668" s="1">
        <v>0</v>
      </c>
      <c r="AW668" s="1">
        <v>0</v>
      </c>
      <c r="AX668" s="1">
        <v>0</v>
      </c>
      <c r="AY668" s="1">
        <v>0</v>
      </c>
      <c r="AZ668" s="1">
        <v>0</v>
      </c>
      <c r="BA668" s="1">
        <v>0</v>
      </c>
      <c r="BB668" s="1">
        <v>0</v>
      </c>
      <c r="BC668" s="1">
        <v>0</v>
      </c>
      <c r="BD668" s="1">
        <v>0</v>
      </c>
      <c r="BE668" s="1">
        <v>0</v>
      </c>
      <c r="BF668" s="1">
        <v>0</v>
      </c>
      <c r="BG668" s="1">
        <v>0</v>
      </c>
      <c r="BH668" s="1">
        <v>0</v>
      </c>
      <c r="BI668" s="1">
        <v>0</v>
      </c>
      <c r="BJ668" s="1">
        <v>0</v>
      </c>
      <c r="BK668" s="1">
        <v>0</v>
      </c>
      <c r="BL668" s="1">
        <v>0</v>
      </c>
      <c r="BM668" s="1">
        <v>0</v>
      </c>
      <c r="BN668" s="1">
        <v>0</v>
      </c>
      <c r="BO668" s="1">
        <v>0</v>
      </c>
      <c r="BP668" s="1">
        <v>0</v>
      </c>
      <c r="BQ668" s="2" t="str">
        <f>HYPERLINK("http://www.d20pfsrd.com/magic/all-spells/a/arcane-concordance","Arcane Concordance")</f>
        <v>Arcane Concordance</v>
      </c>
      <c r="BR668" s="1">
        <v>688</v>
      </c>
      <c r="BS668" s="1" t="s">
        <v>104</v>
      </c>
      <c r="BX668" s="1">
        <v>0</v>
      </c>
      <c r="BY668" s="1" t="s">
        <v>104</v>
      </c>
      <c r="BZ668" s="1" t="s">
        <v>104</v>
      </c>
      <c r="CA668" s="1" t="s">
        <v>104</v>
      </c>
      <c r="CB668" s="1" t="s">
        <v>104</v>
      </c>
      <c r="CC668" s="1" t="s">
        <v>104</v>
      </c>
      <c r="CD668" s="1" t="s">
        <v>104</v>
      </c>
      <c r="CE668" s="1" t="s">
        <v>104</v>
      </c>
      <c r="CF668" s="1" t="s">
        <v>104</v>
      </c>
      <c r="CG668" s="1" t="s">
        <v>104</v>
      </c>
      <c r="CH668" s="1" t="s">
        <v>104</v>
      </c>
      <c r="CJ668" s="1">
        <v>0</v>
      </c>
      <c r="CK668" s="1">
        <v>0</v>
      </c>
      <c r="CL668" s="1">
        <v>0</v>
      </c>
      <c r="CM668" s="1" t="s">
        <v>104</v>
      </c>
    </row>
    <row r="669" spans="1:91" ht="14.25" customHeight="1" x14ac:dyDescent="0.3">
      <c r="A669" s="1" t="s">
        <v>4451</v>
      </c>
      <c r="B669" s="1" t="s">
        <v>92</v>
      </c>
      <c r="C669" s="1" t="s">
        <v>93</v>
      </c>
      <c r="E669" s="1" t="s">
        <v>4452</v>
      </c>
      <c r="F669" s="1" t="s">
        <v>95</v>
      </c>
      <c r="G669" s="1" t="s">
        <v>4453</v>
      </c>
      <c r="H669" s="1">
        <v>0</v>
      </c>
      <c r="I669" s="1" t="s">
        <v>97</v>
      </c>
      <c r="J669" s="1" t="s">
        <v>4454</v>
      </c>
      <c r="M669" s="1" t="s">
        <v>119</v>
      </c>
      <c r="N669" s="1">
        <v>0</v>
      </c>
      <c r="O669" s="1">
        <v>0</v>
      </c>
      <c r="P669" s="1" t="s">
        <v>100</v>
      </c>
      <c r="Q669" s="1" t="s">
        <v>184</v>
      </c>
      <c r="R669" s="1" t="s">
        <v>4455</v>
      </c>
      <c r="S669" s="1" t="s">
        <v>4403</v>
      </c>
      <c r="T669" s="1">
        <v>1</v>
      </c>
      <c r="U669" s="1">
        <v>1</v>
      </c>
      <c r="V669" s="1">
        <v>1</v>
      </c>
      <c r="W669" s="1">
        <v>0</v>
      </c>
      <c r="X669" s="1">
        <v>0</v>
      </c>
      <c r="Y669" s="1">
        <v>2</v>
      </c>
      <c r="Z669" s="1">
        <v>2</v>
      </c>
      <c r="AA669" s="1" t="s">
        <v>104</v>
      </c>
      <c r="AB669" s="1" t="s">
        <v>104</v>
      </c>
      <c r="AC669" s="1">
        <v>2</v>
      </c>
      <c r="AD669" s="1" t="s">
        <v>104</v>
      </c>
      <c r="AE669" s="1" t="s">
        <v>104</v>
      </c>
      <c r="AF669" s="1" t="s">
        <v>104</v>
      </c>
      <c r="AG669" s="1" t="s">
        <v>104</v>
      </c>
      <c r="AH669" s="1" t="s">
        <v>104</v>
      </c>
      <c r="AI669" s="1" t="s">
        <v>104</v>
      </c>
      <c r="AJ669" s="1" t="s">
        <v>104</v>
      </c>
      <c r="AK669" s="1" t="s">
        <v>104</v>
      </c>
      <c r="AL669" s="1" t="s">
        <v>104</v>
      </c>
      <c r="AM669" s="1" t="s">
        <v>104</v>
      </c>
      <c r="AO669" s="1">
        <v>2</v>
      </c>
      <c r="AQ669" s="1" t="s">
        <v>4456</v>
      </c>
      <c r="AR669" s="1">
        <v>0</v>
      </c>
      <c r="AS669" s="1">
        <v>0</v>
      </c>
      <c r="AT669" s="1">
        <v>0</v>
      </c>
      <c r="AU669" s="1">
        <v>0</v>
      </c>
      <c r="AV669" s="1">
        <v>0</v>
      </c>
      <c r="AW669" s="1">
        <v>0</v>
      </c>
      <c r="AX669" s="1">
        <v>0</v>
      </c>
      <c r="AY669" s="1">
        <v>0</v>
      </c>
      <c r="AZ669" s="1">
        <v>0</v>
      </c>
      <c r="BA669" s="1">
        <v>0</v>
      </c>
      <c r="BB669" s="1">
        <v>0</v>
      </c>
      <c r="BC669" s="1">
        <v>0</v>
      </c>
      <c r="BD669" s="1">
        <v>0</v>
      </c>
      <c r="BE669" s="1">
        <v>0</v>
      </c>
      <c r="BF669" s="1">
        <v>0</v>
      </c>
      <c r="BG669" s="1">
        <v>0</v>
      </c>
      <c r="BH669" s="1">
        <v>0</v>
      </c>
      <c r="BI669" s="1">
        <v>0</v>
      </c>
      <c r="BJ669" s="1">
        <v>0</v>
      </c>
      <c r="BK669" s="1">
        <v>0</v>
      </c>
      <c r="BL669" s="1">
        <v>0</v>
      </c>
      <c r="BM669" s="1">
        <v>0</v>
      </c>
      <c r="BN669" s="1">
        <v>0</v>
      </c>
      <c r="BO669" s="1">
        <v>0</v>
      </c>
      <c r="BP669" s="1">
        <v>0</v>
      </c>
      <c r="BQ669" s="2" t="str">
        <f>HYPERLINK("http://www.d20pfsrd.com/magic/all-spells/a/arrow-eruption","Arrow Eruption")</f>
        <v>Arrow Eruption</v>
      </c>
      <c r="BR669" s="1">
        <v>689</v>
      </c>
      <c r="BS669" s="1" t="s">
        <v>104</v>
      </c>
      <c r="BX669" s="1">
        <v>0</v>
      </c>
      <c r="BY669" s="1" t="s">
        <v>104</v>
      </c>
      <c r="BZ669" s="1" t="s">
        <v>104</v>
      </c>
      <c r="CA669" s="1" t="s">
        <v>104</v>
      </c>
      <c r="CB669" s="1" t="s">
        <v>104</v>
      </c>
      <c r="CC669" s="1" t="s">
        <v>104</v>
      </c>
      <c r="CD669" s="1" t="s">
        <v>104</v>
      </c>
      <c r="CE669" s="1" t="s">
        <v>104</v>
      </c>
      <c r="CF669" s="1" t="s">
        <v>104</v>
      </c>
      <c r="CG669" s="1" t="s">
        <v>104</v>
      </c>
      <c r="CH669" s="1">
        <v>2</v>
      </c>
      <c r="CJ669" s="1">
        <v>0</v>
      </c>
      <c r="CK669" s="1">
        <v>0</v>
      </c>
      <c r="CL669" s="1">
        <v>0</v>
      </c>
      <c r="CM669" s="1" t="s">
        <v>104</v>
      </c>
    </row>
    <row r="670" spans="1:91" ht="14.25" customHeight="1" x14ac:dyDescent="0.3">
      <c r="A670" s="1" t="s">
        <v>4457</v>
      </c>
      <c r="B670" s="1" t="s">
        <v>137</v>
      </c>
      <c r="C670" s="1" t="s">
        <v>154</v>
      </c>
      <c r="E670" s="1" t="s">
        <v>3695</v>
      </c>
      <c r="F670" s="1" t="s">
        <v>95</v>
      </c>
      <c r="G670" s="1" t="s">
        <v>127</v>
      </c>
      <c r="H670" s="1">
        <v>0</v>
      </c>
      <c r="I670" s="1" t="s">
        <v>157</v>
      </c>
      <c r="L670" s="1" t="s">
        <v>158</v>
      </c>
      <c r="M670" s="1" t="s">
        <v>2330</v>
      </c>
      <c r="N670" s="1">
        <v>0</v>
      </c>
      <c r="O670" s="1">
        <v>0</v>
      </c>
      <c r="R670" s="1" t="s">
        <v>4458</v>
      </c>
      <c r="S670" s="1" t="s">
        <v>4403</v>
      </c>
      <c r="T670" s="1">
        <v>1</v>
      </c>
      <c r="U670" s="1">
        <v>1</v>
      </c>
      <c r="V670" s="1">
        <v>0</v>
      </c>
      <c r="W670" s="1">
        <v>0</v>
      </c>
      <c r="X670" s="1">
        <v>1</v>
      </c>
      <c r="Y670" s="1" t="s">
        <v>104</v>
      </c>
      <c r="Z670" s="1" t="s">
        <v>104</v>
      </c>
      <c r="AA670" s="1" t="s">
        <v>104</v>
      </c>
      <c r="AB670" s="1">
        <v>2</v>
      </c>
      <c r="AC670" s="1">
        <v>2</v>
      </c>
      <c r="AD670" s="1" t="s">
        <v>104</v>
      </c>
      <c r="AE670" s="1" t="s">
        <v>104</v>
      </c>
      <c r="AF670" s="1" t="s">
        <v>104</v>
      </c>
      <c r="AG670" s="1" t="s">
        <v>104</v>
      </c>
      <c r="AH670" s="1" t="s">
        <v>104</v>
      </c>
      <c r="AI670" s="1" t="s">
        <v>104</v>
      </c>
      <c r="AJ670" s="1" t="s">
        <v>104</v>
      </c>
      <c r="AK670" s="1" t="s">
        <v>104</v>
      </c>
      <c r="AL670" s="1" t="s">
        <v>104</v>
      </c>
      <c r="AM670" s="1" t="s">
        <v>104</v>
      </c>
      <c r="AO670" s="1">
        <v>2</v>
      </c>
      <c r="AQ670" s="1" t="s">
        <v>4459</v>
      </c>
      <c r="AR670" s="1">
        <v>0</v>
      </c>
      <c r="AS670" s="1">
        <v>0</v>
      </c>
      <c r="AT670" s="1">
        <v>0</v>
      </c>
      <c r="AU670" s="1">
        <v>0</v>
      </c>
      <c r="AV670" s="1">
        <v>0</v>
      </c>
      <c r="AW670" s="1">
        <v>0</v>
      </c>
      <c r="AX670" s="1">
        <v>0</v>
      </c>
      <c r="AY670" s="1">
        <v>0</v>
      </c>
      <c r="AZ670" s="1">
        <v>0</v>
      </c>
      <c r="BA670" s="1">
        <v>0</v>
      </c>
      <c r="BB670" s="1">
        <v>0</v>
      </c>
      <c r="BC670" s="1">
        <v>0</v>
      </c>
      <c r="BD670" s="1">
        <v>0</v>
      </c>
      <c r="BE670" s="1">
        <v>0</v>
      </c>
      <c r="BF670" s="1">
        <v>0</v>
      </c>
      <c r="BG670" s="1">
        <v>0</v>
      </c>
      <c r="BH670" s="1">
        <v>0</v>
      </c>
      <c r="BI670" s="1">
        <v>0</v>
      </c>
      <c r="BJ670" s="1">
        <v>0</v>
      </c>
      <c r="BK670" s="1">
        <v>0</v>
      </c>
      <c r="BL670" s="1">
        <v>0</v>
      </c>
      <c r="BM670" s="1">
        <v>0</v>
      </c>
      <c r="BN670" s="1">
        <v>0</v>
      </c>
      <c r="BO670" s="1">
        <v>0</v>
      </c>
      <c r="BP670" s="1">
        <v>0</v>
      </c>
      <c r="BQ670" s="2" t="str">
        <f>HYPERLINK("http://www.d20pfsrd.com/magic/all-spells/a/aspect-of-the-bear","Aspect of the Bear")</f>
        <v>Aspect of the Bear</v>
      </c>
      <c r="BR670" s="1">
        <v>690</v>
      </c>
      <c r="BS670" s="1" t="s">
        <v>104</v>
      </c>
      <c r="BX670" s="1">
        <v>0</v>
      </c>
      <c r="BY670" s="1" t="s">
        <v>104</v>
      </c>
      <c r="BZ670" s="1" t="s">
        <v>104</v>
      </c>
      <c r="CA670" s="1" t="s">
        <v>104</v>
      </c>
      <c r="CB670" s="1" t="s">
        <v>104</v>
      </c>
      <c r="CC670" s="1" t="s">
        <v>104</v>
      </c>
      <c r="CD670" s="1" t="s">
        <v>104</v>
      </c>
      <c r="CE670" s="1" t="s">
        <v>104</v>
      </c>
      <c r="CF670" s="1" t="s">
        <v>104</v>
      </c>
      <c r="CG670" s="1" t="s">
        <v>104</v>
      </c>
      <c r="CH670" s="1">
        <v>2</v>
      </c>
      <c r="CJ670" s="1">
        <v>0</v>
      </c>
      <c r="CK670" s="1">
        <v>0</v>
      </c>
      <c r="CL670" s="1">
        <v>0</v>
      </c>
      <c r="CM670" s="1" t="s">
        <v>104</v>
      </c>
    </row>
    <row r="671" spans="1:91" ht="14.25" customHeight="1" x14ac:dyDescent="0.3">
      <c r="A671" s="1" t="s">
        <v>4460</v>
      </c>
      <c r="B671" s="1" t="s">
        <v>137</v>
      </c>
      <c r="C671" s="1" t="s">
        <v>154</v>
      </c>
      <c r="E671" s="1" t="s">
        <v>2305</v>
      </c>
      <c r="F671" s="1" t="s">
        <v>95</v>
      </c>
      <c r="G671" s="1" t="s">
        <v>127</v>
      </c>
      <c r="H671" s="1">
        <v>0</v>
      </c>
      <c r="I671" s="1" t="s">
        <v>157</v>
      </c>
      <c r="L671" s="1" t="s">
        <v>158</v>
      </c>
      <c r="M671" s="1" t="s">
        <v>2330</v>
      </c>
      <c r="N671" s="1">
        <v>0</v>
      </c>
      <c r="O671" s="1">
        <v>0</v>
      </c>
      <c r="R671" s="1" t="s">
        <v>4461</v>
      </c>
      <c r="S671" s="1" t="s">
        <v>4403</v>
      </c>
      <c r="T671" s="1">
        <v>1</v>
      </c>
      <c r="U671" s="1">
        <v>1</v>
      </c>
      <c r="V671" s="1">
        <v>0</v>
      </c>
      <c r="W671" s="1">
        <v>0</v>
      </c>
      <c r="X671" s="1">
        <v>1</v>
      </c>
      <c r="Y671" s="1" t="s">
        <v>104</v>
      </c>
      <c r="Z671" s="1" t="s">
        <v>104</v>
      </c>
      <c r="AA671" s="1" t="s">
        <v>104</v>
      </c>
      <c r="AB671" s="1">
        <v>1</v>
      </c>
      <c r="AC671" s="1">
        <v>1</v>
      </c>
      <c r="AD671" s="1" t="s">
        <v>104</v>
      </c>
      <c r="AE671" s="1" t="s">
        <v>104</v>
      </c>
      <c r="AF671" s="1" t="s">
        <v>104</v>
      </c>
      <c r="AG671" s="1" t="s">
        <v>104</v>
      </c>
      <c r="AH671" s="1" t="s">
        <v>104</v>
      </c>
      <c r="AI671" s="1" t="s">
        <v>104</v>
      </c>
      <c r="AJ671" s="1" t="s">
        <v>104</v>
      </c>
      <c r="AK671" s="1" t="s">
        <v>104</v>
      </c>
      <c r="AL671" s="1" t="s">
        <v>104</v>
      </c>
      <c r="AM671" s="1" t="s">
        <v>104</v>
      </c>
      <c r="AO671" s="1">
        <v>1</v>
      </c>
      <c r="AQ671" s="1" t="s">
        <v>4462</v>
      </c>
      <c r="AR671" s="1">
        <v>0</v>
      </c>
      <c r="AS671" s="1">
        <v>0</v>
      </c>
      <c r="AT671" s="1">
        <v>0</v>
      </c>
      <c r="AU671" s="1">
        <v>0</v>
      </c>
      <c r="AV671" s="1">
        <v>0</v>
      </c>
      <c r="AW671" s="1">
        <v>0</v>
      </c>
      <c r="AX671" s="1">
        <v>0</v>
      </c>
      <c r="AY671" s="1">
        <v>0</v>
      </c>
      <c r="AZ671" s="1">
        <v>0</v>
      </c>
      <c r="BA671" s="1">
        <v>0</v>
      </c>
      <c r="BB671" s="1">
        <v>0</v>
      </c>
      <c r="BC671" s="1">
        <v>0</v>
      </c>
      <c r="BD671" s="1">
        <v>0</v>
      </c>
      <c r="BE671" s="1">
        <v>0</v>
      </c>
      <c r="BF671" s="1">
        <v>0</v>
      </c>
      <c r="BG671" s="1">
        <v>0</v>
      </c>
      <c r="BH671" s="1">
        <v>0</v>
      </c>
      <c r="BI671" s="1">
        <v>0</v>
      </c>
      <c r="BJ671" s="1">
        <v>0</v>
      </c>
      <c r="BK671" s="1">
        <v>0</v>
      </c>
      <c r="BL671" s="1">
        <v>0</v>
      </c>
      <c r="BM671" s="1">
        <v>0</v>
      </c>
      <c r="BN671" s="1">
        <v>0</v>
      </c>
      <c r="BO671" s="1">
        <v>0</v>
      </c>
      <c r="BP671" s="1">
        <v>0</v>
      </c>
      <c r="BQ671" s="2" t="str">
        <f>HYPERLINK("http://www.d20pfsrd.com/magic/all-spells/a/aspect-of-the-falcon","Aspect of the Falcon")</f>
        <v>Aspect of the Falcon</v>
      </c>
      <c r="BR671" s="1">
        <v>691</v>
      </c>
      <c r="BS671" s="1" t="s">
        <v>104</v>
      </c>
      <c r="BX671" s="1">
        <v>0</v>
      </c>
      <c r="BY671" s="1" t="s">
        <v>104</v>
      </c>
      <c r="BZ671" s="1" t="s">
        <v>104</v>
      </c>
      <c r="CA671" s="1" t="s">
        <v>104</v>
      </c>
      <c r="CB671" s="1" t="s">
        <v>104</v>
      </c>
      <c r="CC671" s="1" t="s">
        <v>104</v>
      </c>
      <c r="CD671" s="1" t="s">
        <v>104</v>
      </c>
      <c r="CE671" s="1" t="s">
        <v>104</v>
      </c>
      <c r="CF671" s="1" t="s">
        <v>104</v>
      </c>
      <c r="CG671" s="1" t="s">
        <v>104</v>
      </c>
      <c r="CH671" s="1">
        <v>1</v>
      </c>
      <c r="CJ671" s="1">
        <v>0</v>
      </c>
      <c r="CK671" s="1">
        <v>0</v>
      </c>
      <c r="CL671" s="1">
        <v>0</v>
      </c>
      <c r="CM671" s="1" t="s">
        <v>104</v>
      </c>
    </row>
    <row r="672" spans="1:91" ht="14.25" customHeight="1" x14ac:dyDescent="0.3">
      <c r="A672" s="1" t="s">
        <v>4463</v>
      </c>
      <c r="B672" s="1" t="s">
        <v>137</v>
      </c>
      <c r="C672" s="1" t="s">
        <v>154</v>
      </c>
      <c r="E672" s="1" t="s">
        <v>4299</v>
      </c>
      <c r="F672" s="1" t="s">
        <v>95</v>
      </c>
      <c r="G672" s="1" t="s">
        <v>127</v>
      </c>
      <c r="H672" s="1">
        <v>0</v>
      </c>
      <c r="I672" s="1" t="s">
        <v>157</v>
      </c>
      <c r="L672" s="1" t="s">
        <v>158</v>
      </c>
      <c r="M672" s="1" t="s">
        <v>2330</v>
      </c>
      <c r="N672" s="1">
        <v>0</v>
      </c>
      <c r="O672" s="1">
        <v>0</v>
      </c>
      <c r="R672" s="1" t="s">
        <v>4464</v>
      </c>
      <c r="S672" s="1" t="s">
        <v>4403</v>
      </c>
      <c r="T672" s="1">
        <v>1</v>
      </c>
      <c r="U672" s="1">
        <v>1</v>
      </c>
      <c r="V672" s="1">
        <v>0</v>
      </c>
      <c r="W672" s="1">
        <v>0</v>
      </c>
      <c r="X672" s="1">
        <v>1</v>
      </c>
      <c r="Y672" s="1" t="s">
        <v>104</v>
      </c>
      <c r="Z672" s="1" t="s">
        <v>104</v>
      </c>
      <c r="AA672" s="1" t="s">
        <v>104</v>
      </c>
      <c r="AB672" s="1">
        <v>4</v>
      </c>
      <c r="AC672" s="1">
        <v>3</v>
      </c>
      <c r="AD672" s="1" t="s">
        <v>104</v>
      </c>
      <c r="AE672" s="1" t="s">
        <v>104</v>
      </c>
      <c r="AF672" s="1" t="s">
        <v>104</v>
      </c>
      <c r="AG672" s="1" t="s">
        <v>104</v>
      </c>
      <c r="AH672" s="1" t="s">
        <v>104</v>
      </c>
      <c r="AI672" s="1" t="s">
        <v>104</v>
      </c>
      <c r="AJ672" s="1" t="s">
        <v>104</v>
      </c>
      <c r="AK672" s="1" t="s">
        <v>104</v>
      </c>
      <c r="AL672" s="1" t="s">
        <v>104</v>
      </c>
      <c r="AM672" s="1" t="s">
        <v>104</v>
      </c>
      <c r="AO672" s="1">
        <v>4</v>
      </c>
      <c r="AQ672" s="1" t="s">
        <v>4465</v>
      </c>
      <c r="AR672" s="1">
        <v>0</v>
      </c>
      <c r="AS672" s="1">
        <v>0</v>
      </c>
      <c r="AT672" s="1">
        <v>0</v>
      </c>
      <c r="AU672" s="1">
        <v>0</v>
      </c>
      <c r="AV672" s="1">
        <v>0</v>
      </c>
      <c r="AW672" s="1">
        <v>0</v>
      </c>
      <c r="AX672" s="1">
        <v>0</v>
      </c>
      <c r="AY672" s="1">
        <v>0</v>
      </c>
      <c r="AZ672" s="1">
        <v>0</v>
      </c>
      <c r="BA672" s="1">
        <v>0</v>
      </c>
      <c r="BB672" s="1">
        <v>0</v>
      </c>
      <c r="BC672" s="1">
        <v>0</v>
      </c>
      <c r="BD672" s="1">
        <v>0</v>
      </c>
      <c r="BE672" s="1">
        <v>0</v>
      </c>
      <c r="BF672" s="1">
        <v>0</v>
      </c>
      <c r="BG672" s="1">
        <v>0</v>
      </c>
      <c r="BH672" s="1">
        <v>0</v>
      </c>
      <c r="BI672" s="1">
        <v>0</v>
      </c>
      <c r="BJ672" s="1">
        <v>0</v>
      </c>
      <c r="BK672" s="1">
        <v>0</v>
      </c>
      <c r="BL672" s="1">
        <v>0</v>
      </c>
      <c r="BM672" s="1">
        <v>0</v>
      </c>
      <c r="BN672" s="1">
        <v>0</v>
      </c>
      <c r="BO672" s="1">
        <v>0</v>
      </c>
      <c r="BP672" s="1">
        <v>0</v>
      </c>
      <c r="BQ672" s="2" t="str">
        <f>HYPERLINK("http://www.d20pfsrd.com/magic/all-spells/a/aspect-of-the-stag","Aspect of the Stag")</f>
        <v>Aspect of the Stag</v>
      </c>
      <c r="BR672" s="1">
        <v>692</v>
      </c>
      <c r="BS672" s="1" t="s">
        <v>104</v>
      </c>
      <c r="BX672" s="1">
        <v>0</v>
      </c>
      <c r="BY672" s="1" t="s">
        <v>104</v>
      </c>
      <c r="BZ672" s="1" t="s">
        <v>104</v>
      </c>
      <c r="CA672" s="1" t="s">
        <v>104</v>
      </c>
      <c r="CB672" s="1" t="s">
        <v>104</v>
      </c>
      <c r="CC672" s="1" t="s">
        <v>104</v>
      </c>
      <c r="CD672" s="1" t="s">
        <v>104</v>
      </c>
      <c r="CE672" s="1" t="s">
        <v>104</v>
      </c>
      <c r="CF672" s="1" t="s">
        <v>104</v>
      </c>
      <c r="CG672" s="1" t="s">
        <v>104</v>
      </c>
      <c r="CH672" s="1">
        <v>3</v>
      </c>
      <c r="CJ672" s="1">
        <v>0</v>
      </c>
      <c r="CK672" s="1">
        <v>0</v>
      </c>
      <c r="CL672" s="1">
        <v>0</v>
      </c>
      <c r="CM672" s="1" t="s">
        <v>104</v>
      </c>
    </row>
    <row r="673" spans="1:91" ht="14.25" customHeight="1" x14ac:dyDescent="0.3">
      <c r="A673" s="1" t="s">
        <v>4466</v>
      </c>
      <c r="B673" s="1" t="s">
        <v>137</v>
      </c>
      <c r="C673" s="1" t="s">
        <v>154</v>
      </c>
      <c r="E673" s="1" t="s">
        <v>3921</v>
      </c>
      <c r="F673" s="1" t="s">
        <v>95</v>
      </c>
      <c r="G673" s="1" t="s">
        <v>127</v>
      </c>
      <c r="H673" s="1">
        <v>0</v>
      </c>
      <c r="I673" s="1" t="s">
        <v>157</v>
      </c>
      <c r="L673" s="1" t="s">
        <v>158</v>
      </c>
      <c r="M673" s="1" t="s">
        <v>2330</v>
      </c>
      <c r="N673" s="1">
        <v>0</v>
      </c>
      <c r="O673" s="1">
        <v>0</v>
      </c>
      <c r="R673" s="1" t="s">
        <v>4467</v>
      </c>
      <c r="S673" s="1" t="s">
        <v>4403</v>
      </c>
      <c r="T673" s="1">
        <v>1</v>
      </c>
      <c r="U673" s="1">
        <v>1</v>
      </c>
      <c r="V673" s="1">
        <v>0</v>
      </c>
      <c r="W673" s="1">
        <v>0</v>
      </c>
      <c r="X673" s="1">
        <v>1</v>
      </c>
      <c r="Y673" s="1" t="s">
        <v>104</v>
      </c>
      <c r="Z673" s="1" t="s">
        <v>104</v>
      </c>
      <c r="AA673" s="1" t="s">
        <v>104</v>
      </c>
      <c r="AB673" s="1">
        <v>5</v>
      </c>
      <c r="AC673" s="1">
        <v>4</v>
      </c>
      <c r="AD673" s="1" t="s">
        <v>104</v>
      </c>
      <c r="AE673" s="1" t="s">
        <v>104</v>
      </c>
      <c r="AF673" s="1" t="s">
        <v>104</v>
      </c>
      <c r="AG673" s="1" t="s">
        <v>104</v>
      </c>
      <c r="AH673" s="1" t="s">
        <v>104</v>
      </c>
      <c r="AI673" s="1" t="s">
        <v>104</v>
      </c>
      <c r="AJ673" s="1" t="s">
        <v>104</v>
      </c>
      <c r="AK673" s="1" t="s">
        <v>104</v>
      </c>
      <c r="AL673" s="1" t="s">
        <v>104</v>
      </c>
      <c r="AM673" s="1" t="s">
        <v>104</v>
      </c>
      <c r="AO673" s="1">
        <v>5</v>
      </c>
      <c r="AQ673" s="1" t="s">
        <v>4468</v>
      </c>
      <c r="AR673" s="1">
        <v>0</v>
      </c>
      <c r="AS673" s="1">
        <v>0</v>
      </c>
      <c r="AT673" s="1">
        <v>0</v>
      </c>
      <c r="AU673" s="1">
        <v>0</v>
      </c>
      <c r="AV673" s="1">
        <v>0</v>
      </c>
      <c r="AW673" s="1">
        <v>0</v>
      </c>
      <c r="AX673" s="1">
        <v>0</v>
      </c>
      <c r="AY673" s="1">
        <v>0</v>
      </c>
      <c r="AZ673" s="1">
        <v>0</v>
      </c>
      <c r="BA673" s="1">
        <v>0</v>
      </c>
      <c r="BB673" s="1">
        <v>0</v>
      </c>
      <c r="BC673" s="1">
        <v>0</v>
      </c>
      <c r="BD673" s="1">
        <v>0</v>
      </c>
      <c r="BE673" s="1">
        <v>0</v>
      </c>
      <c r="BF673" s="1">
        <v>0</v>
      </c>
      <c r="BG673" s="1">
        <v>0</v>
      </c>
      <c r="BH673" s="1">
        <v>0</v>
      </c>
      <c r="BI673" s="1">
        <v>0</v>
      </c>
      <c r="BJ673" s="1">
        <v>0</v>
      </c>
      <c r="BK673" s="1">
        <v>0</v>
      </c>
      <c r="BL673" s="1">
        <v>0</v>
      </c>
      <c r="BM673" s="1">
        <v>0</v>
      </c>
      <c r="BN673" s="1">
        <v>0</v>
      </c>
      <c r="BO673" s="1">
        <v>0</v>
      </c>
      <c r="BP673" s="1">
        <v>0</v>
      </c>
      <c r="BQ673" s="2" t="str">
        <f>HYPERLINK("http://www.d20pfsrd.com/magic/all-spells/a/aspect-of-the-wolf","Aspect of the Wolf")</f>
        <v>Aspect of the Wolf</v>
      </c>
      <c r="BR673" s="1">
        <v>693</v>
      </c>
      <c r="BS673" s="1" t="s">
        <v>104</v>
      </c>
      <c r="BU673" s="1" t="s">
        <v>4469</v>
      </c>
      <c r="BX673" s="1">
        <v>0</v>
      </c>
      <c r="BY673" s="1" t="s">
        <v>104</v>
      </c>
      <c r="BZ673" s="1" t="s">
        <v>104</v>
      </c>
      <c r="CA673" s="1" t="s">
        <v>104</v>
      </c>
      <c r="CB673" s="1" t="s">
        <v>104</v>
      </c>
      <c r="CC673" s="1" t="s">
        <v>104</v>
      </c>
      <c r="CD673" s="1" t="s">
        <v>104</v>
      </c>
      <c r="CE673" s="1" t="s">
        <v>104</v>
      </c>
      <c r="CF673" s="1" t="s">
        <v>104</v>
      </c>
      <c r="CG673" s="1" t="s">
        <v>104</v>
      </c>
      <c r="CH673" s="1">
        <v>4</v>
      </c>
      <c r="CJ673" s="1">
        <v>0</v>
      </c>
      <c r="CK673" s="1">
        <v>0</v>
      </c>
      <c r="CL673" s="1">
        <v>0</v>
      </c>
      <c r="CM673" s="1" t="s">
        <v>104</v>
      </c>
    </row>
    <row r="674" spans="1:91" ht="14.25" customHeight="1" x14ac:dyDescent="0.3">
      <c r="A674" s="1" t="s">
        <v>4470</v>
      </c>
      <c r="B674" s="1" t="s">
        <v>162</v>
      </c>
      <c r="D674" s="1" t="s">
        <v>53</v>
      </c>
      <c r="E674" s="1" t="s">
        <v>4471</v>
      </c>
      <c r="F674" s="1" t="s">
        <v>95</v>
      </c>
      <c r="G674" s="1" t="s">
        <v>127</v>
      </c>
      <c r="H674" s="1">
        <v>0</v>
      </c>
      <c r="I674" s="1" t="s">
        <v>157</v>
      </c>
      <c r="J674" s="1" t="s">
        <v>3086</v>
      </c>
      <c r="M674" s="1" t="s">
        <v>4472</v>
      </c>
      <c r="N674" s="1">
        <v>0</v>
      </c>
      <c r="O674" s="1">
        <v>0</v>
      </c>
      <c r="P674" s="1" t="s">
        <v>375</v>
      </c>
      <c r="Q674" s="1" t="s">
        <v>131</v>
      </c>
      <c r="R674" s="1" t="s">
        <v>4473</v>
      </c>
      <c r="S674" s="1" t="s">
        <v>4403</v>
      </c>
      <c r="T674" s="1">
        <v>1</v>
      </c>
      <c r="U674" s="1">
        <v>1</v>
      </c>
      <c r="V674" s="1">
        <v>0</v>
      </c>
      <c r="W674" s="1">
        <v>0</v>
      </c>
      <c r="X674" s="1">
        <v>1</v>
      </c>
      <c r="Y674" s="1" t="s">
        <v>104</v>
      </c>
      <c r="Z674" s="1" t="s">
        <v>104</v>
      </c>
      <c r="AA674" s="1" t="s">
        <v>104</v>
      </c>
      <c r="AB674" s="1" t="s">
        <v>104</v>
      </c>
      <c r="AC674" s="1" t="s">
        <v>104</v>
      </c>
      <c r="AD674" s="1" t="s">
        <v>104</v>
      </c>
      <c r="AE674" s="1">
        <v>2</v>
      </c>
      <c r="AF674" s="1" t="s">
        <v>104</v>
      </c>
      <c r="AG674" s="1" t="s">
        <v>104</v>
      </c>
      <c r="AH674" s="1" t="s">
        <v>104</v>
      </c>
      <c r="AI674" s="1" t="s">
        <v>104</v>
      </c>
      <c r="AJ674" s="1" t="s">
        <v>104</v>
      </c>
      <c r="AK674" s="1" t="s">
        <v>104</v>
      </c>
      <c r="AL674" s="1" t="s">
        <v>104</v>
      </c>
      <c r="AM674" s="1" t="s">
        <v>104</v>
      </c>
      <c r="AO674" s="1">
        <v>2</v>
      </c>
      <c r="AQ674" s="1" t="s">
        <v>4474</v>
      </c>
      <c r="AR674" s="1">
        <v>0</v>
      </c>
      <c r="AS674" s="1">
        <v>0</v>
      </c>
      <c r="AT674" s="1">
        <v>0</v>
      </c>
      <c r="AU674" s="1">
        <v>0</v>
      </c>
      <c r="AV674" s="1">
        <v>0</v>
      </c>
      <c r="AW674" s="1">
        <v>0</v>
      </c>
      <c r="AX674" s="1">
        <v>0</v>
      </c>
      <c r="AY674" s="1">
        <v>0</v>
      </c>
      <c r="AZ674" s="1">
        <v>0</v>
      </c>
      <c r="BA674" s="1">
        <v>0</v>
      </c>
      <c r="BB674" s="1">
        <v>1</v>
      </c>
      <c r="BC674" s="1">
        <v>0</v>
      </c>
      <c r="BD674" s="1">
        <v>0</v>
      </c>
      <c r="BE674" s="1">
        <v>0</v>
      </c>
      <c r="BF674" s="1">
        <v>0</v>
      </c>
      <c r="BG674" s="1">
        <v>0</v>
      </c>
      <c r="BH674" s="1">
        <v>0</v>
      </c>
      <c r="BI674" s="1">
        <v>0</v>
      </c>
      <c r="BJ674" s="1">
        <v>0</v>
      </c>
      <c r="BK674" s="1">
        <v>0</v>
      </c>
      <c r="BL674" s="1">
        <v>0</v>
      </c>
      <c r="BM674" s="1">
        <v>0</v>
      </c>
      <c r="BN674" s="1">
        <v>0</v>
      </c>
      <c r="BO674" s="1">
        <v>0</v>
      </c>
      <c r="BP674" s="1">
        <v>0</v>
      </c>
      <c r="BQ674" s="2" t="str">
        <f>HYPERLINK("http://www.d20pfsrd.com/magic/all-spells/a/aura-of-greater-courage","Aura of Greater Courage")</f>
        <v>Aura of Greater Courage</v>
      </c>
      <c r="BR674" s="1">
        <v>694</v>
      </c>
      <c r="BS674" s="1" t="s">
        <v>104</v>
      </c>
      <c r="BX674" s="1">
        <v>0</v>
      </c>
      <c r="BY674" s="1" t="s">
        <v>104</v>
      </c>
      <c r="BZ674" s="1" t="s">
        <v>104</v>
      </c>
      <c r="CA674" s="1" t="s">
        <v>104</v>
      </c>
      <c r="CB674" s="1" t="s">
        <v>104</v>
      </c>
      <c r="CC674" s="1" t="s">
        <v>104</v>
      </c>
      <c r="CD674" s="1" t="s">
        <v>104</v>
      </c>
      <c r="CE674" s="1" t="s">
        <v>104</v>
      </c>
      <c r="CF674" s="1" t="s">
        <v>104</v>
      </c>
      <c r="CG674" s="1" t="s">
        <v>104</v>
      </c>
      <c r="CH674" s="1" t="s">
        <v>104</v>
      </c>
      <c r="CJ674" s="1">
        <v>0</v>
      </c>
      <c r="CK674" s="1">
        <v>0</v>
      </c>
      <c r="CL674" s="1">
        <v>0</v>
      </c>
      <c r="CM674" s="1" t="s">
        <v>104</v>
      </c>
    </row>
    <row r="675" spans="1:91" ht="14.25" customHeight="1" x14ac:dyDescent="0.3">
      <c r="A675" s="1" t="s">
        <v>4475</v>
      </c>
      <c r="B675" s="1" t="s">
        <v>434</v>
      </c>
      <c r="D675" s="1" t="s">
        <v>4476</v>
      </c>
      <c r="E675" s="1" t="s">
        <v>4477</v>
      </c>
      <c r="F675" s="1" t="s">
        <v>95</v>
      </c>
      <c r="G675" s="1" t="s">
        <v>4478</v>
      </c>
      <c r="H675" s="1">
        <v>0</v>
      </c>
      <c r="I675" s="1" t="s">
        <v>109</v>
      </c>
      <c r="K675" s="1" t="s">
        <v>4479</v>
      </c>
      <c r="M675" s="1" t="s">
        <v>111</v>
      </c>
      <c r="N675" s="1">
        <v>0</v>
      </c>
      <c r="O675" s="1">
        <v>0</v>
      </c>
      <c r="P675" s="1" t="s">
        <v>1605</v>
      </c>
      <c r="Q675" s="1" t="s">
        <v>184</v>
      </c>
      <c r="R675" s="1" t="s">
        <v>4480</v>
      </c>
      <c r="S675" s="1" t="s">
        <v>4403</v>
      </c>
      <c r="T675" s="1">
        <v>1</v>
      </c>
      <c r="U675" s="1">
        <v>1</v>
      </c>
      <c r="V675" s="1">
        <v>1</v>
      </c>
      <c r="W675" s="1">
        <v>0</v>
      </c>
      <c r="X675" s="1">
        <v>1</v>
      </c>
      <c r="Y675" s="1">
        <v>4</v>
      </c>
      <c r="Z675" s="1">
        <v>4</v>
      </c>
      <c r="AA675" s="1" t="s">
        <v>104</v>
      </c>
      <c r="AB675" s="1">
        <v>4</v>
      </c>
      <c r="AC675" s="1" t="s">
        <v>104</v>
      </c>
      <c r="AD675" s="1" t="s">
        <v>104</v>
      </c>
      <c r="AE675" s="1" t="s">
        <v>104</v>
      </c>
      <c r="AF675" s="1" t="s">
        <v>104</v>
      </c>
      <c r="AG675" s="1" t="s">
        <v>104</v>
      </c>
      <c r="AH675" s="1" t="s">
        <v>104</v>
      </c>
      <c r="AI675" s="1" t="s">
        <v>104</v>
      </c>
      <c r="AJ675" s="1" t="s">
        <v>104</v>
      </c>
      <c r="AK675" s="1" t="s">
        <v>104</v>
      </c>
      <c r="AL675" s="1">
        <v>4</v>
      </c>
      <c r="AM675" s="1" t="s">
        <v>104</v>
      </c>
      <c r="AO675" s="1">
        <v>4</v>
      </c>
      <c r="AQ675" s="1" t="s">
        <v>4481</v>
      </c>
      <c r="AR675" s="1">
        <v>0</v>
      </c>
      <c r="AS675" s="1">
        <v>1</v>
      </c>
      <c r="AT675" s="1">
        <v>0</v>
      </c>
      <c r="AU675" s="1">
        <v>0</v>
      </c>
      <c r="AV675" s="1">
        <v>0</v>
      </c>
      <c r="AW675" s="1">
        <v>0</v>
      </c>
      <c r="AX675" s="1">
        <v>0</v>
      </c>
      <c r="AY675" s="1">
        <v>0</v>
      </c>
      <c r="AZ675" s="1">
        <v>0</v>
      </c>
      <c r="BA675" s="1">
        <v>1</v>
      </c>
      <c r="BB675" s="1">
        <v>0</v>
      </c>
      <c r="BC675" s="1">
        <v>0</v>
      </c>
      <c r="BD675" s="1">
        <v>0</v>
      </c>
      <c r="BE675" s="1">
        <v>0</v>
      </c>
      <c r="BF675" s="1">
        <v>0</v>
      </c>
      <c r="BG675" s="1">
        <v>0</v>
      </c>
      <c r="BH675" s="1">
        <v>0</v>
      </c>
      <c r="BI675" s="1">
        <v>0</v>
      </c>
      <c r="BJ675" s="1">
        <v>0</v>
      </c>
      <c r="BK675" s="1">
        <v>0</v>
      </c>
      <c r="BL675" s="1">
        <v>0</v>
      </c>
      <c r="BM675" s="1">
        <v>0</v>
      </c>
      <c r="BN675" s="1">
        <v>0</v>
      </c>
      <c r="BO675" s="1">
        <v>0</v>
      </c>
      <c r="BP675" s="1">
        <v>0</v>
      </c>
      <c r="BQ675" s="2" t="str">
        <f>HYPERLINK("http://www.d20pfsrd.com/magic/all-spells/b/ball-lightning","Ball Lightning")</f>
        <v>Ball Lightning</v>
      </c>
      <c r="BR675" s="1">
        <v>695</v>
      </c>
      <c r="BS675" s="1" t="s">
        <v>104</v>
      </c>
      <c r="BX675" s="1">
        <v>0</v>
      </c>
      <c r="BY675" s="1">
        <v>4</v>
      </c>
      <c r="BZ675" s="1">
        <v>4</v>
      </c>
      <c r="CA675" s="1" t="s">
        <v>104</v>
      </c>
      <c r="CB675" s="1" t="s">
        <v>104</v>
      </c>
      <c r="CC675" s="1" t="s">
        <v>104</v>
      </c>
      <c r="CD675" s="1">
        <v>4</v>
      </c>
      <c r="CE675" s="1" t="s">
        <v>104</v>
      </c>
      <c r="CF675" s="1" t="s">
        <v>104</v>
      </c>
      <c r="CG675" s="1" t="s">
        <v>104</v>
      </c>
      <c r="CH675" s="1">
        <v>4</v>
      </c>
      <c r="CJ675" s="1">
        <v>0</v>
      </c>
      <c r="CK675" s="1">
        <v>0</v>
      </c>
      <c r="CL675" s="1">
        <v>0</v>
      </c>
      <c r="CM675" s="1" t="s">
        <v>104</v>
      </c>
    </row>
    <row r="676" spans="1:91" ht="14.25" customHeight="1" x14ac:dyDescent="0.3">
      <c r="A676" s="1" t="s">
        <v>4482</v>
      </c>
      <c r="B676" s="1" t="s">
        <v>162</v>
      </c>
      <c r="E676" s="1" t="s">
        <v>4483</v>
      </c>
      <c r="F676" s="1" t="s">
        <v>95</v>
      </c>
      <c r="G676" s="1" t="s">
        <v>4484</v>
      </c>
      <c r="H676" s="1">
        <v>0</v>
      </c>
      <c r="I676" s="1" t="s">
        <v>128</v>
      </c>
      <c r="L676" s="1" t="s">
        <v>1180</v>
      </c>
      <c r="M676" s="1" t="s">
        <v>4485</v>
      </c>
      <c r="N676" s="1">
        <v>0</v>
      </c>
      <c r="O676" s="1">
        <v>0</v>
      </c>
      <c r="P676" s="1" t="s">
        <v>100</v>
      </c>
      <c r="Q676" s="1" t="s">
        <v>101</v>
      </c>
      <c r="R676" s="1" t="s">
        <v>4486</v>
      </c>
      <c r="S676" s="1" t="s">
        <v>4403</v>
      </c>
      <c r="T676" s="1">
        <v>1</v>
      </c>
      <c r="U676" s="1">
        <v>1</v>
      </c>
      <c r="V676" s="1">
        <v>1</v>
      </c>
      <c r="W676" s="1">
        <v>0</v>
      </c>
      <c r="X676" s="1">
        <v>0</v>
      </c>
      <c r="Y676" s="1" t="s">
        <v>104</v>
      </c>
      <c r="Z676" s="1" t="s">
        <v>104</v>
      </c>
      <c r="AA676" s="1" t="s">
        <v>104</v>
      </c>
      <c r="AB676" s="1" t="s">
        <v>104</v>
      </c>
      <c r="AC676" s="1" t="s">
        <v>104</v>
      </c>
      <c r="AD676" s="1" t="s">
        <v>104</v>
      </c>
      <c r="AE676" s="1" t="s">
        <v>104</v>
      </c>
      <c r="AF676" s="1" t="s">
        <v>104</v>
      </c>
      <c r="AG676" s="1" t="s">
        <v>104</v>
      </c>
      <c r="AH676" s="1">
        <v>5</v>
      </c>
      <c r="AI676" s="1">
        <v>3</v>
      </c>
      <c r="AJ676" s="1" t="s">
        <v>104</v>
      </c>
      <c r="AK676" s="1" t="s">
        <v>104</v>
      </c>
      <c r="AL676" s="1" t="s">
        <v>104</v>
      </c>
      <c r="AM676" s="1" t="s">
        <v>104</v>
      </c>
      <c r="AO676" s="1" t="s">
        <v>104</v>
      </c>
      <c r="AP676" s="1" t="s">
        <v>4487</v>
      </c>
      <c r="AQ676" s="1" t="s">
        <v>4488</v>
      </c>
      <c r="AR676" s="1">
        <v>0</v>
      </c>
      <c r="AS676" s="1">
        <v>0</v>
      </c>
      <c r="AT676" s="1">
        <v>0</v>
      </c>
      <c r="AU676" s="1">
        <v>0</v>
      </c>
      <c r="AV676" s="1">
        <v>0</v>
      </c>
      <c r="AW676" s="1">
        <v>0</v>
      </c>
      <c r="AX676" s="1">
        <v>0</v>
      </c>
      <c r="AY676" s="1">
        <v>0</v>
      </c>
      <c r="AZ676" s="1">
        <v>0</v>
      </c>
      <c r="BA676" s="1">
        <v>0</v>
      </c>
      <c r="BB676" s="1">
        <v>0</v>
      </c>
      <c r="BC676" s="1">
        <v>0</v>
      </c>
      <c r="BD676" s="1">
        <v>0</v>
      </c>
      <c r="BE676" s="1">
        <v>0</v>
      </c>
      <c r="BF676" s="1">
        <v>0</v>
      </c>
      <c r="BG676" s="1">
        <v>0</v>
      </c>
      <c r="BH676" s="1">
        <v>0</v>
      </c>
      <c r="BI676" s="1">
        <v>0</v>
      </c>
      <c r="BJ676" s="1">
        <v>0</v>
      </c>
      <c r="BK676" s="1">
        <v>0</v>
      </c>
      <c r="BL676" s="1">
        <v>0</v>
      </c>
      <c r="BM676" s="1">
        <v>0</v>
      </c>
      <c r="BN676" s="1">
        <v>0</v>
      </c>
      <c r="BO676" s="1">
        <v>0</v>
      </c>
      <c r="BP676" s="1">
        <v>0</v>
      </c>
      <c r="BQ676" s="2" t="str">
        <f>HYPERLINK("http://www.d20pfsrd.com/magic/all-spells/b/banish-seeming","Banish Seeming")</f>
        <v>Banish Seeming</v>
      </c>
      <c r="BR676" s="1">
        <v>696</v>
      </c>
      <c r="BS676" s="1" t="s">
        <v>104</v>
      </c>
      <c r="BX676" s="1">
        <v>0</v>
      </c>
      <c r="BY676" s="1" t="s">
        <v>104</v>
      </c>
      <c r="BZ676" s="1" t="s">
        <v>104</v>
      </c>
      <c r="CA676" s="1">
        <v>5</v>
      </c>
      <c r="CB676" s="1" t="s">
        <v>104</v>
      </c>
      <c r="CC676" s="1" t="s">
        <v>104</v>
      </c>
      <c r="CD676" s="1" t="s">
        <v>104</v>
      </c>
      <c r="CE676" s="1" t="s">
        <v>104</v>
      </c>
      <c r="CF676" s="1" t="s">
        <v>104</v>
      </c>
      <c r="CG676" s="1" t="s">
        <v>104</v>
      </c>
      <c r="CH676" s="1" t="s">
        <v>104</v>
      </c>
      <c r="CJ676" s="1">
        <v>0</v>
      </c>
      <c r="CK676" s="1">
        <v>0</v>
      </c>
      <c r="CL676" s="1">
        <v>0</v>
      </c>
      <c r="CM676" s="1" t="s">
        <v>104</v>
      </c>
    </row>
    <row r="677" spans="1:91" ht="14.25" customHeight="1" x14ac:dyDescent="0.3">
      <c r="A677" s="1" t="s">
        <v>4489</v>
      </c>
      <c r="B677" s="1" t="s">
        <v>92</v>
      </c>
      <c r="C677" s="1" t="s">
        <v>1160</v>
      </c>
      <c r="E677" s="1" t="s">
        <v>4490</v>
      </c>
      <c r="F677" s="1" t="s">
        <v>95</v>
      </c>
      <c r="G677" s="1" t="s">
        <v>4491</v>
      </c>
      <c r="H677" s="1">
        <v>0</v>
      </c>
      <c r="I677" s="1" t="s">
        <v>109</v>
      </c>
      <c r="L677" s="1" t="s">
        <v>4492</v>
      </c>
      <c r="M677" s="1" t="s">
        <v>119</v>
      </c>
      <c r="N677" s="1">
        <v>0</v>
      </c>
      <c r="O677" s="1">
        <v>0</v>
      </c>
      <c r="P677" s="1" t="s">
        <v>100</v>
      </c>
      <c r="Q677" s="1" t="s">
        <v>101</v>
      </c>
      <c r="R677" s="1" t="s">
        <v>4493</v>
      </c>
      <c r="S677" s="1" t="s">
        <v>4403</v>
      </c>
      <c r="T677" s="1">
        <v>1</v>
      </c>
      <c r="U677" s="1">
        <v>1</v>
      </c>
      <c r="V677" s="1">
        <v>1</v>
      </c>
      <c r="W677" s="1">
        <v>0</v>
      </c>
      <c r="X677" s="1">
        <v>0</v>
      </c>
      <c r="Y677" s="1" t="s">
        <v>104</v>
      </c>
      <c r="Z677" s="1" t="s">
        <v>104</v>
      </c>
      <c r="AA677" s="1" t="s">
        <v>104</v>
      </c>
      <c r="AB677" s="1" t="s">
        <v>104</v>
      </c>
      <c r="AC677" s="1" t="s">
        <v>104</v>
      </c>
      <c r="AD677" s="1">
        <v>5</v>
      </c>
      <c r="AE677" s="1" t="s">
        <v>104</v>
      </c>
      <c r="AF677" s="1" t="s">
        <v>104</v>
      </c>
      <c r="AG677" s="1" t="s">
        <v>104</v>
      </c>
      <c r="AH677" s="1" t="s">
        <v>104</v>
      </c>
      <c r="AI677" s="1" t="s">
        <v>104</v>
      </c>
      <c r="AJ677" s="1" t="s">
        <v>104</v>
      </c>
      <c r="AK677" s="1" t="s">
        <v>104</v>
      </c>
      <c r="AL677" s="1" t="s">
        <v>104</v>
      </c>
      <c r="AM677" s="1" t="s">
        <v>104</v>
      </c>
      <c r="AO677" s="1">
        <v>5</v>
      </c>
      <c r="AQ677" s="1" t="s">
        <v>4494</v>
      </c>
      <c r="AR677" s="1">
        <v>0</v>
      </c>
      <c r="AS677" s="1">
        <v>0</v>
      </c>
      <c r="AT677" s="1">
        <v>0</v>
      </c>
      <c r="AU677" s="1">
        <v>0</v>
      </c>
      <c r="AV677" s="1">
        <v>0</v>
      </c>
      <c r="AW677" s="1">
        <v>0</v>
      </c>
      <c r="AX677" s="1">
        <v>0</v>
      </c>
      <c r="AY677" s="1">
        <v>0</v>
      </c>
      <c r="AZ677" s="1">
        <v>0</v>
      </c>
      <c r="BA677" s="1">
        <v>0</v>
      </c>
      <c r="BB677" s="1">
        <v>0</v>
      </c>
      <c r="BC677" s="1">
        <v>0</v>
      </c>
      <c r="BD677" s="1">
        <v>0</v>
      </c>
      <c r="BE677" s="1">
        <v>0</v>
      </c>
      <c r="BF677" s="1">
        <v>0</v>
      </c>
      <c r="BG677" s="1">
        <v>0</v>
      </c>
      <c r="BH677" s="1">
        <v>0</v>
      </c>
      <c r="BI677" s="1">
        <v>0</v>
      </c>
      <c r="BJ677" s="1">
        <v>0</v>
      </c>
      <c r="BK677" s="1">
        <v>0</v>
      </c>
      <c r="BL677" s="1">
        <v>0</v>
      </c>
      <c r="BM677" s="1">
        <v>0</v>
      </c>
      <c r="BN677" s="1">
        <v>0</v>
      </c>
      <c r="BO677" s="1">
        <v>0</v>
      </c>
      <c r="BP677" s="1">
        <v>0</v>
      </c>
      <c r="BQ677" s="2" t="str">
        <f>HYPERLINK("http://www.d20pfsrd.com/magic/all-spells/b/bard-s-escape","Bard's Escape")</f>
        <v>Bard's Escape</v>
      </c>
      <c r="BR677" s="1">
        <v>697</v>
      </c>
      <c r="BS677" s="1" t="s">
        <v>104</v>
      </c>
      <c r="BX677" s="1">
        <v>0</v>
      </c>
      <c r="BY677" s="1" t="s">
        <v>104</v>
      </c>
      <c r="BZ677" s="1" t="s">
        <v>104</v>
      </c>
      <c r="CA677" s="1" t="s">
        <v>104</v>
      </c>
      <c r="CB677" s="1" t="s">
        <v>104</v>
      </c>
      <c r="CC677" s="1" t="s">
        <v>104</v>
      </c>
      <c r="CD677" s="1" t="s">
        <v>104</v>
      </c>
      <c r="CE677" s="1" t="s">
        <v>104</v>
      </c>
      <c r="CF677" s="1" t="s">
        <v>104</v>
      </c>
      <c r="CG677" s="1" t="s">
        <v>104</v>
      </c>
      <c r="CH677" s="1" t="s">
        <v>104</v>
      </c>
      <c r="CJ677" s="1">
        <v>0</v>
      </c>
      <c r="CK677" s="1">
        <v>0</v>
      </c>
      <c r="CL677" s="1">
        <v>0</v>
      </c>
      <c r="CM677" s="1" t="s">
        <v>104</v>
      </c>
    </row>
    <row r="678" spans="1:91" ht="14.25" customHeight="1" x14ac:dyDescent="0.3">
      <c r="A678" s="1" t="s">
        <v>4495</v>
      </c>
      <c r="B678" s="1" t="s">
        <v>123</v>
      </c>
      <c r="C678" s="1" t="s">
        <v>124</v>
      </c>
      <c r="D678" s="1" t="s">
        <v>125</v>
      </c>
      <c r="E678" s="1" t="s">
        <v>4496</v>
      </c>
      <c r="F678" s="1" t="s">
        <v>95</v>
      </c>
      <c r="G678" s="1" t="s">
        <v>4497</v>
      </c>
      <c r="H678" s="1">
        <v>0</v>
      </c>
      <c r="I678" s="1" t="s">
        <v>4220</v>
      </c>
      <c r="L678" s="1" t="s">
        <v>1065</v>
      </c>
      <c r="M678" s="1" t="s">
        <v>255</v>
      </c>
      <c r="N678" s="1">
        <v>0</v>
      </c>
      <c r="O678" s="1">
        <v>0</v>
      </c>
      <c r="P678" s="1" t="s">
        <v>211</v>
      </c>
      <c r="Q678" s="1" t="s">
        <v>184</v>
      </c>
      <c r="R678" s="1" t="s">
        <v>4498</v>
      </c>
      <c r="S678" s="1" t="s">
        <v>4403</v>
      </c>
      <c r="T678" s="1">
        <v>1</v>
      </c>
      <c r="U678" s="1">
        <v>1</v>
      </c>
      <c r="V678" s="1">
        <v>0</v>
      </c>
      <c r="W678" s="1">
        <v>0</v>
      </c>
      <c r="X678" s="1">
        <v>0</v>
      </c>
      <c r="Y678" s="1" t="s">
        <v>104</v>
      </c>
      <c r="Z678" s="1" t="s">
        <v>104</v>
      </c>
      <c r="AA678" s="1" t="s">
        <v>104</v>
      </c>
      <c r="AB678" s="1" t="s">
        <v>104</v>
      </c>
      <c r="AC678" s="1" t="s">
        <v>104</v>
      </c>
      <c r="AD678" s="1">
        <v>1</v>
      </c>
      <c r="AE678" s="1" t="s">
        <v>104</v>
      </c>
      <c r="AF678" s="1" t="s">
        <v>104</v>
      </c>
      <c r="AG678" s="1" t="s">
        <v>104</v>
      </c>
      <c r="AH678" s="1">
        <v>1</v>
      </c>
      <c r="AI678" s="1" t="s">
        <v>104</v>
      </c>
      <c r="AJ678" s="1" t="s">
        <v>104</v>
      </c>
      <c r="AK678" s="1" t="s">
        <v>104</v>
      </c>
      <c r="AL678" s="1" t="s">
        <v>104</v>
      </c>
      <c r="AM678" s="1" t="s">
        <v>104</v>
      </c>
      <c r="AO678" s="1">
        <v>1</v>
      </c>
      <c r="AQ678" s="1" t="s">
        <v>4499</v>
      </c>
      <c r="AR678" s="1">
        <v>0</v>
      </c>
      <c r="AS678" s="1">
        <v>0</v>
      </c>
      <c r="AT678" s="1">
        <v>0</v>
      </c>
      <c r="AU678" s="1">
        <v>0</v>
      </c>
      <c r="AV678" s="1">
        <v>0</v>
      </c>
      <c r="AW678" s="1">
        <v>0</v>
      </c>
      <c r="AX678" s="1">
        <v>0</v>
      </c>
      <c r="AY678" s="1">
        <v>0</v>
      </c>
      <c r="AZ678" s="1">
        <v>0</v>
      </c>
      <c r="BA678" s="1">
        <v>0</v>
      </c>
      <c r="BB678" s="1">
        <v>0</v>
      </c>
      <c r="BC678" s="1">
        <v>0</v>
      </c>
      <c r="BD678" s="1">
        <v>0</v>
      </c>
      <c r="BE678" s="1">
        <v>0</v>
      </c>
      <c r="BF678" s="1">
        <v>0</v>
      </c>
      <c r="BG678" s="1">
        <v>0</v>
      </c>
      <c r="BH678" s="1">
        <v>0</v>
      </c>
      <c r="BI678" s="1">
        <v>0</v>
      </c>
      <c r="BJ678" s="1">
        <v>0</v>
      </c>
      <c r="BK678" s="1">
        <v>1</v>
      </c>
      <c r="BL678" s="1">
        <v>0</v>
      </c>
      <c r="BM678" s="1">
        <v>0</v>
      </c>
      <c r="BN678" s="1">
        <v>0</v>
      </c>
      <c r="BO678" s="1">
        <v>0</v>
      </c>
      <c r="BP678" s="1">
        <v>0</v>
      </c>
      <c r="BQ678" s="2" t="str">
        <f>HYPERLINK("http://www.d20pfsrd.com/magic/all-spells/b/beguiling-gift","Beguiling Gift")</f>
        <v>Beguiling Gift</v>
      </c>
      <c r="BR678" s="1">
        <v>698</v>
      </c>
      <c r="BS678" s="1" t="s">
        <v>104</v>
      </c>
      <c r="BX678" s="1">
        <v>0</v>
      </c>
      <c r="BY678" s="1" t="s">
        <v>104</v>
      </c>
      <c r="BZ678" s="1" t="s">
        <v>104</v>
      </c>
      <c r="CA678" s="1">
        <v>1</v>
      </c>
      <c r="CB678" s="1" t="s">
        <v>104</v>
      </c>
      <c r="CC678" s="1">
        <v>1</v>
      </c>
      <c r="CD678" s="1" t="s">
        <v>104</v>
      </c>
      <c r="CE678" s="1" t="s">
        <v>104</v>
      </c>
      <c r="CF678" s="1" t="s">
        <v>104</v>
      </c>
      <c r="CG678" s="1" t="s">
        <v>104</v>
      </c>
      <c r="CH678" s="1" t="s">
        <v>104</v>
      </c>
      <c r="CJ678" s="1">
        <v>0</v>
      </c>
      <c r="CK678" s="1">
        <v>0</v>
      </c>
      <c r="CL678" s="1">
        <v>0</v>
      </c>
      <c r="CM678" s="1" t="s">
        <v>104</v>
      </c>
    </row>
    <row r="679" spans="1:91" ht="14.25" customHeight="1" x14ac:dyDescent="0.3">
      <c r="A679" s="1" t="s">
        <v>4500</v>
      </c>
      <c r="B679" s="1" t="s">
        <v>162</v>
      </c>
      <c r="E679" s="1" t="s">
        <v>4471</v>
      </c>
      <c r="F679" s="1" t="s">
        <v>95</v>
      </c>
      <c r="G679" s="1" t="s">
        <v>127</v>
      </c>
      <c r="H679" s="1">
        <v>0</v>
      </c>
      <c r="I679" s="1" t="s">
        <v>128</v>
      </c>
      <c r="L679" s="1" t="s">
        <v>4501</v>
      </c>
      <c r="M679" s="1" t="s">
        <v>2330</v>
      </c>
      <c r="N679" s="1">
        <v>0</v>
      </c>
      <c r="O679" s="1">
        <v>0</v>
      </c>
      <c r="P679" s="1" t="s">
        <v>4502</v>
      </c>
      <c r="Q679" s="1" t="s">
        <v>131</v>
      </c>
      <c r="R679" s="1" t="s">
        <v>4503</v>
      </c>
      <c r="S679" s="1" t="s">
        <v>4403</v>
      </c>
      <c r="T679" s="1">
        <v>1</v>
      </c>
      <c r="U679" s="1">
        <v>1</v>
      </c>
      <c r="V679" s="1">
        <v>0</v>
      </c>
      <c r="W679" s="1">
        <v>0</v>
      </c>
      <c r="X679" s="1">
        <v>1</v>
      </c>
      <c r="Y679" s="1" t="s">
        <v>104</v>
      </c>
      <c r="Z679" s="1" t="s">
        <v>104</v>
      </c>
      <c r="AA679" s="1" t="s">
        <v>104</v>
      </c>
      <c r="AB679" s="1" t="s">
        <v>104</v>
      </c>
      <c r="AC679" s="1" t="s">
        <v>104</v>
      </c>
      <c r="AD679" s="1" t="s">
        <v>104</v>
      </c>
      <c r="AE679" s="1">
        <v>2</v>
      </c>
      <c r="AF679" s="1" t="s">
        <v>104</v>
      </c>
      <c r="AG679" s="1" t="s">
        <v>104</v>
      </c>
      <c r="AH679" s="1" t="s">
        <v>104</v>
      </c>
      <c r="AI679" s="1" t="s">
        <v>104</v>
      </c>
      <c r="AJ679" s="1" t="s">
        <v>104</v>
      </c>
      <c r="AK679" s="1" t="s">
        <v>104</v>
      </c>
      <c r="AL679" s="1" t="s">
        <v>104</v>
      </c>
      <c r="AM679" s="1" t="s">
        <v>104</v>
      </c>
      <c r="AO679" s="1">
        <v>2</v>
      </c>
      <c r="AQ679" s="1" t="s">
        <v>4504</v>
      </c>
      <c r="AR679" s="1">
        <v>0</v>
      </c>
      <c r="AS679" s="1">
        <v>0</v>
      </c>
      <c r="AT679" s="1">
        <v>0</v>
      </c>
      <c r="AU679" s="1">
        <v>0</v>
      </c>
      <c r="AV679" s="1">
        <v>0</v>
      </c>
      <c r="AW679" s="1">
        <v>0</v>
      </c>
      <c r="AX679" s="1">
        <v>0</v>
      </c>
      <c r="AY679" s="1">
        <v>0</v>
      </c>
      <c r="AZ679" s="1">
        <v>0</v>
      </c>
      <c r="BA679" s="1">
        <v>0</v>
      </c>
      <c r="BB679" s="1">
        <v>0</v>
      </c>
      <c r="BC679" s="1">
        <v>0</v>
      </c>
      <c r="BD679" s="1">
        <v>0</v>
      </c>
      <c r="BE679" s="1">
        <v>0</v>
      </c>
      <c r="BF679" s="1">
        <v>0</v>
      </c>
      <c r="BG679" s="1">
        <v>0</v>
      </c>
      <c r="BH679" s="1">
        <v>0</v>
      </c>
      <c r="BI679" s="1">
        <v>0</v>
      </c>
      <c r="BJ679" s="1">
        <v>0</v>
      </c>
      <c r="BK679" s="1">
        <v>0</v>
      </c>
      <c r="BL679" s="1">
        <v>0</v>
      </c>
      <c r="BM679" s="1">
        <v>0</v>
      </c>
      <c r="BN679" s="1">
        <v>0</v>
      </c>
      <c r="BO679" s="1">
        <v>0</v>
      </c>
      <c r="BP679" s="1">
        <v>0</v>
      </c>
      <c r="BQ679" s="2" t="str">
        <f>HYPERLINK("http://www.d20pfsrd.com/magic/all-spells/b/bestow-grace","Bestow Grace")</f>
        <v>Bestow Grace</v>
      </c>
      <c r="BR679" s="1">
        <v>699</v>
      </c>
      <c r="BS679" s="1" t="s">
        <v>104</v>
      </c>
      <c r="BX679" s="1">
        <v>0</v>
      </c>
      <c r="BY679" s="1" t="s">
        <v>104</v>
      </c>
      <c r="BZ679" s="1" t="s">
        <v>104</v>
      </c>
      <c r="CA679" s="1" t="s">
        <v>104</v>
      </c>
      <c r="CB679" s="1" t="s">
        <v>104</v>
      </c>
      <c r="CC679" s="1" t="s">
        <v>104</v>
      </c>
      <c r="CD679" s="1" t="s">
        <v>104</v>
      </c>
      <c r="CE679" s="1" t="s">
        <v>104</v>
      </c>
      <c r="CF679" s="1" t="s">
        <v>104</v>
      </c>
      <c r="CG679" s="1" t="s">
        <v>104</v>
      </c>
      <c r="CH679" s="1" t="s">
        <v>104</v>
      </c>
      <c r="CJ679" s="1">
        <v>0</v>
      </c>
      <c r="CK679" s="1">
        <v>0</v>
      </c>
      <c r="CL679" s="1">
        <v>0</v>
      </c>
      <c r="CM679" s="1" t="s">
        <v>104</v>
      </c>
    </row>
    <row r="680" spans="1:91" ht="14.25" customHeight="1" x14ac:dyDescent="0.3">
      <c r="A680" s="1" t="s">
        <v>4505</v>
      </c>
      <c r="B680" s="1" t="s">
        <v>92</v>
      </c>
      <c r="C680" s="1" t="s">
        <v>523</v>
      </c>
      <c r="D680" s="1" t="s">
        <v>4506</v>
      </c>
      <c r="E680" s="1" t="s">
        <v>2036</v>
      </c>
      <c r="F680" s="1" t="s">
        <v>4507</v>
      </c>
      <c r="G680" s="1" t="s">
        <v>237</v>
      </c>
      <c r="H680" s="1">
        <v>0</v>
      </c>
      <c r="J680" s="1" t="s">
        <v>4508</v>
      </c>
      <c r="M680" s="1" t="s">
        <v>4485</v>
      </c>
      <c r="N680" s="1">
        <v>0</v>
      </c>
      <c r="O680" s="1">
        <v>0</v>
      </c>
      <c r="P680" s="1" t="s">
        <v>276</v>
      </c>
      <c r="Q680" s="1" t="s">
        <v>184</v>
      </c>
      <c r="R680" s="1" t="s">
        <v>4509</v>
      </c>
      <c r="S680" s="1" t="s">
        <v>4403</v>
      </c>
      <c r="T680" s="1">
        <v>1</v>
      </c>
      <c r="U680" s="1">
        <v>0</v>
      </c>
      <c r="V680" s="1">
        <v>0</v>
      </c>
      <c r="W680" s="1">
        <v>0</v>
      </c>
      <c r="X680" s="1">
        <v>0</v>
      </c>
      <c r="Y680" s="1" t="s">
        <v>104</v>
      </c>
      <c r="Z680" s="1" t="s">
        <v>104</v>
      </c>
      <c r="AA680" s="1" t="s">
        <v>104</v>
      </c>
      <c r="AB680" s="1" t="s">
        <v>104</v>
      </c>
      <c r="AC680" s="1" t="s">
        <v>104</v>
      </c>
      <c r="AD680" s="1" t="s">
        <v>104</v>
      </c>
      <c r="AE680" s="1">
        <v>4</v>
      </c>
      <c r="AF680" s="1" t="s">
        <v>104</v>
      </c>
      <c r="AG680" s="1" t="s">
        <v>104</v>
      </c>
      <c r="AH680" s="1" t="s">
        <v>104</v>
      </c>
      <c r="AI680" s="1" t="s">
        <v>104</v>
      </c>
      <c r="AJ680" s="1" t="s">
        <v>104</v>
      </c>
      <c r="AK680" s="1" t="s">
        <v>104</v>
      </c>
      <c r="AL680" s="1" t="s">
        <v>104</v>
      </c>
      <c r="AM680" s="1" t="s">
        <v>104</v>
      </c>
      <c r="AO680" s="1">
        <v>4</v>
      </c>
      <c r="AQ680" s="1" t="s">
        <v>4510</v>
      </c>
      <c r="AR680" s="1">
        <v>0</v>
      </c>
      <c r="AS680" s="1">
        <v>0</v>
      </c>
      <c r="AT680" s="1">
        <v>0</v>
      </c>
      <c r="AU680" s="1">
        <v>0</v>
      </c>
      <c r="AV680" s="1">
        <v>0</v>
      </c>
      <c r="AW680" s="1">
        <v>0</v>
      </c>
      <c r="AX680" s="1">
        <v>0</v>
      </c>
      <c r="AY680" s="1">
        <v>0</v>
      </c>
      <c r="AZ680" s="1">
        <v>0</v>
      </c>
      <c r="BA680" s="1">
        <v>0</v>
      </c>
      <c r="BB680" s="1">
        <v>0</v>
      </c>
      <c r="BC680" s="1">
        <v>0</v>
      </c>
      <c r="BD680" s="1">
        <v>0</v>
      </c>
      <c r="BE680" s="1">
        <v>0</v>
      </c>
      <c r="BF680" s="1">
        <v>0</v>
      </c>
      <c r="BG680" s="1">
        <v>1</v>
      </c>
      <c r="BH680" s="1">
        <v>0</v>
      </c>
      <c r="BI680" s="1">
        <v>0</v>
      </c>
      <c r="BJ680" s="1">
        <v>0</v>
      </c>
      <c r="BK680" s="1">
        <v>1</v>
      </c>
      <c r="BL680" s="1">
        <v>0</v>
      </c>
      <c r="BM680" s="1">
        <v>0</v>
      </c>
      <c r="BN680" s="1">
        <v>0</v>
      </c>
      <c r="BO680" s="1">
        <v>0</v>
      </c>
      <c r="BP680" s="1">
        <v>0</v>
      </c>
      <c r="BQ680" s="2" t="str">
        <f>HYPERLINK("http://www.d20pfsrd.com/magic/all-spells/b/blaze-of-glory","Blaze of Glory")</f>
        <v>Blaze of Glory</v>
      </c>
      <c r="BR680" s="1">
        <v>700</v>
      </c>
      <c r="BS680" s="1" t="s">
        <v>104</v>
      </c>
      <c r="BX680" s="1">
        <v>0</v>
      </c>
      <c r="BY680" s="1" t="s">
        <v>104</v>
      </c>
      <c r="BZ680" s="1" t="s">
        <v>104</v>
      </c>
      <c r="CA680" s="1" t="s">
        <v>104</v>
      </c>
      <c r="CB680" s="1" t="s">
        <v>104</v>
      </c>
      <c r="CC680" s="1" t="s">
        <v>104</v>
      </c>
      <c r="CD680" s="1" t="s">
        <v>104</v>
      </c>
      <c r="CE680" s="1" t="s">
        <v>104</v>
      </c>
      <c r="CF680" s="1" t="s">
        <v>104</v>
      </c>
      <c r="CG680" s="1" t="s">
        <v>104</v>
      </c>
      <c r="CH680" s="1" t="s">
        <v>104</v>
      </c>
      <c r="CJ680" s="1">
        <v>0</v>
      </c>
      <c r="CK680" s="1">
        <v>0</v>
      </c>
      <c r="CL680" s="1">
        <v>0</v>
      </c>
      <c r="CM680" s="1" t="s">
        <v>104</v>
      </c>
    </row>
    <row r="681" spans="1:91" ht="14.25" customHeight="1" x14ac:dyDescent="0.3">
      <c r="A681" s="1" t="s">
        <v>4511</v>
      </c>
      <c r="B681" s="1" t="s">
        <v>137</v>
      </c>
      <c r="E681" s="1" t="s">
        <v>4512</v>
      </c>
      <c r="F681" s="1" t="s">
        <v>95</v>
      </c>
      <c r="G681" s="1" t="s">
        <v>127</v>
      </c>
      <c r="H681" s="1">
        <v>0</v>
      </c>
      <c r="I681" s="1" t="s">
        <v>117</v>
      </c>
      <c r="L681" s="1" t="s">
        <v>541</v>
      </c>
      <c r="M681" s="1" t="s">
        <v>111</v>
      </c>
      <c r="N681" s="1">
        <v>0</v>
      </c>
      <c r="O681" s="1">
        <v>0</v>
      </c>
      <c r="P681" s="1" t="s">
        <v>1058</v>
      </c>
      <c r="Q681" s="1" t="s">
        <v>131</v>
      </c>
      <c r="R681" s="1" t="s">
        <v>4513</v>
      </c>
      <c r="S681" s="1" t="s">
        <v>4403</v>
      </c>
      <c r="T681" s="1">
        <v>1</v>
      </c>
      <c r="U681" s="1">
        <v>1</v>
      </c>
      <c r="V681" s="1">
        <v>0</v>
      </c>
      <c r="W681" s="1">
        <v>0</v>
      </c>
      <c r="X681" s="1">
        <v>1</v>
      </c>
      <c r="Y681" s="1" t="s">
        <v>104</v>
      </c>
      <c r="Z681" s="1" t="s">
        <v>104</v>
      </c>
      <c r="AA681" s="1">
        <v>4</v>
      </c>
      <c r="AB681" s="1" t="s">
        <v>104</v>
      </c>
      <c r="AC681" s="1" t="s">
        <v>104</v>
      </c>
      <c r="AD681" s="1" t="s">
        <v>104</v>
      </c>
      <c r="AE681" s="1" t="s">
        <v>104</v>
      </c>
      <c r="AF681" s="1" t="s">
        <v>104</v>
      </c>
      <c r="AG681" s="1" t="s">
        <v>104</v>
      </c>
      <c r="AH681" s="1" t="s">
        <v>104</v>
      </c>
      <c r="AI681" s="1" t="s">
        <v>104</v>
      </c>
      <c r="AJ681" s="1">
        <v>4</v>
      </c>
      <c r="AK681" s="1" t="s">
        <v>104</v>
      </c>
      <c r="AL681" s="1" t="s">
        <v>104</v>
      </c>
      <c r="AM681" s="1" t="s">
        <v>104</v>
      </c>
      <c r="AO681" s="1">
        <v>4</v>
      </c>
      <c r="AQ681" s="1" t="s">
        <v>4514</v>
      </c>
      <c r="AR681" s="1">
        <v>0</v>
      </c>
      <c r="AS681" s="1">
        <v>0</v>
      </c>
      <c r="AT681" s="1">
        <v>0</v>
      </c>
      <c r="AU681" s="1">
        <v>0</v>
      </c>
      <c r="AV681" s="1">
        <v>0</v>
      </c>
      <c r="AW681" s="1">
        <v>0</v>
      </c>
      <c r="AX681" s="1">
        <v>0</v>
      </c>
      <c r="AY681" s="1">
        <v>0</v>
      </c>
      <c r="AZ681" s="1">
        <v>0</v>
      </c>
      <c r="BA681" s="1">
        <v>0</v>
      </c>
      <c r="BB681" s="1">
        <v>0</v>
      </c>
      <c r="BC681" s="1">
        <v>0</v>
      </c>
      <c r="BD681" s="1">
        <v>0</v>
      </c>
      <c r="BE681" s="1">
        <v>0</v>
      </c>
      <c r="BF681" s="1">
        <v>0</v>
      </c>
      <c r="BG681" s="1">
        <v>0</v>
      </c>
      <c r="BH681" s="1">
        <v>0</v>
      </c>
      <c r="BI681" s="1">
        <v>0</v>
      </c>
      <c r="BJ681" s="1">
        <v>0</v>
      </c>
      <c r="BK681" s="1">
        <v>0</v>
      </c>
      <c r="BL681" s="1">
        <v>0</v>
      </c>
      <c r="BM681" s="1">
        <v>0</v>
      </c>
      <c r="BN681" s="1">
        <v>0</v>
      </c>
      <c r="BO681" s="1">
        <v>0</v>
      </c>
      <c r="BP681" s="1">
        <v>0</v>
      </c>
      <c r="BQ681" s="2" t="str">
        <f>HYPERLINK("http://www.d20pfsrd.com/magic/all-spells/b/blessing-of-fervor","Blessing of Fervor")</f>
        <v>Blessing of Fervor</v>
      </c>
      <c r="BR681" s="1">
        <v>701</v>
      </c>
      <c r="BS681" s="1" t="s">
        <v>104</v>
      </c>
      <c r="BT681" s="1" t="s">
        <v>4515</v>
      </c>
      <c r="BU681" s="1" t="s">
        <v>4516</v>
      </c>
      <c r="BV681" s="1" t="s">
        <v>4517</v>
      </c>
      <c r="BX681" s="1">
        <v>1</v>
      </c>
      <c r="BY681" s="1" t="s">
        <v>104</v>
      </c>
      <c r="BZ681" s="1" t="s">
        <v>104</v>
      </c>
      <c r="CA681" s="1" t="s">
        <v>104</v>
      </c>
      <c r="CB681" s="1" t="s">
        <v>104</v>
      </c>
      <c r="CC681" s="1" t="s">
        <v>104</v>
      </c>
      <c r="CD681" s="1" t="s">
        <v>104</v>
      </c>
      <c r="CE681" s="1" t="s">
        <v>104</v>
      </c>
      <c r="CF681" s="1" t="s">
        <v>104</v>
      </c>
      <c r="CG681" s="1" t="s">
        <v>104</v>
      </c>
      <c r="CH681" s="1" t="s">
        <v>104</v>
      </c>
      <c r="CJ681" s="1">
        <v>0</v>
      </c>
      <c r="CK681" s="1">
        <v>0</v>
      </c>
      <c r="CL681" s="1">
        <v>0</v>
      </c>
      <c r="CM681" s="1" t="s">
        <v>104</v>
      </c>
    </row>
    <row r="682" spans="1:91" ht="14.25" customHeight="1" x14ac:dyDescent="0.3">
      <c r="A682" s="1" t="s">
        <v>4518</v>
      </c>
      <c r="B682" s="1" t="s">
        <v>137</v>
      </c>
      <c r="C682" s="1" t="s">
        <v>154</v>
      </c>
      <c r="E682" s="1" t="s">
        <v>3921</v>
      </c>
      <c r="F682" s="1" t="s">
        <v>95</v>
      </c>
      <c r="G682" s="1" t="s">
        <v>127</v>
      </c>
      <c r="H682" s="1">
        <v>0</v>
      </c>
      <c r="I682" s="1" t="s">
        <v>128</v>
      </c>
      <c r="L682" s="1" t="s">
        <v>374</v>
      </c>
      <c r="M682" s="1" t="s">
        <v>111</v>
      </c>
      <c r="N682" s="1">
        <v>0</v>
      </c>
      <c r="O682" s="1">
        <v>0</v>
      </c>
      <c r="P682" s="1" t="s">
        <v>1058</v>
      </c>
      <c r="Q682" s="1" t="s">
        <v>131</v>
      </c>
      <c r="R682" s="1" t="s">
        <v>4519</v>
      </c>
      <c r="S682" s="1" t="s">
        <v>4403</v>
      </c>
      <c r="T682" s="1">
        <v>1</v>
      </c>
      <c r="U682" s="1">
        <v>1</v>
      </c>
      <c r="V682" s="1">
        <v>0</v>
      </c>
      <c r="W682" s="1">
        <v>0</v>
      </c>
      <c r="X682" s="1">
        <v>1</v>
      </c>
      <c r="Y682" s="1" t="s">
        <v>104</v>
      </c>
      <c r="Z682" s="1" t="s">
        <v>104</v>
      </c>
      <c r="AA682" s="1" t="s">
        <v>104</v>
      </c>
      <c r="AB682" s="1">
        <v>5</v>
      </c>
      <c r="AC682" s="1">
        <v>4</v>
      </c>
      <c r="AD682" s="1" t="s">
        <v>104</v>
      </c>
      <c r="AE682" s="1" t="s">
        <v>104</v>
      </c>
      <c r="AF682" s="1" t="s">
        <v>104</v>
      </c>
      <c r="AG682" s="1" t="s">
        <v>104</v>
      </c>
      <c r="AH682" s="1" t="s">
        <v>104</v>
      </c>
      <c r="AI682" s="1" t="s">
        <v>104</v>
      </c>
      <c r="AJ682" s="1" t="s">
        <v>104</v>
      </c>
      <c r="AK682" s="1" t="s">
        <v>104</v>
      </c>
      <c r="AL682" s="1" t="s">
        <v>104</v>
      </c>
      <c r="AM682" s="1" t="s">
        <v>104</v>
      </c>
      <c r="AO682" s="1">
        <v>5</v>
      </c>
      <c r="AQ682" s="1" t="s">
        <v>4520</v>
      </c>
      <c r="AR682" s="1">
        <v>0</v>
      </c>
      <c r="AS682" s="1">
        <v>0</v>
      </c>
      <c r="AT682" s="1">
        <v>0</v>
      </c>
      <c r="AU682" s="1">
        <v>0</v>
      </c>
      <c r="AV682" s="1">
        <v>0</v>
      </c>
      <c r="AW682" s="1">
        <v>0</v>
      </c>
      <c r="AX682" s="1">
        <v>0</v>
      </c>
      <c r="AY682" s="1">
        <v>0</v>
      </c>
      <c r="AZ682" s="1">
        <v>0</v>
      </c>
      <c r="BA682" s="1">
        <v>0</v>
      </c>
      <c r="BB682" s="1">
        <v>0</v>
      </c>
      <c r="BC682" s="1">
        <v>0</v>
      </c>
      <c r="BD682" s="1">
        <v>0</v>
      </c>
      <c r="BE682" s="1">
        <v>0</v>
      </c>
      <c r="BF682" s="1">
        <v>0</v>
      </c>
      <c r="BG682" s="1">
        <v>0</v>
      </c>
      <c r="BH682" s="1">
        <v>0</v>
      </c>
      <c r="BI682" s="1">
        <v>0</v>
      </c>
      <c r="BJ682" s="1">
        <v>0</v>
      </c>
      <c r="BK682" s="1">
        <v>0</v>
      </c>
      <c r="BL682" s="1">
        <v>0</v>
      </c>
      <c r="BM682" s="1">
        <v>0</v>
      </c>
      <c r="BN682" s="1">
        <v>0</v>
      </c>
      <c r="BO682" s="1">
        <v>0</v>
      </c>
      <c r="BP682" s="1">
        <v>0</v>
      </c>
      <c r="BQ682" s="2" t="str">
        <f>HYPERLINK("http://www.d20pfsrd.com/magic/all-spells/b/blessing-of-the-salamander","Blessing of the Salamander")</f>
        <v>Blessing of the Salamander</v>
      </c>
      <c r="BR682" s="1">
        <v>702</v>
      </c>
      <c r="BS682" s="1" t="s">
        <v>104</v>
      </c>
      <c r="BX682" s="1">
        <v>0</v>
      </c>
      <c r="BY682" s="1" t="s">
        <v>104</v>
      </c>
      <c r="BZ682" s="1" t="s">
        <v>104</v>
      </c>
      <c r="CA682" s="1" t="s">
        <v>104</v>
      </c>
      <c r="CB682" s="1" t="s">
        <v>104</v>
      </c>
      <c r="CC682" s="1" t="s">
        <v>104</v>
      </c>
      <c r="CD682" s="1" t="s">
        <v>104</v>
      </c>
      <c r="CE682" s="1" t="s">
        <v>104</v>
      </c>
      <c r="CF682" s="1" t="s">
        <v>104</v>
      </c>
      <c r="CG682" s="1" t="s">
        <v>104</v>
      </c>
      <c r="CH682" s="1">
        <v>4</v>
      </c>
      <c r="CJ682" s="1">
        <v>0</v>
      </c>
      <c r="CK682" s="1">
        <v>0</v>
      </c>
      <c r="CL682" s="1">
        <v>0</v>
      </c>
      <c r="CM682" s="1" t="s">
        <v>104</v>
      </c>
    </row>
    <row r="683" spans="1:91" ht="14.25" customHeight="1" x14ac:dyDescent="0.3">
      <c r="A683" s="1" t="s">
        <v>4521</v>
      </c>
      <c r="B683" s="1" t="s">
        <v>172</v>
      </c>
      <c r="E683" s="1" t="s">
        <v>4522</v>
      </c>
      <c r="F683" s="1" t="s">
        <v>191</v>
      </c>
      <c r="G683" s="1" t="s">
        <v>4523</v>
      </c>
      <c r="H683" s="1">
        <v>0</v>
      </c>
      <c r="I683" s="1" t="s">
        <v>128</v>
      </c>
      <c r="L683" s="1" t="s">
        <v>4524</v>
      </c>
      <c r="M683" s="1" t="s">
        <v>119</v>
      </c>
      <c r="N683" s="1">
        <v>0</v>
      </c>
      <c r="O683" s="1">
        <v>0</v>
      </c>
      <c r="P683" s="1" t="s">
        <v>1902</v>
      </c>
      <c r="Q683" s="1" t="s">
        <v>101</v>
      </c>
      <c r="R683" s="1" t="s">
        <v>4525</v>
      </c>
      <c r="S683" s="1" t="s">
        <v>4403</v>
      </c>
      <c r="T683" s="1">
        <v>1</v>
      </c>
      <c r="U683" s="1">
        <v>1</v>
      </c>
      <c r="V683" s="1">
        <v>1</v>
      </c>
      <c r="W683" s="1">
        <v>0</v>
      </c>
      <c r="X683" s="1">
        <v>1</v>
      </c>
      <c r="Y683" s="1">
        <v>3</v>
      </c>
      <c r="Z683" s="1">
        <v>3</v>
      </c>
      <c r="AA683" s="1">
        <v>3</v>
      </c>
      <c r="AB683" s="1" t="s">
        <v>104</v>
      </c>
      <c r="AC683" s="1" t="s">
        <v>104</v>
      </c>
      <c r="AD683" s="1">
        <v>2</v>
      </c>
      <c r="AE683" s="1" t="s">
        <v>104</v>
      </c>
      <c r="AF683" s="1" t="s">
        <v>104</v>
      </c>
      <c r="AG683" s="1" t="s">
        <v>104</v>
      </c>
      <c r="AH683" s="1" t="s">
        <v>104</v>
      </c>
      <c r="AI683" s="1">
        <v>3</v>
      </c>
      <c r="AJ683" s="1">
        <v>3</v>
      </c>
      <c r="AK683" s="1" t="s">
        <v>104</v>
      </c>
      <c r="AL683" s="1" t="s">
        <v>104</v>
      </c>
      <c r="AM683" s="1" t="s">
        <v>104</v>
      </c>
      <c r="AO683" s="1">
        <v>3</v>
      </c>
      <c r="AQ683" s="1" t="s">
        <v>4526</v>
      </c>
      <c r="AR683" s="1">
        <v>0</v>
      </c>
      <c r="AS683" s="1">
        <v>0</v>
      </c>
      <c r="AT683" s="1">
        <v>0</v>
      </c>
      <c r="AU683" s="1">
        <v>0</v>
      </c>
      <c r="AV683" s="1">
        <v>0</v>
      </c>
      <c r="AW683" s="1">
        <v>0</v>
      </c>
      <c r="AX683" s="1">
        <v>0</v>
      </c>
      <c r="AY683" s="1">
        <v>0</v>
      </c>
      <c r="AZ683" s="1">
        <v>0</v>
      </c>
      <c r="BA683" s="1">
        <v>0</v>
      </c>
      <c r="BB683" s="1">
        <v>0</v>
      </c>
      <c r="BC683" s="1">
        <v>0</v>
      </c>
      <c r="BD683" s="1">
        <v>0</v>
      </c>
      <c r="BE683" s="1">
        <v>0</v>
      </c>
      <c r="BF683" s="1">
        <v>0</v>
      </c>
      <c r="BG683" s="1">
        <v>0</v>
      </c>
      <c r="BH683" s="1">
        <v>0</v>
      </c>
      <c r="BI683" s="1">
        <v>0</v>
      </c>
      <c r="BJ683" s="1">
        <v>0</v>
      </c>
      <c r="BK683" s="1">
        <v>0</v>
      </c>
      <c r="BL683" s="1">
        <v>0</v>
      </c>
      <c r="BM683" s="1">
        <v>0</v>
      </c>
      <c r="BN683" s="1">
        <v>0</v>
      </c>
      <c r="BO683" s="1">
        <v>0</v>
      </c>
      <c r="BP683" s="1">
        <v>0</v>
      </c>
      <c r="BQ683" s="2" t="str">
        <f>HYPERLINK("http://www.d20pfsrd.com/magic/all-spells/b/blood-biography","Blood Biography")</f>
        <v>Blood Biography</v>
      </c>
      <c r="BR683" s="1">
        <v>703</v>
      </c>
      <c r="BS683" s="1" t="s">
        <v>104</v>
      </c>
      <c r="BU683" s="1" t="s">
        <v>4527</v>
      </c>
      <c r="BX683" s="1">
        <v>0</v>
      </c>
      <c r="BY683" s="1">
        <v>3</v>
      </c>
      <c r="BZ683" s="1" t="s">
        <v>104</v>
      </c>
      <c r="CA683" s="1">
        <v>3</v>
      </c>
      <c r="CB683" s="1">
        <v>2</v>
      </c>
      <c r="CC683" s="1" t="s">
        <v>104</v>
      </c>
      <c r="CD683" s="1">
        <v>2</v>
      </c>
      <c r="CE683" s="1" t="s">
        <v>104</v>
      </c>
      <c r="CF683" s="1" t="s">
        <v>104</v>
      </c>
      <c r="CG683" s="1" t="s">
        <v>104</v>
      </c>
      <c r="CH683" s="1" t="s">
        <v>104</v>
      </c>
      <c r="CJ683" s="1">
        <v>0</v>
      </c>
      <c r="CK683" s="1">
        <v>0</v>
      </c>
      <c r="CL683" s="1">
        <v>0</v>
      </c>
      <c r="CM683" s="1" t="s">
        <v>104</v>
      </c>
    </row>
    <row r="684" spans="1:91" ht="14.25" customHeight="1" x14ac:dyDescent="0.3">
      <c r="A684" s="1" t="s">
        <v>4528</v>
      </c>
      <c r="B684" s="1" t="s">
        <v>137</v>
      </c>
      <c r="E684" s="1" t="s">
        <v>4529</v>
      </c>
      <c r="F684" s="1" t="s">
        <v>95</v>
      </c>
      <c r="G684" s="1" t="s">
        <v>4530</v>
      </c>
      <c r="H684" s="1">
        <v>0</v>
      </c>
      <c r="I684" s="1" t="s">
        <v>157</v>
      </c>
      <c r="L684" s="1" t="s">
        <v>158</v>
      </c>
      <c r="M684" s="1" t="s">
        <v>201</v>
      </c>
      <c r="N684" s="1">
        <v>0</v>
      </c>
      <c r="O684" s="1">
        <v>0</v>
      </c>
      <c r="R684" s="1" t="s">
        <v>4531</v>
      </c>
      <c r="S684" s="1" t="s">
        <v>4403</v>
      </c>
      <c r="T684" s="1">
        <v>1</v>
      </c>
      <c r="U684" s="1">
        <v>1</v>
      </c>
      <c r="V684" s="1">
        <v>1</v>
      </c>
      <c r="W684" s="1">
        <v>0</v>
      </c>
      <c r="X684" s="1">
        <v>0</v>
      </c>
      <c r="Y684" s="1" t="s">
        <v>104</v>
      </c>
      <c r="Z684" s="1" t="s">
        <v>104</v>
      </c>
      <c r="AA684" s="1" t="s">
        <v>104</v>
      </c>
      <c r="AB684" s="1" t="s">
        <v>104</v>
      </c>
      <c r="AC684" s="1">
        <v>2</v>
      </c>
      <c r="AD684" s="1" t="s">
        <v>104</v>
      </c>
      <c r="AE684" s="1" t="s">
        <v>104</v>
      </c>
      <c r="AF684" s="1">
        <v>3</v>
      </c>
      <c r="AG684" s="1" t="s">
        <v>104</v>
      </c>
      <c r="AH684" s="1" t="s">
        <v>104</v>
      </c>
      <c r="AI684" s="1">
        <v>2</v>
      </c>
      <c r="AJ684" s="1" t="s">
        <v>104</v>
      </c>
      <c r="AK684" s="1" t="s">
        <v>104</v>
      </c>
      <c r="AL684" s="1" t="s">
        <v>104</v>
      </c>
      <c r="AM684" s="1" t="s">
        <v>104</v>
      </c>
      <c r="AO684" s="1">
        <v>2</v>
      </c>
      <c r="AQ684" s="1" t="s">
        <v>4532</v>
      </c>
      <c r="AR684" s="1">
        <v>0</v>
      </c>
      <c r="AS684" s="1">
        <v>0</v>
      </c>
      <c r="AT684" s="1">
        <v>0</v>
      </c>
      <c r="AU684" s="1">
        <v>0</v>
      </c>
      <c r="AV684" s="1">
        <v>0</v>
      </c>
      <c r="AW684" s="1">
        <v>0</v>
      </c>
      <c r="AX684" s="1">
        <v>0</v>
      </c>
      <c r="AY684" s="1">
        <v>0</v>
      </c>
      <c r="AZ684" s="1">
        <v>0</v>
      </c>
      <c r="BA684" s="1">
        <v>0</v>
      </c>
      <c r="BB684" s="1">
        <v>0</v>
      </c>
      <c r="BC684" s="1">
        <v>0</v>
      </c>
      <c r="BD684" s="1">
        <v>0</v>
      </c>
      <c r="BE684" s="1">
        <v>0</v>
      </c>
      <c r="BF684" s="1">
        <v>0</v>
      </c>
      <c r="BG684" s="1">
        <v>0</v>
      </c>
      <c r="BH684" s="1">
        <v>0</v>
      </c>
      <c r="BI684" s="1">
        <v>0</v>
      </c>
      <c r="BJ684" s="1">
        <v>0</v>
      </c>
      <c r="BK684" s="1">
        <v>0</v>
      </c>
      <c r="BL684" s="1">
        <v>0</v>
      </c>
      <c r="BM684" s="1">
        <v>0</v>
      </c>
      <c r="BN684" s="1">
        <v>0</v>
      </c>
      <c r="BO684" s="1">
        <v>0</v>
      </c>
      <c r="BP684" s="1">
        <v>0</v>
      </c>
      <c r="BQ684" s="2" t="str">
        <f>HYPERLINK("http://www.d20pfsrd.com/magic/all-spells/b/bloodhound","Bloodhound")</f>
        <v>Bloodhound</v>
      </c>
      <c r="BR684" s="1">
        <v>704</v>
      </c>
      <c r="BS684" s="1" t="s">
        <v>104</v>
      </c>
      <c r="BX684" s="1">
        <v>0</v>
      </c>
      <c r="BY684" s="1" t="s">
        <v>104</v>
      </c>
      <c r="BZ684" s="1" t="s">
        <v>104</v>
      </c>
      <c r="CA684" s="1" t="s">
        <v>104</v>
      </c>
      <c r="CB684" s="1" t="s">
        <v>104</v>
      </c>
      <c r="CC684" s="1" t="s">
        <v>104</v>
      </c>
      <c r="CD684" s="1">
        <v>3</v>
      </c>
      <c r="CE684" s="1" t="s">
        <v>104</v>
      </c>
      <c r="CF684" s="1" t="s">
        <v>104</v>
      </c>
      <c r="CG684" s="1" t="s">
        <v>104</v>
      </c>
      <c r="CH684" s="1">
        <v>2</v>
      </c>
      <c r="CJ684" s="1">
        <v>0</v>
      </c>
      <c r="CK684" s="1">
        <v>0</v>
      </c>
      <c r="CL684" s="1">
        <v>0</v>
      </c>
      <c r="CM684" s="1" t="s">
        <v>104</v>
      </c>
    </row>
    <row r="685" spans="1:91" ht="14.25" customHeight="1" x14ac:dyDescent="0.3">
      <c r="A685" s="1" t="s">
        <v>4533</v>
      </c>
      <c r="B685" s="1" t="s">
        <v>216</v>
      </c>
      <c r="E685" s="1" t="s">
        <v>4299</v>
      </c>
      <c r="F685" s="1" t="s">
        <v>95</v>
      </c>
      <c r="G685" s="1" t="s">
        <v>127</v>
      </c>
      <c r="H685" s="1">
        <v>0</v>
      </c>
      <c r="I685" s="1" t="s">
        <v>128</v>
      </c>
      <c r="L685" s="1" t="s">
        <v>129</v>
      </c>
      <c r="M685" s="1" t="s">
        <v>2330</v>
      </c>
      <c r="N685" s="1">
        <v>0</v>
      </c>
      <c r="O685" s="1">
        <v>0</v>
      </c>
      <c r="P685" s="1" t="s">
        <v>1058</v>
      </c>
      <c r="Q685" s="1" t="s">
        <v>131</v>
      </c>
      <c r="R685" s="1" t="s">
        <v>4534</v>
      </c>
      <c r="S685" s="1" t="s">
        <v>4403</v>
      </c>
      <c r="T685" s="1">
        <v>1</v>
      </c>
      <c r="U685" s="1">
        <v>1</v>
      </c>
      <c r="V685" s="1">
        <v>0</v>
      </c>
      <c r="W685" s="1">
        <v>0</v>
      </c>
      <c r="X685" s="1">
        <v>1</v>
      </c>
      <c r="Y685" s="1" t="s">
        <v>104</v>
      </c>
      <c r="Z685" s="1" t="s">
        <v>104</v>
      </c>
      <c r="AA685" s="1" t="s">
        <v>104</v>
      </c>
      <c r="AB685" s="1">
        <v>4</v>
      </c>
      <c r="AC685" s="1">
        <v>3</v>
      </c>
      <c r="AD685" s="1" t="s">
        <v>104</v>
      </c>
      <c r="AE685" s="1" t="s">
        <v>104</v>
      </c>
      <c r="AF685" s="1" t="s">
        <v>104</v>
      </c>
      <c r="AG685" s="1" t="s">
        <v>104</v>
      </c>
      <c r="AH685" s="1" t="s">
        <v>104</v>
      </c>
      <c r="AI685" s="1" t="s">
        <v>104</v>
      </c>
      <c r="AJ685" s="1" t="s">
        <v>104</v>
      </c>
      <c r="AK685" s="1" t="s">
        <v>104</v>
      </c>
      <c r="AL685" s="1" t="s">
        <v>104</v>
      </c>
      <c r="AM685" s="1" t="s">
        <v>104</v>
      </c>
      <c r="AO685" s="1">
        <v>4</v>
      </c>
      <c r="AQ685" s="1" t="s">
        <v>4535</v>
      </c>
      <c r="AR685" s="1">
        <v>0</v>
      </c>
      <c r="AS685" s="1">
        <v>0</v>
      </c>
      <c r="AT685" s="1">
        <v>0</v>
      </c>
      <c r="AU685" s="1">
        <v>0</v>
      </c>
      <c r="AV685" s="1">
        <v>0</v>
      </c>
      <c r="AW685" s="1">
        <v>0</v>
      </c>
      <c r="AX685" s="1">
        <v>0</v>
      </c>
      <c r="AY685" s="1">
        <v>0</v>
      </c>
      <c r="AZ685" s="1">
        <v>0</v>
      </c>
      <c r="BA685" s="1">
        <v>0</v>
      </c>
      <c r="BB685" s="1">
        <v>0</v>
      </c>
      <c r="BC685" s="1">
        <v>0</v>
      </c>
      <c r="BD685" s="1">
        <v>0</v>
      </c>
      <c r="BE685" s="1">
        <v>0</v>
      </c>
      <c r="BF685" s="1">
        <v>0</v>
      </c>
      <c r="BG685" s="1">
        <v>0</v>
      </c>
      <c r="BH685" s="1">
        <v>0</v>
      </c>
      <c r="BI685" s="1">
        <v>0</v>
      </c>
      <c r="BJ685" s="1">
        <v>0</v>
      </c>
      <c r="BK685" s="1">
        <v>0</v>
      </c>
      <c r="BL685" s="1">
        <v>0</v>
      </c>
      <c r="BM685" s="1">
        <v>0</v>
      </c>
      <c r="BN685" s="1">
        <v>0</v>
      </c>
      <c r="BO685" s="1">
        <v>0</v>
      </c>
      <c r="BP685" s="1">
        <v>0</v>
      </c>
      <c r="BQ685" s="2" t="str">
        <f>HYPERLINK("http://www.d20pfsrd.com/magic/all-spells/b/bloody-claws","Bloody Claws")</f>
        <v>Bloody Claws</v>
      </c>
      <c r="BR685" s="1">
        <v>705</v>
      </c>
      <c r="BS685" s="1" t="s">
        <v>104</v>
      </c>
      <c r="BX685" s="1">
        <v>0</v>
      </c>
      <c r="BY685" s="1" t="s">
        <v>104</v>
      </c>
      <c r="BZ685" s="1" t="s">
        <v>104</v>
      </c>
      <c r="CA685" s="1" t="s">
        <v>104</v>
      </c>
      <c r="CB685" s="1" t="s">
        <v>104</v>
      </c>
      <c r="CC685" s="1" t="s">
        <v>104</v>
      </c>
      <c r="CD685" s="1" t="s">
        <v>104</v>
      </c>
      <c r="CE685" s="1" t="s">
        <v>104</v>
      </c>
      <c r="CF685" s="1" t="s">
        <v>104</v>
      </c>
      <c r="CG685" s="1" t="s">
        <v>104</v>
      </c>
      <c r="CH685" s="1">
        <v>3</v>
      </c>
      <c r="CJ685" s="1">
        <v>0</v>
      </c>
      <c r="CK685" s="1">
        <v>0</v>
      </c>
      <c r="CL685" s="1">
        <v>0</v>
      </c>
      <c r="CM685" s="1" t="s">
        <v>104</v>
      </c>
    </row>
    <row r="686" spans="1:91" ht="14.25" customHeight="1" x14ac:dyDescent="0.3">
      <c r="A686" s="1" t="s">
        <v>4536</v>
      </c>
      <c r="B686" s="1" t="s">
        <v>137</v>
      </c>
      <c r="E686" s="1" t="s">
        <v>4537</v>
      </c>
      <c r="F686" s="1" t="s">
        <v>95</v>
      </c>
      <c r="G686" s="1" t="s">
        <v>1802</v>
      </c>
      <c r="H686" s="1">
        <v>0</v>
      </c>
      <c r="I686" s="1" t="s">
        <v>157</v>
      </c>
      <c r="L686" s="1" t="s">
        <v>158</v>
      </c>
      <c r="M686" s="1" t="s">
        <v>111</v>
      </c>
      <c r="N686" s="1">
        <v>0</v>
      </c>
      <c r="O686" s="1">
        <v>0</v>
      </c>
      <c r="R686" s="1" t="s">
        <v>4538</v>
      </c>
      <c r="S686" s="1" t="s">
        <v>4403</v>
      </c>
      <c r="T686" s="1">
        <v>0</v>
      </c>
      <c r="U686" s="1">
        <v>1</v>
      </c>
      <c r="V686" s="1">
        <v>0</v>
      </c>
      <c r="W686" s="1">
        <v>0</v>
      </c>
      <c r="X686" s="1">
        <v>0</v>
      </c>
      <c r="Y686" s="1" t="s">
        <v>104</v>
      </c>
      <c r="Z686" s="1" t="s">
        <v>104</v>
      </c>
      <c r="AA686" s="1" t="s">
        <v>104</v>
      </c>
      <c r="AB686" s="1" t="s">
        <v>104</v>
      </c>
      <c r="AC686" s="1" t="s">
        <v>104</v>
      </c>
      <c r="AD686" s="1" t="s">
        <v>104</v>
      </c>
      <c r="AE686" s="1" t="s">
        <v>104</v>
      </c>
      <c r="AF686" s="1">
        <v>1</v>
      </c>
      <c r="AG686" s="1" t="s">
        <v>104</v>
      </c>
      <c r="AH686" s="1" t="s">
        <v>104</v>
      </c>
      <c r="AI686" s="1" t="s">
        <v>104</v>
      </c>
      <c r="AJ686" s="1" t="s">
        <v>104</v>
      </c>
      <c r="AK686" s="1" t="s">
        <v>104</v>
      </c>
      <c r="AL686" s="1" t="s">
        <v>104</v>
      </c>
      <c r="AM686" s="1" t="s">
        <v>104</v>
      </c>
      <c r="AO686" s="1">
        <v>1</v>
      </c>
      <c r="AQ686" s="1" t="s">
        <v>4539</v>
      </c>
      <c r="AR686" s="1">
        <v>0</v>
      </c>
      <c r="AS686" s="1">
        <v>0</v>
      </c>
      <c r="AT686" s="1">
        <v>0</v>
      </c>
      <c r="AU686" s="1">
        <v>0</v>
      </c>
      <c r="AV686" s="1">
        <v>0</v>
      </c>
      <c r="AW686" s="1">
        <v>0</v>
      </c>
      <c r="AX686" s="1">
        <v>0</v>
      </c>
      <c r="AY686" s="1">
        <v>0</v>
      </c>
      <c r="AZ686" s="1">
        <v>0</v>
      </c>
      <c r="BA686" s="1">
        <v>0</v>
      </c>
      <c r="BB686" s="1">
        <v>0</v>
      </c>
      <c r="BC686" s="1">
        <v>0</v>
      </c>
      <c r="BD686" s="1">
        <v>0</v>
      </c>
      <c r="BE686" s="1">
        <v>0</v>
      </c>
      <c r="BF686" s="1">
        <v>0</v>
      </c>
      <c r="BG686" s="1">
        <v>0</v>
      </c>
      <c r="BH686" s="1">
        <v>0</v>
      </c>
      <c r="BI686" s="1">
        <v>0</v>
      </c>
      <c r="BJ686" s="1">
        <v>0</v>
      </c>
      <c r="BK686" s="1">
        <v>0</v>
      </c>
      <c r="BL686" s="1">
        <v>0</v>
      </c>
      <c r="BM686" s="1">
        <v>0</v>
      </c>
      <c r="BN686" s="1">
        <v>0</v>
      </c>
      <c r="BO686" s="1">
        <v>0</v>
      </c>
      <c r="BP686" s="1">
        <v>0</v>
      </c>
      <c r="BQ686" s="2" t="str">
        <f>HYPERLINK("http://www.d20pfsrd.com/magic/all-spells/b/bomber-s-eye","Bomber's Eye")</f>
        <v>Bomber's Eye</v>
      </c>
      <c r="BR686" s="1">
        <v>706</v>
      </c>
      <c r="BS686" s="1" t="s">
        <v>104</v>
      </c>
      <c r="BX686" s="1">
        <v>0</v>
      </c>
      <c r="BY686" s="1" t="s">
        <v>104</v>
      </c>
      <c r="BZ686" s="1" t="s">
        <v>104</v>
      </c>
      <c r="CA686" s="1" t="s">
        <v>104</v>
      </c>
      <c r="CB686" s="1" t="s">
        <v>104</v>
      </c>
      <c r="CC686" s="1" t="s">
        <v>104</v>
      </c>
      <c r="CD686" s="1" t="s">
        <v>104</v>
      </c>
      <c r="CE686" s="1" t="s">
        <v>104</v>
      </c>
      <c r="CF686" s="1" t="s">
        <v>104</v>
      </c>
      <c r="CG686" s="1" t="s">
        <v>104</v>
      </c>
      <c r="CH686" s="1" t="s">
        <v>104</v>
      </c>
      <c r="CJ686" s="1">
        <v>0</v>
      </c>
      <c r="CK686" s="1">
        <v>0</v>
      </c>
      <c r="CL686" s="1">
        <v>0</v>
      </c>
      <c r="CM686" s="1" t="s">
        <v>104</v>
      </c>
    </row>
    <row r="687" spans="1:91" ht="14.25" customHeight="1" x14ac:dyDescent="0.3">
      <c r="A687" s="1" t="s">
        <v>4540</v>
      </c>
      <c r="B687" s="1" t="s">
        <v>434</v>
      </c>
      <c r="E687" s="1" t="s">
        <v>4541</v>
      </c>
      <c r="F687" s="1" t="s">
        <v>1502</v>
      </c>
      <c r="G687" s="1" t="s">
        <v>237</v>
      </c>
      <c r="H687" s="1">
        <v>0</v>
      </c>
      <c r="I687" s="1" t="s">
        <v>157</v>
      </c>
      <c r="L687" s="1" t="s">
        <v>158</v>
      </c>
      <c r="M687" s="1" t="s">
        <v>723</v>
      </c>
      <c r="N687" s="1">
        <v>0</v>
      </c>
      <c r="O687" s="1">
        <v>0</v>
      </c>
      <c r="R687" s="1" t="s">
        <v>4542</v>
      </c>
      <c r="S687" s="1" t="s">
        <v>4403</v>
      </c>
      <c r="T687" s="1">
        <v>1</v>
      </c>
      <c r="U687" s="1">
        <v>0</v>
      </c>
      <c r="V687" s="1">
        <v>0</v>
      </c>
      <c r="W687" s="1">
        <v>0</v>
      </c>
      <c r="X687" s="1">
        <v>0</v>
      </c>
      <c r="Y687" s="1" t="s">
        <v>104</v>
      </c>
      <c r="Z687" s="1" t="s">
        <v>104</v>
      </c>
      <c r="AA687" s="1" t="s">
        <v>104</v>
      </c>
      <c r="AB687" s="1" t="s">
        <v>104</v>
      </c>
      <c r="AC687" s="1" t="s">
        <v>104</v>
      </c>
      <c r="AD687" s="1" t="s">
        <v>104</v>
      </c>
      <c r="AE687" s="1" t="s">
        <v>104</v>
      </c>
      <c r="AF687" s="1" t="s">
        <v>104</v>
      </c>
      <c r="AG687" s="1" t="s">
        <v>104</v>
      </c>
      <c r="AH687" s="1" t="s">
        <v>104</v>
      </c>
      <c r="AI687" s="1" t="s">
        <v>104</v>
      </c>
      <c r="AJ687" s="1">
        <v>3</v>
      </c>
      <c r="AK687" s="1" t="s">
        <v>104</v>
      </c>
      <c r="AL687" s="1" t="s">
        <v>104</v>
      </c>
      <c r="AM687" s="1" t="s">
        <v>104</v>
      </c>
      <c r="AO687" s="1">
        <v>3</v>
      </c>
      <c r="AP687" s="1" t="s">
        <v>4543</v>
      </c>
      <c r="AQ687" s="1" t="s">
        <v>4544</v>
      </c>
      <c r="AR687" s="1">
        <v>0</v>
      </c>
      <c r="AS687" s="1">
        <v>0</v>
      </c>
      <c r="AT687" s="1">
        <v>0</v>
      </c>
      <c r="AU687" s="1">
        <v>0</v>
      </c>
      <c r="AV687" s="1">
        <v>0</v>
      </c>
      <c r="AW687" s="1">
        <v>0</v>
      </c>
      <c r="AX687" s="1">
        <v>0</v>
      </c>
      <c r="AY687" s="1">
        <v>0</v>
      </c>
      <c r="AZ687" s="1">
        <v>0</v>
      </c>
      <c r="BA687" s="1">
        <v>0</v>
      </c>
      <c r="BB687" s="1">
        <v>0</v>
      </c>
      <c r="BC687" s="1">
        <v>0</v>
      </c>
      <c r="BD687" s="1">
        <v>0</v>
      </c>
      <c r="BE687" s="1">
        <v>0</v>
      </c>
      <c r="BF687" s="1">
        <v>0</v>
      </c>
      <c r="BG687" s="1">
        <v>0</v>
      </c>
      <c r="BH687" s="1">
        <v>0</v>
      </c>
      <c r="BI687" s="1">
        <v>0</v>
      </c>
      <c r="BJ687" s="1">
        <v>0</v>
      </c>
      <c r="BK687" s="1">
        <v>0</v>
      </c>
      <c r="BL687" s="1">
        <v>0</v>
      </c>
      <c r="BM687" s="1">
        <v>0</v>
      </c>
      <c r="BN687" s="1">
        <v>0</v>
      </c>
      <c r="BO687" s="1">
        <v>0</v>
      </c>
      <c r="BP687" s="1">
        <v>0</v>
      </c>
      <c r="BQ687" s="2" t="str">
        <f>HYPERLINK("http://www.d20pfsrd.com/magic/all-spells/b/borrow-fortune","Borrow Fortune")</f>
        <v>Borrow Fortune</v>
      </c>
      <c r="BR687" s="1">
        <v>707</v>
      </c>
      <c r="BS687" s="1" t="s">
        <v>104</v>
      </c>
      <c r="BX687" s="1">
        <v>0</v>
      </c>
      <c r="BY687" s="1" t="s">
        <v>104</v>
      </c>
      <c r="BZ687" s="1" t="s">
        <v>104</v>
      </c>
      <c r="CA687" s="1">
        <v>3</v>
      </c>
      <c r="CB687" s="1">
        <v>3</v>
      </c>
      <c r="CC687" s="1" t="s">
        <v>104</v>
      </c>
      <c r="CD687" s="1" t="s">
        <v>104</v>
      </c>
      <c r="CE687" s="1" t="s">
        <v>104</v>
      </c>
      <c r="CF687" s="1" t="s">
        <v>104</v>
      </c>
      <c r="CG687" s="1" t="s">
        <v>104</v>
      </c>
      <c r="CH687" s="1" t="s">
        <v>104</v>
      </c>
      <c r="CJ687" s="1">
        <v>0</v>
      </c>
      <c r="CK687" s="1">
        <v>0</v>
      </c>
      <c r="CL687" s="1">
        <v>0</v>
      </c>
      <c r="CM687" s="1" t="s">
        <v>104</v>
      </c>
    </row>
    <row r="688" spans="1:91" ht="14.25" customHeight="1" x14ac:dyDescent="0.3">
      <c r="A688" s="1" t="s">
        <v>4545</v>
      </c>
      <c r="B688" s="1" t="s">
        <v>137</v>
      </c>
      <c r="E688" s="1" t="s">
        <v>4546</v>
      </c>
      <c r="F688" s="1" t="s">
        <v>95</v>
      </c>
      <c r="G688" s="1" t="s">
        <v>1802</v>
      </c>
      <c r="H688" s="1">
        <v>0</v>
      </c>
      <c r="I688" s="1" t="s">
        <v>128</v>
      </c>
      <c r="L688" s="1" t="s">
        <v>374</v>
      </c>
      <c r="M688" s="1" t="s">
        <v>4547</v>
      </c>
      <c r="N688" s="1">
        <v>0</v>
      </c>
      <c r="O688" s="1">
        <v>0</v>
      </c>
      <c r="P688" s="1" t="s">
        <v>375</v>
      </c>
      <c r="Q688" s="1" t="s">
        <v>131</v>
      </c>
      <c r="R688" s="1" t="s">
        <v>4548</v>
      </c>
      <c r="S688" s="1" t="s">
        <v>4403</v>
      </c>
      <c r="T688" s="1">
        <v>0</v>
      </c>
      <c r="U688" s="1">
        <v>1</v>
      </c>
      <c r="V688" s="1">
        <v>0</v>
      </c>
      <c r="W688" s="1">
        <v>0</v>
      </c>
      <c r="X688" s="1">
        <v>0</v>
      </c>
      <c r="Y688" s="1" t="s">
        <v>104</v>
      </c>
      <c r="Z688" s="1" t="s">
        <v>104</v>
      </c>
      <c r="AA688" s="1" t="s">
        <v>104</v>
      </c>
      <c r="AB688" s="1" t="s">
        <v>104</v>
      </c>
      <c r="AC688" s="1" t="s">
        <v>104</v>
      </c>
      <c r="AD688" s="1">
        <v>1</v>
      </c>
      <c r="AE688" s="1" t="s">
        <v>104</v>
      </c>
      <c r="AF688" s="1" t="s">
        <v>104</v>
      </c>
      <c r="AG688" s="1" t="s">
        <v>104</v>
      </c>
      <c r="AH688" s="1" t="s">
        <v>104</v>
      </c>
      <c r="AI688" s="1" t="s">
        <v>104</v>
      </c>
      <c r="AJ688" s="1" t="s">
        <v>104</v>
      </c>
      <c r="AK688" s="1" t="s">
        <v>104</v>
      </c>
      <c r="AL688" s="1" t="s">
        <v>104</v>
      </c>
      <c r="AM688" s="1" t="s">
        <v>104</v>
      </c>
      <c r="AO688" s="1">
        <v>1</v>
      </c>
      <c r="AP688" s="1" t="s">
        <v>4549</v>
      </c>
      <c r="AQ688" s="1" t="s">
        <v>4550</v>
      </c>
      <c r="AR688" s="1">
        <v>0</v>
      </c>
      <c r="AS688" s="1">
        <v>0</v>
      </c>
      <c r="AT688" s="1">
        <v>0</v>
      </c>
      <c r="AU688" s="1">
        <v>0</v>
      </c>
      <c r="AV688" s="1">
        <v>0</v>
      </c>
      <c r="AW688" s="1">
        <v>0</v>
      </c>
      <c r="AX688" s="1">
        <v>0</v>
      </c>
      <c r="AY688" s="1">
        <v>0</v>
      </c>
      <c r="AZ688" s="1">
        <v>0</v>
      </c>
      <c r="BA688" s="1">
        <v>0</v>
      </c>
      <c r="BB688" s="1">
        <v>0</v>
      </c>
      <c r="BC688" s="1">
        <v>0</v>
      </c>
      <c r="BD688" s="1">
        <v>0</v>
      </c>
      <c r="BE688" s="1">
        <v>0</v>
      </c>
      <c r="BF688" s="1">
        <v>0</v>
      </c>
      <c r="BG688" s="1">
        <v>0</v>
      </c>
      <c r="BH688" s="1">
        <v>0</v>
      </c>
      <c r="BI688" s="1">
        <v>0</v>
      </c>
      <c r="BJ688" s="1">
        <v>0</v>
      </c>
      <c r="BK688" s="1">
        <v>0</v>
      </c>
      <c r="BL688" s="1">
        <v>0</v>
      </c>
      <c r="BM688" s="1">
        <v>0</v>
      </c>
      <c r="BN688" s="1">
        <v>0</v>
      </c>
      <c r="BO688" s="1">
        <v>0</v>
      </c>
      <c r="BP688" s="1">
        <v>0</v>
      </c>
      <c r="BQ688" s="2" t="str">
        <f>HYPERLINK("http://www.d20pfsrd.com/magic/all-spells/b/borrow-skill","Borrow Skill")</f>
        <v>Borrow Skill</v>
      </c>
      <c r="BR688" s="1">
        <v>708</v>
      </c>
      <c r="BS688" s="1" t="s">
        <v>104</v>
      </c>
      <c r="BX688" s="1">
        <v>0</v>
      </c>
      <c r="BY688" s="1" t="s">
        <v>104</v>
      </c>
      <c r="BZ688" s="1" t="s">
        <v>104</v>
      </c>
      <c r="CA688" s="1">
        <v>1</v>
      </c>
      <c r="CB688" s="1">
        <v>1</v>
      </c>
      <c r="CC688" s="1" t="s">
        <v>104</v>
      </c>
      <c r="CD688" s="1" t="s">
        <v>104</v>
      </c>
      <c r="CE688" s="1" t="s">
        <v>104</v>
      </c>
      <c r="CF688" s="1" t="s">
        <v>104</v>
      </c>
      <c r="CG688" s="1" t="s">
        <v>104</v>
      </c>
      <c r="CH688" s="1" t="s">
        <v>104</v>
      </c>
      <c r="CJ688" s="1">
        <v>0</v>
      </c>
      <c r="CK688" s="1">
        <v>0</v>
      </c>
      <c r="CL688" s="1">
        <v>0</v>
      </c>
      <c r="CM688" s="1" t="s">
        <v>104</v>
      </c>
    </row>
    <row r="689" spans="1:91" ht="14.25" customHeight="1" x14ac:dyDescent="0.3">
      <c r="A689" s="1" t="s">
        <v>4551</v>
      </c>
      <c r="B689" s="1" t="s">
        <v>92</v>
      </c>
      <c r="C689" s="1" t="s">
        <v>93</v>
      </c>
      <c r="E689" s="1" t="s">
        <v>4552</v>
      </c>
      <c r="F689" s="1" t="s">
        <v>95</v>
      </c>
      <c r="G689" s="1" t="s">
        <v>127</v>
      </c>
      <c r="H689" s="1">
        <v>0</v>
      </c>
      <c r="I689" s="1" t="s">
        <v>157</v>
      </c>
      <c r="L689" s="1" t="s">
        <v>158</v>
      </c>
      <c r="M689" s="1" t="s">
        <v>111</v>
      </c>
      <c r="N689" s="1">
        <v>0</v>
      </c>
      <c r="O689" s="1">
        <v>0</v>
      </c>
      <c r="R689" s="1" t="s">
        <v>4553</v>
      </c>
      <c r="S689" s="1" t="s">
        <v>4403</v>
      </c>
      <c r="T689" s="1">
        <v>1</v>
      </c>
      <c r="U689" s="1">
        <v>1</v>
      </c>
      <c r="V689" s="1">
        <v>0</v>
      </c>
      <c r="W689" s="1">
        <v>0</v>
      </c>
      <c r="X689" s="1">
        <v>1</v>
      </c>
      <c r="Y689" s="1" t="s">
        <v>104</v>
      </c>
      <c r="Z689" s="1" t="s">
        <v>104</v>
      </c>
      <c r="AA689" s="1" t="s">
        <v>104</v>
      </c>
      <c r="AB689" s="1" t="s">
        <v>104</v>
      </c>
      <c r="AC689" s="1">
        <v>4</v>
      </c>
      <c r="AD689" s="1" t="s">
        <v>104</v>
      </c>
      <c r="AE689" s="1" t="s">
        <v>104</v>
      </c>
      <c r="AF689" s="1" t="s">
        <v>104</v>
      </c>
      <c r="AG689" s="1" t="s">
        <v>104</v>
      </c>
      <c r="AH689" s="1" t="s">
        <v>104</v>
      </c>
      <c r="AI689" s="1" t="s">
        <v>104</v>
      </c>
      <c r="AJ689" s="1" t="s">
        <v>104</v>
      </c>
      <c r="AK689" s="1" t="s">
        <v>104</v>
      </c>
      <c r="AL689" s="1" t="s">
        <v>104</v>
      </c>
      <c r="AM689" s="1" t="s">
        <v>104</v>
      </c>
      <c r="AO689" s="1">
        <v>4</v>
      </c>
      <c r="AQ689" s="1" t="s">
        <v>4554</v>
      </c>
      <c r="AR689" s="1">
        <v>0</v>
      </c>
      <c r="AS689" s="1">
        <v>0</v>
      </c>
      <c r="AT689" s="1">
        <v>0</v>
      </c>
      <c r="AU689" s="1">
        <v>0</v>
      </c>
      <c r="AV689" s="1">
        <v>0</v>
      </c>
      <c r="AW689" s="1">
        <v>0</v>
      </c>
      <c r="AX689" s="1">
        <v>0</v>
      </c>
      <c r="AY689" s="1">
        <v>0</v>
      </c>
      <c r="AZ689" s="1">
        <v>0</v>
      </c>
      <c r="BA689" s="1">
        <v>0</v>
      </c>
      <c r="BB689" s="1">
        <v>0</v>
      </c>
      <c r="BC689" s="1">
        <v>0</v>
      </c>
      <c r="BD689" s="1">
        <v>0</v>
      </c>
      <c r="BE689" s="1">
        <v>0</v>
      </c>
      <c r="BF689" s="1">
        <v>0</v>
      </c>
      <c r="BG689" s="1">
        <v>0</v>
      </c>
      <c r="BH689" s="1">
        <v>0</v>
      </c>
      <c r="BI689" s="1">
        <v>0</v>
      </c>
      <c r="BJ689" s="1">
        <v>0</v>
      </c>
      <c r="BK689" s="1">
        <v>0</v>
      </c>
      <c r="BL689" s="1">
        <v>0</v>
      </c>
      <c r="BM689" s="1">
        <v>0</v>
      </c>
      <c r="BN689" s="1">
        <v>0</v>
      </c>
      <c r="BO689" s="1">
        <v>0</v>
      </c>
      <c r="BP689" s="1">
        <v>0</v>
      </c>
      <c r="BQ689" s="2" t="str">
        <f>HYPERLINK("http://www.d20pfsrd.com/magic/all-spells/b/bow-spirit","Bow Spirit")</f>
        <v>Bow Spirit</v>
      </c>
      <c r="BR689" s="1">
        <v>709</v>
      </c>
      <c r="BS689" s="1" t="s">
        <v>104</v>
      </c>
      <c r="BX689" s="1">
        <v>0</v>
      </c>
      <c r="BY689" s="1" t="s">
        <v>104</v>
      </c>
      <c r="BZ689" s="1" t="s">
        <v>104</v>
      </c>
      <c r="CA689" s="1" t="s">
        <v>104</v>
      </c>
      <c r="CB689" s="1" t="s">
        <v>104</v>
      </c>
      <c r="CC689" s="1" t="s">
        <v>104</v>
      </c>
      <c r="CD689" s="1" t="s">
        <v>104</v>
      </c>
      <c r="CE689" s="1" t="s">
        <v>104</v>
      </c>
      <c r="CF689" s="1" t="s">
        <v>104</v>
      </c>
      <c r="CG689" s="1" t="s">
        <v>104</v>
      </c>
      <c r="CH689" s="1">
        <v>4</v>
      </c>
      <c r="CJ689" s="1">
        <v>0</v>
      </c>
      <c r="CK689" s="1">
        <v>0</v>
      </c>
      <c r="CL689" s="1">
        <v>0</v>
      </c>
      <c r="CM689" s="1" t="s">
        <v>104</v>
      </c>
    </row>
    <row r="690" spans="1:91" ht="14.25" customHeight="1" x14ac:dyDescent="0.3">
      <c r="A690" s="1" t="s">
        <v>4555</v>
      </c>
      <c r="B690" s="1" t="s">
        <v>137</v>
      </c>
      <c r="D690" s="1" t="s">
        <v>47</v>
      </c>
      <c r="E690" s="1" t="s">
        <v>4556</v>
      </c>
      <c r="F690" s="1" t="s">
        <v>95</v>
      </c>
      <c r="G690" s="1" t="s">
        <v>127</v>
      </c>
      <c r="H690" s="1">
        <v>0</v>
      </c>
      <c r="I690" s="1" t="s">
        <v>128</v>
      </c>
      <c r="L690" s="1" t="s">
        <v>374</v>
      </c>
      <c r="M690" s="1" t="s">
        <v>194</v>
      </c>
      <c r="N690" s="1">
        <v>0</v>
      </c>
      <c r="O690" s="1">
        <v>0</v>
      </c>
      <c r="P690" s="1" t="s">
        <v>183</v>
      </c>
      <c r="Q690" s="1" t="s">
        <v>184</v>
      </c>
      <c r="R690" s="1" t="s">
        <v>4557</v>
      </c>
      <c r="S690" s="1" t="s">
        <v>4403</v>
      </c>
      <c r="T690" s="1">
        <v>1</v>
      </c>
      <c r="U690" s="1">
        <v>1</v>
      </c>
      <c r="V690" s="1">
        <v>0</v>
      </c>
      <c r="W690" s="1">
        <v>0</v>
      </c>
      <c r="X690" s="1">
        <v>1</v>
      </c>
      <c r="Y690" s="1" t="s">
        <v>104</v>
      </c>
      <c r="Z690" s="1" t="s">
        <v>104</v>
      </c>
      <c r="AA690" s="1" t="s">
        <v>104</v>
      </c>
      <c r="AB690" s="1" t="s">
        <v>104</v>
      </c>
      <c r="AC690" s="1" t="s">
        <v>104</v>
      </c>
      <c r="AD690" s="1" t="s">
        <v>104</v>
      </c>
      <c r="AE690" s="1" t="s">
        <v>104</v>
      </c>
      <c r="AF690" s="1" t="s">
        <v>104</v>
      </c>
      <c r="AG690" s="1" t="s">
        <v>104</v>
      </c>
      <c r="AH690" s="1" t="s">
        <v>104</v>
      </c>
      <c r="AI690" s="1">
        <v>0</v>
      </c>
      <c r="AJ690" s="1" t="s">
        <v>104</v>
      </c>
      <c r="AK690" s="1" t="s">
        <v>104</v>
      </c>
      <c r="AL690" s="1" t="s">
        <v>104</v>
      </c>
      <c r="AM690" s="1" t="s">
        <v>104</v>
      </c>
      <c r="AO690" s="1">
        <v>0</v>
      </c>
      <c r="AQ690" s="1" t="s">
        <v>4558</v>
      </c>
      <c r="AR690" s="1">
        <v>0</v>
      </c>
      <c r="AS690" s="1">
        <v>0</v>
      </c>
      <c r="AT690" s="1">
        <v>0</v>
      </c>
      <c r="AU690" s="1">
        <v>0</v>
      </c>
      <c r="AV690" s="1">
        <v>1</v>
      </c>
      <c r="AW690" s="1">
        <v>0</v>
      </c>
      <c r="AX690" s="1">
        <v>0</v>
      </c>
      <c r="AY690" s="1">
        <v>0</v>
      </c>
      <c r="AZ690" s="1">
        <v>0</v>
      </c>
      <c r="BA690" s="1">
        <v>0</v>
      </c>
      <c r="BB690" s="1">
        <v>0</v>
      </c>
      <c r="BC690" s="1">
        <v>0</v>
      </c>
      <c r="BD690" s="1">
        <v>0</v>
      </c>
      <c r="BE690" s="1">
        <v>0</v>
      </c>
      <c r="BF690" s="1">
        <v>0</v>
      </c>
      <c r="BG690" s="1">
        <v>0</v>
      </c>
      <c r="BH690" s="1">
        <v>0</v>
      </c>
      <c r="BI690" s="1">
        <v>0</v>
      </c>
      <c r="BJ690" s="1">
        <v>0</v>
      </c>
      <c r="BK690" s="1">
        <v>0</v>
      </c>
      <c r="BL690" s="1">
        <v>0</v>
      </c>
      <c r="BM690" s="1">
        <v>0</v>
      </c>
      <c r="BN690" s="1">
        <v>0</v>
      </c>
      <c r="BO690" s="1">
        <v>0</v>
      </c>
      <c r="BP690" s="1">
        <v>0</v>
      </c>
      <c r="BQ690" s="2" t="str">
        <f>HYPERLINK("http://www.d20pfsrd.com/magic/all-spells/b/brand","Brand")</f>
        <v>Brand</v>
      </c>
      <c r="BR690" s="1">
        <v>710</v>
      </c>
      <c r="BS690" s="1" t="s">
        <v>104</v>
      </c>
      <c r="BX690" s="1">
        <v>0</v>
      </c>
      <c r="BY690" s="1" t="s">
        <v>104</v>
      </c>
      <c r="BZ690" s="1" t="s">
        <v>104</v>
      </c>
      <c r="CA690" s="1" t="s">
        <v>104</v>
      </c>
      <c r="CB690" s="1" t="s">
        <v>104</v>
      </c>
      <c r="CC690" s="1" t="s">
        <v>104</v>
      </c>
      <c r="CD690" s="1" t="s">
        <v>104</v>
      </c>
      <c r="CE690" s="1" t="s">
        <v>104</v>
      </c>
      <c r="CF690" s="1" t="s">
        <v>104</v>
      </c>
      <c r="CG690" s="1" t="s">
        <v>104</v>
      </c>
      <c r="CH690" s="1" t="s">
        <v>104</v>
      </c>
      <c r="CJ690" s="1">
        <v>0</v>
      </c>
      <c r="CK690" s="1">
        <v>0</v>
      </c>
      <c r="CL690" s="1">
        <v>0</v>
      </c>
      <c r="CM690" s="1" t="s">
        <v>104</v>
      </c>
    </row>
    <row r="691" spans="1:91" ht="14.25" customHeight="1" x14ac:dyDescent="0.3">
      <c r="A691" s="1" t="s">
        <v>4559</v>
      </c>
      <c r="B691" s="1" t="s">
        <v>137</v>
      </c>
      <c r="D691" s="1" t="s">
        <v>47</v>
      </c>
      <c r="E691" s="1" t="s">
        <v>4560</v>
      </c>
      <c r="F691" s="1" t="s">
        <v>255</v>
      </c>
      <c r="G691" s="1" t="s">
        <v>127</v>
      </c>
      <c r="H691" s="1">
        <v>0</v>
      </c>
      <c r="I691" s="1" t="s">
        <v>128</v>
      </c>
      <c r="L691" s="1" t="s">
        <v>374</v>
      </c>
      <c r="M691" s="1" t="s">
        <v>298</v>
      </c>
      <c r="N691" s="1">
        <v>0</v>
      </c>
      <c r="O691" s="1">
        <v>0</v>
      </c>
      <c r="P691" s="1" t="s">
        <v>183</v>
      </c>
      <c r="Q691" s="1" t="s">
        <v>184</v>
      </c>
      <c r="R691" s="1" t="s">
        <v>4561</v>
      </c>
      <c r="S691" s="1" t="s">
        <v>4403</v>
      </c>
      <c r="T691" s="1">
        <v>1</v>
      </c>
      <c r="U691" s="1">
        <v>1</v>
      </c>
      <c r="V691" s="1">
        <v>0</v>
      </c>
      <c r="W691" s="1">
        <v>0</v>
      </c>
      <c r="X691" s="1">
        <v>1</v>
      </c>
      <c r="Y691" s="1" t="s">
        <v>104</v>
      </c>
      <c r="Z691" s="1" t="s">
        <v>104</v>
      </c>
      <c r="AA691" s="1" t="s">
        <v>104</v>
      </c>
      <c r="AB691" s="1" t="s">
        <v>104</v>
      </c>
      <c r="AC691" s="1" t="s">
        <v>104</v>
      </c>
      <c r="AD691" s="1" t="s">
        <v>104</v>
      </c>
      <c r="AE691" s="1" t="s">
        <v>104</v>
      </c>
      <c r="AF691" s="1" t="s">
        <v>104</v>
      </c>
      <c r="AG691" s="1" t="s">
        <v>104</v>
      </c>
      <c r="AH691" s="1" t="s">
        <v>104</v>
      </c>
      <c r="AI691" s="1">
        <v>4</v>
      </c>
      <c r="AJ691" s="1" t="s">
        <v>104</v>
      </c>
      <c r="AK691" s="1" t="s">
        <v>104</v>
      </c>
      <c r="AL691" s="1" t="s">
        <v>104</v>
      </c>
      <c r="AM691" s="1" t="s">
        <v>104</v>
      </c>
      <c r="AO691" s="1">
        <v>4</v>
      </c>
      <c r="AQ691" s="1" t="s">
        <v>4562</v>
      </c>
      <c r="AR691" s="1">
        <v>0</v>
      </c>
      <c r="AS691" s="1">
        <v>0</v>
      </c>
      <c r="AT691" s="1">
        <v>0</v>
      </c>
      <c r="AU691" s="1">
        <v>0</v>
      </c>
      <c r="AV691" s="1">
        <v>1</v>
      </c>
      <c r="AW691" s="1">
        <v>0</v>
      </c>
      <c r="AX691" s="1">
        <v>0</v>
      </c>
      <c r="AY691" s="1">
        <v>0</v>
      </c>
      <c r="AZ691" s="1">
        <v>0</v>
      </c>
      <c r="BA691" s="1">
        <v>0</v>
      </c>
      <c r="BB691" s="1">
        <v>0</v>
      </c>
      <c r="BC691" s="1">
        <v>0</v>
      </c>
      <c r="BD691" s="1">
        <v>0</v>
      </c>
      <c r="BE691" s="1">
        <v>0</v>
      </c>
      <c r="BF691" s="1">
        <v>0</v>
      </c>
      <c r="BG691" s="1">
        <v>0</v>
      </c>
      <c r="BH691" s="1">
        <v>0</v>
      </c>
      <c r="BI691" s="1">
        <v>0</v>
      </c>
      <c r="BJ691" s="1">
        <v>0</v>
      </c>
      <c r="BK691" s="1">
        <v>0</v>
      </c>
      <c r="BL691" s="1">
        <v>0</v>
      </c>
      <c r="BM691" s="1">
        <v>0</v>
      </c>
      <c r="BN691" s="1">
        <v>0</v>
      </c>
      <c r="BO691" s="1">
        <v>0</v>
      </c>
      <c r="BP691" s="1">
        <v>0</v>
      </c>
      <c r="BQ691" s="2" t="str">
        <f>HYPERLINK("http://www.d20pfsrd.com/magic/all-spells/b/brand","Brand, Greater")</f>
        <v>Brand, Greater</v>
      </c>
      <c r="BR691" s="1">
        <v>711</v>
      </c>
      <c r="BS691" s="1" t="s">
        <v>104</v>
      </c>
      <c r="BX691" s="1">
        <v>0</v>
      </c>
      <c r="BY691" s="1" t="s">
        <v>104</v>
      </c>
      <c r="BZ691" s="1" t="s">
        <v>104</v>
      </c>
      <c r="CA691" s="1" t="s">
        <v>104</v>
      </c>
      <c r="CB691" s="1" t="s">
        <v>104</v>
      </c>
      <c r="CC691" s="1" t="s">
        <v>104</v>
      </c>
      <c r="CD691" s="1" t="s">
        <v>104</v>
      </c>
      <c r="CE691" s="1" t="s">
        <v>104</v>
      </c>
      <c r="CF691" s="1" t="s">
        <v>104</v>
      </c>
      <c r="CG691" s="1" t="s">
        <v>104</v>
      </c>
      <c r="CH691" s="1" t="s">
        <v>104</v>
      </c>
      <c r="CJ691" s="1">
        <v>0</v>
      </c>
      <c r="CK691" s="1">
        <v>0</v>
      </c>
      <c r="CL691" s="1">
        <v>0</v>
      </c>
      <c r="CM691" s="1" t="s">
        <v>104</v>
      </c>
    </row>
    <row r="692" spans="1:91" ht="14.25" customHeight="1" x14ac:dyDescent="0.3">
      <c r="A692" s="1" t="s">
        <v>4563</v>
      </c>
      <c r="B692" s="1" t="s">
        <v>137</v>
      </c>
      <c r="E692" s="1" t="s">
        <v>4564</v>
      </c>
      <c r="F692" s="1" t="s">
        <v>95</v>
      </c>
      <c r="G692" s="1" t="s">
        <v>4565</v>
      </c>
      <c r="H692" s="1">
        <v>0</v>
      </c>
      <c r="I692" s="1" t="s">
        <v>117</v>
      </c>
      <c r="L692" s="1" t="s">
        <v>4566</v>
      </c>
      <c r="M692" s="1" t="s">
        <v>119</v>
      </c>
      <c r="N692" s="1">
        <v>0</v>
      </c>
      <c r="O692" s="1">
        <v>0</v>
      </c>
      <c r="P692" s="1" t="s">
        <v>4401</v>
      </c>
      <c r="Q692" s="1" t="s">
        <v>472</v>
      </c>
      <c r="R692" s="1" t="s">
        <v>4567</v>
      </c>
      <c r="S692" s="1" t="s">
        <v>4403</v>
      </c>
      <c r="T692" s="1">
        <v>1</v>
      </c>
      <c r="U692" s="1">
        <v>1</v>
      </c>
      <c r="V692" s="1">
        <v>1</v>
      </c>
      <c r="W692" s="1">
        <v>0</v>
      </c>
      <c r="X692" s="1">
        <v>0</v>
      </c>
      <c r="Y692" s="1">
        <v>1</v>
      </c>
      <c r="Z692" s="1">
        <v>1</v>
      </c>
      <c r="AA692" s="1" t="s">
        <v>104</v>
      </c>
      <c r="AB692" s="1" t="s">
        <v>104</v>
      </c>
      <c r="AC692" s="1" t="s">
        <v>104</v>
      </c>
      <c r="AD692" s="1" t="s">
        <v>104</v>
      </c>
      <c r="AE692" s="1" t="s">
        <v>104</v>
      </c>
      <c r="AF692" s="1" t="s">
        <v>104</v>
      </c>
      <c r="AG692" s="1" t="s">
        <v>104</v>
      </c>
      <c r="AH692" s="1" t="s">
        <v>104</v>
      </c>
      <c r="AI692" s="1" t="s">
        <v>104</v>
      </c>
      <c r="AJ692" s="1" t="s">
        <v>104</v>
      </c>
      <c r="AK692" s="1" t="s">
        <v>104</v>
      </c>
      <c r="AL692" s="1" t="s">
        <v>104</v>
      </c>
      <c r="AM692" s="1" t="s">
        <v>104</v>
      </c>
      <c r="AO692" s="1">
        <v>1</v>
      </c>
      <c r="AQ692" s="1" t="s">
        <v>4568</v>
      </c>
      <c r="AR692" s="1">
        <v>0</v>
      </c>
      <c r="AS692" s="1">
        <v>0</v>
      </c>
      <c r="AT692" s="1">
        <v>0</v>
      </c>
      <c r="AU692" s="1">
        <v>0</v>
      </c>
      <c r="AV692" s="1">
        <v>0</v>
      </c>
      <c r="AW692" s="1">
        <v>0</v>
      </c>
      <c r="AX692" s="1">
        <v>0</v>
      </c>
      <c r="AY692" s="1">
        <v>0</v>
      </c>
      <c r="AZ692" s="1">
        <v>0</v>
      </c>
      <c r="BA692" s="1">
        <v>0</v>
      </c>
      <c r="BB692" s="1">
        <v>0</v>
      </c>
      <c r="BC692" s="1">
        <v>0</v>
      </c>
      <c r="BD692" s="1">
        <v>0</v>
      </c>
      <c r="BE692" s="1">
        <v>0</v>
      </c>
      <c r="BF692" s="1">
        <v>0</v>
      </c>
      <c r="BG692" s="1">
        <v>0</v>
      </c>
      <c r="BH692" s="1">
        <v>0</v>
      </c>
      <c r="BI692" s="1">
        <v>0</v>
      </c>
      <c r="BJ692" s="1">
        <v>0</v>
      </c>
      <c r="BK692" s="1">
        <v>0</v>
      </c>
      <c r="BL692" s="1">
        <v>0</v>
      </c>
      <c r="BM692" s="1">
        <v>0</v>
      </c>
      <c r="BN692" s="1">
        <v>0</v>
      </c>
      <c r="BO692" s="1">
        <v>0</v>
      </c>
      <c r="BP692" s="1">
        <v>0</v>
      </c>
      <c r="BQ692" s="2" t="str">
        <f>HYPERLINK("http://www.d20pfsrd.com/magic/all-spells/b/break","Break")</f>
        <v>Break</v>
      </c>
      <c r="BR692" s="1">
        <v>712</v>
      </c>
      <c r="BS692" s="1" t="s">
        <v>104</v>
      </c>
      <c r="BV692" s="1" t="s">
        <v>4569</v>
      </c>
      <c r="BW692" s="1" t="s">
        <v>4570</v>
      </c>
      <c r="BX692" s="1">
        <v>1</v>
      </c>
      <c r="BY692" s="1">
        <v>1</v>
      </c>
      <c r="BZ692" s="1" t="s">
        <v>104</v>
      </c>
      <c r="CA692" s="1">
        <v>1</v>
      </c>
      <c r="CB692" s="1" t="s">
        <v>104</v>
      </c>
      <c r="CC692" s="1" t="s">
        <v>104</v>
      </c>
      <c r="CD692" s="1">
        <v>1</v>
      </c>
      <c r="CE692" s="1" t="s">
        <v>104</v>
      </c>
      <c r="CF692" s="1" t="s">
        <v>104</v>
      </c>
      <c r="CG692" s="1" t="s">
        <v>104</v>
      </c>
      <c r="CH692" s="1" t="s">
        <v>104</v>
      </c>
      <c r="CJ692" s="1">
        <v>0</v>
      </c>
      <c r="CK692" s="1">
        <v>0</v>
      </c>
      <c r="CL692" s="1">
        <v>0</v>
      </c>
      <c r="CM692" s="1" t="s">
        <v>104</v>
      </c>
    </row>
    <row r="693" spans="1:91" ht="14.25" customHeight="1" x14ac:dyDescent="0.3">
      <c r="A693" s="1" t="s">
        <v>4571</v>
      </c>
      <c r="B693" s="1" t="s">
        <v>434</v>
      </c>
      <c r="D693" s="1" t="s">
        <v>2506</v>
      </c>
      <c r="E693" s="1" t="s">
        <v>4572</v>
      </c>
      <c r="F693" s="1" t="s">
        <v>95</v>
      </c>
      <c r="G693" s="1" t="s">
        <v>237</v>
      </c>
      <c r="H693" s="1">
        <v>0</v>
      </c>
      <c r="I693" s="1" t="s">
        <v>117</v>
      </c>
      <c r="L693" s="1" t="s">
        <v>417</v>
      </c>
      <c r="M693" s="1" t="s">
        <v>4573</v>
      </c>
      <c r="N693" s="1">
        <v>0</v>
      </c>
      <c r="O693" s="1">
        <v>0</v>
      </c>
      <c r="P693" s="1" t="s">
        <v>375</v>
      </c>
      <c r="Q693" s="1" t="s">
        <v>131</v>
      </c>
      <c r="R693" s="1" t="s">
        <v>4574</v>
      </c>
      <c r="S693" s="1" t="s">
        <v>4403</v>
      </c>
      <c r="T693" s="1">
        <v>1</v>
      </c>
      <c r="U693" s="1">
        <v>0</v>
      </c>
      <c r="V693" s="1">
        <v>0</v>
      </c>
      <c r="W693" s="1">
        <v>0</v>
      </c>
      <c r="X693" s="1">
        <v>0</v>
      </c>
      <c r="Y693" s="1" t="s">
        <v>104</v>
      </c>
      <c r="Z693" s="1" t="s">
        <v>104</v>
      </c>
      <c r="AA693" s="1" t="s">
        <v>104</v>
      </c>
      <c r="AB693" s="1" t="s">
        <v>104</v>
      </c>
      <c r="AC693" s="1" t="s">
        <v>104</v>
      </c>
      <c r="AD693" s="1">
        <v>6</v>
      </c>
      <c r="AE693" s="1" t="s">
        <v>104</v>
      </c>
      <c r="AF693" s="1" t="s">
        <v>104</v>
      </c>
      <c r="AG693" s="1" t="s">
        <v>104</v>
      </c>
      <c r="AH693" s="1" t="s">
        <v>104</v>
      </c>
      <c r="AI693" s="1" t="s">
        <v>104</v>
      </c>
      <c r="AJ693" s="1" t="s">
        <v>104</v>
      </c>
      <c r="AK693" s="1" t="s">
        <v>104</v>
      </c>
      <c r="AL693" s="1" t="s">
        <v>104</v>
      </c>
      <c r="AM693" s="1" t="s">
        <v>104</v>
      </c>
      <c r="AO693" s="1">
        <v>6</v>
      </c>
      <c r="AP693" s="1" t="s">
        <v>4575</v>
      </c>
      <c r="AQ693" s="1" t="s">
        <v>4576</v>
      </c>
      <c r="AR693" s="1">
        <v>0</v>
      </c>
      <c r="AS693" s="1">
        <v>0</v>
      </c>
      <c r="AT693" s="1">
        <v>0</v>
      </c>
      <c r="AU693" s="1">
        <v>0</v>
      </c>
      <c r="AV693" s="1">
        <v>0</v>
      </c>
      <c r="AW693" s="1">
        <v>0</v>
      </c>
      <c r="AX693" s="1">
        <v>0</v>
      </c>
      <c r="AY693" s="1">
        <v>0</v>
      </c>
      <c r="AZ693" s="1">
        <v>0</v>
      </c>
      <c r="BA693" s="1">
        <v>0</v>
      </c>
      <c r="BB693" s="1">
        <v>0</v>
      </c>
      <c r="BC693" s="1">
        <v>0</v>
      </c>
      <c r="BD693" s="1">
        <v>0</v>
      </c>
      <c r="BE693" s="1">
        <v>0</v>
      </c>
      <c r="BF693" s="1">
        <v>0</v>
      </c>
      <c r="BG693" s="1">
        <v>0</v>
      </c>
      <c r="BH693" s="1">
        <v>1</v>
      </c>
      <c r="BI693" s="1">
        <v>0</v>
      </c>
      <c r="BJ693" s="1">
        <v>0</v>
      </c>
      <c r="BK693" s="1">
        <v>0</v>
      </c>
      <c r="BL693" s="1">
        <v>0</v>
      </c>
      <c r="BM693" s="1">
        <v>0</v>
      </c>
      <c r="BN693" s="1">
        <v>0</v>
      </c>
      <c r="BO693" s="1">
        <v>0</v>
      </c>
      <c r="BP693" s="1">
        <v>0</v>
      </c>
      <c r="BQ693" s="2" t="str">
        <f>HYPERLINK("http://www.d20pfsrd.com/magic/all-spells/b/brilliant-inspiration","Brilliant Inspiration")</f>
        <v>Brilliant Inspiration</v>
      </c>
      <c r="BR693" s="1">
        <v>713</v>
      </c>
      <c r="BS693" s="1" t="s">
        <v>104</v>
      </c>
      <c r="BX693" s="1">
        <v>0</v>
      </c>
      <c r="BY693" s="1" t="s">
        <v>104</v>
      </c>
      <c r="BZ693" s="1" t="s">
        <v>104</v>
      </c>
      <c r="CA693" s="1">
        <v>8</v>
      </c>
      <c r="CB693" s="1" t="s">
        <v>104</v>
      </c>
      <c r="CC693" s="1" t="s">
        <v>104</v>
      </c>
      <c r="CD693" s="1" t="s">
        <v>104</v>
      </c>
      <c r="CE693" s="1" t="s">
        <v>104</v>
      </c>
      <c r="CF693" s="1" t="s">
        <v>104</v>
      </c>
      <c r="CG693" s="1" t="s">
        <v>104</v>
      </c>
      <c r="CH693" s="1" t="s">
        <v>104</v>
      </c>
      <c r="CJ693" s="1">
        <v>0</v>
      </c>
      <c r="CK693" s="1">
        <v>0</v>
      </c>
      <c r="CL693" s="1">
        <v>0</v>
      </c>
      <c r="CM693" s="1" t="s">
        <v>104</v>
      </c>
    </row>
    <row r="694" spans="1:91" ht="14.25" customHeight="1" x14ac:dyDescent="0.3">
      <c r="A694" s="1" t="s">
        <v>4577</v>
      </c>
      <c r="B694" s="1" t="s">
        <v>137</v>
      </c>
      <c r="E694" s="1" t="s">
        <v>3371</v>
      </c>
      <c r="F694" s="1" t="s">
        <v>95</v>
      </c>
      <c r="G694" s="1" t="s">
        <v>127</v>
      </c>
      <c r="H694" s="1">
        <v>0</v>
      </c>
      <c r="I694" s="1" t="s">
        <v>128</v>
      </c>
      <c r="L694" s="1" t="s">
        <v>1065</v>
      </c>
      <c r="M694" s="1" t="s">
        <v>2330</v>
      </c>
      <c r="N694" s="1">
        <v>0</v>
      </c>
      <c r="O694" s="1">
        <v>0</v>
      </c>
      <c r="P694" s="1" t="s">
        <v>1058</v>
      </c>
      <c r="Q694" s="1" t="s">
        <v>184</v>
      </c>
      <c r="R694" s="1" t="s">
        <v>4578</v>
      </c>
      <c r="S694" s="1" t="s">
        <v>4403</v>
      </c>
      <c r="T694" s="1">
        <v>1</v>
      </c>
      <c r="U694" s="1">
        <v>1</v>
      </c>
      <c r="V694" s="1">
        <v>0</v>
      </c>
      <c r="W694" s="1">
        <v>0</v>
      </c>
      <c r="X694" s="1">
        <v>1</v>
      </c>
      <c r="Y694" s="1" t="s">
        <v>104</v>
      </c>
      <c r="Z694" s="1" t="s">
        <v>104</v>
      </c>
      <c r="AA694" s="1" t="s">
        <v>104</v>
      </c>
      <c r="AB694" s="1">
        <v>1</v>
      </c>
      <c r="AC694" s="1" t="s">
        <v>104</v>
      </c>
      <c r="AD694" s="1" t="s">
        <v>104</v>
      </c>
      <c r="AE694" s="1" t="s">
        <v>104</v>
      </c>
      <c r="AF694" s="1" t="s">
        <v>104</v>
      </c>
      <c r="AG694" s="1" t="s">
        <v>104</v>
      </c>
      <c r="AH694" s="1" t="s">
        <v>104</v>
      </c>
      <c r="AI694" s="1" t="s">
        <v>104</v>
      </c>
      <c r="AJ694" s="1" t="s">
        <v>104</v>
      </c>
      <c r="AK694" s="1" t="s">
        <v>104</v>
      </c>
      <c r="AL694" s="1" t="s">
        <v>104</v>
      </c>
      <c r="AM694" s="1" t="s">
        <v>104</v>
      </c>
      <c r="AO694" s="1">
        <v>1</v>
      </c>
      <c r="AQ694" s="1" t="s">
        <v>4579</v>
      </c>
      <c r="AR694" s="1">
        <v>0</v>
      </c>
      <c r="AS694" s="1">
        <v>0</v>
      </c>
      <c r="AT694" s="1">
        <v>0</v>
      </c>
      <c r="AU694" s="1">
        <v>0</v>
      </c>
      <c r="AV694" s="1">
        <v>0</v>
      </c>
      <c r="AW694" s="1">
        <v>0</v>
      </c>
      <c r="AX694" s="1">
        <v>0</v>
      </c>
      <c r="AY694" s="1">
        <v>0</v>
      </c>
      <c r="AZ694" s="1">
        <v>0</v>
      </c>
      <c r="BA694" s="1">
        <v>0</v>
      </c>
      <c r="BB694" s="1">
        <v>0</v>
      </c>
      <c r="BC694" s="1">
        <v>0</v>
      </c>
      <c r="BD694" s="1">
        <v>0</v>
      </c>
      <c r="BE694" s="1">
        <v>0</v>
      </c>
      <c r="BF694" s="1">
        <v>0</v>
      </c>
      <c r="BG694" s="1">
        <v>0</v>
      </c>
      <c r="BH694" s="1">
        <v>0</v>
      </c>
      <c r="BI694" s="1">
        <v>0</v>
      </c>
      <c r="BJ694" s="1">
        <v>0</v>
      </c>
      <c r="BK694" s="1">
        <v>0</v>
      </c>
      <c r="BL694" s="1">
        <v>0</v>
      </c>
      <c r="BM694" s="1">
        <v>0</v>
      </c>
      <c r="BN694" s="1">
        <v>0</v>
      </c>
      <c r="BO694" s="1">
        <v>0</v>
      </c>
      <c r="BP694" s="1">
        <v>0</v>
      </c>
      <c r="BQ694" s="2" t="str">
        <f>HYPERLINK("http://www.d20pfsrd.com/magic/all-spells/b/bristle","Bristle")</f>
        <v>Bristle</v>
      </c>
      <c r="BR694" s="1">
        <v>714</v>
      </c>
      <c r="BS694" s="1" t="s">
        <v>104</v>
      </c>
      <c r="BX694" s="1">
        <v>0</v>
      </c>
      <c r="BY694" s="1" t="s">
        <v>104</v>
      </c>
      <c r="BZ694" s="1" t="s">
        <v>104</v>
      </c>
      <c r="CA694" s="1" t="s">
        <v>104</v>
      </c>
      <c r="CB694" s="1" t="s">
        <v>104</v>
      </c>
      <c r="CC694" s="1" t="s">
        <v>104</v>
      </c>
      <c r="CD694" s="1" t="s">
        <v>104</v>
      </c>
      <c r="CE694" s="1" t="s">
        <v>104</v>
      </c>
      <c r="CF694" s="1" t="s">
        <v>104</v>
      </c>
      <c r="CG694" s="1" t="s">
        <v>104</v>
      </c>
      <c r="CH694" s="1">
        <v>1</v>
      </c>
      <c r="CJ694" s="1">
        <v>0</v>
      </c>
      <c r="CK694" s="1">
        <v>0</v>
      </c>
      <c r="CL694" s="1">
        <v>0</v>
      </c>
      <c r="CM694" s="1" t="s">
        <v>104</v>
      </c>
    </row>
    <row r="695" spans="1:91" ht="14.25" customHeight="1" x14ac:dyDescent="0.3">
      <c r="A695" s="1" t="s">
        <v>4580</v>
      </c>
      <c r="B695" s="1" t="s">
        <v>434</v>
      </c>
      <c r="D695" s="1" t="s">
        <v>56</v>
      </c>
      <c r="E695" s="1" t="s">
        <v>4581</v>
      </c>
      <c r="F695" s="1" t="s">
        <v>95</v>
      </c>
      <c r="G695" s="1" t="s">
        <v>4582</v>
      </c>
      <c r="H695" s="1">
        <v>0</v>
      </c>
      <c r="I695" s="1" t="s">
        <v>157</v>
      </c>
      <c r="L695" s="1" t="s">
        <v>158</v>
      </c>
      <c r="M695" s="1" t="s">
        <v>111</v>
      </c>
      <c r="N695" s="1">
        <v>0</v>
      </c>
      <c r="O695" s="1">
        <v>0</v>
      </c>
      <c r="P695" s="1" t="s">
        <v>4583</v>
      </c>
      <c r="Q695" s="1" t="s">
        <v>184</v>
      </c>
      <c r="R695" s="1" t="s">
        <v>4584</v>
      </c>
      <c r="S695" s="1" t="s">
        <v>4403</v>
      </c>
      <c r="T695" s="1">
        <v>1</v>
      </c>
      <c r="U695" s="1">
        <v>1</v>
      </c>
      <c r="V695" s="1">
        <v>1</v>
      </c>
      <c r="W695" s="1">
        <v>0</v>
      </c>
      <c r="X695" s="1">
        <v>1</v>
      </c>
      <c r="Y695" s="1">
        <v>2</v>
      </c>
      <c r="Z695" s="1">
        <v>2</v>
      </c>
      <c r="AA695" s="1" t="s">
        <v>104</v>
      </c>
      <c r="AB695" s="1">
        <v>2</v>
      </c>
      <c r="AC695" s="1" t="s">
        <v>104</v>
      </c>
      <c r="AD695" s="1" t="s">
        <v>104</v>
      </c>
      <c r="AE695" s="1" t="s">
        <v>104</v>
      </c>
      <c r="AF695" s="1" t="s">
        <v>104</v>
      </c>
      <c r="AG695" s="1" t="s">
        <v>104</v>
      </c>
      <c r="AH695" s="1">
        <v>2</v>
      </c>
      <c r="AI695" s="1" t="s">
        <v>104</v>
      </c>
      <c r="AJ695" s="1" t="s">
        <v>104</v>
      </c>
      <c r="AK695" s="1" t="s">
        <v>104</v>
      </c>
      <c r="AL695" s="1">
        <v>2</v>
      </c>
      <c r="AM695" s="1" t="s">
        <v>104</v>
      </c>
      <c r="AO695" s="1">
        <v>2</v>
      </c>
      <c r="AQ695" s="1" t="s">
        <v>4585</v>
      </c>
      <c r="AR695" s="1">
        <v>0</v>
      </c>
      <c r="AS695" s="1">
        <v>0</v>
      </c>
      <c r="AT695" s="1">
        <v>0</v>
      </c>
      <c r="AU695" s="1">
        <v>0</v>
      </c>
      <c r="AV695" s="1">
        <v>0</v>
      </c>
      <c r="AW695" s="1">
        <v>0</v>
      </c>
      <c r="AX695" s="1">
        <v>0</v>
      </c>
      <c r="AY695" s="1">
        <v>0</v>
      </c>
      <c r="AZ695" s="1">
        <v>0</v>
      </c>
      <c r="BA695" s="1">
        <v>0</v>
      </c>
      <c r="BB695" s="1">
        <v>0</v>
      </c>
      <c r="BC695" s="1">
        <v>0</v>
      </c>
      <c r="BD695" s="1">
        <v>0</v>
      </c>
      <c r="BE695" s="1">
        <v>1</v>
      </c>
      <c r="BF695" s="1">
        <v>0</v>
      </c>
      <c r="BG695" s="1">
        <v>0</v>
      </c>
      <c r="BH695" s="1">
        <v>0</v>
      </c>
      <c r="BI695" s="1">
        <v>0</v>
      </c>
      <c r="BJ695" s="1">
        <v>0</v>
      </c>
      <c r="BK695" s="1">
        <v>0</v>
      </c>
      <c r="BL695" s="1">
        <v>0</v>
      </c>
      <c r="BM695" s="1">
        <v>0</v>
      </c>
      <c r="BN695" s="1">
        <v>0</v>
      </c>
      <c r="BO695" s="1">
        <v>0</v>
      </c>
      <c r="BP695" s="1">
        <v>0</v>
      </c>
      <c r="BQ695" s="2" t="str">
        <f>HYPERLINK("http://www.d20pfsrd.com/magic/all-spells/b/burning-gaze","Burning Gaze")</f>
        <v>Burning Gaze</v>
      </c>
      <c r="BR695" s="1">
        <v>715</v>
      </c>
      <c r="BS695" s="1" t="s">
        <v>104</v>
      </c>
      <c r="BU695" s="1" t="s">
        <v>4586</v>
      </c>
      <c r="BV695" s="1" t="s">
        <v>4587</v>
      </c>
      <c r="BW695" s="1" t="s">
        <v>4588</v>
      </c>
      <c r="BX695" s="1">
        <v>1</v>
      </c>
      <c r="BY695" s="1">
        <v>2</v>
      </c>
      <c r="BZ695" s="1">
        <v>2</v>
      </c>
      <c r="CA695" s="1" t="s">
        <v>104</v>
      </c>
      <c r="CB695" s="1" t="s">
        <v>104</v>
      </c>
      <c r="CC695" s="1">
        <v>2</v>
      </c>
      <c r="CD695" s="1">
        <v>2</v>
      </c>
      <c r="CE695" s="1" t="s">
        <v>104</v>
      </c>
      <c r="CF695" s="1" t="s">
        <v>104</v>
      </c>
      <c r="CG695" s="1" t="s">
        <v>104</v>
      </c>
      <c r="CH695" s="1">
        <v>2</v>
      </c>
      <c r="CJ695" s="1">
        <v>0</v>
      </c>
      <c r="CK695" s="1">
        <v>0</v>
      </c>
      <c r="CL695" s="1">
        <v>0</v>
      </c>
      <c r="CM695" s="1" t="s">
        <v>104</v>
      </c>
    </row>
    <row r="696" spans="1:91" ht="14.25" customHeight="1" x14ac:dyDescent="0.3">
      <c r="A696" s="1" t="s">
        <v>4589</v>
      </c>
      <c r="B696" s="1" t="s">
        <v>434</v>
      </c>
      <c r="E696" s="1" t="s">
        <v>4590</v>
      </c>
      <c r="F696" s="1" t="s">
        <v>95</v>
      </c>
      <c r="G696" s="1" t="s">
        <v>237</v>
      </c>
      <c r="H696" s="1">
        <v>0</v>
      </c>
      <c r="I696" s="1" t="s">
        <v>128</v>
      </c>
      <c r="L696" s="1" t="s">
        <v>4591</v>
      </c>
      <c r="M696" s="1" t="s">
        <v>119</v>
      </c>
      <c r="N696" s="1">
        <v>0</v>
      </c>
      <c r="O696" s="1">
        <v>0</v>
      </c>
      <c r="P696" s="1" t="s">
        <v>4592</v>
      </c>
      <c r="Q696" s="1" t="s">
        <v>184</v>
      </c>
      <c r="R696" s="1" t="s">
        <v>4593</v>
      </c>
      <c r="S696" s="1" t="s">
        <v>4403</v>
      </c>
      <c r="T696" s="1">
        <v>1</v>
      </c>
      <c r="U696" s="1">
        <v>0</v>
      </c>
      <c r="V696" s="1">
        <v>0</v>
      </c>
      <c r="W696" s="1">
        <v>0</v>
      </c>
      <c r="X696" s="1">
        <v>0</v>
      </c>
      <c r="Y696" s="1" t="s">
        <v>104</v>
      </c>
      <c r="Z696" s="1" t="s">
        <v>104</v>
      </c>
      <c r="AA696" s="1" t="s">
        <v>104</v>
      </c>
      <c r="AB696" s="1" t="s">
        <v>104</v>
      </c>
      <c r="AC696" s="1" t="s">
        <v>104</v>
      </c>
      <c r="AD696" s="1" t="s">
        <v>104</v>
      </c>
      <c r="AE696" s="1" t="s">
        <v>104</v>
      </c>
      <c r="AF696" s="1" t="s">
        <v>104</v>
      </c>
      <c r="AG696" s="1" t="s">
        <v>104</v>
      </c>
      <c r="AH696" s="1" t="s">
        <v>104</v>
      </c>
      <c r="AI696" s="1">
        <v>1</v>
      </c>
      <c r="AJ696" s="1" t="s">
        <v>104</v>
      </c>
      <c r="AK696" s="1" t="s">
        <v>104</v>
      </c>
      <c r="AL696" s="1" t="s">
        <v>104</v>
      </c>
      <c r="AM696" s="1" t="s">
        <v>104</v>
      </c>
      <c r="AO696" s="1">
        <v>1</v>
      </c>
      <c r="AQ696" s="1" t="s">
        <v>4594</v>
      </c>
      <c r="AR696" s="1">
        <v>0</v>
      </c>
      <c r="AS696" s="1">
        <v>0</v>
      </c>
      <c r="AT696" s="1">
        <v>0</v>
      </c>
      <c r="AU696" s="1">
        <v>0</v>
      </c>
      <c r="AV696" s="1">
        <v>0</v>
      </c>
      <c r="AW696" s="1">
        <v>0</v>
      </c>
      <c r="AX696" s="1">
        <v>0</v>
      </c>
      <c r="AY696" s="1">
        <v>0</v>
      </c>
      <c r="AZ696" s="1">
        <v>0</v>
      </c>
      <c r="BA696" s="1">
        <v>0</v>
      </c>
      <c r="BB696" s="1">
        <v>0</v>
      </c>
      <c r="BC696" s="1">
        <v>0</v>
      </c>
      <c r="BD696" s="1">
        <v>0</v>
      </c>
      <c r="BE696" s="1">
        <v>0</v>
      </c>
      <c r="BF696" s="1">
        <v>0</v>
      </c>
      <c r="BG696" s="1">
        <v>0</v>
      </c>
      <c r="BH696" s="1">
        <v>0</v>
      </c>
      <c r="BI696" s="1">
        <v>0</v>
      </c>
      <c r="BJ696" s="1">
        <v>0</v>
      </c>
      <c r="BK696" s="1">
        <v>0</v>
      </c>
      <c r="BL696" s="1">
        <v>0</v>
      </c>
      <c r="BM696" s="1">
        <v>0</v>
      </c>
      <c r="BN696" s="1">
        <v>0</v>
      </c>
      <c r="BO696" s="1">
        <v>0</v>
      </c>
      <c r="BP696" s="1">
        <v>0</v>
      </c>
      <c r="BQ696" s="2" t="str">
        <f>HYPERLINK("http://www.d20pfsrd.com/magic/all-spells/b/burst-bonds","Burst Bonds")</f>
        <v>Burst Bonds</v>
      </c>
      <c r="BR696" s="1">
        <v>716</v>
      </c>
      <c r="BS696" s="1" t="s">
        <v>104</v>
      </c>
      <c r="BX696" s="1">
        <v>0</v>
      </c>
      <c r="BY696" s="1" t="s">
        <v>104</v>
      </c>
      <c r="BZ696" s="1" t="s">
        <v>104</v>
      </c>
      <c r="CA696" s="1" t="s">
        <v>104</v>
      </c>
      <c r="CB696" s="1" t="s">
        <v>104</v>
      </c>
      <c r="CC696" s="1" t="s">
        <v>104</v>
      </c>
      <c r="CD696" s="1" t="s">
        <v>104</v>
      </c>
      <c r="CE696" s="1" t="s">
        <v>104</v>
      </c>
      <c r="CF696" s="1" t="s">
        <v>104</v>
      </c>
      <c r="CG696" s="1" t="s">
        <v>104</v>
      </c>
      <c r="CH696" s="1" t="s">
        <v>104</v>
      </c>
      <c r="CJ696" s="1">
        <v>0</v>
      </c>
      <c r="CK696" s="1">
        <v>0</v>
      </c>
      <c r="CL696" s="1">
        <v>0</v>
      </c>
      <c r="CM696" s="1" t="s">
        <v>104</v>
      </c>
    </row>
    <row r="697" spans="1:91" ht="14.25" customHeight="1" x14ac:dyDescent="0.3">
      <c r="A697" s="1" t="s">
        <v>4595</v>
      </c>
      <c r="B697" s="1" t="s">
        <v>123</v>
      </c>
      <c r="C697" s="1" t="s">
        <v>124</v>
      </c>
      <c r="D697" s="1" t="s">
        <v>125</v>
      </c>
      <c r="E697" s="1" t="s">
        <v>4596</v>
      </c>
      <c r="F697" s="1" t="s">
        <v>95</v>
      </c>
      <c r="G697" s="1" t="s">
        <v>4597</v>
      </c>
      <c r="H697" s="1">
        <v>0</v>
      </c>
      <c r="I697" s="1" t="s">
        <v>117</v>
      </c>
      <c r="L697" s="1" t="s">
        <v>1065</v>
      </c>
      <c r="M697" s="1" t="s">
        <v>111</v>
      </c>
      <c r="N697" s="1">
        <v>0</v>
      </c>
      <c r="O697" s="1">
        <v>0</v>
      </c>
      <c r="P697" s="1" t="s">
        <v>211</v>
      </c>
      <c r="Q697" s="1" t="s">
        <v>184</v>
      </c>
      <c r="R697" s="1" t="s">
        <v>4598</v>
      </c>
      <c r="S697" s="1" t="s">
        <v>4403</v>
      </c>
      <c r="T697" s="1">
        <v>1</v>
      </c>
      <c r="U697" s="1">
        <v>1</v>
      </c>
      <c r="V697" s="1">
        <v>1</v>
      </c>
      <c r="W697" s="1">
        <v>0</v>
      </c>
      <c r="X697" s="1">
        <v>0</v>
      </c>
      <c r="Y697" s="1" t="s">
        <v>104</v>
      </c>
      <c r="Z697" s="1" t="s">
        <v>104</v>
      </c>
      <c r="AA697" s="1" t="s">
        <v>104</v>
      </c>
      <c r="AB697" s="1" t="s">
        <v>104</v>
      </c>
      <c r="AC697" s="1" t="s">
        <v>104</v>
      </c>
      <c r="AD697" s="1">
        <v>2</v>
      </c>
      <c r="AE697" s="1" t="s">
        <v>104</v>
      </c>
      <c r="AF697" s="1" t="s">
        <v>104</v>
      </c>
      <c r="AG697" s="1" t="s">
        <v>104</v>
      </c>
      <c r="AH697" s="1" t="s">
        <v>104</v>
      </c>
      <c r="AI697" s="1" t="s">
        <v>104</v>
      </c>
      <c r="AJ697" s="1" t="s">
        <v>104</v>
      </c>
      <c r="AK697" s="1" t="s">
        <v>104</v>
      </c>
      <c r="AL697" s="1" t="s">
        <v>104</v>
      </c>
      <c r="AM697" s="1" t="s">
        <v>104</v>
      </c>
      <c r="AO697" s="1">
        <v>2</v>
      </c>
      <c r="AQ697" s="1" t="s">
        <v>4599</v>
      </c>
      <c r="AR697" s="1">
        <v>0</v>
      </c>
      <c r="AS697" s="1">
        <v>0</v>
      </c>
      <c r="AT697" s="1">
        <v>0</v>
      </c>
      <c r="AU697" s="1">
        <v>0</v>
      </c>
      <c r="AV697" s="1">
        <v>0</v>
      </c>
      <c r="AW697" s="1">
        <v>0</v>
      </c>
      <c r="AX697" s="1">
        <v>0</v>
      </c>
      <c r="AY697" s="1">
        <v>0</v>
      </c>
      <c r="AZ697" s="1">
        <v>0</v>
      </c>
      <c r="BA697" s="1">
        <v>0</v>
      </c>
      <c r="BB697" s="1">
        <v>0</v>
      </c>
      <c r="BC697" s="1">
        <v>0</v>
      </c>
      <c r="BD697" s="1">
        <v>0</v>
      </c>
      <c r="BE697" s="1">
        <v>0</v>
      </c>
      <c r="BF697" s="1">
        <v>0</v>
      </c>
      <c r="BG697" s="1">
        <v>0</v>
      </c>
      <c r="BH697" s="1">
        <v>0</v>
      </c>
      <c r="BI697" s="1">
        <v>0</v>
      </c>
      <c r="BJ697" s="1">
        <v>0</v>
      </c>
      <c r="BK697" s="1">
        <v>1</v>
      </c>
      <c r="BL697" s="1">
        <v>0</v>
      </c>
      <c r="BM697" s="1">
        <v>0</v>
      </c>
      <c r="BN697" s="1">
        <v>0</v>
      </c>
      <c r="BO697" s="1">
        <v>0</v>
      </c>
      <c r="BP697" s="1">
        <v>0</v>
      </c>
      <c r="BQ697" s="2" t="str">
        <f>HYPERLINK("http://www.d20pfsrd.com/magic/all-spells/c/cacophonous-call","Cacophonous Call")</f>
        <v>Cacophonous Call</v>
      </c>
      <c r="BR697" s="1">
        <v>717</v>
      </c>
      <c r="BS697" s="1" t="s">
        <v>104</v>
      </c>
      <c r="BX697" s="1">
        <v>0</v>
      </c>
      <c r="BY697" s="1" t="s">
        <v>104</v>
      </c>
      <c r="BZ697" s="1" t="s">
        <v>104</v>
      </c>
      <c r="CA697" s="1" t="s">
        <v>104</v>
      </c>
      <c r="CB697" s="1" t="s">
        <v>104</v>
      </c>
      <c r="CC697" s="1" t="s">
        <v>104</v>
      </c>
      <c r="CD697" s="1" t="s">
        <v>104</v>
      </c>
      <c r="CE697" s="1" t="s">
        <v>104</v>
      </c>
      <c r="CF697" s="1" t="s">
        <v>104</v>
      </c>
      <c r="CG697" s="1" t="s">
        <v>104</v>
      </c>
      <c r="CH697" s="1" t="s">
        <v>104</v>
      </c>
      <c r="CJ697" s="1">
        <v>0</v>
      </c>
      <c r="CK697" s="1">
        <v>0</v>
      </c>
      <c r="CL697" s="1">
        <v>0</v>
      </c>
      <c r="CM697" s="1" t="s">
        <v>104</v>
      </c>
    </row>
    <row r="698" spans="1:91" ht="14.25" customHeight="1" x14ac:dyDescent="0.3">
      <c r="A698" s="1" t="s">
        <v>4600</v>
      </c>
      <c r="B698" s="1" t="s">
        <v>123</v>
      </c>
      <c r="C698" s="1" t="s">
        <v>124</v>
      </c>
      <c r="D698" s="1" t="s">
        <v>125</v>
      </c>
      <c r="E698" s="1" t="s">
        <v>4490</v>
      </c>
      <c r="F698" s="1" t="s">
        <v>95</v>
      </c>
      <c r="G698" s="1" t="s">
        <v>4597</v>
      </c>
      <c r="H698" s="1">
        <v>0</v>
      </c>
      <c r="I698" s="1" t="s">
        <v>117</v>
      </c>
      <c r="L698" s="1" t="s">
        <v>4601</v>
      </c>
      <c r="M698" s="1" t="s">
        <v>111</v>
      </c>
      <c r="N698" s="1">
        <v>0</v>
      </c>
      <c r="O698" s="1">
        <v>0</v>
      </c>
      <c r="P698" s="1" t="s">
        <v>211</v>
      </c>
      <c r="Q698" s="1" t="s">
        <v>184</v>
      </c>
      <c r="R698" s="1" t="s">
        <v>4602</v>
      </c>
      <c r="S698" s="1" t="s">
        <v>4403</v>
      </c>
      <c r="T698" s="1">
        <v>1</v>
      </c>
      <c r="U698" s="1">
        <v>1</v>
      </c>
      <c r="V698" s="1">
        <v>1</v>
      </c>
      <c r="W698" s="1">
        <v>0</v>
      </c>
      <c r="X698" s="1">
        <v>0</v>
      </c>
      <c r="Y698" s="1" t="s">
        <v>104</v>
      </c>
      <c r="Z698" s="1" t="s">
        <v>104</v>
      </c>
      <c r="AA698" s="1" t="s">
        <v>104</v>
      </c>
      <c r="AB698" s="1" t="s">
        <v>104</v>
      </c>
      <c r="AC698" s="1" t="s">
        <v>104</v>
      </c>
      <c r="AD698" s="1">
        <v>5</v>
      </c>
      <c r="AE698" s="1" t="s">
        <v>104</v>
      </c>
      <c r="AF698" s="1" t="s">
        <v>104</v>
      </c>
      <c r="AG698" s="1" t="s">
        <v>104</v>
      </c>
      <c r="AH698" s="1" t="s">
        <v>104</v>
      </c>
      <c r="AI698" s="1" t="s">
        <v>104</v>
      </c>
      <c r="AJ698" s="1" t="s">
        <v>104</v>
      </c>
      <c r="AK698" s="1" t="s">
        <v>104</v>
      </c>
      <c r="AL698" s="1" t="s">
        <v>104</v>
      </c>
      <c r="AM698" s="1" t="s">
        <v>104</v>
      </c>
      <c r="AO698" s="1">
        <v>5</v>
      </c>
      <c r="AQ698" s="1" t="s">
        <v>4603</v>
      </c>
      <c r="AR698" s="1">
        <v>0</v>
      </c>
      <c r="AS698" s="1">
        <v>0</v>
      </c>
      <c r="AT698" s="1">
        <v>0</v>
      </c>
      <c r="AU698" s="1">
        <v>0</v>
      </c>
      <c r="AV698" s="1">
        <v>0</v>
      </c>
      <c r="AW698" s="1">
        <v>0</v>
      </c>
      <c r="AX698" s="1">
        <v>0</v>
      </c>
      <c r="AY698" s="1">
        <v>0</v>
      </c>
      <c r="AZ698" s="1">
        <v>0</v>
      </c>
      <c r="BA698" s="1">
        <v>0</v>
      </c>
      <c r="BB698" s="1">
        <v>0</v>
      </c>
      <c r="BC698" s="1">
        <v>0</v>
      </c>
      <c r="BD698" s="1">
        <v>0</v>
      </c>
      <c r="BE698" s="1">
        <v>0</v>
      </c>
      <c r="BF698" s="1">
        <v>0</v>
      </c>
      <c r="BG698" s="1">
        <v>0</v>
      </c>
      <c r="BH698" s="1">
        <v>0</v>
      </c>
      <c r="BI698" s="1">
        <v>0</v>
      </c>
      <c r="BJ698" s="1">
        <v>0</v>
      </c>
      <c r="BK698" s="1">
        <v>1</v>
      </c>
      <c r="BL698" s="1">
        <v>0</v>
      </c>
      <c r="BM698" s="1">
        <v>0</v>
      </c>
      <c r="BN698" s="1">
        <v>0</v>
      </c>
      <c r="BO698" s="1">
        <v>0</v>
      </c>
      <c r="BP698" s="1">
        <v>0</v>
      </c>
      <c r="BQ698" s="2" t="str">
        <f>HYPERLINK("http://www.d20pfsrd.com/magic/all-spells/c/cacophonous-call","Cacophonous Call, Mass")</f>
        <v>Cacophonous Call, Mass</v>
      </c>
      <c r="BR698" s="1">
        <v>718</v>
      </c>
      <c r="BS698" s="1" t="s">
        <v>104</v>
      </c>
      <c r="BX698" s="1">
        <v>0</v>
      </c>
      <c r="BY698" s="1" t="s">
        <v>104</v>
      </c>
      <c r="BZ698" s="1" t="s">
        <v>104</v>
      </c>
      <c r="CA698" s="1" t="s">
        <v>104</v>
      </c>
      <c r="CB698" s="1" t="s">
        <v>104</v>
      </c>
      <c r="CC698" s="1" t="s">
        <v>104</v>
      </c>
      <c r="CD698" s="1" t="s">
        <v>104</v>
      </c>
      <c r="CE698" s="1" t="s">
        <v>104</v>
      </c>
      <c r="CF698" s="1" t="s">
        <v>104</v>
      </c>
      <c r="CG698" s="1" t="s">
        <v>104</v>
      </c>
      <c r="CH698" s="1" t="s">
        <v>104</v>
      </c>
      <c r="CJ698" s="1">
        <v>0</v>
      </c>
      <c r="CK698" s="1">
        <v>0</v>
      </c>
      <c r="CL698" s="1">
        <v>0</v>
      </c>
      <c r="CM698" s="1" t="s">
        <v>104</v>
      </c>
    </row>
    <row r="699" spans="1:91" ht="14.25" customHeight="1" x14ac:dyDescent="0.3">
      <c r="A699" s="1" t="s">
        <v>4604</v>
      </c>
      <c r="B699" s="1" t="s">
        <v>137</v>
      </c>
      <c r="D699" s="1" t="s">
        <v>51</v>
      </c>
      <c r="E699" s="1" t="s">
        <v>4605</v>
      </c>
      <c r="F699" s="1" t="s">
        <v>95</v>
      </c>
      <c r="G699" s="1" t="s">
        <v>116</v>
      </c>
      <c r="H699" s="1">
        <v>0</v>
      </c>
      <c r="I699" s="1" t="s">
        <v>128</v>
      </c>
      <c r="L699" s="1" t="s">
        <v>4606</v>
      </c>
      <c r="M699" s="1" t="s">
        <v>111</v>
      </c>
      <c r="N699" s="1">
        <v>0</v>
      </c>
      <c r="O699" s="1">
        <v>0</v>
      </c>
      <c r="P699" s="1" t="s">
        <v>1080</v>
      </c>
      <c r="Q699" s="1" t="s">
        <v>184</v>
      </c>
      <c r="R699" s="1" t="s">
        <v>4607</v>
      </c>
      <c r="S699" s="1" t="s">
        <v>4403</v>
      </c>
      <c r="T699" s="1">
        <v>1</v>
      </c>
      <c r="U699" s="1">
        <v>1</v>
      </c>
      <c r="V699" s="1">
        <v>0</v>
      </c>
      <c r="W699" s="1">
        <v>0</v>
      </c>
      <c r="X699" s="1">
        <v>0</v>
      </c>
      <c r="Y699" s="1">
        <v>4</v>
      </c>
      <c r="Z699" s="1">
        <v>4</v>
      </c>
      <c r="AA699" s="1" t="s">
        <v>104</v>
      </c>
      <c r="AB699" s="1" t="s">
        <v>104</v>
      </c>
      <c r="AC699" s="1" t="s">
        <v>104</v>
      </c>
      <c r="AD699" s="1" t="s">
        <v>104</v>
      </c>
      <c r="AE699" s="1" t="s">
        <v>104</v>
      </c>
      <c r="AF699" s="1" t="s">
        <v>104</v>
      </c>
      <c r="AG699" s="1" t="s">
        <v>104</v>
      </c>
      <c r="AH699" s="1" t="s">
        <v>104</v>
      </c>
      <c r="AI699" s="1" t="s">
        <v>104</v>
      </c>
      <c r="AJ699" s="1" t="s">
        <v>104</v>
      </c>
      <c r="AK699" s="1" t="s">
        <v>104</v>
      </c>
      <c r="AL699" s="1" t="s">
        <v>104</v>
      </c>
      <c r="AM699" s="1" t="s">
        <v>104</v>
      </c>
      <c r="AO699" s="1">
        <v>4</v>
      </c>
      <c r="AQ699" s="1" t="s">
        <v>4608</v>
      </c>
      <c r="AR699" s="1">
        <v>0</v>
      </c>
      <c r="AS699" s="1">
        <v>0</v>
      </c>
      <c r="AT699" s="1">
        <v>0</v>
      </c>
      <c r="AU699" s="1">
        <v>0</v>
      </c>
      <c r="AV699" s="1">
        <v>0</v>
      </c>
      <c r="AW699" s="1">
        <v>0</v>
      </c>
      <c r="AX699" s="1">
        <v>0</v>
      </c>
      <c r="AY699" s="1">
        <v>0</v>
      </c>
      <c r="AZ699" s="1">
        <v>1</v>
      </c>
      <c r="BA699" s="1">
        <v>0</v>
      </c>
      <c r="BB699" s="1">
        <v>0</v>
      </c>
      <c r="BC699" s="1">
        <v>0</v>
      </c>
      <c r="BD699" s="1">
        <v>0</v>
      </c>
      <c r="BE699" s="1">
        <v>0</v>
      </c>
      <c r="BF699" s="1">
        <v>0</v>
      </c>
      <c r="BG699" s="1">
        <v>0</v>
      </c>
      <c r="BH699" s="1">
        <v>0</v>
      </c>
      <c r="BI699" s="1">
        <v>0</v>
      </c>
      <c r="BJ699" s="1">
        <v>0</v>
      </c>
      <c r="BK699" s="1">
        <v>0</v>
      </c>
      <c r="BL699" s="1">
        <v>0</v>
      </c>
      <c r="BM699" s="1">
        <v>0</v>
      </c>
      <c r="BN699" s="1">
        <v>0</v>
      </c>
      <c r="BO699" s="1">
        <v>0</v>
      </c>
      <c r="BP699" s="1">
        <v>0</v>
      </c>
      <c r="BQ699" s="2" t="str">
        <f>HYPERLINK("http://www.d20pfsrd.com/magic/all-spells/c/calcific-touch","Calcific Touch")</f>
        <v>Calcific Touch</v>
      </c>
      <c r="BR699" s="1">
        <v>719</v>
      </c>
      <c r="BS699" s="1" t="s">
        <v>104</v>
      </c>
      <c r="BX699" s="1">
        <v>0</v>
      </c>
      <c r="BY699" s="1">
        <v>4</v>
      </c>
      <c r="BZ699" s="1" t="s">
        <v>104</v>
      </c>
      <c r="CA699" s="1">
        <v>4</v>
      </c>
      <c r="CB699" s="1" t="s">
        <v>104</v>
      </c>
      <c r="CC699" s="1" t="s">
        <v>104</v>
      </c>
      <c r="CD699" s="1" t="s">
        <v>104</v>
      </c>
      <c r="CE699" s="1" t="s">
        <v>104</v>
      </c>
      <c r="CF699" s="1" t="s">
        <v>104</v>
      </c>
      <c r="CG699" s="1" t="s">
        <v>104</v>
      </c>
      <c r="CH699" s="1" t="s">
        <v>104</v>
      </c>
      <c r="CJ699" s="1">
        <v>0</v>
      </c>
      <c r="CK699" s="1">
        <v>0</v>
      </c>
      <c r="CL699" s="1">
        <v>0</v>
      </c>
      <c r="CM699" s="1" t="s">
        <v>104</v>
      </c>
    </row>
    <row r="700" spans="1:91" ht="14.25" customHeight="1" x14ac:dyDescent="0.3">
      <c r="A700" s="1" t="s">
        <v>4609</v>
      </c>
      <c r="B700" s="1" t="s">
        <v>123</v>
      </c>
      <c r="C700" s="1" t="s">
        <v>124</v>
      </c>
      <c r="D700" s="1" t="s">
        <v>125</v>
      </c>
      <c r="E700" s="1" t="s">
        <v>4610</v>
      </c>
      <c r="F700" s="1" t="s">
        <v>95</v>
      </c>
      <c r="G700" s="1" t="s">
        <v>127</v>
      </c>
      <c r="H700" s="1">
        <v>0</v>
      </c>
      <c r="I700" s="1" t="s">
        <v>4611</v>
      </c>
      <c r="K700" s="1" t="s">
        <v>4612</v>
      </c>
      <c r="M700" s="1" t="s">
        <v>620</v>
      </c>
      <c r="N700" s="1">
        <v>1</v>
      </c>
      <c r="O700" s="1">
        <v>0</v>
      </c>
      <c r="P700" s="1" t="s">
        <v>100</v>
      </c>
      <c r="Q700" s="1" t="s">
        <v>100</v>
      </c>
      <c r="R700" s="1" t="s">
        <v>4613</v>
      </c>
      <c r="S700" s="1" t="s">
        <v>4403</v>
      </c>
      <c r="T700" s="1">
        <v>1</v>
      </c>
      <c r="U700" s="1">
        <v>1</v>
      </c>
      <c r="V700" s="1">
        <v>0</v>
      </c>
      <c r="W700" s="1">
        <v>0</v>
      </c>
      <c r="X700" s="1">
        <v>1</v>
      </c>
      <c r="Y700" s="1" t="s">
        <v>104</v>
      </c>
      <c r="Z700" s="1" t="s">
        <v>104</v>
      </c>
      <c r="AA700" s="1" t="s">
        <v>104</v>
      </c>
      <c r="AB700" s="1">
        <v>1</v>
      </c>
      <c r="AC700" s="1">
        <v>1</v>
      </c>
      <c r="AD700" s="1" t="s">
        <v>104</v>
      </c>
      <c r="AE700" s="1" t="s">
        <v>104</v>
      </c>
      <c r="AF700" s="1" t="s">
        <v>104</v>
      </c>
      <c r="AG700" s="1" t="s">
        <v>104</v>
      </c>
      <c r="AH700" s="1" t="s">
        <v>104</v>
      </c>
      <c r="AI700" s="1" t="s">
        <v>104</v>
      </c>
      <c r="AJ700" s="1" t="s">
        <v>104</v>
      </c>
      <c r="AK700" s="1" t="s">
        <v>104</v>
      </c>
      <c r="AL700" s="1" t="s">
        <v>104</v>
      </c>
      <c r="AM700" s="1" t="s">
        <v>104</v>
      </c>
      <c r="AO700" s="1">
        <v>1</v>
      </c>
      <c r="AQ700" s="1" t="s">
        <v>4614</v>
      </c>
      <c r="AR700" s="1">
        <v>0</v>
      </c>
      <c r="AS700" s="1">
        <v>0</v>
      </c>
      <c r="AT700" s="1">
        <v>0</v>
      </c>
      <c r="AU700" s="1">
        <v>0</v>
      </c>
      <c r="AV700" s="1">
        <v>0</v>
      </c>
      <c r="AW700" s="1">
        <v>0</v>
      </c>
      <c r="AX700" s="1">
        <v>0</v>
      </c>
      <c r="AY700" s="1">
        <v>0</v>
      </c>
      <c r="AZ700" s="1">
        <v>0</v>
      </c>
      <c r="BA700" s="1">
        <v>0</v>
      </c>
      <c r="BB700" s="1">
        <v>0</v>
      </c>
      <c r="BC700" s="1">
        <v>0</v>
      </c>
      <c r="BD700" s="1">
        <v>0</v>
      </c>
      <c r="BE700" s="1">
        <v>0</v>
      </c>
      <c r="BF700" s="1">
        <v>0</v>
      </c>
      <c r="BG700" s="1">
        <v>0</v>
      </c>
      <c r="BH700" s="1">
        <v>0</v>
      </c>
      <c r="BI700" s="1">
        <v>0</v>
      </c>
      <c r="BJ700" s="1">
        <v>0</v>
      </c>
      <c r="BK700" s="1">
        <v>1</v>
      </c>
      <c r="BL700" s="1">
        <v>0</v>
      </c>
      <c r="BM700" s="1">
        <v>0</v>
      </c>
      <c r="BN700" s="1">
        <v>0</v>
      </c>
      <c r="BO700" s="1">
        <v>0</v>
      </c>
      <c r="BP700" s="1">
        <v>0</v>
      </c>
      <c r="BQ700" s="2" t="str">
        <f>HYPERLINK("http://www.d20pfsrd.com/magic/all-spells/c/call-animal","Call Animal")</f>
        <v>Call Animal</v>
      </c>
      <c r="BR700" s="1">
        <v>720</v>
      </c>
      <c r="BS700" s="1" t="s">
        <v>104</v>
      </c>
      <c r="BV700" s="1" t="s">
        <v>4615</v>
      </c>
      <c r="BX700" s="1">
        <v>1</v>
      </c>
      <c r="BY700" s="1" t="s">
        <v>104</v>
      </c>
      <c r="BZ700" s="1" t="s">
        <v>104</v>
      </c>
      <c r="CA700" s="1" t="s">
        <v>104</v>
      </c>
      <c r="CB700" s="1" t="s">
        <v>104</v>
      </c>
      <c r="CC700" s="1">
        <v>1</v>
      </c>
      <c r="CD700" s="1" t="s">
        <v>104</v>
      </c>
      <c r="CE700" s="1" t="s">
        <v>104</v>
      </c>
      <c r="CF700" s="1" t="s">
        <v>104</v>
      </c>
      <c r="CG700" s="1" t="s">
        <v>104</v>
      </c>
      <c r="CH700" s="1">
        <v>1</v>
      </c>
      <c r="CJ700" s="1">
        <v>0</v>
      </c>
      <c r="CK700" s="1">
        <v>0</v>
      </c>
      <c r="CL700" s="1">
        <v>0</v>
      </c>
      <c r="CM700" s="1" t="s">
        <v>104</v>
      </c>
    </row>
    <row r="701" spans="1:91" ht="14.25" customHeight="1" x14ac:dyDescent="0.3">
      <c r="A701" s="1" t="s">
        <v>4616</v>
      </c>
      <c r="B701" s="1" t="s">
        <v>434</v>
      </c>
      <c r="D701" s="1" t="s">
        <v>4617</v>
      </c>
      <c r="E701" s="1" t="s">
        <v>4618</v>
      </c>
      <c r="F701" s="1" t="s">
        <v>95</v>
      </c>
      <c r="G701" s="1" t="s">
        <v>4619</v>
      </c>
      <c r="H701" s="1">
        <v>0</v>
      </c>
      <c r="I701" s="1" t="s">
        <v>117</v>
      </c>
      <c r="K701" s="1" t="s">
        <v>4620</v>
      </c>
      <c r="M701" s="1" t="s">
        <v>4621</v>
      </c>
      <c r="N701" s="1">
        <v>1</v>
      </c>
      <c r="O701" s="1">
        <v>0</v>
      </c>
      <c r="P701" s="1" t="s">
        <v>100</v>
      </c>
      <c r="Q701" s="1" t="s">
        <v>184</v>
      </c>
      <c r="R701" s="1" t="s">
        <v>4622</v>
      </c>
      <c r="S701" s="1" t="s">
        <v>4403</v>
      </c>
      <c r="T701" s="1">
        <v>1</v>
      </c>
      <c r="U701" s="1">
        <v>1</v>
      </c>
      <c r="V701" s="1">
        <v>1</v>
      </c>
      <c r="W701" s="1">
        <v>0</v>
      </c>
      <c r="X701" s="1">
        <v>1</v>
      </c>
      <c r="Y701" s="1">
        <v>3</v>
      </c>
      <c r="Z701" s="1">
        <v>3</v>
      </c>
      <c r="AA701" s="1" t="s">
        <v>104</v>
      </c>
      <c r="AB701" s="1">
        <v>2</v>
      </c>
      <c r="AC701" s="1">
        <v>2</v>
      </c>
      <c r="AD701" s="1">
        <v>3</v>
      </c>
      <c r="AE701" s="1" t="s">
        <v>104</v>
      </c>
      <c r="AF701" s="1" t="s">
        <v>104</v>
      </c>
      <c r="AG701" s="1" t="s">
        <v>104</v>
      </c>
      <c r="AH701" s="1" t="s">
        <v>104</v>
      </c>
      <c r="AI701" s="1" t="s">
        <v>104</v>
      </c>
      <c r="AJ701" s="1" t="s">
        <v>104</v>
      </c>
      <c r="AK701" s="1" t="s">
        <v>104</v>
      </c>
      <c r="AL701" s="1" t="s">
        <v>104</v>
      </c>
      <c r="AM701" s="1" t="s">
        <v>104</v>
      </c>
      <c r="AO701" s="1">
        <v>3</v>
      </c>
      <c r="AQ701" s="1" t="s">
        <v>4623</v>
      </c>
      <c r="AR701" s="1">
        <v>0</v>
      </c>
      <c r="AS701" s="1">
        <v>0</v>
      </c>
      <c r="AT701" s="1">
        <v>0</v>
      </c>
      <c r="AU701" s="1">
        <v>0</v>
      </c>
      <c r="AV701" s="1">
        <v>0</v>
      </c>
      <c r="AW701" s="1">
        <v>0</v>
      </c>
      <c r="AX701" s="1">
        <v>0</v>
      </c>
      <c r="AY701" s="1">
        <v>0</v>
      </c>
      <c r="AZ701" s="1">
        <v>0</v>
      </c>
      <c r="BA701" s="1">
        <v>0</v>
      </c>
      <c r="BB701" s="1">
        <v>0</v>
      </c>
      <c r="BC701" s="1">
        <v>0</v>
      </c>
      <c r="BD701" s="1">
        <v>0</v>
      </c>
      <c r="BE701" s="1">
        <v>1</v>
      </c>
      <c r="BF701" s="1">
        <v>0</v>
      </c>
      <c r="BG701" s="1">
        <v>0</v>
      </c>
      <c r="BH701" s="1">
        <v>0</v>
      </c>
      <c r="BI701" s="1">
        <v>0</v>
      </c>
      <c r="BJ701" s="1">
        <v>1</v>
      </c>
      <c r="BK701" s="1">
        <v>0</v>
      </c>
      <c r="BL701" s="1">
        <v>0</v>
      </c>
      <c r="BM701" s="1">
        <v>0</v>
      </c>
      <c r="BN701" s="1">
        <v>0</v>
      </c>
      <c r="BO701" s="1">
        <v>0</v>
      </c>
      <c r="BP701" s="1">
        <v>0</v>
      </c>
      <c r="BQ701" s="2" t="str">
        <f>HYPERLINK("http://www.d20pfsrd.com/magic/all-spells/c/campfire-wall","Campfire Wall")</f>
        <v>Campfire Wall</v>
      </c>
      <c r="BR701" s="1">
        <v>721</v>
      </c>
      <c r="BS701" s="1" t="s">
        <v>104</v>
      </c>
      <c r="BX701" s="1">
        <v>0</v>
      </c>
      <c r="BY701" s="1" t="s">
        <v>104</v>
      </c>
      <c r="BZ701" s="1" t="s">
        <v>104</v>
      </c>
      <c r="CA701" s="1" t="s">
        <v>104</v>
      </c>
      <c r="CB701" s="1" t="s">
        <v>104</v>
      </c>
      <c r="CC701" s="1" t="s">
        <v>104</v>
      </c>
      <c r="CD701" s="1">
        <v>2</v>
      </c>
      <c r="CE701" s="1" t="s">
        <v>104</v>
      </c>
      <c r="CF701" s="1" t="s">
        <v>104</v>
      </c>
      <c r="CG701" s="1" t="s">
        <v>104</v>
      </c>
      <c r="CH701" s="1">
        <v>2</v>
      </c>
      <c r="CJ701" s="1">
        <v>0</v>
      </c>
      <c r="CK701" s="1">
        <v>0</v>
      </c>
      <c r="CL701" s="1">
        <v>0</v>
      </c>
      <c r="CM701" s="1" t="s">
        <v>104</v>
      </c>
    </row>
    <row r="702" spans="1:91" ht="14.25" customHeight="1" x14ac:dyDescent="0.3">
      <c r="A702" s="1" t="s">
        <v>4624</v>
      </c>
      <c r="B702" s="1" t="s">
        <v>162</v>
      </c>
      <c r="E702" s="1" t="s">
        <v>4625</v>
      </c>
      <c r="F702" s="1" t="s">
        <v>95</v>
      </c>
      <c r="G702" s="1" t="s">
        <v>127</v>
      </c>
      <c r="H702" s="1">
        <v>0</v>
      </c>
      <c r="I702" s="1" t="s">
        <v>128</v>
      </c>
      <c r="L702" s="1" t="s">
        <v>374</v>
      </c>
      <c r="M702" s="1" t="s">
        <v>119</v>
      </c>
      <c r="N702" s="1">
        <v>0</v>
      </c>
      <c r="O702" s="1">
        <v>0</v>
      </c>
      <c r="P702" s="1" t="s">
        <v>276</v>
      </c>
      <c r="Q702" s="1" t="s">
        <v>184</v>
      </c>
      <c r="R702" s="1" t="s">
        <v>4626</v>
      </c>
      <c r="S702" s="1" t="s">
        <v>4403</v>
      </c>
      <c r="T702" s="1">
        <v>1</v>
      </c>
      <c r="U702" s="1">
        <v>1</v>
      </c>
      <c r="V702" s="1">
        <v>0</v>
      </c>
      <c r="W702" s="1">
        <v>0</v>
      </c>
      <c r="X702" s="1">
        <v>1</v>
      </c>
      <c r="Y702" s="1" t="s">
        <v>104</v>
      </c>
      <c r="Z702" s="1" t="s">
        <v>104</v>
      </c>
      <c r="AA702" s="1" t="s">
        <v>104</v>
      </c>
      <c r="AB702" s="1" t="s">
        <v>104</v>
      </c>
      <c r="AC702" s="1" t="s">
        <v>104</v>
      </c>
      <c r="AD702" s="1" t="s">
        <v>104</v>
      </c>
      <c r="AE702" s="1" t="s">
        <v>104</v>
      </c>
      <c r="AF702" s="1" t="s">
        <v>104</v>
      </c>
      <c r="AG702" s="1" t="s">
        <v>104</v>
      </c>
      <c r="AH702" s="1" t="s">
        <v>104</v>
      </c>
      <c r="AI702" s="1">
        <v>3</v>
      </c>
      <c r="AJ702" s="1" t="s">
        <v>104</v>
      </c>
      <c r="AK702" s="1" t="s">
        <v>104</v>
      </c>
      <c r="AL702" s="1" t="s">
        <v>104</v>
      </c>
      <c r="AM702" s="1" t="s">
        <v>104</v>
      </c>
      <c r="AO702" s="1">
        <v>3</v>
      </c>
      <c r="AQ702" s="1" t="s">
        <v>4627</v>
      </c>
      <c r="AR702" s="1">
        <v>0</v>
      </c>
      <c r="AS702" s="1">
        <v>0</v>
      </c>
      <c r="AT702" s="1">
        <v>0</v>
      </c>
      <c r="AU702" s="1">
        <v>0</v>
      </c>
      <c r="AV702" s="1">
        <v>0</v>
      </c>
      <c r="AW702" s="1">
        <v>0</v>
      </c>
      <c r="AX702" s="1">
        <v>0</v>
      </c>
      <c r="AY702" s="1">
        <v>0</v>
      </c>
      <c r="AZ702" s="1">
        <v>0</v>
      </c>
      <c r="BA702" s="1">
        <v>0</v>
      </c>
      <c r="BB702" s="1">
        <v>0</v>
      </c>
      <c r="BC702" s="1">
        <v>0</v>
      </c>
      <c r="BD702" s="1">
        <v>0</v>
      </c>
      <c r="BE702" s="1">
        <v>0</v>
      </c>
      <c r="BF702" s="1">
        <v>0</v>
      </c>
      <c r="BG702" s="1">
        <v>0</v>
      </c>
      <c r="BH702" s="1">
        <v>0</v>
      </c>
      <c r="BI702" s="1">
        <v>0</v>
      </c>
      <c r="BJ702" s="1">
        <v>0</v>
      </c>
      <c r="BK702" s="1">
        <v>0</v>
      </c>
      <c r="BL702" s="1">
        <v>0</v>
      </c>
      <c r="BM702" s="1">
        <v>0</v>
      </c>
      <c r="BN702" s="1">
        <v>0</v>
      </c>
      <c r="BO702" s="1">
        <v>0</v>
      </c>
      <c r="BP702" s="1">
        <v>0</v>
      </c>
      <c r="BQ702" s="2" t="str">
        <f>HYPERLINK("http://www.d20pfsrd.com/magic/all-spells/c/cast-out","Cast Out")</f>
        <v>Cast Out</v>
      </c>
      <c r="BR702" s="1">
        <v>722</v>
      </c>
      <c r="BS702" s="1" t="s">
        <v>104</v>
      </c>
      <c r="BX702" s="1">
        <v>0</v>
      </c>
      <c r="BY702" s="1" t="s">
        <v>104</v>
      </c>
      <c r="BZ702" s="1" t="s">
        <v>104</v>
      </c>
      <c r="CA702" s="1">
        <v>4</v>
      </c>
      <c r="CB702" s="1">
        <v>2</v>
      </c>
      <c r="CC702" s="1" t="s">
        <v>104</v>
      </c>
      <c r="CD702" s="1" t="s">
        <v>104</v>
      </c>
      <c r="CE702" s="1" t="s">
        <v>104</v>
      </c>
      <c r="CF702" s="1" t="s">
        <v>104</v>
      </c>
      <c r="CG702" s="1" t="s">
        <v>104</v>
      </c>
      <c r="CH702" s="1" t="s">
        <v>104</v>
      </c>
      <c r="CJ702" s="1">
        <v>0</v>
      </c>
      <c r="CK702" s="1">
        <v>0</v>
      </c>
      <c r="CL702" s="1">
        <v>0</v>
      </c>
      <c r="CM702" s="1" t="s">
        <v>104</v>
      </c>
    </row>
    <row r="703" spans="1:91" ht="14.25" customHeight="1" x14ac:dyDescent="0.3">
      <c r="A703" s="1" t="s">
        <v>4628</v>
      </c>
      <c r="B703" s="1" t="s">
        <v>123</v>
      </c>
      <c r="C703" s="1" t="s">
        <v>124</v>
      </c>
      <c r="D703" s="1" t="s">
        <v>4629</v>
      </c>
      <c r="E703" s="1" t="s">
        <v>4630</v>
      </c>
      <c r="F703" s="1" t="s">
        <v>95</v>
      </c>
      <c r="G703" s="1" t="s">
        <v>127</v>
      </c>
      <c r="H703" s="1">
        <v>0</v>
      </c>
      <c r="I703" s="1" t="s">
        <v>117</v>
      </c>
      <c r="L703" s="1" t="s">
        <v>417</v>
      </c>
      <c r="M703" s="1" t="s">
        <v>4237</v>
      </c>
      <c r="N703" s="1">
        <v>0</v>
      </c>
      <c r="O703" s="1">
        <v>0</v>
      </c>
      <c r="P703" s="1" t="s">
        <v>276</v>
      </c>
      <c r="Q703" s="1" t="s">
        <v>184</v>
      </c>
      <c r="R703" s="1" t="s">
        <v>4631</v>
      </c>
      <c r="S703" s="1" t="s">
        <v>4403</v>
      </c>
      <c r="T703" s="1">
        <v>1</v>
      </c>
      <c r="U703" s="1">
        <v>1</v>
      </c>
      <c r="V703" s="1">
        <v>0</v>
      </c>
      <c r="W703" s="1">
        <v>0</v>
      </c>
      <c r="X703" s="1">
        <v>1</v>
      </c>
      <c r="Y703" s="1" t="s">
        <v>104</v>
      </c>
      <c r="Z703" s="1" t="s">
        <v>104</v>
      </c>
      <c r="AA703" s="1" t="s">
        <v>104</v>
      </c>
      <c r="AB703" s="1" t="s">
        <v>104</v>
      </c>
      <c r="AC703" s="1" t="s">
        <v>104</v>
      </c>
      <c r="AD703" s="1" t="s">
        <v>104</v>
      </c>
      <c r="AE703" s="1" t="s">
        <v>104</v>
      </c>
      <c r="AF703" s="1" t="s">
        <v>104</v>
      </c>
      <c r="AG703" s="1" t="s">
        <v>104</v>
      </c>
      <c r="AH703" s="1" t="s">
        <v>104</v>
      </c>
      <c r="AI703" s="1">
        <v>2</v>
      </c>
      <c r="AJ703" s="1" t="s">
        <v>104</v>
      </c>
      <c r="AK703" s="1" t="s">
        <v>104</v>
      </c>
      <c r="AL703" s="1" t="s">
        <v>104</v>
      </c>
      <c r="AM703" s="1" t="s">
        <v>104</v>
      </c>
      <c r="AO703" s="1">
        <v>2</v>
      </c>
      <c r="AP703" s="1" t="s">
        <v>4632</v>
      </c>
      <c r="AQ703" s="1" t="s">
        <v>4633</v>
      </c>
      <c r="AR703" s="1">
        <v>0</v>
      </c>
      <c r="AS703" s="1">
        <v>0</v>
      </c>
      <c r="AT703" s="1">
        <v>0</v>
      </c>
      <c r="AU703" s="1">
        <v>0</v>
      </c>
      <c r="AV703" s="1">
        <v>0</v>
      </c>
      <c r="AW703" s="1">
        <v>0</v>
      </c>
      <c r="AX703" s="1">
        <v>0</v>
      </c>
      <c r="AY703" s="1">
        <v>0</v>
      </c>
      <c r="AZ703" s="1">
        <v>0</v>
      </c>
      <c r="BA703" s="1">
        <v>0</v>
      </c>
      <c r="BB703" s="1">
        <v>1</v>
      </c>
      <c r="BC703" s="1">
        <v>0</v>
      </c>
      <c r="BD703" s="1">
        <v>1</v>
      </c>
      <c r="BE703" s="1">
        <v>0</v>
      </c>
      <c r="BF703" s="1">
        <v>0</v>
      </c>
      <c r="BG703" s="1">
        <v>0</v>
      </c>
      <c r="BH703" s="1">
        <v>1</v>
      </c>
      <c r="BI703" s="1">
        <v>0</v>
      </c>
      <c r="BJ703" s="1">
        <v>0</v>
      </c>
      <c r="BK703" s="1">
        <v>1</v>
      </c>
      <c r="BL703" s="1">
        <v>0</v>
      </c>
      <c r="BM703" s="1">
        <v>0</v>
      </c>
      <c r="BN703" s="1">
        <v>0</v>
      </c>
      <c r="BO703" s="1">
        <v>0</v>
      </c>
      <c r="BP703" s="1">
        <v>0</v>
      </c>
      <c r="BQ703" s="2" t="str">
        <f>HYPERLINK("http://www.d20pfsrd.com/magic/all-spells/c/castigate","Castigate")</f>
        <v>Castigate</v>
      </c>
      <c r="BR703" s="1">
        <v>723</v>
      </c>
      <c r="BS703" s="1" t="s">
        <v>104</v>
      </c>
      <c r="BX703" s="1">
        <v>0</v>
      </c>
      <c r="BY703" s="1" t="s">
        <v>104</v>
      </c>
      <c r="BZ703" s="1" t="s">
        <v>104</v>
      </c>
      <c r="CA703" s="1" t="s">
        <v>104</v>
      </c>
      <c r="CB703" s="1" t="s">
        <v>104</v>
      </c>
      <c r="CC703" s="1">
        <v>2</v>
      </c>
      <c r="CD703" s="1" t="s">
        <v>104</v>
      </c>
      <c r="CE703" s="1" t="s">
        <v>104</v>
      </c>
      <c r="CF703" s="1" t="s">
        <v>104</v>
      </c>
      <c r="CG703" s="1" t="s">
        <v>104</v>
      </c>
      <c r="CH703" s="1" t="s">
        <v>104</v>
      </c>
      <c r="CJ703" s="1">
        <v>0</v>
      </c>
      <c r="CK703" s="1">
        <v>0</v>
      </c>
      <c r="CL703" s="1">
        <v>0</v>
      </c>
      <c r="CM703" s="1" t="s">
        <v>104</v>
      </c>
    </row>
    <row r="704" spans="1:91" ht="14.25" customHeight="1" x14ac:dyDescent="0.3">
      <c r="A704" s="1" t="s">
        <v>4634</v>
      </c>
      <c r="B704" s="1" t="s">
        <v>123</v>
      </c>
      <c r="C704" s="1" t="s">
        <v>124</v>
      </c>
      <c r="D704" s="1" t="s">
        <v>4629</v>
      </c>
      <c r="E704" s="1" t="s">
        <v>4635</v>
      </c>
      <c r="F704" s="1" t="s">
        <v>95</v>
      </c>
      <c r="G704" s="1" t="s">
        <v>127</v>
      </c>
      <c r="H704" s="1">
        <v>0</v>
      </c>
      <c r="I704" s="1" t="s">
        <v>109</v>
      </c>
      <c r="L704" s="1" t="s">
        <v>541</v>
      </c>
      <c r="M704" s="1" t="s">
        <v>4237</v>
      </c>
      <c r="N704" s="1">
        <v>0</v>
      </c>
      <c r="O704" s="1">
        <v>0</v>
      </c>
      <c r="P704" s="1" t="s">
        <v>276</v>
      </c>
      <c r="Q704" s="1" t="s">
        <v>184</v>
      </c>
      <c r="R704" s="1" t="s">
        <v>4636</v>
      </c>
      <c r="S704" s="1" t="s">
        <v>4403</v>
      </c>
      <c r="T704" s="1">
        <v>1</v>
      </c>
      <c r="U704" s="1">
        <v>1</v>
      </c>
      <c r="V704" s="1">
        <v>0</v>
      </c>
      <c r="W704" s="1">
        <v>0</v>
      </c>
      <c r="X704" s="1">
        <v>1</v>
      </c>
      <c r="Y704" s="1" t="s">
        <v>104</v>
      </c>
      <c r="Z704" s="1" t="s">
        <v>104</v>
      </c>
      <c r="AA704" s="1" t="s">
        <v>104</v>
      </c>
      <c r="AB704" s="1" t="s">
        <v>104</v>
      </c>
      <c r="AC704" s="1" t="s">
        <v>104</v>
      </c>
      <c r="AD704" s="1" t="s">
        <v>104</v>
      </c>
      <c r="AE704" s="1" t="s">
        <v>104</v>
      </c>
      <c r="AF704" s="1" t="s">
        <v>104</v>
      </c>
      <c r="AG704" s="1" t="s">
        <v>104</v>
      </c>
      <c r="AH704" s="1" t="s">
        <v>104</v>
      </c>
      <c r="AI704" s="1">
        <v>5</v>
      </c>
      <c r="AJ704" s="1" t="s">
        <v>104</v>
      </c>
      <c r="AK704" s="1" t="s">
        <v>104</v>
      </c>
      <c r="AL704" s="1" t="s">
        <v>104</v>
      </c>
      <c r="AM704" s="1" t="s">
        <v>104</v>
      </c>
      <c r="AO704" s="1">
        <v>5</v>
      </c>
      <c r="AQ704" s="1" t="s">
        <v>4637</v>
      </c>
      <c r="AR704" s="1">
        <v>0</v>
      </c>
      <c r="AS704" s="1">
        <v>0</v>
      </c>
      <c r="AT704" s="1">
        <v>0</v>
      </c>
      <c r="AU704" s="1">
        <v>0</v>
      </c>
      <c r="AV704" s="1">
        <v>0</v>
      </c>
      <c r="AW704" s="1">
        <v>0</v>
      </c>
      <c r="AX704" s="1">
        <v>0</v>
      </c>
      <c r="AY704" s="1">
        <v>0</v>
      </c>
      <c r="AZ704" s="1">
        <v>0</v>
      </c>
      <c r="BA704" s="1">
        <v>0</v>
      </c>
      <c r="BB704" s="1">
        <v>1</v>
      </c>
      <c r="BC704" s="1">
        <v>0</v>
      </c>
      <c r="BD704" s="1">
        <v>1</v>
      </c>
      <c r="BE704" s="1">
        <v>0</v>
      </c>
      <c r="BF704" s="1">
        <v>0</v>
      </c>
      <c r="BG704" s="1">
        <v>0</v>
      </c>
      <c r="BH704" s="1">
        <v>1</v>
      </c>
      <c r="BI704" s="1">
        <v>0</v>
      </c>
      <c r="BJ704" s="1">
        <v>0</v>
      </c>
      <c r="BK704" s="1">
        <v>1</v>
      </c>
      <c r="BL704" s="1">
        <v>0</v>
      </c>
      <c r="BM704" s="1">
        <v>0</v>
      </c>
      <c r="BN704" s="1">
        <v>0</v>
      </c>
      <c r="BO704" s="1">
        <v>0</v>
      </c>
      <c r="BP704" s="1">
        <v>0</v>
      </c>
      <c r="BQ704" s="2" t="str">
        <f>HYPERLINK("http://www.d20pfsrd.com/magic/all-spells/c/castigate","Castigate, Mass")</f>
        <v>Castigate, Mass</v>
      </c>
      <c r="BR704" s="1">
        <v>724</v>
      </c>
      <c r="BS704" s="1" t="s">
        <v>104</v>
      </c>
      <c r="BX704" s="1">
        <v>0</v>
      </c>
      <c r="BY704" s="1" t="s">
        <v>104</v>
      </c>
      <c r="BZ704" s="1" t="s">
        <v>104</v>
      </c>
      <c r="CA704" s="1" t="s">
        <v>104</v>
      </c>
      <c r="CB704" s="1" t="s">
        <v>104</v>
      </c>
      <c r="CC704" s="1">
        <v>5</v>
      </c>
      <c r="CD704" s="1" t="s">
        <v>104</v>
      </c>
      <c r="CE704" s="1" t="s">
        <v>104</v>
      </c>
      <c r="CF704" s="1" t="s">
        <v>104</v>
      </c>
      <c r="CG704" s="1" t="s">
        <v>104</v>
      </c>
      <c r="CH704" s="1" t="s">
        <v>104</v>
      </c>
      <c r="CJ704" s="1">
        <v>0</v>
      </c>
      <c r="CK704" s="1">
        <v>0</v>
      </c>
      <c r="CL704" s="1">
        <v>0</v>
      </c>
      <c r="CM704" s="1" t="s">
        <v>104</v>
      </c>
    </row>
    <row r="705" spans="1:91" ht="14.25" customHeight="1" x14ac:dyDescent="0.3">
      <c r="A705" s="1" t="s">
        <v>4638</v>
      </c>
      <c r="B705" s="1" t="s">
        <v>123</v>
      </c>
      <c r="C705" s="1" t="s">
        <v>124</v>
      </c>
      <c r="D705" s="1" t="s">
        <v>125</v>
      </c>
      <c r="E705" s="1" t="s">
        <v>478</v>
      </c>
      <c r="F705" s="1" t="s">
        <v>95</v>
      </c>
      <c r="G705" s="1" t="s">
        <v>4639</v>
      </c>
      <c r="H705" s="1">
        <v>0</v>
      </c>
      <c r="I705" s="1" t="s">
        <v>117</v>
      </c>
      <c r="L705" s="1" t="s">
        <v>4640</v>
      </c>
      <c r="M705" s="1" t="s">
        <v>4641</v>
      </c>
      <c r="N705" s="1">
        <v>1</v>
      </c>
      <c r="O705" s="1">
        <v>0</v>
      </c>
      <c r="P705" s="1" t="s">
        <v>211</v>
      </c>
      <c r="Q705" s="1" t="s">
        <v>184</v>
      </c>
      <c r="R705" s="1" t="s">
        <v>4642</v>
      </c>
      <c r="S705" s="1" t="s">
        <v>4403</v>
      </c>
      <c r="T705" s="1">
        <v>1</v>
      </c>
      <c r="U705" s="1">
        <v>0</v>
      </c>
      <c r="V705" s="1">
        <v>0</v>
      </c>
      <c r="W705" s="1">
        <v>0</v>
      </c>
      <c r="X705" s="1">
        <v>1</v>
      </c>
      <c r="Y705" s="1" t="s">
        <v>104</v>
      </c>
      <c r="Z705" s="1" t="s">
        <v>104</v>
      </c>
      <c r="AA705" s="1" t="s">
        <v>104</v>
      </c>
      <c r="AB705" s="1" t="s">
        <v>104</v>
      </c>
      <c r="AC705" s="1" t="s">
        <v>104</v>
      </c>
      <c r="AD705" s="1" t="s">
        <v>104</v>
      </c>
      <c r="AE705" s="1">
        <v>1</v>
      </c>
      <c r="AF705" s="1" t="s">
        <v>104</v>
      </c>
      <c r="AG705" s="1" t="s">
        <v>104</v>
      </c>
      <c r="AH705" s="1" t="s">
        <v>104</v>
      </c>
      <c r="AI705" s="1" t="s">
        <v>104</v>
      </c>
      <c r="AJ705" s="1" t="s">
        <v>104</v>
      </c>
      <c r="AK705" s="1" t="s">
        <v>104</v>
      </c>
      <c r="AL705" s="1" t="s">
        <v>104</v>
      </c>
      <c r="AM705" s="1" t="s">
        <v>104</v>
      </c>
      <c r="AO705" s="1">
        <v>1</v>
      </c>
      <c r="AQ705" s="1" t="s">
        <v>4643</v>
      </c>
      <c r="AR705" s="1">
        <v>0</v>
      </c>
      <c r="AS705" s="1">
        <v>0</v>
      </c>
      <c r="AT705" s="1">
        <v>0</v>
      </c>
      <c r="AU705" s="1">
        <v>0</v>
      </c>
      <c r="AV705" s="1">
        <v>0</v>
      </c>
      <c r="AW705" s="1">
        <v>0</v>
      </c>
      <c r="AX705" s="1">
        <v>0</v>
      </c>
      <c r="AY705" s="1">
        <v>0</v>
      </c>
      <c r="AZ705" s="1">
        <v>0</v>
      </c>
      <c r="BA705" s="1">
        <v>0</v>
      </c>
      <c r="BB705" s="1">
        <v>0</v>
      </c>
      <c r="BC705" s="1">
        <v>0</v>
      </c>
      <c r="BD705" s="1">
        <v>0</v>
      </c>
      <c r="BE705" s="1">
        <v>0</v>
      </c>
      <c r="BF705" s="1">
        <v>0</v>
      </c>
      <c r="BG705" s="1">
        <v>0</v>
      </c>
      <c r="BH705" s="1">
        <v>0</v>
      </c>
      <c r="BI705" s="1">
        <v>0</v>
      </c>
      <c r="BJ705" s="1">
        <v>0</v>
      </c>
      <c r="BK705" s="1">
        <v>1</v>
      </c>
      <c r="BL705" s="1">
        <v>0</v>
      </c>
      <c r="BM705" s="1">
        <v>0</v>
      </c>
      <c r="BN705" s="1">
        <v>0</v>
      </c>
      <c r="BO705" s="1">
        <v>0</v>
      </c>
      <c r="BP705" s="1">
        <v>0</v>
      </c>
      <c r="BQ705" s="2" t="str">
        <f>HYPERLINK("http://www.d20pfsrd.com/magic/all-spells/c/challenge-evil","Challenge Evil")</f>
        <v>Challenge Evil</v>
      </c>
      <c r="BR705" s="1">
        <v>725</v>
      </c>
      <c r="BS705" s="1" t="s">
        <v>104</v>
      </c>
      <c r="BX705" s="1">
        <v>0</v>
      </c>
      <c r="BY705" s="1" t="s">
        <v>104</v>
      </c>
      <c r="BZ705" s="1" t="s">
        <v>104</v>
      </c>
      <c r="CA705" s="1" t="s">
        <v>104</v>
      </c>
      <c r="CB705" s="1" t="s">
        <v>104</v>
      </c>
      <c r="CC705" s="1" t="s">
        <v>104</v>
      </c>
      <c r="CD705" s="1" t="s">
        <v>104</v>
      </c>
      <c r="CE705" s="1" t="s">
        <v>104</v>
      </c>
      <c r="CF705" s="1" t="s">
        <v>104</v>
      </c>
      <c r="CG705" s="1" t="s">
        <v>104</v>
      </c>
      <c r="CH705" s="1" t="s">
        <v>104</v>
      </c>
      <c r="CJ705" s="1">
        <v>0</v>
      </c>
      <c r="CK705" s="1">
        <v>0</v>
      </c>
      <c r="CL705" s="1">
        <v>0</v>
      </c>
      <c r="CM705" s="1" t="s">
        <v>104</v>
      </c>
    </row>
    <row r="706" spans="1:91" ht="14.25" customHeight="1" x14ac:dyDescent="0.3">
      <c r="A706" s="1" t="s">
        <v>4644</v>
      </c>
      <c r="B706" s="1" t="s">
        <v>507</v>
      </c>
      <c r="C706" s="1" t="s">
        <v>508</v>
      </c>
      <c r="E706" s="1" t="s">
        <v>4422</v>
      </c>
      <c r="F706" s="1" t="s">
        <v>95</v>
      </c>
      <c r="G706" s="1" t="s">
        <v>127</v>
      </c>
      <c r="H706" s="1">
        <v>0</v>
      </c>
      <c r="I706" s="1" t="s">
        <v>157</v>
      </c>
      <c r="L706" s="1" t="s">
        <v>158</v>
      </c>
      <c r="M706" s="1" t="s">
        <v>2330</v>
      </c>
      <c r="N706" s="1">
        <v>0</v>
      </c>
      <c r="O706" s="1">
        <v>0</v>
      </c>
      <c r="R706" s="1" t="s">
        <v>4645</v>
      </c>
      <c r="S706" s="1" t="s">
        <v>4403</v>
      </c>
      <c r="T706" s="1">
        <v>1</v>
      </c>
      <c r="U706" s="1">
        <v>1</v>
      </c>
      <c r="V706" s="1">
        <v>0</v>
      </c>
      <c r="W706" s="1">
        <v>0</v>
      </c>
      <c r="X706" s="1">
        <v>1</v>
      </c>
      <c r="Y706" s="1" t="s">
        <v>104</v>
      </c>
      <c r="Z706" s="1" t="s">
        <v>104</v>
      </c>
      <c r="AA706" s="1" t="s">
        <v>104</v>
      </c>
      <c r="AB706" s="1" t="s">
        <v>104</v>
      </c>
      <c r="AC706" s="1">
        <v>2</v>
      </c>
      <c r="AD706" s="1" t="s">
        <v>104</v>
      </c>
      <c r="AE706" s="1" t="s">
        <v>104</v>
      </c>
      <c r="AF706" s="1" t="s">
        <v>104</v>
      </c>
      <c r="AG706" s="1" t="s">
        <v>104</v>
      </c>
      <c r="AH706" s="1" t="s">
        <v>104</v>
      </c>
      <c r="AI706" s="1" t="s">
        <v>104</v>
      </c>
      <c r="AJ706" s="1" t="s">
        <v>104</v>
      </c>
      <c r="AK706" s="1" t="s">
        <v>104</v>
      </c>
      <c r="AL706" s="1" t="s">
        <v>104</v>
      </c>
      <c r="AM706" s="1" t="s">
        <v>104</v>
      </c>
      <c r="AO706" s="1">
        <v>2</v>
      </c>
      <c r="AQ706" s="1" t="s">
        <v>4646</v>
      </c>
      <c r="AR706" s="1">
        <v>0</v>
      </c>
      <c r="AS706" s="1">
        <v>0</v>
      </c>
      <c r="AT706" s="1">
        <v>0</v>
      </c>
      <c r="AU706" s="1">
        <v>0</v>
      </c>
      <c r="AV706" s="1">
        <v>0</v>
      </c>
      <c r="AW706" s="1">
        <v>0</v>
      </c>
      <c r="AX706" s="1">
        <v>0</v>
      </c>
      <c r="AY706" s="1">
        <v>0</v>
      </c>
      <c r="AZ706" s="1">
        <v>0</v>
      </c>
      <c r="BA706" s="1">
        <v>0</v>
      </c>
      <c r="BB706" s="1">
        <v>0</v>
      </c>
      <c r="BC706" s="1">
        <v>0</v>
      </c>
      <c r="BD706" s="1">
        <v>0</v>
      </c>
      <c r="BE706" s="1">
        <v>0</v>
      </c>
      <c r="BF706" s="1">
        <v>0</v>
      </c>
      <c r="BG706" s="1">
        <v>0</v>
      </c>
      <c r="BH706" s="1">
        <v>0</v>
      </c>
      <c r="BI706" s="1">
        <v>0</v>
      </c>
      <c r="BJ706" s="1">
        <v>0</v>
      </c>
      <c r="BK706" s="1">
        <v>0</v>
      </c>
      <c r="BL706" s="1">
        <v>0</v>
      </c>
      <c r="BM706" s="1">
        <v>0</v>
      </c>
      <c r="BN706" s="1">
        <v>0</v>
      </c>
      <c r="BO706" s="1">
        <v>0</v>
      </c>
      <c r="BP706" s="1">
        <v>0</v>
      </c>
      <c r="BQ706" s="2" t="str">
        <f>HYPERLINK("http://www.d20pfsrd.com/magic/all-spells/c/chameleon-stride","Chameleon Stride")</f>
        <v>Chameleon Stride</v>
      </c>
      <c r="BR706" s="1">
        <v>726</v>
      </c>
      <c r="BS706" s="1" t="s">
        <v>104</v>
      </c>
      <c r="BX706" s="1">
        <v>0</v>
      </c>
      <c r="BY706" s="1" t="s">
        <v>104</v>
      </c>
      <c r="BZ706" s="1" t="s">
        <v>104</v>
      </c>
      <c r="CA706" s="1" t="s">
        <v>104</v>
      </c>
      <c r="CB706" s="1" t="s">
        <v>104</v>
      </c>
      <c r="CC706" s="1" t="s">
        <v>104</v>
      </c>
      <c r="CD706" s="1" t="s">
        <v>104</v>
      </c>
      <c r="CE706" s="1" t="s">
        <v>104</v>
      </c>
      <c r="CF706" s="1" t="s">
        <v>104</v>
      </c>
      <c r="CG706" s="1" t="s">
        <v>104</v>
      </c>
      <c r="CH706" s="1">
        <v>2</v>
      </c>
      <c r="CJ706" s="1">
        <v>0</v>
      </c>
      <c r="CK706" s="1">
        <v>0</v>
      </c>
      <c r="CL706" s="1">
        <v>0</v>
      </c>
      <c r="CM706" s="1" t="s">
        <v>104</v>
      </c>
    </row>
    <row r="707" spans="1:91" ht="14.25" customHeight="1" x14ac:dyDescent="0.3">
      <c r="A707" s="1" t="s">
        <v>4647</v>
      </c>
      <c r="B707" s="1" t="s">
        <v>92</v>
      </c>
      <c r="C707" s="1" t="s">
        <v>93</v>
      </c>
      <c r="D707" s="1" t="s">
        <v>51</v>
      </c>
      <c r="E707" s="1" t="s">
        <v>4648</v>
      </c>
      <c r="F707" s="1" t="s">
        <v>95</v>
      </c>
      <c r="G707" s="1" t="s">
        <v>116</v>
      </c>
      <c r="H707" s="1">
        <v>0</v>
      </c>
      <c r="I707" s="1" t="s">
        <v>97</v>
      </c>
      <c r="K707" s="1" t="s">
        <v>145</v>
      </c>
      <c r="M707" s="1" t="s">
        <v>119</v>
      </c>
      <c r="N707" s="1">
        <v>0</v>
      </c>
      <c r="O707" s="1">
        <v>0</v>
      </c>
      <c r="P707" s="1" t="s">
        <v>4649</v>
      </c>
      <c r="Q707" s="1" t="s">
        <v>101</v>
      </c>
      <c r="R707" s="1" t="s">
        <v>4650</v>
      </c>
      <c r="S707" s="1" t="s">
        <v>4403</v>
      </c>
      <c r="T707" s="1">
        <v>1</v>
      </c>
      <c r="U707" s="1">
        <v>1</v>
      </c>
      <c r="V707" s="1">
        <v>0</v>
      </c>
      <c r="W707" s="1">
        <v>0</v>
      </c>
      <c r="X707" s="1">
        <v>0</v>
      </c>
      <c r="Y707" s="1">
        <v>9</v>
      </c>
      <c r="Z707" s="1">
        <v>9</v>
      </c>
      <c r="AA707" s="1" t="s">
        <v>104</v>
      </c>
      <c r="AB707" s="1">
        <v>9</v>
      </c>
      <c r="AC707" s="1" t="s">
        <v>104</v>
      </c>
      <c r="AD707" s="1" t="s">
        <v>104</v>
      </c>
      <c r="AE707" s="1" t="s">
        <v>104</v>
      </c>
      <c r="AF707" s="1" t="s">
        <v>104</v>
      </c>
      <c r="AG707" s="1" t="s">
        <v>104</v>
      </c>
      <c r="AH707" s="1" t="s">
        <v>104</v>
      </c>
      <c r="AI707" s="1" t="s">
        <v>104</v>
      </c>
      <c r="AJ707" s="1" t="s">
        <v>104</v>
      </c>
      <c r="AK707" s="1" t="s">
        <v>104</v>
      </c>
      <c r="AL707" s="1" t="s">
        <v>104</v>
      </c>
      <c r="AM707" s="1" t="s">
        <v>104</v>
      </c>
      <c r="AO707" s="1">
        <v>9</v>
      </c>
      <c r="AP707" s="1" t="s">
        <v>4651</v>
      </c>
      <c r="AQ707" s="1" t="s">
        <v>4652</v>
      </c>
      <c r="AR707" s="1">
        <v>0</v>
      </c>
      <c r="AS707" s="1">
        <v>0</v>
      </c>
      <c r="AT707" s="1">
        <v>0</v>
      </c>
      <c r="AU707" s="1">
        <v>0</v>
      </c>
      <c r="AV707" s="1">
        <v>0</v>
      </c>
      <c r="AW707" s="1">
        <v>0</v>
      </c>
      <c r="AX707" s="1">
        <v>0</v>
      </c>
      <c r="AY707" s="1">
        <v>0</v>
      </c>
      <c r="AZ707" s="1">
        <v>1</v>
      </c>
      <c r="BA707" s="1">
        <v>0</v>
      </c>
      <c r="BB707" s="1">
        <v>0</v>
      </c>
      <c r="BC707" s="1">
        <v>0</v>
      </c>
      <c r="BD707" s="1">
        <v>0</v>
      </c>
      <c r="BE707" s="1">
        <v>0</v>
      </c>
      <c r="BF707" s="1">
        <v>0</v>
      </c>
      <c r="BG707" s="1">
        <v>0</v>
      </c>
      <c r="BH707" s="1">
        <v>0</v>
      </c>
      <c r="BI707" s="1">
        <v>0</v>
      </c>
      <c r="BJ707" s="1">
        <v>0</v>
      </c>
      <c r="BK707" s="1">
        <v>0</v>
      </c>
      <c r="BL707" s="1">
        <v>0</v>
      </c>
      <c r="BM707" s="1">
        <v>0</v>
      </c>
      <c r="BN707" s="1">
        <v>0</v>
      </c>
      <c r="BO707" s="1">
        <v>0</v>
      </c>
      <c r="BP707" s="1">
        <v>0</v>
      </c>
      <c r="BQ707" s="2" t="str">
        <f>HYPERLINK("http://www.d20pfsrd.com/magic/all-spells/c/clashing-rocks","Clashing Rocks")</f>
        <v>Clashing Rocks</v>
      </c>
      <c r="BR707" s="1">
        <v>727</v>
      </c>
      <c r="BS707" s="1" t="s">
        <v>104</v>
      </c>
      <c r="BT707" s="1" t="s">
        <v>4653</v>
      </c>
      <c r="BU707" s="1" t="s">
        <v>4654</v>
      </c>
      <c r="BX707" s="1">
        <v>0</v>
      </c>
      <c r="BY707" s="1" t="s">
        <v>104</v>
      </c>
      <c r="BZ707" s="1" t="s">
        <v>104</v>
      </c>
      <c r="CA707" s="1" t="s">
        <v>104</v>
      </c>
      <c r="CB707" s="1" t="s">
        <v>104</v>
      </c>
      <c r="CC707" s="1" t="s">
        <v>104</v>
      </c>
      <c r="CD707" s="1" t="s">
        <v>104</v>
      </c>
      <c r="CE707" s="1" t="s">
        <v>104</v>
      </c>
      <c r="CF707" s="1" t="s">
        <v>104</v>
      </c>
      <c r="CG707" s="1" t="s">
        <v>104</v>
      </c>
      <c r="CH707" s="1" t="s">
        <v>104</v>
      </c>
      <c r="CJ707" s="1">
        <v>0</v>
      </c>
      <c r="CK707" s="1">
        <v>0</v>
      </c>
      <c r="CL707" s="1">
        <v>0</v>
      </c>
      <c r="CM707" s="1" t="s">
        <v>104</v>
      </c>
    </row>
    <row r="708" spans="1:91" ht="14.25" customHeight="1" x14ac:dyDescent="0.3">
      <c r="A708" s="1" t="s">
        <v>4655</v>
      </c>
      <c r="B708" s="1" t="s">
        <v>434</v>
      </c>
      <c r="E708" s="1" t="s">
        <v>4656</v>
      </c>
      <c r="F708" s="1" t="s">
        <v>95</v>
      </c>
      <c r="G708" s="1" t="s">
        <v>1974</v>
      </c>
      <c r="H708" s="1">
        <v>0</v>
      </c>
      <c r="I708" s="1" t="s">
        <v>157</v>
      </c>
      <c r="L708" s="1" t="s">
        <v>158</v>
      </c>
      <c r="M708" s="1" t="s">
        <v>119</v>
      </c>
      <c r="N708" s="1">
        <v>0</v>
      </c>
      <c r="O708" s="1">
        <v>0</v>
      </c>
      <c r="R708" s="1" t="s">
        <v>4657</v>
      </c>
      <c r="S708" s="1" t="s">
        <v>4403</v>
      </c>
      <c r="T708" s="1">
        <v>0</v>
      </c>
      <c r="U708" s="1">
        <v>1</v>
      </c>
      <c r="V708" s="1">
        <v>0</v>
      </c>
      <c r="W708" s="1">
        <v>0</v>
      </c>
      <c r="X708" s="1">
        <v>1</v>
      </c>
      <c r="Y708" s="1" t="s">
        <v>104</v>
      </c>
      <c r="Z708" s="1" t="s">
        <v>104</v>
      </c>
      <c r="AA708" s="1">
        <v>5</v>
      </c>
      <c r="AB708" s="1" t="s">
        <v>104</v>
      </c>
      <c r="AC708" s="1" t="s">
        <v>104</v>
      </c>
      <c r="AD708" s="1" t="s">
        <v>104</v>
      </c>
      <c r="AE708" s="1" t="s">
        <v>104</v>
      </c>
      <c r="AF708" s="1" t="s">
        <v>104</v>
      </c>
      <c r="AG708" s="1" t="s">
        <v>104</v>
      </c>
      <c r="AH708" s="1" t="s">
        <v>104</v>
      </c>
      <c r="AI708" s="1">
        <v>6</v>
      </c>
      <c r="AJ708" s="1">
        <v>5</v>
      </c>
      <c r="AK708" s="1" t="s">
        <v>104</v>
      </c>
      <c r="AL708" s="1" t="s">
        <v>104</v>
      </c>
      <c r="AM708" s="1" t="s">
        <v>104</v>
      </c>
      <c r="AO708" s="1">
        <v>5</v>
      </c>
      <c r="AP708" s="1" t="s">
        <v>4658</v>
      </c>
      <c r="AQ708" s="1" t="s">
        <v>4659</v>
      </c>
      <c r="AR708" s="1">
        <v>0</v>
      </c>
      <c r="AS708" s="1">
        <v>0</v>
      </c>
      <c r="AT708" s="1">
        <v>0</v>
      </c>
      <c r="AU708" s="1">
        <v>0</v>
      </c>
      <c r="AV708" s="1">
        <v>0</v>
      </c>
      <c r="AW708" s="1">
        <v>0</v>
      </c>
      <c r="AX708" s="1">
        <v>0</v>
      </c>
      <c r="AY708" s="1">
        <v>0</v>
      </c>
      <c r="AZ708" s="1">
        <v>0</v>
      </c>
      <c r="BA708" s="1">
        <v>0</v>
      </c>
      <c r="BB708" s="1">
        <v>0</v>
      </c>
      <c r="BC708" s="1">
        <v>0</v>
      </c>
      <c r="BD708" s="1">
        <v>0</v>
      </c>
      <c r="BE708" s="1">
        <v>0</v>
      </c>
      <c r="BF708" s="1">
        <v>0</v>
      </c>
      <c r="BG708" s="1">
        <v>0</v>
      </c>
      <c r="BH708" s="1">
        <v>0</v>
      </c>
      <c r="BI708" s="1">
        <v>0</v>
      </c>
      <c r="BJ708" s="1">
        <v>0</v>
      </c>
      <c r="BK708" s="1">
        <v>0</v>
      </c>
      <c r="BL708" s="1">
        <v>0</v>
      </c>
      <c r="BM708" s="1">
        <v>0</v>
      </c>
      <c r="BN708" s="1">
        <v>0</v>
      </c>
      <c r="BO708" s="1">
        <v>0</v>
      </c>
      <c r="BP708" s="1">
        <v>0</v>
      </c>
      <c r="BQ708" s="2" t="str">
        <f>HYPERLINK("http://www.d20pfsrd.com/magic/all-spells/c/cleanse","Cleanse")</f>
        <v>Cleanse</v>
      </c>
      <c r="BR708" s="1">
        <v>728</v>
      </c>
      <c r="BS708" s="1" t="s">
        <v>104</v>
      </c>
      <c r="BU708" s="1" t="s">
        <v>4660</v>
      </c>
      <c r="BX708" s="1">
        <v>0</v>
      </c>
      <c r="BY708" s="1" t="s">
        <v>104</v>
      </c>
      <c r="BZ708" s="1" t="s">
        <v>104</v>
      </c>
      <c r="CA708" s="1" t="s">
        <v>104</v>
      </c>
      <c r="CB708" s="1" t="s">
        <v>104</v>
      </c>
      <c r="CC708" s="1" t="s">
        <v>104</v>
      </c>
      <c r="CD708" s="1" t="s">
        <v>104</v>
      </c>
      <c r="CE708" s="1" t="s">
        <v>104</v>
      </c>
      <c r="CF708" s="1" t="s">
        <v>104</v>
      </c>
      <c r="CG708" s="1" t="s">
        <v>104</v>
      </c>
      <c r="CH708" s="1" t="s">
        <v>104</v>
      </c>
      <c r="CJ708" s="1">
        <v>0</v>
      </c>
      <c r="CK708" s="1">
        <v>0</v>
      </c>
      <c r="CL708" s="1">
        <v>0</v>
      </c>
      <c r="CM708" s="1" t="s">
        <v>104</v>
      </c>
    </row>
    <row r="709" spans="1:91" ht="14.25" customHeight="1" x14ac:dyDescent="0.3">
      <c r="A709" s="1" t="s">
        <v>4661</v>
      </c>
      <c r="B709" s="1" t="s">
        <v>123</v>
      </c>
      <c r="C709" s="1" t="s">
        <v>124</v>
      </c>
      <c r="D709" s="1" t="s">
        <v>125</v>
      </c>
      <c r="E709" s="1" t="s">
        <v>4662</v>
      </c>
      <c r="F709" s="1" t="s">
        <v>255</v>
      </c>
      <c r="G709" s="1" t="s">
        <v>4663</v>
      </c>
      <c r="H709" s="1">
        <v>0</v>
      </c>
      <c r="I709" s="1" t="s">
        <v>4220</v>
      </c>
      <c r="J709" s="1" t="s">
        <v>4176</v>
      </c>
      <c r="M709" s="1" t="s">
        <v>426</v>
      </c>
      <c r="N709" s="1">
        <v>1</v>
      </c>
      <c r="O709" s="1">
        <v>0</v>
      </c>
      <c r="P709" s="1" t="s">
        <v>211</v>
      </c>
      <c r="Q709" s="1" t="s">
        <v>184</v>
      </c>
      <c r="R709" s="1" t="s">
        <v>4664</v>
      </c>
      <c r="S709" s="1" t="s">
        <v>4403</v>
      </c>
      <c r="T709" s="1">
        <v>1</v>
      </c>
      <c r="U709" s="1">
        <v>1</v>
      </c>
      <c r="V709" s="1">
        <v>1</v>
      </c>
      <c r="W709" s="1">
        <v>0</v>
      </c>
      <c r="X709" s="1">
        <v>0</v>
      </c>
      <c r="Y709" s="1">
        <v>6</v>
      </c>
      <c r="Z709" s="1">
        <v>6</v>
      </c>
      <c r="AA709" s="1" t="s">
        <v>104</v>
      </c>
      <c r="AB709" s="1" t="s">
        <v>104</v>
      </c>
      <c r="AC709" s="1" t="s">
        <v>104</v>
      </c>
      <c r="AD709" s="1">
        <v>5</v>
      </c>
      <c r="AE709" s="1" t="s">
        <v>104</v>
      </c>
      <c r="AF709" s="1" t="s">
        <v>104</v>
      </c>
      <c r="AG709" s="1" t="s">
        <v>104</v>
      </c>
      <c r="AH709" s="1">
        <v>6</v>
      </c>
      <c r="AI709" s="1" t="s">
        <v>104</v>
      </c>
      <c r="AJ709" s="1" t="s">
        <v>104</v>
      </c>
      <c r="AK709" s="1" t="s">
        <v>104</v>
      </c>
      <c r="AL709" s="1" t="s">
        <v>104</v>
      </c>
      <c r="AM709" s="1" t="s">
        <v>104</v>
      </c>
      <c r="AO709" s="1">
        <v>6</v>
      </c>
      <c r="AP709" s="1" t="s">
        <v>4665</v>
      </c>
      <c r="AQ709" s="1" t="s">
        <v>4666</v>
      </c>
      <c r="AR709" s="1">
        <v>0</v>
      </c>
      <c r="AS709" s="1">
        <v>0</v>
      </c>
      <c r="AT709" s="1">
        <v>0</v>
      </c>
      <c r="AU709" s="1">
        <v>0</v>
      </c>
      <c r="AV709" s="1">
        <v>0</v>
      </c>
      <c r="AW709" s="1">
        <v>0</v>
      </c>
      <c r="AX709" s="1">
        <v>0</v>
      </c>
      <c r="AY709" s="1">
        <v>0</v>
      </c>
      <c r="AZ709" s="1">
        <v>0</v>
      </c>
      <c r="BA709" s="1">
        <v>0</v>
      </c>
      <c r="BB709" s="1">
        <v>0</v>
      </c>
      <c r="BC709" s="1">
        <v>0</v>
      </c>
      <c r="BD709" s="1">
        <v>0</v>
      </c>
      <c r="BE709" s="1">
        <v>0</v>
      </c>
      <c r="BF709" s="1">
        <v>0</v>
      </c>
      <c r="BG709" s="1">
        <v>0</v>
      </c>
      <c r="BH709" s="1">
        <v>0</v>
      </c>
      <c r="BI709" s="1">
        <v>0</v>
      </c>
      <c r="BJ709" s="1">
        <v>0</v>
      </c>
      <c r="BK709" s="1">
        <v>1</v>
      </c>
      <c r="BL709" s="1">
        <v>0</v>
      </c>
      <c r="BM709" s="1">
        <v>0</v>
      </c>
      <c r="BN709" s="1">
        <v>0</v>
      </c>
      <c r="BO709" s="1">
        <v>0</v>
      </c>
      <c r="BP709" s="1">
        <v>0</v>
      </c>
      <c r="BQ709" s="2" t="str">
        <f>HYPERLINK("http://www.d20pfsrd.com/magic/all-spells/c/cloak-of-dreams","Cloak of Dreams")</f>
        <v>Cloak of Dreams</v>
      </c>
      <c r="BR709" s="1">
        <v>729</v>
      </c>
      <c r="BS709" s="1" t="s">
        <v>104</v>
      </c>
      <c r="BU709" s="1" t="s">
        <v>4667</v>
      </c>
      <c r="BX709" s="1">
        <v>0</v>
      </c>
      <c r="BY709" s="1" t="s">
        <v>104</v>
      </c>
      <c r="BZ709" s="1">
        <v>7</v>
      </c>
      <c r="CA709" s="1">
        <v>6</v>
      </c>
      <c r="CB709" s="1" t="s">
        <v>104</v>
      </c>
      <c r="CC709" s="1">
        <v>5</v>
      </c>
      <c r="CD709" s="1">
        <v>6</v>
      </c>
      <c r="CE709" s="1" t="s">
        <v>104</v>
      </c>
      <c r="CF709" s="1" t="s">
        <v>104</v>
      </c>
      <c r="CG709" s="1" t="s">
        <v>104</v>
      </c>
      <c r="CH709" s="1" t="s">
        <v>104</v>
      </c>
      <c r="CJ709" s="1">
        <v>0</v>
      </c>
      <c r="CK709" s="1">
        <v>0</v>
      </c>
      <c r="CL709" s="1">
        <v>0</v>
      </c>
      <c r="CM709" s="1" t="s">
        <v>104</v>
      </c>
    </row>
    <row r="710" spans="1:91" ht="14.25" customHeight="1" x14ac:dyDescent="0.3">
      <c r="A710" s="1" t="s">
        <v>4668</v>
      </c>
      <c r="B710" s="1" t="s">
        <v>162</v>
      </c>
      <c r="E710" s="1" t="s">
        <v>2305</v>
      </c>
      <c r="F710" s="1" t="s">
        <v>95</v>
      </c>
      <c r="G710" s="1" t="s">
        <v>4669</v>
      </c>
      <c r="H710" s="1">
        <v>0</v>
      </c>
      <c r="I710" s="1" t="s">
        <v>128</v>
      </c>
      <c r="L710" s="1" t="s">
        <v>4670</v>
      </c>
      <c r="M710" s="1" t="s">
        <v>620</v>
      </c>
      <c r="N710" s="1">
        <v>1</v>
      </c>
      <c r="O710" s="1">
        <v>0</v>
      </c>
      <c r="P710" s="1" t="s">
        <v>375</v>
      </c>
      <c r="Q710" s="1" t="s">
        <v>184</v>
      </c>
      <c r="R710" s="1" t="s">
        <v>4671</v>
      </c>
      <c r="S710" s="1" t="s">
        <v>4403</v>
      </c>
      <c r="T710" s="1">
        <v>1</v>
      </c>
      <c r="U710" s="1">
        <v>1</v>
      </c>
      <c r="V710" s="1">
        <v>1</v>
      </c>
      <c r="W710" s="1">
        <v>0</v>
      </c>
      <c r="X710" s="1">
        <v>0</v>
      </c>
      <c r="Y710" s="1" t="s">
        <v>104</v>
      </c>
      <c r="Z710" s="1" t="s">
        <v>104</v>
      </c>
      <c r="AA710" s="1" t="s">
        <v>104</v>
      </c>
      <c r="AB710" s="1">
        <v>1</v>
      </c>
      <c r="AC710" s="1">
        <v>1</v>
      </c>
      <c r="AD710" s="1" t="s">
        <v>104</v>
      </c>
      <c r="AE710" s="1" t="s">
        <v>104</v>
      </c>
      <c r="AF710" s="1" t="s">
        <v>104</v>
      </c>
      <c r="AG710" s="1" t="s">
        <v>104</v>
      </c>
      <c r="AH710" s="1" t="s">
        <v>104</v>
      </c>
      <c r="AI710" s="1" t="s">
        <v>104</v>
      </c>
      <c r="AJ710" s="1" t="s">
        <v>104</v>
      </c>
      <c r="AK710" s="1" t="s">
        <v>104</v>
      </c>
      <c r="AL710" s="1" t="s">
        <v>104</v>
      </c>
      <c r="AM710" s="1" t="s">
        <v>104</v>
      </c>
      <c r="AO710" s="1">
        <v>1</v>
      </c>
      <c r="AQ710" s="1" t="s">
        <v>4672</v>
      </c>
      <c r="AR710" s="1">
        <v>0</v>
      </c>
      <c r="AS710" s="1">
        <v>0</v>
      </c>
      <c r="AT710" s="1">
        <v>0</v>
      </c>
      <c r="AU710" s="1">
        <v>0</v>
      </c>
      <c r="AV710" s="1">
        <v>0</v>
      </c>
      <c r="AW710" s="1">
        <v>0</v>
      </c>
      <c r="AX710" s="1">
        <v>0</v>
      </c>
      <c r="AY710" s="1">
        <v>0</v>
      </c>
      <c r="AZ710" s="1">
        <v>0</v>
      </c>
      <c r="BA710" s="1">
        <v>0</v>
      </c>
      <c r="BB710" s="1">
        <v>0</v>
      </c>
      <c r="BC710" s="1">
        <v>0</v>
      </c>
      <c r="BD710" s="1">
        <v>0</v>
      </c>
      <c r="BE710" s="1">
        <v>0</v>
      </c>
      <c r="BF710" s="1">
        <v>0</v>
      </c>
      <c r="BG710" s="1">
        <v>0</v>
      </c>
      <c r="BH710" s="1">
        <v>0</v>
      </c>
      <c r="BI710" s="1">
        <v>0</v>
      </c>
      <c r="BJ710" s="1">
        <v>0</v>
      </c>
      <c r="BK710" s="1">
        <v>0</v>
      </c>
      <c r="BL710" s="1">
        <v>0</v>
      </c>
      <c r="BM710" s="1">
        <v>0</v>
      </c>
      <c r="BN710" s="1">
        <v>0</v>
      </c>
      <c r="BO710" s="1">
        <v>0</v>
      </c>
      <c r="BP710" s="1">
        <v>0</v>
      </c>
      <c r="BQ710" s="2" t="str">
        <f>HYPERLINK("http://www.d20pfsrd.com/magic/all-spells/c/cloak-of-shade","Cloak of Shade")</f>
        <v>Cloak of Shade</v>
      </c>
      <c r="BR710" s="1">
        <v>730</v>
      </c>
      <c r="BS710" s="1" t="s">
        <v>104</v>
      </c>
      <c r="BX710" s="1">
        <v>0</v>
      </c>
      <c r="BY710" s="1" t="s">
        <v>104</v>
      </c>
      <c r="BZ710" s="1" t="s">
        <v>104</v>
      </c>
      <c r="CA710" s="1" t="s">
        <v>104</v>
      </c>
      <c r="CB710" s="1" t="s">
        <v>104</v>
      </c>
      <c r="CC710" s="1" t="s">
        <v>104</v>
      </c>
      <c r="CD710" s="1" t="s">
        <v>104</v>
      </c>
      <c r="CE710" s="1" t="s">
        <v>104</v>
      </c>
      <c r="CF710" s="1" t="s">
        <v>104</v>
      </c>
      <c r="CG710" s="1" t="s">
        <v>104</v>
      </c>
      <c r="CH710" s="1">
        <v>1</v>
      </c>
      <c r="CJ710" s="1">
        <v>0</v>
      </c>
      <c r="CK710" s="1">
        <v>0</v>
      </c>
      <c r="CL710" s="1">
        <v>0</v>
      </c>
      <c r="CM710" s="1" t="s">
        <v>104</v>
      </c>
    </row>
    <row r="711" spans="1:91" ht="14.25" customHeight="1" x14ac:dyDescent="0.3">
      <c r="A711" s="1" t="s">
        <v>4673</v>
      </c>
      <c r="B711" s="1" t="s">
        <v>162</v>
      </c>
      <c r="D711" s="1" t="s">
        <v>44</v>
      </c>
      <c r="E711" s="1" t="s">
        <v>4674</v>
      </c>
      <c r="F711" s="1" t="s">
        <v>95</v>
      </c>
      <c r="G711" s="1" t="s">
        <v>116</v>
      </c>
      <c r="H711" s="1">
        <v>0</v>
      </c>
      <c r="I711" s="1" t="s">
        <v>117</v>
      </c>
      <c r="L711" s="1" t="s">
        <v>417</v>
      </c>
      <c r="M711" s="1" t="s">
        <v>2330</v>
      </c>
      <c r="N711" s="1">
        <v>0</v>
      </c>
      <c r="O711" s="1">
        <v>0</v>
      </c>
      <c r="P711" s="1" t="s">
        <v>1058</v>
      </c>
      <c r="Q711" s="1" t="s">
        <v>131</v>
      </c>
      <c r="R711" s="1" t="s">
        <v>4675</v>
      </c>
      <c r="S711" s="1" t="s">
        <v>4403</v>
      </c>
      <c r="T711" s="1">
        <v>1</v>
      </c>
      <c r="U711" s="1">
        <v>1</v>
      </c>
      <c r="V711" s="1">
        <v>0</v>
      </c>
      <c r="W711" s="1">
        <v>0</v>
      </c>
      <c r="X711" s="1">
        <v>0</v>
      </c>
      <c r="Y711" s="1">
        <v>3</v>
      </c>
      <c r="Z711" s="1">
        <v>3</v>
      </c>
      <c r="AA711" s="1" t="s">
        <v>104</v>
      </c>
      <c r="AB711" s="1">
        <v>3</v>
      </c>
      <c r="AC711" s="1">
        <v>3</v>
      </c>
      <c r="AD711" s="1" t="s">
        <v>104</v>
      </c>
      <c r="AE711" s="1" t="s">
        <v>104</v>
      </c>
      <c r="AF711" s="1" t="s">
        <v>104</v>
      </c>
      <c r="AG711" s="1" t="s">
        <v>104</v>
      </c>
      <c r="AH711" s="1" t="s">
        <v>104</v>
      </c>
      <c r="AI711" s="1" t="s">
        <v>104</v>
      </c>
      <c r="AJ711" s="1" t="s">
        <v>104</v>
      </c>
      <c r="AK711" s="1" t="s">
        <v>104</v>
      </c>
      <c r="AL711" s="1">
        <v>3</v>
      </c>
      <c r="AM711" s="1" t="s">
        <v>104</v>
      </c>
      <c r="AO711" s="1">
        <v>3</v>
      </c>
      <c r="AQ711" s="1" t="s">
        <v>4676</v>
      </c>
      <c r="AR711" s="1">
        <v>0</v>
      </c>
      <c r="AS711" s="1">
        <v>1</v>
      </c>
      <c r="AT711" s="1">
        <v>0</v>
      </c>
      <c r="AU711" s="1">
        <v>0</v>
      </c>
      <c r="AV711" s="1">
        <v>0</v>
      </c>
      <c r="AW711" s="1">
        <v>0</v>
      </c>
      <c r="AX711" s="1">
        <v>0</v>
      </c>
      <c r="AY711" s="1">
        <v>0</v>
      </c>
      <c r="AZ711" s="1">
        <v>0</v>
      </c>
      <c r="BA711" s="1">
        <v>0</v>
      </c>
      <c r="BB711" s="1">
        <v>0</v>
      </c>
      <c r="BC711" s="1">
        <v>0</v>
      </c>
      <c r="BD711" s="1">
        <v>0</v>
      </c>
      <c r="BE711" s="1">
        <v>0</v>
      </c>
      <c r="BF711" s="1">
        <v>0</v>
      </c>
      <c r="BG711" s="1">
        <v>0</v>
      </c>
      <c r="BH711" s="1">
        <v>0</v>
      </c>
      <c r="BI711" s="1">
        <v>0</v>
      </c>
      <c r="BJ711" s="1">
        <v>0</v>
      </c>
      <c r="BK711" s="1">
        <v>0</v>
      </c>
      <c r="BL711" s="1">
        <v>0</v>
      </c>
      <c r="BM711" s="1">
        <v>0</v>
      </c>
      <c r="BN711" s="1">
        <v>0</v>
      </c>
      <c r="BO711" s="1">
        <v>0</v>
      </c>
      <c r="BP711" s="1">
        <v>0</v>
      </c>
      <c r="BQ711" s="2" t="str">
        <f>HYPERLINK("http://www.d20pfsrd.com/magic/all-spells/c/cloak-of-winds","Cloak of Winds")</f>
        <v>Cloak of Winds</v>
      </c>
      <c r="BR711" s="1">
        <v>731</v>
      </c>
      <c r="BS711" s="1" t="s">
        <v>104</v>
      </c>
      <c r="BX711" s="1">
        <v>0</v>
      </c>
      <c r="BY711" s="1">
        <v>3</v>
      </c>
      <c r="BZ711" s="1" t="s">
        <v>104</v>
      </c>
      <c r="CA711" s="1" t="s">
        <v>104</v>
      </c>
      <c r="CB711" s="1" t="s">
        <v>104</v>
      </c>
      <c r="CC711" s="1" t="s">
        <v>104</v>
      </c>
      <c r="CD711" s="1">
        <v>3</v>
      </c>
      <c r="CE711" s="1">
        <v>3</v>
      </c>
      <c r="CF711" s="1" t="s">
        <v>104</v>
      </c>
      <c r="CG711" s="1" t="s">
        <v>104</v>
      </c>
      <c r="CH711" s="1">
        <v>3</v>
      </c>
      <c r="CJ711" s="1">
        <v>0</v>
      </c>
      <c r="CK711" s="1">
        <v>0</v>
      </c>
      <c r="CL711" s="1">
        <v>0</v>
      </c>
      <c r="CM711" s="1" t="s">
        <v>104</v>
      </c>
    </row>
    <row r="712" spans="1:91" ht="14.25" customHeight="1" x14ac:dyDescent="0.3">
      <c r="A712" s="1" t="s">
        <v>4677</v>
      </c>
      <c r="B712" s="1" t="s">
        <v>123</v>
      </c>
      <c r="C712" s="1" t="s">
        <v>124</v>
      </c>
      <c r="D712" s="1" t="s">
        <v>728</v>
      </c>
      <c r="E712" s="1" t="s">
        <v>4678</v>
      </c>
      <c r="F712" s="1" t="s">
        <v>95</v>
      </c>
      <c r="G712" s="1" t="s">
        <v>127</v>
      </c>
      <c r="H712" s="1">
        <v>0</v>
      </c>
      <c r="I712" s="1" t="s">
        <v>117</v>
      </c>
      <c r="L712" s="1" t="s">
        <v>1065</v>
      </c>
      <c r="M712" s="1" t="s">
        <v>255</v>
      </c>
      <c r="N712" s="1">
        <v>0</v>
      </c>
      <c r="O712" s="1">
        <v>0</v>
      </c>
      <c r="P712" s="1" t="s">
        <v>629</v>
      </c>
      <c r="Q712" s="1" t="s">
        <v>184</v>
      </c>
      <c r="R712" s="1" t="s">
        <v>4679</v>
      </c>
      <c r="S712" s="1" t="s">
        <v>4403</v>
      </c>
      <c r="T712" s="1">
        <v>1</v>
      </c>
      <c r="U712" s="1">
        <v>1</v>
      </c>
      <c r="V712" s="1">
        <v>0</v>
      </c>
      <c r="W712" s="1">
        <v>0</v>
      </c>
      <c r="X712" s="1">
        <v>1</v>
      </c>
      <c r="Y712" s="1" t="s">
        <v>104</v>
      </c>
      <c r="Z712" s="1" t="s">
        <v>104</v>
      </c>
      <c r="AA712" s="1" t="s">
        <v>104</v>
      </c>
      <c r="AB712" s="1" t="s">
        <v>104</v>
      </c>
      <c r="AC712" s="1" t="s">
        <v>104</v>
      </c>
      <c r="AD712" s="1" t="s">
        <v>104</v>
      </c>
      <c r="AE712" s="1" t="s">
        <v>104</v>
      </c>
      <c r="AF712" s="1" t="s">
        <v>104</v>
      </c>
      <c r="AG712" s="1" t="s">
        <v>104</v>
      </c>
      <c r="AH712" s="1" t="s">
        <v>104</v>
      </c>
      <c r="AI712" s="1">
        <v>2</v>
      </c>
      <c r="AJ712" s="1" t="s">
        <v>104</v>
      </c>
      <c r="AK712" s="1" t="s">
        <v>104</v>
      </c>
      <c r="AL712" s="1" t="s">
        <v>104</v>
      </c>
      <c r="AM712" s="1" t="s">
        <v>104</v>
      </c>
      <c r="AO712" s="1">
        <v>2</v>
      </c>
      <c r="AQ712" s="1" t="s">
        <v>4680</v>
      </c>
      <c r="AR712" s="1">
        <v>0</v>
      </c>
      <c r="AS712" s="1">
        <v>0</v>
      </c>
      <c r="AT712" s="1">
        <v>0</v>
      </c>
      <c r="AU712" s="1">
        <v>0</v>
      </c>
      <c r="AV712" s="1">
        <v>0</v>
      </c>
      <c r="AW712" s="1">
        <v>0</v>
      </c>
      <c r="AX712" s="1">
        <v>0</v>
      </c>
      <c r="AY712" s="1">
        <v>0</v>
      </c>
      <c r="AZ712" s="1">
        <v>0</v>
      </c>
      <c r="BA712" s="1">
        <v>0</v>
      </c>
      <c r="BB712" s="1">
        <v>0</v>
      </c>
      <c r="BC712" s="1">
        <v>0</v>
      </c>
      <c r="BD712" s="1">
        <v>0</v>
      </c>
      <c r="BE712" s="1">
        <v>0</v>
      </c>
      <c r="BF712" s="1">
        <v>0</v>
      </c>
      <c r="BG712" s="1">
        <v>0</v>
      </c>
      <c r="BH712" s="1">
        <v>1</v>
      </c>
      <c r="BI712" s="1">
        <v>0</v>
      </c>
      <c r="BJ712" s="1">
        <v>0</v>
      </c>
      <c r="BK712" s="1">
        <v>1</v>
      </c>
      <c r="BL712" s="1">
        <v>0</v>
      </c>
      <c r="BM712" s="1">
        <v>0</v>
      </c>
      <c r="BN712" s="1">
        <v>0</v>
      </c>
      <c r="BO712" s="1">
        <v>0</v>
      </c>
      <c r="BP712" s="1">
        <v>0</v>
      </c>
      <c r="BQ712" s="2" t="str">
        <f>HYPERLINK("http://www.d20pfsrd.com/magic/all-spells/c/confess","Confess")</f>
        <v>Confess</v>
      </c>
      <c r="BR712" s="1">
        <v>732</v>
      </c>
      <c r="BS712" s="1" t="s">
        <v>104</v>
      </c>
      <c r="BX712" s="1">
        <v>0</v>
      </c>
      <c r="BY712" s="1" t="s">
        <v>104</v>
      </c>
      <c r="BZ712" s="1" t="s">
        <v>104</v>
      </c>
      <c r="CA712" s="1">
        <v>2</v>
      </c>
      <c r="CB712" s="1" t="s">
        <v>104</v>
      </c>
      <c r="CC712" s="1">
        <v>2</v>
      </c>
      <c r="CD712" s="1" t="s">
        <v>104</v>
      </c>
      <c r="CE712" s="1" t="s">
        <v>104</v>
      </c>
      <c r="CF712" s="1" t="s">
        <v>104</v>
      </c>
      <c r="CG712" s="1" t="s">
        <v>104</v>
      </c>
      <c r="CH712" s="1" t="s">
        <v>104</v>
      </c>
      <c r="CJ712" s="1">
        <v>0</v>
      </c>
      <c r="CK712" s="1">
        <v>0</v>
      </c>
      <c r="CL712" s="1">
        <v>0</v>
      </c>
      <c r="CM712" s="1" t="s">
        <v>104</v>
      </c>
    </row>
    <row r="713" spans="1:91" ht="14.25" customHeight="1" x14ac:dyDescent="0.3">
      <c r="A713" s="1" t="s">
        <v>4681</v>
      </c>
      <c r="B713" s="1" t="s">
        <v>434</v>
      </c>
      <c r="D713" s="1" t="s">
        <v>56</v>
      </c>
      <c r="E713" s="1" t="s">
        <v>1717</v>
      </c>
      <c r="F713" s="1" t="s">
        <v>95</v>
      </c>
      <c r="G713" s="1" t="s">
        <v>116</v>
      </c>
      <c r="H713" s="1">
        <v>0</v>
      </c>
      <c r="I713" s="1" t="s">
        <v>117</v>
      </c>
      <c r="L713" s="1" t="s">
        <v>4682</v>
      </c>
      <c r="M713" s="1" t="s">
        <v>1519</v>
      </c>
      <c r="N713" s="1">
        <v>0</v>
      </c>
      <c r="O713" s="1">
        <v>0</v>
      </c>
      <c r="P713" s="1" t="s">
        <v>100</v>
      </c>
      <c r="Q713" s="1" t="s">
        <v>184</v>
      </c>
      <c r="R713" s="1" t="s">
        <v>4683</v>
      </c>
      <c r="S713" s="1" t="s">
        <v>4403</v>
      </c>
      <c r="T713" s="1">
        <v>1</v>
      </c>
      <c r="U713" s="1">
        <v>1</v>
      </c>
      <c r="V713" s="1">
        <v>0</v>
      </c>
      <c r="W713" s="1">
        <v>0</v>
      </c>
      <c r="X713" s="1">
        <v>0</v>
      </c>
      <c r="Y713" s="1">
        <v>6</v>
      </c>
      <c r="Z713" s="1">
        <v>6</v>
      </c>
      <c r="AA713" s="1" t="s">
        <v>104</v>
      </c>
      <c r="AB713" s="1" t="s">
        <v>104</v>
      </c>
      <c r="AC713" s="1" t="s">
        <v>104</v>
      </c>
      <c r="AD713" s="1" t="s">
        <v>104</v>
      </c>
      <c r="AE713" s="1" t="s">
        <v>104</v>
      </c>
      <c r="AF713" s="1" t="s">
        <v>104</v>
      </c>
      <c r="AG713" s="1" t="s">
        <v>104</v>
      </c>
      <c r="AH713" s="1" t="s">
        <v>104</v>
      </c>
      <c r="AI713" s="1" t="s">
        <v>104</v>
      </c>
      <c r="AJ713" s="1" t="s">
        <v>104</v>
      </c>
      <c r="AK713" s="1" t="s">
        <v>104</v>
      </c>
      <c r="AL713" s="1">
        <v>6</v>
      </c>
      <c r="AM713" s="1" t="s">
        <v>104</v>
      </c>
      <c r="AO713" s="1">
        <v>6</v>
      </c>
      <c r="AQ713" s="1" t="s">
        <v>4684</v>
      </c>
      <c r="AR713" s="1">
        <v>0</v>
      </c>
      <c r="AS713" s="1">
        <v>0</v>
      </c>
      <c r="AT713" s="1">
        <v>0</v>
      </c>
      <c r="AU713" s="1">
        <v>0</v>
      </c>
      <c r="AV713" s="1">
        <v>0</v>
      </c>
      <c r="AW713" s="1">
        <v>0</v>
      </c>
      <c r="AX713" s="1">
        <v>0</v>
      </c>
      <c r="AY713" s="1">
        <v>0</v>
      </c>
      <c r="AZ713" s="1">
        <v>0</v>
      </c>
      <c r="BA713" s="1">
        <v>0</v>
      </c>
      <c r="BB713" s="1">
        <v>0</v>
      </c>
      <c r="BC713" s="1">
        <v>0</v>
      </c>
      <c r="BD713" s="1">
        <v>0</v>
      </c>
      <c r="BE713" s="1">
        <v>1</v>
      </c>
      <c r="BF713" s="1">
        <v>0</v>
      </c>
      <c r="BG713" s="1">
        <v>0</v>
      </c>
      <c r="BH713" s="1">
        <v>0</v>
      </c>
      <c r="BI713" s="1">
        <v>0</v>
      </c>
      <c r="BJ713" s="1">
        <v>0</v>
      </c>
      <c r="BK713" s="1">
        <v>0</v>
      </c>
      <c r="BL713" s="1">
        <v>0</v>
      </c>
      <c r="BM713" s="1">
        <v>0</v>
      </c>
      <c r="BN713" s="1">
        <v>0</v>
      </c>
      <c r="BO713" s="1">
        <v>0</v>
      </c>
      <c r="BP713" s="1">
        <v>0</v>
      </c>
      <c r="BQ713" s="2" t="str">
        <f>HYPERLINK("http://www.d20pfsrd.com/magic/all-spells/c/contagious-flame","Contagious Flame")</f>
        <v>Contagious Flame</v>
      </c>
      <c r="BR713" s="1">
        <v>733</v>
      </c>
      <c r="BS713" s="1" t="s">
        <v>104</v>
      </c>
      <c r="BX713" s="1">
        <v>0</v>
      </c>
      <c r="BY713" s="1" t="s">
        <v>104</v>
      </c>
      <c r="BZ713" s="1" t="s">
        <v>104</v>
      </c>
      <c r="CA713" s="1" t="s">
        <v>104</v>
      </c>
      <c r="CB713" s="1" t="s">
        <v>104</v>
      </c>
      <c r="CC713" s="1" t="s">
        <v>104</v>
      </c>
      <c r="CD713" s="1">
        <v>6</v>
      </c>
      <c r="CE713" s="1" t="s">
        <v>104</v>
      </c>
      <c r="CF713" s="1" t="s">
        <v>104</v>
      </c>
      <c r="CG713" s="1" t="s">
        <v>104</v>
      </c>
      <c r="CH713" s="1" t="s">
        <v>104</v>
      </c>
      <c r="CJ713" s="1">
        <v>0</v>
      </c>
      <c r="CK713" s="1">
        <v>0</v>
      </c>
      <c r="CL713" s="1">
        <v>0</v>
      </c>
      <c r="CM713" s="1" t="s">
        <v>104</v>
      </c>
    </row>
    <row r="714" spans="1:91" ht="14.25" customHeight="1" x14ac:dyDescent="0.3">
      <c r="A714" s="1" t="s">
        <v>4685</v>
      </c>
      <c r="B714" s="1" t="s">
        <v>172</v>
      </c>
      <c r="E714" s="1" t="s">
        <v>4686</v>
      </c>
      <c r="F714" s="1" t="s">
        <v>95</v>
      </c>
      <c r="G714" s="1" t="s">
        <v>116</v>
      </c>
      <c r="H714" s="1">
        <v>0</v>
      </c>
      <c r="I714" s="1" t="s">
        <v>117</v>
      </c>
      <c r="L714" s="1" t="s">
        <v>4687</v>
      </c>
      <c r="M714" s="1" t="s">
        <v>2330</v>
      </c>
      <c r="N714" s="1">
        <v>0</v>
      </c>
      <c r="O714" s="1">
        <v>0</v>
      </c>
      <c r="P714" s="1" t="s">
        <v>100</v>
      </c>
      <c r="Q714" s="1" t="s">
        <v>101</v>
      </c>
      <c r="R714" s="1" t="s">
        <v>4688</v>
      </c>
      <c r="S714" s="1" t="s">
        <v>4403</v>
      </c>
      <c r="T714" s="1">
        <v>1</v>
      </c>
      <c r="U714" s="1">
        <v>1</v>
      </c>
      <c r="V714" s="1">
        <v>0</v>
      </c>
      <c r="W714" s="1">
        <v>0</v>
      </c>
      <c r="X714" s="1">
        <v>0</v>
      </c>
      <c r="Y714" s="1" t="s">
        <v>104</v>
      </c>
      <c r="Z714" s="1" t="s">
        <v>104</v>
      </c>
      <c r="AA714" s="1" t="s">
        <v>104</v>
      </c>
      <c r="AB714" s="1" t="s">
        <v>104</v>
      </c>
      <c r="AC714" s="1" t="s">
        <v>104</v>
      </c>
      <c r="AD714" s="1">
        <v>3</v>
      </c>
      <c r="AE714" s="1" t="s">
        <v>104</v>
      </c>
      <c r="AF714" s="1" t="s">
        <v>104</v>
      </c>
      <c r="AG714" s="1" t="s">
        <v>104</v>
      </c>
      <c r="AH714" s="1" t="s">
        <v>104</v>
      </c>
      <c r="AI714" s="1">
        <v>3</v>
      </c>
      <c r="AJ714" s="1" t="s">
        <v>104</v>
      </c>
      <c r="AK714" s="1" t="s">
        <v>104</v>
      </c>
      <c r="AL714" s="1" t="s">
        <v>104</v>
      </c>
      <c r="AM714" s="1" t="s">
        <v>104</v>
      </c>
      <c r="AO714" s="1">
        <v>3</v>
      </c>
      <c r="AP714" s="1" t="s">
        <v>4689</v>
      </c>
      <c r="AQ714" s="1" t="s">
        <v>4690</v>
      </c>
      <c r="AR714" s="1">
        <v>0</v>
      </c>
      <c r="AS714" s="1">
        <v>0</v>
      </c>
      <c r="AT714" s="1">
        <v>0</v>
      </c>
      <c r="AU714" s="1">
        <v>0</v>
      </c>
      <c r="AV714" s="1">
        <v>0</v>
      </c>
      <c r="AW714" s="1">
        <v>0</v>
      </c>
      <c r="AX714" s="1">
        <v>0</v>
      </c>
      <c r="AY714" s="1">
        <v>0</v>
      </c>
      <c r="AZ714" s="1">
        <v>0</v>
      </c>
      <c r="BA714" s="1">
        <v>0</v>
      </c>
      <c r="BB714" s="1">
        <v>0</v>
      </c>
      <c r="BC714" s="1">
        <v>0</v>
      </c>
      <c r="BD714" s="1">
        <v>0</v>
      </c>
      <c r="BE714" s="1">
        <v>0</v>
      </c>
      <c r="BF714" s="1">
        <v>0</v>
      </c>
      <c r="BG714" s="1">
        <v>0</v>
      </c>
      <c r="BH714" s="1">
        <v>0</v>
      </c>
      <c r="BI714" s="1">
        <v>0</v>
      </c>
      <c r="BJ714" s="1">
        <v>0</v>
      </c>
      <c r="BK714" s="1">
        <v>0</v>
      </c>
      <c r="BL714" s="1">
        <v>0</v>
      </c>
      <c r="BM714" s="1">
        <v>0</v>
      </c>
      <c r="BN714" s="1">
        <v>0</v>
      </c>
      <c r="BO714" s="1">
        <v>0</v>
      </c>
      <c r="BP714" s="1">
        <v>0</v>
      </c>
      <c r="BQ714" s="2" t="str">
        <f>HYPERLINK("http://www.d20pfsrd.com/magic/all-spells/c/coordinated-effort","Coordinated Effort")</f>
        <v>Coordinated Effort</v>
      </c>
      <c r="BR714" s="1">
        <v>734</v>
      </c>
      <c r="BS714" s="1" t="s">
        <v>104</v>
      </c>
      <c r="BX714" s="1">
        <v>0</v>
      </c>
      <c r="BY714" s="1" t="s">
        <v>104</v>
      </c>
      <c r="BZ714" s="1" t="s">
        <v>104</v>
      </c>
      <c r="CA714" s="1">
        <v>4</v>
      </c>
      <c r="CB714" s="1" t="s">
        <v>104</v>
      </c>
      <c r="CC714" s="1" t="s">
        <v>104</v>
      </c>
      <c r="CD714" s="1" t="s">
        <v>104</v>
      </c>
      <c r="CE714" s="1" t="s">
        <v>104</v>
      </c>
      <c r="CF714" s="1" t="s">
        <v>104</v>
      </c>
      <c r="CG714" s="1" t="s">
        <v>104</v>
      </c>
      <c r="CH714" s="1" t="s">
        <v>104</v>
      </c>
      <c r="CJ714" s="1">
        <v>0</v>
      </c>
      <c r="CK714" s="1">
        <v>0</v>
      </c>
      <c r="CL714" s="1">
        <v>0</v>
      </c>
      <c r="CM714" s="1" t="s">
        <v>104</v>
      </c>
    </row>
    <row r="715" spans="1:91" ht="14.25" customHeight="1" x14ac:dyDescent="0.3">
      <c r="A715" s="1" t="s">
        <v>4691</v>
      </c>
      <c r="B715" s="1" t="s">
        <v>162</v>
      </c>
      <c r="D715" s="1" t="s">
        <v>4692</v>
      </c>
      <c r="E715" s="1" t="s">
        <v>4693</v>
      </c>
      <c r="F715" s="1" t="s">
        <v>95</v>
      </c>
      <c r="G715" s="1" t="s">
        <v>127</v>
      </c>
      <c r="H715" s="1">
        <v>0</v>
      </c>
      <c r="I715" s="1" t="s">
        <v>128</v>
      </c>
      <c r="L715" s="1" t="s">
        <v>374</v>
      </c>
      <c r="M715" s="1" t="s">
        <v>4292</v>
      </c>
      <c r="N715" s="1">
        <v>0</v>
      </c>
      <c r="O715" s="1">
        <v>0</v>
      </c>
      <c r="P715" s="1" t="s">
        <v>1058</v>
      </c>
      <c r="Q715" s="1" t="s">
        <v>131</v>
      </c>
      <c r="R715" s="1" t="s">
        <v>4694</v>
      </c>
      <c r="S715" s="1" t="s">
        <v>4403</v>
      </c>
      <c r="T715" s="1">
        <v>1</v>
      </c>
      <c r="U715" s="1">
        <v>1</v>
      </c>
      <c r="V715" s="1">
        <v>0</v>
      </c>
      <c r="W715" s="1">
        <v>0</v>
      </c>
      <c r="X715" s="1">
        <v>1</v>
      </c>
      <c r="Y715" s="1" t="s">
        <v>104</v>
      </c>
      <c r="Z715" s="1" t="s">
        <v>104</v>
      </c>
      <c r="AA715" s="1" t="s">
        <v>104</v>
      </c>
      <c r="AB715" s="1" t="s">
        <v>104</v>
      </c>
      <c r="AC715" s="1" t="s">
        <v>104</v>
      </c>
      <c r="AD715" s="1" t="s">
        <v>104</v>
      </c>
      <c r="AE715" s="1">
        <v>2</v>
      </c>
      <c r="AF715" s="1" t="s">
        <v>104</v>
      </c>
      <c r="AG715" s="1" t="s">
        <v>104</v>
      </c>
      <c r="AH715" s="1" t="s">
        <v>104</v>
      </c>
      <c r="AI715" s="1">
        <v>2</v>
      </c>
      <c r="AJ715" s="1" t="s">
        <v>104</v>
      </c>
      <c r="AK715" s="1">
        <v>2</v>
      </c>
      <c r="AL715" s="1" t="s">
        <v>104</v>
      </c>
      <c r="AM715" s="1" t="s">
        <v>104</v>
      </c>
      <c r="AO715" s="1">
        <v>2</v>
      </c>
      <c r="AQ715" s="1" t="s">
        <v>4695</v>
      </c>
      <c r="AR715" s="1">
        <v>0</v>
      </c>
      <c r="AS715" s="1">
        <v>0</v>
      </c>
      <c r="AT715" s="1">
        <v>1</v>
      </c>
      <c r="AU715" s="1">
        <v>0</v>
      </c>
      <c r="AV715" s="1">
        <v>0</v>
      </c>
      <c r="AW715" s="1">
        <v>0</v>
      </c>
      <c r="AX715" s="1">
        <v>0</v>
      </c>
      <c r="AY715" s="1">
        <v>0</v>
      </c>
      <c r="AZ715" s="1">
        <v>0</v>
      </c>
      <c r="BA715" s="1">
        <v>0</v>
      </c>
      <c r="BB715" s="1">
        <v>0</v>
      </c>
      <c r="BC715" s="1">
        <v>1</v>
      </c>
      <c r="BD715" s="1">
        <v>0</v>
      </c>
      <c r="BE715" s="1">
        <v>0</v>
      </c>
      <c r="BF715" s="1">
        <v>0</v>
      </c>
      <c r="BG715" s="1">
        <v>1</v>
      </c>
      <c r="BH715" s="1">
        <v>0</v>
      </c>
      <c r="BI715" s="1">
        <v>1</v>
      </c>
      <c r="BJ715" s="1">
        <v>0</v>
      </c>
      <c r="BK715" s="1">
        <v>0</v>
      </c>
      <c r="BL715" s="1">
        <v>0</v>
      </c>
      <c r="BM715" s="1">
        <v>0</v>
      </c>
      <c r="BN715" s="1">
        <v>0</v>
      </c>
      <c r="BO715" s="1">
        <v>0</v>
      </c>
      <c r="BP715" s="1">
        <v>0</v>
      </c>
      <c r="BQ715" s="2" t="str">
        <f>HYPERLINK("http://www.d20pfsrd.com/magic/all-spells/c/corruption-resistance","Corruption Resistance")</f>
        <v>Corruption Resistance</v>
      </c>
      <c r="BR715" s="1">
        <v>735</v>
      </c>
      <c r="BS715" s="1" t="s">
        <v>104</v>
      </c>
      <c r="BX715" s="1">
        <v>0</v>
      </c>
      <c r="BY715" s="1" t="s">
        <v>104</v>
      </c>
      <c r="BZ715" s="1" t="s">
        <v>104</v>
      </c>
      <c r="CA715" s="1" t="s">
        <v>104</v>
      </c>
      <c r="CB715" s="1" t="s">
        <v>104</v>
      </c>
      <c r="CC715" s="1" t="s">
        <v>104</v>
      </c>
      <c r="CD715" s="1" t="s">
        <v>104</v>
      </c>
      <c r="CE715" s="1" t="s">
        <v>104</v>
      </c>
      <c r="CF715" s="1" t="s">
        <v>104</v>
      </c>
      <c r="CG715" s="1" t="s">
        <v>104</v>
      </c>
      <c r="CH715" s="1" t="s">
        <v>104</v>
      </c>
      <c r="CJ715" s="1">
        <v>0</v>
      </c>
      <c r="CK715" s="1">
        <v>0</v>
      </c>
      <c r="CL715" s="1">
        <v>0</v>
      </c>
      <c r="CM715" s="1" t="s">
        <v>104</v>
      </c>
    </row>
    <row r="716" spans="1:91" ht="14.25" customHeight="1" x14ac:dyDescent="0.3">
      <c r="A716" s="1" t="s">
        <v>4696</v>
      </c>
      <c r="B716" s="1" t="s">
        <v>123</v>
      </c>
      <c r="C716" s="1" t="s">
        <v>124</v>
      </c>
      <c r="D716" s="1" t="s">
        <v>125</v>
      </c>
      <c r="E716" s="1" t="s">
        <v>4560</v>
      </c>
      <c r="F716" s="1" t="s">
        <v>95</v>
      </c>
      <c r="G716" s="1" t="s">
        <v>127</v>
      </c>
      <c r="H716" s="1">
        <v>0</v>
      </c>
      <c r="I716" s="1" t="s">
        <v>117</v>
      </c>
      <c r="L716" s="1" t="s">
        <v>417</v>
      </c>
      <c r="M716" s="1" t="s">
        <v>426</v>
      </c>
      <c r="N716" s="1">
        <v>1</v>
      </c>
      <c r="O716" s="1">
        <v>0</v>
      </c>
      <c r="P716" s="1" t="s">
        <v>276</v>
      </c>
      <c r="Q716" s="1" t="s">
        <v>184</v>
      </c>
      <c r="R716" s="1" t="s">
        <v>4697</v>
      </c>
      <c r="S716" s="1" t="s">
        <v>4403</v>
      </c>
      <c r="T716" s="1">
        <v>1</v>
      </c>
      <c r="U716" s="1">
        <v>1</v>
      </c>
      <c r="V716" s="1">
        <v>0</v>
      </c>
      <c r="W716" s="1">
        <v>0</v>
      </c>
      <c r="X716" s="1">
        <v>1</v>
      </c>
      <c r="Y716" s="1" t="s">
        <v>104</v>
      </c>
      <c r="Z716" s="1" t="s">
        <v>104</v>
      </c>
      <c r="AA716" s="1" t="s">
        <v>104</v>
      </c>
      <c r="AB716" s="1" t="s">
        <v>104</v>
      </c>
      <c r="AC716" s="1" t="s">
        <v>104</v>
      </c>
      <c r="AD716" s="1" t="s">
        <v>104</v>
      </c>
      <c r="AE716" s="1" t="s">
        <v>104</v>
      </c>
      <c r="AF716" s="1" t="s">
        <v>104</v>
      </c>
      <c r="AG716" s="1" t="s">
        <v>104</v>
      </c>
      <c r="AH716" s="1" t="s">
        <v>104</v>
      </c>
      <c r="AI716" s="1">
        <v>4</v>
      </c>
      <c r="AJ716" s="1" t="s">
        <v>104</v>
      </c>
      <c r="AK716" s="1" t="s">
        <v>104</v>
      </c>
      <c r="AL716" s="1" t="s">
        <v>104</v>
      </c>
      <c r="AM716" s="1" t="s">
        <v>104</v>
      </c>
      <c r="AO716" s="1">
        <v>4</v>
      </c>
      <c r="AQ716" s="1" t="s">
        <v>4698</v>
      </c>
      <c r="AR716" s="1">
        <v>0</v>
      </c>
      <c r="AS716" s="1">
        <v>0</v>
      </c>
      <c r="AT716" s="1">
        <v>0</v>
      </c>
      <c r="AU716" s="1">
        <v>0</v>
      </c>
      <c r="AV716" s="1">
        <v>0</v>
      </c>
      <c r="AW716" s="1">
        <v>0</v>
      </c>
      <c r="AX716" s="1">
        <v>0</v>
      </c>
      <c r="AY716" s="1">
        <v>0</v>
      </c>
      <c r="AZ716" s="1">
        <v>0</v>
      </c>
      <c r="BA716" s="1">
        <v>0</v>
      </c>
      <c r="BB716" s="1">
        <v>0</v>
      </c>
      <c r="BC716" s="1">
        <v>0</v>
      </c>
      <c r="BD716" s="1">
        <v>0</v>
      </c>
      <c r="BE716" s="1">
        <v>0</v>
      </c>
      <c r="BF716" s="1">
        <v>0</v>
      </c>
      <c r="BG716" s="1">
        <v>0</v>
      </c>
      <c r="BH716" s="1">
        <v>0</v>
      </c>
      <c r="BI716" s="1">
        <v>0</v>
      </c>
      <c r="BJ716" s="1">
        <v>0</v>
      </c>
      <c r="BK716" s="1">
        <v>1</v>
      </c>
      <c r="BL716" s="1">
        <v>0</v>
      </c>
      <c r="BM716" s="1">
        <v>0</v>
      </c>
      <c r="BN716" s="1">
        <v>0</v>
      </c>
      <c r="BO716" s="1">
        <v>0</v>
      </c>
      <c r="BP716" s="1">
        <v>0</v>
      </c>
      <c r="BQ716" s="2" t="str">
        <f>HYPERLINK("http://www.d20pfsrd.com/magic/all-spells/c/coward-s-lament","Coward's Lament")</f>
        <v>Coward's Lament</v>
      </c>
      <c r="BR716" s="1">
        <v>736</v>
      </c>
      <c r="BS716" s="1" t="s">
        <v>104</v>
      </c>
      <c r="BX716" s="1">
        <v>0</v>
      </c>
      <c r="BY716" s="1" t="s">
        <v>104</v>
      </c>
      <c r="BZ716" s="1" t="s">
        <v>104</v>
      </c>
      <c r="CA716" s="1" t="s">
        <v>104</v>
      </c>
      <c r="CB716" s="1" t="s">
        <v>104</v>
      </c>
      <c r="CC716" s="1" t="s">
        <v>104</v>
      </c>
      <c r="CD716" s="1" t="s">
        <v>104</v>
      </c>
      <c r="CE716" s="1" t="s">
        <v>104</v>
      </c>
      <c r="CF716" s="1" t="s">
        <v>104</v>
      </c>
      <c r="CG716" s="1" t="s">
        <v>104</v>
      </c>
      <c r="CH716" s="1" t="s">
        <v>104</v>
      </c>
      <c r="CJ716" s="1">
        <v>0</v>
      </c>
      <c r="CK716" s="1">
        <v>0</v>
      </c>
      <c r="CL716" s="1">
        <v>0</v>
      </c>
      <c r="CM716" s="1" t="s">
        <v>104</v>
      </c>
    </row>
    <row r="717" spans="1:91" ht="14.25" customHeight="1" x14ac:dyDescent="0.3">
      <c r="A717" s="1" t="s">
        <v>4699</v>
      </c>
      <c r="B717" s="1" t="s">
        <v>137</v>
      </c>
      <c r="D717" s="1" t="s">
        <v>47</v>
      </c>
      <c r="E717" s="1" t="s">
        <v>4700</v>
      </c>
      <c r="F717" s="1" t="s">
        <v>95</v>
      </c>
      <c r="G717" s="1" t="s">
        <v>4701</v>
      </c>
      <c r="H717" s="1">
        <v>0</v>
      </c>
      <c r="I717" s="1" t="s">
        <v>117</v>
      </c>
      <c r="L717" s="1" t="s">
        <v>1065</v>
      </c>
      <c r="M717" s="1" t="s">
        <v>4400</v>
      </c>
      <c r="N717" s="1">
        <v>1</v>
      </c>
      <c r="O717" s="1">
        <v>0</v>
      </c>
      <c r="P717" s="1" t="s">
        <v>211</v>
      </c>
      <c r="Q717" s="1" t="s">
        <v>184</v>
      </c>
      <c r="R717" s="1" t="s">
        <v>4702</v>
      </c>
      <c r="S717" s="1" t="s">
        <v>4403</v>
      </c>
      <c r="T717" s="1">
        <v>1</v>
      </c>
      <c r="U717" s="1">
        <v>1</v>
      </c>
      <c r="V717" s="1">
        <v>1</v>
      </c>
      <c r="W717" s="1">
        <v>0</v>
      </c>
      <c r="X717" s="1">
        <v>0</v>
      </c>
      <c r="Y717" s="1">
        <v>1</v>
      </c>
      <c r="Z717" s="1">
        <v>1</v>
      </c>
      <c r="AA717" s="1" t="s">
        <v>104</v>
      </c>
      <c r="AB717" s="1" t="s">
        <v>104</v>
      </c>
      <c r="AC717" s="1" t="s">
        <v>104</v>
      </c>
      <c r="AD717" s="1" t="s">
        <v>104</v>
      </c>
      <c r="AE717" s="1" t="s">
        <v>104</v>
      </c>
      <c r="AF717" s="1" t="s">
        <v>104</v>
      </c>
      <c r="AG717" s="1" t="s">
        <v>104</v>
      </c>
      <c r="AH717" s="1" t="s">
        <v>104</v>
      </c>
      <c r="AI717" s="1" t="s">
        <v>104</v>
      </c>
      <c r="AJ717" s="1" t="s">
        <v>104</v>
      </c>
      <c r="AK717" s="1" t="s">
        <v>104</v>
      </c>
      <c r="AL717" s="1" t="s">
        <v>104</v>
      </c>
      <c r="AM717" s="1" t="s">
        <v>104</v>
      </c>
      <c r="AO717" s="1">
        <v>1</v>
      </c>
      <c r="AQ717" s="1" t="s">
        <v>4703</v>
      </c>
      <c r="AR717" s="1">
        <v>0</v>
      </c>
      <c r="AS717" s="1">
        <v>0</v>
      </c>
      <c r="AT717" s="1">
        <v>0</v>
      </c>
      <c r="AU717" s="1">
        <v>0</v>
      </c>
      <c r="AV717" s="1">
        <v>1</v>
      </c>
      <c r="AW717" s="1">
        <v>0</v>
      </c>
      <c r="AX717" s="1">
        <v>0</v>
      </c>
      <c r="AY717" s="1">
        <v>0</v>
      </c>
      <c r="AZ717" s="1">
        <v>0</v>
      </c>
      <c r="BA717" s="1">
        <v>0</v>
      </c>
      <c r="BB717" s="1">
        <v>0</v>
      </c>
      <c r="BC717" s="1">
        <v>0</v>
      </c>
      <c r="BD717" s="1">
        <v>0</v>
      </c>
      <c r="BE717" s="1">
        <v>0</v>
      </c>
      <c r="BF717" s="1">
        <v>0</v>
      </c>
      <c r="BG717" s="1">
        <v>0</v>
      </c>
      <c r="BH717" s="1">
        <v>0</v>
      </c>
      <c r="BI717" s="1">
        <v>0</v>
      </c>
      <c r="BJ717" s="1">
        <v>0</v>
      </c>
      <c r="BK717" s="1">
        <v>0</v>
      </c>
      <c r="BL717" s="1">
        <v>0</v>
      </c>
      <c r="BM717" s="1">
        <v>0</v>
      </c>
      <c r="BN717" s="1">
        <v>0</v>
      </c>
      <c r="BO717" s="1">
        <v>0</v>
      </c>
      <c r="BP717" s="1">
        <v>0</v>
      </c>
      <c r="BQ717" s="2" t="str">
        <f>HYPERLINK("http://www.d20pfsrd.com/magic/all-spells/c/crafter-s-curse","Crafter's Curse")</f>
        <v>Crafter's Curse</v>
      </c>
      <c r="BR717" s="1">
        <v>737</v>
      </c>
      <c r="BS717" s="1" t="s">
        <v>104</v>
      </c>
      <c r="BX717" s="1">
        <v>0</v>
      </c>
      <c r="BY717" s="1" t="s">
        <v>104</v>
      </c>
      <c r="BZ717" s="1" t="s">
        <v>104</v>
      </c>
      <c r="CA717" s="1" t="s">
        <v>104</v>
      </c>
      <c r="CB717" s="1" t="s">
        <v>104</v>
      </c>
      <c r="CC717" s="1" t="s">
        <v>104</v>
      </c>
      <c r="CD717" s="1">
        <v>1</v>
      </c>
      <c r="CE717" s="1" t="s">
        <v>104</v>
      </c>
      <c r="CF717" s="1" t="s">
        <v>104</v>
      </c>
      <c r="CG717" s="1" t="s">
        <v>104</v>
      </c>
      <c r="CH717" s="1" t="s">
        <v>104</v>
      </c>
      <c r="CJ717" s="1">
        <v>0</v>
      </c>
      <c r="CK717" s="1">
        <v>0</v>
      </c>
      <c r="CL717" s="1">
        <v>0</v>
      </c>
      <c r="CM717" s="1" t="s">
        <v>104</v>
      </c>
    </row>
    <row r="718" spans="1:91" ht="14.25" customHeight="1" x14ac:dyDescent="0.3">
      <c r="A718" s="1" t="s">
        <v>4704</v>
      </c>
      <c r="B718" s="1" t="s">
        <v>137</v>
      </c>
      <c r="E718" s="1" t="s">
        <v>4705</v>
      </c>
      <c r="F718" s="1" t="s">
        <v>95</v>
      </c>
      <c r="G718" s="1" t="s">
        <v>4706</v>
      </c>
      <c r="H718" s="1">
        <v>0</v>
      </c>
      <c r="I718" s="1" t="s">
        <v>117</v>
      </c>
      <c r="L718" s="1" t="s">
        <v>1065</v>
      </c>
      <c r="M718" s="1" t="s">
        <v>4707</v>
      </c>
      <c r="N718" s="1">
        <v>1</v>
      </c>
      <c r="O718" s="1">
        <v>0</v>
      </c>
      <c r="P718" s="1" t="s">
        <v>375</v>
      </c>
      <c r="Q718" s="1" t="s">
        <v>131</v>
      </c>
      <c r="R718" s="1" t="s">
        <v>4708</v>
      </c>
      <c r="S718" s="1" t="s">
        <v>4403</v>
      </c>
      <c r="T718" s="1">
        <v>1</v>
      </c>
      <c r="U718" s="1">
        <v>1</v>
      </c>
      <c r="V718" s="1">
        <v>0</v>
      </c>
      <c r="W718" s="1">
        <v>0</v>
      </c>
      <c r="X718" s="1">
        <v>0</v>
      </c>
      <c r="Y718" s="1">
        <v>1</v>
      </c>
      <c r="Z718" s="1">
        <v>1</v>
      </c>
      <c r="AA718" s="1" t="s">
        <v>104</v>
      </c>
      <c r="AB718" s="1" t="s">
        <v>104</v>
      </c>
      <c r="AC718" s="1" t="s">
        <v>104</v>
      </c>
      <c r="AD718" s="1" t="s">
        <v>104</v>
      </c>
      <c r="AE718" s="1" t="s">
        <v>104</v>
      </c>
      <c r="AF718" s="1">
        <v>1</v>
      </c>
      <c r="AG718" s="1" t="s">
        <v>104</v>
      </c>
      <c r="AH718" s="1" t="s">
        <v>104</v>
      </c>
      <c r="AI718" s="1" t="s">
        <v>104</v>
      </c>
      <c r="AJ718" s="1" t="s">
        <v>104</v>
      </c>
      <c r="AK718" s="1" t="s">
        <v>104</v>
      </c>
      <c r="AL718" s="1" t="s">
        <v>104</v>
      </c>
      <c r="AM718" s="1" t="s">
        <v>104</v>
      </c>
      <c r="AO718" s="1">
        <v>1</v>
      </c>
      <c r="AP718" s="1" t="s">
        <v>4709</v>
      </c>
      <c r="AQ718" s="1" t="s">
        <v>4710</v>
      </c>
      <c r="AR718" s="1">
        <v>0</v>
      </c>
      <c r="AS718" s="1">
        <v>0</v>
      </c>
      <c r="AT718" s="1">
        <v>0</v>
      </c>
      <c r="AU718" s="1">
        <v>0</v>
      </c>
      <c r="AV718" s="1">
        <v>0</v>
      </c>
      <c r="AW718" s="1">
        <v>0</v>
      </c>
      <c r="AX718" s="1">
        <v>0</v>
      </c>
      <c r="AY718" s="1">
        <v>0</v>
      </c>
      <c r="AZ718" s="1">
        <v>0</v>
      </c>
      <c r="BA718" s="1">
        <v>0</v>
      </c>
      <c r="BB718" s="1">
        <v>0</v>
      </c>
      <c r="BC718" s="1">
        <v>0</v>
      </c>
      <c r="BD718" s="1">
        <v>0</v>
      </c>
      <c r="BE718" s="1">
        <v>0</v>
      </c>
      <c r="BF718" s="1">
        <v>0</v>
      </c>
      <c r="BG718" s="1">
        <v>0</v>
      </c>
      <c r="BH718" s="1">
        <v>0</v>
      </c>
      <c r="BI718" s="1">
        <v>0</v>
      </c>
      <c r="BJ718" s="1">
        <v>0</v>
      </c>
      <c r="BK718" s="1">
        <v>0</v>
      </c>
      <c r="BL718" s="1">
        <v>0</v>
      </c>
      <c r="BM718" s="1">
        <v>0</v>
      </c>
      <c r="BN718" s="1">
        <v>0</v>
      </c>
      <c r="BO718" s="1">
        <v>0</v>
      </c>
      <c r="BP718" s="1">
        <v>0</v>
      </c>
      <c r="BQ718" s="2" t="str">
        <f>HYPERLINK("http://www.d20pfsrd.com/magic/all-spells/c/crafter-s-fortune","Crafter's Fortune")</f>
        <v>Crafter's Fortune</v>
      </c>
      <c r="BR718" s="1">
        <v>738</v>
      </c>
      <c r="BS718" s="1" t="s">
        <v>104</v>
      </c>
      <c r="BX718" s="1">
        <v>0</v>
      </c>
      <c r="BY718" s="1" t="s">
        <v>104</v>
      </c>
      <c r="BZ718" s="1" t="s">
        <v>104</v>
      </c>
      <c r="CA718" s="1" t="s">
        <v>104</v>
      </c>
      <c r="CB718" s="1" t="s">
        <v>104</v>
      </c>
      <c r="CC718" s="1" t="s">
        <v>104</v>
      </c>
      <c r="CD718" s="1">
        <v>1</v>
      </c>
      <c r="CE718" s="1" t="s">
        <v>104</v>
      </c>
      <c r="CF718" s="1" t="s">
        <v>104</v>
      </c>
      <c r="CG718" s="1" t="s">
        <v>104</v>
      </c>
      <c r="CH718" s="1" t="s">
        <v>104</v>
      </c>
      <c r="CJ718" s="1">
        <v>0</v>
      </c>
      <c r="CK718" s="1">
        <v>0</v>
      </c>
      <c r="CL718" s="1">
        <v>0</v>
      </c>
      <c r="CM718" s="1" t="s">
        <v>104</v>
      </c>
    </row>
    <row r="719" spans="1:91" ht="14.25" customHeight="1" x14ac:dyDescent="0.3">
      <c r="A719" s="1" t="s">
        <v>4711</v>
      </c>
      <c r="B719" s="1" t="s">
        <v>92</v>
      </c>
      <c r="C719" s="1" t="s">
        <v>93</v>
      </c>
      <c r="E719" s="1" t="s">
        <v>4712</v>
      </c>
      <c r="F719" s="1" t="s">
        <v>95</v>
      </c>
      <c r="G719" s="1" t="s">
        <v>4713</v>
      </c>
      <c r="H719" s="1">
        <v>1</v>
      </c>
      <c r="I719" s="1" t="s">
        <v>109</v>
      </c>
      <c r="K719" s="1" t="s">
        <v>4413</v>
      </c>
      <c r="M719" s="1" t="s">
        <v>4414</v>
      </c>
      <c r="N719" s="1">
        <v>0</v>
      </c>
      <c r="O719" s="1">
        <v>0</v>
      </c>
      <c r="P719" s="1" t="s">
        <v>1605</v>
      </c>
      <c r="Q719" s="1" t="s">
        <v>101</v>
      </c>
      <c r="R719" s="1" t="s">
        <v>4714</v>
      </c>
      <c r="S719" s="1" t="s">
        <v>4403</v>
      </c>
      <c r="T719" s="1">
        <v>1</v>
      </c>
      <c r="U719" s="1">
        <v>1</v>
      </c>
      <c r="V719" s="1">
        <v>0</v>
      </c>
      <c r="W719" s="1">
        <v>0</v>
      </c>
      <c r="X719" s="1">
        <v>0</v>
      </c>
      <c r="Y719" s="1">
        <v>2</v>
      </c>
      <c r="Z719" s="1">
        <v>2</v>
      </c>
      <c r="AA719" s="1" t="s">
        <v>104</v>
      </c>
      <c r="AB719" s="1" t="s">
        <v>104</v>
      </c>
      <c r="AC719" s="1" t="s">
        <v>104</v>
      </c>
      <c r="AD719" s="1" t="s">
        <v>104</v>
      </c>
      <c r="AE719" s="1" t="s">
        <v>104</v>
      </c>
      <c r="AF719" s="1" t="s">
        <v>104</v>
      </c>
      <c r="AG719" s="1">
        <v>2</v>
      </c>
      <c r="AH719" s="1" t="s">
        <v>104</v>
      </c>
      <c r="AI719" s="1" t="s">
        <v>104</v>
      </c>
      <c r="AJ719" s="1" t="s">
        <v>104</v>
      </c>
      <c r="AK719" s="1" t="s">
        <v>104</v>
      </c>
      <c r="AL719" s="1" t="s">
        <v>104</v>
      </c>
      <c r="AM719" s="1" t="s">
        <v>104</v>
      </c>
      <c r="AO719" s="1">
        <v>2</v>
      </c>
      <c r="AP719" s="1" t="s">
        <v>4715</v>
      </c>
      <c r="AQ719" s="1" t="s">
        <v>4716</v>
      </c>
      <c r="AR719" s="1">
        <v>0</v>
      </c>
      <c r="AS719" s="1">
        <v>0</v>
      </c>
      <c r="AT719" s="1">
        <v>0</v>
      </c>
      <c r="AU719" s="1">
        <v>0</v>
      </c>
      <c r="AV719" s="1">
        <v>0</v>
      </c>
      <c r="AW719" s="1">
        <v>0</v>
      </c>
      <c r="AX719" s="1">
        <v>0</v>
      </c>
      <c r="AY719" s="1">
        <v>0</v>
      </c>
      <c r="AZ719" s="1">
        <v>0</v>
      </c>
      <c r="BA719" s="1">
        <v>0</v>
      </c>
      <c r="BB719" s="1">
        <v>0</v>
      </c>
      <c r="BC719" s="1">
        <v>0</v>
      </c>
      <c r="BD719" s="1">
        <v>0</v>
      </c>
      <c r="BE719" s="1">
        <v>0</v>
      </c>
      <c r="BF719" s="1">
        <v>0</v>
      </c>
      <c r="BG719" s="1">
        <v>0</v>
      </c>
      <c r="BH719" s="1">
        <v>0</v>
      </c>
      <c r="BI719" s="1">
        <v>0</v>
      </c>
      <c r="BJ719" s="1">
        <v>0</v>
      </c>
      <c r="BK719" s="1">
        <v>0</v>
      </c>
      <c r="BL719" s="1">
        <v>0</v>
      </c>
      <c r="BM719" s="1">
        <v>0</v>
      </c>
      <c r="BN719" s="1">
        <v>0</v>
      </c>
      <c r="BO719" s="1">
        <v>0</v>
      </c>
      <c r="BP719" s="1">
        <v>0</v>
      </c>
      <c r="BQ719" s="2" t="str">
        <f>HYPERLINK("http://www.d20pfsrd.com/magic/all-spells/c/create-pit","Create Pit")</f>
        <v>Create Pit</v>
      </c>
      <c r="BR719" s="1">
        <v>739</v>
      </c>
      <c r="BS719" s="1">
        <v>10</v>
      </c>
      <c r="BT719" s="1" t="s">
        <v>4717</v>
      </c>
      <c r="BX719" s="1">
        <v>0</v>
      </c>
      <c r="BY719" s="1" t="s">
        <v>104</v>
      </c>
      <c r="BZ719" s="1" t="s">
        <v>104</v>
      </c>
      <c r="CA719" s="1" t="s">
        <v>104</v>
      </c>
      <c r="CB719" s="1" t="s">
        <v>104</v>
      </c>
      <c r="CC719" s="1" t="s">
        <v>104</v>
      </c>
      <c r="CD719" s="1" t="s">
        <v>104</v>
      </c>
      <c r="CE719" s="1" t="s">
        <v>104</v>
      </c>
      <c r="CF719" s="1" t="s">
        <v>104</v>
      </c>
      <c r="CG719" s="1" t="s">
        <v>104</v>
      </c>
      <c r="CH719" s="1" t="s">
        <v>104</v>
      </c>
      <c r="CJ719" s="1">
        <v>0</v>
      </c>
      <c r="CK719" s="1">
        <v>0</v>
      </c>
      <c r="CL719" s="1">
        <v>0</v>
      </c>
      <c r="CM719" s="1">
        <v>2</v>
      </c>
    </row>
    <row r="720" spans="1:91" ht="14.25" customHeight="1" x14ac:dyDescent="0.3">
      <c r="A720" s="1" t="s">
        <v>4718</v>
      </c>
      <c r="B720" s="1" t="s">
        <v>172</v>
      </c>
      <c r="E720" s="1" t="s">
        <v>4719</v>
      </c>
      <c r="F720" s="1" t="s">
        <v>273</v>
      </c>
      <c r="G720" s="1" t="s">
        <v>4720</v>
      </c>
      <c r="H720" s="1">
        <v>1</v>
      </c>
      <c r="I720" s="1" t="s">
        <v>128</v>
      </c>
      <c r="L720" s="1" t="s">
        <v>3499</v>
      </c>
      <c r="M720" s="1" t="s">
        <v>119</v>
      </c>
      <c r="N720" s="1">
        <v>0</v>
      </c>
      <c r="O720" s="1">
        <v>0</v>
      </c>
      <c r="P720" s="1" t="s">
        <v>100</v>
      </c>
      <c r="Q720" s="1" t="s">
        <v>101</v>
      </c>
      <c r="R720" s="1" t="s">
        <v>4721</v>
      </c>
      <c r="S720" s="1" t="s">
        <v>4403</v>
      </c>
      <c r="T720" s="1">
        <v>1</v>
      </c>
      <c r="U720" s="1">
        <v>1</v>
      </c>
      <c r="V720" s="1">
        <v>1</v>
      </c>
      <c r="W720" s="1">
        <v>0</v>
      </c>
      <c r="X720" s="1">
        <v>0</v>
      </c>
      <c r="Y720" s="1">
        <v>2</v>
      </c>
      <c r="Z720" s="1">
        <v>2</v>
      </c>
      <c r="AA720" s="1" t="s">
        <v>104</v>
      </c>
      <c r="AB720" s="1">
        <v>3</v>
      </c>
      <c r="AC720" s="1">
        <v>2</v>
      </c>
      <c r="AD720" s="1">
        <v>2</v>
      </c>
      <c r="AE720" s="1" t="s">
        <v>104</v>
      </c>
      <c r="AF720" s="1" t="s">
        <v>104</v>
      </c>
      <c r="AG720" s="1" t="s">
        <v>104</v>
      </c>
      <c r="AH720" s="1" t="s">
        <v>104</v>
      </c>
      <c r="AI720" s="1" t="s">
        <v>104</v>
      </c>
      <c r="AJ720" s="1" t="s">
        <v>104</v>
      </c>
      <c r="AK720" s="1" t="s">
        <v>104</v>
      </c>
      <c r="AL720" s="1" t="s">
        <v>104</v>
      </c>
      <c r="AM720" s="1" t="s">
        <v>104</v>
      </c>
      <c r="AO720" s="1">
        <v>2</v>
      </c>
      <c r="AQ720" s="1" t="s">
        <v>4722</v>
      </c>
      <c r="AR720" s="1">
        <v>0</v>
      </c>
      <c r="AS720" s="1">
        <v>0</v>
      </c>
      <c r="AT720" s="1">
        <v>0</v>
      </c>
      <c r="AU720" s="1">
        <v>0</v>
      </c>
      <c r="AV720" s="1">
        <v>0</v>
      </c>
      <c r="AW720" s="1">
        <v>0</v>
      </c>
      <c r="AX720" s="1">
        <v>0</v>
      </c>
      <c r="AY720" s="1">
        <v>0</v>
      </c>
      <c r="AZ720" s="1">
        <v>0</v>
      </c>
      <c r="BA720" s="1">
        <v>0</v>
      </c>
      <c r="BB720" s="1">
        <v>0</v>
      </c>
      <c r="BC720" s="1">
        <v>0</v>
      </c>
      <c r="BD720" s="1">
        <v>0</v>
      </c>
      <c r="BE720" s="1">
        <v>0</v>
      </c>
      <c r="BF720" s="1">
        <v>0</v>
      </c>
      <c r="BG720" s="1">
        <v>0</v>
      </c>
      <c r="BH720" s="1">
        <v>0</v>
      </c>
      <c r="BI720" s="1">
        <v>0</v>
      </c>
      <c r="BJ720" s="1">
        <v>0</v>
      </c>
      <c r="BK720" s="1">
        <v>0</v>
      </c>
      <c r="BL720" s="1">
        <v>0</v>
      </c>
      <c r="BM720" s="1">
        <v>0</v>
      </c>
      <c r="BN720" s="1">
        <v>0</v>
      </c>
      <c r="BO720" s="1">
        <v>0</v>
      </c>
      <c r="BP720" s="1">
        <v>0</v>
      </c>
      <c r="BQ720" s="2" t="str">
        <f>HYPERLINK("http://www.d20pfsrd.com/magic/all-spells/c/create-treasure-map","Create Treasure Map")</f>
        <v>Create Treasure Map</v>
      </c>
      <c r="BR720" s="1">
        <v>740</v>
      </c>
      <c r="BS720" s="1">
        <v>100</v>
      </c>
      <c r="BX720" s="1">
        <v>0</v>
      </c>
      <c r="BY720" s="1" t="s">
        <v>104</v>
      </c>
      <c r="BZ720" s="1" t="s">
        <v>104</v>
      </c>
      <c r="CA720" s="1">
        <v>2</v>
      </c>
      <c r="CB720" s="1">
        <v>2</v>
      </c>
      <c r="CC720" s="1" t="s">
        <v>104</v>
      </c>
      <c r="CD720" s="1">
        <v>2</v>
      </c>
      <c r="CE720" s="1" t="s">
        <v>104</v>
      </c>
      <c r="CF720" s="1" t="s">
        <v>104</v>
      </c>
      <c r="CG720" s="1" t="s">
        <v>104</v>
      </c>
      <c r="CH720" s="1">
        <v>2</v>
      </c>
      <c r="CJ720" s="1">
        <v>0</v>
      </c>
      <c r="CK720" s="1">
        <v>0</v>
      </c>
      <c r="CL720" s="1">
        <v>0</v>
      </c>
      <c r="CM720" s="1" t="s">
        <v>104</v>
      </c>
    </row>
    <row r="721" spans="1:91" ht="14.25" customHeight="1" x14ac:dyDescent="0.3">
      <c r="A721" s="1" t="s">
        <v>4723</v>
      </c>
      <c r="B721" s="1" t="s">
        <v>137</v>
      </c>
      <c r="E721" s="1" t="s">
        <v>4724</v>
      </c>
      <c r="F721" s="1" t="s">
        <v>95</v>
      </c>
      <c r="G721" s="1" t="s">
        <v>4725</v>
      </c>
      <c r="H721" s="1">
        <v>0</v>
      </c>
      <c r="I721" s="1" t="s">
        <v>117</v>
      </c>
      <c r="L721" s="1" t="s">
        <v>1065</v>
      </c>
      <c r="M721" s="1" t="s">
        <v>4400</v>
      </c>
      <c r="N721" s="1">
        <v>1</v>
      </c>
      <c r="O721" s="1">
        <v>0</v>
      </c>
      <c r="P721" s="1" t="s">
        <v>183</v>
      </c>
      <c r="Q721" s="1" t="s">
        <v>184</v>
      </c>
      <c r="R721" s="1" t="s">
        <v>4726</v>
      </c>
      <c r="S721" s="1" t="s">
        <v>4403</v>
      </c>
      <c r="T721" s="1">
        <v>1</v>
      </c>
      <c r="U721" s="1">
        <v>1</v>
      </c>
      <c r="V721" s="1">
        <v>1</v>
      </c>
      <c r="W721" s="1">
        <v>0</v>
      </c>
      <c r="X721" s="1">
        <v>0</v>
      </c>
      <c r="Y721" s="1" t="s">
        <v>104</v>
      </c>
      <c r="Z721" s="1" t="s">
        <v>104</v>
      </c>
      <c r="AA721" s="1" t="s">
        <v>104</v>
      </c>
      <c r="AB721" s="1">
        <v>3</v>
      </c>
      <c r="AC721" s="1" t="s">
        <v>104</v>
      </c>
      <c r="AD721" s="1" t="s">
        <v>104</v>
      </c>
      <c r="AE721" s="1" t="s">
        <v>104</v>
      </c>
      <c r="AF721" s="1" t="s">
        <v>104</v>
      </c>
      <c r="AG721" s="1" t="s">
        <v>104</v>
      </c>
      <c r="AH721" s="1">
        <v>3</v>
      </c>
      <c r="AI721" s="1" t="s">
        <v>104</v>
      </c>
      <c r="AJ721" s="1" t="s">
        <v>104</v>
      </c>
      <c r="AK721" s="1" t="s">
        <v>104</v>
      </c>
      <c r="AL721" s="1" t="s">
        <v>104</v>
      </c>
      <c r="AM721" s="1" t="s">
        <v>104</v>
      </c>
      <c r="AO721" s="1">
        <v>3</v>
      </c>
      <c r="AQ721" s="1" t="s">
        <v>4727</v>
      </c>
      <c r="AR721" s="1">
        <v>0</v>
      </c>
      <c r="AS721" s="1">
        <v>0</v>
      </c>
      <c r="AT721" s="1">
        <v>0</v>
      </c>
      <c r="AU721" s="1">
        <v>0</v>
      </c>
      <c r="AV721" s="1">
        <v>0</v>
      </c>
      <c r="AW721" s="1">
        <v>0</v>
      </c>
      <c r="AX721" s="1">
        <v>0</v>
      </c>
      <c r="AY721" s="1">
        <v>0</v>
      </c>
      <c r="AZ721" s="1">
        <v>0</v>
      </c>
      <c r="BA721" s="1">
        <v>0</v>
      </c>
      <c r="BB721" s="1">
        <v>0</v>
      </c>
      <c r="BC721" s="1">
        <v>0</v>
      </c>
      <c r="BD721" s="1">
        <v>0</v>
      </c>
      <c r="BE721" s="1">
        <v>0</v>
      </c>
      <c r="BF721" s="1">
        <v>0</v>
      </c>
      <c r="BG721" s="1">
        <v>0</v>
      </c>
      <c r="BH721" s="1">
        <v>0</v>
      </c>
      <c r="BI721" s="1">
        <v>0</v>
      </c>
      <c r="BJ721" s="1">
        <v>0</v>
      </c>
      <c r="BK721" s="1">
        <v>0</v>
      </c>
      <c r="BL721" s="1">
        <v>0</v>
      </c>
      <c r="BM721" s="1">
        <v>0</v>
      </c>
      <c r="BN721" s="1">
        <v>0</v>
      </c>
      <c r="BO721" s="1">
        <v>0</v>
      </c>
      <c r="BP721" s="1">
        <v>0</v>
      </c>
      <c r="BQ721" s="2" t="str">
        <f>HYPERLINK("http://www.d20pfsrd.com/magic/all-spells/c/cup-of-dust","Cup of Dust")</f>
        <v>Cup of Dust</v>
      </c>
      <c r="BR721" s="1">
        <v>741</v>
      </c>
      <c r="BS721" s="1" t="s">
        <v>104</v>
      </c>
      <c r="BV721" s="1" t="s">
        <v>4728</v>
      </c>
      <c r="BX721" s="1">
        <v>1</v>
      </c>
      <c r="BY721" s="1" t="s">
        <v>104</v>
      </c>
      <c r="BZ721" s="1" t="s">
        <v>104</v>
      </c>
      <c r="CA721" s="1">
        <v>3</v>
      </c>
      <c r="CB721" s="1" t="s">
        <v>104</v>
      </c>
      <c r="CC721" s="1">
        <v>3</v>
      </c>
      <c r="CD721" s="1">
        <v>3</v>
      </c>
      <c r="CE721" s="1" t="s">
        <v>104</v>
      </c>
      <c r="CF721" s="1" t="s">
        <v>104</v>
      </c>
      <c r="CG721" s="1" t="s">
        <v>104</v>
      </c>
      <c r="CH721" s="1">
        <v>3</v>
      </c>
      <c r="CJ721" s="1">
        <v>0</v>
      </c>
      <c r="CK721" s="1">
        <v>0</v>
      </c>
      <c r="CL721" s="1">
        <v>0</v>
      </c>
      <c r="CM721" s="1" t="s">
        <v>104</v>
      </c>
    </row>
    <row r="722" spans="1:91" ht="14.25" customHeight="1" x14ac:dyDescent="0.3">
      <c r="A722" s="1" t="s">
        <v>4729</v>
      </c>
      <c r="B722" s="1" t="s">
        <v>137</v>
      </c>
      <c r="D722" s="1" t="s">
        <v>4617</v>
      </c>
      <c r="E722" s="1" t="s">
        <v>4730</v>
      </c>
      <c r="F722" s="1" t="s">
        <v>95</v>
      </c>
      <c r="G722" s="1" t="s">
        <v>4731</v>
      </c>
      <c r="H722" s="1">
        <v>0</v>
      </c>
      <c r="I722" s="1" t="s">
        <v>128</v>
      </c>
      <c r="K722" s="1" t="s">
        <v>4732</v>
      </c>
      <c r="M722" s="1" t="s">
        <v>620</v>
      </c>
      <c r="N722" s="1">
        <v>1</v>
      </c>
      <c r="O722" s="1">
        <v>0</v>
      </c>
      <c r="P722" s="1" t="s">
        <v>100</v>
      </c>
      <c r="Q722" s="1" t="s">
        <v>101</v>
      </c>
      <c r="R722" s="1" t="s">
        <v>4733</v>
      </c>
      <c r="S722" s="1" t="s">
        <v>4403</v>
      </c>
      <c r="T722" s="1">
        <v>1</v>
      </c>
      <c r="U722" s="1">
        <v>1</v>
      </c>
      <c r="V722" s="1">
        <v>0</v>
      </c>
      <c r="W722" s="1">
        <v>0</v>
      </c>
      <c r="X722" s="1">
        <v>0</v>
      </c>
      <c r="Y722" s="1">
        <v>1</v>
      </c>
      <c r="Z722" s="1">
        <v>1</v>
      </c>
      <c r="AA722" s="1">
        <v>1</v>
      </c>
      <c r="AB722" s="1" t="s">
        <v>104</v>
      </c>
      <c r="AC722" s="1">
        <v>1</v>
      </c>
      <c r="AD722" s="1">
        <v>1</v>
      </c>
      <c r="AE722" s="1" t="s">
        <v>104</v>
      </c>
      <c r="AF722" s="1" t="s">
        <v>104</v>
      </c>
      <c r="AG722" s="1" t="s">
        <v>104</v>
      </c>
      <c r="AH722" s="1">
        <v>1</v>
      </c>
      <c r="AI722" s="1" t="s">
        <v>104</v>
      </c>
      <c r="AJ722" s="1">
        <v>1</v>
      </c>
      <c r="AK722" s="1" t="s">
        <v>104</v>
      </c>
      <c r="AL722" s="1" t="s">
        <v>104</v>
      </c>
      <c r="AM722" s="1" t="s">
        <v>104</v>
      </c>
      <c r="AO722" s="1">
        <v>1</v>
      </c>
      <c r="AQ722" s="1" t="s">
        <v>4734</v>
      </c>
      <c r="AR722" s="1">
        <v>0</v>
      </c>
      <c r="AS722" s="1">
        <v>0</v>
      </c>
      <c r="AT722" s="1">
        <v>0</v>
      </c>
      <c r="AU722" s="1">
        <v>0</v>
      </c>
      <c r="AV722" s="1">
        <v>0</v>
      </c>
      <c r="AW722" s="1">
        <v>0</v>
      </c>
      <c r="AX722" s="1">
        <v>0</v>
      </c>
      <c r="AY722" s="1">
        <v>0</v>
      </c>
      <c r="AZ722" s="1">
        <v>0</v>
      </c>
      <c r="BA722" s="1">
        <v>0</v>
      </c>
      <c r="BB722" s="1">
        <v>0</v>
      </c>
      <c r="BC722" s="1">
        <v>0</v>
      </c>
      <c r="BD722" s="1">
        <v>0</v>
      </c>
      <c r="BE722" s="1">
        <v>1</v>
      </c>
      <c r="BF722" s="1">
        <v>0</v>
      </c>
      <c r="BG722" s="1">
        <v>0</v>
      </c>
      <c r="BH722" s="1">
        <v>0</v>
      </c>
      <c r="BI722" s="1">
        <v>0</v>
      </c>
      <c r="BJ722" s="1">
        <v>1</v>
      </c>
      <c r="BK722" s="1">
        <v>0</v>
      </c>
      <c r="BL722" s="1">
        <v>0</v>
      </c>
      <c r="BM722" s="1">
        <v>0</v>
      </c>
      <c r="BN722" s="1">
        <v>0</v>
      </c>
      <c r="BO722" s="1">
        <v>0</v>
      </c>
      <c r="BP722" s="1">
        <v>0</v>
      </c>
      <c r="BQ722" s="1" t="s">
        <v>104</v>
      </c>
      <c r="BR722" s="1">
        <v>742</v>
      </c>
      <c r="BS722" s="1" t="s">
        <v>104</v>
      </c>
      <c r="BU722" s="1" t="s">
        <v>4735</v>
      </c>
      <c r="BX722" s="1">
        <v>0</v>
      </c>
      <c r="BY722" s="1" t="s">
        <v>104</v>
      </c>
      <c r="BZ722" s="1">
        <v>1</v>
      </c>
      <c r="CA722" s="1" t="s">
        <v>104</v>
      </c>
      <c r="CB722" s="1" t="s">
        <v>104</v>
      </c>
      <c r="CC722" s="1" t="s">
        <v>104</v>
      </c>
      <c r="CD722" s="1" t="s">
        <v>104</v>
      </c>
      <c r="CE722" s="1" t="s">
        <v>104</v>
      </c>
      <c r="CF722" s="1" t="s">
        <v>104</v>
      </c>
      <c r="CG722" s="1" t="s">
        <v>104</v>
      </c>
      <c r="CH722" s="1">
        <v>1</v>
      </c>
      <c r="CJ722" s="1">
        <v>0</v>
      </c>
      <c r="CK722" s="1">
        <v>0</v>
      </c>
      <c r="CL722" s="1">
        <v>0</v>
      </c>
      <c r="CM722" s="1" t="s">
        <v>104</v>
      </c>
    </row>
    <row r="723" spans="1:91" ht="14.25" customHeight="1" x14ac:dyDescent="0.3">
      <c r="A723" s="1" t="s">
        <v>4736</v>
      </c>
      <c r="B723" s="1" t="s">
        <v>434</v>
      </c>
      <c r="D723" s="1" t="s">
        <v>66</v>
      </c>
      <c r="E723" s="1" t="s">
        <v>3789</v>
      </c>
      <c r="F723" s="1" t="s">
        <v>95</v>
      </c>
      <c r="G723" s="1" t="s">
        <v>116</v>
      </c>
      <c r="H723" s="1">
        <v>0</v>
      </c>
      <c r="I723" s="1" t="s">
        <v>117</v>
      </c>
      <c r="L723" s="1" t="s">
        <v>4737</v>
      </c>
      <c r="M723" s="1" t="s">
        <v>119</v>
      </c>
      <c r="N723" s="1">
        <v>0</v>
      </c>
      <c r="O723" s="1">
        <v>0</v>
      </c>
      <c r="P723" s="1" t="s">
        <v>1080</v>
      </c>
      <c r="Q723" s="1" t="s">
        <v>184</v>
      </c>
      <c r="R723" s="1" t="s">
        <v>4738</v>
      </c>
      <c r="S723" s="1" t="s">
        <v>4403</v>
      </c>
      <c r="T723" s="1">
        <v>1</v>
      </c>
      <c r="U723" s="1">
        <v>1</v>
      </c>
      <c r="V723" s="1">
        <v>0</v>
      </c>
      <c r="W723" s="1">
        <v>0</v>
      </c>
      <c r="X723" s="1">
        <v>0</v>
      </c>
      <c r="Y723" s="1" t="s">
        <v>104</v>
      </c>
      <c r="Z723" s="1" t="s">
        <v>104</v>
      </c>
      <c r="AA723" s="1" t="s">
        <v>104</v>
      </c>
      <c r="AB723" s="1" t="s">
        <v>104</v>
      </c>
      <c r="AC723" s="1" t="s">
        <v>104</v>
      </c>
      <c r="AD723" s="1">
        <v>6</v>
      </c>
      <c r="AE723" s="1" t="s">
        <v>104</v>
      </c>
      <c r="AF723" s="1" t="s">
        <v>104</v>
      </c>
      <c r="AG723" s="1" t="s">
        <v>104</v>
      </c>
      <c r="AH723" s="1" t="s">
        <v>104</v>
      </c>
      <c r="AI723" s="1" t="s">
        <v>104</v>
      </c>
      <c r="AJ723" s="1" t="s">
        <v>104</v>
      </c>
      <c r="AK723" s="1" t="s">
        <v>104</v>
      </c>
      <c r="AL723" s="1" t="s">
        <v>104</v>
      </c>
      <c r="AM723" s="1" t="s">
        <v>104</v>
      </c>
      <c r="AO723" s="1">
        <v>6</v>
      </c>
      <c r="AQ723" s="1" t="s">
        <v>4739</v>
      </c>
      <c r="AR723" s="1">
        <v>0</v>
      </c>
      <c r="AS723" s="1">
        <v>0</v>
      </c>
      <c r="AT723" s="1">
        <v>0</v>
      </c>
      <c r="AU723" s="1">
        <v>0</v>
      </c>
      <c r="AV723" s="1">
        <v>0</v>
      </c>
      <c r="AW723" s="1">
        <v>0</v>
      </c>
      <c r="AX723" s="1">
        <v>0</v>
      </c>
      <c r="AY723" s="1">
        <v>0</v>
      </c>
      <c r="AZ723" s="1">
        <v>0</v>
      </c>
      <c r="BA723" s="1">
        <v>0</v>
      </c>
      <c r="BB723" s="1">
        <v>0</v>
      </c>
      <c r="BC723" s="1">
        <v>0</v>
      </c>
      <c r="BD723" s="1">
        <v>0</v>
      </c>
      <c r="BE723" s="1">
        <v>0</v>
      </c>
      <c r="BF723" s="1">
        <v>0</v>
      </c>
      <c r="BG723" s="1">
        <v>0</v>
      </c>
      <c r="BH723" s="1">
        <v>0</v>
      </c>
      <c r="BI723" s="1">
        <v>0</v>
      </c>
      <c r="BJ723" s="1">
        <v>0</v>
      </c>
      <c r="BK723" s="1">
        <v>0</v>
      </c>
      <c r="BL723" s="1">
        <v>0</v>
      </c>
      <c r="BM723" s="1">
        <v>0</v>
      </c>
      <c r="BN723" s="1">
        <v>0</v>
      </c>
      <c r="BO723" s="1">
        <v>1</v>
      </c>
      <c r="BP723" s="1">
        <v>0</v>
      </c>
      <c r="BQ723" s="2" t="str">
        <f>HYPERLINK("http://www.d20pfsrd.com/magic/all-spells/d/deadly-finale","Deadly Finale")</f>
        <v>Deadly Finale</v>
      </c>
      <c r="BR723" s="1">
        <v>743</v>
      </c>
      <c r="BS723" s="1" t="s">
        <v>104</v>
      </c>
      <c r="BX723" s="1">
        <v>0</v>
      </c>
      <c r="BY723" s="1" t="s">
        <v>104</v>
      </c>
      <c r="BZ723" s="1" t="s">
        <v>104</v>
      </c>
      <c r="CA723" s="1" t="s">
        <v>104</v>
      </c>
      <c r="CB723" s="1" t="s">
        <v>104</v>
      </c>
      <c r="CC723" s="1" t="s">
        <v>104</v>
      </c>
      <c r="CD723" s="1" t="s">
        <v>104</v>
      </c>
      <c r="CE723" s="1" t="s">
        <v>104</v>
      </c>
      <c r="CF723" s="1" t="s">
        <v>104</v>
      </c>
      <c r="CG723" s="1" t="s">
        <v>104</v>
      </c>
      <c r="CH723" s="1" t="s">
        <v>104</v>
      </c>
      <c r="CJ723" s="1">
        <v>0</v>
      </c>
      <c r="CK723" s="1">
        <v>0</v>
      </c>
      <c r="CL723" s="1">
        <v>0</v>
      </c>
      <c r="CM723" s="1" t="s">
        <v>104</v>
      </c>
    </row>
    <row r="724" spans="1:91" ht="14.25" customHeight="1" x14ac:dyDescent="0.3">
      <c r="A724" s="1" t="s">
        <v>4740</v>
      </c>
      <c r="B724" s="1" t="s">
        <v>434</v>
      </c>
      <c r="D724" s="1" t="s">
        <v>66</v>
      </c>
      <c r="E724" s="1" t="s">
        <v>4490</v>
      </c>
      <c r="F724" s="1" t="s">
        <v>95</v>
      </c>
      <c r="G724" s="1" t="s">
        <v>116</v>
      </c>
      <c r="H724" s="1">
        <v>0</v>
      </c>
      <c r="I724" s="1" t="s">
        <v>117</v>
      </c>
      <c r="L724" s="1" t="s">
        <v>4741</v>
      </c>
      <c r="M724" s="1" t="s">
        <v>119</v>
      </c>
      <c r="N724" s="1">
        <v>0</v>
      </c>
      <c r="O724" s="1">
        <v>0</v>
      </c>
      <c r="P724" s="1" t="s">
        <v>100</v>
      </c>
      <c r="Q724" s="1" t="s">
        <v>101</v>
      </c>
      <c r="R724" s="1" t="s">
        <v>4742</v>
      </c>
      <c r="S724" s="1" t="s">
        <v>4403</v>
      </c>
      <c r="T724" s="1">
        <v>1</v>
      </c>
      <c r="U724" s="1">
        <v>1</v>
      </c>
      <c r="V724" s="1">
        <v>0</v>
      </c>
      <c r="W724" s="1">
        <v>0</v>
      </c>
      <c r="X724" s="1">
        <v>0</v>
      </c>
      <c r="Y724" s="1" t="s">
        <v>104</v>
      </c>
      <c r="Z724" s="1" t="s">
        <v>104</v>
      </c>
      <c r="AA724" s="1" t="s">
        <v>104</v>
      </c>
      <c r="AB724" s="1" t="s">
        <v>104</v>
      </c>
      <c r="AC724" s="1" t="s">
        <v>104</v>
      </c>
      <c r="AD724" s="1">
        <v>5</v>
      </c>
      <c r="AE724" s="1" t="s">
        <v>104</v>
      </c>
      <c r="AF724" s="1" t="s">
        <v>104</v>
      </c>
      <c r="AG724" s="1" t="s">
        <v>104</v>
      </c>
      <c r="AH724" s="1" t="s">
        <v>104</v>
      </c>
      <c r="AI724" s="1" t="s">
        <v>104</v>
      </c>
      <c r="AJ724" s="1" t="s">
        <v>104</v>
      </c>
      <c r="AK724" s="1" t="s">
        <v>104</v>
      </c>
      <c r="AL724" s="1" t="s">
        <v>104</v>
      </c>
      <c r="AM724" s="1" t="s">
        <v>104</v>
      </c>
      <c r="AO724" s="1">
        <v>5</v>
      </c>
      <c r="AQ724" s="1" t="s">
        <v>4743</v>
      </c>
      <c r="AR724" s="1">
        <v>0</v>
      </c>
      <c r="AS724" s="1">
        <v>0</v>
      </c>
      <c r="AT724" s="1">
        <v>0</v>
      </c>
      <c r="AU724" s="1">
        <v>0</v>
      </c>
      <c r="AV724" s="1">
        <v>0</v>
      </c>
      <c r="AW724" s="1">
        <v>0</v>
      </c>
      <c r="AX724" s="1">
        <v>0</v>
      </c>
      <c r="AY724" s="1">
        <v>0</v>
      </c>
      <c r="AZ724" s="1">
        <v>0</v>
      </c>
      <c r="BA724" s="1">
        <v>0</v>
      </c>
      <c r="BB724" s="1">
        <v>0</v>
      </c>
      <c r="BC724" s="1">
        <v>0</v>
      </c>
      <c r="BD724" s="1">
        <v>0</v>
      </c>
      <c r="BE724" s="1">
        <v>0</v>
      </c>
      <c r="BF724" s="1">
        <v>0</v>
      </c>
      <c r="BG724" s="1">
        <v>0</v>
      </c>
      <c r="BH724" s="1">
        <v>0</v>
      </c>
      <c r="BI724" s="1">
        <v>0</v>
      </c>
      <c r="BJ724" s="1">
        <v>0</v>
      </c>
      <c r="BK724" s="1">
        <v>0</v>
      </c>
      <c r="BL724" s="1">
        <v>0</v>
      </c>
      <c r="BM724" s="1">
        <v>0</v>
      </c>
      <c r="BN724" s="1">
        <v>0</v>
      </c>
      <c r="BO724" s="1">
        <v>1</v>
      </c>
      <c r="BP724" s="1">
        <v>0</v>
      </c>
      <c r="BQ724" s="2" t="str">
        <f>HYPERLINK("http://www.d20pfsrd.com/magic/all-spells/d/deafening-song-bolt","Deafening Song Bolt")</f>
        <v>Deafening Song Bolt</v>
      </c>
      <c r="BR724" s="1">
        <v>744</v>
      </c>
      <c r="BS724" s="1" t="s">
        <v>104</v>
      </c>
      <c r="BX724" s="1">
        <v>0</v>
      </c>
      <c r="BY724" s="1" t="s">
        <v>104</v>
      </c>
      <c r="BZ724" s="1" t="s">
        <v>104</v>
      </c>
      <c r="CA724" s="1" t="s">
        <v>104</v>
      </c>
      <c r="CB724" s="1" t="s">
        <v>104</v>
      </c>
      <c r="CC724" s="1" t="s">
        <v>104</v>
      </c>
      <c r="CD724" s="1" t="s">
        <v>104</v>
      </c>
      <c r="CE724" s="1" t="s">
        <v>104</v>
      </c>
      <c r="CF724" s="1" t="s">
        <v>104</v>
      </c>
      <c r="CG724" s="1" t="s">
        <v>104</v>
      </c>
      <c r="CH724" s="1" t="s">
        <v>104</v>
      </c>
      <c r="CJ724" s="1">
        <v>0</v>
      </c>
      <c r="CK724" s="1">
        <v>0</v>
      </c>
      <c r="CL724" s="1">
        <v>0</v>
      </c>
      <c r="CM724" s="1" t="s">
        <v>104</v>
      </c>
    </row>
    <row r="725" spans="1:91" ht="14.25" customHeight="1" x14ac:dyDescent="0.3">
      <c r="A725" s="1" t="s">
        <v>4744</v>
      </c>
      <c r="B725" s="1" t="s">
        <v>162</v>
      </c>
      <c r="D725" s="1" t="s">
        <v>54</v>
      </c>
      <c r="E725" s="1" t="s">
        <v>4745</v>
      </c>
      <c r="F725" s="1" t="s">
        <v>95</v>
      </c>
      <c r="G725" s="1" t="s">
        <v>116</v>
      </c>
      <c r="H725" s="1">
        <v>0</v>
      </c>
      <c r="I725" s="1" t="s">
        <v>128</v>
      </c>
      <c r="L725" s="1" t="s">
        <v>4746</v>
      </c>
      <c r="M725" s="1" t="s">
        <v>2330</v>
      </c>
      <c r="N725" s="1">
        <v>0</v>
      </c>
      <c r="O725" s="1">
        <v>0</v>
      </c>
      <c r="P725" s="1" t="s">
        <v>148</v>
      </c>
      <c r="Q725" s="1" t="s">
        <v>149</v>
      </c>
      <c r="R725" s="1" t="s">
        <v>4747</v>
      </c>
      <c r="S725" s="1" t="s">
        <v>4403</v>
      </c>
      <c r="T725" s="1">
        <v>1</v>
      </c>
      <c r="U725" s="1">
        <v>1</v>
      </c>
      <c r="V725" s="1">
        <v>0</v>
      </c>
      <c r="W725" s="1">
        <v>0</v>
      </c>
      <c r="X725" s="1">
        <v>0</v>
      </c>
      <c r="Y725" s="1" t="s">
        <v>104</v>
      </c>
      <c r="Z725" s="1" t="s">
        <v>104</v>
      </c>
      <c r="AA725" s="1" t="s">
        <v>104</v>
      </c>
      <c r="AB725" s="1" t="s">
        <v>104</v>
      </c>
      <c r="AC725" s="1" t="s">
        <v>104</v>
      </c>
      <c r="AD725" s="1" t="s">
        <v>104</v>
      </c>
      <c r="AE725" s="1" t="s">
        <v>104</v>
      </c>
      <c r="AF725" s="1" t="s">
        <v>104</v>
      </c>
      <c r="AG725" s="1" t="s">
        <v>104</v>
      </c>
      <c r="AH725" s="1" t="s">
        <v>104</v>
      </c>
      <c r="AI725" s="1">
        <v>4</v>
      </c>
      <c r="AJ725" s="1" t="s">
        <v>104</v>
      </c>
      <c r="AK725" s="1">
        <v>3</v>
      </c>
      <c r="AL725" s="1" t="s">
        <v>104</v>
      </c>
      <c r="AM725" s="1" t="s">
        <v>104</v>
      </c>
      <c r="AO725" s="1" t="s">
        <v>104</v>
      </c>
      <c r="AQ725" s="1" t="s">
        <v>4748</v>
      </c>
      <c r="AR725" s="1">
        <v>0</v>
      </c>
      <c r="AS725" s="1">
        <v>0</v>
      </c>
      <c r="AT725" s="1">
        <v>0</v>
      </c>
      <c r="AU725" s="1">
        <v>0</v>
      </c>
      <c r="AV725" s="1">
        <v>0</v>
      </c>
      <c r="AW725" s="1">
        <v>0</v>
      </c>
      <c r="AX725" s="1">
        <v>0</v>
      </c>
      <c r="AY725" s="1">
        <v>0</v>
      </c>
      <c r="AZ725" s="1">
        <v>0</v>
      </c>
      <c r="BA725" s="1">
        <v>0</v>
      </c>
      <c r="BB725" s="1">
        <v>0</v>
      </c>
      <c r="BC725" s="1">
        <v>1</v>
      </c>
      <c r="BD725" s="1">
        <v>0</v>
      </c>
      <c r="BE725" s="1">
        <v>0</v>
      </c>
      <c r="BF725" s="1">
        <v>0</v>
      </c>
      <c r="BG725" s="1">
        <v>0</v>
      </c>
      <c r="BH725" s="1">
        <v>0</v>
      </c>
      <c r="BI725" s="1">
        <v>0</v>
      </c>
      <c r="BJ725" s="1">
        <v>0</v>
      </c>
      <c r="BK725" s="1">
        <v>0</v>
      </c>
      <c r="BL725" s="1">
        <v>0</v>
      </c>
      <c r="BM725" s="1">
        <v>0</v>
      </c>
      <c r="BN725" s="1">
        <v>0</v>
      </c>
      <c r="BO725" s="1">
        <v>0</v>
      </c>
      <c r="BP725" s="1">
        <v>0</v>
      </c>
      <c r="BQ725" s="2" t="str">
        <f>HYPERLINK("http://www.d20pfsrd.com/magic/all-spells/d/defile-armor","Defile Armor")</f>
        <v>Defile Armor</v>
      </c>
      <c r="BR725" s="1">
        <v>745</v>
      </c>
      <c r="BS725" s="1" t="s">
        <v>104</v>
      </c>
      <c r="BV725" s="1" t="s">
        <v>4749</v>
      </c>
      <c r="BW725" s="1" t="s">
        <v>4750</v>
      </c>
      <c r="BX725" s="1">
        <v>1</v>
      </c>
      <c r="BY725" s="1" t="s">
        <v>104</v>
      </c>
      <c r="BZ725" s="1" t="s">
        <v>104</v>
      </c>
      <c r="CA725" s="1" t="s">
        <v>104</v>
      </c>
      <c r="CB725" s="1" t="s">
        <v>104</v>
      </c>
      <c r="CC725" s="1" t="s">
        <v>104</v>
      </c>
      <c r="CD725" s="1" t="s">
        <v>104</v>
      </c>
      <c r="CE725" s="1" t="s">
        <v>104</v>
      </c>
      <c r="CF725" s="1" t="s">
        <v>104</v>
      </c>
      <c r="CG725" s="1" t="s">
        <v>104</v>
      </c>
      <c r="CH725" s="1" t="s">
        <v>104</v>
      </c>
      <c r="CJ725" s="1">
        <v>0</v>
      </c>
      <c r="CK725" s="1">
        <v>0</v>
      </c>
      <c r="CL725" s="1">
        <v>0</v>
      </c>
      <c r="CM725" s="1" t="s">
        <v>104</v>
      </c>
    </row>
    <row r="726" spans="1:91" ht="14.25" customHeight="1" x14ac:dyDescent="0.3">
      <c r="A726" s="1" t="s">
        <v>4751</v>
      </c>
      <c r="B726" s="1" t="s">
        <v>162</v>
      </c>
      <c r="D726" s="1" t="s">
        <v>57</v>
      </c>
      <c r="E726" s="1" t="s">
        <v>1655</v>
      </c>
      <c r="F726" s="1" t="s">
        <v>95</v>
      </c>
      <c r="G726" s="1" t="s">
        <v>4752</v>
      </c>
      <c r="H726" s="1">
        <v>0</v>
      </c>
      <c r="I726" s="1" t="s">
        <v>157</v>
      </c>
      <c r="L726" s="1" t="s">
        <v>158</v>
      </c>
      <c r="M726" s="1" t="s">
        <v>111</v>
      </c>
      <c r="N726" s="1">
        <v>0</v>
      </c>
      <c r="O726" s="1">
        <v>0</v>
      </c>
      <c r="R726" s="1" t="s">
        <v>4753</v>
      </c>
      <c r="S726" s="1" t="s">
        <v>4403</v>
      </c>
      <c r="T726" s="1">
        <v>1</v>
      </c>
      <c r="U726" s="1">
        <v>1</v>
      </c>
      <c r="V726" s="1">
        <v>1</v>
      </c>
      <c r="W726" s="1">
        <v>0</v>
      </c>
      <c r="X726" s="1">
        <v>0</v>
      </c>
      <c r="Y726" s="1">
        <v>7</v>
      </c>
      <c r="Z726" s="1">
        <v>7</v>
      </c>
      <c r="AA726" s="1" t="s">
        <v>104</v>
      </c>
      <c r="AB726" s="1" t="s">
        <v>104</v>
      </c>
      <c r="AC726" s="1" t="s">
        <v>104</v>
      </c>
      <c r="AD726" s="1" t="s">
        <v>104</v>
      </c>
      <c r="AE726" s="1" t="s">
        <v>104</v>
      </c>
      <c r="AF726" s="1" t="s">
        <v>104</v>
      </c>
      <c r="AG726" s="1" t="s">
        <v>104</v>
      </c>
      <c r="AH726" s="1" t="s">
        <v>104</v>
      </c>
      <c r="AI726" s="1" t="s">
        <v>104</v>
      </c>
      <c r="AJ726" s="1" t="s">
        <v>104</v>
      </c>
      <c r="AK726" s="1" t="s">
        <v>104</v>
      </c>
      <c r="AL726" s="1" t="s">
        <v>104</v>
      </c>
      <c r="AM726" s="1" t="s">
        <v>104</v>
      </c>
      <c r="AO726" s="1">
        <v>7</v>
      </c>
      <c r="AP726" s="1" t="s">
        <v>4754</v>
      </c>
      <c r="AQ726" s="1" t="s">
        <v>4755</v>
      </c>
      <c r="AR726" s="1">
        <v>0</v>
      </c>
      <c r="AS726" s="1">
        <v>0</v>
      </c>
      <c r="AT726" s="1">
        <v>0</v>
      </c>
      <c r="AU726" s="1">
        <v>0</v>
      </c>
      <c r="AV726" s="1">
        <v>0</v>
      </c>
      <c r="AW726" s="1">
        <v>0</v>
      </c>
      <c r="AX726" s="1">
        <v>0</v>
      </c>
      <c r="AY726" s="1">
        <v>0</v>
      </c>
      <c r="AZ726" s="1">
        <v>0</v>
      </c>
      <c r="BA726" s="1">
        <v>0</v>
      </c>
      <c r="BB726" s="1">
        <v>0</v>
      </c>
      <c r="BC726" s="1">
        <v>0</v>
      </c>
      <c r="BD726" s="1">
        <v>0</v>
      </c>
      <c r="BE726" s="1">
        <v>0</v>
      </c>
      <c r="BF726" s="1">
        <v>1</v>
      </c>
      <c r="BG726" s="1">
        <v>0</v>
      </c>
      <c r="BH726" s="1">
        <v>0</v>
      </c>
      <c r="BI726" s="1">
        <v>0</v>
      </c>
      <c r="BJ726" s="1">
        <v>0</v>
      </c>
      <c r="BK726" s="1">
        <v>0</v>
      </c>
      <c r="BL726" s="1">
        <v>0</v>
      </c>
      <c r="BM726" s="1">
        <v>0</v>
      </c>
      <c r="BN726" s="1">
        <v>0</v>
      </c>
      <c r="BO726" s="1">
        <v>0</v>
      </c>
      <c r="BP726" s="1">
        <v>0</v>
      </c>
      <c r="BQ726" s="2" t="str">
        <f>HYPERLINK("http://www.d20pfsrd.com/magic/all-spells/d/deflection","Deflection")</f>
        <v>Deflection</v>
      </c>
      <c r="BR726" s="1">
        <v>746</v>
      </c>
      <c r="BS726" s="1" t="s">
        <v>104</v>
      </c>
      <c r="BX726" s="1">
        <v>0</v>
      </c>
      <c r="BY726" s="1" t="s">
        <v>104</v>
      </c>
      <c r="BZ726" s="1" t="s">
        <v>104</v>
      </c>
      <c r="CA726" s="1">
        <v>7</v>
      </c>
      <c r="CB726" s="1" t="s">
        <v>104</v>
      </c>
      <c r="CC726" s="1" t="s">
        <v>104</v>
      </c>
      <c r="CD726" s="1" t="s">
        <v>104</v>
      </c>
      <c r="CE726" s="1" t="s">
        <v>104</v>
      </c>
      <c r="CF726" s="1" t="s">
        <v>104</v>
      </c>
      <c r="CG726" s="1" t="s">
        <v>104</v>
      </c>
      <c r="CH726" s="1" t="s">
        <v>104</v>
      </c>
      <c r="CJ726" s="1">
        <v>0</v>
      </c>
      <c r="CK726" s="1">
        <v>0</v>
      </c>
      <c r="CL726" s="1">
        <v>0</v>
      </c>
      <c r="CM726" s="1" t="s">
        <v>104</v>
      </c>
    </row>
    <row r="727" spans="1:91" ht="14.25" customHeight="1" x14ac:dyDescent="0.3">
      <c r="A727" s="1" t="s">
        <v>4756</v>
      </c>
      <c r="B727" s="1" t="s">
        <v>137</v>
      </c>
      <c r="E727" s="1" t="s">
        <v>4757</v>
      </c>
      <c r="F727" s="1" t="s">
        <v>95</v>
      </c>
      <c r="G727" s="1" t="s">
        <v>1802</v>
      </c>
      <c r="H727" s="1">
        <v>0</v>
      </c>
      <c r="I727" s="1" t="s">
        <v>157</v>
      </c>
      <c r="L727" s="1" t="s">
        <v>158</v>
      </c>
      <c r="M727" s="1" t="s">
        <v>823</v>
      </c>
      <c r="N727" s="1">
        <v>1</v>
      </c>
      <c r="O727" s="1">
        <v>0</v>
      </c>
      <c r="R727" s="1" t="s">
        <v>4758</v>
      </c>
      <c r="S727" s="1" t="s">
        <v>4403</v>
      </c>
      <c r="T727" s="1">
        <v>0</v>
      </c>
      <c r="U727" s="1">
        <v>1</v>
      </c>
      <c r="V727" s="1">
        <v>0</v>
      </c>
      <c r="W727" s="1">
        <v>0</v>
      </c>
      <c r="X727" s="1">
        <v>0</v>
      </c>
      <c r="Y727" s="1" t="s">
        <v>104</v>
      </c>
      <c r="Z727" s="1" t="s">
        <v>104</v>
      </c>
      <c r="AA727" s="1" t="s">
        <v>104</v>
      </c>
      <c r="AB727" s="1" t="s">
        <v>104</v>
      </c>
      <c r="AC727" s="1" t="s">
        <v>104</v>
      </c>
      <c r="AD727" s="1" t="s">
        <v>104</v>
      </c>
      <c r="AE727" s="1" t="s">
        <v>104</v>
      </c>
      <c r="AF727" s="1">
        <v>5</v>
      </c>
      <c r="AG727" s="1" t="s">
        <v>104</v>
      </c>
      <c r="AH727" s="1" t="s">
        <v>104</v>
      </c>
      <c r="AI727" s="1" t="s">
        <v>104</v>
      </c>
      <c r="AJ727" s="1" t="s">
        <v>104</v>
      </c>
      <c r="AK727" s="1" t="s">
        <v>104</v>
      </c>
      <c r="AL727" s="1" t="s">
        <v>104</v>
      </c>
      <c r="AM727" s="1" t="s">
        <v>104</v>
      </c>
      <c r="AO727" s="1">
        <v>5</v>
      </c>
      <c r="AQ727" s="1" t="s">
        <v>4759</v>
      </c>
      <c r="AR727" s="1">
        <v>0</v>
      </c>
      <c r="AS727" s="1">
        <v>0</v>
      </c>
      <c r="AT727" s="1">
        <v>0</v>
      </c>
      <c r="AU727" s="1">
        <v>0</v>
      </c>
      <c r="AV727" s="1">
        <v>0</v>
      </c>
      <c r="AW727" s="1">
        <v>0</v>
      </c>
      <c r="AX727" s="1">
        <v>0</v>
      </c>
      <c r="AY727" s="1">
        <v>0</v>
      </c>
      <c r="AZ727" s="1">
        <v>0</v>
      </c>
      <c r="BA727" s="1">
        <v>0</v>
      </c>
      <c r="BB727" s="1">
        <v>0</v>
      </c>
      <c r="BC727" s="1">
        <v>0</v>
      </c>
      <c r="BD727" s="1">
        <v>0</v>
      </c>
      <c r="BE727" s="1">
        <v>0</v>
      </c>
      <c r="BF727" s="1">
        <v>0</v>
      </c>
      <c r="BG727" s="1">
        <v>0</v>
      </c>
      <c r="BH727" s="1">
        <v>0</v>
      </c>
      <c r="BI727" s="1">
        <v>0</v>
      </c>
      <c r="BJ727" s="1">
        <v>0</v>
      </c>
      <c r="BK727" s="1">
        <v>0</v>
      </c>
      <c r="BL727" s="1">
        <v>0</v>
      </c>
      <c r="BM727" s="1">
        <v>0</v>
      </c>
      <c r="BN727" s="1">
        <v>0</v>
      </c>
      <c r="BO727" s="1">
        <v>0</v>
      </c>
      <c r="BP727" s="1">
        <v>0</v>
      </c>
      <c r="BQ727" s="2" t="str">
        <f>HYPERLINK("http://www.d20pfsrd.com/magic/all-spells/d/delayed-consumption","Delayed Consumption")</f>
        <v>Delayed Consumption</v>
      </c>
      <c r="BR727" s="1">
        <v>747</v>
      </c>
      <c r="BS727" s="1" t="s">
        <v>104</v>
      </c>
      <c r="BX727" s="1">
        <v>0</v>
      </c>
      <c r="BY727" s="1" t="s">
        <v>104</v>
      </c>
      <c r="BZ727" s="1" t="s">
        <v>104</v>
      </c>
      <c r="CA727" s="1" t="s">
        <v>104</v>
      </c>
      <c r="CB727" s="1" t="s">
        <v>104</v>
      </c>
      <c r="CC727" s="1" t="s">
        <v>104</v>
      </c>
      <c r="CD727" s="1" t="s">
        <v>104</v>
      </c>
      <c r="CE727" s="1" t="s">
        <v>104</v>
      </c>
      <c r="CF727" s="1" t="s">
        <v>104</v>
      </c>
      <c r="CG727" s="1" t="s">
        <v>104</v>
      </c>
      <c r="CH727" s="1" t="s">
        <v>104</v>
      </c>
      <c r="CJ727" s="1">
        <v>0</v>
      </c>
      <c r="CK727" s="1">
        <v>0</v>
      </c>
      <c r="CL727" s="1">
        <v>0</v>
      </c>
      <c r="CM727" s="1" t="s">
        <v>104</v>
      </c>
    </row>
    <row r="728" spans="1:91" ht="14.25" customHeight="1" x14ac:dyDescent="0.3">
      <c r="A728" s="1" t="s">
        <v>4760</v>
      </c>
      <c r="B728" s="1" t="s">
        <v>123</v>
      </c>
      <c r="C728" s="1" t="s">
        <v>124</v>
      </c>
      <c r="D728" s="1" t="s">
        <v>728</v>
      </c>
      <c r="E728" s="1" t="s">
        <v>4761</v>
      </c>
      <c r="F728" s="1" t="s">
        <v>95</v>
      </c>
      <c r="G728" s="1" t="s">
        <v>237</v>
      </c>
      <c r="H728" s="1">
        <v>0</v>
      </c>
      <c r="I728" s="1" t="s">
        <v>117</v>
      </c>
      <c r="J728" s="1" t="s">
        <v>4454</v>
      </c>
      <c r="M728" s="1" t="s">
        <v>201</v>
      </c>
      <c r="N728" s="1">
        <v>0</v>
      </c>
      <c r="O728" s="1">
        <v>0</v>
      </c>
      <c r="P728" s="1" t="s">
        <v>211</v>
      </c>
      <c r="Q728" s="1" t="s">
        <v>184</v>
      </c>
      <c r="R728" s="1" t="s">
        <v>4762</v>
      </c>
      <c r="S728" s="1" t="s">
        <v>4403</v>
      </c>
      <c r="T728" s="1">
        <v>1</v>
      </c>
      <c r="U728" s="1">
        <v>0</v>
      </c>
      <c r="V728" s="1">
        <v>0</v>
      </c>
      <c r="W728" s="1">
        <v>0</v>
      </c>
      <c r="X728" s="1">
        <v>0</v>
      </c>
      <c r="Y728" s="1" t="s">
        <v>104</v>
      </c>
      <c r="Z728" s="1" t="s">
        <v>104</v>
      </c>
      <c r="AA728" s="1" t="s">
        <v>104</v>
      </c>
      <c r="AB728" s="1" t="s">
        <v>104</v>
      </c>
      <c r="AC728" s="1" t="s">
        <v>104</v>
      </c>
      <c r="AD728" s="1">
        <v>4</v>
      </c>
      <c r="AE728" s="1" t="s">
        <v>104</v>
      </c>
      <c r="AF728" s="1" t="s">
        <v>104</v>
      </c>
      <c r="AG728" s="1" t="s">
        <v>104</v>
      </c>
      <c r="AH728" s="1" t="s">
        <v>104</v>
      </c>
      <c r="AI728" s="1">
        <v>4</v>
      </c>
      <c r="AJ728" s="1" t="s">
        <v>104</v>
      </c>
      <c r="AK728" s="1" t="s">
        <v>104</v>
      </c>
      <c r="AL728" s="1" t="s">
        <v>104</v>
      </c>
      <c r="AM728" s="1" t="s">
        <v>104</v>
      </c>
      <c r="AO728" s="1">
        <v>4</v>
      </c>
      <c r="AQ728" s="1" t="s">
        <v>4763</v>
      </c>
      <c r="AR728" s="1">
        <v>0</v>
      </c>
      <c r="AS728" s="1">
        <v>0</v>
      </c>
      <c r="AT728" s="1">
        <v>0</v>
      </c>
      <c r="AU728" s="1">
        <v>0</v>
      </c>
      <c r="AV728" s="1">
        <v>0</v>
      </c>
      <c r="AW728" s="1">
        <v>0</v>
      </c>
      <c r="AX728" s="1">
        <v>0</v>
      </c>
      <c r="AY728" s="1">
        <v>0</v>
      </c>
      <c r="AZ728" s="1">
        <v>0</v>
      </c>
      <c r="BA728" s="1">
        <v>0</v>
      </c>
      <c r="BB728" s="1">
        <v>0</v>
      </c>
      <c r="BC728" s="1">
        <v>0</v>
      </c>
      <c r="BD728" s="1">
        <v>0</v>
      </c>
      <c r="BE728" s="1">
        <v>0</v>
      </c>
      <c r="BF728" s="1">
        <v>0</v>
      </c>
      <c r="BG728" s="1">
        <v>0</v>
      </c>
      <c r="BH728" s="1">
        <v>1</v>
      </c>
      <c r="BI728" s="1">
        <v>0</v>
      </c>
      <c r="BJ728" s="1">
        <v>0</v>
      </c>
      <c r="BK728" s="1">
        <v>1</v>
      </c>
      <c r="BL728" s="1">
        <v>0</v>
      </c>
      <c r="BM728" s="1">
        <v>0</v>
      </c>
      <c r="BN728" s="1">
        <v>0</v>
      </c>
      <c r="BO728" s="1">
        <v>0</v>
      </c>
      <c r="BP728" s="1">
        <v>0</v>
      </c>
      <c r="BQ728" s="2" t="str">
        <f>HYPERLINK("http://www.d20pfsrd.com/magic/all-spells/d/denounce","Denounce")</f>
        <v>Denounce</v>
      </c>
      <c r="BR728" s="1">
        <v>748</v>
      </c>
      <c r="BS728" s="1" t="s">
        <v>104</v>
      </c>
      <c r="BX728" s="1">
        <v>0</v>
      </c>
      <c r="BY728" s="1" t="s">
        <v>104</v>
      </c>
      <c r="BZ728" s="1" t="s">
        <v>104</v>
      </c>
      <c r="CA728" s="1">
        <v>5</v>
      </c>
      <c r="CB728" s="1" t="s">
        <v>104</v>
      </c>
      <c r="CC728" s="1">
        <v>4</v>
      </c>
      <c r="CD728" s="1" t="s">
        <v>104</v>
      </c>
      <c r="CE728" s="1" t="s">
        <v>104</v>
      </c>
      <c r="CF728" s="1" t="s">
        <v>104</v>
      </c>
      <c r="CG728" s="1" t="s">
        <v>104</v>
      </c>
      <c r="CH728" s="1" t="s">
        <v>104</v>
      </c>
      <c r="CJ728" s="1">
        <v>0</v>
      </c>
      <c r="CK728" s="1">
        <v>0</v>
      </c>
      <c r="CL728" s="1">
        <v>0</v>
      </c>
      <c r="CM728" s="1" t="s">
        <v>104</v>
      </c>
    </row>
    <row r="729" spans="1:91" ht="14.25" customHeight="1" x14ac:dyDescent="0.3">
      <c r="A729" s="1" t="s">
        <v>4764</v>
      </c>
      <c r="B729" s="1" t="s">
        <v>172</v>
      </c>
      <c r="E729" s="1" t="s">
        <v>4765</v>
      </c>
      <c r="F729" s="1" t="s">
        <v>95</v>
      </c>
      <c r="G729" s="1" t="s">
        <v>116</v>
      </c>
      <c r="H729" s="1">
        <v>0</v>
      </c>
      <c r="I729" s="1" t="s">
        <v>97</v>
      </c>
      <c r="J729" s="1" t="s">
        <v>1030</v>
      </c>
      <c r="M729" s="1" t="s">
        <v>4766</v>
      </c>
      <c r="N729" s="1">
        <v>1</v>
      </c>
      <c r="O729" s="1">
        <v>0</v>
      </c>
      <c r="P729" s="1" t="s">
        <v>100</v>
      </c>
      <c r="Q729" s="1" t="s">
        <v>101</v>
      </c>
      <c r="R729" s="1" t="s">
        <v>4767</v>
      </c>
      <c r="S729" s="1" t="s">
        <v>4403</v>
      </c>
      <c r="T729" s="1">
        <v>1</v>
      </c>
      <c r="U729" s="1">
        <v>1</v>
      </c>
      <c r="V729" s="1">
        <v>0</v>
      </c>
      <c r="W729" s="1">
        <v>0</v>
      </c>
      <c r="X729" s="1">
        <v>0</v>
      </c>
      <c r="Y729" s="1" t="s">
        <v>104</v>
      </c>
      <c r="Z729" s="1" t="s">
        <v>104</v>
      </c>
      <c r="AA729" s="1" t="s">
        <v>104</v>
      </c>
      <c r="AB729" s="1">
        <v>1</v>
      </c>
      <c r="AC729" s="1">
        <v>1</v>
      </c>
      <c r="AD729" s="1" t="s">
        <v>104</v>
      </c>
      <c r="AE729" s="1" t="s">
        <v>104</v>
      </c>
      <c r="AF729" s="1" t="s">
        <v>104</v>
      </c>
      <c r="AG729" s="1" t="s">
        <v>104</v>
      </c>
      <c r="AH729" s="1" t="s">
        <v>104</v>
      </c>
      <c r="AI729" s="1" t="s">
        <v>104</v>
      </c>
      <c r="AJ729" s="1" t="s">
        <v>104</v>
      </c>
      <c r="AK729" s="1" t="s">
        <v>104</v>
      </c>
      <c r="AL729" s="1" t="s">
        <v>104</v>
      </c>
      <c r="AM729" s="1" t="s">
        <v>104</v>
      </c>
      <c r="AO729" s="1">
        <v>1</v>
      </c>
      <c r="AQ729" s="1" t="s">
        <v>4768</v>
      </c>
      <c r="AR729" s="1">
        <v>0</v>
      </c>
      <c r="AS729" s="1">
        <v>0</v>
      </c>
      <c r="AT729" s="1">
        <v>0</v>
      </c>
      <c r="AU729" s="1">
        <v>0</v>
      </c>
      <c r="AV729" s="1">
        <v>0</v>
      </c>
      <c r="AW729" s="1">
        <v>0</v>
      </c>
      <c r="AX729" s="1">
        <v>0</v>
      </c>
      <c r="AY729" s="1">
        <v>0</v>
      </c>
      <c r="AZ729" s="1">
        <v>0</v>
      </c>
      <c r="BA729" s="1">
        <v>0</v>
      </c>
      <c r="BB729" s="1">
        <v>0</v>
      </c>
      <c r="BC729" s="1">
        <v>0</v>
      </c>
      <c r="BD729" s="1">
        <v>0</v>
      </c>
      <c r="BE729" s="1">
        <v>0</v>
      </c>
      <c r="BF729" s="1">
        <v>0</v>
      </c>
      <c r="BG729" s="1">
        <v>0</v>
      </c>
      <c r="BH729" s="1">
        <v>0</v>
      </c>
      <c r="BI729" s="1">
        <v>0</v>
      </c>
      <c r="BJ729" s="1">
        <v>0</v>
      </c>
      <c r="BK729" s="1">
        <v>0</v>
      </c>
      <c r="BL729" s="1">
        <v>0</v>
      </c>
      <c r="BM729" s="1">
        <v>0</v>
      </c>
      <c r="BN729" s="1">
        <v>0</v>
      </c>
      <c r="BO729" s="1">
        <v>0</v>
      </c>
      <c r="BP729" s="1">
        <v>0</v>
      </c>
      <c r="BQ729" s="2" t="str">
        <f>HYPERLINK("http://www.d20pfsrd.com/magic/all-spells/d/detect-aberration","Detect Aberration")</f>
        <v>Detect Aberration</v>
      </c>
      <c r="BR729" s="1">
        <v>749</v>
      </c>
      <c r="BS729" s="1" t="s">
        <v>104</v>
      </c>
      <c r="BX729" s="1">
        <v>0</v>
      </c>
      <c r="BY729" s="1" t="s">
        <v>104</v>
      </c>
      <c r="BZ729" s="1" t="s">
        <v>104</v>
      </c>
      <c r="CA729" s="1">
        <v>1</v>
      </c>
      <c r="CB729" s="1" t="s">
        <v>104</v>
      </c>
      <c r="CC729" s="1" t="s">
        <v>104</v>
      </c>
      <c r="CD729" s="1" t="s">
        <v>104</v>
      </c>
      <c r="CE729" s="1" t="s">
        <v>104</v>
      </c>
      <c r="CF729" s="1" t="s">
        <v>104</v>
      </c>
      <c r="CG729" s="1" t="s">
        <v>104</v>
      </c>
      <c r="CH729" s="1">
        <v>1</v>
      </c>
      <c r="CJ729" s="1">
        <v>0</v>
      </c>
      <c r="CK729" s="1">
        <v>0</v>
      </c>
      <c r="CL729" s="1">
        <v>0</v>
      </c>
      <c r="CM729" s="1" t="s">
        <v>104</v>
      </c>
    </row>
    <row r="730" spans="1:91" ht="14.25" customHeight="1" x14ac:dyDescent="0.3">
      <c r="A730" s="1" t="s">
        <v>4769</v>
      </c>
      <c r="B730" s="1" t="s">
        <v>434</v>
      </c>
      <c r="D730" s="1" t="s">
        <v>4770</v>
      </c>
      <c r="E730" s="1" t="s">
        <v>4771</v>
      </c>
      <c r="F730" s="1" t="s">
        <v>95</v>
      </c>
      <c r="G730" s="1" t="s">
        <v>4772</v>
      </c>
      <c r="H730" s="1">
        <v>1</v>
      </c>
      <c r="I730" s="1" t="s">
        <v>914</v>
      </c>
      <c r="J730" s="1" t="s">
        <v>4773</v>
      </c>
      <c r="M730" s="1" t="s">
        <v>4774</v>
      </c>
      <c r="N730" s="1">
        <v>0</v>
      </c>
      <c r="O730" s="1">
        <v>0</v>
      </c>
      <c r="P730" s="1" t="s">
        <v>550</v>
      </c>
      <c r="Q730" s="1" t="s">
        <v>184</v>
      </c>
      <c r="R730" s="1" t="s">
        <v>4775</v>
      </c>
      <c r="S730" s="1" t="s">
        <v>4403</v>
      </c>
      <c r="T730" s="1">
        <v>1</v>
      </c>
      <c r="U730" s="1">
        <v>1</v>
      </c>
      <c r="V730" s="1">
        <v>1</v>
      </c>
      <c r="W730" s="1">
        <v>0</v>
      </c>
      <c r="X730" s="1">
        <v>0</v>
      </c>
      <c r="Y730" s="1">
        <v>4</v>
      </c>
      <c r="Z730" s="1">
        <v>4</v>
      </c>
      <c r="AA730" s="1" t="s">
        <v>104</v>
      </c>
      <c r="AB730" s="1" t="s">
        <v>104</v>
      </c>
      <c r="AC730" s="1" t="s">
        <v>104</v>
      </c>
      <c r="AD730" s="1" t="s">
        <v>104</v>
      </c>
      <c r="AE730" s="1" t="s">
        <v>104</v>
      </c>
      <c r="AF730" s="1">
        <v>4</v>
      </c>
      <c r="AG730" s="1" t="s">
        <v>104</v>
      </c>
      <c r="AH730" s="1" t="s">
        <v>104</v>
      </c>
      <c r="AI730" s="1" t="s">
        <v>104</v>
      </c>
      <c r="AJ730" s="1" t="s">
        <v>104</v>
      </c>
      <c r="AK730" s="1" t="s">
        <v>104</v>
      </c>
      <c r="AL730" s="1">
        <v>4</v>
      </c>
      <c r="AM730" s="1" t="s">
        <v>104</v>
      </c>
      <c r="AO730" s="1">
        <v>4</v>
      </c>
      <c r="AQ730" s="1" t="s">
        <v>4776</v>
      </c>
      <c r="AR730" s="1">
        <v>1</v>
      </c>
      <c r="AS730" s="1">
        <v>0</v>
      </c>
      <c r="AT730" s="1">
        <v>0</v>
      </c>
      <c r="AU730" s="1">
        <v>1</v>
      </c>
      <c r="AV730" s="1">
        <v>0</v>
      </c>
      <c r="AW730" s="1">
        <v>0</v>
      </c>
      <c r="AX730" s="1">
        <v>0</v>
      </c>
      <c r="AY730" s="1">
        <v>0</v>
      </c>
      <c r="AZ730" s="1">
        <v>0</v>
      </c>
      <c r="BA730" s="1">
        <v>1</v>
      </c>
      <c r="BB730" s="1">
        <v>0</v>
      </c>
      <c r="BC730" s="1">
        <v>0</v>
      </c>
      <c r="BD730" s="1">
        <v>0</v>
      </c>
      <c r="BE730" s="1">
        <v>1</v>
      </c>
      <c r="BF730" s="1">
        <v>0</v>
      </c>
      <c r="BG730" s="1">
        <v>0</v>
      </c>
      <c r="BH730" s="1">
        <v>0</v>
      </c>
      <c r="BI730" s="1">
        <v>0</v>
      </c>
      <c r="BJ730" s="1">
        <v>0</v>
      </c>
      <c r="BK730" s="1">
        <v>0</v>
      </c>
      <c r="BL730" s="1">
        <v>0</v>
      </c>
      <c r="BM730" s="1">
        <v>0</v>
      </c>
      <c r="BN730" s="1">
        <v>0</v>
      </c>
      <c r="BO730" s="1">
        <v>0</v>
      </c>
      <c r="BP730" s="1">
        <v>0</v>
      </c>
      <c r="BQ730" s="2" t="str">
        <f>HYPERLINK("http://www.d20pfsrd.com/magic/all-spells/d/detonate","Detonate")</f>
        <v>Detonate</v>
      </c>
      <c r="BR730" s="1">
        <v>750</v>
      </c>
      <c r="BS730" s="1">
        <v>50</v>
      </c>
      <c r="BX730" s="1">
        <v>0</v>
      </c>
      <c r="BY730" s="1">
        <v>4</v>
      </c>
      <c r="BZ730" s="1" t="s">
        <v>104</v>
      </c>
      <c r="CA730" s="1" t="s">
        <v>104</v>
      </c>
      <c r="CB730" s="1" t="s">
        <v>104</v>
      </c>
      <c r="CC730" s="1" t="s">
        <v>104</v>
      </c>
      <c r="CD730" s="1" t="s">
        <v>104</v>
      </c>
      <c r="CE730" s="1" t="s">
        <v>104</v>
      </c>
      <c r="CF730" s="1" t="s">
        <v>104</v>
      </c>
      <c r="CG730" s="1" t="s">
        <v>104</v>
      </c>
      <c r="CH730" s="1" t="s">
        <v>104</v>
      </c>
      <c r="CJ730" s="1">
        <v>0</v>
      </c>
      <c r="CK730" s="1">
        <v>0</v>
      </c>
      <c r="CL730" s="1">
        <v>0</v>
      </c>
      <c r="CM730" s="1" t="s">
        <v>104</v>
      </c>
    </row>
    <row r="731" spans="1:91" ht="14.25" customHeight="1" x14ac:dyDescent="0.3">
      <c r="A731" s="1" t="s">
        <v>4777</v>
      </c>
      <c r="B731" s="1" t="s">
        <v>137</v>
      </c>
      <c r="E731" s="1" t="s">
        <v>4778</v>
      </c>
      <c r="F731" s="1" t="s">
        <v>95</v>
      </c>
      <c r="G731" s="1" t="s">
        <v>4779</v>
      </c>
      <c r="H731" s="1">
        <v>0</v>
      </c>
      <c r="I731" s="1" t="s">
        <v>117</v>
      </c>
      <c r="L731" s="1" t="s">
        <v>4780</v>
      </c>
      <c r="M731" s="1" t="s">
        <v>111</v>
      </c>
      <c r="N731" s="1">
        <v>0</v>
      </c>
      <c r="O731" s="1">
        <v>0</v>
      </c>
      <c r="P731" s="1" t="s">
        <v>211</v>
      </c>
      <c r="Q731" s="1" t="s">
        <v>184</v>
      </c>
      <c r="R731" s="1" t="s">
        <v>4781</v>
      </c>
      <c r="S731" s="1" t="s">
        <v>4403</v>
      </c>
      <c r="T731" s="1">
        <v>1</v>
      </c>
      <c r="U731" s="1">
        <v>1</v>
      </c>
      <c r="V731" s="1">
        <v>1</v>
      </c>
      <c r="W731" s="1">
        <v>0</v>
      </c>
      <c r="X731" s="1">
        <v>0</v>
      </c>
      <c r="Y731" s="1">
        <v>3</v>
      </c>
      <c r="Z731" s="1">
        <v>3</v>
      </c>
      <c r="AA731" s="1" t="s">
        <v>104</v>
      </c>
      <c r="AB731" s="1" t="s">
        <v>104</v>
      </c>
      <c r="AC731" s="1" t="s">
        <v>104</v>
      </c>
      <c r="AD731" s="1" t="s">
        <v>104</v>
      </c>
      <c r="AE731" s="1" t="s">
        <v>104</v>
      </c>
      <c r="AF731" s="1" t="s">
        <v>104</v>
      </c>
      <c r="AG731" s="1">
        <v>3</v>
      </c>
      <c r="AH731" s="1" t="s">
        <v>104</v>
      </c>
      <c r="AI731" s="1" t="s">
        <v>104</v>
      </c>
      <c r="AJ731" s="1" t="s">
        <v>104</v>
      </c>
      <c r="AK731" s="1" t="s">
        <v>104</v>
      </c>
      <c r="AL731" s="1" t="s">
        <v>104</v>
      </c>
      <c r="AM731" s="1" t="s">
        <v>104</v>
      </c>
      <c r="AO731" s="1">
        <v>3</v>
      </c>
      <c r="AQ731" s="1" t="s">
        <v>4782</v>
      </c>
      <c r="AR731" s="1">
        <v>0</v>
      </c>
      <c r="AS731" s="1">
        <v>0</v>
      </c>
      <c r="AT731" s="1">
        <v>0</v>
      </c>
      <c r="AU731" s="1">
        <v>0</v>
      </c>
      <c r="AV731" s="1">
        <v>0</v>
      </c>
      <c r="AW731" s="1">
        <v>0</v>
      </c>
      <c r="AX731" s="1">
        <v>0</v>
      </c>
      <c r="AY731" s="1">
        <v>0</v>
      </c>
      <c r="AZ731" s="1">
        <v>0</v>
      </c>
      <c r="BA731" s="1">
        <v>0</v>
      </c>
      <c r="BB731" s="1">
        <v>0</v>
      </c>
      <c r="BC731" s="1">
        <v>0</v>
      </c>
      <c r="BD731" s="1">
        <v>0</v>
      </c>
      <c r="BE731" s="1">
        <v>0</v>
      </c>
      <c r="BF731" s="1">
        <v>0</v>
      </c>
      <c r="BG731" s="1">
        <v>0</v>
      </c>
      <c r="BH731" s="1">
        <v>0</v>
      </c>
      <c r="BI731" s="1">
        <v>0</v>
      </c>
      <c r="BJ731" s="1">
        <v>0</v>
      </c>
      <c r="BK731" s="1">
        <v>0</v>
      </c>
      <c r="BL731" s="1">
        <v>0</v>
      </c>
      <c r="BM731" s="1">
        <v>0</v>
      </c>
      <c r="BN731" s="1">
        <v>0</v>
      </c>
      <c r="BO731" s="1">
        <v>0</v>
      </c>
      <c r="BP731" s="1">
        <v>0</v>
      </c>
      <c r="BQ731" s="2" t="str">
        <f>HYPERLINK("http://www.d20pfsrd.com/magic/all-spells/d/devolution","Devolution")</f>
        <v>Devolution</v>
      </c>
      <c r="BR731" s="1">
        <v>751</v>
      </c>
      <c r="BS731" s="1" t="s">
        <v>104</v>
      </c>
      <c r="BV731" s="1" t="s">
        <v>4783</v>
      </c>
      <c r="BX731" s="1">
        <v>1</v>
      </c>
      <c r="BY731" s="1" t="s">
        <v>104</v>
      </c>
      <c r="BZ731" s="1" t="s">
        <v>104</v>
      </c>
      <c r="CA731" s="1">
        <v>3</v>
      </c>
      <c r="CB731" s="1" t="s">
        <v>104</v>
      </c>
      <c r="CC731" s="1" t="s">
        <v>104</v>
      </c>
      <c r="CD731" s="1" t="s">
        <v>104</v>
      </c>
      <c r="CE731" s="1" t="s">
        <v>104</v>
      </c>
      <c r="CF731" s="1" t="s">
        <v>104</v>
      </c>
      <c r="CG731" s="1" t="s">
        <v>104</v>
      </c>
      <c r="CH731" s="1" t="s">
        <v>104</v>
      </c>
      <c r="CJ731" s="1">
        <v>0</v>
      </c>
      <c r="CK731" s="1">
        <v>0</v>
      </c>
      <c r="CL731" s="1">
        <v>0</v>
      </c>
      <c r="CM731" s="1">
        <v>3</v>
      </c>
    </row>
    <row r="732" spans="1:91" ht="14.25" customHeight="1" x14ac:dyDescent="0.3">
      <c r="A732" s="1" t="s">
        <v>4784</v>
      </c>
      <c r="B732" s="1" t="s">
        <v>434</v>
      </c>
      <c r="D732" s="1" t="s">
        <v>66</v>
      </c>
      <c r="E732" s="1" t="s">
        <v>4785</v>
      </c>
      <c r="F732" s="1" t="s">
        <v>95</v>
      </c>
      <c r="G732" s="1" t="s">
        <v>116</v>
      </c>
      <c r="H732" s="1">
        <v>0</v>
      </c>
      <c r="I732" s="1" t="s">
        <v>4786</v>
      </c>
      <c r="J732" s="1" t="s">
        <v>145</v>
      </c>
      <c r="M732" s="1" t="s">
        <v>119</v>
      </c>
      <c r="N732" s="1">
        <v>0</v>
      </c>
      <c r="O732" s="1">
        <v>0</v>
      </c>
      <c r="P732" s="1" t="s">
        <v>100</v>
      </c>
      <c r="Q732" s="1" t="s">
        <v>184</v>
      </c>
      <c r="R732" s="1" t="s">
        <v>4787</v>
      </c>
      <c r="S732" s="1" t="s">
        <v>4403</v>
      </c>
      <c r="T732" s="1">
        <v>1</v>
      </c>
      <c r="U732" s="1">
        <v>1</v>
      </c>
      <c r="V732" s="1">
        <v>0</v>
      </c>
      <c r="W732" s="1">
        <v>0</v>
      </c>
      <c r="X732" s="1">
        <v>0</v>
      </c>
      <c r="Y732" s="1" t="s">
        <v>104</v>
      </c>
      <c r="Z732" s="1" t="s">
        <v>104</v>
      </c>
      <c r="AA732" s="1" t="s">
        <v>104</v>
      </c>
      <c r="AB732" s="1" t="s">
        <v>104</v>
      </c>
      <c r="AC732" s="1" t="s">
        <v>104</v>
      </c>
      <c r="AD732" s="1">
        <v>4</v>
      </c>
      <c r="AE732" s="1" t="s">
        <v>104</v>
      </c>
      <c r="AF732" s="1" t="s">
        <v>104</v>
      </c>
      <c r="AG732" s="1" t="s">
        <v>104</v>
      </c>
      <c r="AH732" s="1" t="s">
        <v>104</v>
      </c>
      <c r="AI732" s="1" t="s">
        <v>104</v>
      </c>
      <c r="AJ732" s="1" t="s">
        <v>104</v>
      </c>
      <c r="AK732" s="1" t="s">
        <v>104</v>
      </c>
      <c r="AL732" s="1" t="s">
        <v>104</v>
      </c>
      <c r="AM732" s="1" t="s">
        <v>104</v>
      </c>
      <c r="AO732" s="1">
        <v>4</v>
      </c>
      <c r="AQ732" s="1" t="s">
        <v>4788</v>
      </c>
      <c r="AR732" s="1">
        <v>0</v>
      </c>
      <c r="AS732" s="1">
        <v>0</v>
      </c>
      <c r="AT732" s="1">
        <v>0</v>
      </c>
      <c r="AU732" s="1">
        <v>0</v>
      </c>
      <c r="AV732" s="1">
        <v>0</v>
      </c>
      <c r="AW732" s="1">
        <v>0</v>
      </c>
      <c r="AX732" s="1">
        <v>0</v>
      </c>
      <c r="AY732" s="1">
        <v>0</v>
      </c>
      <c r="AZ732" s="1">
        <v>0</v>
      </c>
      <c r="BA732" s="1">
        <v>0</v>
      </c>
      <c r="BB732" s="1">
        <v>0</v>
      </c>
      <c r="BC732" s="1">
        <v>0</v>
      </c>
      <c r="BD732" s="1">
        <v>0</v>
      </c>
      <c r="BE732" s="1">
        <v>0</v>
      </c>
      <c r="BF732" s="1">
        <v>0</v>
      </c>
      <c r="BG732" s="1">
        <v>0</v>
      </c>
      <c r="BH732" s="1">
        <v>0</v>
      </c>
      <c r="BI732" s="1">
        <v>0</v>
      </c>
      <c r="BJ732" s="1">
        <v>0</v>
      </c>
      <c r="BK732" s="1">
        <v>0</v>
      </c>
      <c r="BL732" s="1">
        <v>0</v>
      </c>
      <c r="BM732" s="1">
        <v>0</v>
      </c>
      <c r="BN732" s="1">
        <v>0</v>
      </c>
      <c r="BO732" s="1">
        <v>1</v>
      </c>
      <c r="BP732" s="1">
        <v>0</v>
      </c>
      <c r="BQ732" s="2" t="str">
        <f>HYPERLINK("http://www.d20pfsrd.com/magic/all-spells/d/discordant-blast","Discordant Blast")</f>
        <v>Discordant Blast</v>
      </c>
      <c r="BR732" s="1">
        <v>752</v>
      </c>
      <c r="BS732" s="1" t="s">
        <v>104</v>
      </c>
      <c r="BV732" s="1" t="s">
        <v>4789</v>
      </c>
      <c r="BX732" s="1">
        <v>1</v>
      </c>
      <c r="BY732" s="1" t="s">
        <v>104</v>
      </c>
      <c r="BZ732" s="1" t="s">
        <v>104</v>
      </c>
      <c r="CA732" s="1" t="s">
        <v>104</v>
      </c>
      <c r="CB732" s="1" t="s">
        <v>104</v>
      </c>
      <c r="CC732" s="1" t="s">
        <v>104</v>
      </c>
      <c r="CD732" s="1" t="s">
        <v>104</v>
      </c>
      <c r="CE732" s="1" t="s">
        <v>104</v>
      </c>
      <c r="CF732" s="1" t="s">
        <v>104</v>
      </c>
      <c r="CG732" s="1" t="s">
        <v>104</v>
      </c>
      <c r="CH732" s="1" t="s">
        <v>104</v>
      </c>
      <c r="CJ732" s="1">
        <v>0</v>
      </c>
      <c r="CK732" s="1">
        <v>0</v>
      </c>
      <c r="CL732" s="1">
        <v>0</v>
      </c>
      <c r="CM732" s="1" t="s">
        <v>104</v>
      </c>
    </row>
    <row r="733" spans="1:91" ht="14.25" customHeight="1" x14ac:dyDescent="0.3">
      <c r="A733" s="1" t="s">
        <v>4790</v>
      </c>
      <c r="B733" s="1" t="s">
        <v>216</v>
      </c>
      <c r="E733" s="1" t="s">
        <v>1936</v>
      </c>
      <c r="F733" s="1" t="s">
        <v>95</v>
      </c>
      <c r="G733" s="1" t="s">
        <v>116</v>
      </c>
      <c r="H733" s="1">
        <v>0</v>
      </c>
      <c r="I733" s="1" t="s">
        <v>128</v>
      </c>
      <c r="L733" s="1" t="s">
        <v>129</v>
      </c>
      <c r="M733" s="1" t="s">
        <v>111</v>
      </c>
      <c r="N733" s="1">
        <v>0</v>
      </c>
      <c r="O733" s="1">
        <v>0</v>
      </c>
      <c r="P733" s="1" t="s">
        <v>1058</v>
      </c>
      <c r="Q733" s="1" t="s">
        <v>131</v>
      </c>
      <c r="R733" s="1" t="s">
        <v>4791</v>
      </c>
      <c r="S733" s="1" t="s">
        <v>4403</v>
      </c>
      <c r="T733" s="1">
        <v>1</v>
      </c>
      <c r="U733" s="1">
        <v>1</v>
      </c>
      <c r="V733" s="1">
        <v>0</v>
      </c>
      <c r="W733" s="1">
        <v>0</v>
      </c>
      <c r="X733" s="1">
        <v>0</v>
      </c>
      <c r="Y733" s="1" t="s">
        <v>104</v>
      </c>
      <c r="Z733" s="1" t="s">
        <v>104</v>
      </c>
      <c r="AA733" s="1" t="s">
        <v>104</v>
      </c>
      <c r="AB733" s="1" t="s">
        <v>104</v>
      </c>
      <c r="AC733" s="1" t="s">
        <v>104</v>
      </c>
      <c r="AD733" s="1" t="s">
        <v>104</v>
      </c>
      <c r="AE733" s="1">
        <v>3</v>
      </c>
      <c r="AF733" s="1" t="s">
        <v>104</v>
      </c>
      <c r="AG733" s="1" t="s">
        <v>104</v>
      </c>
      <c r="AH733" s="1" t="s">
        <v>104</v>
      </c>
      <c r="AI733" s="1" t="s">
        <v>104</v>
      </c>
      <c r="AJ733" s="1" t="s">
        <v>104</v>
      </c>
      <c r="AK733" s="1" t="s">
        <v>104</v>
      </c>
      <c r="AL733" s="1" t="s">
        <v>104</v>
      </c>
      <c r="AM733" s="1" t="s">
        <v>104</v>
      </c>
      <c r="AO733" s="1">
        <v>3</v>
      </c>
      <c r="AQ733" s="1" t="s">
        <v>4792</v>
      </c>
      <c r="AR733" s="1">
        <v>0</v>
      </c>
      <c r="AS733" s="1">
        <v>0</v>
      </c>
      <c r="AT733" s="1">
        <v>0</v>
      </c>
      <c r="AU733" s="1">
        <v>0</v>
      </c>
      <c r="AV733" s="1">
        <v>0</v>
      </c>
      <c r="AW733" s="1">
        <v>0</v>
      </c>
      <c r="AX733" s="1">
        <v>0</v>
      </c>
      <c r="AY733" s="1">
        <v>0</v>
      </c>
      <c r="AZ733" s="1">
        <v>0</v>
      </c>
      <c r="BA733" s="1">
        <v>0</v>
      </c>
      <c r="BB733" s="1">
        <v>0</v>
      </c>
      <c r="BC733" s="1">
        <v>0</v>
      </c>
      <c r="BD733" s="1">
        <v>0</v>
      </c>
      <c r="BE733" s="1">
        <v>0</v>
      </c>
      <c r="BF733" s="1">
        <v>0</v>
      </c>
      <c r="BG733" s="1">
        <v>0</v>
      </c>
      <c r="BH733" s="1">
        <v>0</v>
      </c>
      <c r="BI733" s="1">
        <v>0</v>
      </c>
      <c r="BJ733" s="1">
        <v>0</v>
      </c>
      <c r="BK733" s="1">
        <v>0</v>
      </c>
      <c r="BL733" s="1">
        <v>0</v>
      </c>
      <c r="BM733" s="1">
        <v>0</v>
      </c>
      <c r="BN733" s="1">
        <v>0</v>
      </c>
      <c r="BO733" s="1">
        <v>0</v>
      </c>
      <c r="BP733" s="1">
        <v>0</v>
      </c>
      <c r="BQ733" s="2" t="str">
        <f>HYPERLINK("http://www.d20pfsrd.com/magic/all-spells/d/divine-transfer","Divine Transfer")</f>
        <v>Divine Transfer</v>
      </c>
      <c r="BR733" s="1">
        <v>753</v>
      </c>
      <c r="BS733" s="1" t="s">
        <v>104</v>
      </c>
      <c r="BX733" s="1">
        <v>0</v>
      </c>
      <c r="BY733" s="1" t="s">
        <v>104</v>
      </c>
      <c r="BZ733" s="1" t="s">
        <v>104</v>
      </c>
      <c r="CA733" s="1" t="s">
        <v>104</v>
      </c>
      <c r="CB733" s="1" t="s">
        <v>104</v>
      </c>
      <c r="CC733" s="1" t="s">
        <v>104</v>
      </c>
      <c r="CD733" s="1" t="s">
        <v>104</v>
      </c>
      <c r="CE733" s="1" t="s">
        <v>104</v>
      </c>
      <c r="CF733" s="1" t="s">
        <v>104</v>
      </c>
      <c r="CG733" s="1" t="s">
        <v>104</v>
      </c>
      <c r="CH733" s="1" t="s">
        <v>104</v>
      </c>
      <c r="CJ733" s="1">
        <v>0</v>
      </c>
      <c r="CK733" s="1">
        <v>0</v>
      </c>
      <c r="CL733" s="1">
        <v>0</v>
      </c>
      <c r="CM733" s="1" t="s">
        <v>104</v>
      </c>
    </row>
    <row r="734" spans="1:91" ht="14.25" customHeight="1" x14ac:dyDescent="0.3">
      <c r="A734" s="1" t="s">
        <v>4793</v>
      </c>
      <c r="B734" s="1" t="s">
        <v>137</v>
      </c>
      <c r="D734" s="1" t="s">
        <v>4692</v>
      </c>
      <c r="E734" s="1" t="s">
        <v>4794</v>
      </c>
      <c r="F734" s="1" t="s">
        <v>95</v>
      </c>
      <c r="G734" s="1" t="s">
        <v>116</v>
      </c>
      <c r="H734" s="1">
        <v>0</v>
      </c>
      <c r="I734" s="1" t="s">
        <v>157</v>
      </c>
      <c r="L734" s="1" t="s">
        <v>158</v>
      </c>
      <c r="M734" s="1" t="s">
        <v>426</v>
      </c>
      <c r="N734" s="1">
        <v>1</v>
      </c>
      <c r="O734" s="1">
        <v>0</v>
      </c>
      <c r="R734" s="1" t="s">
        <v>4795</v>
      </c>
      <c r="S734" s="1" t="s">
        <v>4403</v>
      </c>
      <c r="T734" s="1">
        <v>1</v>
      </c>
      <c r="U734" s="1">
        <v>1</v>
      </c>
      <c r="V734" s="1">
        <v>0</v>
      </c>
      <c r="W734" s="1">
        <v>0</v>
      </c>
      <c r="X734" s="1">
        <v>0</v>
      </c>
      <c r="Y734" s="1" t="s">
        <v>104</v>
      </c>
      <c r="Z734" s="1" t="s">
        <v>104</v>
      </c>
      <c r="AA734" s="1" t="s">
        <v>104</v>
      </c>
      <c r="AB734" s="1" t="s">
        <v>104</v>
      </c>
      <c r="AC734" s="1" t="s">
        <v>104</v>
      </c>
      <c r="AD734" s="1" t="s">
        <v>104</v>
      </c>
      <c r="AE734" s="1" t="s">
        <v>104</v>
      </c>
      <c r="AF734" s="1" t="s">
        <v>104</v>
      </c>
      <c r="AG734" s="1" t="s">
        <v>104</v>
      </c>
      <c r="AH734" s="1" t="s">
        <v>104</v>
      </c>
      <c r="AI734" s="1" t="s">
        <v>104</v>
      </c>
      <c r="AJ734" s="1">
        <v>8</v>
      </c>
      <c r="AK734" s="1" t="s">
        <v>104</v>
      </c>
      <c r="AL734" s="1" t="s">
        <v>104</v>
      </c>
      <c r="AM734" s="1" t="s">
        <v>104</v>
      </c>
      <c r="AO734" s="1">
        <v>8</v>
      </c>
      <c r="AQ734" s="1" t="s">
        <v>4796</v>
      </c>
      <c r="AR734" s="1">
        <v>0</v>
      </c>
      <c r="AS734" s="1">
        <v>0</v>
      </c>
      <c r="AT734" s="1">
        <v>1</v>
      </c>
      <c r="AU734" s="1">
        <v>0</v>
      </c>
      <c r="AV734" s="1">
        <v>0</v>
      </c>
      <c r="AW734" s="1">
        <v>0</v>
      </c>
      <c r="AX734" s="1">
        <v>0</v>
      </c>
      <c r="AY734" s="1">
        <v>0</v>
      </c>
      <c r="AZ734" s="1">
        <v>0</v>
      </c>
      <c r="BA734" s="1">
        <v>0</v>
      </c>
      <c r="BB734" s="1">
        <v>0</v>
      </c>
      <c r="BC734" s="1">
        <v>1</v>
      </c>
      <c r="BD734" s="1">
        <v>0</v>
      </c>
      <c r="BE734" s="1">
        <v>0</v>
      </c>
      <c r="BF734" s="1">
        <v>0</v>
      </c>
      <c r="BG734" s="1">
        <v>1</v>
      </c>
      <c r="BH734" s="1">
        <v>0</v>
      </c>
      <c r="BI734" s="1">
        <v>1</v>
      </c>
      <c r="BJ734" s="1">
        <v>0</v>
      </c>
      <c r="BK734" s="1">
        <v>0</v>
      </c>
      <c r="BL734" s="1">
        <v>0</v>
      </c>
      <c r="BM734" s="1">
        <v>0</v>
      </c>
      <c r="BN734" s="1">
        <v>0</v>
      </c>
      <c r="BO734" s="1">
        <v>0</v>
      </c>
      <c r="BP734" s="1">
        <v>0</v>
      </c>
      <c r="BQ734" s="1" t="s">
        <v>104</v>
      </c>
      <c r="BR734" s="1">
        <v>754</v>
      </c>
      <c r="BS734" s="1" t="s">
        <v>104</v>
      </c>
      <c r="BX734" s="1">
        <v>0</v>
      </c>
      <c r="BY734" s="1" t="s">
        <v>104</v>
      </c>
      <c r="BZ734" s="1" t="s">
        <v>104</v>
      </c>
      <c r="CA734" s="1" t="s">
        <v>104</v>
      </c>
      <c r="CB734" s="1" t="s">
        <v>104</v>
      </c>
      <c r="CC734" s="1" t="s">
        <v>104</v>
      </c>
      <c r="CD734" s="1" t="s">
        <v>104</v>
      </c>
      <c r="CE734" s="1" t="s">
        <v>104</v>
      </c>
      <c r="CF734" s="1" t="s">
        <v>104</v>
      </c>
      <c r="CG734" s="1" t="s">
        <v>104</v>
      </c>
      <c r="CH734" s="1" t="s">
        <v>104</v>
      </c>
      <c r="CJ734" s="1">
        <v>0</v>
      </c>
      <c r="CK734" s="1">
        <v>0</v>
      </c>
      <c r="CL734" s="1">
        <v>0</v>
      </c>
      <c r="CM734" s="1" t="s">
        <v>104</v>
      </c>
    </row>
    <row r="735" spans="1:91" ht="14.25" customHeight="1" x14ac:dyDescent="0.3">
      <c r="A735" s="1" t="s">
        <v>4797</v>
      </c>
      <c r="B735" s="1" t="s">
        <v>434</v>
      </c>
      <c r="D735" s="1" t="s">
        <v>4770</v>
      </c>
      <c r="E735" s="1" t="s">
        <v>4798</v>
      </c>
      <c r="F735" s="1" t="s">
        <v>95</v>
      </c>
      <c r="G735" s="1" t="s">
        <v>4799</v>
      </c>
      <c r="H735" s="1">
        <v>0</v>
      </c>
      <c r="I735" s="1" t="s">
        <v>128</v>
      </c>
      <c r="L735" s="1" t="s">
        <v>374</v>
      </c>
      <c r="M735" s="1" t="s">
        <v>4800</v>
      </c>
      <c r="N735" s="1">
        <v>0</v>
      </c>
      <c r="O735" s="1">
        <v>0</v>
      </c>
      <c r="P735" s="1" t="s">
        <v>1058</v>
      </c>
      <c r="Q735" s="1" t="s">
        <v>131</v>
      </c>
      <c r="R735" s="1" t="s">
        <v>4801</v>
      </c>
      <c r="S735" s="1" t="s">
        <v>4403</v>
      </c>
      <c r="T735" s="1">
        <v>1</v>
      </c>
      <c r="U735" s="1">
        <v>1</v>
      </c>
      <c r="V735" s="1">
        <v>1</v>
      </c>
      <c r="W735" s="1">
        <v>0</v>
      </c>
      <c r="X735" s="1">
        <v>0</v>
      </c>
      <c r="Y735" s="1">
        <v>3</v>
      </c>
      <c r="Z735" s="1">
        <v>3</v>
      </c>
      <c r="AA735" s="1" t="s">
        <v>104</v>
      </c>
      <c r="AB735" s="1" t="s">
        <v>104</v>
      </c>
      <c r="AC735" s="1" t="s">
        <v>104</v>
      </c>
      <c r="AD735" s="1" t="s">
        <v>104</v>
      </c>
      <c r="AE735" s="1" t="s">
        <v>104</v>
      </c>
      <c r="AF735" s="1">
        <v>3</v>
      </c>
      <c r="AG735" s="1" t="s">
        <v>104</v>
      </c>
      <c r="AH735" s="1" t="s">
        <v>104</v>
      </c>
      <c r="AI735" s="1" t="s">
        <v>104</v>
      </c>
      <c r="AJ735" s="1" t="s">
        <v>104</v>
      </c>
      <c r="AK735" s="1" t="s">
        <v>104</v>
      </c>
      <c r="AL735" s="1" t="s">
        <v>104</v>
      </c>
      <c r="AM735" s="1" t="s">
        <v>104</v>
      </c>
      <c r="AO735" s="1">
        <v>3</v>
      </c>
      <c r="AP735" s="1" t="s">
        <v>4802</v>
      </c>
      <c r="AQ735" s="1" t="s">
        <v>4803</v>
      </c>
      <c r="AR735" s="1">
        <v>1</v>
      </c>
      <c r="AS735" s="1">
        <v>0</v>
      </c>
      <c r="AT735" s="1">
        <v>0</v>
      </c>
      <c r="AU735" s="1">
        <v>1</v>
      </c>
      <c r="AV735" s="1">
        <v>0</v>
      </c>
      <c r="AW735" s="1">
        <v>0</v>
      </c>
      <c r="AX735" s="1">
        <v>0</v>
      </c>
      <c r="AY735" s="1">
        <v>0</v>
      </c>
      <c r="AZ735" s="1">
        <v>0</v>
      </c>
      <c r="BA735" s="1">
        <v>1</v>
      </c>
      <c r="BB735" s="1">
        <v>0</v>
      </c>
      <c r="BC735" s="1">
        <v>0</v>
      </c>
      <c r="BD735" s="1">
        <v>0</v>
      </c>
      <c r="BE735" s="1">
        <v>1</v>
      </c>
      <c r="BF735" s="1">
        <v>0</v>
      </c>
      <c r="BG735" s="1">
        <v>0</v>
      </c>
      <c r="BH735" s="1">
        <v>0</v>
      </c>
      <c r="BI735" s="1">
        <v>0</v>
      </c>
      <c r="BJ735" s="1">
        <v>0</v>
      </c>
      <c r="BK735" s="1">
        <v>0</v>
      </c>
      <c r="BL735" s="1">
        <v>0</v>
      </c>
      <c r="BM735" s="1">
        <v>0</v>
      </c>
      <c r="BN735" s="1">
        <v>0</v>
      </c>
      <c r="BO735" s="1">
        <v>0</v>
      </c>
      <c r="BP735" s="1">
        <v>0</v>
      </c>
      <c r="BQ735" s="2" t="str">
        <f>HYPERLINK("http://www.d20pfsrd.com/magic/all-spells/d/draconic-reservoir","Draconic Reservoir")</f>
        <v>Draconic Reservoir</v>
      </c>
      <c r="BR735" s="1">
        <v>755</v>
      </c>
      <c r="BS735" s="1" t="s">
        <v>104</v>
      </c>
      <c r="BV735" s="1" t="s">
        <v>4804</v>
      </c>
      <c r="BW735" s="1" t="s">
        <v>4805</v>
      </c>
      <c r="BX735" s="1">
        <v>1</v>
      </c>
      <c r="BY735" s="1">
        <v>3</v>
      </c>
      <c r="BZ735" s="1" t="s">
        <v>104</v>
      </c>
      <c r="CA735" s="1" t="s">
        <v>104</v>
      </c>
      <c r="CB735" s="1" t="s">
        <v>104</v>
      </c>
      <c r="CC735" s="1" t="s">
        <v>104</v>
      </c>
      <c r="CD735" s="1" t="s">
        <v>104</v>
      </c>
      <c r="CE735" s="1" t="s">
        <v>104</v>
      </c>
      <c r="CF735" s="1" t="s">
        <v>104</v>
      </c>
      <c r="CG735" s="1" t="s">
        <v>104</v>
      </c>
      <c r="CH735" s="1" t="s">
        <v>104</v>
      </c>
      <c r="CJ735" s="1">
        <v>0</v>
      </c>
      <c r="CK735" s="1">
        <v>0</v>
      </c>
      <c r="CL735" s="1">
        <v>0</v>
      </c>
      <c r="CM735" s="1" t="s">
        <v>104</v>
      </c>
    </row>
    <row r="736" spans="1:91" ht="14.25" customHeight="1" x14ac:dyDescent="0.3">
      <c r="A736" s="1" t="s">
        <v>4806</v>
      </c>
      <c r="B736" s="1" t="s">
        <v>434</v>
      </c>
      <c r="D736" s="1" t="s">
        <v>4770</v>
      </c>
      <c r="E736" s="1" t="s">
        <v>4807</v>
      </c>
      <c r="F736" s="1" t="s">
        <v>95</v>
      </c>
      <c r="G736" s="1" t="s">
        <v>4808</v>
      </c>
      <c r="H736" s="1">
        <v>0</v>
      </c>
      <c r="I736" s="1" t="s">
        <v>4809</v>
      </c>
      <c r="J736" s="1" t="s">
        <v>4810</v>
      </c>
      <c r="M736" s="1" t="s">
        <v>119</v>
      </c>
      <c r="N736" s="1">
        <v>0</v>
      </c>
      <c r="O736" s="1">
        <v>0</v>
      </c>
      <c r="P736" s="1" t="s">
        <v>550</v>
      </c>
      <c r="Q736" s="1" t="s">
        <v>184</v>
      </c>
      <c r="R736" s="1" t="s">
        <v>4811</v>
      </c>
      <c r="S736" s="1" t="s">
        <v>4403</v>
      </c>
      <c r="T736" s="1">
        <v>1</v>
      </c>
      <c r="U736" s="1">
        <v>1</v>
      </c>
      <c r="V736" s="1">
        <v>1</v>
      </c>
      <c r="W736" s="1">
        <v>0</v>
      </c>
      <c r="X736" s="1">
        <v>0</v>
      </c>
      <c r="Y736" s="1">
        <v>4</v>
      </c>
      <c r="Z736" s="1">
        <v>4</v>
      </c>
      <c r="AA736" s="1" t="s">
        <v>104</v>
      </c>
      <c r="AB736" s="1" t="s">
        <v>104</v>
      </c>
      <c r="AC736" s="1" t="s">
        <v>104</v>
      </c>
      <c r="AD736" s="1" t="s">
        <v>104</v>
      </c>
      <c r="AE736" s="1" t="s">
        <v>104</v>
      </c>
      <c r="AF736" s="1">
        <v>4</v>
      </c>
      <c r="AG736" s="1" t="s">
        <v>104</v>
      </c>
      <c r="AH736" s="1" t="s">
        <v>104</v>
      </c>
      <c r="AI736" s="1" t="s">
        <v>104</v>
      </c>
      <c r="AJ736" s="1" t="s">
        <v>104</v>
      </c>
      <c r="AK736" s="1" t="s">
        <v>104</v>
      </c>
      <c r="AL736" s="1" t="s">
        <v>104</v>
      </c>
      <c r="AM736" s="1" t="s">
        <v>104</v>
      </c>
      <c r="AO736" s="1">
        <v>4</v>
      </c>
      <c r="AP736" s="1" t="s">
        <v>4812</v>
      </c>
      <c r="AQ736" s="1" t="s">
        <v>4813</v>
      </c>
      <c r="AR736" s="1">
        <v>1</v>
      </c>
      <c r="AS736" s="1">
        <v>0</v>
      </c>
      <c r="AT736" s="1">
        <v>0</v>
      </c>
      <c r="AU736" s="1">
        <v>1</v>
      </c>
      <c r="AV736" s="1">
        <v>0</v>
      </c>
      <c r="AW736" s="1">
        <v>0</v>
      </c>
      <c r="AX736" s="1">
        <v>0</v>
      </c>
      <c r="AY736" s="1">
        <v>0</v>
      </c>
      <c r="AZ736" s="1">
        <v>0</v>
      </c>
      <c r="BA736" s="1">
        <v>1</v>
      </c>
      <c r="BB736" s="1">
        <v>0</v>
      </c>
      <c r="BC736" s="1">
        <v>0</v>
      </c>
      <c r="BD736" s="1">
        <v>0</v>
      </c>
      <c r="BE736" s="1">
        <v>1</v>
      </c>
      <c r="BF736" s="1">
        <v>0</v>
      </c>
      <c r="BG736" s="1">
        <v>0</v>
      </c>
      <c r="BH736" s="1">
        <v>0</v>
      </c>
      <c r="BI736" s="1">
        <v>0</v>
      </c>
      <c r="BJ736" s="1">
        <v>0</v>
      </c>
      <c r="BK736" s="1">
        <v>0</v>
      </c>
      <c r="BL736" s="1">
        <v>0</v>
      </c>
      <c r="BM736" s="1">
        <v>0</v>
      </c>
      <c r="BN736" s="1">
        <v>0</v>
      </c>
      <c r="BO736" s="1">
        <v>0</v>
      </c>
      <c r="BP736" s="1">
        <v>0</v>
      </c>
      <c r="BQ736" s="2" t="str">
        <f>HYPERLINK("http://www.d20pfsrd.com/magic/all-spells/d/dragon-s-breath","Dragon's Breath")</f>
        <v>Dragon's Breath</v>
      </c>
      <c r="BR736" s="1">
        <v>756</v>
      </c>
      <c r="BS736" s="1" t="s">
        <v>104</v>
      </c>
      <c r="BT736" s="1" t="s">
        <v>4814</v>
      </c>
      <c r="BV736" s="1" t="s">
        <v>4815</v>
      </c>
      <c r="BX736" s="1">
        <v>1</v>
      </c>
      <c r="BY736" s="1">
        <v>4</v>
      </c>
      <c r="BZ736" s="1" t="s">
        <v>104</v>
      </c>
      <c r="CA736" s="1" t="s">
        <v>104</v>
      </c>
      <c r="CB736" s="1" t="s">
        <v>104</v>
      </c>
      <c r="CC736" s="1" t="s">
        <v>104</v>
      </c>
      <c r="CD736" s="1" t="s">
        <v>104</v>
      </c>
      <c r="CE736" s="1" t="s">
        <v>104</v>
      </c>
      <c r="CF736" s="1" t="s">
        <v>104</v>
      </c>
      <c r="CG736" s="1" t="s">
        <v>104</v>
      </c>
      <c r="CH736" s="1" t="s">
        <v>104</v>
      </c>
      <c r="CJ736" s="1">
        <v>0</v>
      </c>
      <c r="CK736" s="1">
        <v>0</v>
      </c>
      <c r="CL736" s="1">
        <v>0</v>
      </c>
      <c r="CM736" s="1" t="s">
        <v>104</v>
      </c>
    </row>
    <row r="737" spans="1:91" ht="14.25" customHeight="1" x14ac:dyDescent="0.3">
      <c r="A737" s="1" t="s">
        <v>4816</v>
      </c>
      <c r="B737" s="1" t="s">
        <v>92</v>
      </c>
      <c r="D737" s="1" t="s">
        <v>48</v>
      </c>
      <c r="E737" s="1" t="s">
        <v>4817</v>
      </c>
      <c r="F737" s="1" t="s">
        <v>95</v>
      </c>
      <c r="G737" s="1" t="s">
        <v>4818</v>
      </c>
      <c r="H737" s="1">
        <v>0</v>
      </c>
      <c r="I737" s="1" t="s">
        <v>109</v>
      </c>
      <c r="L737" s="1" t="s">
        <v>4819</v>
      </c>
      <c r="M737" s="1" t="s">
        <v>119</v>
      </c>
      <c r="N737" s="1">
        <v>0</v>
      </c>
      <c r="O737" s="1">
        <v>0</v>
      </c>
      <c r="P737" s="1" t="s">
        <v>4820</v>
      </c>
      <c r="Q737" s="1" t="s">
        <v>101</v>
      </c>
      <c r="R737" s="1" t="s">
        <v>4821</v>
      </c>
      <c r="S737" s="1" t="s">
        <v>4403</v>
      </c>
      <c r="T737" s="1">
        <v>1</v>
      </c>
      <c r="U737" s="1">
        <v>1</v>
      </c>
      <c r="V737" s="1">
        <v>1</v>
      </c>
      <c r="W737" s="1">
        <v>0</v>
      </c>
      <c r="X737" s="1">
        <v>0</v>
      </c>
      <c r="Y737" s="1">
        <v>2</v>
      </c>
      <c r="Z737" s="1">
        <v>2</v>
      </c>
      <c r="AA737" s="1" t="s">
        <v>104</v>
      </c>
      <c r="AB737" s="1" t="s">
        <v>104</v>
      </c>
      <c r="AC737" s="1" t="s">
        <v>104</v>
      </c>
      <c r="AD737" s="1">
        <v>2</v>
      </c>
      <c r="AE737" s="1" t="s">
        <v>104</v>
      </c>
      <c r="AF737" s="1" t="s">
        <v>104</v>
      </c>
      <c r="AG737" s="1" t="s">
        <v>104</v>
      </c>
      <c r="AH737" s="1" t="s">
        <v>104</v>
      </c>
      <c r="AI737" s="1" t="s">
        <v>104</v>
      </c>
      <c r="AJ737" s="1" t="s">
        <v>104</v>
      </c>
      <c r="AK737" s="1" t="s">
        <v>104</v>
      </c>
      <c r="AL737" s="1" t="s">
        <v>104</v>
      </c>
      <c r="AM737" s="1" t="s">
        <v>104</v>
      </c>
      <c r="AO737" s="1">
        <v>2</v>
      </c>
      <c r="AQ737" s="1" t="s">
        <v>4822</v>
      </c>
      <c r="AR737" s="1">
        <v>0</v>
      </c>
      <c r="AS737" s="1">
        <v>0</v>
      </c>
      <c r="AT737" s="1">
        <v>0</v>
      </c>
      <c r="AU737" s="1">
        <v>0</v>
      </c>
      <c r="AV737" s="1">
        <v>0</v>
      </c>
      <c r="AW737" s="1">
        <v>1</v>
      </c>
      <c r="AX737" s="1">
        <v>0</v>
      </c>
      <c r="AY737" s="1">
        <v>0</v>
      </c>
      <c r="AZ737" s="1">
        <v>0</v>
      </c>
      <c r="BA737" s="1">
        <v>0</v>
      </c>
      <c r="BB737" s="1">
        <v>0</v>
      </c>
      <c r="BC737" s="1">
        <v>0</v>
      </c>
      <c r="BD737" s="1">
        <v>0</v>
      </c>
      <c r="BE737" s="1">
        <v>0</v>
      </c>
      <c r="BF737" s="1">
        <v>0</v>
      </c>
      <c r="BG737" s="1">
        <v>0</v>
      </c>
      <c r="BH737" s="1">
        <v>0</v>
      </c>
      <c r="BI737" s="1">
        <v>0</v>
      </c>
      <c r="BJ737" s="1">
        <v>0</v>
      </c>
      <c r="BK737" s="1">
        <v>0</v>
      </c>
      <c r="BL737" s="1">
        <v>0</v>
      </c>
      <c r="BM737" s="1">
        <v>0</v>
      </c>
      <c r="BN737" s="1">
        <v>0</v>
      </c>
      <c r="BO737" s="1">
        <v>0</v>
      </c>
      <c r="BP737" s="1">
        <v>0</v>
      </c>
      <c r="BQ737" s="2" t="str">
        <f>HYPERLINK("http://www.d20pfsrd.com/magic/all-spells/d/dust-of-twilight","Dust of Twilight")</f>
        <v>Dust of Twilight</v>
      </c>
      <c r="BR737" s="1">
        <v>757</v>
      </c>
      <c r="BS737" s="1" t="s">
        <v>104</v>
      </c>
      <c r="BU737" s="1" t="s">
        <v>4823</v>
      </c>
      <c r="BV737" s="1" t="s">
        <v>4824</v>
      </c>
      <c r="BW737" s="1" t="s">
        <v>4825</v>
      </c>
      <c r="BX737" s="1">
        <v>1</v>
      </c>
      <c r="BY737" s="1">
        <v>2</v>
      </c>
      <c r="BZ737" s="1" t="s">
        <v>104</v>
      </c>
      <c r="CA737" s="1" t="s">
        <v>104</v>
      </c>
      <c r="CB737" s="1" t="s">
        <v>104</v>
      </c>
      <c r="CC737" s="1" t="s">
        <v>104</v>
      </c>
      <c r="CD737" s="1" t="s">
        <v>104</v>
      </c>
      <c r="CE737" s="1" t="s">
        <v>104</v>
      </c>
      <c r="CF737" s="1" t="s">
        <v>104</v>
      </c>
      <c r="CG737" s="1" t="s">
        <v>104</v>
      </c>
      <c r="CH737" s="1" t="s">
        <v>104</v>
      </c>
      <c r="CJ737" s="1">
        <v>0</v>
      </c>
      <c r="CK737" s="1">
        <v>0</v>
      </c>
      <c r="CL737" s="1">
        <v>0</v>
      </c>
      <c r="CM737" s="1" t="s">
        <v>104</v>
      </c>
    </row>
    <row r="738" spans="1:91" ht="14.25" customHeight="1" x14ac:dyDescent="0.3">
      <c r="A738" s="1" t="s">
        <v>4826</v>
      </c>
      <c r="B738" s="1" t="s">
        <v>172</v>
      </c>
      <c r="E738" s="1" t="s">
        <v>4827</v>
      </c>
      <c r="F738" s="1" t="s">
        <v>191</v>
      </c>
      <c r="G738" s="1" t="s">
        <v>127</v>
      </c>
      <c r="H738" s="1">
        <v>0</v>
      </c>
      <c r="I738" s="1" t="s">
        <v>97</v>
      </c>
      <c r="K738" s="1" t="s">
        <v>290</v>
      </c>
      <c r="M738" s="1" t="s">
        <v>4641</v>
      </c>
      <c r="N738" s="1">
        <v>1</v>
      </c>
      <c r="O738" s="1">
        <v>0</v>
      </c>
      <c r="P738" s="1" t="s">
        <v>100</v>
      </c>
      <c r="Q738" s="1" t="s">
        <v>101</v>
      </c>
      <c r="R738" s="1" t="s">
        <v>4828</v>
      </c>
      <c r="S738" s="1" t="s">
        <v>4403</v>
      </c>
      <c r="T738" s="1">
        <v>1</v>
      </c>
      <c r="U738" s="1">
        <v>1</v>
      </c>
      <c r="V738" s="1">
        <v>0</v>
      </c>
      <c r="W738" s="1">
        <v>0</v>
      </c>
      <c r="X738" s="1">
        <v>1</v>
      </c>
      <c r="Y738" s="1" t="s">
        <v>104</v>
      </c>
      <c r="Z738" s="1" t="s">
        <v>104</v>
      </c>
      <c r="AA738" s="1" t="s">
        <v>104</v>
      </c>
      <c r="AB738" s="1">
        <v>2</v>
      </c>
      <c r="AC738" s="1">
        <v>2</v>
      </c>
      <c r="AD738" s="1" t="s">
        <v>104</v>
      </c>
      <c r="AE738" s="1" t="s">
        <v>104</v>
      </c>
      <c r="AF738" s="1" t="s">
        <v>104</v>
      </c>
      <c r="AG738" s="1" t="s">
        <v>104</v>
      </c>
      <c r="AH738" s="1" t="s">
        <v>104</v>
      </c>
      <c r="AI738" s="1" t="s">
        <v>104</v>
      </c>
      <c r="AJ738" s="1" t="s">
        <v>104</v>
      </c>
      <c r="AK738" s="1" t="s">
        <v>104</v>
      </c>
      <c r="AL738" s="1" t="s">
        <v>104</v>
      </c>
      <c r="AM738" s="1" t="s">
        <v>104</v>
      </c>
      <c r="AO738" s="1">
        <v>2</v>
      </c>
      <c r="AQ738" s="1" t="s">
        <v>4829</v>
      </c>
      <c r="AR738" s="1">
        <v>0</v>
      </c>
      <c r="AS738" s="1">
        <v>0</v>
      </c>
      <c r="AT738" s="1">
        <v>0</v>
      </c>
      <c r="AU738" s="1">
        <v>0</v>
      </c>
      <c r="AV738" s="1">
        <v>0</v>
      </c>
      <c r="AW738" s="1">
        <v>0</v>
      </c>
      <c r="AX738" s="1">
        <v>0</v>
      </c>
      <c r="AY738" s="1">
        <v>0</v>
      </c>
      <c r="AZ738" s="1">
        <v>0</v>
      </c>
      <c r="BA738" s="1">
        <v>0</v>
      </c>
      <c r="BB738" s="1">
        <v>0</v>
      </c>
      <c r="BC738" s="1">
        <v>0</v>
      </c>
      <c r="BD738" s="1">
        <v>0</v>
      </c>
      <c r="BE738" s="1">
        <v>0</v>
      </c>
      <c r="BF738" s="1">
        <v>0</v>
      </c>
      <c r="BG738" s="1">
        <v>0</v>
      </c>
      <c r="BH738" s="1">
        <v>0</v>
      </c>
      <c r="BI738" s="1">
        <v>0</v>
      </c>
      <c r="BJ738" s="1">
        <v>0</v>
      </c>
      <c r="BK738" s="1">
        <v>0</v>
      </c>
      <c r="BL738" s="1">
        <v>0</v>
      </c>
      <c r="BM738" s="1">
        <v>0</v>
      </c>
      <c r="BN738" s="1">
        <v>0</v>
      </c>
      <c r="BO738" s="1">
        <v>0</v>
      </c>
      <c r="BP738" s="1">
        <v>0</v>
      </c>
      <c r="BQ738" s="2" t="str">
        <f>HYPERLINK("http://www.d20pfsrd.com/magic/all-spells/e/eagle-eye","Eagle Eye")</f>
        <v>Eagle Eye</v>
      </c>
      <c r="BR738" s="1">
        <v>758</v>
      </c>
      <c r="BS738" s="1" t="s">
        <v>104</v>
      </c>
      <c r="BX738" s="1">
        <v>0</v>
      </c>
      <c r="BY738" s="1" t="s">
        <v>104</v>
      </c>
      <c r="BZ738" s="1">
        <v>2</v>
      </c>
      <c r="CA738" s="1">
        <v>2</v>
      </c>
      <c r="CB738" s="1" t="s">
        <v>104</v>
      </c>
      <c r="CC738" s="1" t="s">
        <v>104</v>
      </c>
      <c r="CD738" s="1" t="s">
        <v>104</v>
      </c>
      <c r="CE738" s="1" t="s">
        <v>104</v>
      </c>
      <c r="CF738" s="1" t="s">
        <v>104</v>
      </c>
      <c r="CG738" s="1" t="s">
        <v>104</v>
      </c>
      <c r="CH738" s="1">
        <v>2</v>
      </c>
      <c r="CJ738" s="1">
        <v>0</v>
      </c>
      <c r="CK738" s="1">
        <v>0</v>
      </c>
      <c r="CL738" s="1">
        <v>0</v>
      </c>
      <c r="CM738" s="1" t="s">
        <v>104</v>
      </c>
    </row>
    <row r="739" spans="1:91" ht="14.25" customHeight="1" x14ac:dyDescent="0.3">
      <c r="A739" s="1" t="s">
        <v>4830</v>
      </c>
      <c r="B739" s="1" t="s">
        <v>434</v>
      </c>
      <c r="D739" s="1" t="s">
        <v>4770</v>
      </c>
      <c r="E739" s="1" t="s">
        <v>4831</v>
      </c>
      <c r="F739" s="1" t="s">
        <v>95</v>
      </c>
      <c r="G739" s="1" t="s">
        <v>116</v>
      </c>
      <c r="H739" s="1">
        <v>0</v>
      </c>
      <c r="I739" s="1" t="s">
        <v>157</v>
      </c>
      <c r="L739" s="1" t="s">
        <v>158</v>
      </c>
      <c r="M739" s="1" t="s">
        <v>426</v>
      </c>
      <c r="N739" s="1">
        <v>1</v>
      </c>
      <c r="O739" s="1">
        <v>0</v>
      </c>
      <c r="P739" s="1" t="s">
        <v>1568</v>
      </c>
      <c r="Q739" s="1" t="s">
        <v>184</v>
      </c>
      <c r="R739" s="1" t="s">
        <v>4832</v>
      </c>
      <c r="S739" s="1" t="s">
        <v>4403</v>
      </c>
      <c r="T739" s="1">
        <v>1</v>
      </c>
      <c r="U739" s="1">
        <v>1</v>
      </c>
      <c r="V739" s="1">
        <v>0</v>
      </c>
      <c r="W739" s="1">
        <v>0</v>
      </c>
      <c r="X739" s="1">
        <v>0</v>
      </c>
      <c r="Y739" s="1">
        <v>3</v>
      </c>
      <c r="Z739" s="1">
        <v>3</v>
      </c>
      <c r="AA739" s="1" t="s">
        <v>104</v>
      </c>
      <c r="AB739" s="1" t="s">
        <v>104</v>
      </c>
      <c r="AC739" s="1" t="s">
        <v>104</v>
      </c>
      <c r="AD739" s="1" t="s">
        <v>104</v>
      </c>
      <c r="AE739" s="1" t="s">
        <v>104</v>
      </c>
      <c r="AF739" s="1">
        <v>3</v>
      </c>
      <c r="AG739" s="1" t="s">
        <v>104</v>
      </c>
      <c r="AH739" s="1" t="s">
        <v>104</v>
      </c>
      <c r="AI739" s="1" t="s">
        <v>104</v>
      </c>
      <c r="AJ739" s="1" t="s">
        <v>104</v>
      </c>
      <c r="AK739" s="1" t="s">
        <v>104</v>
      </c>
      <c r="AL739" s="1">
        <v>3</v>
      </c>
      <c r="AM739" s="1" t="s">
        <v>104</v>
      </c>
      <c r="AO739" s="1">
        <v>3</v>
      </c>
      <c r="AQ739" s="1" t="s">
        <v>4833</v>
      </c>
      <c r="AR739" s="1">
        <v>1</v>
      </c>
      <c r="AS739" s="1">
        <v>0</v>
      </c>
      <c r="AT739" s="1">
        <v>0</v>
      </c>
      <c r="AU739" s="1">
        <v>1</v>
      </c>
      <c r="AV739" s="1">
        <v>0</v>
      </c>
      <c r="AW739" s="1">
        <v>0</v>
      </c>
      <c r="AX739" s="1">
        <v>0</v>
      </c>
      <c r="AY739" s="1">
        <v>0</v>
      </c>
      <c r="AZ739" s="1">
        <v>0</v>
      </c>
      <c r="BA739" s="1">
        <v>1</v>
      </c>
      <c r="BB739" s="1">
        <v>0</v>
      </c>
      <c r="BC739" s="1">
        <v>0</v>
      </c>
      <c r="BD739" s="1">
        <v>0</v>
      </c>
      <c r="BE739" s="1">
        <v>1</v>
      </c>
      <c r="BF739" s="1">
        <v>0</v>
      </c>
      <c r="BG739" s="1">
        <v>0</v>
      </c>
      <c r="BH739" s="1">
        <v>0</v>
      </c>
      <c r="BI739" s="1">
        <v>0</v>
      </c>
      <c r="BJ739" s="1">
        <v>0</v>
      </c>
      <c r="BK739" s="1">
        <v>0</v>
      </c>
      <c r="BL739" s="1">
        <v>0</v>
      </c>
      <c r="BM739" s="1">
        <v>0</v>
      </c>
      <c r="BN739" s="1">
        <v>0</v>
      </c>
      <c r="BO739" s="1">
        <v>0</v>
      </c>
      <c r="BP739" s="1">
        <v>0</v>
      </c>
      <c r="BQ739" s="2" t="str">
        <f>HYPERLINK("http://www.d20pfsrd.com/magic/all-spells/e/elemental-aura","Elemental Aura")</f>
        <v>Elemental Aura</v>
      </c>
      <c r="BR739" s="1">
        <v>759</v>
      </c>
      <c r="BS739" s="1" t="s">
        <v>104</v>
      </c>
      <c r="BT739" s="1" t="s">
        <v>4834</v>
      </c>
      <c r="BX739" s="1">
        <v>0</v>
      </c>
      <c r="BY739" s="1">
        <v>3</v>
      </c>
      <c r="BZ739" s="1" t="s">
        <v>104</v>
      </c>
      <c r="CA739" s="1" t="s">
        <v>104</v>
      </c>
      <c r="CB739" s="1" t="s">
        <v>104</v>
      </c>
      <c r="CC739" s="1" t="s">
        <v>104</v>
      </c>
      <c r="CD739" s="1" t="s">
        <v>104</v>
      </c>
      <c r="CE739" s="1" t="s">
        <v>104</v>
      </c>
      <c r="CF739" s="1" t="s">
        <v>104</v>
      </c>
      <c r="CG739" s="1" t="s">
        <v>104</v>
      </c>
      <c r="CH739" s="1" t="s">
        <v>104</v>
      </c>
      <c r="CJ739" s="1">
        <v>0</v>
      </c>
      <c r="CK739" s="1">
        <v>0</v>
      </c>
      <c r="CL739" s="1">
        <v>0</v>
      </c>
      <c r="CM739" s="1" t="s">
        <v>104</v>
      </c>
    </row>
    <row r="740" spans="1:91" ht="14.25" customHeight="1" x14ac:dyDescent="0.3">
      <c r="A740" s="1" t="s">
        <v>4835</v>
      </c>
      <c r="B740" s="1" t="s">
        <v>172</v>
      </c>
      <c r="D740" s="1" t="s">
        <v>4836</v>
      </c>
      <c r="E740" s="1" t="s">
        <v>4837</v>
      </c>
      <c r="F740" s="1" t="s">
        <v>95</v>
      </c>
      <c r="G740" s="1" t="s">
        <v>4302</v>
      </c>
      <c r="H740" s="1">
        <v>0</v>
      </c>
      <c r="I740" s="1" t="s">
        <v>157</v>
      </c>
      <c r="L740" s="1" t="s">
        <v>158</v>
      </c>
      <c r="M740" s="1" t="s">
        <v>2330</v>
      </c>
      <c r="N740" s="1">
        <v>0</v>
      </c>
      <c r="O740" s="1">
        <v>0</v>
      </c>
      <c r="R740" s="1" t="s">
        <v>4838</v>
      </c>
      <c r="S740" s="1" t="s">
        <v>4403</v>
      </c>
      <c r="T740" s="1">
        <v>1</v>
      </c>
      <c r="U740" s="1">
        <v>1</v>
      </c>
      <c r="V740" s="1">
        <v>1</v>
      </c>
      <c r="W740" s="1">
        <v>0</v>
      </c>
      <c r="X740" s="1">
        <v>0</v>
      </c>
      <c r="Y740" s="1">
        <v>2</v>
      </c>
      <c r="Z740" s="1">
        <v>2</v>
      </c>
      <c r="AA740" s="1">
        <v>3</v>
      </c>
      <c r="AB740" s="1">
        <v>2</v>
      </c>
      <c r="AC740" s="1" t="s">
        <v>104</v>
      </c>
      <c r="AD740" s="1">
        <v>3</v>
      </c>
      <c r="AE740" s="1" t="s">
        <v>104</v>
      </c>
      <c r="AF740" s="1" t="s">
        <v>104</v>
      </c>
      <c r="AG740" s="1" t="s">
        <v>104</v>
      </c>
      <c r="AH740" s="1" t="s">
        <v>104</v>
      </c>
      <c r="AI740" s="1" t="s">
        <v>104</v>
      </c>
      <c r="AJ740" s="1">
        <v>3</v>
      </c>
      <c r="AK740" s="1" t="s">
        <v>104</v>
      </c>
      <c r="AL740" s="1" t="s">
        <v>104</v>
      </c>
      <c r="AM740" s="1" t="s">
        <v>104</v>
      </c>
      <c r="AO740" s="1">
        <v>2</v>
      </c>
      <c r="AQ740" s="1" t="s">
        <v>4839</v>
      </c>
      <c r="AR740" s="1">
        <v>0</v>
      </c>
      <c r="AS740" s="1">
        <v>1</v>
      </c>
      <c r="AT740" s="1">
        <v>0</v>
      </c>
      <c r="AU740" s="1">
        <v>0</v>
      </c>
      <c r="AV740" s="1">
        <v>0</v>
      </c>
      <c r="AW740" s="1">
        <v>0</v>
      </c>
      <c r="AX740" s="1">
        <v>0</v>
      </c>
      <c r="AY740" s="1">
        <v>0</v>
      </c>
      <c r="AZ740" s="1">
        <v>1</v>
      </c>
      <c r="BA740" s="1">
        <v>0</v>
      </c>
      <c r="BB740" s="1">
        <v>0</v>
      </c>
      <c r="BC740" s="1">
        <v>0</v>
      </c>
      <c r="BD740" s="1">
        <v>0</v>
      </c>
      <c r="BE740" s="1">
        <v>1</v>
      </c>
      <c r="BF740" s="1">
        <v>0</v>
      </c>
      <c r="BG740" s="1">
        <v>0</v>
      </c>
      <c r="BH740" s="1">
        <v>0</v>
      </c>
      <c r="BI740" s="1">
        <v>0</v>
      </c>
      <c r="BJ740" s="1">
        <v>0</v>
      </c>
      <c r="BK740" s="1">
        <v>0</v>
      </c>
      <c r="BL740" s="1">
        <v>0</v>
      </c>
      <c r="BM740" s="1">
        <v>0</v>
      </c>
      <c r="BN740" s="1">
        <v>0</v>
      </c>
      <c r="BO740" s="1">
        <v>0</v>
      </c>
      <c r="BP740" s="1">
        <v>1</v>
      </c>
      <c r="BQ740" s="2" t="str">
        <f>HYPERLINK("http://www.d20pfsrd.com/magic/all-spells/e/elemental-speech","Elemental Speech")</f>
        <v>Elemental Speech</v>
      </c>
      <c r="BR740" s="1">
        <v>760</v>
      </c>
      <c r="BS740" s="1" t="s">
        <v>104</v>
      </c>
      <c r="BX740" s="1">
        <v>0</v>
      </c>
      <c r="BY740" s="1" t="s">
        <v>104</v>
      </c>
      <c r="BZ740" s="1" t="s">
        <v>104</v>
      </c>
      <c r="CA740" s="1" t="s">
        <v>104</v>
      </c>
      <c r="CB740" s="1" t="s">
        <v>104</v>
      </c>
      <c r="CC740" s="1">
        <v>3</v>
      </c>
      <c r="CD740" s="1" t="s">
        <v>104</v>
      </c>
      <c r="CE740" s="1" t="s">
        <v>104</v>
      </c>
      <c r="CF740" s="1" t="s">
        <v>104</v>
      </c>
      <c r="CG740" s="1" t="s">
        <v>104</v>
      </c>
      <c r="CH740" s="1">
        <v>2</v>
      </c>
      <c r="CJ740" s="1">
        <v>0</v>
      </c>
      <c r="CK740" s="1">
        <v>0</v>
      </c>
      <c r="CL740" s="1">
        <v>0</v>
      </c>
      <c r="CM740" s="1" t="s">
        <v>104</v>
      </c>
    </row>
    <row r="741" spans="1:91" ht="14.25" customHeight="1" x14ac:dyDescent="0.3">
      <c r="A741" s="1" t="s">
        <v>4840</v>
      </c>
      <c r="B741" s="1" t="s">
        <v>434</v>
      </c>
      <c r="D741" s="1" t="s">
        <v>4770</v>
      </c>
      <c r="E741" s="1" t="s">
        <v>4841</v>
      </c>
      <c r="F741" s="1" t="s">
        <v>95</v>
      </c>
      <c r="G741" s="1" t="s">
        <v>4842</v>
      </c>
      <c r="H741" s="1">
        <v>0</v>
      </c>
      <c r="I741" s="1" t="s">
        <v>157</v>
      </c>
      <c r="L741" s="1" t="s">
        <v>158</v>
      </c>
      <c r="M741" s="1" t="s">
        <v>426</v>
      </c>
      <c r="N741" s="1">
        <v>1</v>
      </c>
      <c r="O741" s="1">
        <v>0</v>
      </c>
      <c r="P741" s="1" t="s">
        <v>145</v>
      </c>
      <c r="Q741" s="1" t="s">
        <v>101</v>
      </c>
      <c r="R741" s="1" t="s">
        <v>4843</v>
      </c>
      <c r="S741" s="1" t="s">
        <v>4403</v>
      </c>
      <c r="T741" s="1">
        <v>1</v>
      </c>
      <c r="U741" s="1">
        <v>1</v>
      </c>
      <c r="V741" s="1">
        <v>1</v>
      </c>
      <c r="W741" s="1">
        <v>0</v>
      </c>
      <c r="X741" s="1">
        <v>0</v>
      </c>
      <c r="Y741" s="1">
        <v>2</v>
      </c>
      <c r="Z741" s="1">
        <v>2</v>
      </c>
      <c r="AA741" s="1" t="s">
        <v>104</v>
      </c>
      <c r="AB741" s="1" t="s">
        <v>104</v>
      </c>
      <c r="AC741" s="1" t="s">
        <v>104</v>
      </c>
      <c r="AD741" s="1" t="s">
        <v>104</v>
      </c>
      <c r="AE741" s="1" t="s">
        <v>104</v>
      </c>
      <c r="AF741" s="1">
        <v>2</v>
      </c>
      <c r="AG741" s="1" t="s">
        <v>104</v>
      </c>
      <c r="AH741" s="1" t="s">
        <v>104</v>
      </c>
      <c r="AI741" s="1" t="s">
        <v>104</v>
      </c>
      <c r="AJ741" s="1" t="s">
        <v>104</v>
      </c>
      <c r="AK741" s="1" t="s">
        <v>104</v>
      </c>
      <c r="AL741" s="1">
        <v>2</v>
      </c>
      <c r="AM741" s="1" t="s">
        <v>104</v>
      </c>
      <c r="AO741" s="1">
        <v>2</v>
      </c>
      <c r="AQ741" s="1" t="s">
        <v>4844</v>
      </c>
      <c r="AR741" s="1">
        <v>1</v>
      </c>
      <c r="AS741" s="1">
        <v>0</v>
      </c>
      <c r="AT741" s="1">
        <v>0</v>
      </c>
      <c r="AU741" s="1">
        <v>1</v>
      </c>
      <c r="AV741" s="1">
        <v>0</v>
      </c>
      <c r="AW741" s="1">
        <v>0</v>
      </c>
      <c r="AX741" s="1">
        <v>0</v>
      </c>
      <c r="AY741" s="1">
        <v>0</v>
      </c>
      <c r="AZ741" s="1">
        <v>0</v>
      </c>
      <c r="BA741" s="1">
        <v>1</v>
      </c>
      <c r="BB741" s="1">
        <v>0</v>
      </c>
      <c r="BC741" s="1">
        <v>0</v>
      </c>
      <c r="BD741" s="1">
        <v>0</v>
      </c>
      <c r="BE741" s="1">
        <v>1</v>
      </c>
      <c r="BF741" s="1">
        <v>0</v>
      </c>
      <c r="BG741" s="1">
        <v>0</v>
      </c>
      <c r="BH741" s="1">
        <v>0</v>
      </c>
      <c r="BI741" s="1">
        <v>0</v>
      </c>
      <c r="BJ741" s="1">
        <v>0</v>
      </c>
      <c r="BK741" s="1">
        <v>0</v>
      </c>
      <c r="BL741" s="1">
        <v>0</v>
      </c>
      <c r="BM741" s="1">
        <v>0</v>
      </c>
      <c r="BN741" s="1">
        <v>0</v>
      </c>
      <c r="BO741" s="1">
        <v>0</v>
      </c>
      <c r="BP741" s="1">
        <v>0</v>
      </c>
      <c r="BQ741" s="2" t="str">
        <f>HYPERLINK("http://www.d20pfsrd.com/magic/all-spells/e/elemental-touch","Elemental Touch")</f>
        <v>Elemental Touch</v>
      </c>
      <c r="BR741" s="1">
        <v>761</v>
      </c>
      <c r="BS741" s="1" t="s">
        <v>104</v>
      </c>
      <c r="BX741" s="1">
        <v>0</v>
      </c>
      <c r="BY741" s="1">
        <v>2</v>
      </c>
      <c r="BZ741" s="1" t="s">
        <v>104</v>
      </c>
      <c r="CA741" s="1" t="s">
        <v>104</v>
      </c>
      <c r="CB741" s="1" t="s">
        <v>104</v>
      </c>
      <c r="CC741" s="1" t="s">
        <v>104</v>
      </c>
      <c r="CD741" s="1" t="s">
        <v>104</v>
      </c>
      <c r="CE741" s="1" t="s">
        <v>104</v>
      </c>
      <c r="CF741" s="1" t="s">
        <v>104</v>
      </c>
      <c r="CG741" s="1" t="s">
        <v>104</v>
      </c>
      <c r="CH741" s="1" t="s">
        <v>104</v>
      </c>
      <c r="CJ741" s="1">
        <v>0</v>
      </c>
      <c r="CK741" s="1">
        <v>0</v>
      </c>
      <c r="CL741" s="1">
        <v>0</v>
      </c>
      <c r="CM741" s="1" t="s">
        <v>104</v>
      </c>
    </row>
    <row r="742" spans="1:91" ht="14.25" customHeight="1" x14ac:dyDescent="0.3">
      <c r="A742" s="1" t="s">
        <v>4845</v>
      </c>
      <c r="B742" s="1" t="s">
        <v>137</v>
      </c>
      <c r="E742" s="1" t="s">
        <v>4846</v>
      </c>
      <c r="F742" s="1" t="s">
        <v>95</v>
      </c>
      <c r="G742" s="1" t="s">
        <v>4847</v>
      </c>
      <c r="H742" s="1">
        <v>1</v>
      </c>
      <c r="I742" s="1" t="s">
        <v>157</v>
      </c>
      <c r="L742" s="1" t="s">
        <v>158</v>
      </c>
      <c r="M742" s="1" t="s">
        <v>4848</v>
      </c>
      <c r="N742" s="1">
        <v>0</v>
      </c>
      <c r="O742" s="1">
        <v>0</v>
      </c>
      <c r="R742" s="1" t="s">
        <v>4849</v>
      </c>
      <c r="S742" s="1" t="s">
        <v>4403</v>
      </c>
      <c r="T742" s="1">
        <v>1</v>
      </c>
      <c r="U742" s="1">
        <v>1</v>
      </c>
      <c r="V742" s="1">
        <v>1</v>
      </c>
      <c r="W742" s="1">
        <v>0</v>
      </c>
      <c r="X742" s="1">
        <v>0</v>
      </c>
      <c r="Y742" s="1" t="s">
        <v>104</v>
      </c>
      <c r="Z742" s="1" t="s">
        <v>104</v>
      </c>
      <c r="AA742" s="1" t="s">
        <v>104</v>
      </c>
      <c r="AB742" s="1" t="s">
        <v>104</v>
      </c>
      <c r="AC742" s="1" t="s">
        <v>104</v>
      </c>
      <c r="AD742" s="1" t="s">
        <v>104</v>
      </c>
      <c r="AE742" s="1" t="s">
        <v>104</v>
      </c>
      <c r="AF742" s="1">
        <v>5</v>
      </c>
      <c r="AG742" s="1" t="s">
        <v>104</v>
      </c>
      <c r="AH742" s="1" t="s">
        <v>104</v>
      </c>
      <c r="AI742" s="1" t="s">
        <v>104</v>
      </c>
      <c r="AJ742" s="1" t="s">
        <v>104</v>
      </c>
      <c r="AK742" s="1" t="s">
        <v>104</v>
      </c>
      <c r="AL742" s="1" t="s">
        <v>104</v>
      </c>
      <c r="AM742" s="1" t="s">
        <v>104</v>
      </c>
      <c r="AO742" s="1">
        <v>5</v>
      </c>
      <c r="AQ742" s="1" t="s">
        <v>4850</v>
      </c>
      <c r="AR742" s="1">
        <v>0</v>
      </c>
      <c r="AS742" s="1">
        <v>0</v>
      </c>
      <c r="AT742" s="1">
        <v>0</v>
      </c>
      <c r="AU742" s="1">
        <v>0</v>
      </c>
      <c r="AV742" s="1">
        <v>0</v>
      </c>
      <c r="AW742" s="1">
        <v>0</v>
      </c>
      <c r="AX742" s="1">
        <v>0</v>
      </c>
      <c r="AY742" s="1">
        <v>0</v>
      </c>
      <c r="AZ742" s="1">
        <v>0</v>
      </c>
      <c r="BA742" s="1">
        <v>0</v>
      </c>
      <c r="BB742" s="1">
        <v>0</v>
      </c>
      <c r="BC742" s="1">
        <v>0</v>
      </c>
      <c r="BD742" s="1">
        <v>0</v>
      </c>
      <c r="BE742" s="1">
        <v>0</v>
      </c>
      <c r="BF742" s="1">
        <v>0</v>
      </c>
      <c r="BG742" s="1">
        <v>0</v>
      </c>
      <c r="BH742" s="1">
        <v>0</v>
      </c>
      <c r="BI742" s="1">
        <v>0</v>
      </c>
      <c r="BJ742" s="1">
        <v>0</v>
      </c>
      <c r="BK742" s="1">
        <v>0</v>
      </c>
      <c r="BL742" s="1">
        <v>0</v>
      </c>
      <c r="BM742" s="1">
        <v>0</v>
      </c>
      <c r="BN742" s="1">
        <v>0</v>
      </c>
      <c r="BO742" s="1">
        <v>0</v>
      </c>
      <c r="BP742" s="1">
        <v>0</v>
      </c>
      <c r="BQ742" s="2" t="str">
        <f>HYPERLINK("http://www.d20pfsrd.com/magic/all-spells/e/elude-time","Elude Time")</f>
        <v>Elude Time</v>
      </c>
      <c r="BR742" s="1">
        <v>762</v>
      </c>
      <c r="BS742" s="1">
        <v>500</v>
      </c>
      <c r="BX742" s="1">
        <v>0</v>
      </c>
      <c r="BY742" s="1" t="s">
        <v>104</v>
      </c>
      <c r="BZ742" s="1" t="s">
        <v>104</v>
      </c>
      <c r="CA742" s="1">
        <v>7</v>
      </c>
      <c r="CB742" s="1" t="s">
        <v>104</v>
      </c>
      <c r="CC742" s="1" t="s">
        <v>104</v>
      </c>
      <c r="CD742" s="1" t="s">
        <v>104</v>
      </c>
      <c r="CE742" s="1" t="s">
        <v>104</v>
      </c>
      <c r="CF742" s="1" t="s">
        <v>104</v>
      </c>
      <c r="CG742" s="1" t="s">
        <v>104</v>
      </c>
      <c r="CH742" s="1" t="s">
        <v>104</v>
      </c>
      <c r="CJ742" s="1">
        <v>0</v>
      </c>
      <c r="CK742" s="1">
        <v>0</v>
      </c>
      <c r="CL742" s="1">
        <v>0</v>
      </c>
      <c r="CM742" s="1" t="s">
        <v>104</v>
      </c>
    </row>
    <row r="743" spans="1:91" ht="14.25" customHeight="1" x14ac:dyDescent="0.3">
      <c r="A743" s="1" t="s">
        <v>4851</v>
      </c>
      <c r="B743" s="1" t="s">
        <v>137</v>
      </c>
      <c r="E743" s="1" t="s">
        <v>4852</v>
      </c>
      <c r="F743" s="1" t="s">
        <v>95</v>
      </c>
      <c r="G743" s="1" t="s">
        <v>4853</v>
      </c>
      <c r="H743" s="1">
        <v>0</v>
      </c>
      <c r="I743" s="1" t="s">
        <v>97</v>
      </c>
      <c r="L743" s="1" t="s">
        <v>1065</v>
      </c>
      <c r="M743" s="1" t="s">
        <v>426</v>
      </c>
      <c r="N743" s="1">
        <v>1</v>
      </c>
      <c r="O743" s="1">
        <v>0</v>
      </c>
      <c r="P743" s="1" t="s">
        <v>1080</v>
      </c>
      <c r="Q743" s="1" t="s">
        <v>184</v>
      </c>
      <c r="R743" s="1" t="s">
        <v>4854</v>
      </c>
      <c r="S743" s="1" t="s">
        <v>4403</v>
      </c>
      <c r="T743" s="1">
        <v>1</v>
      </c>
      <c r="U743" s="1">
        <v>1</v>
      </c>
      <c r="V743" s="1">
        <v>1</v>
      </c>
      <c r="W743" s="1">
        <v>0</v>
      </c>
      <c r="X743" s="1">
        <v>0</v>
      </c>
      <c r="Y743" s="1">
        <v>6</v>
      </c>
      <c r="Z743" s="1">
        <v>6</v>
      </c>
      <c r="AA743" s="1" t="s">
        <v>104</v>
      </c>
      <c r="AB743" s="1" t="s">
        <v>104</v>
      </c>
      <c r="AC743" s="1" t="s">
        <v>104</v>
      </c>
      <c r="AD743" s="1" t="s">
        <v>104</v>
      </c>
      <c r="AE743" s="1" t="s">
        <v>104</v>
      </c>
      <c r="AF743" s="1" t="s">
        <v>104</v>
      </c>
      <c r="AG743" s="1" t="s">
        <v>104</v>
      </c>
      <c r="AH743" s="1" t="s">
        <v>104</v>
      </c>
      <c r="AI743" s="1" t="s">
        <v>104</v>
      </c>
      <c r="AJ743" s="1" t="s">
        <v>104</v>
      </c>
      <c r="AK743" s="1" t="s">
        <v>104</v>
      </c>
      <c r="AL743" s="1" t="s">
        <v>104</v>
      </c>
      <c r="AM743" s="1" t="s">
        <v>104</v>
      </c>
      <c r="AO743" s="1">
        <v>6</v>
      </c>
      <c r="AQ743" s="1" t="s">
        <v>4855</v>
      </c>
      <c r="AR743" s="1">
        <v>0</v>
      </c>
      <c r="AS743" s="1">
        <v>0</v>
      </c>
      <c r="AT743" s="1">
        <v>0</v>
      </c>
      <c r="AU743" s="1">
        <v>0</v>
      </c>
      <c r="AV743" s="1">
        <v>0</v>
      </c>
      <c r="AW743" s="1">
        <v>0</v>
      </c>
      <c r="AX743" s="1">
        <v>0</v>
      </c>
      <c r="AY743" s="1">
        <v>0</v>
      </c>
      <c r="AZ743" s="1">
        <v>0</v>
      </c>
      <c r="BA743" s="1">
        <v>0</v>
      </c>
      <c r="BB743" s="1">
        <v>0</v>
      </c>
      <c r="BC743" s="1">
        <v>0</v>
      </c>
      <c r="BD743" s="1">
        <v>0</v>
      </c>
      <c r="BE743" s="1">
        <v>0</v>
      </c>
      <c r="BF743" s="1">
        <v>0</v>
      </c>
      <c r="BG743" s="1">
        <v>0</v>
      </c>
      <c r="BH743" s="1">
        <v>0</v>
      </c>
      <c r="BI743" s="1">
        <v>0</v>
      </c>
      <c r="BJ743" s="1">
        <v>0</v>
      </c>
      <c r="BK743" s="1">
        <v>0</v>
      </c>
      <c r="BL743" s="1">
        <v>0</v>
      </c>
      <c r="BM743" s="1">
        <v>0</v>
      </c>
      <c r="BN743" s="1">
        <v>0</v>
      </c>
      <c r="BO743" s="1">
        <v>0</v>
      </c>
      <c r="BP743" s="1">
        <v>0</v>
      </c>
      <c r="BQ743" s="2" t="str">
        <f>HYPERLINK("http://www.d20pfsrd.com/magic/all-spells/e/enemy-hammer","Enemy Hammer")</f>
        <v>Enemy Hammer</v>
      </c>
      <c r="BR743" s="1">
        <v>763</v>
      </c>
      <c r="BS743" s="1" t="s">
        <v>104</v>
      </c>
      <c r="BX743" s="1">
        <v>0</v>
      </c>
      <c r="BY743" s="1" t="s">
        <v>104</v>
      </c>
      <c r="BZ743" s="1" t="s">
        <v>104</v>
      </c>
      <c r="CA743" s="1">
        <v>6</v>
      </c>
      <c r="CB743" s="1" t="s">
        <v>104</v>
      </c>
      <c r="CC743" s="1" t="s">
        <v>104</v>
      </c>
      <c r="CD743" s="1">
        <v>6</v>
      </c>
      <c r="CE743" s="1">
        <v>6</v>
      </c>
      <c r="CF743" s="1" t="s">
        <v>104</v>
      </c>
      <c r="CG743" s="1" t="s">
        <v>104</v>
      </c>
      <c r="CH743" s="1" t="s">
        <v>104</v>
      </c>
      <c r="CJ743" s="1">
        <v>0</v>
      </c>
      <c r="CK743" s="1">
        <v>0</v>
      </c>
      <c r="CL743" s="1">
        <v>0</v>
      </c>
      <c r="CM743" s="1" t="s">
        <v>104</v>
      </c>
    </row>
    <row r="744" spans="1:91" ht="14.25" customHeight="1" x14ac:dyDescent="0.3">
      <c r="A744" s="1" t="s">
        <v>4856</v>
      </c>
      <c r="B744" s="1" t="s">
        <v>137</v>
      </c>
      <c r="E744" s="1" t="s">
        <v>4857</v>
      </c>
      <c r="F744" s="1" t="s">
        <v>95</v>
      </c>
      <c r="G744" s="1" t="s">
        <v>4858</v>
      </c>
      <c r="H744" s="1">
        <v>0</v>
      </c>
      <c r="I744" s="1" t="s">
        <v>4859</v>
      </c>
      <c r="K744" s="1" t="s">
        <v>4860</v>
      </c>
      <c r="M744" s="1" t="s">
        <v>210</v>
      </c>
      <c r="N744" s="1">
        <v>0</v>
      </c>
      <c r="O744" s="1">
        <v>0</v>
      </c>
      <c r="P744" s="1" t="s">
        <v>100</v>
      </c>
      <c r="Q744" s="1" t="s">
        <v>101</v>
      </c>
      <c r="R744" s="1" t="s">
        <v>4861</v>
      </c>
      <c r="S744" s="1" t="s">
        <v>4403</v>
      </c>
      <c r="T744" s="1">
        <v>1</v>
      </c>
      <c r="U744" s="1">
        <v>1</v>
      </c>
      <c r="V744" s="1">
        <v>1</v>
      </c>
      <c r="W744" s="1">
        <v>0</v>
      </c>
      <c r="X744" s="1">
        <v>1</v>
      </c>
      <c r="Y744" s="1">
        <v>3</v>
      </c>
      <c r="Z744" s="1">
        <v>3</v>
      </c>
      <c r="AA744" s="1">
        <v>3</v>
      </c>
      <c r="AB744" s="1" t="s">
        <v>104</v>
      </c>
      <c r="AC744" s="1" t="s">
        <v>104</v>
      </c>
      <c r="AD744" s="1">
        <v>2</v>
      </c>
      <c r="AE744" s="1" t="s">
        <v>104</v>
      </c>
      <c r="AF744" s="1" t="s">
        <v>104</v>
      </c>
      <c r="AG744" s="1" t="s">
        <v>104</v>
      </c>
      <c r="AH744" s="1" t="s">
        <v>104</v>
      </c>
      <c r="AI744" s="1" t="s">
        <v>104</v>
      </c>
      <c r="AJ744" s="1">
        <v>3</v>
      </c>
      <c r="AK744" s="1" t="s">
        <v>104</v>
      </c>
      <c r="AL744" s="1" t="s">
        <v>104</v>
      </c>
      <c r="AM744" s="1" t="s">
        <v>104</v>
      </c>
      <c r="AO744" s="1">
        <v>3</v>
      </c>
      <c r="AP744" s="1" t="s">
        <v>4862</v>
      </c>
      <c r="AQ744" s="1" t="s">
        <v>4863</v>
      </c>
      <c r="AR744" s="1">
        <v>0</v>
      </c>
      <c r="AS744" s="1">
        <v>0</v>
      </c>
      <c r="AT744" s="1">
        <v>0</v>
      </c>
      <c r="AU744" s="1">
        <v>0</v>
      </c>
      <c r="AV744" s="1">
        <v>0</v>
      </c>
      <c r="AW744" s="1">
        <v>0</v>
      </c>
      <c r="AX744" s="1">
        <v>0</v>
      </c>
      <c r="AY744" s="1">
        <v>0</v>
      </c>
      <c r="AZ744" s="1">
        <v>0</v>
      </c>
      <c r="BA744" s="1">
        <v>0</v>
      </c>
      <c r="BB744" s="1">
        <v>0</v>
      </c>
      <c r="BC744" s="1">
        <v>0</v>
      </c>
      <c r="BD744" s="1">
        <v>0</v>
      </c>
      <c r="BE744" s="1">
        <v>0</v>
      </c>
      <c r="BF744" s="1">
        <v>0</v>
      </c>
      <c r="BG744" s="1">
        <v>0</v>
      </c>
      <c r="BH744" s="1">
        <v>0</v>
      </c>
      <c r="BI744" s="1">
        <v>0</v>
      </c>
      <c r="BJ744" s="1">
        <v>0</v>
      </c>
      <c r="BK744" s="1">
        <v>0</v>
      </c>
      <c r="BL744" s="1">
        <v>0</v>
      </c>
      <c r="BM744" s="1">
        <v>0</v>
      </c>
      <c r="BN744" s="1">
        <v>0</v>
      </c>
      <c r="BO744" s="1">
        <v>0</v>
      </c>
      <c r="BP744" s="1">
        <v>0</v>
      </c>
      <c r="BQ744" s="2" t="str">
        <f>HYPERLINK("http://www.d20pfsrd.com/magic/all-spells/e/enter-image","Enter Image")</f>
        <v>Enter Image</v>
      </c>
      <c r="BR744" s="1">
        <v>764</v>
      </c>
      <c r="BS744" s="1" t="s">
        <v>104</v>
      </c>
      <c r="BX744" s="1">
        <v>0</v>
      </c>
      <c r="BY744" s="1" t="s">
        <v>104</v>
      </c>
      <c r="BZ744" s="1" t="s">
        <v>104</v>
      </c>
      <c r="CA744" s="1">
        <v>3</v>
      </c>
      <c r="CB744" s="1">
        <v>3</v>
      </c>
      <c r="CC744" s="1">
        <v>2</v>
      </c>
      <c r="CD744" s="1">
        <v>2</v>
      </c>
      <c r="CE744" s="1" t="s">
        <v>104</v>
      </c>
      <c r="CF744" s="1" t="s">
        <v>104</v>
      </c>
      <c r="CG744" s="1" t="s">
        <v>104</v>
      </c>
      <c r="CH744" s="1" t="s">
        <v>104</v>
      </c>
      <c r="CJ744" s="1">
        <v>0</v>
      </c>
      <c r="CK744" s="1">
        <v>0</v>
      </c>
      <c r="CL744" s="1">
        <v>0</v>
      </c>
      <c r="CM744" s="1" t="s">
        <v>104</v>
      </c>
    </row>
    <row r="745" spans="1:91" ht="14.25" customHeight="1" x14ac:dyDescent="0.3">
      <c r="A745" s="1" t="s">
        <v>4864</v>
      </c>
      <c r="B745" s="1" t="s">
        <v>123</v>
      </c>
      <c r="C745" s="1" t="s">
        <v>124</v>
      </c>
      <c r="D745" s="1" t="s">
        <v>271</v>
      </c>
      <c r="E745" s="1" t="s">
        <v>4865</v>
      </c>
      <c r="F745" s="1" t="s">
        <v>95</v>
      </c>
      <c r="G745" s="1" t="s">
        <v>4866</v>
      </c>
      <c r="H745" s="1">
        <v>0</v>
      </c>
      <c r="I745" s="1" t="s">
        <v>128</v>
      </c>
      <c r="L745" s="1" t="s">
        <v>374</v>
      </c>
      <c r="M745" s="1" t="s">
        <v>111</v>
      </c>
      <c r="N745" s="1">
        <v>0</v>
      </c>
      <c r="O745" s="1">
        <v>0</v>
      </c>
      <c r="P745" s="1" t="s">
        <v>4867</v>
      </c>
      <c r="Q745" s="1" t="s">
        <v>184</v>
      </c>
      <c r="R745" s="1" t="s">
        <v>4868</v>
      </c>
      <c r="S745" s="1" t="s">
        <v>4403</v>
      </c>
      <c r="T745" s="1">
        <v>1</v>
      </c>
      <c r="U745" s="1">
        <v>1</v>
      </c>
      <c r="V745" s="1">
        <v>1</v>
      </c>
      <c r="W745" s="1">
        <v>0</v>
      </c>
      <c r="X745" s="1">
        <v>1</v>
      </c>
      <c r="Y745" s="1">
        <v>8</v>
      </c>
      <c r="Z745" s="1">
        <v>8</v>
      </c>
      <c r="AA745" s="1">
        <v>8</v>
      </c>
      <c r="AB745" s="1">
        <v>8</v>
      </c>
      <c r="AC745" s="1" t="s">
        <v>104</v>
      </c>
      <c r="AD745" s="1">
        <v>6</v>
      </c>
      <c r="AE745" s="1" t="s">
        <v>104</v>
      </c>
      <c r="AF745" s="1" t="s">
        <v>104</v>
      </c>
      <c r="AG745" s="1" t="s">
        <v>104</v>
      </c>
      <c r="AH745" s="1" t="s">
        <v>104</v>
      </c>
      <c r="AI745" s="1" t="s">
        <v>104</v>
      </c>
      <c r="AJ745" s="1">
        <v>8</v>
      </c>
      <c r="AK745" s="1" t="s">
        <v>104</v>
      </c>
      <c r="AL745" s="1" t="s">
        <v>104</v>
      </c>
      <c r="AM745" s="1" t="s">
        <v>104</v>
      </c>
      <c r="AO745" s="1">
        <v>8</v>
      </c>
      <c r="AP745" s="1" t="s">
        <v>4869</v>
      </c>
      <c r="AQ745" s="1" t="s">
        <v>4870</v>
      </c>
      <c r="AR745" s="1">
        <v>0</v>
      </c>
      <c r="AS745" s="1">
        <v>0</v>
      </c>
      <c r="AT745" s="1">
        <v>0</v>
      </c>
      <c r="AU745" s="1">
        <v>0</v>
      </c>
      <c r="AV745" s="1">
        <v>0</v>
      </c>
      <c r="AW745" s="1">
        <v>0</v>
      </c>
      <c r="AX745" s="1">
        <v>0</v>
      </c>
      <c r="AY745" s="1">
        <v>0</v>
      </c>
      <c r="AZ745" s="1">
        <v>0</v>
      </c>
      <c r="BA745" s="1">
        <v>0</v>
      </c>
      <c r="BB745" s="1">
        <v>1</v>
      </c>
      <c r="BC745" s="1">
        <v>0</v>
      </c>
      <c r="BD745" s="1">
        <v>0</v>
      </c>
      <c r="BE745" s="1">
        <v>0</v>
      </c>
      <c r="BF745" s="1">
        <v>0</v>
      </c>
      <c r="BG745" s="1">
        <v>0</v>
      </c>
      <c r="BH745" s="1">
        <v>0</v>
      </c>
      <c r="BI745" s="1">
        <v>0</v>
      </c>
      <c r="BJ745" s="1">
        <v>0</v>
      </c>
      <c r="BK745" s="1">
        <v>1</v>
      </c>
      <c r="BL745" s="1">
        <v>0</v>
      </c>
      <c r="BM745" s="1">
        <v>0</v>
      </c>
      <c r="BN745" s="1">
        <v>0</v>
      </c>
      <c r="BO745" s="1">
        <v>0</v>
      </c>
      <c r="BP745" s="1">
        <v>0</v>
      </c>
      <c r="BQ745" s="2" t="str">
        <f>HYPERLINK("http://www.d20pfsrd.com/magic/all-spells/e/euphoric-tranquility","Euphoric Tranquility")</f>
        <v>Euphoric Tranquility</v>
      </c>
      <c r="BR745" s="1">
        <v>765</v>
      </c>
      <c r="BS745" s="1" t="s">
        <v>104</v>
      </c>
      <c r="BU745" s="1" t="s">
        <v>4871</v>
      </c>
      <c r="BX745" s="1">
        <v>0</v>
      </c>
      <c r="BY745" s="1" t="s">
        <v>104</v>
      </c>
      <c r="BZ745" s="1" t="s">
        <v>104</v>
      </c>
      <c r="CA745" s="1">
        <v>8</v>
      </c>
      <c r="CB745" s="1" t="s">
        <v>104</v>
      </c>
      <c r="CC745" s="1">
        <v>6</v>
      </c>
      <c r="CD745" s="1" t="s">
        <v>104</v>
      </c>
      <c r="CE745" s="1" t="s">
        <v>104</v>
      </c>
      <c r="CF745" s="1" t="s">
        <v>104</v>
      </c>
      <c r="CG745" s="1" t="s">
        <v>104</v>
      </c>
      <c r="CH745" s="1" t="s">
        <v>104</v>
      </c>
      <c r="CJ745" s="1">
        <v>0</v>
      </c>
      <c r="CK745" s="1">
        <v>0</v>
      </c>
      <c r="CL745" s="1">
        <v>0</v>
      </c>
      <c r="CM745" s="1" t="s">
        <v>104</v>
      </c>
    </row>
    <row r="746" spans="1:91" ht="14.25" customHeight="1" x14ac:dyDescent="0.3">
      <c r="A746" s="1" t="s">
        <v>4872</v>
      </c>
      <c r="B746" s="1" t="s">
        <v>137</v>
      </c>
      <c r="E746" s="1" t="s">
        <v>4873</v>
      </c>
      <c r="F746" s="1" t="s">
        <v>95</v>
      </c>
      <c r="G746" s="1" t="s">
        <v>4779</v>
      </c>
      <c r="H746" s="1">
        <v>0</v>
      </c>
      <c r="I746" s="1" t="s">
        <v>128</v>
      </c>
      <c r="L746" s="1" t="s">
        <v>4874</v>
      </c>
      <c r="M746" s="1" t="s">
        <v>2330</v>
      </c>
      <c r="N746" s="1">
        <v>0</v>
      </c>
      <c r="O746" s="1">
        <v>0</v>
      </c>
      <c r="P746" s="1" t="s">
        <v>375</v>
      </c>
      <c r="Q746" s="1" t="s">
        <v>101</v>
      </c>
      <c r="R746" s="1" t="s">
        <v>4875</v>
      </c>
      <c r="S746" s="1" t="s">
        <v>4403</v>
      </c>
      <c r="T746" s="1">
        <v>1</v>
      </c>
      <c r="U746" s="1">
        <v>1</v>
      </c>
      <c r="V746" s="1">
        <v>1</v>
      </c>
      <c r="W746" s="1">
        <v>0</v>
      </c>
      <c r="X746" s="1">
        <v>0</v>
      </c>
      <c r="Y746" s="1" t="s">
        <v>104</v>
      </c>
      <c r="Z746" s="1" t="s">
        <v>104</v>
      </c>
      <c r="AA746" s="1" t="s">
        <v>104</v>
      </c>
      <c r="AB746" s="1" t="s">
        <v>104</v>
      </c>
      <c r="AC746" s="1" t="s">
        <v>104</v>
      </c>
      <c r="AD746" s="1" t="s">
        <v>104</v>
      </c>
      <c r="AE746" s="1" t="s">
        <v>104</v>
      </c>
      <c r="AF746" s="1" t="s">
        <v>104</v>
      </c>
      <c r="AG746" s="1">
        <v>2</v>
      </c>
      <c r="AH746" s="1" t="s">
        <v>104</v>
      </c>
      <c r="AI746" s="1" t="s">
        <v>104</v>
      </c>
      <c r="AJ746" s="1" t="s">
        <v>104</v>
      </c>
      <c r="AK746" s="1" t="s">
        <v>104</v>
      </c>
      <c r="AL746" s="1" t="s">
        <v>104</v>
      </c>
      <c r="AM746" s="1" t="s">
        <v>104</v>
      </c>
      <c r="AO746" s="1">
        <v>2</v>
      </c>
      <c r="AQ746" s="1" t="s">
        <v>4876</v>
      </c>
      <c r="AR746" s="1">
        <v>0</v>
      </c>
      <c r="AS746" s="1">
        <v>0</v>
      </c>
      <c r="AT746" s="1">
        <v>0</v>
      </c>
      <c r="AU746" s="1">
        <v>0</v>
      </c>
      <c r="AV746" s="1">
        <v>0</v>
      </c>
      <c r="AW746" s="1">
        <v>0</v>
      </c>
      <c r="AX746" s="1">
        <v>0</v>
      </c>
      <c r="AY746" s="1">
        <v>0</v>
      </c>
      <c r="AZ746" s="1">
        <v>0</v>
      </c>
      <c r="BA746" s="1">
        <v>0</v>
      </c>
      <c r="BB746" s="1">
        <v>0</v>
      </c>
      <c r="BC746" s="1">
        <v>0</v>
      </c>
      <c r="BD746" s="1">
        <v>0</v>
      </c>
      <c r="BE746" s="1">
        <v>0</v>
      </c>
      <c r="BF746" s="1">
        <v>0</v>
      </c>
      <c r="BG746" s="1">
        <v>0</v>
      </c>
      <c r="BH746" s="1">
        <v>0</v>
      </c>
      <c r="BI746" s="1">
        <v>0</v>
      </c>
      <c r="BJ746" s="1">
        <v>0</v>
      </c>
      <c r="BK746" s="1">
        <v>0</v>
      </c>
      <c r="BL746" s="1">
        <v>0</v>
      </c>
      <c r="BM746" s="1">
        <v>0</v>
      </c>
      <c r="BN746" s="1">
        <v>0</v>
      </c>
      <c r="BO746" s="1">
        <v>0</v>
      </c>
      <c r="BP746" s="1">
        <v>0</v>
      </c>
      <c r="BQ746" s="2" t="str">
        <f>HYPERLINK("http://www.d20pfsrd.com/magic/all-spells/e/evolution-surge,-leser","Evolution Surge, Leser")</f>
        <v>Evolution Surge, Leser</v>
      </c>
      <c r="BR746" s="1">
        <v>766</v>
      </c>
      <c r="BS746" s="1" t="s">
        <v>104</v>
      </c>
      <c r="BX746" s="1">
        <v>0</v>
      </c>
      <c r="BY746" s="1" t="s">
        <v>104</v>
      </c>
      <c r="BZ746" s="1" t="s">
        <v>104</v>
      </c>
      <c r="CA746" s="1" t="s">
        <v>104</v>
      </c>
      <c r="CB746" s="1" t="s">
        <v>104</v>
      </c>
      <c r="CC746" s="1" t="s">
        <v>104</v>
      </c>
      <c r="CD746" s="1" t="s">
        <v>104</v>
      </c>
      <c r="CE746" s="1" t="s">
        <v>104</v>
      </c>
      <c r="CF746" s="1" t="s">
        <v>104</v>
      </c>
      <c r="CG746" s="1" t="s">
        <v>104</v>
      </c>
      <c r="CH746" s="1" t="s">
        <v>104</v>
      </c>
      <c r="CJ746" s="1">
        <v>0</v>
      </c>
      <c r="CK746" s="1">
        <v>0</v>
      </c>
      <c r="CL746" s="1">
        <v>0</v>
      </c>
      <c r="CM746" s="1">
        <v>2</v>
      </c>
    </row>
    <row r="747" spans="1:91" ht="14.25" customHeight="1" x14ac:dyDescent="0.3">
      <c r="A747" s="1" t="s">
        <v>4877</v>
      </c>
      <c r="B747" s="1" t="s">
        <v>137</v>
      </c>
      <c r="E747" s="1" t="s">
        <v>4878</v>
      </c>
      <c r="F747" s="1" t="s">
        <v>95</v>
      </c>
      <c r="G747" s="1" t="s">
        <v>4779</v>
      </c>
      <c r="H747" s="1">
        <v>0</v>
      </c>
      <c r="I747" s="1" t="s">
        <v>128</v>
      </c>
      <c r="L747" s="1" t="s">
        <v>4874</v>
      </c>
      <c r="M747" s="1" t="s">
        <v>2330</v>
      </c>
      <c r="N747" s="1">
        <v>0</v>
      </c>
      <c r="O747" s="1">
        <v>0</v>
      </c>
      <c r="P747" s="1" t="s">
        <v>375</v>
      </c>
      <c r="Q747" s="1" t="s">
        <v>101</v>
      </c>
      <c r="R747" s="1" t="s">
        <v>4879</v>
      </c>
      <c r="S747" s="1" t="s">
        <v>4403</v>
      </c>
      <c r="T747" s="1">
        <v>1</v>
      </c>
      <c r="U747" s="1">
        <v>1</v>
      </c>
      <c r="V747" s="1">
        <v>1</v>
      </c>
      <c r="W747" s="1">
        <v>0</v>
      </c>
      <c r="X747" s="1">
        <v>0</v>
      </c>
      <c r="Y747" s="1" t="s">
        <v>104</v>
      </c>
      <c r="Z747" s="1" t="s">
        <v>104</v>
      </c>
      <c r="AA747" s="1" t="s">
        <v>104</v>
      </c>
      <c r="AB747" s="1" t="s">
        <v>104</v>
      </c>
      <c r="AC747" s="1" t="s">
        <v>104</v>
      </c>
      <c r="AD747" s="1" t="s">
        <v>104</v>
      </c>
      <c r="AE747" s="1" t="s">
        <v>104</v>
      </c>
      <c r="AF747" s="1" t="s">
        <v>104</v>
      </c>
      <c r="AG747" s="1">
        <v>3</v>
      </c>
      <c r="AH747" s="1" t="s">
        <v>104</v>
      </c>
      <c r="AI747" s="1" t="s">
        <v>104</v>
      </c>
      <c r="AJ747" s="1" t="s">
        <v>104</v>
      </c>
      <c r="AK747" s="1" t="s">
        <v>104</v>
      </c>
      <c r="AL747" s="1" t="s">
        <v>104</v>
      </c>
      <c r="AM747" s="1" t="s">
        <v>104</v>
      </c>
      <c r="AO747" s="1">
        <v>3</v>
      </c>
      <c r="AQ747" s="1" t="s">
        <v>4880</v>
      </c>
      <c r="AR747" s="1">
        <v>0</v>
      </c>
      <c r="AS747" s="1">
        <v>0</v>
      </c>
      <c r="AT747" s="1">
        <v>0</v>
      </c>
      <c r="AU747" s="1">
        <v>0</v>
      </c>
      <c r="AV747" s="1">
        <v>0</v>
      </c>
      <c r="AW747" s="1">
        <v>0</v>
      </c>
      <c r="AX747" s="1">
        <v>0</v>
      </c>
      <c r="AY747" s="1">
        <v>0</v>
      </c>
      <c r="AZ747" s="1">
        <v>0</v>
      </c>
      <c r="BA747" s="1">
        <v>0</v>
      </c>
      <c r="BB747" s="1">
        <v>0</v>
      </c>
      <c r="BC747" s="1">
        <v>0</v>
      </c>
      <c r="BD747" s="1">
        <v>0</v>
      </c>
      <c r="BE747" s="1">
        <v>0</v>
      </c>
      <c r="BF747" s="1">
        <v>0</v>
      </c>
      <c r="BG747" s="1">
        <v>0</v>
      </c>
      <c r="BH747" s="1">
        <v>0</v>
      </c>
      <c r="BI747" s="1">
        <v>0</v>
      </c>
      <c r="BJ747" s="1">
        <v>0</v>
      </c>
      <c r="BK747" s="1">
        <v>0</v>
      </c>
      <c r="BL747" s="1">
        <v>0</v>
      </c>
      <c r="BM747" s="1">
        <v>0</v>
      </c>
      <c r="BN747" s="1">
        <v>0</v>
      </c>
      <c r="BO747" s="1">
        <v>0</v>
      </c>
      <c r="BP747" s="1">
        <v>0</v>
      </c>
      <c r="BQ747" s="2" t="str">
        <f>HYPERLINK("http://www.d20pfsrd.com/magic/all-spells/e/evolution-surge","Evolution Surge")</f>
        <v>Evolution Surge</v>
      </c>
      <c r="BR747" s="1">
        <v>767</v>
      </c>
      <c r="BS747" s="1" t="s">
        <v>104</v>
      </c>
      <c r="BX747" s="1">
        <v>0</v>
      </c>
      <c r="BY747" s="1" t="s">
        <v>104</v>
      </c>
      <c r="BZ747" s="1" t="s">
        <v>104</v>
      </c>
      <c r="CA747" s="1" t="s">
        <v>104</v>
      </c>
      <c r="CB747" s="1" t="s">
        <v>104</v>
      </c>
      <c r="CC747" s="1" t="s">
        <v>104</v>
      </c>
      <c r="CD747" s="1" t="s">
        <v>104</v>
      </c>
      <c r="CE747" s="1" t="s">
        <v>104</v>
      </c>
      <c r="CF747" s="1" t="s">
        <v>104</v>
      </c>
      <c r="CG747" s="1" t="s">
        <v>104</v>
      </c>
      <c r="CH747" s="1" t="s">
        <v>104</v>
      </c>
      <c r="CJ747" s="1">
        <v>0</v>
      </c>
      <c r="CK747" s="1">
        <v>0</v>
      </c>
      <c r="CL747" s="1">
        <v>0</v>
      </c>
      <c r="CM747" s="1">
        <v>3</v>
      </c>
    </row>
    <row r="748" spans="1:91" ht="14.25" customHeight="1" x14ac:dyDescent="0.3">
      <c r="A748" s="1" t="s">
        <v>4881</v>
      </c>
      <c r="B748" s="1" t="s">
        <v>137</v>
      </c>
      <c r="E748" s="1" t="s">
        <v>4882</v>
      </c>
      <c r="F748" s="1" t="s">
        <v>95</v>
      </c>
      <c r="G748" s="1" t="s">
        <v>4779</v>
      </c>
      <c r="H748" s="1">
        <v>0</v>
      </c>
      <c r="I748" s="1" t="s">
        <v>128</v>
      </c>
      <c r="L748" s="1" t="s">
        <v>4874</v>
      </c>
      <c r="M748" s="1" t="s">
        <v>2330</v>
      </c>
      <c r="N748" s="1">
        <v>0</v>
      </c>
      <c r="O748" s="1">
        <v>0</v>
      </c>
      <c r="P748" s="1" t="s">
        <v>375</v>
      </c>
      <c r="Q748" s="1" t="s">
        <v>101</v>
      </c>
      <c r="R748" s="1" t="s">
        <v>4883</v>
      </c>
      <c r="S748" s="1" t="s">
        <v>4403</v>
      </c>
      <c r="T748" s="1">
        <v>1</v>
      </c>
      <c r="U748" s="1">
        <v>1</v>
      </c>
      <c r="V748" s="1">
        <v>1</v>
      </c>
      <c r="W748" s="1">
        <v>0</v>
      </c>
      <c r="X748" s="1">
        <v>0</v>
      </c>
      <c r="Y748" s="1" t="s">
        <v>104</v>
      </c>
      <c r="Z748" s="1" t="s">
        <v>104</v>
      </c>
      <c r="AA748" s="1" t="s">
        <v>104</v>
      </c>
      <c r="AB748" s="1" t="s">
        <v>104</v>
      </c>
      <c r="AC748" s="1" t="s">
        <v>104</v>
      </c>
      <c r="AD748" s="1" t="s">
        <v>104</v>
      </c>
      <c r="AE748" s="1" t="s">
        <v>104</v>
      </c>
      <c r="AF748" s="1" t="s">
        <v>104</v>
      </c>
      <c r="AG748" s="1">
        <v>4</v>
      </c>
      <c r="AH748" s="1" t="s">
        <v>104</v>
      </c>
      <c r="AI748" s="1" t="s">
        <v>104</v>
      </c>
      <c r="AJ748" s="1" t="s">
        <v>104</v>
      </c>
      <c r="AK748" s="1" t="s">
        <v>104</v>
      </c>
      <c r="AL748" s="1" t="s">
        <v>104</v>
      </c>
      <c r="AM748" s="1" t="s">
        <v>104</v>
      </c>
      <c r="AO748" s="1">
        <v>4</v>
      </c>
      <c r="AQ748" s="1" t="s">
        <v>4884</v>
      </c>
      <c r="AR748" s="1">
        <v>0</v>
      </c>
      <c r="AS748" s="1">
        <v>0</v>
      </c>
      <c r="AT748" s="1">
        <v>0</v>
      </c>
      <c r="AU748" s="1">
        <v>0</v>
      </c>
      <c r="AV748" s="1">
        <v>0</v>
      </c>
      <c r="AW748" s="1">
        <v>0</v>
      </c>
      <c r="AX748" s="1">
        <v>0</v>
      </c>
      <c r="AY748" s="1">
        <v>0</v>
      </c>
      <c r="AZ748" s="1">
        <v>0</v>
      </c>
      <c r="BA748" s="1">
        <v>0</v>
      </c>
      <c r="BB748" s="1">
        <v>0</v>
      </c>
      <c r="BC748" s="1">
        <v>0</v>
      </c>
      <c r="BD748" s="1">
        <v>0</v>
      </c>
      <c r="BE748" s="1">
        <v>0</v>
      </c>
      <c r="BF748" s="1">
        <v>0</v>
      </c>
      <c r="BG748" s="1">
        <v>0</v>
      </c>
      <c r="BH748" s="1">
        <v>0</v>
      </c>
      <c r="BI748" s="1">
        <v>0</v>
      </c>
      <c r="BJ748" s="1">
        <v>0</v>
      </c>
      <c r="BK748" s="1">
        <v>0</v>
      </c>
      <c r="BL748" s="1">
        <v>0</v>
      </c>
      <c r="BM748" s="1">
        <v>0</v>
      </c>
      <c r="BN748" s="1">
        <v>0</v>
      </c>
      <c r="BO748" s="1">
        <v>0</v>
      </c>
      <c r="BP748" s="1">
        <v>0</v>
      </c>
      <c r="BQ748" s="2" t="str">
        <f>HYPERLINK("http://www.d20pfsrd.com/magic/all-spells/e/evolution-surge,-greater","Evolution Surge, Greater")</f>
        <v>Evolution Surge, Greater</v>
      </c>
      <c r="BR748" s="1">
        <v>768</v>
      </c>
      <c r="BS748" s="1" t="s">
        <v>104</v>
      </c>
      <c r="BX748" s="1">
        <v>0</v>
      </c>
      <c r="BY748" s="1" t="s">
        <v>104</v>
      </c>
      <c r="BZ748" s="1" t="s">
        <v>104</v>
      </c>
      <c r="CA748" s="1" t="s">
        <v>104</v>
      </c>
      <c r="CB748" s="1" t="s">
        <v>104</v>
      </c>
      <c r="CC748" s="1" t="s">
        <v>104</v>
      </c>
      <c r="CD748" s="1" t="s">
        <v>104</v>
      </c>
      <c r="CE748" s="1" t="s">
        <v>104</v>
      </c>
      <c r="CF748" s="1" t="s">
        <v>104</v>
      </c>
      <c r="CG748" s="1" t="s">
        <v>104</v>
      </c>
      <c r="CH748" s="1" t="s">
        <v>104</v>
      </c>
      <c r="CJ748" s="1">
        <v>0</v>
      </c>
      <c r="CK748" s="1">
        <v>0</v>
      </c>
      <c r="CL748" s="1">
        <v>0</v>
      </c>
      <c r="CM748" s="1">
        <v>4</v>
      </c>
    </row>
    <row r="749" spans="1:91" ht="14.25" customHeight="1" x14ac:dyDescent="0.3">
      <c r="A749" s="1" t="s">
        <v>4885</v>
      </c>
      <c r="B749" s="1" t="s">
        <v>137</v>
      </c>
      <c r="D749" s="1" t="s">
        <v>51</v>
      </c>
      <c r="E749" s="1" t="s">
        <v>4886</v>
      </c>
      <c r="F749" s="1" t="s">
        <v>95</v>
      </c>
      <c r="G749" s="1" t="s">
        <v>4887</v>
      </c>
      <c r="H749" s="1">
        <v>0</v>
      </c>
      <c r="I749" s="1" t="s">
        <v>117</v>
      </c>
      <c r="J749" s="1" t="s">
        <v>4888</v>
      </c>
      <c r="M749" s="1" t="s">
        <v>119</v>
      </c>
      <c r="N749" s="1">
        <v>0</v>
      </c>
      <c r="O749" s="1">
        <v>0</v>
      </c>
      <c r="P749" s="1" t="s">
        <v>145</v>
      </c>
      <c r="Q749" s="1" t="s">
        <v>101</v>
      </c>
      <c r="R749" s="1" t="s">
        <v>4889</v>
      </c>
      <c r="S749" s="1" t="s">
        <v>4403</v>
      </c>
      <c r="T749" s="1">
        <v>1</v>
      </c>
      <c r="U749" s="1">
        <v>1</v>
      </c>
      <c r="V749" s="1">
        <v>1</v>
      </c>
      <c r="W749" s="1">
        <v>0</v>
      </c>
      <c r="X749" s="1">
        <v>0</v>
      </c>
      <c r="Y749" s="1">
        <v>1</v>
      </c>
      <c r="Z749" s="1">
        <v>1</v>
      </c>
      <c r="AA749" s="1" t="s">
        <v>104</v>
      </c>
      <c r="AB749" s="1">
        <v>1</v>
      </c>
      <c r="AC749" s="1" t="s">
        <v>104</v>
      </c>
      <c r="AD749" s="1" t="s">
        <v>104</v>
      </c>
      <c r="AE749" s="1" t="s">
        <v>104</v>
      </c>
      <c r="AF749" s="1" t="s">
        <v>104</v>
      </c>
      <c r="AG749" s="1" t="s">
        <v>104</v>
      </c>
      <c r="AH749" s="1" t="s">
        <v>104</v>
      </c>
      <c r="AI749" s="1" t="s">
        <v>104</v>
      </c>
      <c r="AJ749" s="1" t="s">
        <v>104</v>
      </c>
      <c r="AK749" s="1" t="s">
        <v>104</v>
      </c>
      <c r="AL749" s="1" t="s">
        <v>104</v>
      </c>
      <c r="AM749" s="1" t="s">
        <v>104</v>
      </c>
      <c r="AO749" s="1">
        <v>1</v>
      </c>
      <c r="AQ749" s="1" t="s">
        <v>4890</v>
      </c>
      <c r="AR749" s="1">
        <v>0</v>
      </c>
      <c r="AS749" s="1">
        <v>0</v>
      </c>
      <c r="AT749" s="1">
        <v>0</v>
      </c>
      <c r="AU749" s="1">
        <v>0</v>
      </c>
      <c r="AV749" s="1">
        <v>0</v>
      </c>
      <c r="AW749" s="1">
        <v>0</v>
      </c>
      <c r="AX749" s="1">
        <v>0</v>
      </c>
      <c r="AY749" s="1">
        <v>0</v>
      </c>
      <c r="AZ749" s="1">
        <v>1</v>
      </c>
      <c r="BA749" s="1">
        <v>0</v>
      </c>
      <c r="BB749" s="1">
        <v>0</v>
      </c>
      <c r="BC749" s="1">
        <v>0</v>
      </c>
      <c r="BD749" s="1">
        <v>0</v>
      </c>
      <c r="BE749" s="1">
        <v>0</v>
      </c>
      <c r="BF749" s="1">
        <v>0</v>
      </c>
      <c r="BG749" s="1">
        <v>0</v>
      </c>
      <c r="BH749" s="1">
        <v>0</v>
      </c>
      <c r="BI749" s="1">
        <v>0</v>
      </c>
      <c r="BJ749" s="1">
        <v>0</v>
      </c>
      <c r="BK749" s="1">
        <v>0</v>
      </c>
      <c r="BL749" s="1">
        <v>0</v>
      </c>
      <c r="BM749" s="1">
        <v>0</v>
      </c>
      <c r="BN749" s="1">
        <v>0</v>
      </c>
      <c r="BO749" s="1">
        <v>0</v>
      </c>
      <c r="BP749" s="1">
        <v>0</v>
      </c>
      <c r="BQ749" s="2" t="str">
        <f>HYPERLINK("http://www.d20pfsrd.com/magic/all-spells/e/expeditious-excavation","Expeditious Excavation")</f>
        <v>Expeditious Excavation</v>
      </c>
      <c r="BR749" s="1">
        <v>769</v>
      </c>
      <c r="BS749" s="1" t="s">
        <v>104</v>
      </c>
      <c r="BT749" s="1" t="s">
        <v>4891</v>
      </c>
      <c r="BX749" s="1">
        <v>0</v>
      </c>
      <c r="BY749" s="1" t="s">
        <v>104</v>
      </c>
      <c r="BZ749" s="1" t="s">
        <v>104</v>
      </c>
      <c r="CA749" s="1" t="s">
        <v>104</v>
      </c>
      <c r="CB749" s="1" t="s">
        <v>104</v>
      </c>
      <c r="CC749" s="1" t="s">
        <v>104</v>
      </c>
      <c r="CD749" s="1" t="s">
        <v>104</v>
      </c>
      <c r="CE749" s="1" t="s">
        <v>104</v>
      </c>
      <c r="CF749" s="1" t="s">
        <v>104</v>
      </c>
      <c r="CG749" s="1" t="s">
        <v>104</v>
      </c>
      <c r="CH749" s="1">
        <v>1</v>
      </c>
      <c r="CJ749" s="1">
        <v>0</v>
      </c>
      <c r="CK749" s="1">
        <v>0</v>
      </c>
      <c r="CL749" s="1">
        <v>0</v>
      </c>
      <c r="CM749" s="1" t="s">
        <v>104</v>
      </c>
    </row>
    <row r="750" spans="1:91" ht="14.25" customHeight="1" x14ac:dyDescent="0.3">
      <c r="A750" s="1" t="s">
        <v>4892</v>
      </c>
      <c r="B750" s="1" t="s">
        <v>162</v>
      </c>
      <c r="E750" s="1" t="s">
        <v>843</v>
      </c>
      <c r="F750" s="1" t="s">
        <v>95</v>
      </c>
      <c r="G750" s="1" t="s">
        <v>4893</v>
      </c>
      <c r="H750" s="1">
        <v>0</v>
      </c>
      <c r="I750" s="1" t="s">
        <v>109</v>
      </c>
      <c r="J750" s="1" t="s">
        <v>627</v>
      </c>
      <c r="M750" s="1" t="s">
        <v>119</v>
      </c>
      <c r="N750" s="1">
        <v>0</v>
      </c>
      <c r="O750" s="1">
        <v>0</v>
      </c>
      <c r="P750" s="1" t="s">
        <v>211</v>
      </c>
      <c r="Q750" s="1" t="s">
        <v>184</v>
      </c>
      <c r="R750" s="1" t="s">
        <v>4894</v>
      </c>
      <c r="S750" s="1" t="s">
        <v>4403</v>
      </c>
      <c r="T750" s="1">
        <v>1</v>
      </c>
      <c r="U750" s="1">
        <v>1</v>
      </c>
      <c r="V750" s="1">
        <v>1</v>
      </c>
      <c r="W750" s="1">
        <v>0</v>
      </c>
      <c r="X750" s="1">
        <v>0</v>
      </c>
      <c r="Y750" s="1">
        <v>7</v>
      </c>
      <c r="Z750" s="1">
        <v>7</v>
      </c>
      <c r="AA750" s="1" t="s">
        <v>104</v>
      </c>
      <c r="AB750" s="1" t="s">
        <v>104</v>
      </c>
      <c r="AC750" s="1" t="s">
        <v>104</v>
      </c>
      <c r="AD750" s="1" t="s">
        <v>104</v>
      </c>
      <c r="AE750" s="1" t="s">
        <v>104</v>
      </c>
      <c r="AF750" s="1" t="s">
        <v>104</v>
      </c>
      <c r="AG750" s="1" t="s">
        <v>104</v>
      </c>
      <c r="AH750" s="1" t="s">
        <v>104</v>
      </c>
      <c r="AI750" s="1" t="s">
        <v>104</v>
      </c>
      <c r="AJ750" s="1" t="s">
        <v>104</v>
      </c>
      <c r="AK750" s="1" t="s">
        <v>104</v>
      </c>
      <c r="AL750" s="1" t="s">
        <v>104</v>
      </c>
      <c r="AM750" s="1" t="s">
        <v>104</v>
      </c>
      <c r="AO750" s="1">
        <v>7</v>
      </c>
      <c r="AQ750" s="1" t="s">
        <v>4895</v>
      </c>
      <c r="AR750" s="1">
        <v>0</v>
      </c>
      <c r="AS750" s="1">
        <v>0</v>
      </c>
      <c r="AT750" s="1">
        <v>0</v>
      </c>
      <c r="AU750" s="1">
        <v>0</v>
      </c>
      <c r="AV750" s="1">
        <v>0</v>
      </c>
      <c r="AW750" s="1">
        <v>0</v>
      </c>
      <c r="AX750" s="1">
        <v>0</v>
      </c>
      <c r="AY750" s="1">
        <v>0</v>
      </c>
      <c r="AZ750" s="1">
        <v>0</v>
      </c>
      <c r="BA750" s="1">
        <v>0</v>
      </c>
      <c r="BB750" s="1">
        <v>0</v>
      </c>
      <c r="BC750" s="1">
        <v>0</v>
      </c>
      <c r="BD750" s="1">
        <v>0</v>
      </c>
      <c r="BE750" s="1">
        <v>0</v>
      </c>
      <c r="BF750" s="1">
        <v>0</v>
      </c>
      <c r="BG750" s="1">
        <v>0</v>
      </c>
      <c r="BH750" s="1">
        <v>0</v>
      </c>
      <c r="BI750" s="1">
        <v>0</v>
      </c>
      <c r="BJ750" s="1">
        <v>0</v>
      </c>
      <c r="BK750" s="1">
        <v>0</v>
      </c>
      <c r="BL750" s="1">
        <v>0</v>
      </c>
      <c r="BM750" s="1">
        <v>0</v>
      </c>
      <c r="BN750" s="1">
        <v>0</v>
      </c>
      <c r="BO750" s="1">
        <v>0</v>
      </c>
      <c r="BP750" s="1">
        <v>0</v>
      </c>
      <c r="BQ750" s="2" t="str">
        <f>HYPERLINK("http://www.d20pfsrd.com/magic/all-spells/e/expend","Expend")</f>
        <v>Expend</v>
      </c>
      <c r="BR750" s="1">
        <v>770</v>
      </c>
      <c r="BS750" s="1" t="s">
        <v>104</v>
      </c>
      <c r="BU750" s="1" t="s">
        <v>4896</v>
      </c>
      <c r="BX750" s="1">
        <v>0</v>
      </c>
      <c r="BY750" s="1" t="s">
        <v>104</v>
      </c>
      <c r="BZ750" s="1" t="s">
        <v>104</v>
      </c>
      <c r="CA750" s="1" t="s">
        <v>104</v>
      </c>
      <c r="CB750" s="1" t="s">
        <v>104</v>
      </c>
      <c r="CC750" s="1" t="s">
        <v>104</v>
      </c>
      <c r="CD750" s="1" t="s">
        <v>104</v>
      </c>
      <c r="CE750" s="1" t="s">
        <v>104</v>
      </c>
      <c r="CF750" s="1" t="s">
        <v>104</v>
      </c>
      <c r="CG750" s="1" t="s">
        <v>104</v>
      </c>
      <c r="CH750" s="1" t="s">
        <v>104</v>
      </c>
      <c r="CJ750" s="1">
        <v>0</v>
      </c>
      <c r="CK750" s="1">
        <v>0</v>
      </c>
      <c r="CL750" s="1">
        <v>0</v>
      </c>
      <c r="CM750" s="1" t="s">
        <v>104</v>
      </c>
    </row>
    <row r="751" spans="1:91" ht="14.25" customHeight="1" x14ac:dyDescent="0.3">
      <c r="A751" s="1" t="s">
        <v>4897</v>
      </c>
      <c r="B751" s="1" t="s">
        <v>137</v>
      </c>
      <c r="E751" s="1" t="s">
        <v>4898</v>
      </c>
      <c r="F751" s="1" t="s">
        <v>95</v>
      </c>
      <c r="G751" s="1" t="s">
        <v>4899</v>
      </c>
      <c r="H751" s="1">
        <v>0</v>
      </c>
      <c r="I751" s="1" t="s">
        <v>4900</v>
      </c>
      <c r="L751" s="1" t="s">
        <v>1065</v>
      </c>
      <c r="M751" s="1" t="s">
        <v>4901</v>
      </c>
      <c r="N751" s="1">
        <v>1</v>
      </c>
      <c r="O751" s="1">
        <v>0</v>
      </c>
      <c r="P751" s="1" t="s">
        <v>183</v>
      </c>
      <c r="Q751" s="1" t="s">
        <v>184</v>
      </c>
      <c r="R751" s="1" t="s">
        <v>4902</v>
      </c>
      <c r="S751" s="1" t="s">
        <v>4403</v>
      </c>
      <c r="T751" s="1">
        <v>1</v>
      </c>
      <c r="U751" s="1">
        <v>1</v>
      </c>
      <c r="V751" s="1">
        <v>1</v>
      </c>
      <c r="W751" s="1">
        <v>0</v>
      </c>
      <c r="X751" s="1">
        <v>0</v>
      </c>
      <c r="Y751" s="1" t="s">
        <v>104</v>
      </c>
      <c r="Z751" s="1" t="s">
        <v>104</v>
      </c>
      <c r="AA751" s="1" t="s">
        <v>104</v>
      </c>
      <c r="AB751" s="1">
        <v>2</v>
      </c>
      <c r="AC751" s="1" t="s">
        <v>104</v>
      </c>
      <c r="AD751" s="1" t="s">
        <v>104</v>
      </c>
      <c r="AE751" s="1" t="s">
        <v>104</v>
      </c>
      <c r="AF751" s="1" t="s">
        <v>104</v>
      </c>
      <c r="AG751" s="1" t="s">
        <v>104</v>
      </c>
      <c r="AH751" s="1">
        <v>2</v>
      </c>
      <c r="AI751" s="1" t="s">
        <v>104</v>
      </c>
      <c r="AJ751" s="1" t="s">
        <v>104</v>
      </c>
      <c r="AK751" s="1" t="s">
        <v>104</v>
      </c>
      <c r="AL751" s="1" t="s">
        <v>104</v>
      </c>
      <c r="AM751" s="1" t="s">
        <v>104</v>
      </c>
      <c r="AO751" s="1">
        <v>2</v>
      </c>
      <c r="AQ751" s="1" t="s">
        <v>4903</v>
      </c>
      <c r="AR751" s="1">
        <v>0</v>
      </c>
      <c r="AS751" s="1">
        <v>0</v>
      </c>
      <c r="AT751" s="1">
        <v>0</v>
      </c>
      <c r="AU751" s="1">
        <v>0</v>
      </c>
      <c r="AV751" s="1">
        <v>0</v>
      </c>
      <c r="AW751" s="1">
        <v>0</v>
      </c>
      <c r="AX751" s="1">
        <v>0</v>
      </c>
      <c r="AY751" s="1">
        <v>0</v>
      </c>
      <c r="AZ751" s="1">
        <v>0</v>
      </c>
      <c r="BA751" s="1">
        <v>0</v>
      </c>
      <c r="BB751" s="1">
        <v>0</v>
      </c>
      <c r="BC751" s="1">
        <v>0</v>
      </c>
      <c r="BD751" s="1">
        <v>0</v>
      </c>
      <c r="BE751" s="1">
        <v>0</v>
      </c>
      <c r="BF751" s="1">
        <v>0</v>
      </c>
      <c r="BG751" s="1">
        <v>0</v>
      </c>
      <c r="BH751" s="1">
        <v>0</v>
      </c>
      <c r="BI751" s="1">
        <v>0</v>
      </c>
      <c r="BJ751" s="1">
        <v>0</v>
      </c>
      <c r="BK751" s="1">
        <v>0</v>
      </c>
      <c r="BL751" s="1">
        <v>0</v>
      </c>
      <c r="BM751" s="1">
        <v>0</v>
      </c>
      <c r="BN751" s="1">
        <v>0</v>
      </c>
      <c r="BO751" s="1">
        <v>0</v>
      </c>
      <c r="BP751" s="1">
        <v>0</v>
      </c>
      <c r="BQ751" s="2" t="str">
        <f>HYPERLINK("http://www.d20pfsrd.com/magic/all-spells/f/feast-of-ashes","Feast of Ashes")</f>
        <v>Feast of Ashes</v>
      </c>
      <c r="BR751" s="1">
        <v>771</v>
      </c>
      <c r="BS751" s="1" t="s">
        <v>104</v>
      </c>
      <c r="BT751" s="1" t="s">
        <v>4904</v>
      </c>
      <c r="BV751" s="1" t="s">
        <v>4905</v>
      </c>
      <c r="BX751" s="1">
        <v>1</v>
      </c>
      <c r="BY751" s="1" t="s">
        <v>104</v>
      </c>
      <c r="BZ751" s="1" t="s">
        <v>104</v>
      </c>
      <c r="CA751" s="1">
        <v>2</v>
      </c>
      <c r="CB751" s="1" t="s">
        <v>104</v>
      </c>
      <c r="CC751" s="1" t="s">
        <v>104</v>
      </c>
      <c r="CD751" s="1">
        <v>2</v>
      </c>
      <c r="CE751" s="1" t="s">
        <v>104</v>
      </c>
      <c r="CF751" s="1" t="s">
        <v>104</v>
      </c>
      <c r="CG751" s="1" t="s">
        <v>104</v>
      </c>
      <c r="CH751" s="1">
        <v>2</v>
      </c>
      <c r="CJ751" s="1">
        <v>0</v>
      </c>
      <c r="CK751" s="1">
        <v>0</v>
      </c>
      <c r="CL751" s="1">
        <v>0</v>
      </c>
      <c r="CM751" s="1" t="s">
        <v>104</v>
      </c>
    </row>
    <row r="752" spans="1:91" ht="14.25" customHeight="1" x14ac:dyDescent="0.3">
      <c r="A752" s="1" t="s">
        <v>4906</v>
      </c>
      <c r="B752" s="1" t="s">
        <v>137</v>
      </c>
      <c r="E752" s="1" t="s">
        <v>4907</v>
      </c>
      <c r="F752" s="1" t="s">
        <v>95</v>
      </c>
      <c r="G752" s="1" t="s">
        <v>116</v>
      </c>
      <c r="H752" s="1">
        <v>0</v>
      </c>
      <c r="I752" s="1" t="s">
        <v>117</v>
      </c>
      <c r="L752" s="1" t="s">
        <v>1065</v>
      </c>
      <c r="M752" s="1" t="s">
        <v>4292</v>
      </c>
      <c r="N752" s="1">
        <v>0</v>
      </c>
      <c r="O752" s="1">
        <v>0</v>
      </c>
      <c r="P752" s="1" t="s">
        <v>1058</v>
      </c>
      <c r="Q752" s="1" t="s">
        <v>184</v>
      </c>
      <c r="R752" s="1" t="s">
        <v>4908</v>
      </c>
      <c r="S752" s="1" t="s">
        <v>4403</v>
      </c>
      <c r="T752" s="1">
        <v>1</v>
      </c>
      <c r="U752" s="1">
        <v>1</v>
      </c>
      <c r="V752" s="1">
        <v>0</v>
      </c>
      <c r="W752" s="1">
        <v>0</v>
      </c>
      <c r="X752" s="1">
        <v>0</v>
      </c>
      <c r="Y752" s="1" t="s">
        <v>104</v>
      </c>
      <c r="Z752" s="1" t="s">
        <v>104</v>
      </c>
      <c r="AA752" s="1" t="s">
        <v>104</v>
      </c>
      <c r="AB752" s="1">
        <v>1</v>
      </c>
      <c r="AC752" s="1">
        <v>1</v>
      </c>
      <c r="AD752" s="1">
        <v>1</v>
      </c>
      <c r="AE752" s="1" t="s">
        <v>104</v>
      </c>
      <c r="AF752" s="1" t="s">
        <v>104</v>
      </c>
      <c r="AG752" s="1" t="s">
        <v>104</v>
      </c>
      <c r="AH752" s="1" t="s">
        <v>104</v>
      </c>
      <c r="AI752" s="1" t="s">
        <v>104</v>
      </c>
      <c r="AJ752" s="1" t="s">
        <v>104</v>
      </c>
      <c r="AK752" s="1" t="s">
        <v>104</v>
      </c>
      <c r="AL752" s="1" t="s">
        <v>104</v>
      </c>
      <c r="AM752" s="1" t="s">
        <v>104</v>
      </c>
      <c r="AO752" s="1">
        <v>1</v>
      </c>
      <c r="AQ752" s="1" t="s">
        <v>4909</v>
      </c>
      <c r="AR752" s="1">
        <v>0</v>
      </c>
      <c r="AS752" s="1">
        <v>0</v>
      </c>
      <c r="AT752" s="1">
        <v>0</v>
      </c>
      <c r="AU752" s="1">
        <v>0</v>
      </c>
      <c r="AV752" s="1">
        <v>0</v>
      </c>
      <c r="AW752" s="1">
        <v>0</v>
      </c>
      <c r="AX752" s="1">
        <v>0</v>
      </c>
      <c r="AY752" s="1">
        <v>0</v>
      </c>
      <c r="AZ752" s="1">
        <v>0</v>
      </c>
      <c r="BA752" s="1">
        <v>0</v>
      </c>
      <c r="BB752" s="1">
        <v>0</v>
      </c>
      <c r="BC752" s="1">
        <v>0</v>
      </c>
      <c r="BD752" s="1">
        <v>0</v>
      </c>
      <c r="BE752" s="1">
        <v>0</v>
      </c>
      <c r="BF752" s="1">
        <v>0</v>
      </c>
      <c r="BG752" s="1">
        <v>0</v>
      </c>
      <c r="BH752" s="1">
        <v>0</v>
      </c>
      <c r="BI752" s="1">
        <v>0</v>
      </c>
      <c r="BJ752" s="1">
        <v>0</v>
      </c>
      <c r="BK752" s="1">
        <v>0</v>
      </c>
      <c r="BL752" s="1">
        <v>0</v>
      </c>
      <c r="BM752" s="1">
        <v>0</v>
      </c>
      <c r="BN752" s="1">
        <v>0</v>
      </c>
      <c r="BO752" s="1">
        <v>0</v>
      </c>
      <c r="BP752" s="1">
        <v>0</v>
      </c>
      <c r="BQ752" s="2" t="str">
        <f>HYPERLINK("http://www.d20pfsrd.com/magic/all-spells/f/feather-step","Feather Step")</f>
        <v>Feather Step</v>
      </c>
      <c r="BR752" s="1">
        <v>772</v>
      </c>
      <c r="BS752" s="1" t="s">
        <v>104</v>
      </c>
      <c r="BX752" s="1">
        <v>0</v>
      </c>
      <c r="BY752" s="1" t="s">
        <v>104</v>
      </c>
      <c r="BZ752" s="1" t="s">
        <v>104</v>
      </c>
      <c r="CA752" s="1">
        <v>1</v>
      </c>
      <c r="CB752" s="1" t="s">
        <v>104</v>
      </c>
      <c r="CC752" s="1" t="s">
        <v>104</v>
      </c>
      <c r="CD752" s="1" t="s">
        <v>104</v>
      </c>
      <c r="CE752" s="1" t="s">
        <v>104</v>
      </c>
      <c r="CF752" s="1" t="s">
        <v>104</v>
      </c>
      <c r="CG752" s="1" t="s">
        <v>104</v>
      </c>
      <c r="CH752" s="1">
        <v>1</v>
      </c>
      <c r="CJ752" s="1">
        <v>0</v>
      </c>
      <c r="CK752" s="1">
        <v>0</v>
      </c>
      <c r="CL752" s="1">
        <v>0</v>
      </c>
      <c r="CM752" s="1" t="s">
        <v>104</v>
      </c>
    </row>
    <row r="753" spans="1:91" ht="14.25" customHeight="1" x14ac:dyDescent="0.3">
      <c r="A753" s="1" t="s">
        <v>4910</v>
      </c>
      <c r="B753" s="1" t="s">
        <v>137</v>
      </c>
      <c r="E753" s="1" t="s">
        <v>4911</v>
      </c>
      <c r="F753" s="1" t="s">
        <v>95</v>
      </c>
      <c r="G753" s="1" t="s">
        <v>116</v>
      </c>
      <c r="H753" s="1">
        <v>0</v>
      </c>
      <c r="I753" s="1" t="s">
        <v>117</v>
      </c>
      <c r="L753" s="1" t="s">
        <v>541</v>
      </c>
      <c r="M753" s="1" t="s">
        <v>4292</v>
      </c>
      <c r="N753" s="1">
        <v>0</v>
      </c>
      <c r="O753" s="1">
        <v>0</v>
      </c>
      <c r="P753" s="1" t="s">
        <v>1058</v>
      </c>
      <c r="Q753" s="1" t="s">
        <v>184</v>
      </c>
      <c r="R753" s="1" t="s">
        <v>4912</v>
      </c>
      <c r="S753" s="1" t="s">
        <v>4403</v>
      </c>
      <c r="T753" s="1">
        <v>1</v>
      </c>
      <c r="U753" s="1">
        <v>1</v>
      </c>
      <c r="V753" s="1">
        <v>0</v>
      </c>
      <c r="W753" s="1">
        <v>0</v>
      </c>
      <c r="X753" s="1">
        <v>0</v>
      </c>
      <c r="Y753" s="1" t="s">
        <v>104</v>
      </c>
      <c r="Z753" s="1" t="s">
        <v>104</v>
      </c>
      <c r="AA753" s="1" t="s">
        <v>104</v>
      </c>
      <c r="AB753" s="1">
        <v>3</v>
      </c>
      <c r="AC753" s="1">
        <v>3</v>
      </c>
      <c r="AD753" s="1">
        <v>3</v>
      </c>
      <c r="AE753" s="1" t="s">
        <v>104</v>
      </c>
      <c r="AF753" s="1" t="s">
        <v>104</v>
      </c>
      <c r="AG753" s="1" t="s">
        <v>104</v>
      </c>
      <c r="AH753" s="1" t="s">
        <v>104</v>
      </c>
      <c r="AI753" s="1" t="s">
        <v>104</v>
      </c>
      <c r="AJ753" s="1" t="s">
        <v>104</v>
      </c>
      <c r="AK753" s="1" t="s">
        <v>104</v>
      </c>
      <c r="AL753" s="1" t="s">
        <v>104</v>
      </c>
      <c r="AM753" s="1" t="s">
        <v>104</v>
      </c>
      <c r="AO753" s="1">
        <v>3</v>
      </c>
      <c r="AQ753" s="1" t="s">
        <v>4913</v>
      </c>
      <c r="AR753" s="1">
        <v>0</v>
      </c>
      <c r="AS753" s="1">
        <v>0</v>
      </c>
      <c r="AT753" s="1">
        <v>0</v>
      </c>
      <c r="AU753" s="1">
        <v>0</v>
      </c>
      <c r="AV753" s="1">
        <v>0</v>
      </c>
      <c r="AW753" s="1">
        <v>0</v>
      </c>
      <c r="AX753" s="1">
        <v>0</v>
      </c>
      <c r="AY753" s="1">
        <v>0</v>
      </c>
      <c r="AZ753" s="1">
        <v>0</v>
      </c>
      <c r="BA753" s="1">
        <v>0</v>
      </c>
      <c r="BB753" s="1">
        <v>0</v>
      </c>
      <c r="BC753" s="1">
        <v>0</v>
      </c>
      <c r="BD753" s="1">
        <v>0</v>
      </c>
      <c r="BE753" s="1">
        <v>0</v>
      </c>
      <c r="BF753" s="1">
        <v>0</v>
      </c>
      <c r="BG753" s="1">
        <v>0</v>
      </c>
      <c r="BH753" s="1">
        <v>0</v>
      </c>
      <c r="BI753" s="1">
        <v>0</v>
      </c>
      <c r="BJ753" s="1">
        <v>0</v>
      </c>
      <c r="BK753" s="1">
        <v>0</v>
      </c>
      <c r="BL753" s="1">
        <v>0</v>
      </c>
      <c r="BM753" s="1">
        <v>0</v>
      </c>
      <c r="BN753" s="1">
        <v>0</v>
      </c>
      <c r="BO753" s="1">
        <v>0</v>
      </c>
      <c r="BP753" s="1">
        <v>0</v>
      </c>
      <c r="BQ753" s="2" t="str">
        <f>HYPERLINK("http://www.d20pfsrd.com/magic/all-spells/f/feather-step,-mass","Feather Step, Mass")</f>
        <v>Feather Step, Mass</v>
      </c>
      <c r="BR753" s="1">
        <v>773</v>
      </c>
      <c r="BS753" s="1" t="s">
        <v>104</v>
      </c>
      <c r="BX753" s="1">
        <v>0</v>
      </c>
      <c r="BY753" s="1" t="s">
        <v>104</v>
      </c>
      <c r="BZ753" s="1" t="s">
        <v>104</v>
      </c>
      <c r="CA753" s="1">
        <v>3</v>
      </c>
      <c r="CB753" s="1" t="s">
        <v>104</v>
      </c>
      <c r="CC753" s="1" t="s">
        <v>104</v>
      </c>
      <c r="CD753" s="1" t="s">
        <v>104</v>
      </c>
      <c r="CE753" s="1" t="s">
        <v>104</v>
      </c>
      <c r="CF753" s="1" t="s">
        <v>104</v>
      </c>
      <c r="CG753" s="1" t="s">
        <v>104</v>
      </c>
      <c r="CH753" s="1">
        <v>3</v>
      </c>
      <c r="CJ753" s="1">
        <v>0</v>
      </c>
      <c r="CK753" s="1">
        <v>0</v>
      </c>
      <c r="CL753" s="1">
        <v>0</v>
      </c>
      <c r="CM753" s="1" t="s">
        <v>104</v>
      </c>
    </row>
    <row r="754" spans="1:91" ht="14.25" customHeight="1" x14ac:dyDescent="0.3">
      <c r="A754" s="1" t="s">
        <v>4914</v>
      </c>
      <c r="B754" s="1" t="s">
        <v>216</v>
      </c>
      <c r="E754" s="1" t="s">
        <v>4915</v>
      </c>
      <c r="F754" s="1" t="s">
        <v>95</v>
      </c>
      <c r="G754" s="1" t="s">
        <v>4916</v>
      </c>
      <c r="H754" s="1">
        <v>0</v>
      </c>
      <c r="I754" s="1" t="s">
        <v>117</v>
      </c>
      <c r="L754" s="1" t="s">
        <v>417</v>
      </c>
      <c r="M754" s="1" t="s">
        <v>4237</v>
      </c>
      <c r="N754" s="1">
        <v>0</v>
      </c>
      <c r="O754" s="1">
        <v>0</v>
      </c>
      <c r="P754" s="1" t="s">
        <v>1080</v>
      </c>
      <c r="Q754" s="1" t="s">
        <v>184</v>
      </c>
      <c r="R754" s="1" t="s">
        <v>4917</v>
      </c>
      <c r="S754" s="1" t="s">
        <v>4403</v>
      </c>
      <c r="T754" s="1">
        <v>1</v>
      </c>
      <c r="U754" s="1">
        <v>1</v>
      </c>
      <c r="V754" s="1">
        <v>1</v>
      </c>
      <c r="W754" s="1">
        <v>0</v>
      </c>
      <c r="X754" s="1">
        <v>0</v>
      </c>
      <c r="Y754" s="1" t="s">
        <v>104</v>
      </c>
      <c r="Z754" s="1" t="s">
        <v>104</v>
      </c>
      <c r="AA754" s="1" t="s">
        <v>104</v>
      </c>
      <c r="AB754" s="1" t="s">
        <v>104</v>
      </c>
      <c r="AC754" s="1" t="s">
        <v>104</v>
      </c>
      <c r="AD754" s="1" t="s">
        <v>104</v>
      </c>
      <c r="AE754" s="1" t="s">
        <v>104</v>
      </c>
      <c r="AF754" s="1" t="s">
        <v>104</v>
      </c>
      <c r="AG754" s="1" t="s">
        <v>104</v>
      </c>
      <c r="AH754" s="1">
        <v>2</v>
      </c>
      <c r="AI754" s="1">
        <v>3</v>
      </c>
      <c r="AJ754" s="1" t="s">
        <v>104</v>
      </c>
      <c r="AK754" s="1" t="s">
        <v>104</v>
      </c>
      <c r="AL754" s="1" t="s">
        <v>104</v>
      </c>
      <c r="AM754" s="1" t="s">
        <v>104</v>
      </c>
      <c r="AO754" s="1" t="s">
        <v>104</v>
      </c>
      <c r="AQ754" s="1" t="s">
        <v>4918</v>
      </c>
      <c r="AR754" s="1">
        <v>0</v>
      </c>
      <c r="AS754" s="1">
        <v>0</v>
      </c>
      <c r="AT754" s="1">
        <v>0</v>
      </c>
      <c r="AU754" s="1">
        <v>0</v>
      </c>
      <c r="AV754" s="1">
        <v>0</v>
      </c>
      <c r="AW754" s="1">
        <v>0</v>
      </c>
      <c r="AX754" s="1">
        <v>0</v>
      </c>
      <c r="AY754" s="1">
        <v>0</v>
      </c>
      <c r="AZ754" s="1">
        <v>0</v>
      </c>
      <c r="BA754" s="1">
        <v>0</v>
      </c>
      <c r="BB754" s="1">
        <v>0</v>
      </c>
      <c r="BC754" s="1">
        <v>0</v>
      </c>
      <c r="BD754" s="1">
        <v>0</v>
      </c>
      <c r="BE754" s="1">
        <v>0</v>
      </c>
      <c r="BF754" s="1">
        <v>0</v>
      </c>
      <c r="BG754" s="1">
        <v>0</v>
      </c>
      <c r="BH754" s="1">
        <v>0</v>
      </c>
      <c r="BI754" s="1">
        <v>0</v>
      </c>
      <c r="BJ754" s="1">
        <v>0</v>
      </c>
      <c r="BK754" s="1">
        <v>0</v>
      </c>
      <c r="BL754" s="1">
        <v>0</v>
      </c>
      <c r="BM754" s="1">
        <v>0</v>
      </c>
      <c r="BN754" s="1">
        <v>0</v>
      </c>
      <c r="BO754" s="1">
        <v>0</v>
      </c>
      <c r="BP754" s="1">
        <v>0</v>
      </c>
      <c r="BQ754" s="2" t="str">
        <f>HYPERLINK("http://www.d20pfsrd.com/magic/all-spells/f/fester","Fester")</f>
        <v>Fester</v>
      </c>
      <c r="BR754" s="1">
        <v>774</v>
      </c>
      <c r="BS754" s="1" t="s">
        <v>104</v>
      </c>
      <c r="BX754" s="1">
        <v>0</v>
      </c>
      <c r="BY754" s="1" t="s">
        <v>104</v>
      </c>
      <c r="BZ754" s="1" t="s">
        <v>104</v>
      </c>
      <c r="CA754" s="1" t="s">
        <v>104</v>
      </c>
      <c r="CB754" s="1" t="s">
        <v>104</v>
      </c>
      <c r="CC754" s="1" t="s">
        <v>104</v>
      </c>
      <c r="CD754" s="1" t="s">
        <v>104</v>
      </c>
      <c r="CE754" s="1" t="s">
        <v>104</v>
      </c>
      <c r="CF754" s="1" t="s">
        <v>104</v>
      </c>
      <c r="CG754" s="1" t="s">
        <v>104</v>
      </c>
      <c r="CH754" s="1" t="s">
        <v>104</v>
      </c>
      <c r="CJ754" s="1">
        <v>0</v>
      </c>
      <c r="CK754" s="1">
        <v>0</v>
      </c>
      <c r="CL754" s="1">
        <v>0</v>
      </c>
      <c r="CM754" s="1" t="s">
        <v>104</v>
      </c>
    </row>
    <row r="755" spans="1:91" ht="14.25" customHeight="1" x14ac:dyDescent="0.3">
      <c r="A755" s="1" t="s">
        <v>4919</v>
      </c>
      <c r="B755" s="1" t="s">
        <v>216</v>
      </c>
      <c r="E755" s="1" t="s">
        <v>4920</v>
      </c>
      <c r="F755" s="1" t="s">
        <v>95</v>
      </c>
      <c r="G755" s="1" t="s">
        <v>4916</v>
      </c>
      <c r="H755" s="1">
        <v>0</v>
      </c>
      <c r="I755" s="1" t="s">
        <v>117</v>
      </c>
      <c r="L755" s="1" t="s">
        <v>541</v>
      </c>
      <c r="M755" s="1" t="s">
        <v>4237</v>
      </c>
      <c r="N755" s="1">
        <v>0</v>
      </c>
      <c r="O755" s="1">
        <v>0</v>
      </c>
      <c r="P755" s="1" t="s">
        <v>1080</v>
      </c>
      <c r="Q755" s="1" t="s">
        <v>184</v>
      </c>
      <c r="R755" s="1" t="s">
        <v>4921</v>
      </c>
      <c r="S755" s="1" t="s">
        <v>4403</v>
      </c>
      <c r="T755" s="1">
        <v>1</v>
      </c>
      <c r="U755" s="1">
        <v>1</v>
      </c>
      <c r="V755" s="1">
        <v>1</v>
      </c>
      <c r="W755" s="1">
        <v>0</v>
      </c>
      <c r="X755" s="1">
        <v>0</v>
      </c>
      <c r="Y755" s="1" t="s">
        <v>104</v>
      </c>
      <c r="Z755" s="1" t="s">
        <v>104</v>
      </c>
      <c r="AA755" s="1" t="s">
        <v>104</v>
      </c>
      <c r="AB755" s="1" t="s">
        <v>104</v>
      </c>
      <c r="AC755" s="1" t="s">
        <v>104</v>
      </c>
      <c r="AD755" s="1" t="s">
        <v>104</v>
      </c>
      <c r="AE755" s="1" t="s">
        <v>104</v>
      </c>
      <c r="AF755" s="1" t="s">
        <v>104</v>
      </c>
      <c r="AG755" s="1" t="s">
        <v>104</v>
      </c>
      <c r="AH755" s="1">
        <v>6</v>
      </c>
      <c r="AI755" s="1">
        <v>6</v>
      </c>
      <c r="AJ755" s="1" t="s">
        <v>104</v>
      </c>
      <c r="AK755" s="1" t="s">
        <v>104</v>
      </c>
      <c r="AL755" s="1" t="s">
        <v>104</v>
      </c>
      <c r="AM755" s="1" t="s">
        <v>104</v>
      </c>
      <c r="AO755" s="1">
        <v>6</v>
      </c>
      <c r="AQ755" s="1" t="s">
        <v>4922</v>
      </c>
      <c r="AR755" s="1">
        <v>0</v>
      </c>
      <c r="AS755" s="1">
        <v>0</v>
      </c>
      <c r="AT755" s="1">
        <v>0</v>
      </c>
      <c r="AU755" s="1">
        <v>0</v>
      </c>
      <c r="AV755" s="1">
        <v>0</v>
      </c>
      <c r="AW755" s="1">
        <v>0</v>
      </c>
      <c r="AX755" s="1">
        <v>0</v>
      </c>
      <c r="AY755" s="1">
        <v>0</v>
      </c>
      <c r="AZ755" s="1">
        <v>0</v>
      </c>
      <c r="BA755" s="1">
        <v>0</v>
      </c>
      <c r="BB755" s="1">
        <v>0</v>
      </c>
      <c r="BC755" s="1">
        <v>0</v>
      </c>
      <c r="BD755" s="1">
        <v>0</v>
      </c>
      <c r="BE755" s="1">
        <v>0</v>
      </c>
      <c r="BF755" s="1">
        <v>0</v>
      </c>
      <c r="BG755" s="1">
        <v>0</v>
      </c>
      <c r="BH755" s="1">
        <v>0</v>
      </c>
      <c r="BI755" s="1">
        <v>0</v>
      </c>
      <c r="BJ755" s="1">
        <v>0</v>
      </c>
      <c r="BK755" s="1">
        <v>0</v>
      </c>
      <c r="BL755" s="1">
        <v>0</v>
      </c>
      <c r="BM755" s="1">
        <v>0</v>
      </c>
      <c r="BN755" s="1">
        <v>0</v>
      </c>
      <c r="BO755" s="1">
        <v>0</v>
      </c>
      <c r="BP755" s="1">
        <v>0</v>
      </c>
      <c r="BQ755" s="2" t="str">
        <f>HYPERLINK("http://www.d20pfsrd.com/magic/all-spells/f/fester,-mass","Fester, Mass")</f>
        <v>Fester, Mass</v>
      </c>
      <c r="BR755" s="1">
        <v>775</v>
      </c>
      <c r="BS755" s="1" t="s">
        <v>104</v>
      </c>
      <c r="BX755" s="1">
        <v>0</v>
      </c>
      <c r="BY755" s="1" t="s">
        <v>104</v>
      </c>
      <c r="BZ755" s="1" t="s">
        <v>104</v>
      </c>
      <c r="CA755" s="1" t="s">
        <v>104</v>
      </c>
      <c r="CB755" s="1" t="s">
        <v>104</v>
      </c>
      <c r="CC755" s="1" t="s">
        <v>104</v>
      </c>
      <c r="CD755" s="1" t="s">
        <v>104</v>
      </c>
      <c r="CE755" s="1" t="s">
        <v>104</v>
      </c>
      <c r="CF755" s="1" t="s">
        <v>104</v>
      </c>
      <c r="CG755" s="1" t="s">
        <v>104</v>
      </c>
      <c r="CH755" s="1" t="s">
        <v>104</v>
      </c>
      <c r="CJ755" s="1">
        <v>0</v>
      </c>
      <c r="CK755" s="1">
        <v>0</v>
      </c>
      <c r="CL755" s="1">
        <v>0</v>
      </c>
      <c r="CM755" s="1" t="s">
        <v>104</v>
      </c>
    </row>
    <row r="756" spans="1:91" ht="14.25" customHeight="1" x14ac:dyDescent="0.3">
      <c r="A756" s="1" t="s">
        <v>4923</v>
      </c>
      <c r="B756" s="1" t="s">
        <v>137</v>
      </c>
      <c r="D756" s="1" t="s">
        <v>56</v>
      </c>
      <c r="E756" s="1" t="s">
        <v>2513</v>
      </c>
      <c r="F756" s="1" t="s">
        <v>95</v>
      </c>
      <c r="G756" s="1" t="s">
        <v>237</v>
      </c>
      <c r="H756" s="1">
        <v>0</v>
      </c>
      <c r="I756" s="1" t="s">
        <v>157</v>
      </c>
      <c r="L756" s="1" t="s">
        <v>158</v>
      </c>
      <c r="M756" s="1" t="s">
        <v>2330</v>
      </c>
      <c r="N756" s="1">
        <v>0</v>
      </c>
      <c r="O756" s="1">
        <v>0</v>
      </c>
      <c r="R756" s="1" t="s">
        <v>4924</v>
      </c>
      <c r="S756" s="1" t="s">
        <v>4403</v>
      </c>
      <c r="T756" s="1">
        <v>1</v>
      </c>
      <c r="U756" s="1">
        <v>0</v>
      </c>
      <c r="V756" s="1">
        <v>0</v>
      </c>
      <c r="W756" s="1">
        <v>0</v>
      </c>
      <c r="X756" s="1">
        <v>0</v>
      </c>
      <c r="Y756" s="1">
        <v>9</v>
      </c>
      <c r="Z756" s="1">
        <v>9</v>
      </c>
      <c r="AA756" s="1" t="s">
        <v>104</v>
      </c>
      <c r="AB756" s="1" t="s">
        <v>104</v>
      </c>
      <c r="AC756" s="1" t="s">
        <v>104</v>
      </c>
      <c r="AD756" s="1" t="s">
        <v>104</v>
      </c>
      <c r="AE756" s="1" t="s">
        <v>104</v>
      </c>
      <c r="AF756" s="1" t="s">
        <v>104</v>
      </c>
      <c r="AG756" s="1" t="s">
        <v>104</v>
      </c>
      <c r="AH756" s="1" t="s">
        <v>104</v>
      </c>
      <c r="AI756" s="1" t="s">
        <v>104</v>
      </c>
      <c r="AJ756" s="1" t="s">
        <v>104</v>
      </c>
      <c r="AK756" s="1" t="s">
        <v>104</v>
      </c>
      <c r="AL756" s="1" t="s">
        <v>104</v>
      </c>
      <c r="AM756" s="1" t="s">
        <v>104</v>
      </c>
      <c r="AO756" s="1">
        <v>9</v>
      </c>
      <c r="AP756" s="1" t="s">
        <v>4925</v>
      </c>
      <c r="AQ756" s="1" t="s">
        <v>4926</v>
      </c>
      <c r="AR756" s="1">
        <v>0</v>
      </c>
      <c r="AS756" s="1">
        <v>0</v>
      </c>
      <c r="AT756" s="1">
        <v>0</v>
      </c>
      <c r="AU756" s="1">
        <v>0</v>
      </c>
      <c r="AV756" s="1">
        <v>0</v>
      </c>
      <c r="AW756" s="1">
        <v>0</v>
      </c>
      <c r="AX756" s="1">
        <v>0</v>
      </c>
      <c r="AY756" s="1">
        <v>0</v>
      </c>
      <c r="AZ756" s="1">
        <v>0</v>
      </c>
      <c r="BA756" s="1">
        <v>0</v>
      </c>
      <c r="BB756" s="1">
        <v>0</v>
      </c>
      <c r="BC756" s="1">
        <v>0</v>
      </c>
      <c r="BD756" s="1">
        <v>0</v>
      </c>
      <c r="BE756" s="1">
        <v>1</v>
      </c>
      <c r="BF756" s="1">
        <v>0</v>
      </c>
      <c r="BG756" s="1">
        <v>0</v>
      </c>
      <c r="BH756" s="1">
        <v>0</v>
      </c>
      <c r="BI756" s="1">
        <v>0</v>
      </c>
      <c r="BJ756" s="1">
        <v>0</v>
      </c>
      <c r="BK756" s="1">
        <v>0</v>
      </c>
      <c r="BL756" s="1">
        <v>0</v>
      </c>
      <c r="BM756" s="1">
        <v>0</v>
      </c>
      <c r="BN756" s="1">
        <v>0</v>
      </c>
      <c r="BO756" s="1">
        <v>0</v>
      </c>
      <c r="BP756" s="1">
        <v>0</v>
      </c>
      <c r="BQ756" s="2" t="str">
        <f>HYPERLINK("http://www.d20pfsrd.com/magic/all-spells/f/fiery-body","Fiery Body")</f>
        <v>Fiery Body</v>
      </c>
      <c r="BR756" s="1">
        <v>776</v>
      </c>
      <c r="BS756" s="1" t="s">
        <v>104</v>
      </c>
      <c r="BU756" s="1" t="s">
        <v>4927</v>
      </c>
      <c r="BX756" s="1">
        <v>0</v>
      </c>
      <c r="BY756" s="1" t="s">
        <v>104</v>
      </c>
      <c r="BZ756" s="1" t="s">
        <v>104</v>
      </c>
      <c r="CA756" s="1" t="s">
        <v>104</v>
      </c>
      <c r="CB756" s="1" t="s">
        <v>104</v>
      </c>
      <c r="CC756" s="1" t="s">
        <v>104</v>
      </c>
      <c r="CD756" s="1" t="s">
        <v>104</v>
      </c>
      <c r="CE756" s="1" t="s">
        <v>104</v>
      </c>
      <c r="CF756" s="1" t="s">
        <v>104</v>
      </c>
      <c r="CG756" s="1" t="s">
        <v>104</v>
      </c>
      <c r="CH756" s="1" t="s">
        <v>104</v>
      </c>
      <c r="CJ756" s="1">
        <v>0</v>
      </c>
      <c r="CK756" s="1">
        <v>0</v>
      </c>
      <c r="CL756" s="1">
        <v>0</v>
      </c>
      <c r="CM756" s="1" t="s">
        <v>104</v>
      </c>
    </row>
    <row r="757" spans="1:91" ht="14.25" customHeight="1" x14ac:dyDescent="0.3">
      <c r="A757" s="1" t="s">
        <v>4928</v>
      </c>
      <c r="B757" s="1" t="s">
        <v>434</v>
      </c>
      <c r="D757" s="1" t="s">
        <v>56</v>
      </c>
      <c r="E757" s="1" t="s">
        <v>4841</v>
      </c>
      <c r="F757" s="1" t="s">
        <v>95</v>
      </c>
      <c r="G757" s="1" t="s">
        <v>4929</v>
      </c>
      <c r="H757" s="1">
        <v>0</v>
      </c>
      <c r="I757" s="1" t="s">
        <v>548</v>
      </c>
      <c r="J757" s="1" t="s">
        <v>549</v>
      </c>
      <c r="M757" s="1" t="s">
        <v>4930</v>
      </c>
      <c r="N757" s="1">
        <v>0</v>
      </c>
      <c r="O757" s="1">
        <v>0</v>
      </c>
      <c r="P757" s="1" t="s">
        <v>1568</v>
      </c>
      <c r="Q757" s="1" t="s">
        <v>184</v>
      </c>
      <c r="R757" s="1" t="s">
        <v>4931</v>
      </c>
      <c r="S757" s="1" t="s">
        <v>4403</v>
      </c>
      <c r="T757" s="1">
        <v>1</v>
      </c>
      <c r="U757" s="1">
        <v>1</v>
      </c>
      <c r="V757" s="1">
        <v>1</v>
      </c>
      <c r="W757" s="1">
        <v>0</v>
      </c>
      <c r="X757" s="1">
        <v>0</v>
      </c>
      <c r="Y757" s="1">
        <v>2</v>
      </c>
      <c r="Z757" s="1">
        <v>2</v>
      </c>
      <c r="AA757" s="1" t="s">
        <v>104</v>
      </c>
      <c r="AB757" s="1" t="s">
        <v>104</v>
      </c>
      <c r="AC757" s="1" t="s">
        <v>104</v>
      </c>
      <c r="AD757" s="1" t="s">
        <v>104</v>
      </c>
      <c r="AE757" s="1" t="s">
        <v>104</v>
      </c>
      <c r="AF757" s="1">
        <v>2</v>
      </c>
      <c r="AG757" s="1" t="s">
        <v>104</v>
      </c>
      <c r="AH757" s="1" t="s">
        <v>104</v>
      </c>
      <c r="AI757" s="1" t="s">
        <v>104</v>
      </c>
      <c r="AJ757" s="1" t="s">
        <v>104</v>
      </c>
      <c r="AK757" s="1" t="s">
        <v>104</v>
      </c>
      <c r="AL757" s="1">
        <v>2</v>
      </c>
      <c r="AM757" s="1" t="s">
        <v>104</v>
      </c>
      <c r="AO757" s="1">
        <v>2</v>
      </c>
      <c r="AQ757" s="1" t="s">
        <v>4932</v>
      </c>
      <c r="AR757" s="1">
        <v>0</v>
      </c>
      <c r="AS757" s="1">
        <v>0</v>
      </c>
      <c r="AT757" s="1">
        <v>0</v>
      </c>
      <c r="AU757" s="1">
        <v>0</v>
      </c>
      <c r="AV757" s="1">
        <v>0</v>
      </c>
      <c r="AW757" s="1">
        <v>0</v>
      </c>
      <c r="AX757" s="1">
        <v>0</v>
      </c>
      <c r="AY757" s="1">
        <v>0</v>
      </c>
      <c r="AZ757" s="1">
        <v>0</v>
      </c>
      <c r="BA757" s="1">
        <v>0</v>
      </c>
      <c r="BB757" s="1">
        <v>0</v>
      </c>
      <c r="BC757" s="1">
        <v>0</v>
      </c>
      <c r="BD757" s="1">
        <v>0</v>
      </c>
      <c r="BE757" s="1">
        <v>1</v>
      </c>
      <c r="BF757" s="1">
        <v>0</v>
      </c>
      <c r="BG757" s="1">
        <v>0</v>
      </c>
      <c r="BH757" s="1">
        <v>0</v>
      </c>
      <c r="BI757" s="1">
        <v>0</v>
      </c>
      <c r="BJ757" s="1">
        <v>0</v>
      </c>
      <c r="BK757" s="1">
        <v>0</v>
      </c>
      <c r="BL757" s="1">
        <v>0</v>
      </c>
      <c r="BM757" s="1">
        <v>0</v>
      </c>
      <c r="BN757" s="1">
        <v>0</v>
      </c>
      <c r="BO757" s="1">
        <v>0</v>
      </c>
      <c r="BP757" s="1">
        <v>0</v>
      </c>
      <c r="BQ757" s="2" t="str">
        <f>HYPERLINK("http://www.d20pfsrd.com/magic/all-spells/f/fire-breath","Fire Breath")</f>
        <v>Fire Breath</v>
      </c>
      <c r="BR757" s="1">
        <v>777</v>
      </c>
      <c r="BS757" s="1" t="s">
        <v>104</v>
      </c>
      <c r="BX757" s="1">
        <v>0</v>
      </c>
      <c r="BY757" s="1">
        <v>2</v>
      </c>
      <c r="BZ757" s="1" t="s">
        <v>104</v>
      </c>
      <c r="CA757" s="1" t="s">
        <v>104</v>
      </c>
      <c r="CB757" s="1" t="s">
        <v>104</v>
      </c>
      <c r="CC757" s="1" t="s">
        <v>104</v>
      </c>
      <c r="CD757" s="1" t="s">
        <v>104</v>
      </c>
      <c r="CE757" s="1" t="s">
        <v>104</v>
      </c>
      <c r="CF757" s="1" t="s">
        <v>104</v>
      </c>
      <c r="CG757" s="1" t="s">
        <v>104</v>
      </c>
      <c r="CH757" s="1" t="s">
        <v>104</v>
      </c>
      <c r="CJ757" s="1">
        <v>0</v>
      </c>
      <c r="CK757" s="1">
        <v>0</v>
      </c>
      <c r="CL757" s="1">
        <v>0</v>
      </c>
      <c r="CM757" s="1" t="s">
        <v>104</v>
      </c>
    </row>
    <row r="758" spans="1:91" ht="14.25" customHeight="1" x14ac:dyDescent="0.3">
      <c r="A758" s="1" t="s">
        <v>4933</v>
      </c>
      <c r="B758" s="1" t="s">
        <v>434</v>
      </c>
      <c r="E758" s="1" t="s">
        <v>4471</v>
      </c>
      <c r="F758" s="1" t="s">
        <v>4934</v>
      </c>
      <c r="G758" s="1" t="s">
        <v>116</v>
      </c>
      <c r="H758" s="1">
        <v>0</v>
      </c>
      <c r="I758" s="1" t="s">
        <v>4935</v>
      </c>
      <c r="L758" s="1" t="s">
        <v>1065</v>
      </c>
      <c r="M758" s="1" t="s">
        <v>111</v>
      </c>
      <c r="N758" s="1">
        <v>0</v>
      </c>
      <c r="O758" s="1">
        <v>0</v>
      </c>
      <c r="P758" s="1" t="s">
        <v>3552</v>
      </c>
      <c r="Q758" s="1" t="s">
        <v>184</v>
      </c>
      <c r="R758" s="1" t="s">
        <v>4936</v>
      </c>
      <c r="S758" s="1" t="s">
        <v>4403</v>
      </c>
      <c r="T758" s="1">
        <v>1</v>
      </c>
      <c r="U758" s="1">
        <v>1</v>
      </c>
      <c r="V758" s="1">
        <v>0</v>
      </c>
      <c r="W758" s="1">
        <v>0</v>
      </c>
      <c r="X758" s="1">
        <v>0</v>
      </c>
      <c r="Y758" s="1" t="s">
        <v>104</v>
      </c>
      <c r="Z758" s="1" t="s">
        <v>104</v>
      </c>
      <c r="AA758" s="1" t="s">
        <v>104</v>
      </c>
      <c r="AB758" s="1" t="s">
        <v>104</v>
      </c>
      <c r="AC758" s="1" t="s">
        <v>104</v>
      </c>
      <c r="AD758" s="1" t="s">
        <v>104</v>
      </c>
      <c r="AE758" s="1">
        <v>2</v>
      </c>
      <c r="AF758" s="1" t="s">
        <v>104</v>
      </c>
      <c r="AG758" s="1" t="s">
        <v>104</v>
      </c>
      <c r="AH758" s="1" t="s">
        <v>104</v>
      </c>
      <c r="AI758" s="1" t="s">
        <v>104</v>
      </c>
      <c r="AJ758" s="1" t="s">
        <v>104</v>
      </c>
      <c r="AK758" s="1" t="s">
        <v>104</v>
      </c>
      <c r="AL758" s="1" t="s">
        <v>104</v>
      </c>
      <c r="AM758" s="1" t="s">
        <v>104</v>
      </c>
      <c r="AO758" s="1">
        <v>2</v>
      </c>
      <c r="AQ758" s="1" t="s">
        <v>4937</v>
      </c>
      <c r="AR758" s="1">
        <v>0</v>
      </c>
      <c r="AS758" s="1">
        <v>0</v>
      </c>
      <c r="AT758" s="1">
        <v>0</v>
      </c>
      <c r="AU758" s="1">
        <v>0</v>
      </c>
      <c r="AV758" s="1">
        <v>0</v>
      </c>
      <c r="AW758" s="1">
        <v>0</v>
      </c>
      <c r="AX758" s="1">
        <v>0</v>
      </c>
      <c r="AY758" s="1">
        <v>0</v>
      </c>
      <c r="AZ758" s="1">
        <v>0</v>
      </c>
      <c r="BA758" s="1">
        <v>0</v>
      </c>
      <c r="BB758" s="1">
        <v>0</v>
      </c>
      <c r="BC758" s="1">
        <v>0</v>
      </c>
      <c r="BD758" s="1">
        <v>0</v>
      </c>
      <c r="BE758" s="1">
        <v>0</v>
      </c>
      <c r="BF758" s="1">
        <v>0</v>
      </c>
      <c r="BG758" s="1">
        <v>0</v>
      </c>
      <c r="BH758" s="1">
        <v>0</v>
      </c>
      <c r="BI758" s="1">
        <v>0</v>
      </c>
      <c r="BJ758" s="1">
        <v>0</v>
      </c>
      <c r="BK758" s="1">
        <v>0</v>
      </c>
      <c r="BL758" s="1">
        <v>0</v>
      </c>
      <c r="BM758" s="1">
        <v>0</v>
      </c>
      <c r="BN758" s="1">
        <v>0</v>
      </c>
      <c r="BO758" s="1">
        <v>0</v>
      </c>
      <c r="BP758" s="1">
        <v>0</v>
      </c>
      <c r="BQ758" s="2" t="str">
        <f>HYPERLINK("http://www.d20pfsrd.com/magic/all-spells/f/fire-of-entanglement","Fire of Entanglement")</f>
        <v>Fire of Entanglement</v>
      </c>
      <c r="BR758" s="1">
        <v>778</v>
      </c>
      <c r="BS758" s="1" t="s">
        <v>104</v>
      </c>
      <c r="BX758" s="1">
        <v>0</v>
      </c>
      <c r="BY758" s="1" t="s">
        <v>104</v>
      </c>
      <c r="BZ758" s="1" t="s">
        <v>104</v>
      </c>
      <c r="CA758" s="1" t="s">
        <v>104</v>
      </c>
      <c r="CB758" s="1" t="s">
        <v>104</v>
      </c>
      <c r="CC758" s="1" t="s">
        <v>104</v>
      </c>
      <c r="CD758" s="1" t="s">
        <v>104</v>
      </c>
      <c r="CE758" s="1" t="s">
        <v>104</v>
      </c>
      <c r="CF758" s="1" t="s">
        <v>104</v>
      </c>
      <c r="CG758" s="1" t="s">
        <v>104</v>
      </c>
      <c r="CH758" s="1" t="s">
        <v>104</v>
      </c>
      <c r="CJ758" s="1">
        <v>0</v>
      </c>
      <c r="CK758" s="1">
        <v>0</v>
      </c>
      <c r="CL758" s="1">
        <v>0</v>
      </c>
      <c r="CM758" s="1" t="s">
        <v>104</v>
      </c>
    </row>
    <row r="759" spans="1:91" ht="14.25" customHeight="1" x14ac:dyDescent="0.3">
      <c r="A759" s="1" t="s">
        <v>4938</v>
      </c>
      <c r="B759" s="1" t="s">
        <v>434</v>
      </c>
      <c r="E759" s="1" t="s">
        <v>1936</v>
      </c>
      <c r="F759" s="1" t="s">
        <v>4934</v>
      </c>
      <c r="G759" s="1" t="s">
        <v>116</v>
      </c>
      <c r="H759" s="1">
        <v>0</v>
      </c>
      <c r="I759" s="1" t="s">
        <v>4935</v>
      </c>
      <c r="L759" s="1" t="s">
        <v>1065</v>
      </c>
      <c r="M759" s="1" t="s">
        <v>111</v>
      </c>
      <c r="N759" s="1">
        <v>0</v>
      </c>
      <c r="O759" s="1">
        <v>0</v>
      </c>
      <c r="P759" s="1" t="s">
        <v>276</v>
      </c>
      <c r="Q759" s="1" t="s">
        <v>184</v>
      </c>
      <c r="R759" s="1" t="s">
        <v>4939</v>
      </c>
      <c r="S759" s="1" t="s">
        <v>4403</v>
      </c>
      <c r="T759" s="1">
        <v>1</v>
      </c>
      <c r="U759" s="1">
        <v>1</v>
      </c>
      <c r="V759" s="1">
        <v>0</v>
      </c>
      <c r="W759" s="1">
        <v>0</v>
      </c>
      <c r="X759" s="1">
        <v>0</v>
      </c>
      <c r="Y759" s="1" t="s">
        <v>104</v>
      </c>
      <c r="Z759" s="1" t="s">
        <v>104</v>
      </c>
      <c r="AA759" s="1" t="s">
        <v>104</v>
      </c>
      <c r="AB759" s="1" t="s">
        <v>104</v>
      </c>
      <c r="AC759" s="1" t="s">
        <v>104</v>
      </c>
      <c r="AD759" s="1" t="s">
        <v>104</v>
      </c>
      <c r="AE759" s="1">
        <v>3</v>
      </c>
      <c r="AF759" s="1" t="s">
        <v>104</v>
      </c>
      <c r="AG759" s="1" t="s">
        <v>104</v>
      </c>
      <c r="AH759" s="1" t="s">
        <v>104</v>
      </c>
      <c r="AI759" s="1" t="s">
        <v>104</v>
      </c>
      <c r="AJ759" s="1" t="s">
        <v>104</v>
      </c>
      <c r="AK759" s="1" t="s">
        <v>104</v>
      </c>
      <c r="AL759" s="1" t="s">
        <v>104</v>
      </c>
      <c r="AM759" s="1" t="s">
        <v>104</v>
      </c>
      <c r="AO759" s="1">
        <v>3</v>
      </c>
      <c r="AQ759" s="1" t="s">
        <v>4940</v>
      </c>
      <c r="AR759" s="1">
        <v>0</v>
      </c>
      <c r="AS759" s="1">
        <v>0</v>
      </c>
      <c r="AT759" s="1">
        <v>0</v>
      </c>
      <c r="AU759" s="1">
        <v>0</v>
      </c>
      <c r="AV759" s="1">
        <v>0</v>
      </c>
      <c r="AW759" s="1">
        <v>0</v>
      </c>
      <c r="AX759" s="1">
        <v>0</v>
      </c>
      <c r="AY759" s="1">
        <v>0</v>
      </c>
      <c r="AZ759" s="1">
        <v>0</v>
      </c>
      <c r="BA759" s="1">
        <v>0</v>
      </c>
      <c r="BB759" s="1">
        <v>0</v>
      </c>
      <c r="BC759" s="1">
        <v>0</v>
      </c>
      <c r="BD759" s="1">
        <v>0</v>
      </c>
      <c r="BE759" s="1">
        <v>0</v>
      </c>
      <c r="BF759" s="1">
        <v>0</v>
      </c>
      <c r="BG759" s="1">
        <v>0</v>
      </c>
      <c r="BH759" s="1">
        <v>0</v>
      </c>
      <c r="BI759" s="1">
        <v>0</v>
      </c>
      <c r="BJ759" s="1">
        <v>0</v>
      </c>
      <c r="BK759" s="1">
        <v>0</v>
      </c>
      <c r="BL759" s="1">
        <v>0</v>
      </c>
      <c r="BM759" s="1">
        <v>0</v>
      </c>
      <c r="BN759" s="1">
        <v>0</v>
      </c>
      <c r="BO759" s="1">
        <v>0</v>
      </c>
      <c r="BP759" s="1">
        <v>0</v>
      </c>
      <c r="BQ759" s="2" t="str">
        <f>HYPERLINK("http://www.d20pfsrd.com/magic/all-spells/f/fire-of-judgment","Fire of Judgment")</f>
        <v>Fire of Judgment</v>
      </c>
      <c r="BR759" s="1">
        <v>779</v>
      </c>
      <c r="BS759" s="1" t="s">
        <v>104</v>
      </c>
      <c r="BX759" s="1">
        <v>0</v>
      </c>
      <c r="BY759" s="1" t="s">
        <v>104</v>
      </c>
      <c r="BZ759" s="1" t="s">
        <v>104</v>
      </c>
      <c r="CA759" s="1" t="s">
        <v>104</v>
      </c>
      <c r="CB759" s="1" t="s">
        <v>104</v>
      </c>
      <c r="CC759" s="1" t="s">
        <v>104</v>
      </c>
      <c r="CD759" s="1" t="s">
        <v>104</v>
      </c>
      <c r="CE759" s="1" t="s">
        <v>104</v>
      </c>
      <c r="CF759" s="1" t="s">
        <v>104</v>
      </c>
      <c r="CG759" s="1" t="s">
        <v>104</v>
      </c>
      <c r="CH759" s="1" t="s">
        <v>104</v>
      </c>
      <c r="CJ759" s="1">
        <v>0</v>
      </c>
      <c r="CK759" s="1">
        <v>0</v>
      </c>
      <c r="CL759" s="1">
        <v>0</v>
      </c>
      <c r="CM759" s="1" t="s">
        <v>104</v>
      </c>
    </row>
    <row r="760" spans="1:91" ht="14.25" customHeight="1" x14ac:dyDescent="0.3">
      <c r="A760" s="1" t="s">
        <v>4941</v>
      </c>
      <c r="B760" s="1" t="s">
        <v>434</v>
      </c>
      <c r="D760" s="1" t="s">
        <v>56</v>
      </c>
      <c r="E760" s="1" t="s">
        <v>2036</v>
      </c>
      <c r="F760" s="1" t="s">
        <v>4934</v>
      </c>
      <c r="G760" s="1" t="s">
        <v>116</v>
      </c>
      <c r="H760" s="1">
        <v>0</v>
      </c>
      <c r="I760" s="1" t="s">
        <v>4935</v>
      </c>
      <c r="L760" s="1" t="s">
        <v>1065</v>
      </c>
      <c r="M760" s="1" t="s">
        <v>145</v>
      </c>
      <c r="N760" s="1">
        <v>0</v>
      </c>
      <c r="O760" s="1">
        <v>0</v>
      </c>
      <c r="P760" s="1" t="s">
        <v>100</v>
      </c>
      <c r="Q760" s="1" t="s">
        <v>101</v>
      </c>
      <c r="R760" s="1" t="s">
        <v>4942</v>
      </c>
      <c r="S760" s="1" t="s">
        <v>4403</v>
      </c>
      <c r="T760" s="1">
        <v>1</v>
      </c>
      <c r="U760" s="1">
        <v>1</v>
      </c>
      <c r="V760" s="1">
        <v>0</v>
      </c>
      <c r="W760" s="1">
        <v>0</v>
      </c>
      <c r="X760" s="1">
        <v>0</v>
      </c>
      <c r="Y760" s="1" t="s">
        <v>104</v>
      </c>
      <c r="Z760" s="1" t="s">
        <v>104</v>
      </c>
      <c r="AA760" s="1" t="s">
        <v>104</v>
      </c>
      <c r="AB760" s="1" t="s">
        <v>104</v>
      </c>
      <c r="AC760" s="1" t="s">
        <v>104</v>
      </c>
      <c r="AD760" s="1" t="s">
        <v>104</v>
      </c>
      <c r="AE760" s="1">
        <v>4</v>
      </c>
      <c r="AF760" s="1" t="s">
        <v>104</v>
      </c>
      <c r="AG760" s="1" t="s">
        <v>104</v>
      </c>
      <c r="AH760" s="1" t="s">
        <v>104</v>
      </c>
      <c r="AI760" s="1" t="s">
        <v>104</v>
      </c>
      <c r="AJ760" s="1" t="s">
        <v>104</v>
      </c>
      <c r="AK760" s="1" t="s">
        <v>104</v>
      </c>
      <c r="AL760" s="1" t="s">
        <v>104</v>
      </c>
      <c r="AM760" s="1" t="s">
        <v>104</v>
      </c>
      <c r="AO760" s="1">
        <v>4</v>
      </c>
      <c r="AQ760" s="1" t="s">
        <v>4943</v>
      </c>
      <c r="AR760" s="1">
        <v>0</v>
      </c>
      <c r="AS760" s="1">
        <v>0</v>
      </c>
      <c r="AT760" s="1">
        <v>0</v>
      </c>
      <c r="AU760" s="1">
        <v>0</v>
      </c>
      <c r="AV760" s="1">
        <v>0</v>
      </c>
      <c r="AW760" s="1">
        <v>0</v>
      </c>
      <c r="AX760" s="1">
        <v>0</v>
      </c>
      <c r="AY760" s="1">
        <v>0</v>
      </c>
      <c r="AZ760" s="1">
        <v>0</v>
      </c>
      <c r="BA760" s="1">
        <v>0</v>
      </c>
      <c r="BB760" s="1">
        <v>0</v>
      </c>
      <c r="BC760" s="1">
        <v>0</v>
      </c>
      <c r="BD760" s="1">
        <v>0</v>
      </c>
      <c r="BE760" s="1">
        <v>1</v>
      </c>
      <c r="BF760" s="1">
        <v>0</v>
      </c>
      <c r="BG760" s="1">
        <v>0</v>
      </c>
      <c r="BH760" s="1">
        <v>0</v>
      </c>
      <c r="BI760" s="1">
        <v>0</v>
      </c>
      <c r="BJ760" s="1">
        <v>0</v>
      </c>
      <c r="BK760" s="1">
        <v>0</v>
      </c>
      <c r="BL760" s="1">
        <v>0</v>
      </c>
      <c r="BM760" s="1">
        <v>0</v>
      </c>
      <c r="BN760" s="1">
        <v>0</v>
      </c>
      <c r="BO760" s="1">
        <v>0</v>
      </c>
      <c r="BP760" s="1">
        <v>0</v>
      </c>
      <c r="BQ760" s="2" t="str">
        <f>HYPERLINK("http://www.d20pfsrd.com/magic/all-spells/f/fire-of-vengeance","Fire of Vengeance")</f>
        <v>Fire of Vengeance</v>
      </c>
      <c r="BR760" s="1">
        <v>780</v>
      </c>
      <c r="BS760" s="1" t="s">
        <v>104</v>
      </c>
      <c r="BX760" s="1">
        <v>0</v>
      </c>
      <c r="BY760" s="1" t="s">
        <v>104</v>
      </c>
      <c r="BZ760" s="1" t="s">
        <v>104</v>
      </c>
      <c r="CA760" s="1" t="s">
        <v>104</v>
      </c>
      <c r="CB760" s="1" t="s">
        <v>104</v>
      </c>
      <c r="CC760" s="1" t="s">
        <v>104</v>
      </c>
      <c r="CD760" s="1" t="s">
        <v>104</v>
      </c>
      <c r="CE760" s="1" t="s">
        <v>104</v>
      </c>
      <c r="CF760" s="1" t="s">
        <v>104</v>
      </c>
      <c r="CG760" s="1" t="s">
        <v>104</v>
      </c>
      <c r="CH760" s="1" t="s">
        <v>104</v>
      </c>
      <c r="CJ760" s="1">
        <v>0</v>
      </c>
      <c r="CK760" s="1">
        <v>0</v>
      </c>
      <c r="CL760" s="1">
        <v>0</v>
      </c>
      <c r="CM760" s="1" t="s">
        <v>104</v>
      </c>
    </row>
    <row r="761" spans="1:91" ht="14.25" customHeight="1" x14ac:dyDescent="0.3">
      <c r="A761" s="1" t="s">
        <v>4944</v>
      </c>
      <c r="B761" s="1" t="s">
        <v>434</v>
      </c>
      <c r="D761" s="1" t="s">
        <v>56</v>
      </c>
      <c r="E761" s="1" t="s">
        <v>4945</v>
      </c>
      <c r="F761" s="1" t="s">
        <v>95</v>
      </c>
      <c r="G761" s="1" t="s">
        <v>4946</v>
      </c>
      <c r="H761" s="1">
        <v>0</v>
      </c>
      <c r="I761" s="1" t="s">
        <v>776</v>
      </c>
      <c r="J761" s="1" t="s">
        <v>145</v>
      </c>
      <c r="M761" s="1" t="s">
        <v>119</v>
      </c>
      <c r="N761" s="1">
        <v>0</v>
      </c>
      <c r="O761" s="1">
        <v>0</v>
      </c>
      <c r="P761" s="1" t="s">
        <v>550</v>
      </c>
      <c r="Q761" s="1" t="s">
        <v>184</v>
      </c>
      <c r="R761" s="1" t="s">
        <v>4947</v>
      </c>
      <c r="S761" s="1" t="s">
        <v>4403</v>
      </c>
      <c r="T761" s="1">
        <v>1</v>
      </c>
      <c r="U761" s="1">
        <v>1</v>
      </c>
      <c r="V761" s="1">
        <v>1</v>
      </c>
      <c r="W761" s="1">
        <v>0</v>
      </c>
      <c r="X761" s="1">
        <v>0</v>
      </c>
      <c r="Y761" s="1">
        <v>5</v>
      </c>
      <c r="Z761" s="1">
        <v>5</v>
      </c>
      <c r="AA761" s="1" t="s">
        <v>104</v>
      </c>
      <c r="AB761" s="1">
        <v>5</v>
      </c>
      <c r="AC761" s="1" t="s">
        <v>104</v>
      </c>
      <c r="AD761" s="1" t="s">
        <v>104</v>
      </c>
      <c r="AE761" s="1" t="s">
        <v>104</v>
      </c>
      <c r="AF761" s="1" t="s">
        <v>104</v>
      </c>
      <c r="AG761" s="1" t="s">
        <v>104</v>
      </c>
      <c r="AH761" s="1" t="s">
        <v>104</v>
      </c>
      <c r="AI761" s="1" t="s">
        <v>104</v>
      </c>
      <c r="AJ761" s="1" t="s">
        <v>104</v>
      </c>
      <c r="AK761" s="1" t="s">
        <v>104</v>
      </c>
      <c r="AL761" s="1">
        <v>5</v>
      </c>
      <c r="AM761" s="1" t="s">
        <v>104</v>
      </c>
      <c r="AO761" s="1">
        <v>5</v>
      </c>
      <c r="AQ761" s="1" t="s">
        <v>4948</v>
      </c>
      <c r="AR761" s="1">
        <v>0</v>
      </c>
      <c r="AS761" s="1">
        <v>0</v>
      </c>
      <c r="AT761" s="1">
        <v>0</v>
      </c>
      <c r="AU761" s="1">
        <v>0</v>
      </c>
      <c r="AV761" s="1">
        <v>0</v>
      </c>
      <c r="AW761" s="1">
        <v>0</v>
      </c>
      <c r="AX761" s="1">
        <v>0</v>
      </c>
      <c r="AY761" s="1">
        <v>0</v>
      </c>
      <c r="AZ761" s="1">
        <v>0</v>
      </c>
      <c r="BA761" s="1">
        <v>0</v>
      </c>
      <c r="BB761" s="1">
        <v>0</v>
      </c>
      <c r="BC761" s="1">
        <v>0</v>
      </c>
      <c r="BD761" s="1">
        <v>0</v>
      </c>
      <c r="BE761" s="1">
        <v>1</v>
      </c>
      <c r="BF761" s="1">
        <v>0</v>
      </c>
      <c r="BG761" s="1">
        <v>0</v>
      </c>
      <c r="BH761" s="1">
        <v>0</v>
      </c>
      <c r="BI761" s="1">
        <v>0</v>
      </c>
      <c r="BJ761" s="1">
        <v>0</v>
      </c>
      <c r="BK761" s="1">
        <v>0</v>
      </c>
      <c r="BL761" s="1">
        <v>0</v>
      </c>
      <c r="BM761" s="1">
        <v>0</v>
      </c>
      <c r="BN761" s="1">
        <v>0</v>
      </c>
      <c r="BO761" s="1">
        <v>0</v>
      </c>
      <c r="BP761" s="1">
        <v>0</v>
      </c>
      <c r="BQ761" s="2" t="str">
        <f>HYPERLINK("http://www.d20pfsrd.com/magic/all-spells/f/fire-snake","Fire Snake")</f>
        <v>Fire Snake</v>
      </c>
      <c r="BR761" s="1">
        <v>781</v>
      </c>
      <c r="BS761" s="1" t="s">
        <v>104</v>
      </c>
      <c r="BU761" s="1" t="s">
        <v>4949</v>
      </c>
      <c r="BV761" s="1" t="s">
        <v>4950</v>
      </c>
      <c r="BW761" s="1" t="s">
        <v>4951</v>
      </c>
      <c r="BX761" s="1">
        <v>1</v>
      </c>
      <c r="BY761" s="1" t="s">
        <v>104</v>
      </c>
      <c r="BZ761" s="1" t="s">
        <v>104</v>
      </c>
      <c r="CA761" s="1" t="s">
        <v>104</v>
      </c>
      <c r="CB761" s="1" t="s">
        <v>104</v>
      </c>
      <c r="CC761" s="1" t="s">
        <v>104</v>
      </c>
      <c r="CD761" s="1">
        <v>5</v>
      </c>
      <c r="CE761" s="1" t="s">
        <v>104</v>
      </c>
      <c r="CF761" s="1" t="s">
        <v>104</v>
      </c>
      <c r="CG761" s="1" t="s">
        <v>104</v>
      </c>
      <c r="CH761" s="1">
        <v>5</v>
      </c>
      <c r="CJ761" s="1">
        <v>0</v>
      </c>
      <c r="CK761" s="1">
        <v>0</v>
      </c>
      <c r="CL761" s="1">
        <v>0</v>
      </c>
      <c r="CM761" s="1" t="s">
        <v>104</v>
      </c>
    </row>
    <row r="762" spans="1:91" ht="14.25" customHeight="1" x14ac:dyDescent="0.3">
      <c r="A762" s="1" t="s">
        <v>4952</v>
      </c>
      <c r="B762" s="1" t="s">
        <v>137</v>
      </c>
      <c r="D762" s="1" t="s">
        <v>56</v>
      </c>
      <c r="E762" s="1" t="s">
        <v>843</v>
      </c>
      <c r="F762" s="1" t="s">
        <v>95</v>
      </c>
      <c r="G762" s="1" t="s">
        <v>116</v>
      </c>
      <c r="H762" s="1">
        <v>0</v>
      </c>
      <c r="I762" s="1" t="s">
        <v>117</v>
      </c>
      <c r="L762" s="1" t="s">
        <v>4953</v>
      </c>
      <c r="M762" s="1" t="s">
        <v>111</v>
      </c>
      <c r="N762" s="1">
        <v>0</v>
      </c>
      <c r="O762" s="1">
        <v>0</v>
      </c>
      <c r="P762" s="1" t="s">
        <v>4954</v>
      </c>
      <c r="Q762" s="1" t="s">
        <v>131</v>
      </c>
      <c r="R762" s="1" t="s">
        <v>4955</v>
      </c>
      <c r="S762" s="1" t="s">
        <v>4403</v>
      </c>
      <c r="T762" s="1">
        <v>1</v>
      </c>
      <c r="U762" s="1">
        <v>1</v>
      </c>
      <c r="V762" s="1">
        <v>0</v>
      </c>
      <c r="W762" s="1">
        <v>0</v>
      </c>
      <c r="X762" s="1">
        <v>0</v>
      </c>
      <c r="Y762" s="1">
        <v>7</v>
      </c>
      <c r="Z762" s="1">
        <v>7</v>
      </c>
      <c r="AA762" s="1" t="s">
        <v>104</v>
      </c>
      <c r="AB762" s="1" t="s">
        <v>104</v>
      </c>
      <c r="AC762" s="1" t="s">
        <v>104</v>
      </c>
      <c r="AD762" s="1" t="s">
        <v>104</v>
      </c>
      <c r="AE762" s="1" t="s">
        <v>104</v>
      </c>
      <c r="AF762" s="1" t="s">
        <v>104</v>
      </c>
      <c r="AG762" s="1" t="s">
        <v>104</v>
      </c>
      <c r="AH762" s="1" t="s">
        <v>104</v>
      </c>
      <c r="AI762" s="1" t="s">
        <v>104</v>
      </c>
      <c r="AJ762" s="1" t="s">
        <v>104</v>
      </c>
      <c r="AK762" s="1" t="s">
        <v>104</v>
      </c>
      <c r="AL762" s="1" t="s">
        <v>104</v>
      </c>
      <c r="AM762" s="1" t="s">
        <v>104</v>
      </c>
      <c r="AO762" s="1">
        <v>7</v>
      </c>
      <c r="AQ762" s="1" t="s">
        <v>4956</v>
      </c>
      <c r="AR762" s="1">
        <v>0</v>
      </c>
      <c r="AS762" s="1">
        <v>0</v>
      </c>
      <c r="AT762" s="1">
        <v>0</v>
      </c>
      <c r="AU762" s="1">
        <v>0</v>
      </c>
      <c r="AV762" s="1">
        <v>0</v>
      </c>
      <c r="AW762" s="1">
        <v>0</v>
      </c>
      <c r="AX762" s="1">
        <v>0</v>
      </c>
      <c r="AY762" s="1">
        <v>0</v>
      </c>
      <c r="AZ762" s="1">
        <v>0</v>
      </c>
      <c r="BA762" s="1">
        <v>0</v>
      </c>
      <c r="BB762" s="1">
        <v>0</v>
      </c>
      <c r="BC762" s="1">
        <v>0</v>
      </c>
      <c r="BD762" s="1">
        <v>0</v>
      </c>
      <c r="BE762" s="1">
        <v>1</v>
      </c>
      <c r="BF762" s="1">
        <v>0</v>
      </c>
      <c r="BG762" s="1">
        <v>0</v>
      </c>
      <c r="BH762" s="1">
        <v>0</v>
      </c>
      <c r="BI762" s="1">
        <v>0</v>
      </c>
      <c r="BJ762" s="1">
        <v>0</v>
      </c>
      <c r="BK762" s="1">
        <v>0</v>
      </c>
      <c r="BL762" s="1">
        <v>0</v>
      </c>
      <c r="BM762" s="1">
        <v>0</v>
      </c>
      <c r="BN762" s="1">
        <v>0</v>
      </c>
      <c r="BO762" s="1">
        <v>0</v>
      </c>
      <c r="BP762" s="1">
        <v>0</v>
      </c>
      <c r="BQ762" s="2" t="str">
        <f>HYPERLINK("http://www.d20pfsrd.com/magic/all-spells/f/firebrand","Firebrand")</f>
        <v>Firebrand</v>
      </c>
      <c r="BR762" s="1">
        <v>782</v>
      </c>
      <c r="BS762" s="1" t="s">
        <v>104</v>
      </c>
      <c r="BX762" s="1">
        <v>0</v>
      </c>
      <c r="BY762" s="1" t="s">
        <v>104</v>
      </c>
      <c r="BZ762" s="1" t="s">
        <v>104</v>
      </c>
      <c r="CA762" s="1" t="s">
        <v>104</v>
      </c>
      <c r="CB762" s="1" t="s">
        <v>104</v>
      </c>
      <c r="CC762" s="1" t="s">
        <v>104</v>
      </c>
      <c r="CD762" s="1" t="s">
        <v>104</v>
      </c>
      <c r="CE762" s="1" t="s">
        <v>104</v>
      </c>
      <c r="CF762" s="1" t="s">
        <v>104</v>
      </c>
      <c r="CG762" s="1" t="s">
        <v>104</v>
      </c>
      <c r="CH762" s="1" t="s">
        <v>104</v>
      </c>
      <c r="CJ762" s="1">
        <v>0</v>
      </c>
      <c r="CK762" s="1">
        <v>0</v>
      </c>
      <c r="CL762" s="1">
        <v>0</v>
      </c>
      <c r="CM762" s="1" t="s">
        <v>104</v>
      </c>
    </row>
    <row r="763" spans="1:91" ht="14.25" customHeight="1" x14ac:dyDescent="0.3">
      <c r="A763" s="1" t="s">
        <v>4957</v>
      </c>
      <c r="B763" s="1" t="s">
        <v>137</v>
      </c>
      <c r="D763" s="1" t="s">
        <v>56</v>
      </c>
      <c r="E763" s="1" t="s">
        <v>4958</v>
      </c>
      <c r="F763" s="1" t="s">
        <v>95</v>
      </c>
      <c r="G763" s="1" t="s">
        <v>2958</v>
      </c>
      <c r="H763" s="1">
        <v>0</v>
      </c>
      <c r="I763" s="1" t="s">
        <v>97</v>
      </c>
      <c r="L763" s="1" t="s">
        <v>4959</v>
      </c>
      <c r="M763" s="1" t="s">
        <v>119</v>
      </c>
      <c r="N763" s="1">
        <v>0</v>
      </c>
      <c r="O763" s="1">
        <v>0</v>
      </c>
      <c r="P763" s="1" t="s">
        <v>4960</v>
      </c>
      <c r="Q763" s="1" t="s">
        <v>101</v>
      </c>
      <c r="R763" s="1" t="s">
        <v>4961</v>
      </c>
      <c r="S763" s="1" t="s">
        <v>4403</v>
      </c>
      <c r="T763" s="1">
        <v>1</v>
      </c>
      <c r="U763" s="1">
        <v>1</v>
      </c>
      <c r="V763" s="1">
        <v>1</v>
      </c>
      <c r="W763" s="1">
        <v>0</v>
      </c>
      <c r="X763" s="1">
        <v>0</v>
      </c>
      <c r="Y763" s="1">
        <v>4</v>
      </c>
      <c r="Z763" s="1">
        <v>4</v>
      </c>
      <c r="AA763" s="1" t="s">
        <v>104</v>
      </c>
      <c r="AB763" s="1" t="s">
        <v>104</v>
      </c>
      <c r="AC763" s="1" t="s">
        <v>104</v>
      </c>
      <c r="AD763" s="1" t="s">
        <v>104</v>
      </c>
      <c r="AE763" s="1" t="s">
        <v>104</v>
      </c>
      <c r="AF763" s="1" t="s">
        <v>104</v>
      </c>
      <c r="AG763" s="1" t="s">
        <v>104</v>
      </c>
      <c r="AH763" s="1" t="s">
        <v>104</v>
      </c>
      <c r="AI763" s="1" t="s">
        <v>104</v>
      </c>
      <c r="AJ763" s="1" t="s">
        <v>104</v>
      </c>
      <c r="AK763" s="1" t="s">
        <v>104</v>
      </c>
      <c r="AL763" s="1">
        <v>4</v>
      </c>
      <c r="AM763" s="1" t="s">
        <v>104</v>
      </c>
      <c r="AO763" s="1">
        <v>4</v>
      </c>
      <c r="AQ763" s="1" t="s">
        <v>4962</v>
      </c>
      <c r="AR763" s="1">
        <v>0</v>
      </c>
      <c r="AS763" s="1">
        <v>0</v>
      </c>
      <c r="AT763" s="1">
        <v>0</v>
      </c>
      <c r="AU763" s="1">
        <v>0</v>
      </c>
      <c r="AV763" s="1">
        <v>0</v>
      </c>
      <c r="AW763" s="1">
        <v>0</v>
      </c>
      <c r="AX763" s="1">
        <v>0</v>
      </c>
      <c r="AY763" s="1">
        <v>0</v>
      </c>
      <c r="AZ763" s="1">
        <v>0</v>
      </c>
      <c r="BA763" s="1">
        <v>0</v>
      </c>
      <c r="BB763" s="1">
        <v>0</v>
      </c>
      <c r="BC763" s="1">
        <v>0</v>
      </c>
      <c r="BD763" s="1">
        <v>0</v>
      </c>
      <c r="BE763" s="1">
        <v>1</v>
      </c>
      <c r="BF763" s="1">
        <v>0</v>
      </c>
      <c r="BG763" s="1">
        <v>0</v>
      </c>
      <c r="BH763" s="1">
        <v>0</v>
      </c>
      <c r="BI763" s="1">
        <v>0</v>
      </c>
      <c r="BJ763" s="1">
        <v>0</v>
      </c>
      <c r="BK763" s="1">
        <v>0</v>
      </c>
      <c r="BL763" s="1">
        <v>0</v>
      </c>
      <c r="BM763" s="1">
        <v>0</v>
      </c>
      <c r="BN763" s="1">
        <v>0</v>
      </c>
      <c r="BO763" s="1">
        <v>0</v>
      </c>
      <c r="BP763" s="1">
        <v>0</v>
      </c>
      <c r="BQ763" s="2" t="str">
        <f>HYPERLINK("http://www.d20pfsrd.com/magic/all-spells/f/firefall","Firefall")</f>
        <v>Firefall</v>
      </c>
      <c r="BR763" s="1">
        <v>783</v>
      </c>
      <c r="BS763" s="1" t="s">
        <v>104</v>
      </c>
      <c r="BX763" s="1">
        <v>0</v>
      </c>
      <c r="BY763" s="1">
        <v>4</v>
      </c>
      <c r="BZ763" s="1" t="s">
        <v>104</v>
      </c>
      <c r="CA763" s="1" t="s">
        <v>104</v>
      </c>
      <c r="CB763" s="1" t="s">
        <v>104</v>
      </c>
      <c r="CC763" s="1" t="s">
        <v>104</v>
      </c>
      <c r="CD763" s="1" t="s">
        <v>104</v>
      </c>
      <c r="CE763" s="1" t="s">
        <v>104</v>
      </c>
      <c r="CF763" s="1" t="s">
        <v>104</v>
      </c>
      <c r="CG763" s="1" t="s">
        <v>104</v>
      </c>
      <c r="CH763" s="1" t="s">
        <v>104</v>
      </c>
      <c r="CJ763" s="1">
        <v>0</v>
      </c>
      <c r="CK763" s="1">
        <v>0</v>
      </c>
      <c r="CL763" s="1">
        <v>0</v>
      </c>
      <c r="CM763" s="1" t="s">
        <v>104</v>
      </c>
    </row>
    <row r="764" spans="1:91" ht="14.25" customHeight="1" x14ac:dyDescent="0.3">
      <c r="A764" s="1" t="s">
        <v>4963</v>
      </c>
      <c r="B764" s="1" t="s">
        <v>137</v>
      </c>
      <c r="D764" s="1" t="s">
        <v>56</v>
      </c>
      <c r="E764" s="1" t="s">
        <v>4964</v>
      </c>
      <c r="F764" s="1" t="s">
        <v>95</v>
      </c>
      <c r="G764" s="1" t="s">
        <v>237</v>
      </c>
      <c r="H764" s="1">
        <v>0</v>
      </c>
      <c r="I764" s="1" t="s">
        <v>128</v>
      </c>
      <c r="L764" s="1" t="s">
        <v>479</v>
      </c>
      <c r="M764" s="1" t="s">
        <v>111</v>
      </c>
      <c r="N764" s="1">
        <v>0</v>
      </c>
      <c r="O764" s="1">
        <v>0</v>
      </c>
      <c r="P764" s="1" t="s">
        <v>4965</v>
      </c>
      <c r="Q764" s="1" t="s">
        <v>4966</v>
      </c>
      <c r="R764" s="1" t="s">
        <v>4967</v>
      </c>
      <c r="S764" s="1" t="s">
        <v>4403</v>
      </c>
      <c r="T764" s="1">
        <v>1</v>
      </c>
      <c r="U764" s="1">
        <v>0</v>
      </c>
      <c r="V764" s="1">
        <v>0</v>
      </c>
      <c r="W764" s="1">
        <v>0</v>
      </c>
      <c r="X764" s="1">
        <v>0</v>
      </c>
      <c r="Y764" s="1" t="s">
        <v>104</v>
      </c>
      <c r="Z764" s="1" t="s">
        <v>104</v>
      </c>
      <c r="AA764" s="1" t="s">
        <v>104</v>
      </c>
      <c r="AB764" s="1" t="s">
        <v>104</v>
      </c>
      <c r="AC764" s="1" t="s">
        <v>104</v>
      </c>
      <c r="AD764" s="1" t="s">
        <v>104</v>
      </c>
      <c r="AE764" s="1" t="s">
        <v>104</v>
      </c>
      <c r="AF764" s="1" t="s">
        <v>104</v>
      </c>
      <c r="AG764" s="1" t="s">
        <v>104</v>
      </c>
      <c r="AH764" s="1" t="s">
        <v>104</v>
      </c>
      <c r="AI764" s="1">
        <v>2</v>
      </c>
      <c r="AJ764" s="1" t="s">
        <v>104</v>
      </c>
      <c r="AK764" s="1" t="s">
        <v>104</v>
      </c>
      <c r="AL764" s="1" t="s">
        <v>104</v>
      </c>
      <c r="AM764" s="1" t="s">
        <v>104</v>
      </c>
      <c r="AO764" s="1">
        <v>2</v>
      </c>
      <c r="AQ764" s="1" t="s">
        <v>4968</v>
      </c>
      <c r="AR764" s="1">
        <v>0</v>
      </c>
      <c r="AS764" s="1">
        <v>0</v>
      </c>
      <c r="AT764" s="1">
        <v>0</v>
      </c>
      <c r="AU764" s="1">
        <v>0</v>
      </c>
      <c r="AV764" s="1">
        <v>0</v>
      </c>
      <c r="AW764" s="1">
        <v>0</v>
      </c>
      <c r="AX764" s="1">
        <v>0</v>
      </c>
      <c r="AY764" s="1">
        <v>0</v>
      </c>
      <c r="AZ764" s="1">
        <v>0</v>
      </c>
      <c r="BA764" s="1">
        <v>0</v>
      </c>
      <c r="BB764" s="1">
        <v>0</v>
      </c>
      <c r="BC764" s="1">
        <v>0</v>
      </c>
      <c r="BD764" s="1">
        <v>0</v>
      </c>
      <c r="BE764" s="1">
        <v>1</v>
      </c>
      <c r="BF764" s="1">
        <v>0</v>
      </c>
      <c r="BG764" s="1">
        <v>0</v>
      </c>
      <c r="BH764" s="1">
        <v>0</v>
      </c>
      <c r="BI764" s="1">
        <v>0</v>
      </c>
      <c r="BJ764" s="1">
        <v>0</v>
      </c>
      <c r="BK764" s="1">
        <v>0</v>
      </c>
      <c r="BL764" s="1">
        <v>0</v>
      </c>
      <c r="BM764" s="1">
        <v>0</v>
      </c>
      <c r="BN764" s="1">
        <v>0</v>
      </c>
      <c r="BO764" s="1">
        <v>0</v>
      </c>
      <c r="BP764" s="1">
        <v>0</v>
      </c>
      <c r="BQ764" s="1" t="s">
        <v>104</v>
      </c>
      <c r="BR764" s="1">
        <v>784</v>
      </c>
      <c r="BS764" s="1" t="s">
        <v>104</v>
      </c>
      <c r="BV764" s="1" t="s">
        <v>4969</v>
      </c>
      <c r="BX764" s="1">
        <v>1</v>
      </c>
      <c r="BY764" s="1" t="s">
        <v>104</v>
      </c>
      <c r="BZ764" s="1" t="s">
        <v>104</v>
      </c>
      <c r="CA764" s="1" t="s">
        <v>104</v>
      </c>
      <c r="CB764" s="1" t="s">
        <v>104</v>
      </c>
      <c r="CC764" s="1" t="s">
        <v>104</v>
      </c>
      <c r="CD764" s="1" t="s">
        <v>104</v>
      </c>
      <c r="CE764" s="1" t="s">
        <v>104</v>
      </c>
      <c r="CF764" s="1" t="s">
        <v>104</v>
      </c>
      <c r="CG764" s="1" t="s">
        <v>104</v>
      </c>
      <c r="CH764" s="1" t="s">
        <v>104</v>
      </c>
      <c r="CJ764" s="1">
        <v>0</v>
      </c>
      <c r="CK764" s="1">
        <v>0</v>
      </c>
      <c r="CL764" s="1">
        <v>0</v>
      </c>
      <c r="CM764" s="1" t="s">
        <v>104</v>
      </c>
    </row>
    <row r="765" spans="1:91" ht="14.25" customHeight="1" x14ac:dyDescent="0.3">
      <c r="A765" s="1" t="s">
        <v>4970</v>
      </c>
      <c r="B765" s="1" t="s">
        <v>434</v>
      </c>
      <c r="C765" s="1" t="s">
        <v>61</v>
      </c>
      <c r="E765" s="1" t="s">
        <v>4971</v>
      </c>
      <c r="F765" s="1" t="s">
        <v>95</v>
      </c>
      <c r="G765" s="1" t="s">
        <v>237</v>
      </c>
      <c r="H765" s="1">
        <v>0</v>
      </c>
      <c r="I765" s="1" t="s">
        <v>117</v>
      </c>
      <c r="K765" s="1" t="s">
        <v>4972</v>
      </c>
      <c r="M765" s="1" t="s">
        <v>119</v>
      </c>
      <c r="N765" s="1">
        <v>0</v>
      </c>
      <c r="O765" s="1">
        <v>0</v>
      </c>
      <c r="P765" s="1" t="s">
        <v>183</v>
      </c>
      <c r="Q765" s="1" t="s">
        <v>184</v>
      </c>
      <c r="R765" s="1" t="s">
        <v>4973</v>
      </c>
      <c r="S765" s="1" t="s">
        <v>4403</v>
      </c>
      <c r="T765" s="1">
        <v>1</v>
      </c>
      <c r="U765" s="1">
        <v>0</v>
      </c>
      <c r="V765" s="1">
        <v>0</v>
      </c>
      <c r="W765" s="1">
        <v>0</v>
      </c>
      <c r="X765" s="1">
        <v>0</v>
      </c>
      <c r="Y765" s="1">
        <v>1</v>
      </c>
      <c r="Z765" s="1">
        <v>1</v>
      </c>
      <c r="AA765" s="1" t="s">
        <v>104</v>
      </c>
      <c r="AB765" s="1">
        <v>1</v>
      </c>
      <c r="AC765" s="1" t="s">
        <v>104</v>
      </c>
      <c r="AD765" s="1">
        <v>1</v>
      </c>
      <c r="AE765" s="1" t="s">
        <v>104</v>
      </c>
      <c r="AF765" s="1" t="s">
        <v>104</v>
      </c>
      <c r="AG765" s="1" t="s">
        <v>104</v>
      </c>
      <c r="AH765" s="1" t="s">
        <v>104</v>
      </c>
      <c r="AI765" s="1" t="s">
        <v>104</v>
      </c>
      <c r="AJ765" s="1" t="s">
        <v>104</v>
      </c>
      <c r="AK765" s="1" t="s">
        <v>104</v>
      </c>
      <c r="AL765" s="1">
        <v>1</v>
      </c>
      <c r="AM765" s="1" t="s">
        <v>104</v>
      </c>
      <c r="AO765" s="1">
        <v>1</v>
      </c>
      <c r="AQ765" s="1" t="s">
        <v>4974</v>
      </c>
      <c r="AR765" s="1">
        <v>0</v>
      </c>
      <c r="AS765" s="1">
        <v>0</v>
      </c>
      <c r="AT765" s="1">
        <v>0</v>
      </c>
      <c r="AU765" s="1">
        <v>0</v>
      </c>
      <c r="AV765" s="1">
        <v>0</v>
      </c>
      <c r="AW765" s="1">
        <v>0</v>
      </c>
      <c r="AX765" s="1">
        <v>0</v>
      </c>
      <c r="AY765" s="1">
        <v>0</v>
      </c>
      <c r="AZ765" s="1">
        <v>0</v>
      </c>
      <c r="BA765" s="1">
        <v>0</v>
      </c>
      <c r="BB765" s="1">
        <v>0</v>
      </c>
      <c r="BC765" s="1">
        <v>0</v>
      </c>
      <c r="BD765" s="1">
        <v>0</v>
      </c>
      <c r="BE765" s="1">
        <v>0</v>
      </c>
      <c r="BF765" s="1">
        <v>0</v>
      </c>
      <c r="BG765" s="1">
        <v>0</v>
      </c>
      <c r="BH765" s="1">
        <v>0</v>
      </c>
      <c r="BI765" s="1">
        <v>0</v>
      </c>
      <c r="BJ765" s="1">
        <v>0</v>
      </c>
      <c r="BK765" s="1">
        <v>0</v>
      </c>
      <c r="BL765" s="1">
        <v>0</v>
      </c>
      <c r="BM765" s="1">
        <v>0</v>
      </c>
      <c r="BN765" s="1">
        <v>0</v>
      </c>
      <c r="BO765" s="1">
        <v>0</v>
      </c>
      <c r="BP765" s="1">
        <v>0</v>
      </c>
      <c r="BQ765" s="2" t="str">
        <f>HYPERLINK("http://www.d20pfsrd.com/magic/all-spells/f/flare-burst","Flare Burst")</f>
        <v>Flare Burst</v>
      </c>
      <c r="BR765" s="1">
        <v>785</v>
      </c>
      <c r="BS765" s="1" t="s">
        <v>104</v>
      </c>
      <c r="BX765" s="1">
        <v>0</v>
      </c>
      <c r="BY765" s="1">
        <v>1</v>
      </c>
      <c r="BZ765" s="1" t="s">
        <v>104</v>
      </c>
      <c r="CA765" s="1">
        <v>1</v>
      </c>
      <c r="CB765" s="1" t="s">
        <v>104</v>
      </c>
      <c r="CC765" s="1" t="s">
        <v>104</v>
      </c>
      <c r="CD765" s="1" t="s">
        <v>104</v>
      </c>
      <c r="CE765" s="1" t="s">
        <v>104</v>
      </c>
      <c r="CF765" s="1" t="s">
        <v>104</v>
      </c>
      <c r="CG765" s="1" t="s">
        <v>104</v>
      </c>
      <c r="CH765" s="1">
        <v>1</v>
      </c>
      <c r="CJ765" s="1">
        <v>0</v>
      </c>
      <c r="CK765" s="1">
        <v>0</v>
      </c>
      <c r="CL765" s="1">
        <v>0</v>
      </c>
      <c r="CM765" s="1" t="s">
        <v>104</v>
      </c>
    </row>
    <row r="766" spans="1:91" ht="14.25" customHeight="1" x14ac:dyDescent="0.3">
      <c r="A766" s="1" t="s">
        <v>4975</v>
      </c>
      <c r="B766" s="1" t="s">
        <v>137</v>
      </c>
      <c r="D766" s="1" t="s">
        <v>67</v>
      </c>
      <c r="E766" s="1" t="s">
        <v>4976</v>
      </c>
      <c r="F766" s="1" t="s">
        <v>95</v>
      </c>
      <c r="G766" s="1" t="s">
        <v>4977</v>
      </c>
      <c r="H766" s="1">
        <v>0</v>
      </c>
      <c r="I766" s="1" t="s">
        <v>157</v>
      </c>
      <c r="L766" s="1" t="s">
        <v>158</v>
      </c>
      <c r="M766" s="1" t="s">
        <v>2330</v>
      </c>
      <c r="N766" s="1">
        <v>0</v>
      </c>
      <c r="O766" s="1">
        <v>0</v>
      </c>
      <c r="R766" s="1" t="s">
        <v>4978</v>
      </c>
      <c r="S766" s="1" t="s">
        <v>4403</v>
      </c>
      <c r="T766" s="1">
        <v>0</v>
      </c>
      <c r="U766" s="1">
        <v>1</v>
      </c>
      <c r="V766" s="1">
        <v>1</v>
      </c>
      <c r="W766" s="1">
        <v>0</v>
      </c>
      <c r="X766" s="1">
        <v>0</v>
      </c>
      <c r="Y766" s="1">
        <v>6</v>
      </c>
      <c r="Z766" s="1">
        <v>6</v>
      </c>
      <c r="AA766" s="1" t="s">
        <v>104</v>
      </c>
      <c r="AB766" s="1" t="s">
        <v>104</v>
      </c>
      <c r="AC766" s="1" t="s">
        <v>104</v>
      </c>
      <c r="AD766" s="1" t="s">
        <v>104</v>
      </c>
      <c r="AE766" s="1" t="s">
        <v>104</v>
      </c>
      <c r="AF766" s="1">
        <v>4</v>
      </c>
      <c r="AG766" s="1" t="s">
        <v>104</v>
      </c>
      <c r="AH766" s="1" t="s">
        <v>104</v>
      </c>
      <c r="AI766" s="1" t="s">
        <v>104</v>
      </c>
      <c r="AJ766" s="1" t="s">
        <v>104</v>
      </c>
      <c r="AK766" s="1" t="s">
        <v>104</v>
      </c>
      <c r="AL766" s="1" t="s">
        <v>104</v>
      </c>
      <c r="AM766" s="1" t="s">
        <v>104</v>
      </c>
      <c r="AO766" s="1">
        <v>6</v>
      </c>
      <c r="AP766" s="1" t="s">
        <v>4979</v>
      </c>
      <c r="AQ766" s="1" t="s">
        <v>4980</v>
      </c>
      <c r="AR766" s="1">
        <v>0</v>
      </c>
      <c r="AS766" s="1">
        <v>0</v>
      </c>
      <c r="AT766" s="1">
        <v>0</v>
      </c>
      <c r="AU766" s="1">
        <v>0</v>
      </c>
      <c r="AV766" s="1">
        <v>0</v>
      </c>
      <c r="AW766" s="1">
        <v>0</v>
      </c>
      <c r="AX766" s="1">
        <v>0</v>
      </c>
      <c r="AY766" s="1">
        <v>0</v>
      </c>
      <c r="AZ766" s="1">
        <v>0</v>
      </c>
      <c r="BA766" s="1">
        <v>0</v>
      </c>
      <c r="BB766" s="1">
        <v>0</v>
      </c>
      <c r="BC766" s="1">
        <v>0</v>
      </c>
      <c r="BD766" s="1">
        <v>0</v>
      </c>
      <c r="BE766" s="1">
        <v>0</v>
      </c>
      <c r="BF766" s="1">
        <v>0</v>
      </c>
      <c r="BG766" s="1">
        <v>0</v>
      </c>
      <c r="BH766" s="1">
        <v>0</v>
      </c>
      <c r="BI766" s="1">
        <v>0</v>
      </c>
      <c r="BJ766" s="1">
        <v>0</v>
      </c>
      <c r="BK766" s="1">
        <v>0</v>
      </c>
      <c r="BL766" s="1">
        <v>0</v>
      </c>
      <c r="BM766" s="1">
        <v>0</v>
      </c>
      <c r="BN766" s="1">
        <v>0</v>
      </c>
      <c r="BO766" s="1">
        <v>0</v>
      </c>
      <c r="BP766" s="1">
        <v>1</v>
      </c>
      <c r="BQ766" s="2" t="str">
        <f>HYPERLINK("http://www.d20pfsrd.com/magic/all-spells/f/fluid-form","Fluid Form")</f>
        <v>Fluid Form</v>
      </c>
      <c r="BR766" s="1">
        <v>786</v>
      </c>
      <c r="BS766" s="1" t="s">
        <v>104</v>
      </c>
      <c r="BT766" s="1" t="s">
        <v>4981</v>
      </c>
      <c r="BX766" s="1">
        <v>0</v>
      </c>
      <c r="BY766" s="1" t="s">
        <v>104</v>
      </c>
      <c r="BZ766" s="1" t="s">
        <v>104</v>
      </c>
      <c r="CA766" s="1">
        <v>6</v>
      </c>
      <c r="CB766" s="1" t="s">
        <v>104</v>
      </c>
      <c r="CC766" s="1" t="s">
        <v>104</v>
      </c>
      <c r="CD766" s="1" t="s">
        <v>104</v>
      </c>
      <c r="CE766" s="1" t="s">
        <v>104</v>
      </c>
      <c r="CF766" s="1" t="s">
        <v>104</v>
      </c>
      <c r="CG766" s="1" t="s">
        <v>104</v>
      </c>
      <c r="CH766" s="1" t="s">
        <v>104</v>
      </c>
      <c r="CJ766" s="1">
        <v>0</v>
      </c>
      <c r="CK766" s="1">
        <v>0</v>
      </c>
      <c r="CL766" s="1">
        <v>0</v>
      </c>
      <c r="CM766" s="1" t="s">
        <v>104</v>
      </c>
    </row>
    <row r="767" spans="1:91" ht="14.25" customHeight="1" x14ac:dyDescent="0.3">
      <c r="A767" s="1" t="s">
        <v>4982</v>
      </c>
      <c r="B767" s="1" t="s">
        <v>137</v>
      </c>
      <c r="E767" s="1" t="s">
        <v>1655</v>
      </c>
      <c r="F767" s="1" t="s">
        <v>95</v>
      </c>
      <c r="G767" s="1" t="s">
        <v>1630</v>
      </c>
      <c r="H767" s="1">
        <v>0</v>
      </c>
      <c r="I767" s="1" t="s">
        <v>117</v>
      </c>
      <c r="L767" s="1" t="s">
        <v>541</v>
      </c>
      <c r="M767" s="1" t="s">
        <v>4292</v>
      </c>
      <c r="N767" s="1">
        <v>0</v>
      </c>
      <c r="O767" s="1">
        <v>0</v>
      </c>
      <c r="P767" s="1" t="s">
        <v>375</v>
      </c>
      <c r="Q767" s="1" t="s">
        <v>131</v>
      </c>
      <c r="R767" s="1" t="s">
        <v>4983</v>
      </c>
      <c r="S767" s="1" t="s">
        <v>4403</v>
      </c>
      <c r="T767" s="1">
        <v>1</v>
      </c>
      <c r="U767" s="1">
        <v>1</v>
      </c>
      <c r="V767" s="1">
        <v>0</v>
      </c>
      <c r="W767" s="1">
        <v>0</v>
      </c>
      <c r="X767" s="1">
        <v>0</v>
      </c>
      <c r="Y767" s="1">
        <v>7</v>
      </c>
      <c r="Z767" s="1">
        <v>7</v>
      </c>
      <c r="AA767" s="1" t="s">
        <v>104</v>
      </c>
      <c r="AB767" s="1" t="s">
        <v>104</v>
      </c>
      <c r="AC767" s="1" t="s">
        <v>104</v>
      </c>
      <c r="AD767" s="1" t="s">
        <v>104</v>
      </c>
      <c r="AE767" s="1" t="s">
        <v>104</v>
      </c>
      <c r="AF767" s="1" t="s">
        <v>104</v>
      </c>
      <c r="AG767" s="1" t="s">
        <v>104</v>
      </c>
      <c r="AH767" s="1" t="s">
        <v>104</v>
      </c>
      <c r="AI767" s="1" t="s">
        <v>104</v>
      </c>
      <c r="AJ767" s="1" t="s">
        <v>104</v>
      </c>
      <c r="AK767" s="1" t="s">
        <v>104</v>
      </c>
      <c r="AL767" s="1" t="s">
        <v>104</v>
      </c>
      <c r="AM767" s="1" t="s">
        <v>104</v>
      </c>
      <c r="AO767" s="1">
        <v>7</v>
      </c>
      <c r="AP767" s="1" t="s">
        <v>4984</v>
      </c>
      <c r="AQ767" s="1" t="s">
        <v>4985</v>
      </c>
      <c r="AR767" s="1">
        <v>0</v>
      </c>
      <c r="AS767" s="1">
        <v>0</v>
      </c>
      <c r="AT767" s="1">
        <v>0</v>
      </c>
      <c r="AU767" s="1">
        <v>0</v>
      </c>
      <c r="AV767" s="1">
        <v>0</v>
      </c>
      <c r="AW767" s="1">
        <v>0</v>
      </c>
      <c r="AX767" s="1">
        <v>0</v>
      </c>
      <c r="AY767" s="1">
        <v>0</v>
      </c>
      <c r="AZ767" s="1">
        <v>0</v>
      </c>
      <c r="BA767" s="1">
        <v>0</v>
      </c>
      <c r="BB767" s="1">
        <v>0</v>
      </c>
      <c r="BC767" s="1">
        <v>0</v>
      </c>
      <c r="BD767" s="1">
        <v>0</v>
      </c>
      <c r="BE767" s="1">
        <v>0</v>
      </c>
      <c r="BF767" s="1">
        <v>0</v>
      </c>
      <c r="BG767" s="1">
        <v>0</v>
      </c>
      <c r="BH767" s="1">
        <v>0</v>
      </c>
      <c r="BI767" s="1">
        <v>0</v>
      </c>
      <c r="BJ767" s="1">
        <v>0</v>
      </c>
      <c r="BK767" s="1">
        <v>0</v>
      </c>
      <c r="BL767" s="1">
        <v>0</v>
      </c>
      <c r="BM767" s="1">
        <v>0</v>
      </c>
      <c r="BN767" s="1">
        <v>0</v>
      </c>
      <c r="BO767" s="1">
        <v>0</v>
      </c>
      <c r="BP767" s="1">
        <v>0</v>
      </c>
      <c r="BQ767" s="2" t="str">
        <f>HYPERLINK("http://www.d20pfsrd.com/magic/all-spells/f/fly,-mass","Fly, Mass")</f>
        <v>Fly, Mass</v>
      </c>
      <c r="BR767" s="1">
        <v>787</v>
      </c>
      <c r="BS767" s="1" t="s">
        <v>104</v>
      </c>
      <c r="BX767" s="1">
        <v>0</v>
      </c>
      <c r="BY767" s="1" t="s">
        <v>104</v>
      </c>
      <c r="BZ767" s="1" t="s">
        <v>104</v>
      </c>
      <c r="CA767" s="1">
        <v>7</v>
      </c>
      <c r="CB767" s="1" t="s">
        <v>104</v>
      </c>
      <c r="CC767" s="1" t="s">
        <v>104</v>
      </c>
      <c r="CD767" s="1" t="s">
        <v>104</v>
      </c>
      <c r="CE767" s="1" t="s">
        <v>104</v>
      </c>
      <c r="CF767" s="1" t="s">
        <v>104</v>
      </c>
      <c r="CG767" s="1" t="s">
        <v>104</v>
      </c>
      <c r="CH767" s="1" t="s">
        <v>104</v>
      </c>
      <c r="CJ767" s="1">
        <v>0</v>
      </c>
      <c r="CK767" s="1">
        <v>0</v>
      </c>
      <c r="CL767" s="1">
        <v>0</v>
      </c>
      <c r="CM767" s="1" t="s">
        <v>104</v>
      </c>
    </row>
    <row r="768" spans="1:91" ht="14.25" customHeight="1" x14ac:dyDescent="0.3">
      <c r="A768" s="1" t="s">
        <v>4986</v>
      </c>
      <c r="B768" s="1" t="s">
        <v>123</v>
      </c>
      <c r="C768" s="1" t="s">
        <v>124</v>
      </c>
      <c r="D768" s="1" t="s">
        <v>125</v>
      </c>
      <c r="E768" s="1" t="s">
        <v>4987</v>
      </c>
      <c r="F768" s="1" t="s">
        <v>1502</v>
      </c>
      <c r="G768" s="1" t="s">
        <v>116</v>
      </c>
      <c r="H768" s="1">
        <v>0</v>
      </c>
      <c r="I768" s="1" t="s">
        <v>109</v>
      </c>
      <c r="L768" s="1" t="s">
        <v>417</v>
      </c>
      <c r="M768" s="1" t="s">
        <v>255</v>
      </c>
      <c r="N768" s="1">
        <v>0</v>
      </c>
      <c r="O768" s="1">
        <v>0</v>
      </c>
      <c r="P768" s="1" t="s">
        <v>211</v>
      </c>
      <c r="Q768" s="1" t="s">
        <v>184</v>
      </c>
      <c r="R768" s="1" t="s">
        <v>4988</v>
      </c>
      <c r="S768" s="1" t="s">
        <v>4403</v>
      </c>
      <c r="T768" s="1">
        <v>1</v>
      </c>
      <c r="U768" s="1">
        <v>1</v>
      </c>
      <c r="V768" s="1">
        <v>0</v>
      </c>
      <c r="W768" s="1">
        <v>0</v>
      </c>
      <c r="X768" s="1">
        <v>0</v>
      </c>
      <c r="Y768" s="1" t="s">
        <v>104</v>
      </c>
      <c r="Z768" s="1" t="s">
        <v>104</v>
      </c>
      <c r="AA768" s="1" t="s">
        <v>104</v>
      </c>
      <c r="AB768" s="1" t="s">
        <v>104</v>
      </c>
      <c r="AC768" s="1" t="s">
        <v>104</v>
      </c>
      <c r="AD768" s="1">
        <v>5</v>
      </c>
      <c r="AE768" s="1" t="s">
        <v>104</v>
      </c>
      <c r="AF768" s="1" t="s">
        <v>104</v>
      </c>
      <c r="AG768" s="1" t="s">
        <v>104</v>
      </c>
      <c r="AH768" s="1" t="s">
        <v>104</v>
      </c>
      <c r="AI768" s="1" t="s">
        <v>104</v>
      </c>
      <c r="AJ768" s="1" t="s">
        <v>104</v>
      </c>
      <c r="AK768" s="1" t="s">
        <v>104</v>
      </c>
      <c r="AL768" s="1" t="s">
        <v>104</v>
      </c>
      <c r="AM768" s="1" t="s">
        <v>104</v>
      </c>
      <c r="AO768" s="1">
        <v>5</v>
      </c>
      <c r="AQ768" s="1" t="s">
        <v>4989</v>
      </c>
      <c r="AR768" s="1">
        <v>0</v>
      </c>
      <c r="AS768" s="1">
        <v>0</v>
      </c>
      <c r="AT768" s="1">
        <v>0</v>
      </c>
      <c r="AU768" s="1">
        <v>0</v>
      </c>
      <c r="AV768" s="1">
        <v>0</v>
      </c>
      <c r="AW768" s="1">
        <v>0</v>
      </c>
      <c r="AX768" s="1">
        <v>0</v>
      </c>
      <c r="AY768" s="1">
        <v>0</v>
      </c>
      <c r="AZ768" s="1">
        <v>0</v>
      </c>
      <c r="BA768" s="1">
        <v>0</v>
      </c>
      <c r="BB768" s="1">
        <v>0</v>
      </c>
      <c r="BC768" s="1">
        <v>0</v>
      </c>
      <c r="BD768" s="1">
        <v>0</v>
      </c>
      <c r="BE768" s="1">
        <v>0</v>
      </c>
      <c r="BF768" s="1">
        <v>0</v>
      </c>
      <c r="BG768" s="1">
        <v>0</v>
      </c>
      <c r="BH768" s="1">
        <v>0</v>
      </c>
      <c r="BI768" s="1">
        <v>0</v>
      </c>
      <c r="BJ768" s="1">
        <v>0</v>
      </c>
      <c r="BK768" s="1">
        <v>1</v>
      </c>
      <c r="BL768" s="1">
        <v>0</v>
      </c>
      <c r="BM768" s="1">
        <v>0</v>
      </c>
      <c r="BN768" s="1">
        <v>0</v>
      </c>
      <c r="BO768" s="1">
        <v>0</v>
      </c>
      <c r="BP768" s="1">
        <v>0</v>
      </c>
      <c r="BQ768" s="2" t="str">
        <f>HYPERLINK("http://www.d20pfsrd.com/magic/all-spells/f/foe-to-friend","Foe to Friend")</f>
        <v>Foe to Friend</v>
      </c>
      <c r="BR768" s="1">
        <v>788</v>
      </c>
      <c r="BS768" s="1" t="s">
        <v>104</v>
      </c>
      <c r="BX768" s="1">
        <v>0</v>
      </c>
      <c r="BY768" s="1" t="s">
        <v>104</v>
      </c>
      <c r="BZ768" s="1" t="s">
        <v>104</v>
      </c>
      <c r="CA768" s="1">
        <v>7</v>
      </c>
      <c r="CB768" s="1" t="s">
        <v>104</v>
      </c>
      <c r="CC768" s="1">
        <v>5</v>
      </c>
      <c r="CD768" s="1" t="s">
        <v>104</v>
      </c>
      <c r="CE768" s="1" t="s">
        <v>104</v>
      </c>
      <c r="CF768" s="1" t="s">
        <v>104</v>
      </c>
      <c r="CG768" s="1" t="s">
        <v>104</v>
      </c>
      <c r="CH768" s="1" t="s">
        <v>104</v>
      </c>
      <c r="CJ768" s="1">
        <v>0</v>
      </c>
      <c r="CK768" s="1">
        <v>0</v>
      </c>
      <c r="CL768" s="1">
        <v>0</v>
      </c>
      <c r="CM768" s="1" t="s">
        <v>104</v>
      </c>
    </row>
    <row r="769" spans="1:91" ht="14.25" customHeight="1" x14ac:dyDescent="0.3">
      <c r="A769" s="1" t="s">
        <v>4990</v>
      </c>
      <c r="B769" s="1" t="s">
        <v>172</v>
      </c>
      <c r="D769" s="1" t="s">
        <v>4692</v>
      </c>
      <c r="E769" s="1" t="s">
        <v>4991</v>
      </c>
      <c r="F769" s="1" t="s">
        <v>95</v>
      </c>
      <c r="G769" s="1" t="s">
        <v>127</v>
      </c>
      <c r="H769" s="1">
        <v>0</v>
      </c>
      <c r="I769" s="1" t="s">
        <v>157</v>
      </c>
      <c r="L769" s="1" t="s">
        <v>158</v>
      </c>
      <c r="M769" s="1" t="s">
        <v>4992</v>
      </c>
      <c r="N769" s="1">
        <v>1</v>
      </c>
      <c r="O769" s="1">
        <v>0</v>
      </c>
      <c r="R769" s="1" t="s">
        <v>4993</v>
      </c>
      <c r="S769" s="1" t="s">
        <v>4403</v>
      </c>
      <c r="T769" s="1">
        <v>1</v>
      </c>
      <c r="U769" s="1">
        <v>1</v>
      </c>
      <c r="V769" s="1">
        <v>0</v>
      </c>
      <c r="W769" s="1">
        <v>0</v>
      </c>
      <c r="X769" s="1">
        <v>1</v>
      </c>
      <c r="Y769" s="1" t="s">
        <v>104</v>
      </c>
      <c r="Z769" s="1" t="s">
        <v>104</v>
      </c>
      <c r="AA769" s="1" t="s">
        <v>104</v>
      </c>
      <c r="AB769" s="1" t="s">
        <v>104</v>
      </c>
      <c r="AC769" s="1" t="s">
        <v>104</v>
      </c>
      <c r="AD769" s="1" t="s">
        <v>104</v>
      </c>
      <c r="AE769" s="1" t="s">
        <v>104</v>
      </c>
      <c r="AF769" s="1" t="s">
        <v>104</v>
      </c>
      <c r="AG769" s="1" t="s">
        <v>104</v>
      </c>
      <c r="AH769" s="1" t="s">
        <v>104</v>
      </c>
      <c r="AI769" s="1">
        <v>2</v>
      </c>
      <c r="AJ769" s="1" t="s">
        <v>104</v>
      </c>
      <c r="AK769" s="1" t="s">
        <v>104</v>
      </c>
      <c r="AL769" s="1" t="s">
        <v>104</v>
      </c>
      <c r="AM769" s="1" t="s">
        <v>104</v>
      </c>
      <c r="AO769" s="1">
        <v>2</v>
      </c>
      <c r="AQ769" s="1" t="s">
        <v>4994</v>
      </c>
      <c r="AR769" s="1">
        <v>0</v>
      </c>
      <c r="AS769" s="1">
        <v>0</v>
      </c>
      <c r="AT769" s="1">
        <v>1</v>
      </c>
      <c r="AU769" s="1">
        <v>0</v>
      </c>
      <c r="AV769" s="1">
        <v>0</v>
      </c>
      <c r="AW769" s="1">
        <v>0</v>
      </c>
      <c r="AX769" s="1">
        <v>0</v>
      </c>
      <c r="AY769" s="1">
        <v>0</v>
      </c>
      <c r="AZ769" s="1">
        <v>0</v>
      </c>
      <c r="BA769" s="1">
        <v>0</v>
      </c>
      <c r="BB769" s="1">
        <v>0</v>
      </c>
      <c r="BC769" s="1">
        <v>1</v>
      </c>
      <c r="BD769" s="1">
        <v>0</v>
      </c>
      <c r="BE769" s="1">
        <v>0</v>
      </c>
      <c r="BF769" s="1">
        <v>0</v>
      </c>
      <c r="BG769" s="1">
        <v>1</v>
      </c>
      <c r="BH769" s="1">
        <v>0</v>
      </c>
      <c r="BI769" s="1">
        <v>1</v>
      </c>
      <c r="BJ769" s="1">
        <v>0</v>
      </c>
      <c r="BK769" s="1">
        <v>0</v>
      </c>
      <c r="BL769" s="1">
        <v>0</v>
      </c>
      <c r="BM769" s="1">
        <v>0</v>
      </c>
      <c r="BN769" s="1">
        <v>0</v>
      </c>
      <c r="BO769" s="1">
        <v>0</v>
      </c>
      <c r="BP769" s="1">
        <v>0</v>
      </c>
      <c r="BQ769" s="2" t="str">
        <f>HYPERLINK("http://www.d20pfsrd.com/magic/all-spells/f/follow-aura","Follow Aura")</f>
        <v>Follow Aura</v>
      </c>
      <c r="BR769" s="1">
        <v>789</v>
      </c>
      <c r="BS769" s="1" t="s">
        <v>104</v>
      </c>
      <c r="BX769" s="1">
        <v>0</v>
      </c>
      <c r="BY769" s="1" t="s">
        <v>104</v>
      </c>
      <c r="BZ769" s="1" t="s">
        <v>104</v>
      </c>
      <c r="CA769" s="1" t="s">
        <v>104</v>
      </c>
      <c r="CB769" s="1" t="s">
        <v>104</v>
      </c>
      <c r="CC769" s="1" t="s">
        <v>104</v>
      </c>
      <c r="CD769" s="1">
        <v>3</v>
      </c>
      <c r="CE769" s="1" t="s">
        <v>104</v>
      </c>
      <c r="CF769" s="1" t="s">
        <v>104</v>
      </c>
      <c r="CG769" s="1" t="s">
        <v>104</v>
      </c>
      <c r="CH769" s="1" t="s">
        <v>104</v>
      </c>
      <c r="CJ769" s="1">
        <v>0</v>
      </c>
      <c r="CK769" s="1">
        <v>0</v>
      </c>
      <c r="CL769" s="1">
        <v>0</v>
      </c>
      <c r="CM769" s="1" t="s">
        <v>104</v>
      </c>
    </row>
    <row r="770" spans="1:91" ht="14.25" customHeight="1" x14ac:dyDescent="0.3">
      <c r="A770" s="1" t="s">
        <v>4995</v>
      </c>
      <c r="B770" s="1" t="s">
        <v>162</v>
      </c>
      <c r="D770" s="1" t="s">
        <v>125</v>
      </c>
      <c r="E770" s="1" t="s">
        <v>4572</v>
      </c>
      <c r="F770" s="1" t="s">
        <v>95</v>
      </c>
      <c r="G770" s="1" t="s">
        <v>4996</v>
      </c>
      <c r="H770" s="1">
        <v>0</v>
      </c>
      <c r="I770" s="1" t="s">
        <v>256</v>
      </c>
      <c r="J770" s="1" t="s">
        <v>4997</v>
      </c>
      <c r="M770" s="1" t="s">
        <v>210</v>
      </c>
      <c r="N770" s="1">
        <v>0</v>
      </c>
      <c r="O770" s="1">
        <v>0</v>
      </c>
      <c r="P770" s="1" t="s">
        <v>276</v>
      </c>
      <c r="Q770" s="1" t="s">
        <v>184</v>
      </c>
      <c r="R770" s="1" t="s">
        <v>4998</v>
      </c>
      <c r="S770" s="1" t="s">
        <v>4403</v>
      </c>
      <c r="T770" s="1">
        <v>1</v>
      </c>
      <c r="U770" s="1">
        <v>1</v>
      </c>
      <c r="V770" s="1">
        <v>1</v>
      </c>
      <c r="W770" s="1">
        <v>0</v>
      </c>
      <c r="X770" s="1">
        <v>0</v>
      </c>
      <c r="Y770" s="1" t="s">
        <v>104</v>
      </c>
      <c r="Z770" s="1" t="s">
        <v>104</v>
      </c>
      <c r="AA770" s="1" t="s">
        <v>104</v>
      </c>
      <c r="AB770" s="1" t="s">
        <v>104</v>
      </c>
      <c r="AC770" s="1" t="s">
        <v>104</v>
      </c>
      <c r="AD770" s="1">
        <v>6</v>
      </c>
      <c r="AE770" s="1" t="s">
        <v>104</v>
      </c>
      <c r="AF770" s="1" t="s">
        <v>104</v>
      </c>
      <c r="AG770" s="1" t="s">
        <v>104</v>
      </c>
      <c r="AH770" s="1" t="s">
        <v>104</v>
      </c>
      <c r="AI770" s="1" t="s">
        <v>104</v>
      </c>
      <c r="AJ770" s="1" t="s">
        <v>104</v>
      </c>
      <c r="AK770" s="1" t="s">
        <v>104</v>
      </c>
      <c r="AL770" s="1" t="s">
        <v>104</v>
      </c>
      <c r="AM770" s="1" t="s">
        <v>104</v>
      </c>
      <c r="AO770" s="1">
        <v>6</v>
      </c>
      <c r="AQ770" s="1" t="s">
        <v>4999</v>
      </c>
      <c r="AR770" s="1">
        <v>0</v>
      </c>
      <c r="AS770" s="1">
        <v>0</v>
      </c>
      <c r="AT770" s="1">
        <v>0</v>
      </c>
      <c r="AU770" s="1">
        <v>0</v>
      </c>
      <c r="AV770" s="1">
        <v>0</v>
      </c>
      <c r="AW770" s="1">
        <v>0</v>
      </c>
      <c r="AX770" s="1">
        <v>0</v>
      </c>
      <c r="AY770" s="1">
        <v>0</v>
      </c>
      <c r="AZ770" s="1">
        <v>0</v>
      </c>
      <c r="BA770" s="1">
        <v>0</v>
      </c>
      <c r="BB770" s="1">
        <v>0</v>
      </c>
      <c r="BC770" s="1">
        <v>0</v>
      </c>
      <c r="BD770" s="1">
        <v>0</v>
      </c>
      <c r="BE770" s="1">
        <v>0</v>
      </c>
      <c r="BF770" s="1">
        <v>0</v>
      </c>
      <c r="BG770" s="1">
        <v>0</v>
      </c>
      <c r="BH770" s="1">
        <v>0</v>
      </c>
      <c r="BI770" s="1">
        <v>0</v>
      </c>
      <c r="BJ770" s="1">
        <v>0</v>
      </c>
      <c r="BK770" s="1">
        <v>1</v>
      </c>
      <c r="BL770" s="1">
        <v>0</v>
      </c>
      <c r="BM770" s="1">
        <v>0</v>
      </c>
      <c r="BN770" s="1">
        <v>0</v>
      </c>
      <c r="BO770" s="1">
        <v>0</v>
      </c>
      <c r="BP770" s="1">
        <v>0</v>
      </c>
      <c r="BQ770" s="2" t="str">
        <f>HYPERLINK("http://www.d20pfsrd.com/magic/all-spells/f/fool-s-forbiddance","Fool's Forbiddance")</f>
        <v>Fool's Forbiddance</v>
      </c>
      <c r="BR770" s="1">
        <v>790</v>
      </c>
      <c r="BS770" s="1" t="s">
        <v>104</v>
      </c>
      <c r="BX770" s="1">
        <v>0</v>
      </c>
      <c r="BY770" s="1" t="s">
        <v>104</v>
      </c>
      <c r="BZ770" s="1" t="s">
        <v>104</v>
      </c>
      <c r="CA770" s="1">
        <v>8</v>
      </c>
      <c r="CB770" s="1" t="s">
        <v>104</v>
      </c>
      <c r="CC770" s="1" t="s">
        <v>104</v>
      </c>
      <c r="CD770" s="1" t="s">
        <v>104</v>
      </c>
      <c r="CE770" s="1" t="s">
        <v>104</v>
      </c>
      <c r="CF770" s="1" t="s">
        <v>104</v>
      </c>
      <c r="CG770" s="1" t="s">
        <v>104</v>
      </c>
      <c r="CH770" s="1" t="s">
        <v>104</v>
      </c>
      <c r="CJ770" s="1">
        <v>0</v>
      </c>
      <c r="CK770" s="1">
        <v>0</v>
      </c>
      <c r="CL770" s="1">
        <v>0</v>
      </c>
      <c r="CM770" s="1" t="s">
        <v>104</v>
      </c>
    </row>
    <row r="771" spans="1:91" ht="14.25" customHeight="1" x14ac:dyDescent="0.3">
      <c r="A771" s="1" t="s">
        <v>5000</v>
      </c>
      <c r="B771" s="1" t="s">
        <v>123</v>
      </c>
      <c r="C771" s="1" t="s">
        <v>124</v>
      </c>
      <c r="D771" s="1" t="s">
        <v>271</v>
      </c>
      <c r="E771" s="1" t="s">
        <v>5001</v>
      </c>
      <c r="F771" s="1" t="s">
        <v>95</v>
      </c>
      <c r="G771" s="1" t="s">
        <v>127</v>
      </c>
      <c r="H771" s="1">
        <v>0</v>
      </c>
      <c r="I771" s="1" t="s">
        <v>117</v>
      </c>
      <c r="L771" s="1" t="s">
        <v>5002</v>
      </c>
      <c r="M771" s="1" t="s">
        <v>111</v>
      </c>
      <c r="N771" s="1">
        <v>0</v>
      </c>
      <c r="O771" s="1">
        <v>0</v>
      </c>
      <c r="P771" s="1" t="s">
        <v>211</v>
      </c>
      <c r="Q771" s="1" t="s">
        <v>184</v>
      </c>
      <c r="R771" s="1" t="s">
        <v>5003</v>
      </c>
      <c r="S771" s="1" t="s">
        <v>4403</v>
      </c>
      <c r="T771" s="1">
        <v>1</v>
      </c>
      <c r="U771" s="1">
        <v>1</v>
      </c>
      <c r="V771" s="1">
        <v>0</v>
      </c>
      <c r="W771" s="1">
        <v>0</v>
      </c>
      <c r="X771" s="1">
        <v>1</v>
      </c>
      <c r="Y771" s="1" t="s">
        <v>104</v>
      </c>
      <c r="Z771" s="1" t="s">
        <v>104</v>
      </c>
      <c r="AA771" s="1" t="s">
        <v>104</v>
      </c>
      <c r="AB771" s="1" t="s">
        <v>104</v>
      </c>
      <c r="AC771" s="1" t="s">
        <v>104</v>
      </c>
      <c r="AD771" s="1" t="s">
        <v>104</v>
      </c>
      <c r="AE771" s="1">
        <v>4</v>
      </c>
      <c r="AF771" s="1" t="s">
        <v>104</v>
      </c>
      <c r="AG771" s="1" t="s">
        <v>104</v>
      </c>
      <c r="AH771" s="1" t="s">
        <v>104</v>
      </c>
      <c r="AI771" s="1">
        <v>4</v>
      </c>
      <c r="AJ771" s="1" t="s">
        <v>104</v>
      </c>
      <c r="AK771" s="1" t="s">
        <v>104</v>
      </c>
      <c r="AL771" s="1" t="s">
        <v>104</v>
      </c>
      <c r="AM771" s="1" t="s">
        <v>104</v>
      </c>
      <c r="AO771" s="1">
        <v>4</v>
      </c>
      <c r="AP771" s="1" t="s">
        <v>5004</v>
      </c>
      <c r="AQ771" s="1" t="s">
        <v>5005</v>
      </c>
      <c r="AR771" s="1">
        <v>0</v>
      </c>
      <c r="AS771" s="1">
        <v>0</v>
      </c>
      <c r="AT771" s="1">
        <v>0</v>
      </c>
      <c r="AU771" s="1">
        <v>0</v>
      </c>
      <c r="AV771" s="1">
        <v>0</v>
      </c>
      <c r="AW771" s="1">
        <v>0</v>
      </c>
      <c r="AX771" s="1">
        <v>0</v>
      </c>
      <c r="AY771" s="1">
        <v>0</v>
      </c>
      <c r="AZ771" s="1">
        <v>0</v>
      </c>
      <c r="BA771" s="1">
        <v>0</v>
      </c>
      <c r="BB771" s="1">
        <v>1</v>
      </c>
      <c r="BC771" s="1">
        <v>0</v>
      </c>
      <c r="BD771" s="1">
        <v>0</v>
      </c>
      <c r="BE771" s="1">
        <v>0</v>
      </c>
      <c r="BF771" s="1">
        <v>0</v>
      </c>
      <c r="BG771" s="1">
        <v>0</v>
      </c>
      <c r="BH771" s="1">
        <v>0</v>
      </c>
      <c r="BI771" s="1">
        <v>0</v>
      </c>
      <c r="BJ771" s="1">
        <v>0</v>
      </c>
      <c r="BK771" s="1">
        <v>1</v>
      </c>
      <c r="BL771" s="1">
        <v>0</v>
      </c>
      <c r="BM771" s="1">
        <v>0</v>
      </c>
      <c r="BN771" s="1">
        <v>0</v>
      </c>
      <c r="BO771" s="1">
        <v>0</v>
      </c>
      <c r="BP771" s="1">
        <v>0</v>
      </c>
      <c r="BQ771" s="2" t="str">
        <f>HYPERLINK("http://www.d20pfsrd.com/magic/all-spells/f/forced-repentance","Forced Repentance")</f>
        <v>Forced Repentance</v>
      </c>
      <c r="BR771" s="1">
        <v>791</v>
      </c>
      <c r="BS771" s="1" t="s">
        <v>104</v>
      </c>
      <c r="BX771" s="1">
        <v>0</v>
      </c>
      <c r="BY771" s="1" t="s">
        <v>104</v>
      </c>
      <c r="BZ771" s="1" t="s">
        <v>104</v>
      </c>
      <c r="CA771" s="1" t="s">
        <v>104</v>
      </c>
      <c r="CB771" s="1" t="s">
        <v>104</v>
      </c>
      <c r="CC771" s="1" t="s">
        <v>104</v>
      </c>
      <c r="CD771" s="1" t="s">
        <v>104</v>
      </c>
      <c r="CE771" s="1" t="s">
        <v>104</v>
      </c>
      <c r="CF771" s="1" t="s">
        <v>104</v>
      </c>
      <c r="CG771" s="1" t="s">
        <v>104</v>
      </c>
      <c r="CH771" s="1" t="s">
        <v>104</v>
      </c>
      <c r="CJ771" s="1">
        <v>0</v>
      </c>
      <c r="CK771" s="1">
        <v>0</v>
      </c>
      <c r="CL771" s="1">
        <v>0</v>
      </c>
      <c r="CM771" s="1" t="s">
        <v>104</v>
      </c>
    </row>
    <row r="772" spans="1:91" ht="14.25" customHeight="1" x14ac:dyDescent="0.3">
      <c r="A772" s="1" t="s">
        <v>5006</v>
      </c>
      <c r="B772" s="1" t="s">
        <v>123</v>
      </c>
      <c r="C772" s="1" t="s">
        <v>124</v>
      </c>
      <c r="D772" s="1" t="s">
        <v>207</v>
      </c>
      <c r="E772" s="1" t="s">
        <v>4490</v>
      </c>
      <c r="F772" s="1" t="s">
        <v>95</v>
      </c>
      <c r="G772" s="1" t="s">
        <v>237</v>
      </c>
      <c r="H772" s="1">
        <v>0</v>
      </c>
      <c r="J772" s="1" t="s">
        <v>5007</v>
      </c>
      <c r="L772" s="1" t="s">
        <v>5008</v>
      </c>
      <c r="M772" s="1" t="s">
        <v>5009</v>
      </c>
      <c r="N772" s="1">
        <v>0</v>
      </c>
      <c r="O772" s="1">
        <v>0</v>
      </c>
      <c r="P772" s="1" t="s">
        <v>629</v>
      </c>
      <c r="Q772" s="1" t="s">
        <v>184</v>
      </c>
      <c r="R772" s="1" t="s">
        <v>5010</v>
      </c>
      <c r="S772" s="1" t="s">
        <v>4403</v>
      </c>
      <c r="T772" s="1">
        <v>1</v>
      </c>
      <c r="U772" s="1">
        <v>0</v>
      </c>
      <c r="V772" s="1">
        <v>0</v>
      </c>
      <c r="W772" s="1">
        <v>0</v>
      </c>
      <c r="X772" s="1">
        <v>0</v>
      </c>
      <c r="Y772" s="1" t="s">
        <v>104</v>
      </c>
      <c r="Z772" s="1" t="s">
        <v>104</v>
      </c>
      <c r="AA772" s="1" t="s">
        <v>104</v>
      </c>
      <c r="AB772" s="1" t="s">
        <v>104</v>
      </c>
      <c r="AC772" s="1" t="s">
        <v>104</v>
      </c>
      <c r="AD772" s="1">
        <v>5</v>
      </c>
      <c r="AE772" s="1" t="s">
        <v>104</v>
      </c>
      <c r="AF772" s="1" t="s">
        <v>104</v>
      </c>
      <c r="AG772" s="1" t="s">
        <v>104</v>
      </c>
      <c r="AH772" s="1" t="s">
        <v>104</v>
      </c>
      <c r="AI772" s="1" t="s">
        <v>104</v>
      </c>
      <c r="AJ772" s="1" t="s">
        <v>104</v>
      </c>
      <c r="AK772" s="1" t="s">
        <v>104</v>
      </c>
      <c r="AL772" s="1" t="s">
        <v>104</v>
      </c>
      <c r="AM772" s="1" t="s">
        <v>104</v>
      </c>
      <c r="AO772" s="1">
        <v>5</v>
      </c>
      <c r="AQ772" s="1" t="s">
        <v>5011</v>
      </c>
      <c r="AR772" s="1">
        <v>0</v>
      </c>
      <c r="AS772" s="1">
        <v>0</v>
      </c>
      <c r="AT772" s="1">
        <v>0</v>
      </c>
      <c r="AU772" s="1">
        <v>0</v>
      </c>
      <c r="AV772" s="1">
        <v>0</v>
      </c>
      <c r="AW772" s="1">
        <v>0</v>
      </c>
      <c r="AX772" s="1">
        <v>0</v>
      </c>
      <c r="AY772" s="1">
        <v>0</v>
      </c>
      <c r="AZ772" s="1">
        <v>0</v>
      </c>
      <c r="BA772" s="1">
        <v>0</v>
      </c>
      <c r="BB772" s="1">
        <v>0</v>
      </c>
      <c r="BC772" s="1">
        <v>0</v>
      </c>
      <c r="BD772" s="1">
        <v>0</v>
      </c>
      <c r="BE772" s="1">
        <v>0</v>
      </c>
      <c r="BF772" s="1">
        <v>0</v>
      </c>
      <c r="BG772" s="1">
        <v>0</v>
      </c>
      <c r="BH772" s="1">
        <v>0</v>
      </c>
      <c r="BI772" s="1">
        <v>0</v>
      </c>
      <c r="BJ772" s="1">
        <v>0</v>
      </c>
      <c r="BK772" s="1">
        <v>1</v>
      </c>
      <c r="BL772" s="1">
        <v>0</v>
      </c>
      <c r="BM772" s="1">
        <v>0</v>
      </c>
      <c r="BN772" s="1">
        <v>0</v>
      </c>
      <c r="BO772" s="1">
        <v>1</v>
      </c>
      <c r="BP772" s="1">
        <v>0</v>
      </c>
      <c r="BQ772" s="2" t="str">
        <f>HYPERLINK("http://www.d20pfsrd.com/magic/all-spells/f/frozen-note","Frozen Note")</f>
        <v>Frozen Note</v>
      </c>
      <c r="BR772" s="1">
        <v>792</v>
      </c>
      <c r="BS772" s="1" t="s">
        <v>104</v>
      </c>
      <c r="BX772" s="1">
        <v>0</v>
      </c>
      <c r="BY772" s="1" t="s">
        <v>104</v>
      </c>
      <c r="BZ772" s="1" t="s">
        <v>104</v>
      </c>
      <c r="CA772" s="1" t="s">
        <v>104</v>
      </c>
      <c r="CB772" s="1" t="s">
        <v>104</v>
      </c>
      <c r="CC772" s="1" t="s">
        <v>104</v>
      </c>
      <c r="CD772" s="1" t="s">
        <v>104</v>
      </c>
      <c r="CE772" s="1" t="s">
        <v>104</v>
      </c>
      <c r="CF772" s="1" t="s">
        <v>104</v>
      </c>
      <c r="CG772" s="1" t="s">
        <v>104</v>
      </c>
      <c r="CH772" s="1" t="s">
        <v>104</v>
      </c>
      <c r="CJ772" s="1">
        <v>0</v>
      </c>
      <c r="CK772" s="1">
        <v>0</v>
      </c>
      <c r="CL772" s="1">
        <v>0</v>
      </c>
      <c r="CM772" s="1" t="s">
        <v>104</v>
      </c>
    </row>
    <row r="773" spans="1:91" ht="14.25" customHeight="1" x14ac:dyDescent="0.3">
      <c r="A773" s="1" t="s">
        <v>5012</v>
      </c>
      <c r="B773" s="1" t="s">
        <v>172</v>
      </c>
      <c r="E773" s="1" t="s">
        <v>4596</v>
      </c>
      <c r="F773" s="1" t="s">
        <v>1502</v>
      </c>
      <c r="G773" s="1" t="s">
        <v>237</v>
      </c>
      <c r="H773" s="1">
        <v>0</v>
      </c>
      <c r="I773" s="1" t="s">
        <v>117</v>
      </c>
      <c r="L773" s="1" t="s">
        <v>417</v>
      </c>
      <c r="M773" s="1" t="s">
        <v>119</v>
      </c>
      <c r="N773" s="1">
        <v>0</v>
      </c>
      <c r="O773" s="1">
        <v>0</v>
      </c>
      <c r="P773" s="1" t="s">
        <v>375</v>
      </c>
      <c r="Q773" s="1" t="s">
        <v>184</v>
      </c>
      <c r="R773" s="1" t="s">
        <v>5013</v>
      </c>
      <c r="S773" s="1" t="s">
        <v>4403</v>
      </c>
      <c r="T773" s="1">
        <v>1</v>
      </c>
      <c r="U773" s="1">
        <v>0</v>
      </c>
      <c r="V773" s="1">
        <v>0</v>
      </c>
      <c r="W773" s="1">
        <v>0</v>
      </c>
      <c r="X773" s="1">
        <v>0</v>
      </c>
      <c r="Y773" s="1" t="s">
        <v>104</v>
      </c>
      <c r="Z773" s="1" t="s">
        <v>104</v>
      </c>
      <c r="AA773" s="1" t="s">
        <v>104</v>
      </c>
      <c r="AB773" s="1" t="s">
        <v>104</v>
      </c>
      <c r="AC773" s="1" t="s">
        <v>104</v>
      </c>
      <c r="AD773" s="1">
        <v>2</v>
      </c>
      <c r="AE773" s="1" t="s">
        <v>104</v>
      </c>
      <c r="AF773" s="1" t="s">
        <v>104</v>
      </c>
      <c r="AG773" s="1" t="s">
        <v>104</v>
      </c>
      <c r="AH773" s="1" t="s">
        <v>104</v>
      </c>
      <c r="AI773" s="1" t="s">
        <v>104</v>
      </c>
      <c r="AJ773" s="1" t="s">
        <v>104</v>
      </c>
      <c r="AK773" s="1" t="s">
        <v>104</v>
      </c>
      <c r="AL773" s="1" t="s">
        <v>104</v>
      </c>
      <c r="AM773" s="1" t="s">
        <v>104</v>
      </c>
      <c r="AO773" s="1">
        <v>2</v>
      </c>
      <c r="AQ773" s="1" t="s">
        <v>5014</v>
      </c>
      <c r="AR773" s="1">
        <v>0</v>
      </c>
      <c r="AS773" s="1">
        <v>0</v>
      </c>
      <c r="AT773" s="1">
        <v>0</v>
      </c>
      <c r="AU773" s="1">
        <v>0</v>
      </c>
      <c r="AV773" s="1">
        <v>0</v>
      </c>
      <c r="AW773" s="1">
        <v>0</v>
      </c>
      <c r="AX773" s="1">
        <v>0</v>
      </c>
      <c r="AY773" s="1">
        <v>0</v>
      </c>
      <c r="AZ773" s="1">
        <v>0</v>
      </c>
      <c r="BA773" s="1">
        <v>0</v>
      </c>
      <c r="BB773" s="1">
        <v>0</v>
      </c>
      <c r="BC773" s="1">
        <v>0</v>
      </c>
      <c r="BD773" s="1">
        <v>0</v>
      </c>
      <c r="BE773" s="1">
        <v>0</v>
      </c>
      <c r="BF773" s="1">
        <v>0</v>
      </c>
      <c r="BG773" s="1">
        <v>0</v>
      </c>
      <c r="BH773" s="1">
        <v>0</v>
      </c>
      <c r="BI773" s="1">
        <v>0</v>
      </c>
      <c r="BJ773" s="1">
        <v>0</v>
      </c>
      <c r="BK773" s="1">
        <v>0</v>
      </c>
      <c r="BL773" s="1">
        <v>0</v>
      </c>
      <c r="BM773" s="1">
        <v>0</v>
      </c>
      <c r="BN773" s="1">
        <v>0</v>
      </c>
      <c r="BO773" s="1">
        <v>0</v>
      </c>
      <c r="BP773" s="1">
        <v>0</v>
      </c>
      <c r="BQ773" s="2" t="str">
        <f>HYPERLINK("http://www.d20pfsrd.com/magic/all-spells/g/gallant-inspiration","Gallant Inspiration")</f>
        <v>Gallant Inspiration</v>
      </c>
      <c r="BR773" s="1">
        <v>793</v>
      </c>
      <c r="BS773" s="1" t="s">
        <v>104</v>
      </c>
      <c r="BX773" s="1">
        <v>0</v>
      </c>
      <c r="BY773" s="1" t="s">
        <v>104</v>
      </c>
      <c r="BZ773" s="1" t="s">
        <v>104</v>
      </c>
      <c r="CA773" s="1" t="s">
        <v>104</v>
      </c>
      <c r="CB773" s="1" t="s">
        <v>104</v>
      </c>
      <c r="CC773" s="1" t="s">
        <v>104</v>
      </c>
      <c r="CD773" s="1" t="s">
        <v>104</v>
      </c>
      <c r="CE773" s="1" t="s">
        <v>104</v>
      </c>
      <c r="CF773" s="1" t="s">
        <v>104</v>
      </c>
      <c r="CG773" s="1" t="s">
        <v>104</v>
      </c>
      <c r="CH773" s="1" t="s">
        <v>104</v>
      </c>
      <c r="CJ773" s="1">
        <v>0</v>
      </c>
      <c r="CK773" s="1">
        <v>0</v>
      </c>
      <c r="CL773" s="1">
        <v>0</v>
      </c>
      <c r="CM773" s="1" t="s">
        <v>104</v>
      </c>
    </row>
    <row r="774" spans="1:91" ht="14.25" customHeight="1" x14ac:dyDescent="0.3">
      <c r="A774" s="1" t="s">
        <v>5015</v>
      </c>
      <c r="B774" s="1" t="s">
        <v>92</v>
      </c>
      <c r="C774" s="1" t="s">
        <v>1160</v>
      </c>
      <c r="E774" s="1" t="s">
        <v>5016</v>
      </c>
      <c r="F774" s="1" t="s">
        <v>191</v>
      </c>
      <c r="G774" s="1" t="s">
        <v>5017</v>
      </c>
      <c r="H774" s="1">
        <v>0</v>
      </c>
      <c r="I774" s="1" t="s">
        <v>289</v>
      </c>
      <c r="L774" s="1" t="s">
        <v>5018</v>
      </c>
      <c r="M774" s="1" t="s">
        <v>201</v>
      </c>
      <c r="N774" s="1">
        <v>0</v>
      </c>
      <c r="O774" s="1">
        <v>0</v>
      </c>
      <c r="P774" s="1" t="s">
        <v>100</v>
      </c>
      <c r="Q774" s="1" t="s">
        <v>101</v>
      </c>
      <c r="R774" s="1" t="s">
        <v>5019</v>
      </c>
      <c r="S774" s="1" t="s">
        <v>4403</v>
      </c>
      <c r="T774" s="1">
        <v>1</v>
      </c>
      <c r="U774" s="1">
        <v>1</v>
      </c>
      <c r="V774" s="1">
        <v>1</v>
      </c>
      <c r="W774" s="1">
        <v>0</v>
      </c>
      <c r="X774" s="1">
        <v>0</v>
      </c>
      <c r="Y774" s="1">
        <v>6</v>
      </c>
      <c r="Z774" s="1">
        <v>6</v>
      </c>
      <c r="AA774" s="1" t="s">
        <v>104</v>
      </c>
      <c r="AB774" s="1" t="s">
        <v>104</v>
      </c>
      <c r="AC774" s="1" t="s">
        <v>104</v>
      </c>
      <c r="AD774" s="1">
        <v>6</v>
      </c>
      <c r="AE774" s="1" t="s">
        <v>104</v>
      </c>
      <c r="AF774" s="1" t="s">
        <v>104</v>
      </c>
      <c r="AG774" s="1" t="s">
        <v>104</v>
      </c>
      <c r="AH774" s="1" t="s">
        <v>104</v>
      </c>
      <c r="AI774" s="1" t="s">
        <v>104</v>
      </c>
      <c r="AJ774" s="1" t="s">
        <v>104</v>
      </c>
      <c r="AK774" s="1" t="s">
        <v>104</v>
      </c>
      <c r="AL774" s="1" t="s">
        <v>104</v>
      </c>
      <c r="AM774" s="1" t="s">
        <v>104</v>
      </c>
      <c r="AO774" s="1">
        <v>6</v>
      </c>
      <c r="AQ774" s="1" t="s">
        <v>5020</v>
      </c>
      <c r="AR774" s="1">
        <v>0</v>
      </c>
      <c r="AS774" s="1">
        <v>0</v>
      </c>
      <c r="AT774" s="1">
        <v>0</v>
      </c>
      <c r="AU774" s="1">
        <v>0</v>
      </c>
      <c r="AV774" s="1">
        <v>0</v>
      </c>
      <c r="AW774" s="1">
        <v>0</v>
      </c>
      <c r="AX774" s="1">
        <v>0</v>
      </c>
      <c r="AY774" s="1">
        <v>0</v>
      </c>
      <c r="AZ774" s="1">
        <v>0</v>
      </c>
      <c r="BA774" s="1">
        <v>0</v>
      </c>
      <c r="BB774" s="1">
        <v>0</v>
      </c>
      <c r="BC774" s="1">
        <v>0</v>
      </c>
      <c r="BD774" s="1">
        <v>0</v>
      </c>
      <c r="BE774" s="1">
        <v>0</v>
      </c>
      <c r="BF774" s="1">
        <v>0</v>
      </c>
      <c r="BG774" s="1">
        <v>0</v>
      </c>
      <c r="BH774" s="1">
        <v>0</v>
      </c>
      <c r="BI774" s="1">
        <v>0</v>
      </c>
      <c r="BJ774" s="1">
        <v>0</v>
      </c>
      <c r="BK774" s="1">
        <v>0</v>
      </c>
      <c r="BL774" s="1">
        <v>0</v>
      </c>
      <c r="BM774" s="1">
        <v>0</v>
      </c>
      <c r="BN774" s="1">
        <v>0</v>
      </c>
      <c r="BO774" s="1">
        <v>0</v>
      </c>
      <c r="BP774" s="1">
        <v>0</v>
      </c>
      <c r="BQ774" s="2" t="str">
        <f>HYPERLINK("http://www.d20pfsrd.com/magic/all-spells/g/getaway","Getaway")</f>
        <v>Getaway</v>
      </c>
      <c r="BR774" s="1">
        <v>794</v>
      </c>
      <c r="BS774" s="1" t="s">
        <v>104</v>
      </c>
      <c r="BX774" s="1">
        <v>0</v>
      </c>
      <c r="BY774" s="1" t="s">
        <v>104</v>
      </c>
      <c r="BZ774" s="1" t="s">
        <v>104</v>
      </c>
      <c r="CA774" s="1">
        <v>6</v>
      </c>
      <c r="CB774" s="1" t="s">
        <v>104</v>
      </c>
      <c r="CC774" s="1">
        <v>6</v>
      </c>
      <c r="CD774" s="1">
        <v>6</v>
      </c>
      <c r="CE774" s="1">
        <v>6</v>
      </c>
      <c r="CF774" s="1" t="s">
        <v>104</v>
      </c>
      <c r="CG774" s="1" t="s">
        <v>104</v>
      </c>
      <c r="CH774" s="1" t="s">
        <v>104</v>
      </c>
      <c r="CJ774" s="1">
        <v>0</v>
      </c>
      <c r="CK774" s="1">
        <v>0</v>
      </c>
      <c r="CL774" s="1">
        <v>0</v>
      </c>
      <c r="CM774" s="1" t="s">
        <v>104</v>
      </c>
    </row>
    <row r="775" spans="1:91" ht="14.25" customHeight="1" x14ac:dyDescent="0.3">
      <c r="A775" s="1" t="s">
        <v>5021</v>
      </c>
      <c r="B775" s="1" t="s">
        <v>92</v>
      </c>
      <c r="C775" s="1" t="s">
        <v>93</v>
      </c>
      <c r="D775" s="1" t="s">
        <v>5022</v>
      </c>
      <c r="E775" s="1" t="s">
        <v>5023</v>
      </c>
      <c r="F775" s="1" t="s">
        <v>95</v>
      </c>
      <c r="G775" s="1" t="s">
        <v>5024</v>
      </c>
      <c r="H775" s="1">
        <v>0</v>
      </c>
      <c r="I775" s="1" t="s">
        <v>97</v>
      </c>
      <c r="K775" s="1" t="s">
        <v>5025</v>
      </c>
      <c r="M775" s="1" t="s">
        <v>2313</v>
      </c>
      <c r="N775" s="1">
        <v>0</v>
      </c>
      <c r="O775" s="1">
        <v>0</v>
      </c>
      <c r="P775" s="1" t="s">
        <v>5026</v>
      </c>
      <c r="Q775" s="1" t="s">
        <v>101</v>
      </c>
      <c r="R775" s="1" t="s">
        <v>5027</v>
      </c>
      <c r="S775" s="1" t="s">
        <v>4403</v>
      </c>
      <c r="T775" s="1">
        <v>1</v>
      </c>
      <c r="U775" s="1">
        <v>1</v>
      </c>
      <c r="V775" s="1">
        <v>1</v>
      </c>
      <c r="W775" s="1">
        <v>0</v>
      </c>
      <c r="X775" s="1">
        <v>1</v>
      </c>
      <c r="Y775" s="1">
        <v>5</v>
      </c>
      <c r="Z775" s="1">
        <v>5</v>
      </c>
      <c r="AA775" s="1" t="s">
        <v>104</v>
      </c>
      <c r="AB775" s="1">
        <v>4</v>
      </c>
      <c r="AC775" s="1" t="s">
        <v>104</v>
      </c>
      <c r="AD775" s="1" t="s">
        <v>104</v>
      </c>
      <c r="AE775" s="1" t="s">
        <v>104</v>
      </c>
      <c r="AF775" s="1" t="s">
        <v>104</v>
      </c>
      <c r="AG775" s="1" t="s">
        <v>104</v>
      </c>
      <c r="AH775" s="1" t="s">
        <v>104</v>
      </c>
      <c r="AI775" s="1" t="s">
        <v>104</v>
      </c>
      <c r="AJ775" s="1" t="s">
        <v>104</v>
      </c>
      <c r="AK775" s="1" t="s">
        <v>104</v>
      </c>
      <c r="AL775" s="1">
        <v>5</v>
      </c>
      <c r="AM775" s="1" t="s">
        <v>104</v>
      </c>
      <c r="AO775" s="1">
        <v>5</v>
      </c>
      <c r="AQ775" s="1" t="s">
        <v>5028</v>
      </c>
      <c r="AR775" s="1">
        <v>0</v>
      </c>
      <c r="AS775" s="1">
        <v>0</v>
      </c>
      <c r="AT775" s="1">
        <v>0</v>
      </c>
      <c r="AU775" s="1">
        <v>0</v>
      </c>
      <c r="AV775" s="1">
        <v>0</v>
      </c>
      <c r="AW775" s="1">
        <v>0</v>
      </c>
      <c r="AX775" s="1">
        <v>0</v>
      </c>
      <c r="AY775" s="1">
        <v>0</v>
      </c>
      <c r="AZ775" s="1">
        <v>0</v>
      </c>
      <c r="BA775" s="1">
        <v>0</v>
      </c>
      <c r="BB775" s="1">
        <v>0</v>
      </c>
      <c r="BC775" s="1">
        <v>0</v>
      </c>
      <c r="BD775" s="1">
        <v>0</v>
      </c>
      <c r="BE775" s="1">
        <v>1</v>
      </c>
      <c r="BF775" s="1">
        <v>0</v>
      </c>
      <c r="BG775" s="1">
        <v>0</v>
      </c>
      <c r="BH775" s="1">
        <v>0</v>
      </c>
      <c r="BI775" s="1">
        <v>0</v>
      </c>
      <c r="BJ775" s="1">
        <v>0</v>
      </c>
      <c r="BK775" s="1">
        <v>0</v>
      </c>
      <c r="BL775" s="1">
        <v>0</v>
      </c>
      <c r="BM775" s="1">
        <v>0</v>
      </c>
      <c r="BN775" s="1">
        <v>0</v>
      </c>
      <c r="BO775" s="1">
        <v>0</v>
      </c>
      <c r="BP775" s="1">
        <v>1</v>
      </c>
      <c r="BQ775" s="2" t="str">
        <f>HYPERLINK("http://www.d20pfsrd.com/magic/all-spells/g/geyser","Geyser")</f>
        <v>Geyser</v>
      </c>
      <c r="BR775" s="1">
        <v>795</v>
      </c>
      <c r="BS775" s="1" t="s">
        <v>104</v>
      </c>
      <c r="BT775" s="1" t="s">
        <v>5029</v>
      </c>
      <c r="BU775" s="1" t="s">
        <v>5030</v>
      </c>
      <c r="BX775" s="1">
        <v>0</v>
      </c>
      <c r="BY775" s="1" t="s">
        <v>104</v>
      </c>
      <c r="BZ775" s="1" t="s">
        <v>104</v>
      </c>
      <c r="CA775" s="1" t="s">
        <v>104</v>
      </c>
      <c r="CB775" s="1" t="s">
        <v>104</v>
      </c>
      <c r="CC775" s="1" t="s">
        <v>104</v>
      </c>
      <c r="CD775" s="1" t="s">
        <v>104</v>
      </c>
      <c r="CE775" s="1" t="s">
        <v>104</v>
      </c>
      <c r="CF775" s="1" t="s">
        <v>104</v>
      </c>
      <c r="CG775" s="1" t="s">
        <v>104</v>
      </c>
      <c r="CH775" s="1">
        <v>4</v>
      </c>
      <c r="CJ775" s="1">
        <v>0</v>
      </c>
      <c r="CK775" s="1">
        <v>0</v>
      </c>
      <c r="CL775" s="1">
        <v>0</v>
      </c>
      <c r="CM775" s="1" t="s">
        <v>104</v>
      </c>
    </row>
    <row r="776" spans="1:91" ht="14.25" customHeight="1" x14ac:dyDescent="0.3">
      <c r="A776" s="1" t="s">
        <v>5031</v>
      </c>
      <c r="B776" s="1" t="s">
        <v>137</v>
      </c>
      <c r="E776" s="1" t="s">
        <v>5032</v>
      </c>
      <c r="F776" s="1" t="s">
        <v>95</v>
      </c>
      <c r="G776" s="1" t="s">
        <v>5033</v>
      </c>
      <c r="H776" s="1">
        <v>0</v>
      </c>
      <c r="I776" s="1" t="s">
        <v>117</v>
      </c>
      <c r="L776" s="1" t="s">
        <v>5034</v>
      </c>
      <c r="M776" s="1" t="s">
        <v>111</v>
      </c>
      <c r="N776" s="1">
        <v>0</v>
      </c>
      <c r="O776" s="1">
        <v>0</v>
      </c>
      <c r="P776" s="1" t="s">
        <v>211</v>
      </c>
      <c r="Q776" s="1" t="s">
        <v>184</v>
      </c>
      <c r="R776" s="1" t="s">
        <v>5035</v>
      </c>
      <c r="S776" s="1" t="s">
        <v>4403</v>
      </c>
      <c r="T776" s="1">
        <v>1</v>
      </c>
      <c r="U776" s="1">
        <v>1</v>
      </c>
      <c r="V776" s="1">
        <v>1</v>
      </c>
      <c r="W776" s="1">
        <v>0</v>
      </c>
      <c r="X776" s="1">
        <v>1</v>
      </c>
      <c r="Y776" s="1" t="s">
        <v>104</v>
      </c>
      <c r="Z776" s="1" t="s">
        <v>104</v>
      </c>
      <c r="AA776" s="1">
        <v>2</v>
      </c>
      <c r="AB776" s="1" t="s">
        <v>104</v>
      </c>
      <c r="AC776" s="1" t="s">
        <v>104</v>
      </c>
      <c r="AD776" s="1">
        <v>2</v>
      </c>
      <c r="AE776" s="1">
        <v>1</v>
      </c>
      <c r="AF776" s="1" t="s">
        <v>104</v>
      </c>
      <c r="AG776" s="1" t="s">
        <v>104</v>
      </c>
      <c r="AH776" s="1" t="s">
        <v>104</v>
      </c>
      <c r="AI776" s="1">
        <v>2</v>
      </c>
      <c r="AJ776" s="1">
        <v>2</v>
      </c>
      <c r="AK776" s="1" t="s">
        <v>104</v>
      </c>
      <c r="AL776" s="1" t="s">
        <v>104</v>
      </c>
      <c r="AM776" s="1" t="s">
        <v>104</v>
      </c>
      <c r="AO776" s="1">
        <v>2</v>
      </c>
      <c r="AQ776" s="1" t="s">
        <v>5036</v>
      </c>
      <c r="AR776" s="1">
        <v>0</v>
      </c>
      <c r="AS776" s="1">
        <v>0</v>
      </c>
      <c r="AT776" s="1">
        <v>0</v>
      </c>
      <c r="AU776" s="1">
        <v>0</v>
      </c>
      <c r="AV776" s="1">
        <v>0</v>
      </c>
      <c r="AW776" s="1">
        <v>0</v>
      </c>
      <c r="AX776" s="1">
        <v>0</v>
      </c>
      <c r="AY776" s="1">
        <v>0</v>
      </c>
      <c r="AZ776" s="1">
        <v>0</v>
      </c>
      <c r="BA776" s="1">
        <v>0</v>
      </c>
      <c r="BB776" s="1">
        <v>0</v>
      </c>
      <c r="BC776" s="1">
        <v>0</v>
      </c>
      <c r="BD776" s="1">
        <v>0</v>
      </c>
      <c r="BE776" s="1">
        <v>0</v>
      </c>
      <c r="BF776" s="1">
        <v>0</v>
      </c>
      <c r="BG776" s="1">
        <v>0</v>
      </c>
      <c r="BH776" s="1">
        <v>0</v>
      </c>
      <c r="BI776" s="1">
        <v>0</v>
      </c>
      <c r="BJ776" s="1">
        <v>0</v>
      </c>
      <c r="BK776" s="1">
        <v>0</v>
      </c>
      <c r="BL776" s="1">
        <v>0</v>
      </c>
      <c r="BM776" s="1">
        <v>0</v>
      </c>
      <c r="BN776" s="1">
        <v>0</v>
      </c>
      <c r="BO776" s="1">
        <v>0</v>
      </c>
      <c r="BP776" s="1">
        <v>0</v>
      </c>
      <c r="BQ776" s="1" t="s">
        <v>104</v>
      </c>
      <c r="BR776" s="1">
        <v>796</v>
      </c>
      <c r="BS776" s="1" t="s">
        <v>104</v>
      </c>
      <c r="BU776" s="1" t="s">
        <v>5037</v>
      </c>
      <c r="BX776" s="1">
        <v>0</v>
      </c>
      <c r="BY776" s="1" t="s">
        <v>104</v>
      </c>
      <c r="BZ776" s="1">
        <v>2</v>
      </c>
      <c r="CA776" s="1" t="s">
        <v>104</v>
      </c>
      <c r="CB776" s="1" t="s">
        <v>104</v>
      </c>
      <c r="CC776" s="1" t="s">
        <v>104</v>
      </c>
      <c r="CD776" s="1">
        <v>2</v>
      </c>
      <c r="CE776" s="1" t="s">
        <v>104</v>
      </c>
      <c r="CF776" s="1" t="s">
        <v>104</v>
      </c>
      <c r="CG776" s="1" t="s">
        <v>104</v>
      </c>
      <c r="CH776" s="1" t="s">
        <v>104</v>
      </c>
      <c r="CJ776" s="1">
        <v>0</v>
      </c>
      <c r="CK776" s="1">
        <v>0</v>
      </c>
      <c r="CL776" s="1">
        <v>0</v>
      </c>
      <c r="CM776" s="1" t="s">
        <v>104</v>
      </c>
    </row>
    <row r="777" spans="1:91" ht="14.25" customHeight="1" x14ac:dyDescent="0.3">
      <c r="A777" s="1" t="s">
        <v>5038</v>
      </c>
      <c r="B777" s="1" t="s">
        <v>137</v>
      </c>
      <c r="E777" s="1" t="s">
        <v>5039</v>
      </c>
      <c r="F777" s="1" t="s">
        <v>95</v>
      </c>
      <c r="G777" s="1" t="s">
        <v>5033</v>
      </c>
      <c r="H777" s="1">
        <v>0</v>
      </c>
      <c r="I777" s="1" t="s">
        <v>117</v>
      </c>
      <c r="L777" s="1" t="s">
        <v>5040</v>
      </c>
      <c r="M777" s="1" t="s">
        <v>111</v>
      </c>
      <c r="N777" s="1">
        <v>0</v>
      </c>
      <c r="O777" s="1">
        <v>0</v>
      </c>
      <c r="P777" s="1" t="s">
        <v>211</v>
      </c>
      <c r="Q777" s="1" t="s">
        <v>184</v>
      </c>
      <c r="R777" s="1" t="s">
        <v>5041</v>
      </c>
      <c r="S777" s="1" t="s">
        <v>4403</v>
      </c>
      <c r="T777" s="1">
        <v>1</v>
      </c>
      <c r="U777" s="1">
        <v>1</v>
      </c>
      <c r="V777" s="1">
        <v>1</v>
      </c>
      <c r="W777" s="1">
        <v>0</v>
      </c>
      <c r="X777" s="1">
        <v>1</v>
      </c>
      <c r="Y777" s="1" t="s">
        <v>104</v>
      </c>
      <c r="Z777" s="1" t="s">
        <v>104</v>
      </c>
      <c r="AA777" s="1">
        <v>5</v>
      </c>
      <c r="AB777" s="1" t="s">
        <v>104</v>
      </c>
      <c r="AC777" s="1" t="s">
        <v>104</v>
      </c>
      <c r="AD777" s="1">
        <v>4</v>
      </c>
      <c r="AE777" s="1">
        <v>3</v>
      </c>
      <c r="AF777" s="1" t="s">
        <v>104</v>
      </c>
      <c r="AG777" s="1" t="s">
        <v>104</v>
      </c>
      <c r="AH777" s="1" t="s">
        <v>104</v>
      </c>
      <c r="AI777" s="1">
        <v>5</v>
      </c>
      <c r="AJ777" s="1">
        <v>5</v>
      </c>
      <c r="AK777" s="1" t="s">
        <v>104</v>
      </c>
      <c r="AL777" s="1" t="s">
        <v>104</v>
      </c>
      <c r="AM777" s="1" t="s">
        <v>104</v>
      </c>
      <c r="AO777" s="1">
        <v>5</v>
      </c>
      <c r="AQ777" s="1" t="s">
        <v>5042</v>
      </c>
      <c r="AR777" s="1">
        <v>0</v>
      </c>
      <c r="AS777" s="1">
        <v>0</v>
      </c>
      <c r="AT777" s="1">
        <v>0</v>
      </c>
      <c r="AU777" s="1">
        <v>0</v>
      </c>
      <c r="AV777" s="1">
        <v>0</v>
      </c>
      <c r="AW777" s="1">
        <v>0</v>
      </c>
      <c r="AX777" s="1">
        <v>0</v>
      </c>
      <c r="AY777" s="1">
        <v>0</v>
      </c>
      <c r="AZ777" s="1">
        <v>0</v>
      </c>
      <c r="BA777" s="1">
        <v>0</v>
      </c>
      <c r="BB777" s="1">
        <v>0</v>
      </c>
      <c r="BC777" s="1">
        <v>0</v>
      </c>
      <c r="BD777" s="1">
        <v>0</v>
      </c>
      <c r="BE777" s="1">
        <v>0</v>
      </c>
      <c r="BF777" s="1">
        <v>0</v>
      </c>
      <c r="BG777" s="1">
        <v>0</v>
      </c>
      <c r="BH777" s="1">
        <v>0</v>
      </c>
      <c r="BI777" s="1">
        <v>0</v>
      </c>
      <c r="BJ777" s="1">
        <v>0</v>
      </c>
      <c r="BK777" s="1">
        <v>0</v>
      </c>
      <c r="BL777" s="1">
        <v>0</v>
      </c>
      <c r="BM777" s="1">
        <v>0</v>
      </c>
      <c r="BN777" s="1">
        <v>0</v>
      </c>
      <c r="BO777" s="1">
        <v>0</v>
      </c>
      <c r="BP777" s="1">
        <v>0</v>
      </c>
      <c r="BQ777" s="1" t="s">
        <v>104</v>
      </c>
      <c r="BR777" s="1">
        <v>797</v>
      </c>
      <c r="BS777" s="1" t="s">
        <v>104</v>
      </c>
      <c r="BU777" s="1" t="s">
        <v>5043</v>
      </c>
      <c r="BX777" s="1">
        <v>0</v>
      </c>
      <c r="BY777" s="1" t="s">
        <v>104</v>
      </c>
      <c r="BZ777" s="1">
        <v>5</v>
      </c>
      <c r="CA777" s="1" t="s">
        <v>104</v>
      </c>
      <c r="CB777" s="1" t="s">
        <v>104</v>
      </c>
      <c r="CC777" s="1" t="s">
        <v>104</v>
      </c>
      <c r="CD777" s="1">
        <v>5</v>
      </c>
      <c r="CE777" s="1" t="s">
        <v>104</v>
      </c>
      <c r="CF777" s="1" t="s">
        <v>104</v>
      </c>
      <c r="CG777" s="1" t="s">
        <v>104</v>
      </c>
      <c r="CH777" s="1" t="s">
        <v>104</v>
      </c>
      <c r="CJ777" s="1">
        <v>0</v>
      </c>
      <c r="CK777" s="1">
        <v>0</v>
      </c>
      <c r="CL777" s="1">
        <v>0</v>
      </c>
      <c r="CM777" s="1" t="s">
        <v>104</v>
      </c>
    </row>
    <row r="778" spans="1:91" ht="14.25" customHeight="1" x14ac:dyDescent="0.3">
      <c r="A778" s="1" t="s">
        <v>5044</v>
      </c>
      <c r="B778" s="1" t="s">
        <v>137</v>
      </c>
      <c r="E778" s="1" t="s">
        <v>5045</v>
      </c>
      <c r="F778" s="1" t="s">
        <v>95</v>
      </c>
      <c r="G778" s="1" t="s">
        <v>5046</v>
      </c>
      <c r="H778" s="1">
        <v>0</v>
      </c>
      <c r="I778" s="1" t="s">
        <v>157</v>
      </c>
      <c r="L778" s="1" t="s">
        <v>158</v>
      </c>
      <c r="M778" s="1" t="s">
        <v>5047</v>
      </c>
      <c r="N778" s="1">
        <v>1</v>
      </c>
      <c r="O778" s="1">
        <v>0</v>
      </c>
      <c r="R778" s="1" t="s">
        <v>5048</v>
      </c>
      <c r="S778" s="1" t="s">
        <v>4403</v>
      </c>
      <c r="T778" s="1">
        <v>1</v>
      </c>
      <c r="U778" s="1">
        <v>1</v>
      </c>
      <c r="V778" s="1">
        <v>1</v>
      </c>
      <c r="W778" s="1">
        <v>0</v>
      </c>
      <c r="X778" s="1">
        <v>1</v>
      </c>
      <c r="Y778" s="1">
        <v>2</v>
      </c>
      <c r="Z778" s="1">
        <v>2</v>
      </c>
      <c r="AA778" s="1" t="s">
        <v>104</v>
      </c>
      <c r="AB778" s="1">
        <v>2</v>
      </c>
      <c r="AC778" s="1">
        <v>1</v>
      </c>
      <c r="AD778" s="1" t="s">
        <v>104</v>
      </c>
      <c r="AE778" s="1" t="s">
        <v>104</v>
      </c>
      <c r="AF778" s="1" t="s">
        <v>104</v>
      </c>
      <c r="AG778" s="1">
        <v>2</v>
      </c>
      <c r="AH778" s="1">
        <v>2</v>
      </c>
      <c r="AI778" s="1" t="s">
        <v>104</v>
      </c>
      <c r="AJ778" s="1" t="s">
        <v>104</v>
      </c>
      <c r="AK778" s="1" t="s">
        <v>104</v>
      </c>
      <c r="AL778" s="1" t="s">
        <v>104</v>
      </c>
      <c r="AM778" s="1" t="s">
        <v>104</v>
      </c>
      <c r="AO778" s="1">
        <v>2</v>
      </c>
      <c r="AQ778" s="1" t="s">
        <v>5049</v>
      </c>
      <c r="AR778" s="1">
        <v>0</v>
      </c>
      <c r="AS778" s="1">
        <v>0</v>
      </c>
      <c r="AT778" s="1">
        <v>0</v>
      </c>
      <c r="AU778" s="1">
        <v>0</v>
      </c>
      <c r="AV778" s="1">
        <v>0</v>
      </c>
      <c r="AW778" s="1">
        <v>0</v>
      </c>
      <c r="AX778" s="1">
        <v>0</v>
      </c>
      <c r="AY778" s="1">
        <v>0</v>
      </c>
      <c r="AZ778" s="1">
        <v>0</v>
      </c>
      <c r="BA778" s="1">
        <v>0</v>
      </c>
      <c r="BB778" s="1">
        <v>0</v>
      </c>
      <c r="BC778" s="1">
        <v>0</v>
      </c>
      <c r="BD778" s="1">
        <v>0</v>
      </c>
      <c r="BE778" s="1">
        <v>0</v>
      </c>
      <c r="BF778" s="1">
        <v>0</v>
      </c>
      <c r="BG778" s="1">
        <v>0</v>
      </c>
      <c r="BH778" s="1">
        <v>0</v>
      </c>
      <c r="BI778" s="1">
        <v>0</v>
      </c>
      <c r="BJ778" s="1">
        <v>0</v>
      </c>
      <c r="BK778" s="1">
        <v>0</v>
      </c>
      <c r="BL778" s="1">
        <v>0</v>
      </c>
      <c r="BM778" s="1">
        <v>0</v>
      </c>
      <c r="BN778" s="1">
        <v>0</v>
      </c>
      <c r="BO778" s="1">
        <v>0</v>
      </c>
      <c r="BP778" s="1">
        <v>0</v>
      </c>
      <c r="BQ778" s="2" t="str">
        <f>HYPERLINK("http://www.d20pfsrd.com/magic/all-spells/g/glide","Glide")</f>
        <v>Glide</v>
      </c>
      <c r="BR778" s="1">
        <v>798</v>
      </c>
      <c r="BS778" s="1" t="s">
        <v>104</v>
      </c>
      <c r="BX778" s="1">
        <v>0</v>
      </c>
      <c r="BY778" s="1" t="s">
        <v>104</v>
      </c>
      <c r="BZ778" s="1">
        <v>2</v>
      </c>
      <c r="CA778" s="1">
        <v>2</v>
      </c>
      <c r="CB778" s="1" t="s">
        <v>104</v>
      </c>
      <c r="CC778" s="1" t="s">
        <v>104</v>
      </c>
      <c r="CD778" s="1">
        <v>2</v>
      </c>
      <c r="CE778" s="1" t="s">
        <v>104</v>
      </c>
      <c r="CF778" s="1" t="s">
        <v>104</v>
      </c>
      <c r="CG778" s="1" t="s">
        <v>104</v>
      </c>
      <c r="CH778" s="1">
        <v>1</v>
      </c>
      <c r="CJ778" s="1">
        <v>0</v>
      </c>
      <c r="CK778" s="1">
        <v>0</v>
      </c>
      <c r="CL778" s="1">
        <v>0</v>
      </c>
      <c r="CM778" s="1">
        <v>2</v>
      </c>
    </row>
    <row r="779" spans="1:91" ht="14.25" customHeight="1" x14ac:dyDescent="0.3">
      <c r="A779" s="1" t="s">
        <v>5050</v>
      </c>
      <c r="B779" s="1" t="s">
        <v>162</v>
      </c>
      <c r="E779" s="1" t="s">
        <v>5051</v>
      </c>
      <c r="F779" s="1" t="s">
        <v>4934</v>
      </c>
      <c r="G779" s="1" t="s">
        <v>237</v>
      </c>
      <c r="H779" s="1">
        <v>0</v>
      </c>
      <c r="I779" s="1" t="s">
        <v>157</v>
      </c>
      <c r="L779" s="1" t="s">
        <v>158</v>
      </c>
      <c r="M779" s="1" t="s">
        <v>145</v>
      </c>
      <c r="N779" s="1">
        <v>0</v>
      </c>
      <c r="O779" s="1">
        <v>0</v>
      </c>
      <c r="R779" s="1" t="s">
        <v>5052</v>
      </c>
      <c r="S779" s="1" t="s">
        <v>4403</v>
      </c>
      <c r="T779" s="1">
        <v>1</v>
      </c>
      <c r="U779" s="1">
        <v>0</v>
      </c>
      <c r="V779" s="1">
        <v>0</v>
      </c>
      <c r="W779" s="1">
        <v>0</v>
      </c>
      <c r="X779" s="1">
        <v>0</v>
      </c>
      <c r="Y779" s="1" t="s">
        <v>104</v>
      </c>
      <c r="Z779" s="1" t="s">
        <v>104</v>
      </c>
      <c r="AA779" s="1">
        <v>2</v>
      </c>
      <c r="AB779" s="1" t="s">
        <v>104</v>
      </c>
      <c r="AC779" s="1" t="s">
        <v>104</v>
      </c>
      <c r="AD779" s="1" t="s">
        <v>104</v>
      </c>
      <c r="AE779" s="1">
        <v>1</v>
      </c>
      <c r="AF779" s="1" t="s">
        <v>104</v>
      </c>
      <c r="AG779" s="1" t="s">
        <v>104</v>
      </c>
      <c r="AH779" s="1" t="s">
        <v>104</v>
      </c>
      <c r="AI779" s="1" t="s">
        <v>104</v>
      </c>
      <c r="AJ779" s="1">
        <v>2</v>
      </c>
      <c r="AK779" s="1" t="s">
        <v>104</v>
      </c>
      <c r="AL779" s="1" t="s">
        <v>104</v>
      </c>
      <c r="AM779" s="1" t="s">
        <v>104</v>
      </c>
      <c r="AO779" s="1">
        <v>2</v>
      </c>
      <c r="AQ779" s="1" t="s">
        <v>5053</v>
      </c>
      <c r="AR779" s="1">
        <v>0</v>
      </c>
      <c r="AS779" s="1">
        <v>0</v>
      </c>
      <c r="AT779" s="1">
        <v>0</v>
      </c>
      <c r="AU779" s="1">
        <v>0</v>
      </c>
      <c r="AV779" s="1">
        <v>0</v>
      </c>
      <c r="AW779" s="1">
        <v>0</v>
      </c>
      <c r="AX779" s="1">
        <v>0</v>
      </c>
      <c r="AY779" s="1">
        <v>0</v>
      </c>
      <c r="AZ779" s="1">
        <v>0</v>
      </c>
      <c r="BA779" s="1">
        <v>0</v>
      </c>
      <c r="BB779" s="1">
        <v>0</v>
      </c>
      <c r="BC779" s="1">
        <v>0</v>
      </c>
      <c r="BD779" s="1">
        <v>0</v>
      </c>
      <c r="BE779" s="1">
        <v>0</v>
      </c>
      <c r="BF779" s="1">
        <v>0</v>
      </c>
      <c r="BG779" s="1">
        <v>0</v>
      </c>
      <c r="BH779" s="1">
        <v>0</v>
      </c>
      <c r="BI779" s="1">
        <v>0</v>
      </c>
      <c r="BJ779" s="1">
        <v>0</v>
      </c>
      <c r="BK779" s="1">
        <v>0</v>
      </c>
      <c r="BL779" s="1">
        <v>0</v>
      </c>
      <c r="BM779" s="1">
        <v>0</v>
      </c>
      <c r="BN779" s="1">
        <v>0</v>
      </c>
      <c r="BO779" s="1">
        <v>0</v>
      </c>
      <c r="BP779" s="1">
        <v>0</v>
      </c>
      <c r="BQ779" s="2" t="str">
        <f>HYPERLINK("http://www.d20pfsrd.com/magic/all-spells/g/grace","Grace")</f>
        <v>Grace</v>
      </c>
      <c r="BR779" s="1">
        <v>799</v>
      </c>
      <c r="BS779" s="1" t="s">
        <v>104</v>
      </c>
      <c r="BX779" s="1">
        <v>0</v>
      </c>
      <c r="BY779" s="1" t="s">
        <v>104</v>
      </c>
      <c r="BZ779" s="1" t="s">
        <v>104</v>
      </c>
      <c r="CA779" s="1" t="s">
        <v>104</v>
      </c>
      <c r="CB779" s="1" t="s">
        <v>104</v>
      </c>
      <c r="CC779" s="1" t="s">
        <v>104</v>
      </c>
      <c r="CD779" s="1" t="s">
        <v>104</v>
      </c>
      <c r="CE779" s="1" t="s">
        <v>104</v>
      </c>
      <c r="CF779" s="1" t="s">
        <v>104</v>
      </c>
      <c r="CG779" s="1" t="s">
        <v>104</v>
      </c>
      <c r="CH779" s="1" t="s">
        <v>104</v>
      </c>
      <c r="CJ779" s="1">
        <v>0</v>
      </c>
      <c r="CK779" s="1">
        <v>0</v>
      </c>
      <c r="CL779" s="1">
        <v>0</v>
      </c>
      <c r="CM779" s="1" t="s">
        <v>104</v>
      </c>
    </row>
    <row r="780" spans="1:91" ht="14.25" customHeight="1" x14ac:dyDescent="0.3">
      <c r="A780" s="1" t="s">
        <v>5054</v>
      </c>
      <c r="B780" s="1" t="s">
        <v>137</v>
      </c>
      <c r="E780" s="1" t="s">
        <v>5055</v>
      </c>
      <c r="F780" s="1" t="s">
        <v>95</v>
      </c>
      <c r="G780" s="1" t="s">
        <v>116</v>
      </c>
      <c r="H780" s="1">
        <v>0</v>
      </c>
      <c r="I780" s="1" t="s">
        <v>157</v>
      </c>
      <c r="L780" s="1" t="s">
        <v>158</v>
      </c>
      <c r="M780" s="1" t="s">
        <v>4641</v>
      </c>
      <c r="N780" s="1">
        <v>1</v>
      </c>
      <c r="O780" s="1">
        <v>0</v>
      </c>
      <c r="R780" s="1" t="s">
        <v>5056</v>
      </c>
      <c r="S780" s="1" t="s">
        <v>4403</v>
      </c>
      <c r="T780" s="1">
        <v>1</v>
      </c>
      <c r="U780" s="1">
        <v>1</v>
      </c>
      <c r="V780" s="1">
        <v>0</v>
      </c>
      <c r="W780" s="1">
        <v>0</v>
      </c>
      <c r="X780" s="1">
        <v>0</v>
      </c>
      <c r="Y780" s="1">
        <v>1</v>
      </c>
      <c r="Z780" s="1">
        <v>1</v>
      </c>
      <c r="AA780" s="1" t="s">
        <v>104</v>
      </c>
      <c r="AB780" s="1" t="s">
        <v>104</v>
      </c>
      <c r="AC780" s="1">
        <v>1</v>
      </c>
      <c r="AD780" s="1" t="s">
        <v>104</v>
      </c>
      <c r="AE780" s="1" t="s">
        <v>104</v>
      </c>
      <c r="AF780" s="1" t="s">
        <v>104</v>
      </c>
      <c r="AG780" s="1" t="s">
        <v>104</v>
      </c>
      <c r="AH780" s="1" t="s">
        <v>104</v>
      </c>
      <c r="AI780" s="1" t="s">
        <v>104</v>
      </c>
      <c r="AJ780" s="1" t="s">
        <v>104</v>
      </c>
      <c r="AK780" s="1" t="s">
        <v>104</v>
      </c>
      <c r="AL780" s="1" t="s">
        <v>104</v>
      </c>
      <c r="AM780" s="1" t="s">
        <v>104</v>
      </c>
      <c r="AO780" s="1">
        <v>1</v>
      </c>
      <c r="AQ780" s="1" t="s">
        <v>5057</v>
      </c>
      <c r="AR780" s="1">
        <v>0</v>
      </c>
      <c r="AS780" s="1">
        <v>0</v>
      </c>
      <c r="AT780" s="1">
        <v>0</v>
      </c>
      <c r="AU780" s="1">
        <v>0</v>
      </c>
      <c r="AV780" s="1">
        <v>0</v>
      </c>
      <c r="AW780" s="1">
        <v>0</v>
      </c>
      <c r="AX780" s="1">
        <v>0</v>
      </c>
      <c r="AY780" s="1">
        <v>0</v>
      </c>
      <c r="AZ780" s="1">
        <v>0</v>
      </c>
      <c r="BA780" s="1">
        <v>0</v>
      </c>
      <c r="BB780" s="1">
        <v>0</v>
      </c>
      <c r="BC780" s="1">
        <v>0</v>
      </c>
      <c r="BD780" s="1">
        <v>0</v>
      </c>
      <c r="BE780" s="1">
        <v>0</v>
      </c>
      <c r="BF780" s="1">
        <v>0</v>
      </c>
      <c r="BG780" s="1">
        <v>0</v>
      </c>
      <c r="BH780" s="1">
        <v>0</v>
      </c>
      <c r="BI780" s="1">
        <v>0</v>
      </c>
      <c r="BJ780" s="1">
        <v>0</v>
      </c>
      <c r="BK780" s="1">
        <v>0</v>
      </c>
      <c r="BL780" s="1">
        <v>0</v>
      </c>
      <c r="BM780" s="1">
        <v>0</v>
      </c>
      <c r="BN780" s="1">
        <v>0</v>
      </c>
      <c r="BO780" s="1">
        <v>0</v>
      </c>
      <c r="BP780" s="1">
        <v>0</v>
      </c>
      <c r="BQ780" s="2" t="str">
        <f>HYPERLINK("http://www.d20pfsrd.com/magic/all-spells/g/gravity-bow","Gravity Bow")</f>
        <v>Gravity Bow</v>
      </c>
      <c r="BR780" s="1">
        <v>800</v>
      </c>
      <c r="BS780" s="1" t="s">
        <v>104</v>
      </c>
      <c r="BX780" s="1">
        <v>0</v>
      </c>
      <c r="BY780" s="1" t="s">
        <v>104</v>
      </c>
      <c r="BZ780" s="1" t="s">
        <v>104</v>
      </c>
      <c r="CA780" s="1" t="s">
        <v>104</v>
      </c>
      <c r="CB780" s="1" t="s">
        <v>104</v>
      </c>
      <c r="CC780" s="1" t="s">
        <v>104</v>
      </c>
      <c r="CD780" s="1">
        <v>1</v>
      </c>
      <c r="CE780" s="1" t="s">
        <v>104</v>
      </c>
      <c r="CF780" s="1" t="s">
        <v>104</v>
      </c>
      <c r="CG780" s="1" t="s">
        <v>104</v>
      </c>
      <c r="CH780" s="1">
        <v>1</v>
      </c>
      <c r="CJ780" s="1">
        <v>0</v>
      </c>
      <c r="CK780" s="1">
        <v>0</v>
      </c>
      <c r="CL780" s="1">
        <v>0</v>
      </c>
      <c r="CM780" s="1" t="s">
        <v>104</v>
      </c>
    </row>
    <row r="781" spans="1:91" ht="14.25" customHeight="1" x14ac:dyDescent="0.3">
      <c r="A781" s="1" t="s">
        <v>5058</v>
      </c>
      <c r="B781" s="1" t="s">
        <v>92</v>
      </c>
      <c r="C781" s="1" t="s">
        <v>93</v>
      </c>
      <c r="E781" s="1" t="s">
        <v>5059</v>
      </c>
      <c r="F781" s="1" t="s">
        <v>287</v>
      </c>
      <c r="G781" s="1" t="s">
        <v>5060</v>
      </c>
      <c r="H781" s="1">
        <v>0</v>
      </c>
      <c r="I781" s="1" t="s">
        <v>117</v>
      </c>
      <c r="K781" s="1" t="s">
        <v>5061</v>
      </c>
      <c r="M781" s="1" t="s">
        <v>5062</v>
      </c>
      <c r="N781" s="1">
        <v>1</v>
      </c>
      <c r="O781" s="1">
        <v>0</v>
      </c>
      <c r="P781" s="1" t="s">
        <v>100</v>
      </c>
      <c r="Q781" s="1" t="s">
        <v>101</v>
      </c>
      <c r="R781" s="1" t="s">
        <v>5063</v>
      </c>
      <c r="S781" s="1" t="s">
        <v>4403</v>
      </c>
      <c r="T781" s="1">
        <v>1</v>
      </c>
      <c r="U781" s="1">
        <v>1</v>
      </c>
      <c r="V781" s="1">
        <v>1</v>
      </c>
      <c r="W781" s="1">
        <v>0</v>
      </c>
      <c r="X781" s="1">
        <v>1</v>
      </c>
      <c r="Y781" s="1" t="s">
        <v>104</v>
      </c>
      <c r="Z781" s="1" t="s">
        <v>104</v>
      </c>
      <c r="AA781" s="1" t="s">
        <v>104</v>
      </c>
      <c r="AB781" s="1">
        <v>4</v>
      </c>
      <c r="AC781" s="1">
        <v>4</v>
      </c>
      <c r="AD781" s="1" t="s">
        <v>104</v>
      </c>
      <c r="AE781" s="1" t="s">
        <v>104</v>
      </c>
      <c r="AF781" s="1" t="s">
        <v>104</v>
      </c>
      <c r="AG781" s="1" t="s">
        <v>104</v>
      </c>
      <c r="AH781" s="1" t="s">
        <v>104</v>
      </c>
      <c r="AI781" s="1" t="s">
        <v>104</v>
      </c>
      <c r="AJ781" s="1" t="s">
        <v>104</v>
      </c>
      <c r="AK781" s="1" t="s">
        <v>104</v>
      </c>
      <c r="AL781" s="1" t="s">
        <v>104</v>
      </c>
      <c r="AM781" s="1" t="s">
        <v>104</v>
      </c>
      <c r="AO781" s="1">
        <v>4</v>
      </c>
      <c r="AQ781" s="1" t="s">
        <v>5064</v>
      </c>
      <c r="AR781" s="1">
        <v>0</v>
      </c>
      <c r="AS781" s="1">
        <v>0</v>
      </c>
      <c r="AT781" s="1">
        <v>0</v>
      </c>
      <c r="AU781" s="1">
        <v>0</v>
      </c>
      <c r="AV781" s="1">
        <v>0</v>
      </c>
      <c r="AW781" s="1">
        <v>0</v>
      </c>
      <c r="AX781" s="1">
        <v>0</v>
      </c>
      <c r="AY781" s="1">
        <v>0</v>
      </c>
      <c r="AZ781" s="1">
        <v>0</v>
      </c>
      <c r="BA781" s="1">
        <v>0</v>
      </c>
      <c r="BB781" s="1">
        <v>0</v>
      </c>
      <c r="BC781" s="1">
        <v>0</v>
      </c>
      <c r="BD781" s="1">
        <v>0</v>
      </c>
      <c r="BE781" s="1">
        <v>0</v>
      </c>
      <c r="BF781" s="1">
        <v>0</v>
      </c>
      <c r="BG781" s="1">
        <v>0</v>
      </c>
      <c r="BH781" s="1">
        <v>0</v>
      </c>
      <c r="BI781" s="1">
        <v>0</v>
      </c>
      <c r="BJ781" s="1">
        <v>0</v>
      </c>
      <c r="BK781" s="1">
        <v>0</v>
      </c>
      <c r="BL781" s="1">
        <v>0</v>
      </c>
      <c r="BM781" s="1">
        <v>0</v>
      </c>
      <c r="BN781" s="1">
        <v>0</v>
      </c>
      <c r="BO781" s="1">
        <v>0</v>
      </c>
      <c r="BP781" s="1">
        <v>0</v>
      </c>
      <c r="BQ781" s="2" t="str">
        <f>HYPERLINK("http://www.d20pfsrd.com/magic/all-spells/g/grove-of-respite","Grove of Respite")</f>
        <v>Grove of Respite</v>
      </c>
      <c r="BR781" s="1">
        <v>801</v>
      </c>
      <c r="BS781" s="1" t="s">
        <v>104</v>
      </c>
      <c r="BU781" s="1" t="s">
        <v>839</v>
      </c>
      <c r="BX781" s="1">
        <v>0</v>
      </c>
      <c r="BY781" s="1" t="s">
        <v>104</v>
      </c>
      <c r="BZ781" s="1">
        <v>5</v>
      </c>
      <c r="CA781" s="1" t="s">
        <v>104</v>
      </c>
      <c r="CB781" s="1" t="s">
        <v>104</v>
      </c>
      <c r="CC781" s="1" t="s">
        <v>104</v>
      </c>
      <c r="CD781" s="1" t="s">
        <v>104</v>
      </c>
      <c r="CE781" s="1" t="s">
        <v>104</v>
      </c>
      <c r="CF781" s="1" t="s">
        <v>104</v>
      </c>
      <c r="CG781" s="1" t="s">
        <v>104</v>
      </c>
      <c r="CH781" s="1">
        <v>4</v>
      </c>
      <c r="CJ781" s="1">
        <v>0</v>
      </c>
      <c r="CK781" s="1">
        <v>0</v>
      </c>
      <c r="CL781" s="1">
        <v>0</v>
      </c>
      <c r="CM781" s="1" t="s">
        <v>104</v>
      </c>
    </row>
    <row r="782" spans="1:91" ht="14.25" customHeight="1" x14ac:dyDescent="0.3">
      <c r="A782" s="1" t="s">
        <v>5065</v>
      </c>
      <c r="B782" s="1" t="s">
        <v>172</v>
      </c>
      <c r="E782" s="1" t="s">
        <v>5066</v>
      </c>
      <c r="F782" s="1" t="s">
        <v>191</v>
      </c>
      <c r="G782" s="1" t="s">
        <v>5067</v>
      </c>
      <c r="H782" s="1">
        <v>0</v>
      </c>
      <c r="I782" s="1" t="s">
        <v>157</v>
      </c>
      <c r="L782" s="1" t="s">
        <v>158</v>
      </c>
      <c r="M782" s="1" t="s">
        <v>4400</v>
      </c>
      <c r="N782" s="1">
        <v>1</v>
      </c>
      <c r="O782" s="1">
        <v>0</v>
      </c>
      <c r="R782" s="1" t="s">
        <v>5068</v>
      </c>
      <c r="S782" s="1" t="s">
        <v>4403</v>
      </c>
      <c r="T782" s="1">
        <v>1</v>
      </c>
      <c r="U782" s="1">
        <v>1</v>
      </c>
      <c r="V782" s="1">
        <v>1</v>
      </c>
      <c r="W782" s="1">
        <v>0</v>
      </c>
      <c r="X782" s="1">
        <v>0</v>
      </c>
      <c r="Y782" s="1" t="s">
        <v>104</v>
      </c>
      <c r="Z782" s="1" t="s">
        <v>104</v>
      </c>
      <c r="AA782" s="1">
        <v>3</v>
      </c>
      <c r="AB782" s="1" t="s">
        <v>104</v>
      </c>
      <c r="AC782" s="1">
        <v>2</v>
      </c>
      <c r="AD782" s="1" t="s">
        <v>104</v>
      </c>
      <c r="AE782" s="1" t="s">
        <v>104</v>
      </c>
      <c r="AF782" s="1" t="s">
        <v>104</v>
      </c>
      <c r="AG782" s="1" t="s">
        <v>104</v>
      </c>
      <c r="AH782" s="1">
        <v>3</v>
      </c>
      <c r="AI782" s="1" t="s">
        <v>104</v>
      </c>
      <c r="AJ782" s="1">
        <v>3</v>
      </c>
      <c r="AK782" s="1" t="s">
        <v>104</v>
      </c>
      <c r="AL782" s="1" t="s">
        <v>104</v>
      </c>
      <c r="AM782" s="1" t="s">
        <v>104</v>
      </c>
      <c r="AO782" s="1">
        <v>3</v>
      </c>
      <c r="AQ782" s="1" t="s">
        <v>5069</v>
      </c>
      <c r="AR782" s="1">
        <v>0</v>
      </c>
      <c r="AS782" s="1">
        <v>0</v>
      </c>
      <c r="AT782" s="1">
        <v>0</v>
      </c>
      <c r="AU782" s="1">
        <v>0</v>
      </c>
      <c r="AV782" s="1">
        <v>0</v>
      </c>
      <c r="AW782" s="1">
        <v>0</v>
      </c>
      <c r="AX782" s="1">
        <v>0</v>
      </c>
      <c r="AY782" s="1">
        <v>0</v>
      </c>
      <c r="AZ782" s="1">
        <v>0</v>
      </c>
      <c r="BA782" s="1">
        <v>0</v>
      </c>
      <c r="BB782" s="1">
        <v>0</v>
      </c>
      <c r="BC782" s="1">
        <v>0</v>
      </c>
      <c r="BD782" s="1">
        <v>0</v>
      </c>
      <c r="BE782" s="1">
        <v>0</v>
      </c>
      <c r="BF782" s="1">
        <v>0</v>
      </c>
      <c r="BG782" s="1">
        <v>0</v>
      </c>
      <c r="BH782" s="1">
        <v>0</v>
      </c>
      <c r="BI782" s="1">
        <v>0</v>
      </c>
      <c r="BJ782" s="1">
        <v>0</v>
      </c>
      <c r="BK782" s="1">
        <v>0</v>
      </c>
      <c r="BL782" s="1">
        <v>0</v>
      </c>
      <c r="BM782" s="1">
        <v>0</v>
      </c>
      <c r="BN782" s="1">
        <v>0</v>
      </c>
      <c r="BO782" s="1">
        <v>0</v>
      </c>
      <c r="BP782" s="1">
        <v>0</v>
      </c>
      <c r="BQ782" s="2" t="str">
        <f>HYPERLINK("http://www.d20pfsrd.com/magic/all-spells/g/guiding-star","Guiding Star")</f>
        <v>Guiding Star</v>
      </c>
      <c r="BR782" s="1">
        <v>802</v>
      </c>
      <c r="BS782" s="1" t="s">
        <v>104</v>
      </c>
      <c r="BU782" s="1" t="s">
        <v>5070</v>
      </c>
      <c r="BX782" s="1">
        <v>0</v>
      </c>
      <c r="BY782" s="1" t="s">
        <v>104</v>
      </c>
      <c r="BZ782" s="1">
        <v>2</v>
      </c>
      <c r="CA782" s="1">
        <v>3</v>
      </c>
      <c r="CB782" s="1" t="s">
        <v>104</v>
      </c>
      <c r="CC782" s="1" t="s">
        <v>104</v>
      </c>
      <c r="CD782" s="1" t="s">
        <v>104</v>
      </c>
      <c r="CE782" s="1" t="s">
        <v>104</v>
      </c>
      <c r="CF782" s="1" t="s">
        <v>104</v>
      </c>
      <c r="CG782" s="1" t="s">
        <v>104</v>
      </c>
      <c r="CH782" s="1">
        <v>2</v>
      </c>
      <c r="CJ782" s="1">
        <v>0</v>
      </c>
      <c r="CK782" s="1">
        <v>0</v>
      </c>
      <c r="CL782" s="1">
        <v>0</v>
      </c>
      <c r="CM782" s="1" t="s">
        <v>104</v>
      </c>
    </row>
    <row r="783" spans="1:91" ht="14.25" customHeight="1" x14ac:dyDescent="0.3">
      <c r="A783" s="1" t="s">
        <v>5071</v>
      </c>
      <c r="B783" s="1" t="s">
        <v>123</v>
      </c>
      <c r="C783" s="1" t="s">
        <v>124</v>
      </c>
      <c r="D783" s="1" t="s">
        <v>125</v>
      </c>
      <c r="E783" s="1" t="s">
        <v>4785</v>
      </c>
      <c r="F783" s="1" t="s">
        <v>95</v>
      </c>
      <c r="G783" s="1" t="s">
        <v>116</v>
      </c>
      <c r="H783" s="1">
        <v>0</v>
      </c>
      <c r="I783" s="1" t="s">
        <v>117</v>
      </c>
      <c r="L783" s="1" t="s">
        <v>1065</v>
      </c>
      <c r="M783" s="1" t="s">
        <v>119</v>
      </c>
      <c r="N783" s="1">
        <v>0</v>
      </c>
      <c r="O783" s="1">
        <v>0</v>
      </c>
      <c r="P783" s="1" t="s">
        <v>375</v>
      </c>
      <c r="Q783" s="1" t="s">
        <v>131</v>
      </c>
      <c r="R783" s="1" t="s">
        <v>5072</v>
      </c>
      <c r="S783" s="1" t="s">
        <v>4403</v>
      </c>
      <c r="T783" s="1">
        <v>1</v>
      </c>
      <c r="U783" s="1">
        <v>1</v>
      </c>
      <c r="V783" s="1">
        <v>0</v>
      </c>
      <c r="W783" s="1">
        <v>0</v>
      </c>
      <c r="X783" s="1">
        <v>0</v>
      </c>
      <c r="Y783" s="1" t="s">
        <v>104</v>
      </c>
      <c r="Z783" s="1" t="s">
        <v>104</v>
      </c>
      <c r="AA783" s="1" t="s">
        <v>104</v>
      </c>
      <c r="AB783" s="1" t="s">
        <v>104</v>
      </c>
      <c r="AC783" s="1" t="s">
        <v>104</v>
      </c>
      <c r="AD783" s="1">
        <v>4</v>
      </c>
      <c r="AE783" s="1" t="s">
        <v>104</v>
      </c>
      <c r="AF783" s="1" t="s">
        <v>104</v>
      </c>
      <c r="AG783" s="1" t="s">
        <v>104</v>
      </c>
      <c r="AH783" s="1" t="s">
        <v>104</v>
      </c>
      <c r="AI783" s="1" t="s">
        <v>104</v>
      </c>
      <c r="AJ783" s="1" t="s">
        <v>104</v>
      </c>
      <c r="AK783" s="1" t="s">
        <v>104</v>
      </c>
      <c r="AL783" s="1" t="s">
        <v>104</v>
      </c>
      <c r="AM783" s="1" t="s">
        <v>104</v>
      </c>
      <c r="AO783" s="1">
        <v>4</v>
      </c>
      <c r="AQ783" s="1" t="s">
        <v>5073</v>
      </c>
      <c r="AR783" s="1">
        <v>0</v>
      </c>
      <c r="AS783" s="1">
        <v>0</v>
      </c>
      <c r="AT783" s="1">
        <v>0</v>
      </c>
      <c r="AU783" s="1">
        <v>0</v>
      </c>
      <c r="AV783" s="1">
        <v>0</v>
      </c>
      <c r="AW783" s="1">
        <v>0</v>
      </c>
      <c r="AX783" s="1">
        <v>0</v>
      </c>
      <c r="AY783" s="1">
        <v>0</v>
      </c>
      <c r="AZ783" s="1">
        <v>0</v>
      </c>
      <c r="BA783" s="1">
        <v>0</v>
      </c>
      <c r="BB783" s="1">
        <v>0</v>
      </c>
      <c r="BC783" s="1">
        <v>0</v>
      </c>
      <c r="BD783" s="1">
        <v>0</v>
      </c>
      <c r="BE783" s="1">
        <v>0</v>
      </c>
      <c r="BF783" s="1">
        <v>0</v>
      </c>
      <c r="BG783" s="1">
        <v>0</v>
      </c>
      <c r="BH783" s="1">
        <v>0</v>
      </c>
      <c r="BI783" s="1">
        <v>0</v>
      </c>
      <c r="BJ783" s="1">
        <v>0</v>
      </c>
      <c r="BK783" s="1">
        <v>1</v>
      </c>
      <c r="BL783" s="1">
        <v>0</v>
      </c>
      <c r="BM783" s="1">
        <v>0</v>
      </c>
      <c r="BN783" s="1">
        <v>0</v>
      </c>
      <c r="BO783" s="1">
        <v>0</v>
      </c>
      <c r="BP783" s="1">
        <v>0</v>
      </c>
      <c r="BQ783" s="2" t="str">
        <f>HYPERLINK("http://www.d20pfsrd.com/magic/all-spells/h/heroic-finale","Heroic Finale")</f>
        <v>Heroic Finale</v>
      </c>
      <c r="BR783" s="1">
        <v>803</v>
      </c>
      <c r="BS783" s="1" t="s">
        <v>104</v>
      </c>
      <c r="BX783" s="1">
        <v>0</v>
      </c>
      <c r="BY783" s="1" t="s">
        <v>104</v>
      </c>
      <c r="BZ783" s="1" t="s">
        <v>104</v>
      </c>
      <c r="CA783" s="1" t="s">
        <v>104</v>
      </c>
      <c r="CB783" s="1" t="s">
        <v>104</v>
      </c>
      <c r="CC783" s="1" t="s">
        <v>104</v>
      </c>
      <c r="CD783" s="1" t="s">
        <v>104</v>
      </c>
      <c r="CE783" s="1" t="s">
        <v>104</v>
      </c>
      <c r="CF783" s="1" t="s">
        <v>104</v>
      </c>
      <c r="CG783" s="1" t="s">
        <v>104</v>
      </c>
      <c r="CH783" s="1" t="s">
        <v>104</v>
      </c>
      <c r="CJ783" s="1">
        <v>0</v>
      </c>
      <c r="CK783" s="1">
        <v>0</v>
      </c>
      <c r="CL783" s="1">
        <v>0</v>
      </c>
      <c r="CM783" s="1" t="s">
        <v>104</v>
      </c>
    </row>
    <row r="784" spans="1:91" ht="14.25" customHeight="1" x14ac:dyDescent="0.3">
      <c r="A784" s="1" t="s">
        <v>5074</v>
      </c>
      <c r="B784" s="1" t="s">
        <v>92</v>
      </c>
      <c r="C784" s="1" t="s">
        <v>523</v>
      </c>
      <c r="E784" s="1" t="s">
        <v>478</v>
      </c>
      <c r="F784" s="1" t="s">
        <v>1502</v>
      </c>
      <c r="G784" s="1" t="s">
        <v>237</v>
      </c>
      <c r="H784" s="1">
        <v>0</v>
      </c>
      <c r="I784" s="1" t="s">
        <v>157</v>
      </c>
      <c r="L784" s="1" t="s">
        <v>158</v>
      </c>
      <c r="M784" s="1" t="s">
        <v>119</v>
      </c>
      <c r="N784" s="1">
        <v>0</v>
      </c>
      <c r="O784" s="1">
        <v>0</v>
      </c>
      <c r="R784" s="1" t="s">
        <v>5075</v>
      </c>
      <c r="S784" s="1" t="s">
        <v>4403</v>
      </c>
      <c r="T784" s="1">
        <v>1</v>
      </c>
      <c r="U784" s="1">
        <v>0</v>
      </c>
      <c r="V784" s="1">
        <v>0</v>
      </c>
      <c r="W784" s="1">
        <v>0</v>
      </c>
      <c r="X784" s="1">
        <v>0</v>
      </c>
      <c r="Y784" s="1" t="s">
        <v>104</v>
      </c>
      <c r="Z784" s="1" t="s">
        <v>104</v>
      </c>
      <c r="AA784" s="1" t="s">
        <v>104</v>
      </c>
      <c r="AB784" s="1" t="s">
        <v>104</v>
      </c>
      <c r="AC784" s="1" t="s">
        <v>104</v>
      </c>
      <c r="AD784" s="1" t="s">
        <v>104</v>
      </c>
      <c r="AE784" s="1">
        <v>1</v>
      </c>
      <c r="AF784" s="1" t="s">
        <v>104</v>
      </c>
      <c r="AG784" s="1" t="s">
        <v>104</v>
      </c>
      <c r="AH784" s="1" t="s">
        <v>104</v>
      </c>
      <c r="AI784" s="1" t="s">
        <v>104</v>
      </c>
      <c r="AJ784" s="1" t="s">
        <v>104</v>
      </c>
      <c r="AK784" s="1" t="s">
        <v>104</v>
      </c>
      <c r="AL784" s="1" t="s">
        <v>104</v>
      </c>
      <c r="AM784" s="1" t="s">
        <v>104</v>
      </c>
      <c r="AO784" s="1">
        <v>1</v>
      </c>
      <c r="AQ784" s="1" t="s">
        <v>5076</v>
      </c>
      <c r="AR784" s="1">
        <v>0</v>
      </c>
      <c r="AS784" s="1">
        <v>0</v>
      </c>
      <c r="AT784" s="1">
        <v>0</v>
      </c>
      <c r="AU784" s="1">
        <v>0</v>
      </c>
      <c r="AV784" s="1">
        <v>0</v>
      </c>
      <c r="AW784" s="1">
        <v>0</v>
      </c>
      <c r="AX784" s="1">
        <v>0</v>
      </c>
      <c r="AY784" s="1">
        <v>0</v>
      </c>
      <c r="AZ784" s="1">
        <v>0</v>
      </c>
      <c r="BA784" s="1">
        <v>0</v>
      </c>
      <c r="BB784" s="1">
        <v>0</v>
      </c>
      <c r="BC784" s="1">
        <v>0</v>
      </c>
      <c r="BD784" s="1">
        <v>0</v>
      </c>
      <c r="BE784" s="1">
        <v>0</v>
      </c>
      <c r="BF784" s="1">
        <v>0</v>
      </c>
      <c r="BG784" s="1">
        <v>0</v>
      </c>
      <c r="BH784" s="1">
        <v>0</v>
      </c>
      <c r="BI784" s="1">
        <v>0</v>
      </c>
      <c r="BJ784" s="1">
        <v>0</v>
      </c>
      <c r="BK784" s="1">
        <v>0</v>
      </c>
      <c r="BL784" s="1">
        <v>0</v>
      </c>
      <c r="BM784" s="1">
        <v>0</v>
      </c>
      <c r="BN784" s="1">
        <v>0</v>
      </c>
      <c r="BO784" s="1">
        <v>0</v>
      </c>
      <c r="BP784" s="1">
        <v>0</v>
      </c>
      <c r="BQ784" s="2" t="str">
        <f>HYPERLINK("http://www.d20pfsrd.com/magic/all-spells/h/hero-s-defiance","Hero's Defiance")</f>
        <v>Hero's Defiance</v>
      </c>
      <c r="BR784" s="1">
        <v>804</v>
      </c>
      <c r="BS784" s="1" t="s">
        <v>104</v>
      </c>
      <c r="BX784" s="1">
        <v>0</v>
      </c>
      <c r="BY784" s="1" t="s">
        <v>104</v>
      </c>
      <c r="BZ784" s="1" t="s">
        <v>104</v>
      </c>
      <c r="CA784" s="1" t="s">
        <v>104</v>
      </c>
      <c r="CB784" s="1" t="s">
        <v>104</v>
      </c>
      <c r="CC784" s="1" t="s">
        <v>104</v>
      </c>
      <c r="CD784" s="1" t="s">
        <v>104</v>
      </c>
      <c r="CE784" s="1" t="s">
        <v>104</v>
      </c>
      <c r="CF784" s="1" t="s">
        <v>104</v>
      </c>
      <c r="CG784" s="1" t="s">
        <v>104</v>
      </c>
      <c r="CH784" s="1" t="s">
        <v>104</v>
      </c>
      <c r="CJ784" s="1">
        <v>0</v>
      </c>
      <c r="CK784" s="1">
        <v>0</v>
      </c>
      <c r="CL784" s="1">
        <v>0</v>
      </c>
      <c r="CM784" s="1" t="s">
        <v>104</v>
      </c>
    </row>
    <row r="785" spans="1:91" ht="14.25" customHeight="1" x14ac:dyDescent="0.3">
      <c r="A785" s="1" t="s">
        <v>5077</v>
      </c>
      <c r="B785" s="1" t="s">
        <v>137</v>
      </c>
      <c r="D785" s="1" t="s">
        <v>2506</v>
      </c>
      <c r="E785" s="1" t="s">
        <v>5078</v>
      </c>
      <c r="F785" s="1" t="s">
        <v>95</v>
      </c>
      <c r="G785" s="1" t="s">
        <v>5079</v>
      </c>
      <c r="H785" s="1">
        <v>0</v>
      </c>
      <c r="I785" s="1" t="s">
        <v>117</v>
      </c>
      <c r="L785" s="1" t="s">
        <v>5080</v>
      </c>
      <c r="M785" s="1" t="s">
        <v>4992</v>
      </c>
      <c r="N785" s="1">
        <v>1</v>
      </c>
      <c r="O785" s="1">
        <v>0</v>
      </c>
      <c r="P785" s="1" t="s">
        <v>375</v>
      </c>
      <c r="Q785" s="1" t="s">
        <v>184</v>
      </c>
      <c r="R785" s="1" t="s">
        <v>5081</v>
      </c>
      <c r="S785" s="1" t="s">
        <v>4403</v>
      </c>
      <c r="T785" s="1">
        <v>1</v>
      </c>
      <c r="U785" s="1">
        <v>1</v>
      </c>
      <c r="V785" s="1">
        <v>1</v>
      </c>
      <c r="W785" s="1">
        <v>0</v>
      </c>
      <c r="X785" s="1">
        <v>1</v>
      </c>
      <c r="Y785" s="1" t="s">
        <v>104</v>
      </c>
      <c r="Z785" s="1" t="s">
        <v>104</v>
      </c>
      <c r="AA785" s="1" t="s">
        <v>104</v>
      </c>
      <c r="AB785" s="1" t="s">
        <v>104</v>
      </c>
      <c r="AC785" s="1" t="s">
        <v>104</v>
      </c>
      <c r="AD785" s="1">
        <v>2</v>
      </c>
      <c r="AE785" s="1" t="s">
        <v>104</v>
      </c>
      <c r="AF785" s="1" t="s">
        <v>104</v>
      </c>
      <c r="AG785" s="1" t="s">
        <v>104</v>
      </c>
      <c r="AH785" s="1">
        <v>2</v>
      </c>
      <c r="AI785" s="1">
        <v>3</v>
      </c>
      <c r="AJ785" s="1" t="s">
        <v>104</v>
      </c>
      <c r="AK785" s="1" t="s">
        <v>104</v>
      </c>
      <c r="AL785" s="1" t="s">
        <v>104</v>
      </c>
      <c r="AM785" s="1" t="s">
        <v>104</v>
      </c>
      <c r="AO785" s="1">
        <v>2</v>
      </c>
      <c r="AQ785" s="1" t="s">
        <v>5082</v>
      </c>
      <c r="AR785" s="1">
        <v>0</v>
      </c>
      <c r="AS785" s="1">
        <v>0</v>
      </c>
      <c r="AT785" s="1">
        <v>0</v>
      </c>
      <c r="AU785" s="1">
        <v>0</v>
      </c>
      <c r="AV785" s="1">
        <v>0</v>
      </c>
      <c r="AW785" s="1">
        <v>0</v>
      </c>
      <c r="AX785" s="1">
        <v>0</v>
      </c>
      <c r="AY785" s="1">
        <v>0</v>
      </c>
      <c r="AZ785" s="1">
        <v>0</v>
      </c>
      <c r="BA785" s="1">
        <v>0</v>
      </c>
      <c r="BB785" s="1">
        <v>0</v>
      </c>
      <c r="BC785" s="1">
        <v>0</v>
      </c>
      <c r="BD785" s="1">
        <v>0</v>
      </c>
      <c r="BE785" s="1">
        <v>0</v>
      </c>
      <c r="BF785" s="1">
        <v>0</v>
      </c>
      <c r="BG785" s="1">
        <v>0</v>
      </c>
      <c r="BH785" s="1">
        <v>1</v>
      </c>
      <c r="BI785" s="1">
        <v>0</v>
      </c>
      <c r="BJ785" s="1">
        <v>0</v>
      </c>
      <c r="BK785" s="1">
        <v>0</v>
      </c>
      <c r="BL785" s="1">
        <v>0</v>
      </c>
      <c r="BM785" s="1">
        <v>0</v>
      </c>
      <c r="BN785" s="1">
        <v>0</v>
      </c>
      <c r="BO785" s="1">
        <v>0</v>
      </c>
      <c r="BP785" s="1">
        <v>0</v>
      </c>
      <c r="BQ785" s="2" t="str">
        <f>HYPERLINK("http://www.d20pfsrd.com/magic/all-spells/h/hidden-speech","Hidden Speech")</f>
        <v>Hidden Speech</v>
      </c>
      <c r="BR785" s="1">
        <v>805</v>
      </c>
      <c r="BS785" s="1" t="s">
        <v>104</v>
      </c>
      <c r="BX785" s="1">
        <v>0</v>
      </c>
      <c r="BY785" s="1" t="s">
        <v>104</v>
      </c>
      <c r="BZ785" s="1" t="s">
        <v>104</v>
      </c>
      <c r="CA785" s="1">
        <v>2</v>
      </c>
      <c r="CB785" s="1">
        <v>2</v>
      </c>
      <c r="CC785" s="1">
        <v>2</v>
      </c>
      <c r="CD785" s="1" t="s">
        <v>104</v>
      </c>
      <c r="CE785" s="1" t="s">
        <v>104</v>
      </c>
      <c r="CF785" s="1" t="s">
        <v>104</v>
      </c>
      <c r="CG785" s="1" t="s">
        <v>104</v>
      </c>
      <c r="CH785" s="1" t="s">
        <v>104</v>
      </c>
      <c r="CJ785" s="1">
        <v>0</v>
      </c>
      <c r="CK785" s="1">
        <v>0</v>
      </c>
      <c r="CL785" s="1">
        <v>0</v>
      </c>
      <c r="CM785" s="1" t="s">
        <v>104</v>
      </c>
    </row>
    <row r="786" spans="1:91" ht="14.25" customHeight="1" x14ac:dyDescent="0.3">
      <c r="A786" s="1" t="s">
        <v>5083</v>
      </c>
      <c r="B786" s="1" t="s">
        <v>507</v>
      </c>
      <c r="C786" s="1" t="s">
        <v>508</v>
      </c>
      <c r="E786" s="1" t="s">
        <v>3455</v>
      </c>
      <c r="F786" s="1" t="s">
        <v>287</v>
      </c>
      <c r="G786" s="1" t="s">
        <v>5084</v>
      </c>
      <c r="H786" s="1">
        <v>0</v>
      </c>
      <c r="I786" s="1" t="s">
        <v>117</v>
      </c>
      <c r="J786" s="1" t="s">
        <v>5085</v>
      </c>
      <c r="M786" s="1" t="s">
        <v>5062</v>
      </c>
      <c r="N786" s="1">
        <v>1</v>
      </c>
      <c r="O786" s="1">
        <v>0</v>
      </c>
      <c r="P786" s="1" t="s">
        <v>1894</v>
      </c>
      <c r="Q786" s="1" t="s">
        <v>101</v>
      </c>
      <c r="R786" s="1" t="s">
        <v>5086</v>
      </c>
      <c r="S786" s="1" t="s">
        <v>4403</v>
      </c>
      <c r="T786" s="1">
        <v>1</v>
      </c>
      <c r="U786" s="1">
        <v>1</v>
      </c>
      <c r="V786" s="1">
        <v>1</v>
      </c>
      <c r="W786" s="1">
        <v>0</v>
      </c>
      <c r="X786" s="1">
        <v>0</v>
      </c>
      <c r="Y786" s="1" t="s">
        <v>104</v>
      </c>
      <c r="Z786" s="1" t="s">
        <v>104</v>
      </c>
      <c r="AA786" s="1" t="s">
        <v>104</v>
      </c>
      <c r="AB786" s="1">
        <v>3</v>
      </c>
      <c r="AC786" s="1">
        <v>2</v>
      </c>
      <c r="AD786" s="1" t="s">
        <v>104</v>
      </c>
      <c r="AE786" s="1" t="s">
        <v>104</v>
      </c>
      <c r="AF786" s="1" t="s">
        <v>104</v>
      </c>
      <c r="AG786" s="1" t="s">
        <v>104</v>
      </c>
      <c r="AH786" s="1" t="s">
        <v>104</v>
      </c>
      <c r="AI786" s="1" t="s">
        <v>104</v>
      </c>
      <c r="AJ786" s="1" t="s">
        <v>104</v>
      </c>
      <c r="AK786" s="1" t="s">
        <v>104</v>
      </c>
      <c r="AL786" s="1" t="s">
        <v>104</v>
      </c>
      <c r="AM786" s="1" t="s">
        <v>104</v>
      </c>
      <c r="AO786" s="1">
        <v>3</v>
      </c>
      <c r="AQ786" s="1" t="s">
        <v>5087</v>
      </c>
      <c r="AR786" s="1">
        <v>0</v>
      </c>
      <c r="AS786" s="1">
        <v>0</v>
      </c>
      <c r="AT786" s="1">
        <v>0</v>
      </c>
      <c r="AU786" s="1">
        <v>0</v>
      </c>
      <c r="AV786" s="1">
        <v>0</v>
      </c>
      <c r="AW786" s="1">
        <v>0</v>
      </c>
      <c r="AX786" s="1">
        <v>0</v>
      </c>
      <c r="AY786" s="1">
        <v>0</v>
      </c>
      <c r="AZ786" s="1">
        <v>0</v>
      </c>
      <c r="BA786" s="1">
        <v>0</v>
      </c>
      <c r="BB786" s="1">
        <v>0</v>
      </c>
      <c r="BC786" s="1">
        <v>0</v>
      </c>
      <c r="BD786" s="1">
        <v>0</v>
      </c>
      <c r="BE786" s="1">
        <v>0</v>
      </c>
      <c r="BF786" s="1">
        <v>0</v>
      </c>
      <c r="BG786" s="1">
        <v>0</v>
      </c>
      <c r="BH786" s="1">
        <v>0</v>
      </c>
      <c r="BI786" s="1">
        <v>0</v>
      </c>
      <c r="BJ786" s="1">
        <v>0</v>
      </c>
      <c r="BK786" s="1">
        <v>0</v>
      </c>
      <c r="BL786" s="1">
        <v>0</v>
      </c>
      <c r="BM786" s="1">
        <v>0</v>
      </c>
      <c r="BN786" s="1">
        <v>0</v>
      </c>
      <c r="BO786" s="1">
        <v>0</v>
      </c>
      <c r="BP786" s="1">
        <v>0</v>
      </c>
      <c r="BQ786" s="2" t="str">
        <f>HYPERLINK("http://www.d20pfsrd.com/magic/all-spells/h/hide-campsite","Hide Campsite")</f>
        <v>Hide Campsite</v>
      </c>
      <c r="BR786" s="1">
        <v>806</v>
      </c>
      <c r="BS786" s="1" t="s">
        <v>104</v>
      </c>
      <c r="BX786" s="1">
        <v>0</v>
      </c>
      <c r="BY786" s="1" t="s">
        <v>104</v>
      </c>
      <c r="BZ786" s="1" t="s">
        <v>104</v>
      </c>
      <c r="CA786" s="1" t="s">
        <v>104</v>
      </c>
      <c r="CB786" s="1" t="s">
        <v>104</v>
      </c>
      <c r="CC786" s="1" t="s">
        <v>104</v>
      </c>
      <c r="CD786" s="1" t="s">
        <v>104</v>
      </c>
      <c r="CE786" s="1" t="s">
        <v>104</v>
      </c>
      <c r="CF786" s="1" t="s">
        <v>104</v>
      </c>
      <c r="CG786" s="1" t="s">
        <v>104</v>
      </c>
      <c r="CH786" s="1">
        <v>2</v>
      </c>
      <c r="CJ786" s="1">
        <v>0</v>
      </c>
      <c r="CK786" s="1">
        <v>0</v>
      </c>
      <c r="CL786" s="1">
        <v>0</v>
      </c>
      <c r="CM786" s="1" t="s">
        <v>104</v>
      </c>
    </row>
    <row r="787" spans="1:91" ht="14.25" customHeight="1" x14ac:dyDescent="0.3">
      <c r="A787" s="1" t="s">
        <v>5088</v>
      </c>
      <c r="B787" s="1" t="s">
        <v>434</v>
      </c>
      <c r="D787" s="1" t="s">
        <v>58</v>
      </c>
      <c r="E787" s="1" t="s">
        <v>1936</v>
      </c>
      <c r="F787" s="1" t="s">
        <v>95</v>
      </c>
      <c r="G787" s="1" t="s">
        <v>116</v>
      </c>
      <c r="H787" s="1">
        <v>0</v>
      </c>
      <c r="I787" s="1" t="s">
        <v>914</v>
      </c>
      <c r="J787" s="1" t="s">
        <v>549</v>
      </c>
      <c r="M787" s="1" t="s">
        <v>119</v>
      </c>
      <c r="N787" s="1">
        <v>0</v>
      </c>
      <c r="O787" s="1">
        <v>0</v>
      </c>
      <c r="P787" s="1" t="s">
        <v>2807</v>
      </c>
      <c r="Q787" s="1" t="s">
        <v>184</v>
      </c>
      <c r="R787" s="1" t="s">
        <v>5089</v>
      </c>
      <c r="S787" s="1" t="s">
        <v>4403</v>
      </c>
      <c r="T787" s="1">
        <v>1</v>
      </c>
      <c r="U787" s="1">
        <v>1</v>
      </c>
      <c r="V787" s="1">
        <v>0</v>
      </c>
      <c r="W787" s="1">
        <v>0</v>
      </c>
      <c r="X787" s="1">
        <v>0</v>
      </c>
      <c r="Y787" s="1" t="s">
        <v>104</v>
      </c>
      <c r="Z787" s="1" t="s">
        <v>104</v>
      </c>
      <c r="AA787" s="1" t="s">
        <v>104</v>
      </c>
      <c r="AB787" s="1" t="s">
        <v>104</v>
      </c>
      <c r="AC787" s="1" t="s">
        <v>104</v>
      </c>
      <c r="AD787" s="1" t="s">
        <v>104</v>
      </c>
      <c r="AE787" s="1">
        <v>3</v>
      </c>
      <c r="AF787" s="1" t="s">
        <v>104</v>
      </c>
      <c r="AG787" s="1" t="s">
        <v>104</v>
      </c>
      <c r="AH787" s="1" t="s">
        <v>104</v>
      </c>
      <c r="AI787" s="1" t="s">
        <v>104</v>
      </c>
      <c r="AJ787" s="1" t="s">
        <v>104</v>
      </c>
      <c r="AK787" s="1" t="s">
        <v>104</v>
      </c>
      <c r="AL787" s="1" t="s">
        <v>104</v>
      </c>
      <c r="AM787" s="1" t="s">
        <v>104</v>
      </c>
      <c r="AO787" s="1">
        <v>3</v>
      </c>
      <c r="AQ787" s="1" t="s">
        <v>5090</v>
      </c>
      <c r="AR787" s="1">
        <v>0</v>
      </c>
      <c r="AS787" s="1">
        <v>0</v>
      </c>
      <c r="AT787" s="1">
        <v>0</v>
      </c>
      <c r="AU787" s="1">
        <v>0</v>
      </c>
      <c r="AV787" s="1">
        <v>0</v>
      </c>
      <c r="AW787" s="1">
        <v>0</v>
      </c>
      <c r="AX787" s="1">
        <v>0</v>
      </c>
      <c r="AY787" s="1">
        <v>0</v>
      </c>
      <c r="AZ787" s="1">
        <v>0</v>
      </c>
      <c r="BA787" s="1">
        <v>0</v>
      </c>
      <c r="BB787" s="1">
        <v>0</v>
      </c>
      <c r="BC787" s="1">
        <v>0</v>
      </c>
      <c r="BD787" s="1">
        <v>0</v>
      </c>
      <c r="BE787" s="1">
        <v>0</v>
      </c>
      <c r="BF787" s="1">
        <v>0</v>
      </c>
      <c r="BG787" s="1">
        <v>1</v>
      </c>
      <c r="BH787" s="1">
        <v>0</v>
      </c>
      <c r="BI787" s="1">
        <v>0</v>
      </c>
      <c r="BJ787" s="1">
        <v>0</v>
      </c>
      <c r="BK787" s="1">
        <v>0</v>
      </c>
      <c r="BL787" s="1">
        <v>0</v>
      </c>
      <c r="BM787" s="1">
        <v>0</v>
      </c>
      <c r="BN787" s="1">
        <v>0</v>
      </c>
      <c r="BO787" s="1">
        <v>0</v>
      </c>
      <c r="BP787" s="1">
        <v>0</v>
      </c>
      <c r="BQ787" s="2" t="str">
        <f>HYPERLINK("http://www.d20pfsrd.com/magic/all-spells/h/holy-whisper","Holy Whisper")</f>
        <v>Holy Whisper</v>
      </c>
      <c r="BR787" s="1">
        <v>807</v>
      </c>
      <c r="BS787" s="1" t="s">
        <v>104</v>
      </c>
      <c r="BX787" s="1">
        <v>0</v>
      </c>
      <c r="BY787" s="1" t="s">
        <v>104</v>
      </c>
      <c r="BZ787" s="1" t="s">
        <v>104</v>
      </c>
      <c r="CA787" s="1" t="s">
        <v>104</v>
      </c>
      <c r="CB787" s="1" t="s">
        <v>104</v>
      </c>
      <c r="CC787" s="1" t="s">
        <v>104</v>
      </c>
      <c r="CD787" s="1" t="s">
        <v>104</v>
      </c>
      <c r="CE787" s="1" t="s">
        <v>104</v>
      </c>
      <c r="CF787" s="1" t="s">
        <v>104</v>
      </c>
      <c r="CG787" s="1" t="s">
        <v>104</v>
      </c>
      <c r="CH787" s="1" t="s">
        <v>104</v>
      </c>
      <c r="CJ787" s="1">
        <v>0</v>
      </c>
      <c r="CK787" s="1">
        <v>0</v>
      </c>
      <c r="CL787" s="1">
        <v>0</v>
      </c>
      <c r="CM787" s="1" t="s">
        <v>104</v>
      </c>
    </row>
    <row r="788" spans="1:91" ht="14.25" customHeight="1" x14ac:dyDescent="0.3">
      <c r="A788" s="1" t="s">
        <v>5091</v>
      </c>
      <c r="B788" s="1" t="s">
        <v>137</v>
      </c>
      <c r="E788" s="1" t="s">
        <v>5092</v>
      </c>
      <c r="F788" s="1" t="s">
        <v>95</v>
      </c>
      <c r="G788" s="1" t="s">
        <v>5093</v>
      </c>
      <c r="H788" s="1">
        <v>0</v>
      </c>
      <c r="I788" s="1" t="s">
        <v>157</v>
      </c>
      <c r="L788" s="1" t="s">
        <v>158</v>
      </c>
      <c r="M788" s="1" t="s">
        <v>4292</v>
      </c>
      <c r="N788" s="1">
        <v>0</v>
      </c>
      <c r="O788" s="1">
        <v>0</v>
      </c>
      <c r="R788" s="1" t="s">
        <v>5094</v>
      </c>
      <c r="S788" s="1" t="s">
        <v>4403</v>
      </c>
      <c r="T788" s="1">
        <v>1</v>
      </c>
      <c r="U788" s="1">
        <v>0</v>
      </c>
      <c r="V788" s="1">
        <v>1</v>
      </c>
      <c r="W788" s="1">
        <v>0</v>
      </c>
      <c r="X788" s="1">
        <v>1</v>
      </c>
      <c r="Y788" s="1" t="s">
        <v>104</v>
      </c>
      <c r="Z788" s="1" t="s">
        <v>104</v>
      </c>
      <c r="AA788" s="1" t="s">
        <v>104</v>
      </c>
      <c r="AB788" s="1" t="s">
        <v>104</v>
      </c>
      <c r="AC788" s="1" t="s">
        <v>104</v>
      </c>
      <c r="AD788" s="1">
        <v>2</v>
      </c>
      <c r="AE788" s="1">
        <v>1</v>
      </c>
      <c r="AF788" s="1" t="s">
        <v>104</v>
      </c>
      <c r="AG788" s="1" t="s">
        <v>104</v>
      </c>
      <c r="AH788" s="1" t="s">
        <v>104</v>
      </c>
      <c r="AI788" s="1">
        <v>2</v>
      </c>
      <c r="AJ788" s="1" t="s">
        <v>104</v>
      </c>
      <c r="AK788" s="1" t="s">
        <v>104</v>
      </c>
      <c r="AL788" s="1" t="s">
        <v>104</v>
      </c>
      <c r="AM788" s="1" t="s">
        <v>104</v>
      </c>
      <c r="AO788" s="1">
        <v>2</v>
      </c>
      <c r="AQ788" s="1" t="s">
        <v>5095</v>
      </c>
      <c r="AR788" s="1">
        <v>0</v>
      </c>
      <c r="AS788" s="1">
        <v>0</v>
      </c>
      <c r="AT788" s="1">
        <v>0</v>
      </c>
      <c r="AU788" s="1">
        <v>0</v>
      </c>
      <c r="AV788" s="1">
        <v>0</v>
      </c>
      <c r="AW788" s="1">
        <v>0</v>
      </c>
      <c r="AX788" s="1">
        <v>0</v>
      </c>
      <c r="AY788" s="1">
        <v>0</v>
      </c>
      <c r="AZ788" s="1">
        <v>0</v>
      </c>
      <c r="BA788" s="1">
        <v>0</v>
      </c>
      <c r="BB788" s="1">
        <v>0</v>
      </c>
      <c r="BC788" s="1">
        <v>0</v>
      </c>
      <c r="BD788" s="1">
        <v>0</v>
      </c>
      <c r="BE788" s="1">
        <v>0</v>
      </c>
      <c r="BF788" s="1">
        <v>0</v>
      </c>
      <c r="BG788" s="1">
        <v>0</v>
      </c>
      <c r="BH788" s="1">
        <v>0</v>
      </c>
      <c r="BI788" s="1">
        <v>0</v>
      </c>
      <c r="BJ788" s="1">
        <v>0</v>
      </c>
      <c r="BK788" s="1">
        <v>0</v>
      </c>
      <c r="BL788" s="1">
        <v>0</v>
      </c>
      <c r="BM788" s="1">
        <v>0</v>
      </c>
      <c r="BN788" s="1">
        <v>0</v>
      </c>
      <c r="BO788" s="1">
        <v>0</v>
      </c>
      <c r="BP788" s="1">
        <v>0</v>
      </c>
      <c r="BQ788" s="2" t="str">
        <f>HYPERLINK("http://www.d20pfsrd.com/magic/all-spells/h/honeyed-tongue","Honeyed Tongue")</f>
        <v>Honeyed Tongue</v>
      </c>
      <c r="BR788" s="1">
        <v>808</v>
      </c>
      <c r="BS788" s="1" t="s">
        <v>104</v>
      </c>
      <c r="BX788" s="1">
        <v>0</v>
      </c>
      <c r="BY788" s="1" t="s">
        <v>104</v>
      </c>
      <c r="BZ788" s="1" t="s">
        <v>104</v>
      </c>
      <c r="CA788" s="1" t="s">
        <v>104</v>
      </c>
      <c r="CB788" s="1" t="s">
        <v>104</v>
      </c>
      <c r="CC788" s="1">
        <v>2</v>
      </c>
      <c r="CD788" s="1" t="s">
        <v>104</v>
      </c>
      <c r="CE788" s="1" t="s">
        <v>104</v>
      </c>
      <c r="CF788" s="1" t="s">
        <v>104</v>
      </c>
      <c r="CG788" s="1" t="s">
        <v>104</v>
      </c>
      <c r="CH788" s="1" t="s">
        <v>104</v>
      </c>
      <c r="CJ788" s="1">
        <v>0</v>
      </c>
      <c r="CK788" s="1">
        <v>0</v>
      </c>
      <c r="CL788" s="1">
        <v>0</v>
      </c>
      <c r="CM788" s="1" t="s">
        <v>104</v>
      </c>
    </row>
    <row r="789" spans="1:91" ht="14.25" customHeight="1" x14ac:dyDescent="0.3">
      <c r="A789" s="1" t="s">
        <v>5096</v>
      </c>
      <c r="B789" s="1" t="s">
        <v>92</v>
      </c>
      <c r="C789" s="1" t="s">
        <v>93</v>
      </c>
      <c r="E789" s="1" t="s">
        <v>5097</v>
      </c>
      <c r="F789" s="1" t="s">
        <v>95</v>
      </c>
      <c r="G789" s="1" t="s">
        <v>4713</v>
      </c>
      <c r="H789" s="1">
        <v>1</v>
      </c>
      <c r="I789" s="1" t="s">
        <v>109</v>
      </c>
      <c r="K789" s="1" t="s">
        <v>4413</v>
      </c>
      <c r="M789" s="1" t="s">
        <v>4414</v>
      </c>
      <c r="N789" s="1">
        <v>0</v>
      </c>
      <c r="O789" s="1">
        <v>0</v>
      </c>
      <c r="P789" s="1" t="s">
        <v>5098</v>
      </c>
      <c r="Q789" s="1" t="s">
        <v>101</v>
      </c>
      <c r="R789" s="1" t="s">
        <v>5099</v>
      </c>
      <c r="S789" s="1" t="s">
        <v>4403</v>
      </c>
      <c r="T789" s="1">
        <v>1</v>
      </c>
      <c r="U789" s="1">
        <v>1</v>
      </c>
      <c r="V789" s="1">
        <v>0</v>
      </c>
      <c r="W789" s="1">
        <v>0</v>
      </c>
      <c r="X789" s="1">
        <v>0</v>
      </c>
      <c r="Y789" s="1">
        <v>5</v>
      </c>
      <c r="Z789" s="1">
        <v>5</v>
      </c>
      <c r="AA789" s="1" t="s">
        <v>104</v>
      </c>
      <c r="AB789" s="1" t="s">
        <v>104</v>
      </c>
      <c r="AC789" s="1" t="s">
        <v>104</v>
      </c>
      <c r="AD789" s="1" t="s">
        <v>104</v>
      </c>
      <c r="AE789" s="1" t="s">
        <v>104</v>
      </c>
      <c r="AF789" s="1" t="s">
        <v>104</v>
      </c>
      <c r="AG789" s="1">
        <v>5</v>
      </c>
      <c r="AH789" s="1" t="s">
        <v>104</v>
      </c>
      <c r="AI789" s="1" t="s">
        <v>104</v>
      </c>
      <c r="AJ789" s="1" t="s">
        <v>104</v>
      </c>
      <c r="AK789" s="1" t="s">
        <v>104</v>
      </c>
      <c r="AL789" s="1" t="s">
        <v>104</v>
      </c>
      <c r="AM789" s="1" t="s">
        <v>104</v>
      </c>
      <c r="AO789" s="1">
        <v>5</v>
      </c>
      <c r="AP789" s="1" t="s">
        <v>5100</v>
      </c>
      <c r="AQ789" s="1" t="s">
        <v>5101</v>
      </c>
      <c r="AR789" s="1">
        <v>0</v>
      </c>
      <c r="AS789" s="1">
        <v>0</v>
      </c>
      <c r="AT789" s="1">
        <v>0</v>
      </c>
      <c r="AU789" s="1">
        <v>0</v>
      </c>
      <c r="AV789" s="1">
        <v>0</v>
      </c>
      <c r="AW789" s="1">
        <v>0</v>
      </c>
      <c r="AX789" s="1">
        <v>0</v>
      </c>
      <c r="AY789" s="1">
        <v>0</v>
      </c>
      <c r="AZ789" s="1">
        <v>0</v>
      </c>
      <c r="BA789" s="1">
        <v>0</v>
      </c>
      <c r="BB789" s="1">
        <v>0</v>
      </c>
      <c r="BC789" s="1">
        <v>0</v>
      </c>
      <c r="BD789" s="1">
        <v>0</v>
      </c>
      <c r="BE789" s="1">
        <v>0</v>
      </c>
      <c r="BF789" s="1">
        <v>0</v>
      </c>
      <c r="BG789" s="1">
        <v>0</v>
      </c>
      <c r="BH789" s="1">
        <v>0</v>
      </c>
      <c r="BI789" s="1">
        <v>0</v>
      </c>
      <c r="BJ789" s="1">
        <v>0</v>
      </c>
      <c r="BK789" s="1">
        <v>0</v>
      </c>
      <c r="BL789" s="1">
        <v>0</v>
      </c>
      <c r="BM789" s="1">
        <v>0</v>
      </c>
      <c r="BN789" s="1">
        <v>0</v>
      </c>
      <c r="BO789" s="1">
        <v>0</v>
      </c>
      <c r="BP789" s="1">
        <v>0</v>
      </c>
      <c r="BQ789" s="2" t="str">
        <f>HYPERLINK("http://www.d20pfsrd.com/magic/all-spells/h/hungry-pit","Hungry Pit")</f>
        <v>Hungry Pit</v>
      </c>
      <c r="BR789" s="1">
        <v>809</v>
      </c>
      <c r="BS789" s="1">
        <v>10</v>
      </c>
      <c r="BX789" s="1">
        <v>0</v>
      </c>
      <c r="BY789" s="1" t="s">
        <v>104</v>
      </c>
      <c r="BZ789" s="1" t="s">
        <v>104</v>
      </c>
      <c r="CA789" s="1" t="s">
        <v>104</v>
      </c>
      <c r="CB789" s="1" t="s">
        <v>104</v>
      </c>
      <c r="CC789" s="1" t="s">
        <v>104</v>
      </c>
      <c r="CD789" s="1" t="s">
        <v>104</v>
      </c>
      <c r="CE789" s="1" t="s">
        <v>104</v>
      </c>
      <c r="CF789" s="1" t="s">
        <v>104</v>
      </c>
      <c r="CG789" s="1" t="s">
        <v>104</v>
      </c>
      <c r="CH789" s="1" t="s">
        <v>104</v>
      </c>
      <c r="CJ789" s="1">
        <v>0</v>
      </c>
      <c r="CK789" s="1">
        <v>0</v>
      </c>
      <c r="CL789" s="1">
        <v>0</v>
      </c>
      <c r="CM789" s="1">
        <v>5</v>
      </c>
    </row>
    <row r="790" spans="1:91" ht="14.25" customHeight="1" x14ac:dyDescent="0.3">
      <c r="A790" s="1" t="s">
        <v>5102</v>
      </c>
      <c r="B790" s="1" t="s">
        <v>434</v>
      </c>
      <c r="D790" s="1" t="s">
        <v>67</v>
      </c>
      <c r="E790" s="1" t="s">
        <v>5103</v>
      </c>
      <c r="F790" s="1" t="s">
        <v>95</v>
      </c>
      <c r="G790" s="1" t="s">
        <v>116</v>
      </c>
      <c r="H790" s="1">
        <v>0</v>
      </c>
      <c r="I790" s="1" t="s">
        <v>117</v>
      </c>
      <c r="L790" s="1" t="s">
        <v>1180</v>
      </c>
      <c r="M790" s="1" t="s">
        <v>119</v>
      </c>
      <c r="N790" s="1">
        <v>0</v>
      </c>
      <c r="O790" s="1">
        <v>0</v>
      </c>
      <c r="P790" s="1" t="s">
        <v>100</v>
      </c>
      <c r="Q790" s="1" t="s">
        <v>184</v>
      </c>
      <c r="R790" s="1" t="s">
        <v>5104</v>
      </c>
      <c r="S790" s="1" t="s">
        <v>4403</v>
      </c>
      <c r="T790" s="1">
        <v>1</v>
      </c>
      <c r="U790" s="1">
        <v>1</v>
      </c>
      <c r="V790" s="1">
        <v>0</v>
      </c>
      <c r="W790" s="1">
        <v>0</v>
      </c>
      <c r="X790" s="1">
        <v>0</v>
      </c>
      <c r="Y790" s="1">
        <v>1</v>
      </c>
      <c r="Z790" s="1">
        <v>1</v>
      </c>
      <c r="AA790" s="1" t="s">
        <v>104</v>
      </c>
      <c r="AB790" s="1">
        <v>1</v>
      </c>
      <c r="AC790" s="1" t="s">
        <v>104</v>
      </c>
      <c r="AD790" s="1" t="s">
        <v>104</v>
      </c>
      <c r="AE790" s="1" t="s">
        <v>104</v>
      </c>
      <c r="AF790" s="1" t="s">
        <v>104</v>
      </c>
      <c r="AG790" s="1" t="s">
        <v>104</v>
      </c>
      <c r="AH790" s="1" t="s">
        <v>104</v>
      </c>
      <c r="AI790" s="1" t="s">
        <v>104</v>
      </c>
      <c r="AJ790" s="1" t="s">
        <v>104</v>
      </c>
      <c r="AK790" s="1" t="s">
        <v>104</v>
      </c>
      <c r="AL790" s="1">
        <v>1</v>
      </c>
      <c r="AM790" s="1" t="s">
        <v>104</v>
      </c>
      <c r="AO790" s="1">
        <v>1</v>
      </c>
      <c r="AP790" s="1" t="s">
        <v>5105</v>
      </c>
      <c r="AQ790" s="1" t="s">
        <v>5106</v>
      </c>
      <c r="AR790" s="1">
        <v>0</v>
      </c>
      <c r="AS790" s="1">
        <v>0</v>
      </c>
      <c r="AT790" s="1">
        <v>0</v>
      </c>
      <c r="AU790" s="1">
        <v>0</v>
      </c>
      <c r="AV790" s="1">
        <v>0</v>
      </c>
      <c r="AW790" s="1">
        <v>0</v>
      </c>
      <c r="AX790" s="1">
        <v>0</v>
      </c>
      <c r="AY790" s="1">
        <v>0</v>
      </c>
      <c r="AZ790" s="1">
        <v>0</v>
      </c>
      <c r="BA790" s="1">
        <v>0</v>
      </c>
      <c r="BB790" s="1">
        <v>0</v>
      </c>
      <c r="BC790" s="1">
        <v>0</v>
      </c>
      <c r="BD790" s="1">
        <v>0</v>
      </c>
      <c r="BE790" s="1">
        <v>0</v>
      </c>
      <c r="BF790" s="1">
        <v>0</v>
      </c>
      <c r="BG790" s="1">
        <v>0</v>
      </c>
      <c r="BH790" s="1">
        <v>0</v>
      </c>
      <c r="BI790" s="1">
        <v>0</v>
      </c>
      <c r="BJ790" s="1">
        <v>0</v>
      </c>
      <c r="BK790" s="1">
        <v>0</v>
      </c>
      <c r="BL790" s="1">
        <v>0</v>
      </c>
      <c r="BM790" s="1">
        <v>0</v>
      </c>
      <c r="BN790" s="1">
        <v>0</v>
      </c>
      <c r="BO790" s="1">
        <v>0</v>
      </c>
      <c r="BP790" s="1">
        <v>1</v>
      </c>
      <c r="BQ790" s="2" t="str">
        <f>HYPERLINK("http://www.d20pfsrd.com/magic/all-spells/h/hydraulic-push","Hydraulic Push")</f>
        <v>Hydraulic Push</v>
      </c>
      <c r="BR790" s="1">
        <v>810</v>
      </c>
      <c r="BS790" s="1" t="s">
        <v>104</v>
      </c>
      <c r="BT790" s="1" t="s">
        <v>5107</v>
      </c>
      <c r="BV790" s="1" t="s">
        <v>5108</v>
      </c>
      <c r="BX790" s="1">
        <v>1</v>
      </c>
      <c r="BY790" s="1">
        <v>1</v>
      </c>
      <c r="BZ790" s="1">
        <v>1</v>
      </c>
      <c r="CA790" s="1" t="s">
        <v>104</v>
      </c>
      <c r="CB790" s="1" t="s">
        <v>104</v>
      </c>
      <c r="CC790" s="1" t="s">
        <v>104</v>
      </c>
      <c r="CD790" s="1" t="s">
        <v>104</v>
      </c>
      <c r="CE790" s="1" t="s">
        <v>104</v>
      </c>
      <c r="CF790" s="1" t="s">
        <v>104</v>
      </c>
      <c r="CG790" s="1" t="s">
        <v>104</v>
      </c>
      <c r="CH790" s="1">
        <v>1</v>
      </c>
      <c r="CJ790" s="1">
        <v>0</v>
      </c>
      <c r="CK790" s="1">
        <v>0</v>
      </c>
      <c r="CL790" s="1">
        <v>0</v>
      </c>
      <c r="CM790" s="1" t="s">
        <v>104</v>
      </c>
    </row>
    <row r="791" spans="1:91" ht="14.25" customHeight="1" x14ac:dyDescent="0.3">
      <c r="A791" s="1" t="s">
        <v>5109</v>
      </c>
      <c r="B791" s="1" t="s">
        <v>434</v>
      </c>
      <c r="D791" s="1" t="s">
        <v>67</v>
      </c>
      <c r="E791" s="1" t="s">
        <v>5110</v>
      </c>
      <c r="F791" s="1" t="s">
        <v>95</v>
      </c>
      <c r="G791" s="1" t="s">
        <v>116</v>
      </c>
      <c r="H791" s="1">
        <v>0</v>
      </c>
      <c r="I791" s="1" t="s">
        <v>776</v>
      </c>
      <c r="J791" s="1" t="s">
        <v>5111</v>
      </c>
      <c r="M791" s="1" t="s">
        <v>119</v>
      </c>
      <c r="N791" s="1">
        <v>0</v>
      </c>
      <c r="O791" s="1">
        <v>0</v>
      </c>
      <c r="P791" s="1" t="s">
        <v>100</v>
      </c>
      <c r="Q791" s="1" t="s">
        <v>184</v>
      </c>
      <c r="R791" s="1" t="s">
        <v>5112</v>
      </c>
      <c r="S791" s="1" t="s">
        <v>4403</v>
      </c>
      <c r="T791" s="1">
        <v>1</v>
      </c>
      <c r="U791" s="1">
        <v>1</v>
      </c>
      <c r="V791" s="1">
        <v>0</v>
      </c>
      <c r="W791" s="1">
        <v>0</v>
      </c>
      <c r="X791" s="1">
        <v>0</v>
      </c>
      <c r="Y791" s="1">
        <v>3</v>
      </c>
      <c r="Z791" s="1">
        <v>3</v>
      </c>
      <c r="AA791" s="1" t="s">
        <v>104</v>
      </c>
      <c r="AB791" s="1">
        <v>3</v>
      </c>
      <c r="AC791" s="1" t="s">
        <v>104</v>
      </c>
      <c r="AD791" s="1" t="s">
        <v>104</v>
      </c>
      <c r="AE791" s="1" t="s">
        <v>104</v>
      </c>
      <c r="AF791" s="1" t="s">
        <v>104</v>
      </c>
      <c r="AG791" s="1" t="s">
        <v>104</v>
      </c>
      <c r="AH791" s="1" t="s">
        <v>104</v>
      </c>
      <c r="AI791" s="1" t="s">
        <v>104</v>
      </c>
      <c r="AJ791" s="1" t="s">
        <v>104</v>
      </c>
      <c r="AK791" s="1" t="s">
        <v>104</v>
      </c>
      <c r="AL791" s="1">
        <v>3</v>
      </c>
      <c r="AM791" s="1" t="s">
        <v>104</v>
      </c>
      <c r="AO791" s="1">
        <v>3</v>
      </c>
      <c r="AQ791" s="1" t="s">
        <v>5113</v>
      </c>
      <c r="AR791" s="1">
        <v>0</v>
      </c>
      <c r="AS791" s="1">
        <v>0</v>
      </c>
      <c r="AT791" s="1">
        <v>0</v>
      </c>
      <c r="AU791" s="1">
        <v>0</v>
      </c>
      <c r="AV791" s="1">
        <v>0</v>
      </c>
      <c r="AW791" s="1">
        <v>0</v>
      </c>
      <c r="AX791" s="1">
        <v>0</v>
      </c>
      <c r="AY791" s="1">
        <v>0</v>
      </c>
      <c r="AZ791" s="1">
        <v>0</v>
      </c>
      <c r="BA791" s="1">
        <v>0</v>
      </c>
      <c r="BB791" s="1">
        <v>0</v>
      </c>
      <c r="BC791" s="1">
        <v>0</v>
      </c>
      <c r="BD791" s="1">
        <v>0</v>
      </c>
      <c r="BE791" s="1">
        <v>0</v>
      </c>
      <c r="BF791" s="1">
        <v>0</v>
      </c>
      <c r="BG791" s="1">
        <v>0</v>
      </c>
      <c r="BH791" s="1">
        <v>0</v>
      </c>
      <c r="BI791" s="1">
        <v>0</v>
      </c>
      <c r="BJ791" s="1">
        <v>0</v>
      </c>
      <c r="BK791" s="1">
        <v>0</v>
      </c>
      <c r="BL791" s="1">
        <v>0</v>
      </c>
      <c r="BM791" s="1">
        <v>0</v>
      </c>
      <c r="BN791" s="1">
        <v>0</v>
      </c>
      <c r="BO791" s="1">
        <v>0</v>
      </c>
      <c r="BP791" s="1">
        <v>1</v>
      </c>
      <c r="BQ791" s="2" t="str">
        <f>HYPERLINK("http://www.d20pfsrd.com/magic/all-spells/h/hydraulic-torrent","Hydraulic Torrent")</f>
        <v>Hydraulic Torrent</v>
      </c>
      <c r="BR791" s="1">
        <v>811</v>
      </c>
      <c r="BS791" s="1" t="s">
        <v>104</v>
      </c>
      <c r="BV791" s="1" t="s">
        <v>5114</v>
      </c>
      <c r="BW791" s="1" t="s">
        <v>5115</v>
      </c>
      <c r="BX791" s="1">
        <v>1</v>
      </c>
      <c r="BY791" s="1">
        <v>3</v>
      </c>
      <c r="BZ791" s="1" t="s">
        <v>104</v>
      </c>
      <c r="CA791" s="1" t="s">
        <v>104</v>
      </c>
      <c r="CB791" s="1" t="s">
        <v>104</v>
      </c>
      <c r="CC791" s="1" t="s">
        <v>104</v>
      </c>
      <c r="CD791" s="1" t="s">
        <v>104</v>
      </c>
      <c r="CE791" s="1" t="s">
        <v>104</v>
      </c>
      <c r="CF791" s="1" t="s">
        <v>104</v>
      </c>
      <c r="CG791" s="1" t="s">
        <v>104</v>
      </c>
      <c r="CH791" s="1">
        <v>3</v>
      </c>
      <c r="CJ791" s="1">
        <v>0</v>
      </c>
      <c r="CK791" s="1">
        <v>0</v>
      </c>
      <c r="CL791" s="1">
        <v>0</v>
      </c>
      <c r="CM791" s="1" t="s">
        <v>104</v>
      </c>
    </row>
    <row r="792" spans="1:91" ht="14.25" customHeight="1" x14ac:dyDescent="0.3">
      <c r="A792" s="1" t="s">
        <v>5116</v>
      </c>
      <c r="B792" s="1" t="s">
        <v>123</v>
      </c>
      <c r="C792" s="1" t="s">
        <v>124</v>
      </c>
      <c r="D792" s="1" t="s">
        <v>125</v>
      </c>
      <c r="E792" s="1" t="s">
        <v>5117</v>
      </c>
      <c r="F792" s="1" t="s">
        <v>95</v>
      </c>
      <c r="G792" s="1" t="s">
        <v>5118</v>
      </c>
      <c r="H792" s="1">
        <v>0</v>
      </c>
      <c r="I792" s="1" t="s">
        <v>117</v>
      </c>
      <c r="L792" s="1" t="s">
        <v>1065</v>
      </c>
      <c r="M792" s="1" t="s">
        <v>5119</v>
      </c>
      <c r="N792" s="1">
        <v>0</v>
      </c>
      <c r="O792" s="1">
        <v>0</v>
      </c>
      <c r="P792" s="1" t="s">
        <v>100</v>
      </c>
      <c r="Q792" s="1" t="s">
        <v>184</v>
      </c>
      <c r="R792" s="1" t="s">
        <v>5120</v>
      </c>
      <c r="S792" s="1" t="s">
        <v>4403</v>
      </c>
      <c r="T792" s="1">
        <v>1</v>
      </c>
      <c r="U792" s="1">
        <v>1</v>
      </c>
      <c r="V792" s="1">
        <v>1</v>
      </c>
      <c r="W792" s="1">
        <v>0</v>
      </c>
      <c r="X792" s="1">
        <v>0</v>
      </c>
      <c r="Y792" s="1" t="s">
        <v>104</v>
      </c>
      <c r="Z792" s="1" t="s">
        <v>104</v>
      </c>
      <c r="AA792" s="1" t="s">
        <v>104</v>
      </c>
      <c r="AB792" s="1" t="s">
        <v>104</v>
      </c>
      <c r="AC792" s="1" t="s">
        <v>104</v>
      </c>
      <c r="AD792" s="1" t="s">
        <v>104</v>
      </c>
      <c r="AE792" s="1" t="s">
        <v>104</v>
      </c>
      <c r="AF792" s="1" t="s">
        <v>104</v>
      </c>
      <c r="AG792" s="1" t="s">
        <v>104</v>
      </c>
      <c r="AH792" s="1">
        <v>1</v>
      </c>
      <c r="AI792" s="1" t="s">
        <v>104</v>
      </c>
      <c r="AJ792" s="1" t="s">
        <v>104</v>
      </c>
      <c r="AK792" s="1" t="s">
        <v>104</v>
      </c>
      <c r="AL792" s="1" t="s">
        <v>104</v>
      </c>
      <c r="AM792" s="1" t="s">
        <v>104</v>
      </c>
      <c r="AO792" s="1">
        <v>1</v>
      </c>
      <c r="AQ792" s="1" t="s">
        <v>5121</v>
      </c>
      <c r="AR792" s="1">
        <v>0</v>
      </c>
      <c r="AS792" s="1">
        <v>0</v>
      </c>
      <c r="AT792" s="1">
        <v>0</v>
      </c>
      <c r="AU792" s="1">
        <v>0</v>
      </c>
      <c r="AV792" s="1">
        <v>0</v>
      </c>
      <c r="AW792" s="1">
        <v>0</v>
      </c>
      <c r="AX792" s="1">
        <v>0</v>
      </c>
      <c r="AY792" s="1">
        <v>0</v>
      </c>
      <c r="AZ792" s="1">
        <v>0</v>
      </c>
      <c r="BA792" s="1">
        <v>0</v>
      </c>
      <c r="BB792" s="1">
        <v>0</v>
      </c>
      <c r="BC792" s="1">
        <v>0</v>
      </c>
      <c r="BD792" s="1">
        <v>0</v>
      </c>
      <c r="BE792" s="1">
        <v>0</v>
      </c>
      <c r="BF792" s="1">
        <v>0</v>
      </c>
      <c r="BG792" s="1">
        <v>0</v>
      </c>
      <c r="BH792" s="1">
        <v>0</v>
      </c>
      <c r="BI792" s="1">
        <v>0</v>
      </c>
      <c r="BJ792" s="1">
        <v>0</v>
      </c>
      <c r="BK792" s="1">
        <v>1</v>
      </c>
      <c r="BL792" s="1">
        <v>0</v>
      </c>
      <c r="BM792" s="1">
        <v>0</v>
      </c>
      <c r="BN792" s="1">
        <v>0</v>
      </c>
      <c r="BO792" s="1">
        <v>0</v>
      </c>
      <c r="BP792" s="1">
        <v>0</v>
      </c>
      <c r="BQ792" s="2" t="str">
        <f>HYPERLINK("http://www.d20pfsrd.com/magic/all-spells/i/ill-omen","Ill Omen")</f>
        <v>Ill Omen</v>
      </c>
      <c r="BR792" s="1">
        <v>812</v>
      </c>
      <c r="BS792" s="1" t="s">
        <v>104</v>
      </c>
      <c r="BT792" s="1" t="s">
        <v>5122</v>
      </c>
      <c r="BV792" s="1" t="s">
        <v>5123</v>
      </c>
      <c r="BW792" s="1" t="s">
        <v>5124</v>
      </c>
      <c r="BX792" s="1">
        <v>1</v>
      </c>
      <c r="BY792" s="1" t="s">
        <v>104</v>
      </c>
      <c r="BZ792" s="1" t="s">
        <v>104</v>
      </c>
      <c r="CA792" s="1">
        <v>1</v>
      </c>
      <c r="CB792" s="1">
        <v>1</v>
      </c>
      <c r="CC792" s="1">
        <v>1</v>
      </c>
      <c r="CD792" s="1" t="s">
        <v>104</v>
      </c>
      <c r="CE792" s="1" t="s">
        <v>104</v>
      </c>
      <c r="CF792" s="1" t="s">
        <v>104</v>
      </c>
      <c r="CG792" s="1" t="s">
        <v>104</v>
      </c>
      <c r="CH792" s="1" t="s">
        <v>104</v>
      </c>
      <c r="CJ792" s="1">
        <v>0</v>
      </c>
      <c r="CK792" s="1">
        <v>0</v>
      </c>
      <c r="CL792" s="1">
        <v>0</v>
      </c>
      <c r="CM792" s="1" t="s">
        <v>104</v>
      </c>
    </row>
    <row r="793" spans="1:91" ht="14.25" customHeight="1" x14ac:dyDescent="0.3">
      <c r="A793" s="1" t="s">
        <v>5125</v>
      </c>
      <c r="B793" s="1" t="s">
        <v>137</v>
      </c>
      <c r="E793" s="1" t="s">
        <v>5126</v>
      </c>
      <c r="F793" s="1" t="s">
        <v>95</v>
      </c>
      <c r="G793" s="1" t="s">
        <v>116</v>
      </c>
      <c r="H793" s="1">
        <v>0</v>
      </c>
      <c r="I793" s="1" t="s">
        <v>157</v>
      </c>
      <c r="L793" s="1" t="s">
        <v>158</v>
      </c>
      <c r="M793" s="1" t="s">
        <v>4641</v>
      </c>
      <c r="N793" s="1">
        <v>1</v>
      </c>
      <c r="O793" s="1">
        <v>0</v>
      </c>
      <c r="R793" s="1" t="s">
        <v>5127</v>
      </c>
      <c r="S793" s="1" t="s">
        <v>4403</v>
      </c>
      <c r="T793" s="1">
        <v>1</v>
      </c>
      <c r="U793" s="1">
        <v>1</v>
      </c>
      <c r="V793" s="1">
        <v>0</v>
      </c>
      <c r="W793" s="1">
        <v>0</v>
      </c>
      <c r="X793" s="1">
        <v>0</v>
      </c>
      <c r="Y793" s="1" t="s">
        <v>104</v>
      </c>
      <c r="Z793" s="1" t="s">
        <v>104</v>
      </c>
      <c r="AA793" s="1" t="s">
        <v>104</v>
      </c>
      <c r="AB793" s="1" t="s">
        <v>104</v>
      </c>
      <c r="AC793" s="1" t="s">
        <v>104</v>
      </c>
      <c r="AD793" s="1">
        <v>1</v>
      </c>
      <c r="AE793" s="1" t="s">
        <v>104</v>
      </c>
      <c r="AF793" s="1" t="s">
        <v>104</v>
      </c>
      <c r="AG793" s="1" t="s">
        <v>104</v>
      </c>
      <c r="AH793" s="1" t="s">
        <v>104</v>
      </c>
      <c r="AI793" s="1" t="s">
        <v>104</v>
      </c>
      <c r="AJ793" s="1" t="s">
        <v>104</v>
      </c>
      <c r="AK793" s="1" t="s">
        <v>104</v>
      </c>
      <c r="AL793" s="1" t="s">
        <v>104</v>
      </c>
      <c r="AM793" s="1" t="s">
        <v>104</v>
      </c>
      <c r="AO793" s="1">
        <v>1</v>
      </c>
      <c r="AQ793" s="1" t="s">
        <v>5128</v>
      </c>
      <c r="AR793" s="1">
        <v>0</v>
      </c>
      <c r="AS793" s="1">
        <v>0</v>
      </c>
      <c r="AT793" s="1">
        <v>0</v>
      </c>
      <c r="AU793" s="1">
        <v>0</v>
      </c>
      <c r="AV793" s="1">
        <v>0</v>
      </c>
      <c r="AW793" s="1">
        <v>0</v>
      </c>
      <c r="AX793" s="1">
        <v>0</v>
      </c>
      <c r="AY793" s="1">
        <v>0</v>
      </c>
      <c r="AZ793" s="1">
        <v>0</v>
      </c>
      <c r="BA793" s="1">
        <v>0</v>
      </c>
      <c r="BB793" s="1">
        <v>0</v>
      </c>
      <c r="BC793" s="1">
        <v>0</v>
      </c>
      <c r="BD793" s="1">
        <v>0</v>
      </c>
      <c r="BE793" s="1">
        <v>0</v>
      </c>
      <c r="BF793" s="1">
        <v>0</v>
      </c>
      <c r="BG793" s="1">
        <v>0</v>
      </c>
      <c r="BH793" s="1">
        <v>0</v>
      </c>
      <c r="BI793" s="1">
        <v>0</v>
      </c>
      <c r="BJ793" s="1">
        <v>0</v>
      </c>
      <c r="BK793" s="1">
        <v>0</v>
      </c>
      <c r="BL793" s="1">
        <v>0</v>
      </c>
      <c r="BM793" s="1">
        <v>0</v>
      </c>
      <c r="BN793" s="1">
        <v>0</v>
      </c>
      <c r="BO793" s="1">
        <v>0</v>
      </c>
      <c r="BP793" s="1">
        <v>0</v>
      </c>
      <c r="BQ793" s="2" t="str">
        <f>HYPERLINK("http://www.d20pfsrd.com/magic/all-spells/i/innocence","Innocence")</f>
        <v>Innocence</v>
      </c>
      <c r="BR793" s="1">
        <v>813</v>
      </c>
      <c r="BS793" s="1" t="s">
        <v>104</v>
      </c>
      <c r="BX793" s="1">
        <v>0</v>
      </c>
      <c r="BY793" s="1" t="s">
        <v>104</v>
      </c>
      <c r="BZ793" s="1" t="s">
        <v>104</v>
      </c>
      <c r="CA793" s="1" t="s">
        <v>104</v>
      </c>
      <c r="CB793" s="1" t="s">
        <v>104</v>
      </c>
      <c r="CC793" s="1">
        <v>1</v>
      </c>
      <c r="CD793" s="1" t="s">
        <v>104</v>
      </c>
      <c r="CE793" s="1" t="s">
        <v>104</v>
      </c>
      <c r="CF793" s="1" t="s">
        <v>104</v>
      </c>
      <c r="CG793" s="1" t="s">
        <v>104</v>
      </c>
      <c r="CH793" s="1" t="s">
        <v>104</v>
      </c>
      <c r="CJ793" s="1">
        <v>0</v>
      </c>
      <c r="CK793" s="1">
        <v>0</v>
      </c>
      <c r="CL793" s="1">
        <v>0</v>
      </c>
      <c r="CM793" s="1" t="s">
        <v>104</v>
      </c>
    </row>
    <row r="794" spans="1:91" ht="14.25" customHeight="1" x14ac:dyDescent="0.3">
      <c r="A794" s="1" t="s">
        <v>5129</v>
      </c>
      <c r="B794" s="1" t="s">
        <v>92</v>
      </c>
      <c r="C794" s="1" t="s">
        <v>93</v>
      </c>
      <c r="D794" s="1" t="s">
        <v>57</v>
      </c>
      <c r="E794" s="1" t="s">
        <v>5130</v>
      </c>
      <c r="F794" s="1" t="s">
        <v>95</v>
      </c>
      <c r="G794" s="1" t="s">
        <v>127</v>
      </c>
      <c r="H794" s="1">
        <v>0</v>
      </c>
      <c r="I794" s="1" t="s">
        <v>157</v>
      </c>
      <c r="L794" s="1" t="s">
        <v>158</v>
      </c>
      <c r="M794" s="1" t="s">
        <v>4641</v>
      </c>
      <c r="N794" s="1">
        <v>1</v>
      </c>
      <c r="O794" s="1">
        <v>0</v>
      </c>
      <c r="R794" s="1" t="s">
        <v>5131</v>
      </c>
      <c r="S794" s="1" t="s">
        <v>4403</v>
      </c>
      <c r="T794" s="1">
        <v>1</v>
      </c>
      <c r="U794" s="1">
        <v>1</v>
      </c>
      <c r="V794" s="1">
        <v>0</v>
      </c>
      <c r="W794" s="1">
        <v>0</v>
      </c>
      <c r="X794" s="1">
        <v>1</v>
      </c>
      <c r="Y794" s="1" t="s">
        <v>104</v>
      </c>
      <c r="Z794" s="1" t="s">
        <v>104</v>
      </c>
      <c r="AA794" s="1">
        <v>2</v>
      </c>
      <c r="AB794" s="1" t="s">
        <v>104</v>
      </c>
      <c r="AC794" s="1" t="s">
        <v>104</v>
      </c>
      <c r="AD794" s="1" t="s">
        <v>104</v>
      </c>
      <c r="AE794" s="1">
        <v>2</v>
      </c>
      <c r="AF794" s="1" t="s">
        <v>104</v>
      </c>
      <c r="AG794" s="1" t="s">
        <v>104</v>
      </c>
      <c r="AH794" s="1" t="s">
        <v>104</v>
      </c>
      <c r="AI794" s="1" t="s">
        <v>104</v>
      </c>
      <c r="AJ794" s="1">
        <v>2</v>
      </c>
      <c r="AK794" s="1" t="s">
        <v>104</v>
      </c>
      <c r="AL794" s="1" t="s">
        <v>104</v>
      </c>
      <c r="AM794" s="1" t="s">
        <v>104</v>
      </c>
      <c r="AO794" s="1">
        <v>2</v>
      </c>
      <c r="AQ794" s="1" t="s">
        <v>5132</v>
      </c>
      <c r="AR794" s="1">
        <v>0</v>
      </c>
      <c r="AS794" s="1">
        <v>0</v>
      </c>
      <c r="AT794" s="1">
        <v>0</v>
      </c>
      <c r="AU794" s="1">
        <v>0</v>
      </c>
      <c r="AV794" s="1">
        <v>0</v>
      </c>
      <c r="AW794" s="1">
        <v>0</v>
      </c>
      <c r="AX794" s="1">
        <v>0</v>
      </c>
      <c r="AY794" s="1">
        <v>0</v>
      </c>
      <c r="AZ794" s="1">
        <v>0</v>
      </c>
      <c r="BA794" s="1">
        <v>0</v>
      </c>
      <c r="BB794" s="1">
        <v>0</v>
      </c>
      <c r="BC794" s="1">
        <v>0</v>
      </c>
      <c r="BD794" s="1">
        <v>0</v>
      </c>
      <c r="BE794" s="1">
        <v>0</v>
      </c>
      <c r="BF794" s="1">
        <v>1</v>
      </c>
      <c r="BG794" s="1">
        <v>0</v>
      </c>
      <c r="BH794" s="1">
        <v>0</v>
      </c>
      <c r="BI794" s="1">
        <v>0</v>
      </c>
      <c r="BJ794" s="1">
        <v>0</v>
      </c>
      <c r="BK794" s="1">
        <v>0</v>
      </c>
      <c r="BL794" s="1">
        <v>0</v>
      </c>
      <c r="BM794" s="1">
        <v>0</v>
      </c>
      <c r="BN794" s="1">
        <v>0</v>
      </c>
      <c r="BO794" s="1">
        <v>0</v>
      </c>
      <c r="BP794" s="1">
        <v>0</v>
      </c>
      <c r="BQ794" s="2" t="str">
        <f>HYPERLINK("http://www.d20pfsrd.com/magic/all-spells/i/instant-armor","Instant Armor")</f>
        <v>Instant Armor</v>
      </c>
      <c r="BR794" s="1">
        <v>814</v>
      </c>
      <c r="BS794" s="1" t="s">
        <v>104</v>
      </c>
      <c r="BX794" s="1">
        <v>0</v>
      </c>
      <c r="BY794" s="1" t="s">
        <v>104</v>
      </c>
      <c r="BZ794" s="1" t="s">
        <v>104</v>
      </c>
      <c r="CA794" s="1">
        <v>2</v>
      </c>
      <c r="CB794" s="1" t="s">
        <v>104</v>
      </c>
      <c r="CC794" s="1" t="s">
        <v>104</v>
      </c>
      <c r="CD794" s="1" t="s">
        <v>104</v>
      </c>
      <c r="CE794" s="1" t="s">
        <v>104</v>
      </c>
      <c r="CF794" s="1" t="s">
        <v>104</v>
      </c>
      <c r="CG794" s="1" t="s">
        <v>104</v>
      </c>
      <c r="CH794" s="1" t="s">
        <v>104</v>
      </c>
      <c r="CJ794" s="1">
        <v>0</v>
      </c>
      <c r="CK794" s="1">
        <v>0</v>
      </c>
      <c r="CL794" s="1">
        <v>0</v>
      </c>
      <c r="CM794" s="1" t="s">
        <v>104</v>
      </c>
    </row>
    <row r="795" spans="1:91" ht="14.25" customHeight="1" x14ac:dyDescent="0.3">
      <c r="A795" s="1" t="s">
        <v>5133</v>
      </c>
      <c r="B795" s="1" t="s">
        <v>123</v>
      </c>
      <c r="E795" s="1" t="s">
        <v>5134</v>
      </c>
      <c r="F795" s="1" t="s">
        <v>4934</v>
      </c>
      <c r="G795" s="1" t="s">
        <v>116</v>
      </c>
      <c r="H795" s="1">
        <v>0</v>
      </c>
      <c r="I795" s="1" t="s">
        <v>117</v>
      </c>
      <c r="L795" s="1" t="s">
        <v>5135</v>
      </c>
      <c r="M795" s="1" t="s">
        <v>2330</v>
      </c>
      <c r="N795" s="1">
        <v>0</v>
      </c>
      <c r="O795" s="1">
        <v>0</v>
      </c>
      <c r="P795" s="1" t="s">
        <v>100</v>
      </c>
      <c r="Q795" s="1" t="s">
        <v>101</v>
      </c>
      <c r="R795" s="1" t="s">
        <v>5136</v>
      </c>
      <c r="S795" s="1" t="s">
        <v>4403</v>
      </c>
      <c r="T795" s="1">
        <v>1</v>
      </c>
      <c r="U795" s="1">
        <v>1</v>
      </c>
      <c r="V795" s="1">
        <v>0</v>
      </c>
      <c r="W795" s="1">
        <v>0</v>
      </c>
      <c r="X795" s="1">
        <v>0</v>
      </c>
      <c r="Y795" s="1" t="s">
        <v>104</v>
      </c>
      <c r="Z795" s="1" t="s">
        <v>104</v>
      </c>
      <c r="AA795" s="1" t="s">
        <v>104</v>
      </c>
      <c r="AB795" s="1" t="s">
        <v>104</v>
      </c>
      <c r="AC795" s="1">
        <v>3</v>
      </c>
      <c r="AD795" s="1" t="s">
        <v>104</v>
      </c>
      <c r="AE795" s="1" t="s">
        <v>104</v>
      </c>
      <c r="AF795" s="1" t="s">
        <v>104</v>
      </c>
      <c r="AG795" s="1" t="s">
        <v>104</v>
      </c>
      <c r="AH795" s="1" t="s">
        <v>104</v>
      </c>
      <c r="AI795" s="1" t="s">
        <v>104</v>
      </c>
      <c r="AJ795" s="1" t="s">
        <v>104</v>
      </c>
      <c r="AK795" s="1" t="s">
        <v>104</v>
      </c>
      <c r="AL795" s="1" t="s">
        <v>104</v>
      </c>
      <c r="AM795" s="1" t="s">
        <v>104</v>
      </c>
      <c r="AO795" s="1">
        <v>3</v>
      </c>
      <c r="AQ795" s="1" t="s">
        <v>5137</v>
      </c>
      <c r="AR795" s="1">
        <v>0</v>
      </c>
      <c r="AS795" s="1">
        <v>0</v>
      </c>
      <c r="AT795" s="1">
        <v>0</v>
      </c>
      <c r="AU795" s="1">
        <v>0</v>
      </c>
      <c r="AV795" s="1">
        <v>0</v>
      </c>
      <c r="AW795" s="1">
        <v>0</v>
      </c>
      <c r="AX795" s="1">
        <v>0</v>
      </c>
      <c r="AY795" s="1">
        <v>0</v>
      </c>
      <c r="AZ795" s="1">
        <v>0</v>
      </c>
      <c r="BA795" s="1">
        <v>0</v>
      </c>
      <c r="BB795" s="1">
        <v>0</v>
      </c>
      <c r="BC795" s="1">
        <v>0</v>
      </c>
      <c r="BD795" s="1">
        <v>0</v>
      </c>
      <c r="BE795" s="1">
        <v>0</v>
      </c>
      <c r="BF795" s="1">
        <v>0</v>
      </c>
      <c r="BG795" s="1">
        <v>0</v>
      </c>
      <c r="BH795" s="1">
        <v>0</v>
      </c>
      <c r="BI795" s="1">
        <v>0</v>
      </c>
      <c r="BJ795" s="1">
        <v>0</v>
      </c>
      <c r="BK795" s="1">
        <v>0</v>
      </c>
      <c r="BL795" s="1">
        <v>0</v>
      </c>
      <c r="BM795" s="1">
        <v>0</v>
      </c>
      <c r="BN795" s="1">
        <v>0</v>
      </c>
      <c r="BO795" s="1">
        <v>0</v>
      </c>
      <c r="BP795" s="1">
        <v>0</v>
      </c>
      <c r="BQ795" s="2" t="str">
        <f>HYPERLINK("http://www.d20pfsrd.com/magic/all-spells/i/instant-enemy","Instant Enemy")</f>
        <v>Instant Enemy</v>
      </c>
      <c r="BR795" s="1">
        <v>815</v>
      </c>
      <c r="BS795" s="1" t="s">
        <v>104</v>
      </c>
      <c r="BX795" s="1">
        <v>0</v>
      </c>
      <c r="BY795" s="1" t="s">
        <v>104</v>
      </c>
      <c r="BZ795" s="1" t="s">
        <v>104</v>
      </c>
      <c r="CA795" s="1" t="s">
        <v>104</v>
      </c>
      <c r="CB795" s="1" t="s">
        <v>104</v>
      </c>
      <c r="CC795" s="1" t="s">
        <v>104</v>
      </c>
      <c r="CD795" s="1" t="s">
        <v>104</v>
      </c>
      <c r="CE795" s="1" t="s">
        <v>104</v>
      </c>
      <c r="CF795" s="1" t="s">
        <v>104</v>
      </c>
      <c r="CG795" s="1" t="s">
        <v>104</v>
      </c>
      <c r="CH795" s="1">
        <v>3</v>
      </c>
      <c r="CJ795" s="1">
        <v>0</v>
      </c>
      <c r="CK795" s="1">
        <v>0</v>
      </c>
      <c r="CL795" s="1">
        <v>0</v>
      </c>
      <c r="CM795" s="1" t="s">
        <v>104</v>
      </c>
    </row>
    <row r="796" spans="1:91" ht="14.25" customHeight="1" x14ac:dyDescent="0.3">
      <c r="A796" s="1" t="s">
        <v>5138</v>
      </c>
      <c r="B796" s="1" t="s">
        <v>507</v>
      </c>
      <c r="D796" s="1" t="s">
        <v>1767</v>
      </c>
      <c r="E796" s="1" t="s">
        <v>792</v>
      </c>
      <c r="F796" s="1" t="s">
        <v>95</v>
      </c>
      <c r="G796" s="1" t="s">
        <v>237</v>
      </c>
      <c r="H796" s="1">
        <v>0</v>
      </c>
      <c r="I796" s="1" t="s">
        <v>128</v>
      </c>
      <c r="L796" s="1" t="s">
        <v>374</v>
      </c>
      <c r="M796" s="1" t="s">
        <v>4992</v>
      </c>
      <c r="N796" s="1">
        <v>1</v>
      </c>
      <c r="O796" s="1">
        <v>0</v>
      </c>
      <c r="P796" s="1" t="s">
        <v>375</v>
      </c>
      <c r="Q796" s="1" t="s">
        <v>131</v>
      </c>
      <c r="R796" s="1" t="s">
        <v>5139</v>
      </c>
      <c r="S796" s="1" t="s">
        <v>4403</v>
      </c>
      <c r="T796" s="1">
        <v>1</v>
      </c>
      <c r="U796" s="1">
        <v>0</v>
      </c>
      <c r="V796" s="1">
        <v>0</v>
      </c>
      <c r="W796" s="1">
        <v>0</v>
      </c>
      <c r="X796" s="1">
        <v>0</v>
      </c>
      <c r="Y796" s="1" t="s">
        <v>104</v>
      </c>
      <c r="Z796" s="1" t="s">
        <v>104</v>
      </c>
      <c r="AA796" s="1" t="s">
        <v>104</v>
      </c>
      <c r="AB796" s="1" t="s">
        <v>104</v>
      </c>
      <c r="AC796" s="1" t="s">
        <v>104</v>
      </c>
      <c r="AD796" s="1">
        <v>1</v>
      </c>
      <c r="AE796" s="1" t="s">
        <v>104</v>
      </c>
      <c r="AF796" s="1" t="s">
        <v>104</v>
      </c>
      <c r="AG796" s="1" t="s">
        <v>104</v>
      </c>
      <c r="AH796" s="1" t="s">
        <v>104</v>
      </c>
      <c r="AI796" s="1" t="s">
        <v>104</v>
      </c>
      <c r="AJ796" s="1" t="s">
        <v>104</v>
      </c>
      <c r="AK796" s="1" t="s">
        <v>104</v>
      </c>
      <c r="AL796" s="1" t="s">
        <v>104</v>
      </c>
      <c r="AM796" s="1" t="s">
        <v>104</v>
      </c>
      <c r="AO796" s="1">
        <v>1</v>
      </c>
      <c r="AQ796" s="1" t="s">
        <v>5140</v>
      </c>
      <c r="AR796" s="1">
        <v>0</v>
      </c>
      <c r="AS796" s="1">
        <v>0</v>
      </c>
      <c r="AT796" s="1">
        <v>0</v>
      </c>
      <c r="AU796" s="1">
        <v>0</v>
      </c>
      <c r="AV796" s="1">
        <v>0</v>
      </c>
      <c r="AW796" s="1">
        <v>0</v>
      </c>
      <c r="AX796" s="1">
        <v>0</v>
      </c>
      <c r="AY796" s="1">
        <v>0</v>
      </c>
      <c r="AZ796" s="1">
        <v>0</v>
      </c>
      <c r="BA796" s="1">
        <v>0</v>
      </c>
      <c r="BB796" s="1">
        <v>0</v>
      </c>
      <c r="BC796" s="1">
        <v>0</v>
      </c>
      <c r="BD796" s="1">
        <v>0</v>
      </c>
      <c r="BE796" s="1">
        <v>0</v>
      </c>
      <c r="BF796" s="1">
        <v>0</v>
      </c>
      <c r="BG796" s="1">
        <v>0</v>
      </c>
      <c r="BH796" s="1">
        <v>0</v>
      </c>
      <c r="BI796" s="1">
        <v>0</v>
      </c>
      <c r="BJ796" s="1">
        <v>0</v>
      </c>
      <c r="BK796" s="1">
        <v>0</v>
      </c>
      <c r="BL796" s="1">
        <v>0</v>
      </c>
      <c r="BM796" s="1">
        <v>0</v>
      </c>
      <c r="BN796" s="1">
        <v>0</v>
      </c>
      <c r="BO796" s="1">
        <v>0</v>
      </c>
      <c r="BP796" s="1">
        <v>0</v>
      </c>
      <c r="BQ796" s="2" t="str">
        <f>HYPERLINK("http://www.d20pfsrd.com/magic/all-spells/i/invigorate","Invigorate")</f>
        <v>Invigorate</v>
      </c>
      <c r="BR796" s="1">
        <v>816</v>
      </c>
      <c r="BS796" s="1" t="s">
        <v>104</v>
      </c>
      <c r="BX796" s="1">
        <v>0</v>
      </c>
      <c r="BY796" s="1" t="s">
        <v>104</v>
      </c>
      <c r="BZ796" s="1" t="s">
        <v>104</v>
      </c>
      <c r="CA796" s="1">
        <v>1</v>
      </c>
      <c r="CB796" s="1">
        <v>1</v>
      </c>
      <c r="CC796" s="1">
        <v>1</v>
      </c>
      <c r="CD796" s="1" t="s">
        <v>104</v>
      </c>
      <c r="CE796" s="1" t="s">
        <v>104</v>
      </c>
      <c r="CF796" s="1" t="s">
        <v>104</v>
      </c>
      <c r="CG796" s="1" t="s">
        <v>104</v>
      </c>
      <c r="CH796" s="1" t="s">
        <v>104</v>
      </c>
      <c r="CJ796" s="1">
        <v>0</v>
      </c>
      <c r="CK796" s="1">
        <v>0</v>
      </c>
      <c r="CL796" s="1">
        <v>0</v>
      </c>
      <c r="CM796" s="1" t="s">
        <v>104</v>
      </c>
    </row>
    <row r="797" spans="1:91" ht="14.25" customHeight="1" x14ac:dyDescent="0.3">
      <c r="A797" s="1" t="s">
        <v>5141</v>
      </c>
      <c r="B797" s="1" t="s">
        <v>507</v>
      </c>
      <c r="D797" s="1" t="s">
        <v>1767</v>
      </c>
      <c r="E797" s="1" t="s">
        <v>5142</v>
      </c>
      <c r="F797" s="1" t="s">
        <v>95</v>
      </c>
      <c r="G797" s="1" t="s">
        <v>237</v>
      </c>
      <c r="H797" s="1">
        <v>0</v>
      </c>
      <c r="I797" s="1" t="s">
        <v>128</v>
      </c>
      <c r="L797" s="1" t="s">
        <v>5143</v>
      </c>
      <c r="M797" s="1" t="s">
        <v>4992</v>
      </c>
      <c r="N797" s="1">
        <v>1</v>
      </c>
      <c r="O797" s="1">
        <v>0</v>
      </c>
      <c r="P797" s="1" t="s">
        <v>375</v>
      </c>
      <c r="Q797" s="1" t="s">
        <v>131</v>
      </c>
      <c r="R797" s="1" t="s">
        <v>5144</v>
      </c>
      <c r="S797" s="1" t="s">
        <v>4403</v>
      </c>
      <c r="T797" s="1">
        <v>1</v>
      </c>
      <c r="U797" s="1">
        <v>0</v>
      </c>
      <c r="V797" s="1">
        <v>0</v>
      </c>
      <c r="W797" s="1">
        <v>0</v>
      </c>
      <c r="X797" s="1">
        <v>0</v>
      </c>
      <c r="Y797" s="1" t="s">
        <v>104</v>
      </c>
      <c r="Z797" s="1" t="s">
        <v>104</v>
      </c>
      <c r="AA797" s="1" t="s">
        <v>104</v>
      </c>
      <c r="AB797" s="1" t="s">
        <v>104</v>
      </c>
      <c r="AC797" s="1" t="s">
        <v>104</v>
      </c>
      <c r="AD797" s="1">
        <v>3</v>
      </c>
      <c r="AE797" s="1" t="s">
        <v>104</v>
      </c>
      <c r="AF797" s="1" t="s">
        <v>104</v>
      </c>
      <c r="AG797" s="1" t="s">
        <v>104</v>
      </c>
      <c r="AH797" s="1" t="s">
        <v>104</v>
      </c>
      <c r="AI797" s="1" t="s">
        <v>104</v>
      </c>
      <c r="AJ797" s="1" t="s">
        <v>104</v>
      </c>
      <c r="AK797" s="1" t="s">
        <v>104</v>
      </c>
      <c r="AL797" s="1" t="s">
        <v>104</v>
      </c>
      <c r="AM797" s="1" t="s">
        <v>104</v>
      </c>
      <c r="AO797" s="1">
        <v>3</v>
      </c>
      <c r="AQ797" s="1" t="s">
        <v>5145</v>
      </c>
      <c r="AR797" s="1">
        <v>0</v>
      </c>
      <c r="AS797" s="1">
        <v>0</v>
      </c>
      <c r="AT797" s="1">
        <v>0</v>
      </c>
      <c r="AU797" s="1">
        <v>0</v>
      </c>
      <c r="AV797" s="1">
        <v>0</v>
      </c>
      <c r="AW797" s="1">
        <v>0</v>
      </c>
      <c r="AX797" s="1">
        <v>0</v>
      </c>
      <c r="AY797" s="1">
        <v>0</v>
      </c>
      <c r="AZ797" s="1">
        <v>0</v>
      </c>
      <c r="BA797" s="1">
        <v>0</v>
      </c>
      <c r="BB797" s="1">
        <v>0</v>
      </c>
      <c r="BC797" s="1">
        <v>0</v>
      </c>
      <c r="BD797" s="1">
        <v>0</v>
      </c>
      <c r="BE797" s="1">
        <v>0</v>
      </c>
      <c r="BF797" s="1">
        <v>0</v>
      </c>
      <c r="BG797" s="1">
        <v>0</v>
      </c>
      <c r="BH797" s="1">
        <v>0</v>
      </c>
      <c r="BI797" s="1">
        <v>0</v>
      </c>
      <c r="BJ797" s="1">
        <v>0</v>
      </c>
      <c r="BK797" s="1">
        <v>0</v>
      </c>
      <c r="BL797" s="1">
        <v>0</v>
      </c>
      <c r="BM797" s="1">
        <v>0</v>
      </c>
      <c r="BN797" s="1">
        <v>0</v>
      </c>
      <c r="BO797" s="1">
        <v>0</v>
      </c>
      <c r="BP797" s="1">
        <v>0</v>
      </c>
      <c r="BQ797" s="2" t="str">
        <f>HYPERLINK("http://www.d20pfsrd.com/magic/all-spells/i/invigorate,-mass","Invigorate, Mass")</f>
        <v>Invigorate, Mass</v>
      </c>
      <c r="BR797" s="1">
        <v>817</v>
      </c>
      <c r="BS797" s="1" t="s">
        <v>104</v>
      </c>
      <c r="BX797" s="1">
        <v>0</v>
      </c>
      <c r="BY797" s="1" t="s">
        <v>104</v>
      </c>
      <c r="BZ797" s="1" t="s">
        <v>104</v>
      </c>
      <c r="CA797" s="1">
        <v>4</v>
      </c>
      <c r="CB797" s="1" t="s">
        <v>104</v>
      </c>
      <c r="CC797" s="1">
        <v>3</v>
      </c>
      <c r="CD797" s="1" t="s">
        <v>104</v>
      </c>
      <c r="CE797" s="1" t="s">
        <v>104</v>
      </c>
      <c r="CF797" s="1" t="s">
        <v>104</v>
      </c>
      <c r="CG797" s="1" t="s">
        <v>104</v>
      </c>
      <c r="CH797" s="1" t="s">
        <v>104</v>
      </c>
      <c r="CJ797" s="1">
        <v>0</v>
      </c>
      <c r="CK797" s="1">
        <v>0</v>
      </c>
      <c r="CL797" s="1">
        <v>0</v>
      </c>
      <c r="CM797" s="1" t="s">
        <v>104</v>
      </c>
    </row>
    <row r="798" spans="1:91" ht="14.25" customHeight="1" x14ac:dyDescent="0.3">
      <c r="A798" s="1" t="s">
        <v>5146</v>
      </c>
      <c r="B798" s="1" t="s">
        <v>92</v>
      </c>
      <c r="C798" s="1" t="s">
        <v>1160</v>
      </c>
      <c r="E798" s="1" t="s">
        <v>1801</v>
      </c>
      <c r="F798" s="1" t="s">
        <v>95</v>
      </c>
      <c r="G798" s="1" t="s">
        <v>116</v>
      </c>
      <c r="H798" s="1">
        <v>0</v>
      </c>
      <c r="I798" s="1" t="s">
        <v>128</v>
      </c>
      <c r="L798" s="1" t="s">
        <v>417</v>
      </c>
      <c r="M798" s="1" t="s">
        <v>5147</v>
      </c>
      <c r="N798" s="1">
        <v>0</v>
      </c>
      <c r="O798" s="1">
        <v>0</v>
      </c>
      <c r="P798" s="1" t="s">
        <v>211</v>
      </c>
      <c r="Q798" s="1" t="s">
        <v>184</v>
      </c>
      <c r="R798" s="1" t="s">
        <v>5148</v>
      </c>
      <c r="S798" s="1" t="s">
        <v>4403</v>
      </c>
      <c r="T798" s="1">
        <v>1</v>
      </c>
      <c r="U798" s="1">
        <v>1</v>
      </c>
      <c r="V798" s="1">
        <v>0</v>
      </c>
      <c r="W798" s="1">
        <v>0</v>
      </c>
      <c r="X798" s="1">
        <v>0</v>
      </c>
      <c r="Y798" s="1" t="s">
        <v>104</v>
      </c>
      <c r="Z798" s="1" t="s">
        <v>104</v>
      </c>
      <c r="AA798" s="1" t="s">
        <v>104</v>
      </c>
      <c r="AB798" s="1" t="s">
        <v>104</v>
      </c>
      <c r="AC798" s="1" t="s">
        <v>104</v>
      </c>
      <c r="AD798" s="1">
        <v>3</v>
      </c>
      <c r="AE798" s="1" t="s">
        <v>104</v>
      </c>
      <c r="AF798" s="1" t="s">
        <v>104</v>
      </c>
      <c r="AG798" s="1" t="s">
        <v>104</v>
      </c>
      <c r="AH798" s="1" t="s">
        <v>104</v>
      </c>
      <c r="AI798" s="1" t="s">
        <v>104</v>
      </c>
      <c r="AJ798" s="1" t="s">
        <v>104</v>
      </c>
      <c r="AK798" s="1" t="s">
        <v>104</v>
      </c>
      <c r="AL798" s="1" t="s">
        <v>104</v>
      </c>
      <c r="AM798" s="1" t="s">
        <v>104</v>
      </c>
      <c r="AO798" s="1">
        <v>3</v>
      </c>
      <c r="AQ798" s="1" t="s">
        <v>5149</v>
      </c>
      <c r="AR798" s="1">
        <v>0</v>
      </c>
      <c r="AS798" s="1">
        <v>0</v>
      </c>
      <c r="AT798" s="1">
        <v>0</v>
      </c>
      <c r="AU798" s="1">
        <v>0</v>
      </c>
      <c r="AV798" s="1">
        <v>0</v>
      </c>
      <c r="AW798" s="1">
        <v>0</v>
      </c>
      <c r="AX798" s="1">
        <v>0</v>
      </c>
      <c r="AY798" s="1">
        <v>0</v>
      </c>
      <c r="AZ798" s="1">
        <v>0</v>
      </c>
      <c r="BA798" s="1">
        <v>0</v>
      </c>
      <c r="BB798" s="1">
        <v>0</v>
      </c>
      <c r="BC798" s="1">
        <v>0</v>
      </c>
      <c r="BD798" s="1">
        <v>0</v>
      </c>
      <c r="BE798" s="1">
        <v>0</v>
      </c>
      <c r="BF798" s="1">
        <v>0</v>
      </c>
      <c r="BG798" s="1">
        <v>0</v>
      </c>
      <c r="BH798" s="1">
        <v>0</v>
      </c>
      <c r="BI798" s="1">
        <v>0</v>
      </c>
      <c r="BJ798" s="1">
        <v>0</v>
      </c>
      <c r="BK798" s="1">
        <v>0</v>
      </c>
      <c r="BL798" s="1">
        <v>0</v>
      </c>
      <c r="BM798" s="1">
        <v>0</v>
      </c>
      <c r="BN798" s="1">
        <v>0</v>
      </c>
      <c r="BO798" s="1">
        <v>0</v>
      </c>
      <c r="BP798" s="1">
        <v>0</v>
      </c>
      <c r="BQ798" s="2" t="str">
        <f>HYPERLINK("http://www.d20pfsrd.com/magic/all-spells/j/jester-s-jaunt","Jester's Jaunt")</f>
        <v>Jester's Jaunt</v>
      </c>
      <c r="BR798" s="1">
        <v>818</v>
      </c>
      <c r="BS798" s="1" t="s">
        <v>104</v>
      </c>
      <c r="BX798" s="1">
        <v>0</v>
      </c>
      <c r="BY798" s="1" t="s">
        <v>104</v>
      </c>
      <c r="BZ798" s="1" t="s">
        <v>104</v>
      </c>
      <c r="CA798" s="1" t="s">
        <v>104</v>
      </c>
      <c r="CB798" s="1" t="s">
        <v>104</v>
      </c>
      <c r="CC798" s="1">
        <v>3</v>
      </c>
      <c r="CD798" s="1" t="s">
        <v>104</v>
      </c>
      <c r="CE798" s="1" t="s">
        <v>104</v>
      </c>
      <c r="CF798" s="1" t="s">
        <v>104</v>
      </c>
      <c r="CG798" s="1" t="s">
        <v>104</v>
      </c>
      <c r="CH798" s="1" t="s">
        <v>104</v>
      </c>
      <c r="CJ798" s="1">
        <v>0</v>
      </c>
      <c r="CK798" s="1">
        <v>0</v>
      </c>
      <c r="CL798" s="1">
        <v>0</v>
      </c>
      <c r="CM798" s="1" t="s">
        <v>104</v>
      </c>
    </row>
    <row r="799" spans="1:91" ht="14.25" customHeight="1" x14ac:dyDescent="0.3">
      <c r="A799" s="1" t="s">
        <v>5150</v>
      </c>
      <c r="B799" s="1" t="s">
        <v>137</v>
      </c>
      <c r="E799" s="1" t="s">
        <v>5151</v>
      </c>
      <c r="F799" s="1" t="s">
        <v>95</v>
      </c>
      <c r="G799" s="1" t="s">
        <v>5152</v>
      </c>
      <c r="H799" s="1">
        <v>0</v>
      </c>
      <c r="I799" s="1" t="s">
        <v>128</v>
      </c>
      <c r="L799" s="1" t="s">
        <v>374</v>
      </c>
      <c r="M799" s="1" t="s">
        <v>4641</v>
      </c>
      <c r="N799" s="1">
        <v>1</v>
      </c>
      <c r="O799" s="1">
        <v>0</v>
      </c>
      <c r="P799" s="1" t="s">
        <v>375</v>
      </c>
      <c r="Q799" s="1" t="s">
        <v>131</v>
      </c>
      <c r="R799" s="1" t="s">
        <v>5153</v>
      </c>
      <c r="S799" s="1" t="s">
        <v>4403</v>
      </c>
      <c r="T799" s="1">
        <v>1</v>
      </c>
      <c r="U799" s="1">
        <v>0</v>
      </c>
      <c r="V799" s="1">
        <v>1</v>
      </c>
      <c r="W799" s="1">
        <v>0</v>
      </c>
      <c r="X799" s="1">
        <v>1</v>
      </c>
      <c r="Y799" s="1" t="s">
        <v>104</v>
      </c>
      <c r="Z799" s="1" t="s">
        <v>104</v>
      </c>
      <c r="AA799" s="1" t="s">
        <v>104</v>
      </c>
      <c r="AB799" s="1">
        <v>1</v>
      </c>
      <c r="AC799" s="1">
        <v>1</v>
      </c>
      <c r="AD799" s="1" t="s">
        <v>104</v>
      </c>
      <c r="AE799" s="1" t="s">
        <v>104</v>
      </c>
      <c r="AF799" s="1">
        <v>1</v>
      </c>
      <c r="AG799" s="1" t="s">
        <v>104</v>
      </c>
      <c r="AH799" s="1" t="s">
        <v>104</v>
      </c>
      <c r="AI799" s="1" t="s">
        <v>104</v>
      </c>
      <c r="AJ799" s="1" t="s">
        <v>104</v>
      </c>
      <c r="AK799" s="1" t="s">
        <v>104</v>
      </c>
      <c r="AL799" s="1" t="s">
        <v>104</v>
      </c>
      <c r="AM799" s="1" t="s">
        <v>104</v>
      </c>
      <c r="AO799" s="1">
        <v>1</v>
      </c>
      <c r="AQ799" s="1" t="s">
        <v>5154</v>
      </c>
      <c r="AR799" s="1">
        <v>0</v>
      </c>
      <c r="AS799" s="1">
        <v>0</v>
      </c>
      <c r="AT799" s="1">
        <v>0</v>
      </c>
      <c r="AU799" s="1">
        <v>0</v>
      </c>
      <c r="AV799" s="1">
        <v>0</v>
      </c>
      <c r="AW799" s="1">
        <v>0</v>
      </c>
      <c r="AX799" s="1">
        <v>0</v>
      </c>
      <c r="AY799" s="1">
        <v>0</v>
      </c>
      <c r="AZ799" s="1">
        <v>0</v>
      </c>
      <c r="BA799" s="1">
        <v>0</v>
      </c>
      <c r="BB799" s="1">
        <v>0</v>
      </c>
      <c r="BC799" s="1">
        <v>0</v>
      </c>
      <c r="BD799" s="1">
        <v>0</v>
      </c>
      <c r="BE799" s="1">
        <v>0</v>
      </c>
      <c r="BF799" s="1">
        <v>0</v>
      </c>
      <c r="BG799" s="1">
        <v>0</v>
      </c>
      <c r="BH799" s="1">
        <v>0</v>
      </c>
      <c r="BI799" s="1">
        <v>0</v>
      </c>
      <c r="BJ799" s="1">
        <v>0</v>
      </c>
      <c r="BK799" s="1">
        <v>0</v>
      </c>
      <c r="BL799" s="1">
        <v>0</v>
      </c>
      <c r="BM799" s="1">
        <v>0</v>
      </c>
      <c r="BN799" s="1">
        <v>0</v>
      </c>
      <c r="BO799" s="1">
        <v>0</v>
      </c>
      <c r="BP799" s="1">
        <v>0</v>
      </c>
      <c r="BQ799" s="2" t="str">
        <f>HYPERLINK("http://www.d20pfsrd.com/magic/all-spells/k/keen-senses","Keen Senses")</f>
        <v>Keen Senses</v>
      </c>
      <c r="BR799" s="1">
        <v>819</v>
      </c>
      <c r="BS799" s="1" t="s">
        <v>104</v>
      </c>
      <c r="BX799" s="1">
        <v>0</v>
      </c>
      <c r="BY799" s="1" t="s">
        <v>104</v>
      </c>
      <c r="BZ799" s="1" t="s">
        <v>104</v>
      </c>
      <c r="CA799" s="1" t="s">
        <v>104</v>
      </c>
      <c r="CB799" s="1" t="s">
        <v>104</v>
      </c>
      <c r="CC799" s="1" t="s">
        <v>104</v>
      </c>
      <c r="CD799" s="1">
        <v>1</v>
      </c>
      <c r="CE799" s="1" t="s">
        <v>104</v>
      </c>
      <c r="CF799" s="1" t="s">
        <v>104</v>
      </c>
      <c r="CG799" s="1" t="s">
        <v>104</v>
      </c>
      <c r="CH799" s="1">
        <v>1</v>
      </c>
      <c r="CJ799" s="1">
        <v>0</v>
      </c>
      <c r="CK799" s="1">
        <v>0</v>
      </c>
      <c r="CL799" s="1">
        <v>0</v>
      </c>
      <c r="CM799" s="1" t="s">
        <v>104</v>
      </c>
    </row>
    <row r="800" spans="1:91" ht="14.25" customHeight="1" x14ac:dyDescent="0.3">
      <c r="A800" s="1" t="s">
        <v>5155</v>
      </c>
      <c r="B800" s="1" t="s">
        <v>92</v>
      </c>
      <c r="C800" s="1" t="s">
        <v>1160</v>
      </c>
      <c r="E800" s="1" t="s">
        <v>2036</v>
      </c>
      <c r="F800" s="1" t="s">
        <v>95</v>
      </c>
      <c r="G800" s="1" t="s">
        <v>127</v>
      </c>
      <c r="H800" s="1">
        <v>0</v>
      </c>
      <c r="I800" s="1" t="s">
        <v>117</v>
      </c>
      <c r="L800" s="1" t="s">
        <v>1065</v>
      </c>
      <c r="M800" s="1" t="s">
        <v>119</v>
      </c>
      <c r="N800" s="1">
        <v>0</v>
      </c>
      <c r="O800" s="1">
        <v>0</v>
      </c>
      <c r="P800" s="1" t="s">
        <v>375</v>
      </c>
      <c r="Q800" s="1" t="s">
        <v>131</v>
      </c>
      <c r="R800" s="1" t="s">
        <v>5156</v>
      </c>
      <c r="S800" s="1" t="s">
        <v>4403</v>
      </c>
      <c r="T800" s="1">
        <v>1</v>
      </c>
      <c r="U800" s="1">
        <v>1</v>
      </c>
      <c r="V800" s="1">
        <v>0</v>
      </c>
      <c r="W800" s="1">
        <v>0</v>
      </c>
      <c r="X800" s="1">
        <v>1</v>
      </c>
      <c r="Y800" s="1" t="s">
        <v>104</v>
      </c>
      <c r="Z800" s="1" t="s">
        <v>104</v>
      </c>
      <c r="AA800" s="1" t="s">
        <v>104</v>
      </c>
      <c r="AB800" s="1" t="s">
        <v>104</v>
      </c>
      <c r="AC800" s="1" t="s">
        <v>104</v>
      </c>
      <c r="AD800" s="1" t="s">
        <v>104</v>
      </c>
      <c r="AE800" s="1">
        <v>4</v>
      </c>
      <c r="AF800" s="1" t="s">
        <v>104</v>
      </c>
      <c r="AG800" s="1" t="s">
        <v>104</v>
      </c>
      <c r="AH800" s="1" t="s">
        <v>104</v>
      </c>
      <c r="AI800" s="1" t="s">
        <v>104</v>
      </c>
      <c r="AJ800" s="1" t="s">
        <v>104</v>
      </c>
      <c r="AK800" s="1" t="s">
        <v>104</v>
      </c>
      <c r="AL800" s="1" t="s">
        <v>104</v>
      </c>
      <c r="AM800" s="1" t="s">
        <v>104</v>
      </c>
      <c r="AO800" s="1">
        <v>4</v>
      </c>
      <c r="AQ800" s="1" t="s">
        <v>5157</v>
      </c>
      <c r="AR800" s="1">
        <v>0</v>
      </c>
      <c r="AS800" s="1">
        <v>0</v>
      </c>
      <c r="AT800" s="1">
        <v>0</v>
      </c>
      <c r="AU800" s="1">
        <v>0</v>
      </c>
      <c r="AV800" s="1">
        <v>0</v>
      </c>
      <c r="AW800" s="1">
        <v>0</v>
      </c>
      <c r="AX800" s="1">
        <v>0</v>
      </c>
      <c r="AY800" s="1">
        <v>0</v>
      </c>
      <c r="AZ800" s="1">
        <v>0</v>
      </c>
      <c r="BA800" s="1">
        <v>0</v>
      </c>
      <c r="BB800" s="1">
        <v>0</v>
      </c>
      <c r="BC800" s="1">
        <v>0</v>
      </c>
      <c r="BD800" s="1">
        <v>0</v>
      </c>
      <c r="BE800" s="1">
        <v>0</v>
      </c>
      <c r="BF800" s="1">
        <v>0</v>
      </c>
      <c r="BG800" s="1">
        <v>0</v>
      </c>
      <c r="BH800" s="1">
        <v>0</v>
      </c>
      <c r="BI800" s="1">
        <v>0</v>
      </c>
      <c r="BJ800" s="1">
        <v>0</v>
      </c>
      <c r="BK800" s="1">
        <v>0</v>
      </c>
      <c r="BL800" s="1">
        <v>0</v>
      </c>
      <c r="BM800" s="1">
        <v>0</v>
      </c>
      <c r="BN800" s="1">
        <v>0</v>
      </c>
      <c r="BO800" s="1">
        <v>0</v>
      </c>
      <c r="BP800" s="1">
        <v>0</v>
      </c>
      <c r="BQ800" s="2" t="str">
        <f>HYPERLINK("http://www.d20pfsrd.com/magic/all-spells/k/king-s-castle","King's Castle")</f>
        <v>King's Castle</v>
      </c>
      <c r="BR800" s="1">
        <v>820</v>
      </c>
      <c r="BS800" s="1" t="s">
        <v>104</v>
      </c>
      <c r="BX800" s="1">
        <v>0</v>
      </c>
      <c r="BY800" s="1" t="s">
        <v>104</v>
      </c>
      <c r="BZ800" s="1" t="s">
        <v>104</v>
      </c>
      <c r="CA800" s="1" t="s">
        <v>104</v>
      </c>
      <c r="CB800" s="1" t="s">
        <v>104</v>
      </c>
      <c r="CC800" s="1" t="s">
        <v>104</v>
      </c>
      <c r="CD800" s="1" t="s">
        <v>104</v>
      </c>
      <c r="CE800" s="1" t="s">
        <v>104</v>
      </c>
      <c r="CF800" s="1" t="s">
        <v>104</v>
      </c>
      <c r="CG800" s="1" t="s">
        <v>104</v>
      </c>
      <c r="CH800" s="1" t="s">
        <v>104</v>
      </c>
      <c r="CJ800" s="1">
        <v>0</v>
      </c>
      <c r="CK800" s="1">
        <v>0</v>
      </c>
      <c r="CL800" s="1">
        <v>0</v>
      </c>
      <c r="CM800" s="1" t="s">
        <v>104</v>
      </c>
    </row>
    <row r="801" spans="1:91" ht="14.25" customHeight="1" x14ac:dyDescent="0.3">
      <c r="A801" s="1" t="s">
        <v>5158</v>
      </c>
      <c r="B801" s="1" t="s">
        <v>123</v>
      </c>
      <c r="C801" s="1" t="s">
        <v>124</v>
      </c>
      <c r="D801" s="1" t="s">
        <v>125</v>
      </c>
      <c r="E801" s="1" t="s">
        <v>478</v>
      </c>
      <c r="F801" s="1" t="s">
        <v>95</v>
      </c>
      <c r="G801" s="1" t="s">
        <v>4639</v>
      </c>
      <c r="H801" s="1">
        <v>0</v>
      </c>
      <c r="I801" s="1" t="s">
        <v>117</v>
      </c>
      <c r="L801" s="1" t="s">
        <v>1065</v>
      </c>
      <c r="M801" s="1" t="s">
        <v>255</v>
      </c>
      <c r="N801" s="1">
        <v>0</v>
      </c>
      <c r="O801" s="1">
        <v>0</v>
      </c>
      <c r="P801" s="1" t="s">
        <v>211</v>
      </c>
      <c r="Q801" s="1" t="s">
        <v>184</v>
      </c>
      <c r="R801" s="1" t="s">
        <v>5159</v>
      </c>
      <c r="S801" s="1" t="s">
        <v>4403</v>
      </c>
      <c r="T801" s="1">
        <v>1</v>
      </c>
      <c r="U801" s="1">
        <v>0</v>
      </c>
      <c r="V801" s="1">
        <v>0</v>
      </c>
      <c r="W801" s="1">
        <v>0</v>
      </c>
      <c r="X801" s="1">
        <v>1</v>
      </c>
      <c r="Y801" s="1" t="s">
        <v>104</v>
      </c>
      <c r="Z801" s="1" t="s">
        <v>104</v>
      </c>
      <c r="AA801" s="1" t="s">
        <v>104</v>
      </c>
      <c r="AB801" s="1" t="s">
        <v>104</v>
      </c>
      <c r="AC801" s="1" t="s">
        <v>104</v>
      </c>
      <c r="AD801" s="1" t="s">
        <v>104</v>
      </c>
      <c r="AE801" s="1">
        <v>1</v>
      </c>
      <c r="AF801" s="1" t="s">
        <v>104</v>
      </c>
      <c r="AG801" s="1" t="s">
        <v>104</v>
      </c>
      <c r="AH801" s="1" t="s">
        <v>104</v>
      </c>
      <c r="AI801" s="1" t="s">
        <v>104</v>
      </c>
      <c r="AJ801" s="1" t="s">
        <v>104</v>
      </c>
      <c r="AK801" s="1" t="s">
        <v>104</v>
      </c>
      <c r="AL801" s="1" t="s">
        <v>104</v>
      </c>
      <c r="AM801" s="1" t="s">
        <v>104</v>
      </c>
      <c r="AO801" s="1">
        <v>1</v>
      </c>
      <c r="AQ801" s="1" t="s">
        <v>5160</v>
      </c>
      <c r="AR801" s="1">
        <v>0</v>
      </c>
      <c r="AS801" s="1">
        <v>0</v>
      </c>
      <c r="AT801" s="1">
        <v>0</v>
      </c>
      <c r="AU801" s="1">
        <v>0</v>
      </c>
      <c r="AV801" s="1">
        <v>0</v>
      </c>
      <c r="AW801" s="1">
        <v>0</v>
      </c>
      <c r="AX801" s="1">
        <v>0</v>
      </c>
      <c r="AY801" s="1">
        <v>0</v>
      </c>
      <c r="AZ801" s="1">
        <v>0</v>
      </c>
      <c r="BA801" s="1">
        <v>0</v>
      </c>
      <c r="BB801" s="1">
        <v>0</v>
      </c>
      <c r="BC801" s="1">
        <v>0</v>
      </c>
      <c r="BD801" s="1">
        <v>0</v>
      </c>
      <c r="BE801" s="1">
        <v>0</v>
      </c>
      <c r="BF801" s="1">
        <v>0</v>
      </c>
      <c r="BG801" s="1">
        <v>0</v>
      </c>
      <c r="BH801" s="1">
        <v>0</v>
      </c>
      <c r="BI801" s="1">
        <v>0</v>
      </c>
      <c r="BJ801" s="1">
        <v>0</v>
      </c>
      <c r="BK801" s="1">
        <v>1</v>
      </c>
      <c r="BL801" s="1">
        <v>0</v>
      </c>
      <c r="BM801" s="1">
        <v>0</v>
      </c>
      <c r="BN801" s="1">
        <v>0</v>
      </c>
      <c r="BO801" s="1">
        <v>0</v>
      </c>
      <c r="BP801" s="1">
        <v>0</v>
      </c>
      <c r="BQ801" s="2" t="str">
        <f>HYPERLINK("http://www.d20pfsrd.com/magic/all-spells/k/knight-s-calling","Knight's Calling")</f>
        <v>Knight's Calling</v>
      </c>
      <c r="BR801" s="1">
        <v>821</v>
      </c>
      <c r="BS801" s="1" t="s">
        <v>104</v>
      </c>
      <c r="BX801" s="1">
        <v>0</v>
      </c>
      <c r="BY801" s="1" t="s">
        <v>104</v>
      </c>
      <c r="BZ801" s="1" t="s">
        <v>104</v>
      </c>
      <c r="CA801" s="1" t="s">
        <v>104</v>
      </c>
      <c r="CB801" s="1" t="s">
        <v>104</v>
      </c>
      <c r="CC801" s="1" t="s">
        <v>104</v>
      </c>
      <c r="CD801" s="1" t="s">
        <v>104</v>
      </c>
      <c r="CE801" s="1" t="s">
        <v>104</v>
      </c>
      <c r="CF801" s="1" t="s">
        <v>104</v>
      </c>
      <c r="CG801" s="1" t="s">
        <v>104</v>
      </c>
      <c r="CH801" s="1" t="s">
        <v>104</v>
      </c>
      <c r="CJ801" s="1">
        <v>0</v>
      </c>
      <c r="CK801" s="1">
        <v>0</v>
      </c>
      <c r="CL801" s="1">
        <v>0</v>
      </c>
      <c r="CM801" s="1" t="s">
        <v>104</v>
      </c>
    </row>
    <row r="802" spans="1:91" ht="14.25" customHeight="1" x14ac:dyDescent="0.3">
      <c r="A802" s="1" t="s">
        <v>5161</v>
      </c>
      <c r="B802" s="1" t="s">
        <v>137</v>
      </c>
      <c r="E802" s="1" t="s">
        <v>5162</v>
      </c>
      <c r="F802" s="1" t="s">
        <v>95</v>
      </c>
      <c r="G802" s="1" t="s">
        <v>116</v>
      </c>
      <c r="H802" s="1">
        <v>0</v>
      </c>
      <c r="I802" s="1" t="s">
        <v>157</v>
      </c>
      <c r="L802" s="1" t="s">
        <v>128</v>
      </c>
      <c r="M802" s="1" t="s">
        <v>4641</v>
      </c>
      <c r="N802" s="1">
        <v>1</v>
      </c>
      <c r="O802" s="1">
        <v>0</v>
      </c>
      <c r="R802" s="1" t="s">
        <v>5163</v>
      </c>
      <c r="S802" s="1" t="s">
        <v>4403</v>
      </c>
      <c r="T802" s="1">
        <v>1</v>
      </c>
      <c r="U802" s="1">
        <v>1</v>
      </c>
      <c r="V802" s="1">
        <v>0</v>
      </c>
      <c r="W802" s="1">
        <v>0</v>
      </c>
      <c r="X802" s="1">
        <v>0</v>
      </c>
      <c r="Y802" s="1" t="s">
        <v>104</v>
      </c>
      <c r="Z802" s="1" t="s">
        <v>104</v>
      </c>
      <c r="AA802" s="1" t="s">
        <v>104</v>
      </c>
      <c r="AB802" s="1" t="s">
        <v>104</v>
      </c>
      <c r="AC802" s="1">
        <v>1</v>
      </c>
      <c r="AD802" s="1" t="s">
        <v>104</v>
      </c>
      <c r="AE802" s="1" t="s">
        <v>104</v>
      </c>
      <c r="AF802" s="1" t="s">
        <v>104</v>
      </c>
      <c r="AG802" s="1" t="s">
        <v>104</v>
      </c>
      <c r="AH802" s="1" t="s">
        <v>104</v>
      </c>
      <c r="AI802" s="1" t="s">
        <v>104</v>
      </c>
      <c r="AJ802" s="1" t="s">
        <v>104</v>
      </c>
      <c r="AK802" s="1" t="s">
        <v>104</v>
      </c>
      <c r="AL802" s="1" t="s">
        <v>104</v>
      </c>
      <c r="AM802" s="1" t="s">
        <v>104</v>
      </c>
      <c r="AO802" s="1">
        <v>1</v>
      </c>
      <c r="AQ802" s="1" t="s">
        <v>5164</v>
      </c>
      <c r="AR802" s="1">
        <v>0</v>
      </c>
      <c r="AS802" s="1">
        <v>0</v>
      </c>
      <c r="AT802" s="1">
        <v>0</v>
      </c>
      <c r="AU802" s="1">
        <v>0</v>
      </c>
      <c r="AV802" s="1">
        <v>0</v>
      </c>
      <c r="AW802" s="1">
        <v>0</v>
      </c>
      <c r="AX802" s="1">
        <v>0</v>
      </c>
      <c r="AY802" s="1">
        <v>0</v>
      </c>
      <c r="AZ802" s="1">
        <v>0</v>
      </c>
      <c r="BA802" s="1">
        <v>0</v>
      </c>
      <c r="BB802" s="1">
        <v>0</v>
      </c>
      <c r="BC802" s="1">
        <v>0</v>
      </c>
      <c r="BD802" s="1">
        <v>0</v>
      </c>
      <c r="BE802" s="1">
        <v>0</v>
      </c>
      <c r="BF802" s="1">
        <v>0</v>
      </c>
      <c r="BG802" s="1">
        <v>0</v>
      </c>
      <c r="BH802" s="1">
        <v>0</v>
      </c>
      <c r="BI802" s="1">
        <v>0</v>
      </c>
      <c r="BJ802" s="1">
        <v>0</v>
      </c>
      <c r="BK802" s="1">
        <v>0</v>
      </c>
      <c r="BL802" s="1">
        <v>0</v>
      </c>
      <c r="BM802" s="1">
        <v>0</v>
      </c>
      <c r="BN802" s="1">
        <v>0</v>
      </c>
      <c r="BO802" s="1">
        <v>0</v>
      </c>
      <c r="BP802" s="1">
        <v>0</v>
      </c>
      <c r="BQ802" s="2" t="str">
        <f>HYPERLINK("http://www.d20pfsrd.com/magic/all-spells/l/lead-blades","Lead Blades")</f>
        <v>Lead Blades</v>
      </c>
      <c r="BR802" s="1">
        <v>822</v>
      </c>
      <c r="BS802" s="1" t="s">
        <v>104</v>
      </c>
      <c r="BX802" s="1">
        <v>0</v>
      </c>
      <c r="BY802" s="1" t="s">
        <v>104</v>
      </c>
      <c r="BZ802" s="1" t="s">
        <v>104</v>
      </c>
      <c r="CA802" s="1" t="s">
        <v>104</v>
      </c>
      <c r="CB802" s="1" t="s">
        <v>104</v>
      </c>
      <c r="CC802" s="1" t="s">
        <v>104</v>
      </c>
      <c r="CD802" s="1">
        <v>1</v>
      </c>
      <c r="CE802" s="1" t="s">
        <v>104</v>
      </c>
      <c r="CF802" s="1" t="s">
        <v>104</v>
      </c>
      <c r="CG802" s="1" t="s">
        <v>104</v>
      </c>
      <c r="CH802" s="1">
        <v>1</v>
      </c>
      <c r="CJ802" s="1">
        <v>0</v>
      </c>
      <c r="CK802" s="1">
        <v>0</v>
      </c>
      <c r="CL802" s="1">
        <v>0</v>
      </c>
      <c r="CM802" s="1" t="s">
        <v>104</v>
      </c>
    </row>
    <row r="803" spans="1:91" ht="14.25" customHeight="1" x14ac:dyDescent="0.3">
      <c r="A803" s="1" t="s">
        <v>5165</v>
      </c>
      <c r="B803" s="1" t="s">
        <v>162</v>
      </c>
      <c r="E803" s="1" t="s">
        <v>5166</v>
      </c>
      <c r="F803" s="1" t="s">
        <v>95</v>
      </c>
      <c r="G803" s="1" t="s">
        <v>5167</v>
      </c>
      <c r="H803" s="1">
        <v>0</v>
      </c>
      <c r="I803" s="1" t="s">
        <v>128</v>
      </c>
      <c r="L803" s="1" t="s">
        <v>5143</v>
      </c>
      <c r="M803" s="1" t="s">
        <v>4081</v>
      </c>
      <c r="N803" s="1">
        <v>0</v>
      </c>
      <c r="O803" s="1">
        <v>0</v>
      </c>
      <c r="P803" s="1" t="s">
        <v>375</v>
      </c>
      <c r="Q803" s="1" t="s">
        <v>131</v>
      </c>
      <c r="R803" s="1" t="s">
        <v>5168</v>
      </c>
      <c r="S803" s="1" t="s">
        <v>4403</v>
      </c>
      <c r="T803" s="1">
        <v>1</v>
      </c>
      <c r="U803" s="1">
        <v>1</v>
      </c>
      <c r="V803" s="1">
        <v>1</v>
      </c>
      <c r="W803" s="1">
        <v>0</v>
      </c>
      <c r="X803" s="1">
        <v>1</v>
      </c>
      <c r="Y803" s="1">
        <v>5</v>
      </c>
      <c r="Z803" s="1">
        <v>5</v>
      </c>
      <c r="AA803" s="1">
        <v>5</v>
      </c>
      <c r="AB803" s="1">
        <v>4</v>
      </c>
      <c r="AC803" s="1">
        <v>3</v>
      </c>
      <c r="AD803" s="1" t="s">
        <v>104</v>
      </c>
      <c r="AE803" s="1" t="s">
        <v>104</v>
      </c>
      <c r="AF803" s="1" t="s">
        <v>104</v>
      </c>
      <c r="AG803" s="1" t="s">
        <v>104</v>
      </c>
      <c r="AH803" s="1" t="s">
        <v>104</v>
      </c>
      <c r="AI803" s="1" t="s">
        <v>104</v>
      </c>
      <c r="AJ803" s="1">
        <v>5</v>
      </c>
      <c r="AK803" s="1" t="s">
        <v>104</v>
      </c>
      <c r="AL803" s="1" t="s">
        <v>104</v>
      </c>
      <c r="AM803" s="1" t="s">
        <v>104</v>
      </c>
      <c r="AO803" s="1">
        <v>5</v>
      </c>
      <c r="AQ803" s="1" t="s">
        <v>5169</v>
      </c>
      <c r="AR803" s="1">
        <v>0</v>
      </c>
      <c r="AS803" s="1">
        <v>0</v>
      </c>
      <c r="AT803" s="1">
        <v>0</v>
      </c>
      <c r="AU803" s="1">
        <v>0</v>
      </c>
      <c r="AV803" s="1">
        <v>0</v>
      </c>
      <c r="AW803" s="1">
        <v>0</v>
      </c>
      <c r="AX803" s="1">
        <v>0</v>
      </c>
      <c r="AY803" s="1">
        <v>0</v>
      </c>
      <c r="AZ803" s="1">
        <v>0</v>
      </c>
      <c r="BA803" s="1">
        <v>0</v>
      </c>
      <c r="BB803" s="1">
        <v>0</v>
      </c>
      <c r="BC803" s="1">
        <v>0</v>
      </c>
      <c r="BD803" s="1">
        <v>0</v>
      </c>
      <c r="BE803" s="1">
        <v>0</v>
      </c>
      <c r="BF803" s="1">
        <v>0</v>
      </c>
      <c r="BG803" s="1">
        <v>0</v>
      </c>
      <c r="BH803" s="1">
        <v>0</v>
      </c>
      <c r="BI803" s="1">
        <v>0</v>
      </c>
      <c r="BJ803" s="1">
        <v>0</v>
      </c>
      <c r="BK803" s="1">
        <v>0</v>
      </c>
      <c r="BL803" s="1">
        <v>0</v>
      </c>
      <c r="BM803" s="1">
        <v>0</v>
      </c>
      <c r="BN803" s="1">
        <v>0</v>
      </c>
      <c r="BO803" s="1">
        <v>0</v>
      </c>
      <c r="BP803" s="1">
        <v>0</v>
      </c>
      <c r="BQ803" s="2" t="str">
        <f>HYPERLINK("http://www.d20pfsrd.com/magic/all-spells/l/life-bubble","Life Bubble")</f>
        <v>Life Bubble</v>
      </c>
      <c r="BR803" s="1">
        <v>823</v>
      </c>
      <c r="BS803" s="1" t="s">
        <v>104</v>
      </c>
      <c r="BX803" s="1">
        <v>0</v>
      </c>
      <c r="BY803" s="1" t="s">
        <v>104</v>
      </c>
      <c r="BZ803" s="1" t="s">
        <v>104</v>
      </c>
      <c r="CA803" s="1">
        <v>5</v>
      </c>
      <c r="CB803" s="1" t="s">
        <v>104</v>
      </c>
      <c r="CC803" s="1" t="s">
        <v>104</v>
      </c>
      <c r="CD803" s="1">
        <v>4</v>
      </c>
      <c r="CE803" s="1" t="s">
        <v>104</v>
      </c>
      <c r="CF803" s="1" t="s">
        <v>104</v>
      </c>
      <c r="CG803" s="1" t="s">
        <v>104</v>
      </c>
      <c r="CH803" s="1">
        <v>3</v>
      </c>
      <c r="CJ803" s="1">
        <v>0</v>
      </c>
      <c r="CK803" s="1">
        <v>0</v>
      </c>
      <c r="CL803" s="1">
        <v>0</v>
      </c>
      <c r="CM803" s="1" t="s">
        <v>104</v>
      </c>
    </row>
    <row r="804" spans="1:91" ht="14.25" customHeight="1" x14ac:dyDescent="0.3">
      <c r="A804" s="1" t="s">
        <v>5170</v>
      </c>
      <c r="B804" s="1" t="s">
        <v>434</v>
      </c>
      <c r="D804" s="1" t="s">
        <v>5171</v>
      </c>
      <c r="E804" s="1" t="s">
        <v>4471</v>
      </c>
      <c r="F804" s="1" t="s">
        <v>95</v>
      </c>
      <c r="G804" s="1" t="s">
        <v>116</v>
      </c>
      <c r="H804" s="1">
        <v>0</v>
      </c>
      <c r="I804" s="1" t="s">
        <v>157</v>
      </c>
      <c r="K804" s="1" t="s">
        <v>5172</v>
      </c>
      <c r="M804" s="1" t="s">
        <v>5173</v>
      </c>
      <c r="N804" s="1">
        <v>1</v>
      </c>
      <c r="O804" s="1">
        <v>0</v>
      </c>
      <c r="R804" s="1" t="s">
        <v>5174</v>
      </c>
      <c r="S804" s="1" t="s">
        <v>4403</v>
      </c>
      <c r="T804" s="1">
        <v>1</v>
      </c>
      <c r="U804" s="1">
        <v>1</v>
      </c>
      <c r="V804" s="1">
        <v>0</v>
      </c>
      <c r="W804" s="1">
        <v>0</v>
      </c>
      <c r="X804" s="1">
        <v>0</v>
      </c>
      <c r="Y804" s="1" t="s">
        <v>104</v>
      </c>
      <c r="Z804" s="1" t="s">
        <v>104</v>
      </c>
      <c r="AA804" s="1" t="s">
        <v>104</v>
      </c>
      <c r="AB804" s="1" t="s">
        <v>104</v>
      </c>
      <c r="AC804" s="1" t="s">
        <v>104</v>
      </c>
      <c r="AD804" s="1" t="s">
        <v>104</v>
      </c>
      <c r="AE804" s="1">
        <v>2</v>
      </c>
      <c r="AF804" s="1" t="s">
        <v>104</v>
      </c>
      <c r="AG804" s="1" t="s">
        <v>104</v>
      </c>
      <c r="AH804" s="1" t="s">
        <v>104</v>
      </c>
      <c r="AI804" s="1" t="s">
        <v>104</v>
      </c>
      <c r="AJ804" s="1" t="s">
        <v>104</v>
      </c>
      <c r="AK804" s="1" t="s">
        <v>104</v>
      </c>
      <c r="AL804" s="1" t="s">
        <v>104</v>
      </c>
      <c r="AM804" s="1" t="s">
        <v>104</v>
      </c>
      <c r="AO804" s="1">
        <v>2</v>
      </c>
      <c r="AQ804" s="1" t="s">
        <v>5175</v>
      </c>
      <c r="AR804" s="1">
        <v>0</v>
      </c>
      <c r="AS804" s="1">
        <v>0</v>
      </c>
      <c r="AT804" s="1">
        <v>0</v>
      </c>
      <c r="AU804" s="1">
        <v>0</v>
      </c>
      <c r="AV804" s="1">
        <v>0</v>
      </c>
      <c r="AW804" s="1">
        <v>0</v>
      </c>
      <c r="AX804" s="1">
        <v>0</v>
      </c>
      <c r="AY804" s="1">
        <v>0</v>
      </c>
      <c r="AZ804" s="1">
        <v>0</v>
      </c>
      <c r="BA804" s="1">
        <v>0</v>
      </c>
      <c r="BB804" s="1">
        <v>0</v>
      </c>
      <c r="BC804" s="1">
        <v>0</v>
      </c>
      <c r="BD804" s="1">
        <v>0</v>
      </c>
      <c r="BE804" s="1">
        <v>0</v>
      </c>
      <c r="BF804" s="1">
        <v>0</v>
      </c>
      <c r="BG804" s="1">
        <v>1</v>
      </c>
      <c r="BH804" s="1">
        <v>0</v>
      </c>
      <c r="BI804" s="1">
        <v>0</v>
      </c>
      <c r="BJ804" s="1">
        <v>1</v>
      </c>
      <c r="BK804" s="1">
        <v>0</v>
      </c>
      <c r="BL804" s="1">
        <v>0</v>
      </c>
      <c r="BM804" s="1">
        <v>0</v>
      </c>
      <c r="BN804" s="1">
        <v>0</v>
      </c>
      <c r="BO804" s="1">
        <v>0</v>
      </c>
      <c r="BP804" s="1">
        <v>0</v>
      </c>
      <c r="BQ804" s="2" t="str">
        <f>HYPERLINK("http://www.d20pfsrd.com/magic/all-spells/l/light-lance","Light Lance")</f>
        <v>Light Lance</v>
      </c>
      <c r="BR804" s="1">
        <v>824</v>
      </c>
      <c r="BS804" s="1" t="s">
        <v>104</v>
      </c>
      <c r="BX804" s="1">
        <v>0</v>
      </c>
      <c r="BY804" s="1" t="s">
        <v>104</v>
      </c>
      <c r="BZ804" s="1" t="s">
        <v>104</v>
      </c>
      <c r="CA804" s="1" t="s">
        <v>104</v>
      </c>
      <c r="CB804" s="1" t="s">
        <v>104</v>
      </c>
      <c r="CC804" s="1" t="s">
        <v>104</v>
      </c>
      <c r="CD804" s="1" t="s">
        <v>104</v>
      </c>
      <c r="CE804" s="1" t="s">
        <v>104</v>
      </c>
      <c r="CF804" s="1" t="s">
        <v>104</v>
      </c>
      <c r="CG804" s="1" t="s">
        <v>104</v>
      </c>
      <c r="CH804" s="1" t="s">
        <v>104</v>
      </c>
      <c r="CJ804" s="1">
        <v>0</v>
      </c>
      <c r="CK804" s="1">
        <v>0</v>
      </c>
      <c r="CL804" s="1">
        <v>0</v>
      </c>
      <c r="CM804" s="1" t="s">
        <v>104</v>
      </c>
    </row>
    <row r="805" spans="1:91" ht="14.25" customHeight="1" x14ac:dyDescent="0.3">
      <c r="A805" s="1" t="s">
        <v>5176</v>
      </c>
      <c r="B805" s="1" t="s">
        <v>137</v>
      </c>
      <c r="E805" s="1" t="s">
        <v>2967</v>
      </c>
      <c r="F805" s="1" t="s">
        <v>95</v>
      </c>
      <c r="G805" s="1" t="s">
        <v>5177</v>
      </c>
      <c r="H805" s="1">
        <v>0</v>
      </c>
      <c r="I805" s="1" t="s">
        <v>97</v>
      </c>
      <c r="K805" s="1" t="s">
        <v>5178</v>
      </c>
      <c r="M805" s="1" t="s">
        <v>5179</v>
      </c>
      <c r="N805" s="1">
        <v>1</v>
      </c>
      <c r="O805" s="1">
        <v>0</v>
      </c>
      <c r="P805" s="1" t="s">
        <v>100</v>
      </c>
      <c r="Q805" s="1" t="s">
        <v>101</v>
      </c>
      <c r="R805" s="1" t="s">
        <v>5180</v>
      </c>
      <c r="S805" s="1" t="s">
        <v>4403</v>
      </c>
      <c r="T805" s="1">
        <v>1</v>
      </c>
      <c r="U805" s="1">
        <v>1</v>
      </c>
      <c r="V805" s="1">
        <v>1</v>
      </c>
      <c r="W805" s="1">
        <v>0</v>
      </c>
      <c r="X805" s="1">
        <v>0</v>
      </c>
      <c r="Y805" s="1" t="s">
        <v>104</v>
      </c>
      <c r="Z805" s="1" t="s">
        <v>104</v>
      </c>
      <c r="AA805" s="1" t="s">
        <v>104</v>
      </c>
      <c r="AB805" s="1">
        <v>3</v>
      </c>
      <c r="AC805" s="1" t="s">
        <v>104</v>
      </c>
      <c r="AD805" s="1" t="s">
        <v>104</v>
      </c>
      <c r="AE805" s="1" t="s">
        <v>104</v>
      </c>
      <c r="AF805" s="1" t="s">
        <v>104</v>
      </c>
      <c r="AG805" s="1" t="s">
        <v>104</v>
      </c>
      <c r="AH805" s="1" t="s">
        <v>104</v>
      </c>
      <c r="AI805" s="1" t="s">
        <v>104</v>
      </c>
      <c r="AJ805" s="1" t="s">
        <v>104</v>
      </c>
      <c r="AK805" s="1" t="s">
        <v>104</v>
      </c>
      <c r="AL805" s="1" t="s">
        <v>104</v>
      </c>
      <c r="AM805" s="1" t="s">
        <v>104</v>
      </c>
      <c r="AO805" s="1">
        <v>3</v>
      </c>
      <c r="AQ805" s="1" t="s">
        <v>5181</v>
      </c>
      <c r="AR805" s="1">
        <v>0</v>
      </c>
      <c r="AS805" s="1">
        <v>0</v>
      </c>
      <c r="AT805" s="1">
        <v>0</v>
      </c>
      <c r="AU805" s="1">
        <v>0</v>
      </c>
      <c r="AV805" s="1">
        <v>0</v>
      </c>
      <c r="AW805" s="1">
        <v>0</v>
      </c>
      <c r="AX805" s="1">
        <v>0</v>
      </c>
      <c r="AY805" s="1">
        <v>0</v>
      </c>
      <c r="AZ805" s="1">
        <v>0</v>
      </c>
      <c r="BA805" s="1">
        <v>0</v>
      </c>
      <c r="BB805" s="1">
        <v>0</v>
      </c>
      <c r="BC805" s="1">
        <v>0</v>
      </c>
      <c r="BD805" s="1">
        <v>0</v>
      </c>
      <c r="BE805" s="1">
        <v>0</v>
      </c>
      <c r="BF805" s="1">
        <v>0</v>
      </c>
      <c r="BG805" s="1">
        <v>0</v>
      </c>
      <c r="BH805" s="1">
        <v>0</v>
      </c>
      <c r="BI805" s="1">
        <v>0</v>
      </c>
      <c r="BJ805" s="1">
        <v>0</v>
      </c>
      <c r="BK805" s="1">
        <v>0</v>
      </c>
      <c r="BL805" s="1">
        <v>0</v>
      </c>
      <c r="BM805" s="1">
        <v>0</v>
      </c>
      <c r="BN805" s="1">
        <v>0</v>
      </c>
      <c r="BO805" s="1">
        <v>0</v>
      </c>
      <c r="BP805" s="1">
        <v>0</v>
      </c>
      <c r="BQ805" s="2" t="str">
        <f>HYPERLINK("http://www.d20pfsrd.com/magic/all-spells/l/lily-pad-stride","Lily Pad Stride")</f>
        <v>Lily Pad Stride</v>
      </c>
      <c r="BR805" s="1">
        <v>825</v>
      </c>
      <c r="BS805" s="1" t="s">
        <v>104</v>
      </c>
      <c r="BU805" s="1" t="s">
        <v>3094</v>
      </c>
      <c r="BX805" s="1">
        <v>0</v>
      </c>
      <c r="BY805" s="1" t="s">
        <v>104</v>
      </c>
      <c r="BZ805" s="1" t="s">
        <v>104</v>
      </c>
      <c r="CA805" s="1" t="s">
        <v>104</v>
      </c>
      <c r="CB805" s="1" t="s">
        <v>104</v>
      </c>
      <c r="CC805" s="1" t="s">
        <v>104</v>
      </c>
      <c r="CD805" s="1" t="s">
        <v>104</v>
      </c>
      <c r="CE805" s="1" t="s">
        <v>104</v>
      </c>
      <c r="CF805" s="1" t="s">
        <v>104</v>
      </c>
      <c r="CG805" s="1" t="s">
        <v>104</v>
      </c>
      <c r="CH805" s="1">
        <v>3</v>
      </c>
      <c r="CJ805" s="1">
        <v>0</v>
      </c>
      <c r="CK805" s="1">
        <v>0</v>
      </c>
      <c r="CL805" s="1">
        <v>0</v>
      </c>
      <c r="CM805" s="1" t="s">
        <v>104</v>
      </c>
    </row>
    <row r="806" spans="1:91" ht="14.25" customHeight="1" x14ac:dyDescent="0.3">
      <c r="A806" s="1" t="s">
        <v>5182</v>
      </c>
      <c r="B806" s="1" t="s">
        <v>137</v>
      </c>
      <c r="E806" s="1" t="s">
        <v>3695</v>
      </c>
      <c r="F806" s="1" t="s">
        <v>95</v>
      </c>
      <c r="G806" s="1" t="s">
        <v>5183</v>
      </c>
      <c r="H806" s="1">
        <v>0</v>
      </c>
      <c r="I806" s="1" t="s">
        <v>128</v>
      </c>
      <c r="L806" s="1" t="s">
        <v>374</v>
      </c>
      <c r="M806" s="1" t="s">
        <v>111</v>
      </c>
      <c r="N806" s="1">
        <v>0</v>
      </c>
      <c r="O806" s="1">
        <v>0</v>
      </c>
      <c r="P806" s="1" t="s">
        <v>1058</v>
      </c>
      <c r="Q806" s="1" t="s">
        <v>131</v>
      </c>
      <c r="R806" s="1" t="s">
        <v>5184</v>
      </c>
      <c r="S806" s="1" t="s">
        <v>4403</v>
      </c>
      <c r="T806" s="1">
        <v>1</v>
      </c>
      <c r="U806" s="1">
        <v>1</v>
      </c>
      <c r="V806" s="1">
        <v>1</v>
      </c>
      <c r="W806" s="1">
        <v>0</v>
      </c>
      <c r="X806" s="1">
        <v>0</v>
      </c>
      <c r="Y806" s="1" t="s">
        <v>104</v>
      </c>
      <c r="Z806" s="1" t="s">
        <v>104</v>
      </c>
      <c r="AA806" s="1" t="s">
        <v>104</v>
      </c>
      <c r="AB806" s="1">
        <v>2</v>
      </c>
      <c r="AC806" s="1">
        <v>2</v>
      </c>
      <c r="AD806" s="1" t="s">
        <v>104</v>
      </c>
      <c r="AE806" s="1" t="s">
        <v>104</v>
      </c>
      <c r="AF806" s="1" t="s">
        <v>104</v>
      </c>
      <c r="AG806" s="1" t="s">
        <v>104</v>
      </c>
      <c r="AH806" s="1" t="s">
        <v>104</v>
      </c>
      <c r="AI806" s="1" t="s">
        <v>104</v>
      </c>
      <c r="AJ806" s="1" t="s">
        <v>104</v>
      </c>
      <c r="AK806" s="1" t="s">
        <v>104</v>
      </c>
      <c r="AL806" s="1" t="s">
        <v>104</v>
      </c>
      <c r="AM806" s="1" t="s">
        <v>104</v>
      </c>
      <c r="AO806" s="1">
        <v>2</v>
      </c>
      <c r="AQ806" s="1" t="s">
        <v>5185</v>
      </c>
      <c r="AR806" s="1">
        <v>0</v>
      </c>
      <c r="AS806" s="1">
        <v>0</v>
      </c>
      <c r="AT806" s="1">
        <v>0</v>
      </c>
      <c r="AU806" s="1">
        <v>0</v>
      </c>
      <c r="AV806" s="1">
        <v>0</v>
      </c>
      <c r="AW806" s="1">
        <v>0</v>
      </c>
      <c r="AX806" s="1">
        <v>0</v>
      </c>
      <c r="AY806" s="1">
        <v>0</v>
      </c>
      <c r="AZ806" s="1">
        <v>0</v>
      </c>
      <c r="BA806" s="1">
        <v>0</v>
      </c>
      <c r="BB806" s="1">
        <v>0</v>
      </c>
      <c r="BC806" s="1">
        <v>0</v>
      </c>
      <c r="BD806" s="1">
        <v>0</v>
      </c>
      <c r="BE806" s="1">
        <v>0</v>
      </c>
      <c r="BF806" s="1">
        <v>0</v>
      </c>
      <c r="BG806" s="1">
        <v>0</v>
      </c>
      <c r="BH806" s="1">
        <v>0</v>
      </c>
      <c r="BI806" s="1">
        <v>0</v>
      </c>
      <c r="BJ806" s="1">
        <v>0</v>
      </c>
      <c r="BK806" s="1">
        <v>0</v>
      </c>
      <c r="BL806" s="1">
        <v>0</v>
      </c>
      <c r="BM806" s="1">
        <v>0</v>
      </c>
      <c r="BN806" s="1">
        <v>0</v>
      </c>
      <c r="BO806" s="1">
        <v>0</v>
      </c>
      <c r="BP806" s="1">
        <v>0</v>
      </c>
      <c r="BQ806" s="2" t="str">
        <f>HYPERLINK("http://www.d20pfsrd.com/magic/all-spells/l/lockjaw","Lockjaw")</f>
        <v>Lockjaw</v>
      </c>
      <c r="BR806" s="1">
        <v>826</v>
      </c>
      <c r="BS806" s="1" t="s">
        <v>104</v>
      </c>
      <c r="BX806" s="1">
        <v>0</v>
      </c>
      <c r="BY806" s="1" t="s">
        <v>104</v>
      </c>
      <c r="BZ806" s="1" t="s">
        <v>104</v>
      </c>
      <c r="CA806" s="1" t="s">
        <v>104</v>
      </c>
      <c r="CB806" s="1" t="s">
        <v>104</v>
      </c>
      <c r="CC806" s="1" t="s">
        <v>104</v>
      </c>
      <c r="CD806" s="1" t="s">
        <v>104</v>
      </c>
      <c r="CE806" s="1" t="s">
        <v>104</v>
      </c>
      <c r="CF806" s="1" t="s">
        <v>104</v>
      </c>
      <c r="CG806" s="1" t="s">
        <v>104</v>
      </c>
      <c r="CH806" s="1">
        <v>2</v>
      </c>
      <c r="CJ806" s="1">
        <v>0</v>
      </c>
      <c r="CK806" s="1">
        <v>0</v>
      </c>
      <c r="CL806" s="1">
        <v>0</v>
      </c>
      <c r="CM806" s="1" t="s">
        <v>104</v>
      </c>
    </row>
    <row r="807" spans="1:91" ht="14.25" customHeight="1" x14ac:dyDescent="0.3">
      <c r="A807" s="1" t="s">
        <v>5186</v>
      </c>
      <c r="B807" s="1" t="s">
        <v>162</v>
      </c>
      <c r="D807" s="1" t="s">
        <v>125</v>
      </c>
      <c r="E807" s="1" t="s">
        <v>1936</v>
      </c>
      <c r="F807" s="1" t="s">
        <v>95</v>
      </c>
      <c r="G807" s="1" t="s">
        <v>116</v>
      </c>
      <c r="H807" s="1">
        <v>0</v>
      </c>
      <c r="I807" s="1" t="s">
        <v>117</v>
      </c>
      <c r="L807" s="1" t="s">
        <v>5187</v>
      </c>
      <c r="M807" s="1" t="s">
        <v>111</v>
      </c>
      <c r="N807" s="1">
        <v>0</v>
      </c>
      <c r="O807" s="1">
        <v>0</v>
      </c>
      <c r="P807" s="1" t="s">
        <v>418</v>
      </c>
      <c r="Q807" s="1" t="s">
        <v>184</v>
      </c>
      <c r="R807" s="1" t="s">
        <v>5188</v>
      </c>
      <c r="S807" s="1" t="s">
        <v>4403</v>
      </c>
      <c r="T807" s="1">
        <v>1</v>
      </c>
      <c r="U807" s="1">
        <v>1</v>
      </c>
      <c r="V807" s="1">
        <v>0</v>
      </c>
      <c r="W807" s="1">
        <v>0</v>
      </c>
      <c r="X807" s="1">
        <v>0</v>
      </c>
      <c r="Y807" s="1" t="s">
        <v>104</v>
      </c>
      <c r="Z807" s="1" t="s">
        <v>104</v>
      </c>
      <c r="AA807" s="1" t="s">
        <v>104</v>
      </c>
      <c r="AB807" s="1" t="s">
        <v>104</v>
      </c>
      <c r="AC807" s="1" t="s">
        <v>104</v>
      </c>
      <c r="AD807" s="1" t="s">
        <v>104</v>
      </c>
      <c r="AE807" s="1">
        <v>3</v>
      </c>
      <c r="AF807" s="1" t="s">
        <v>104</v>
      </c>
      <c r="AG807" s="1" t="s">
        <v>104</v>
      </c>
      <c r="AH807" s="1" t="s">
        <v>104</v>
      </c>
      <c r="AI807" s="1" t="s">
        <v>104</v>
      </c>
      <c r="AJ807" s="1" t="s">
        <v>104</v>
      </c>
      <c r="AK807" s="1" t="s">
        <v>104</v>
      </c>
      <c r="AL807" s="1" t="s">
        <v>104</v>
      </c>
      <c r="AM807" s="1" t="s">
        <v>104</v>
      </c>
      <c r="AO807" s="1">
        <v>3</v>
      </c>
      <c r="AQ807" s="1" t="s">
        <v>5189</v>
      </c>
      <c r="AR807" s="1">
        <v>0</v>
      </c>
      <c r="AS807" s="1">
        <v>0</v>
      </c>
      <c r="AT807" s="1">
        <v>0</v>
      </c>
      <c r="AU807" s="1">
        <v>0</v>
      </c>
      <c r="AV807" s="1">
        <v>0</v>
      </c>
      <c r="AW807" s="1">
        <v>0</v>
      </c>
      <c r="AX807" s="1">
        <v>0</v>
      </c>
      <c r="AY807" s="1">
        <v>0</v>
      </c>
      <c r="AZ807" s="1">
        <v>0</v>
      </c>
      <c r="BA807" s="1">
        <v>0</v>
      </c>
      <c r="BB807" s="1">
        <v>0</v>
      </c>
      <c r="BC807" s="1">
        <v>0</v>
      </c>
      <c r="BD807" s="1">
        <v>0</v>
      </c>
      <c r="BE807" s="1">
        <v>0</v>
      </c>
      <c r="BF807" s="1">
        <v>0</v>
      </c>
      <c r="BG807" s="1">
        <v>0</v>
      </c>
      <c r="BH807" s="1">
        <v>0</v>
      </c>
      <c r="BI807" s="1">
        <v>0</v>
      </c>
      <c r="BJ807" s="1">
        <v>0</v>
      </c>
      <c r="BK807" s="1">
        <v>1</v>
      </c>
      <c r="BL807" s="1">
        <v>0</v>
      </c>
      <c r="BM807" s="1">
        <v>0</v>
      </c>
      <c r="BN807" s="1">
        <v>0</v>
      </c>
      <c r="BO807" s="1">
        <v>0</v>
      </c>
      <c r="BP807" s="1">
        <v>0</v>
      </c>
      <c r="BQ807" s="2" t="str">
        <f>HYPERLINK("http://www.d20pfsrd.com/magic/all-spells/m/marks-of-forbiddance","Marks Of Forbiddance")</f>
        <v>Marks Of Forbiddance</v>
      </c>
      <c r="BR807" s="1">
        <v>827</v>
      </c>
      <c r="BS807" s="1" t="s">
        <v>104</v>
      </c>
      <c r="BX807" s="1">
        <v>0</v>
      </c>
      <c r="BY807" s="1" t="s">
        <v>104</v>
      </c>
      <c r="BZ807" s="1" t="s">
        <v>104</v>
      </c>
      <c r="CA807" s="1" t="s">
        <v>104</v>
      </c>
      <c r="CB807" s="1" t="s">
        <v>104</v>
      </c>
      <c r="CC807" s="1" t="s">
        <v>104</v>
      </c>
      <c r="CD807" s="1" t="s">
        <v>104</v>
      </c>
      <c r="CE807" s="1" t="s">
        <v>104</v>
      </c>
      <c r="CF807" s="1" t="s">
        <v>104</v>
      </c>
      <c r="CG807" s="1" t="s">
        <v>104</v>
      </c>
      <c r="CH807" s="1" t="s">
        <v>104</v>
      </c>
      <c r="CJ807" s="1">
        <v>0</v>
      </c>
      <c r="CK807" s="1">
        <v>0</v>
      </c>
      <c r="CL807" s="1">
        <v>0</v>
      </c>
      <c r="CM807" s="1" t="s">
        <v>104</v>
      </c>
    </row>
    <row r="808" spans="1:91" ht="14.25" customHeight="1" x14ac:dyDescent="0.3">
      <c r="A808" s="1" t="s">
        <v>5190</v>
      </c>
      <c r="B808" s="1" t="s">
        <v>507</v>
      </c>
      <c r="C808" s="1" t="s">
        <v>508</v>
      </c>
      <c r="E808" s="1" t="s">
        <v>5191</v>
      </c>
      <c r="F808" s="1" t="s">
        <v>95</v>
      </c>
      <c r="G808" s="1" t="s">
        <v>5192</v>
      </c>
      <c r="H808" s="1">
        <v>0</v>
      </c>
      <c r="I808" s="1" t="s">
        <v>128</v>
      </c>
      <c r="L808" s="1" t="s">
        <v>2630</v>
      </c>
      <c r="M808" s="1" t="s">
        <v>4400</v>
      </c>
      <c r="N808" s="1">
        <v>1</v>
      </c>
      <c r="O808" s="1">
        <v>0</v>
      </c>
      <c r="P808" s="1" t="s">
        <v>195</v>
      </c>
      <c r="Q808" s="1" t="s">
        <v>101</v>
      </c>
      <c r="R808" s="1" t="s">
        <v>5193</v>
      </c>
      <c r="S808" s="1" t="s">
        <v>4403</v>
      </c>
      <c r="T808" s="1">
        <v>1</v>
      </c>
      <c r="U808" s="1">
        <v>1</v>
      </c>
      <c r="V808" s="1">
        <v>1</v>
      </c>
      <c r="W808" s="1">
        <v>0</v>
      </c>
      <c r="X808" s="1">
        <v>0</v>
      </c>
      <c r="Y808" s="1" t="s">
        <v>104</v>
      </c>
      <c r="Z808" s="1" t="s">
        <v>104</v>
      </c>
      <c r="AA808" s="1" t="s">
        <v>104</v>
      </c>
      <c r="AB808" s="1" t="s">
        <v>104</v>
      </c>
      <c r="AC808" s="1" t="s">
        <v>104</v>
      </c>
      <c r="AD808" s="1" t="s">
        <v>104</v>
      </c>
      <c r="AE808" s="1" t="s">
        <v>104</v>
      </c>
      <c r="AF808" s="1" t="s">
        <v>104</v>
      </c>
      <c r="AG808" s="1" t="s">
        <v>104</v>
      </c>
      <c r="AH808" s="1">
        <v>1</v>
      </c>
      <c r="AI808" s="1" t="s">
        <v>104</v>
      </c>
      <c r="AJ808" s="1" t="s">
        <v>104</v>
      </c>
      <c r="AK808" s="1" t="s">
        <v>104</v>
      </c>
      <c r="AL808" s="1" t="s">
        <v>104</v>
      </c>
      <c r="AM808" s="1" t="s">
        <v>104</v>
      </c>
      <c r="AO808" s="1">
        <v>1</v>
      </c>
      <c r="AQ808" s="1" t="s">
        <v>5194</v>
      </c>
      <c r="AR808" s="1">
        <v>0</v>
      </c>
      <c r="AS808" s="1">
        <v>0</v>
      </c>
      <c r="AT808" s="1">
        <v>0</v>
      </c>
      <c r="AU808" s="1">
        <v>0</v>
      </c>
      <c r="AV808" s="1">
        <v>0</v>
      </c>
      <c r="AW808" s="1">
        <v>0</v>
      </c>
      <c r="AX808" s="1">
        <v>0</v>
      </c>
      <c r="AY808" s="1">
        <v>0</v>
      </c>
      <c r="AZ808" s="1">
        <v>0</v>
      </c>
      <c r="BA808" s="1">
        <v>0</v>
      </c>
      <c r="BB808" s="1">
        <v>0</v>
      </c>
      <c r="BC808" s="1">
        <v>0</v>
      </c>
      <c r="BD808" s="1">
        <v>0</v>
      </c>
      <c r="BE808" s="1">
        <v>0</v>
      </c>
      <c r="BF808" s="1">
        <v>0</v>
      </c>
      <c r="BG808" s="1">
        <v>0</v>
      </c>
      <c r="BH808" s="1">
        <v>0</v>
      </c>
      <c r="BI808" s="1">
        <v>0</v>
      </c>
      <c r="BJ808" s="1">
        <v>0</v>
      </c>
      <c r="BK808" s="1">
        <v>0</v>
      </c>
      <c r="BL808" s="1">
        <v>0</v>
      </c>
      <c r="BM808" s="1">
        <v>0</v>
      </c>
      <c r="BN808" s="1">
        <v>0</v>
      </c>
      <c r="BO808" s="1">
        <v>0</v>
      </c>
      <c r="BP808" s="1">
        <v>0</v>
      </c>
      <c r="BQ808" s="2" t="str">
        <f>HYPERLINK("http://www.d20pfsrd.com/magic/all-spells/m/mask-dweomer","Mask Dweomer")</f>
        <v>Mask Dweomer</v>
      </c>
      <c r="BR808" s="1">
        <v>828</v>
      </c>
      <c r="BS808" s="1" t="s">
        <v>104</v>
      </c>
      <c r="BX808" s="1">
        <v>0</v>
      </c>
      <c r="BY808" s="1" t="s">
        <v>104</v>
      </c>
      <c r="BZ808" s="1" t="s">
        <v>104</v>
      </c>
      <c r="CA808" s="1">
        <v>1</v>
      </c>
      <c r="CB808" s="1" t="s">
        <v>104</v>
      </c>
      <c r="CC808" s="1" t="s">
        <v>104</v>
      </c>
      <c r="CD808" s="1">
        <v>1</v>
      </c>
      <c r="CE808" s="1" t="s">
        <v>104</v>
      </c>
      <c r="CF808" s="1" t="s">
        <v>104</v>
      </c>
      <c r="CG808" s="1" t="s">
        <v>104</v>
      </c>
      <c r="CH808" s="1" t="s">
        <v>104</v>
      </c>
      <c r="CJ808" s="1">
        <v>0</v>
      </c>
      <c r="CK808" s="1">
        <v>0</v>
      </c>
      <c r="CL808" s="1">
        <v>0</v>
      </c>
      <c r="CM808" s="1" t="s">
        <v>104</v>
      </c>
    </row>
    <row r="809" spans="1:91" ht="14.25" customHeight="1" x14ac:dyDescent="0.3">
      <c r="A809" s="1" t="s">
        <v>5195</v>
      </c>
      <c r="B809" s="1" t="s">
        <v>123</v>
      </c>
      <c r="D809" s="1" t="s">
        <v>125</v>
      </c>
      <c r="E809" s="1" t="s">
        <v>5196</v>
      </c>
      <c r="F809" s="1" t="s">
        <v>95</v>
      </c>
      <c r="G809" s="1" t="s">
        <v>116</v>
      </c>
      <c r="H809" s="1">
        <v>0</v>
      </c>
      <c r="I809" s="1" t="s">
        <v>117</v>
      </c>
      <c r="L809" s="1" t="s">
        <v>417</v>
      </c>
      <c r="M809" s="1" t="s">
        <v>119</v>
      </c>
      <c r="N809" s="1">
        <v>0</v>
      </c>
      <c r="O809" s="1">
        <v>0</v>
      </c>
      <c r="P809" s="1" t="s">
        <v>211</v>
      </c>
      <c r="Q809" s="1" t="s">
        <v>184</v>
      </c>
      <c r="R809" s="1" t="s">
        <v>5197</v>
      </c>
      <c r="S809" s="1" t="s">
        <v>4403</v>
      </c>
      <c r="T809" s="1">
        <v>1</v>
      </c>
      <c r="U809" s="1">
        <v>1</v>
      </c>
      <c r="V809" s="1">
        <v>0</v>
      </c>
      <c r="W809" s="1">
        <v>0</v>
      </c>
      <c r="X809" s="1">
        <v>0</v>
      </c>
      <c r="Y809" s="1">
        <v>1</v>
      </c>
      <c r="Z809" s="1">
        <v>1</v>
      </c>
      <c r="AA809" s="1" t="s">
        <v>104</v>
      </c>
      <c r="AB809" s="1" t="s">
        <v>104</v>
      </c>
      <c r="AC809" s="1" t="s">
        <v>104</v>
      </c>
      <c r="AD809" s="1">
        <v>1</v>
      </c>
      <c r="AE809" s="1" t="s">
        <v>104</v>
      </c>
      <c r="AF809" s="1" t="s">
        <v>104</v>
      </c>
      <c r="AG809" s="1" t="s">
        <v>104</v>
      </c>
      <c r="AH809" s="1" t="s">
        <v>104</v>
      </c>
      <c r="AI809" s="1" t="s">
        <v>104</v>
      </c>
      <c r="AJ809" s="1" t="s">
        <v>104</v>
      </c>
      <c r="AK809" s="1" t="s">
        <v>104</v>
      </c>
      <c r="AL809" s="1" t="s">
        <v>104</v>
      </c>
      <c r="AM809" s="1" t="s">
        <v>104</v>
      </c>
      <c r="AO809" s="1">
        <v>1</v>
      </c>
      <c r="AP809" s="1" t="s">
        <v>5198</v>
      </c>
      <c r="AQ809" s="1" t="s">
        <v>5199</v>
      </c>
      <c r="AR809" s="1">
        <v>0</v>
      </c>
      <c r="AS809" s="1">
        <v>0</v>
      </c>
      <c r="AT809" s="1">
        <v>0</v>
      </c>
      <c r="AU809" s="1">
        <v>0</v>
      </c>
      <c r="AV809" s="1">
        <v>0</v>
      </c>
      <c r="AW809" s="1">
        <v>0</v>
      </c>
      <c r="AX809" s="1">
        <v>0</v>
      </c>
      <c r="AY809" s="1">
        <v>0</v>
      </c>
      <c r="AZ809" s="1">
        <v>0</v>
      </c>
      <c r="BA809" s="1">
        <v>0</v>
      </c>
      <c r="BB809" s="1">
        <v>0</v>
      </c>
      <c r="BC809" s="1">
        <v>0</v>
      </c>
      <c r="BD809" s="1">
        <v>0</v>
      </c>
      <c r="BE809" s="1">
        <v>0</v>
      </c>
      <c r="BF809" s="1">
        <v>0</v>
      </c>
      <c r="BG809" s="1">
        <v>0</v>
      </c>
      <c r="BH809" s="1">
        <v>0</v>
      </c>
      <c r="BI809" s="1">
        <v>0</v>
      </c>
      <c r="BJ809" s="1">
        <v>0</v>
      </c>
      <c r="BK809" s="1">
        <v>1</v>
      </c>
      <c r="BL809" s="1">
        <v>0</v>
      </c>
      <c r="BM809" s="1">
        <v>0</v>
      </c>
      <c r="BN809" s="1">
        <v>0</v>
      </c>
      <c r="BO809" s="1">
        <v>0</v>
      </c>
      <c r="BP809" s="1">
        <v>0</v>
      </c>
      <c r="BQ809" s="2" t="str">
        <f>HYPERLINK("http://www.d20pfsrd.com/magic/all-spells/m/memory-lapse","Memory Lapse")</f>
        <v>Memory Lapse</v>
      </c>
      <c r="BR809" s="1">
        <v>829</v>
      </c>
      <c r="BS809" s="1" t="s">
        <v>104</v>
      </c>
      <c r="BU809" s="1" t="s">
        <v>5200</v>
      </c>
      <c r="BX809" s="1">
        <v>0</v>
      </c>
      <c r="BY809" s="1" t="s">
        <v>104</v>
      </c>
      <c r="BZ809" s="1" t="s">
        <v>104</v>
      </c>
      <c r="CA809" s="1" t="s">
        <v>104</v>
      </c>
      <c r="CB809" s="1" t="s">
        <v>104</v>
      </c>
      <c r="CC809" s="1">
        <v>1</v>
      </c>
      <c r="CD809" s="1">
        <v>1</v>
      </c>
      <c r="CE809" s="1" t="s">
        <v>104</v>
      </c>
      <c r="CF809" s="1" t="s">
        <v>104</v>
      </c>
      <c r="CG809" s="1" t="s">
        <v>104</v>
      </c>
      <c r="CH809" s="1" t="s">
        <v>104</v>
      </c>
      <c r="CJ809" s="1">
        <v>0</v>
      </c>
      <c r="CK809" s="1">
        <v>0</v>
      </c>
      <c r="CL809" s="1">
        <v>0</v>
      </c>
      <c r="CM809" s="1" t="s">
        <v>104</v>
      </c>
    </row>
    <row r="810" spans="1:91" ht="14.25" customHeight="1" x14ac:dyDescent="0.3">
      <c r="A810" s="1" t="s">
        <v>5201</v>
      </c>
      <c r="B810" s="1" t="s">
        <v>123</v>
      </c>
      <c r="C810" s="1" t="s">
        <v>124</v>
      </c>
      <c r="D810" s="1" t="s">
        <v>271</v>
      </c>
      <c r="E810" s="1" t="s">
        <v>5202</v>
      </c>
      <c r="F810" s="1" t="s">
        <v>95</v>
      </c>
      <c r="G810" s="1" t="s">
        <v>5203</v>
      </c>
      <c r="H810" s="1">
        <v>0</v>
      </c>
      <c r="I810" s="1" t="s">
        <v>109</v>
      </c>
      <c r="L810" s="1" t="s">
        <v>637</v>
      </c>
      <c r="M810" s="1" t="s">
        <v>111</v>
      </c>
      <c r="N810" s="1">
        <v>0</v>
      </c>
      <c r="O810" s="1">
        <v>0</v>
      </c>
      <c r="P810" s="1" t="s">
        <v>211</v>
      </c>
      <c r="Q810" s="1" t="s">
        <v>184</v>
      </c>
      <c r="R810" s="1" t="s">
        <v>5204</v>
      </c>
      <c r="S810" s="1" t="s">
        <v>4403</v>
      </c>
      <c r="T810" s="1">
        <v>1</v>
      </c>
      <c r="U810" s="1">
        <v>1</v>
      </c>
      <c r="V810" s="1">
        <v>1</v>
      </c>
      <c r="W810" s="1">
        <v>0</v>
      </c>
      <c r="X810" s="1">
        <v>0</v>
      </c>
      <c r="Y810" s="1">
        <v>4</v>
      </c>
      <c r="Z810" s="1">
        <v>4</v>
      </c>
      <c r="AA810" s="1" t="s">
        <v>104</v>
      </c>
      <c r="AB810" s="1">
        <v>4</v>
      </c>
      <c r="AC810" s="1" t="s">
        <v>104</v>
      </c>
      <c r="AD810" s="1" t="s">
        <v>104</v>
      </c>
      <c r="AE810" s="1" t="s">
        <v>104</v>
      </c>
      <c r="AF810" s="1" t="s">
        <v>104</v>
      </c>
      <c r="AG810" s="1" t="s">
        <v>104</v>
      </c>
      <c r="AH810" s="1">
        <v>4</v>
      </c>
      <c r="AI810" s="1" t="s">
        <v>104</v>
      </c>
      <c r="AJ810" s="1" t="s">
        <v>104</v>
      </c>
      <c r="AK810" s="1" t="s">
        <v>104</v>
      </c>
      <c r="AL810" s="1" t="s">
        <v>104</v>
      </c>
      <c r="AM810" s="1" t="s">
        <v>104</v>
      </c>
      <c r="AO810" s="1">
        <v>4</v>
      </c>
      <c r="AP810" s="1" t="s">
        <v>5205</v>
      </c>
      <c r="AQ810" s="1" t="s">
        <v>5206</v>
      </c>
      <c r="AR810" s="1">
        <v>0</v>
      </c>
      <c r="AS810" s="1">
        <v>0</v>
      </c>
      <c r="AT810" s="1">
        <v>0</v>
      </c>
      <c r="AU810" s="1">
        <v>0</v>
      </c>
      <c r="AV810" s="1">
        <v>0</v>
      </c>
      <c r="AW810" s="1">
        <v>0</v>
      </c>
      <c r="AX810" s="1">
        <v>0</v>
      </c>
      <c r="AY810" s="1">
        <v>0</v>
      </c>
      <c r="AZ810" s="1">
        <v>0</v>
      </c>
      <c r="BA810" s="1">
        <v>0</v>
      </c>
      <c r="BB810" s="1">
        <v>1</v>
      </c>
      <c r="BC810" s="1">
        <v>0</v>
      </c>
      <c r="BD810" s="1">
        <v>0</v>
      </c>
      <c r="BE810" s="1">
        <v>0</v>
      </c>
      <c r="BF810" s="1">
        <v>0</v>
      </c>
      <c r="BG810" s="1">
        <v>0</v>
      </c>
      <c r="BH810" s="1">
        <v>0</v>
      </c>
      <c r="BI810" s="1">
        <v>0</v>
      </c>
      <c r="BJ810" s="1">
        <v>0</v>
      </c>
      <c r="BK810" s="1">
        <v>1</v>
      </c>
      <c r="BL810" s="1">
        <v>0</v>
      </c>
      <c r="BM810" s="1">
        <v>0</v>
      </c>
      <c r="BN810" s="1">
        <v>0</v>
      </c>
      <c r="BO810" s="1">
        <v>0</v>
      </c>
      <c r="BP810" s="1">
        <v>0</v>
      </c>
      <c r="BQ810" s="2" t="str">
        <f>HYPERLINK("http://www.d20pfsrd.com/magic/all-spells/m/moonstruck","Moonstruck")</f>
        <v>Moonstruck</v>
      </c>
      <c r="BR810" s="1">
        <v>830</v>
      </c>
      <c r="BS810" s="1" t="s">
        <v>104</v>
      </c>
      <c r="BU810" s="1" t="s">
        <v>5207</v>
      </c>
      <c r="BX810" s="1">
        <v>0</v>
      </c>
      <c r="BY810" s="1">
        <v>4</v>
      </c>
      <c r="BZ810" s="1" t="s">
        <v>104</v>
      </c>
      <c r="CA810" s="1">
        <v>4</v>
      </c>
      <c r="CB810" s="1" t="s">
        <v>104</v>
      </c>
      <c r="CC810" s="1" t="s">
        <v>104</v>
      </c>
      <c r="CD810" s="1" t="s">
        <v>104</v>
      </c>
      <c r="CE810" s="1" t="s">
        <v>104</v>
      </c>
      <c r="CF810" s="1" t="s">
        <v>104</v>
      </c>
      <c r="CG810" s="1" t="s">
        <v>104</v>
      </c>
      <c r="CH810" s="1">
        <v>4</v>
      </c>
      <c r="CJ810" s="1">
        <v>0</v>
      </c>
      <c r="CK810" s="1">
        <v>0</v>
      </c>
      <c r="CL810" s="1">
        <v>0</v>
      </c>
      <c r="CM810" s="1" t="s">
        <v>104</v>
      </c>
    </row>
    <row r="811" spans="1:91" ht="14.25" customHeight="1" x14ac:dyDescent="0.3">
      <c r="A811" s="1" t="s">
        <v>5208</v>
      </c>
      <c r="B811" s="1" t="s">
        <v>216</v>
      </c>
      <c r="E811" s="1" t="s">
        <v>1825</v>
      </c>
      <c r="F811" s="1" t="s">
        <v>191</v>
      </c>
      <c r="G811" s="1" t="s">
        <v>5209</v>
      </c>
      <c r="H811" s="1">
        <v>1</v>
      </c>
      <c r="I811" s="1" t="s">
        <v>914</v>
      </c>
      <c r="J811" s="1" t="s">
        <v>5210</v>
      </c>
      <c r="M811" s="1" t="s">
        <v>2638</v>
      </c>
      <c r="N811" s="1">
        <v>0</v>
      </c>
      <c r="O811" s="1">
        <v>0</v>
      </c>
      <c r="P811" s="1" t="s">
        <v>375</v>
      </c>
      <c r="Q811" s="1" t="s">
        <v>131</v>
      </c>
      <c r="R811" s="1" t="s">
        <v>5211</v>
      </c>
      <c r="S811" s="1" t="s">
        <v>4403</v>
      </c>
      <c r="T811" s="1">
        <v>1</v>
      </c>
      <c r="U811" s="1">
        <v>1</v>
      </c>
      <c r="V811" s="1">
        <v>1</v>
      </c>
      <c r="W811" s="1">
        <v>0</v>
      </c>
      <c r="X811" s="1">
        <v>0</v>
      </c>
      <c r="Y811" s="1" t="s">
        <v>104</v>
      </c>
      <c r="Z811" s="1" t="s">
        <v>104</v>
      </c>
      <c r="AA811" s="1">
        <v>3</v>
      </c>
      <c r="AB811" s="1" t="s">
        <v>104</v>
      </c>
      <c r="AC811" s="1" t="s">
        <v>104</v>
      </c>
      <c r="AD811" s="1" t="s">
        <v>104</v>
      </c>
      <c r="AE811" s="1" t="s">
        <v>104</v>
      </c>
      <c r="AF811" s="1" t="s">
        <v>104</v>
      </c>
      <c r="AG811" s="1" t="s">
        <v>104</v>
      </c>
      <c r="AH811" s="1" t="s">
        <v>104</v>
      </c>
      <c r="AI811" s="1" t="s">
        <v>104</v>
      </c>
      <c r="AJ811" s="1">
        <v>3</v>
      </c>
      <c r="AK811" s="1" t="s">
        <v>104</v>
      </c>
      <c r="AL811" s="1" t="s">
        <v>104</v>
      </c>
      <c r="AM811" s="1" t="s">
        <v>104</v>
      </c>
      <c r="AO811" s="1">
        <v>3</v>
      </c>
      <c r="AQ811" s="1" t="s">
        <v>5212</v>
      </c>
      <c r="AR811" s="1">
        <v>0</v>
      </c>
      <c r="AS811" s="1">
        <v>0</v>
      </c>
      <c r="AT811" s="1">
        <v>0</v>
      </c>
      <c r="AU811" s="1">
        <v>0</v>
      </c>
      <c r="AV811" s="1">
        <v>0</v>
      </c>
      <c r="AW811" s="1">
        <v>0</v>
      </c>
      <c r="AX811" s="1">
        <v>0</v>
      </c>
      <c r="AY811" s="1">
        <v>0</v>
      </c>
      <c r="AZ811" s="1">
        <v>0</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2" t="str">
        <f>HYPERLINK("http://www.d20pfsrd.com/magic/all-spells/n/nap-stack","Nap Stack")</f>
        <v>Nap Stack</v>
      </c>
      <c r="BR811" s="1">
        <v>831</v>
      </c>
      <c r="BS811" s="1">
        <v>100</v>
      </c>
      <c r="BX811" s="1">
        <v>0</v>
      </c>
      <c r="BY811" s="1" t="s">
        <v>104</v>
      </c>
      <c r="BZ811" s="1" t="s">
        <v>104</v>
      </c>
      <c r="CA811" s="1" t="s">
        <v>104</v>
      </c>
      <c r="CB811" s="1" t="s">
        <v>104</v>
      </c>
      <c r="CC811" s="1" t="s">
        <v>104</v>
      </c>
      <c r="CD811" s="1" t="s">
        <v>104</v>
      </c>
      <c r="CE811" s="1" t="s">
        <v>104</v>
      </c>
      <c r="CF811" s="1" t="s">
        <v>104</v>
      </c>
      <c r="CG811" s="1" t="s">
        <v>104</v>
      </c>
      <c r="CH811" s="1" t="s">
        <v>104</v>
      </c>
      <c r="CJ811" s="1">
        <v>0</v>
      </c>
      <c r="CK811" s="1">
        <v>0</v>
      </c>
      <c r="CL811" s="1">
        <v>0</v>
      </c>
      <c r="CM811" s="1" t="s">
        <v>104</v>
      </c>
    </row>
    <row r="812" spans="1:91" ht="14.25" customHeight="1" x14ac:dyDescent="0.3">
      <c r="A812" s="1" t="s">
        <v>5213</v>
      </c>
      <c r="B812" s="1" t="s">
        <v>137</v>
      </c>
      <c r="E812" s="1" t="s">
        <v>3462</v>
      </c>
      <c r="F812" s="1" t="s">
        <v>95</v>
      </c>
      <c r="G812" s="1" t="s">
        <v>5214</v>
      </c>
      <c r="H812" s="1">
        <v>0</v>
      </c>
      <c r="I812" s="1" t="s">
        <v>128</v>
      </c>
      <c r="L812" s="1" t="s">
        <v>374</v>
      </c>
      <c r="M812" s="1" t="s">
        <v>111</v>
      </c>
      <c r="N812" s="1">
        <v>0</v>
      </c>
      <c r="O812" s="1">
        <v>0</v>
      </c>
      <c r="P812" s="1" t="s">
        <v>375</v>
      </c>
      <c r="Q812" s="1" t="s">
        <v>131</v>
      </c>
      <c r="R812" s="1" t="s">
        <v>5215</v>
      </c>
      <c r="S812" s="1" t="s">
        <v>4403</v>
      </c>
      <c r="T812" s="1">
        <v>1</v>
      </c>
      <c r="U812" s="1">
        <v>1</v>
      </c>
      <c r="V812" s="1">
        <v>1</v>
      </c>
      <c r="W812" s="1">
        <v>0</v>
      </c>
      <c r="X812" s="1">
        <v>0</v>
      </c>
      <c r="Y812" s="1" t="s">
        <v>104</v>
      </c>
      <c r="Z812" s="1" t="s">
        <v>104</v>
      </c>
      <c r="AA812" s="1" t="s">
        <v>104</v>
      </c>
      <c r="AB812" s="1">
        <v>2</v>
      </c>
      <c r="AC812" s="1" t="s">
        <v>104</v>
      </c>
      <c r="AD812" s="1" t="s">
        <v>104</v>
      </c>
      <c r="AE812" s="1" t="s">
        <v>104</v>
      </c>
      <c r="AF812" s="1" t="s">
        <v>104</v>
      </c>
      <c r="AG812" s="1" t="s">
        <v>104</v>
      </c>
      <c r="AH812" s="1" t="s">
        <v>104</v>
      </c>
      <c r="AI812" s="1" t="s">
        <v>104</v>
      </c>
      <c r="AJ812" s="1" t="s">
        <v>104</v>
      </c>
      <c r="AK812" s="1" t="s">
        <v>104</v>
      </c>
      <c r="AL812" s="1" t="s">
        <v>104</v>
      </c>
      <c r="AM812" s="1" t="s">
        <v>104</v>
      </c>
      <c r="AO812" s="1">
        <v>2</v>
      </c>
      <c r="AQ812" s="1" t="s">
        <v>5216</v>
      </c>
      <c r="AR812" s="1">
        <v>0</v>
      </c>
      <c r="AS812" s="1">
        <v>0</v>
      </c>
      <c r="AT812" s="1">
        <v>0</v>
      </c>
      <c r="AU812" s="1">
        <v>0</v>
      </c>
      <c r="AV812" s="1">
        <v>0</v>
      </c>
      <c r="AW812" s="1">
        <v>0</v>
      </c>
      <c r="AX812" s="1">
        <v>0</v>
      </c>
      <c r="AY812" s="1">
        <v>0</v>
      </c>
      <c r="AZ812" s="1">
        <v>0</v>
      </c>
      <c r="BA812" s="1">
        <v>0</v>
      </c>
      <c r="BB812" s="1">
        <v>0</v>
      </c>
      <c r="BC812" s="1">
        <v>0</v>
      </c>
      <c r="BD812" s="1">
        <v>0</v>
      </c>
      <c r="BE812" s="1">
        <v>0</v>
      </c>
      <c r="BF812" s="1">
        <v>0</v>
      </c>
      <c r="BG812" s="1">
        <v>0</v>
      </c>
      <c r="BH812" s="1">
        <v>0</v>
      </c>
      <c r="BI812" s="1">
        <v>0</v>
      </c>
      <c r="BJ812" s="1">
        <v>0</v>
      </c>
      <c r="BK812" s="1">
        <v>0</v>
      </c>
      <c r="BL812" s="1">
        <v>0</v>
      </c>
      <c r="BM812" s="1">
        <v>0</v>
      </c>
      <c r="BN812" s="1">
        <v>0</v>
      </c>
      <c r="BO812" s="1">
        <v>0</v>
      </c>
      <c r="BP812" s="1">
        <v>0</v>
      </c>
      <c r="BQ812" s="2" t="str">
        <f>HYPERLINK("http://www.d20pfsrd.com/magic/all-spells/n/natural-rhythm","Natural Rhythm")</f>
        <v>Natural Rhythm</v>
      </c>
      <c r="BR812" s="1">
        <v>832</v>
      </c>
      <c r="BS812" s="1" t="s">
        <v>104</v>
      </c>
      <c r="BX812" s="1">
        <v>0</v>
      </c>
      <c r="BY812" s="1" t="s">
        <v>104</v>
      </c>
      <c r="BZ812" s="1" t="s">
        <v>104</v>
      </c>
      <c r="CA812" s="1" t="s">
        <v>104</v>
      </c>
      <c r="CB812" s="1" t="s">
        <v>104</v>
      </c>
      <c r="CC812" s="1" t="s">
        <v>104</v>
      </c>
      <c r="CD812" s="1" t="s">
        <v>104</v>
      </c>
      <c r="CE812" s="1" t="s">
        <v>104</v>
      </c>
      <c r="CF812" s="1" t="s">
        <v>104</v>
      </c>
      <c r="CG812" s="1" t="s">
        <v>104</v>
      </c>
      <c r="CH812" s="1">
        <v>2</v>
      </c>
      <c r="CJ812" s="1">
        <v>0</v>
      </c>
      <c r="CK812" s="1">
        <v>0</v>
      </c>
      <c r="CL812" s="1">
        <v>0</v>
      </c>
      <c r="CM812" s="1" t="s">
        <v>104</v>
      </c>
    </row>
    <row r="813" spans="1:91" ht="14.25" customHeight="1" x14ac:dyDescent="0.3">
      <c r="A813" s="1" t="s">
        <v>5217</v>
      </c>
      <c r="B813" s="1" t="s">
        <v>137</v>
      </c>
      <c r="D813" s="1" t="s">
        <v>47</v>
      </c>
      <c r="E813" s="1" t="s">
        <v>5218</v>
      </c>
      <c r="F813" s="1" t="s">
        <v>95</v>
      </c>
      <c r="G813" s="1" t="s">
        <v>127</v>
      </c>
      <c r="H813" s="1">
        <v>0</v>
      </c>
      <c r="I813" s="1" t="s">
        <v>128</v>
      </c>
      <c r="L813" s="1" t="s">
        <v>374</v>
      </c>
      <c r="M813" s="1" t="s">
        <v>298</v>
      </c>
      <c r="N813" s="1">
        <v>0</v>
      </c>
      <c r="O813" s="1">
        <v>0</v>
      </c>
      <c r="P813" s="1" t="s">
        <v>211</v>
      </c>
      <c r="Q813" s="1" t="s">
        <v>184</v>
      </c>
      <c r="R813" s="1" t="s">
        <v>5219</v>
      </c>
      <c r="S813" s="1" t="s">
        <v>4403</v>
      </c>
      <c r="T813" s="1">
        <v>1</v>
      </c>
      <c r="U813" s="1">
        <v>1</v>
      </c>
      <c r="V813" s="1">
        <v>0</v>
      </c>
      <c r="W813" s="1">
        <v>0</v>
      </c>
      <c r="X813" s="1">
        <v>1</v>
      </c>
      <c r="Y813" s="1" t="s">
        <v>104</v>
      </c>
      <c r="Z813" s="1" t="s">
        <v>104</v>
      </c>
      <c r="AA813" s="1" t="s">
        <v>104</v>
      </c>
      <c r="AB813" s="1">
        <v>3</v>
      </c>
      <c r="AC813" s="1" t="s">
        <v>104</v>
      </c>
      <c r="AD813" s="1" t="s">
        <v>104</v>
      </c>
      <c r="AE813" s="1" t="s">
        <v>104</v>
      </c>
      <c r="AF813" s="1" t="s">
        <v>104</v>
      </c>
      <c r="AG813" s="1" t="s">
        <v>104</v>
      </c>
      <c r="AH813" s="1">
        <v>3</v>
      </c>
      <c r="AI813" s="1" t="s">
        <v>104</v>
      </c>
      <c r="AJ813" s="1" t="s">
        <v>104</v>
      </c>
      <c r="AK813" s="1" t="s">
        <v>104</v>
      </c>
      <c r="AL813" s="1" t="s">
        <v>104</v>
      </c>
      <c r="AM813" s="1" t="s">
        <v>104</v>
      </c>
      <c r="AO813" s="1">
        <v>3</v>
      </c>
      <c r="AQ813" s="1" t="s">
        <v>5220</v>
      </c>
      <c r="AR813" s="1">
        <v>0</v>
      </c>
      <c r="AS813" s="1">
        <v>0</v>
      </c>
      <c r="AT813" s="1">
        <v>0</v>
      </c>
      <c r="AU813" s="1">
        <v>0</v>
      </c>
      <c r="AV813" s="1">
        <v>1</v>
      </c>
      <c r="AW813" s="1">
        <v>0</v>
      </c>
      <c r="AX813" s="1">
        <v>0</v>
      </c>
      <c r="AY813" s="1">
        <v>0</v>
      </c>
      <c r="AZ813" s="1">
        <v>0</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2" t="str">
        <f>HYPERLINK("http://www.d20pfsrd.com/magic/all-spells/n/nature-s-exile","Nature's Exile")</f>
        <v>Nature's Exile</v>
      </c>
      <c r="BR813" s="1">
        <v>833</v>
      </c>
      <c r="BS813" s="1" t="s">
        <v>104</v>
      </c>
      <c r="BX813" s="1">
        <v>0</v>
      </c>
      <c r="BY813" s="1" t="s">
        <v>104</v>
      </c>
      <c r="BZ813" s="1" t="s">
        <v>104</v>
      </c>
      <c r="CA813" s="1" t="s">
        <v>104</v>
      </c>
      <c r="CB813" s="1" t="s">
        <v>104</v>
      </c>
      <c r="CC813" s="1" t="s">
        <v>104</v>
      </c>
      <c r="CD813" s="1" t="s">
        <v>104</v>
      </c>
      <c r="CE813" s="1" t="s">
        <v>104</v>
      </c>
      <c r="CF813" s="1" t="s">
        <v>104</v>
      </c>
      <c r="CG813" s="1" t="s">
        <v>104</v>
      </c>
      <c r="CH813" s="1">
        <v>3</v>
      </c>
      <c r="CJ813" s="1">
        <v>0</v>
      </c>
      <c r="CK813" s="1">
        <v>0</v>
      </c>
      <c r="CL813" s="1">
        <v>0</v>
      </c>
      <c r="CM813" s="1" t="s">
        <v>104</v>
      </c>
    </row>
    <row r="814" spans="1:91" ht="14.25" customHeight="1" x14ac:dyDescent="0.3">
      <c r="A814" s="1" t="s">
        <v>5221</v>
      </c>
      <c r="B814" s="1" t="s">
        <v>137</v>
      </c>
      <c r="E814" s="1" t="s">
        <v>5151</v>
      </c>
      <c r="F814" s="1" t="s">
        <v>95</v>
      </c>
      <c r="G814" s="1" t="s">
        <v>5222</v>
      </c>
      <c r="H814" s="1">
        <v>0</v>
      </c>
      <c r="I814" s="1" t="s">
        <v>117</v>
      </c>
      <c r="L814" s="1" t="s">
        <v>5223</v>
      </c>
      <c r="M814" s="1" t="s">
        <v>620</v>
      </c>
      <c r="N814" s="1">
        <v>1</v>
      </c>
      <c r="O814" s="1">
        <v>0</v>
      </c>
      <c r="P814" s="1" t="s">
        <v>183</v>
      </c>
      <c r="Q814" s="1" t="s">
        <v>184</v>
      </c>
      <c r="R814" s="1" t="s">
        <v>5224</v>
      </c>
      <c r="S814" s="1" t="s">
        <v>4403</v>
      </c>
      <c r="T814" s="1">
        <v>1</v>
      </c>
      <c r="U814" s="1">
        <v>1</v>
      </c>
      <c r="V814" s="1">
        <v>1</v>
      </c>
      <c r="W814" s="1">
        <v>0</v>
      </c>
      <c r="X814" s="1">
        <v>1</v>
      </c>
      <c r="Y814" s="1" t="s">
        <v>104</v>
      </c>
      <c r="Z814" s="1" t="s">
        <v>104</v>
      </c>
      <c r="AA814" s="1" t="s">
        <v>104</v>
      </c>
      <c r="AB814" s="1">
        <v>1</v>
      </c>
      <c r="AC814" s="1">
        <v>1</v>
      </c>
      <c r="AD814" s="1" t="s">
        <v>104</v>
      </c>
      <c r="AE814" s="1" t="s">
        <v>104</v>
      </c>
      <c r="AF814" s="1">
        <v>1</v>
      </c>
      <c r="AG814" s="1" t="s">
        <v>104</v>
      </c>
      <c r="AH814" s="1" t="s">
        <v>104</v>
      </c>
      <c r="AI814" s="1" t="s">
        <v>104</v>
      </c>
      <c r="AJ814" s="1" t="s">
        <v>104</v>
      </c>
      <c r="AK814" s="1" t="s">
        <v>104</v>
      </c>
      <c r="AL814" s="1" t="s">
        <v>104</v>
      </c>
      <c r="AM814" s="1" t="s">
        <v>104</v>
      </c>
      <c r="AO814" s="1">
        <v>1</v>
      </c>
      <c r="AQ814" s="1" t="s">
        <v>5225</v>
      </c>
      <c r="AR814" s="1">
        <v>0</v>
      </c>
      <c r="AS814" s="1">
        <v>0</v>
      </c>
      <c r="AT814" s="1">
        <v>0</v>
      </c>
      <c r="AU814" s="1">
        <v>0</v>
      </c>
      <c r="AV814" s="1">
        <v>0</v>
      </c>
      <c r="AW814" s="1">
        <v>0</v>
      </c>
      <c r="AX814" s="1">
        <v>0</v>
      </c>
      <c r="AY814" s="1">
        <v>0</v>
      </c>
      <c r="AZ814" s="1">
        <v>0</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2" t="str">
        <f>HYPERLINK("http://www.d20pfsrd.com/magic/all-spells/n/negate-aroma","Negate Aroma")</f>
        <v>Negate Aroma</v>
      </c>
      <c r="BR814" s="1">
        <v>834</v>
      </c>
      <c r="BS814" s="1" t="s">
        <v>104</v>
      </c>
      <c r="BX814" s="1">
        <v>0</v>
      </c>
      <c r="BY814" s="1" t="s">
        <v>104</v>
      </c>
      <c r="BZ814" s="1" t="s">
        <v>104</v>
      </c>
      <c r="CA814" s="1" t="s">
        <v>104</v>
      </c>
      <c r="CB814" s="1" t="s">
        <v>104</v>
      </c>
      <c r="CC814" s="1" t="s">
        <v>104</v>
      </c>
      <c r="CD814" s="1">
        <v>1</v>
      </c>
      <c r="CE814" s="1" t="s">
        <v>104</v>
      </c>
      <c r="CF814" s="1" t="s">
        <v>104</v>
      </c>
      <c r="CG814" s="1" t="s">
        <v>104</v>
      </c>
      <c r="CH814" s="1">
        <v>1</v>
      </c>
      <c r="CJ814" s="1">
        <v>0</v>
      </c>
      <c r="CK814" s="1">
        <v>0</v>
      </c>
      <c r="CL814" s="1">
        <v>0</v>
      </c>
      <c r="CM814" s="1" t="s">
        <v>104</v>
      </c>
    </row>
    <row r="815" spans="1:91" ht="14.25" customHeight="1" x14ac:dyDescent="0.3">
      <c r="A815" s="1" t="s">
        <v>5226</v>
      </c>
      <c r="B815" s="1" t="s">
        <v>162</v>
      </c>
      <c r="E815" s="1" t="s">
        <v>2036</v>
      </c>
      <c r="F815" s="1" t="s">
        <v>95</v>
      </c>
      <c r="G815" s="1" t="s">
        <v>116</v>
      </c>
      <c r="H815" s="1">
        <v>0</v>
      </c>
      <c r="I815" s="1" t="s">
        <v>157</v>
      </c>
      <c r="L815" s="1" t="s">
        <v>158</v>
      </c>
      <c r="M815" s="1" t="s">
        <v>111</v>
      </c>
      <c r="N815" s="1">
        <v>0</v>
      </c>
      <c r="O815" s="1">
        <v>0</v>
      </c>
      <c r="R815" s="1" t="s">
        <v>5227</v>
      </c>
      <c r="S815" s="1" t="s">
        <v>4403</v>
      </c>
      <c r="T815" s="1">
        <v>1</v>
      </c>
      <c r="U815" s="1">
        <v>1</v>
      </c>
      <c r="V815" s="1">
        <v>0</v>
      </c>
      <c r="W815" s="1">
        <v>0</v>
      </c>
      <c r="X815" s="1">
        <v>0</v>
      </c>
      <c r="Y815" s="1" t="s">
        <v>104</v>
      </c>
      <c r="Z815" s="1" t="s">
        <v>104</v>
      </c>
      <c r="AA815" s="1" t="s">
        <v>104</v>
      </c>
      <c r="AB815" s="1" t="s">
        <v>104</v>
      </c>
      <c r="AC815" s="1" t="s">
        <v>104</v>
      </c>
      <c r="AD815" s="1" t="s">
        <v>104</v>
      </c>
      <c r="AE815" s="1">
        <v>4</v>
      </c>
      <c r="AF815" s="1" t="s">
        <v>104</v>
      </c>
      <c r="AG815" s="1" t="s">
        <v>104</v>
      </c>
      <c r="AH815" s="1" t="s">
        <v>104</v>
      </c>
      <c r="AI815" s="1" t="s">
        <v>104</v>
      </c>
      <c r="AJ815" s="1" t="s">
        <v>104</v>
      </c>
      <c r="AK815" s="1" t="s">
        <v>104</v>
      </c>
      <c r="AL815" s="1" t="s">
        <v>104</v>
      </c>
      <c r="AM815" s="1" t="s">
        <v>104</v>
      </c>
      <c r="AO815" s="1">
        <v>4</v>
      </c>
      <c r="AQ815" s="1" t="s">
        <v>5228</v>
      </c>
      <c r="AR815" s="1">
        <v>0</v>
      </c>
      <c r="AS815" s="1">
        <v>0</v>
      </c>
      <c r="AT815" s="1">
        <v>0</v>
      </c>
      <c r="AU815" s="1">
        <v>0</v>
      </c>
      <c r="AV815" s="1">
        <v>0</v>
      </c>
      <c r="AW815" s="1">
        <v>0</v>
      </c>
      <c r="AX815" s="1">
        <v>0</v>
      </c>
      <c r="AY815" s="1">
        <v>0</v>
      </c>
      <c r="AZ815" s="1">
        <v>0</v>
      </c>
      <c r="BA815" s="1">
        <v>0</v>
      </c>
      <c r="BB815" s="1">
        <v>0</v>
      </c>
      <c r="BC815" s="1">
        <v>0</v>
      </c>
      <c r="BD815" s="1">
        <v>0</v>
      </c>
      <c r="BE815" s="1">
        <v>0</v>
      </c>
      <c r="BF815" s="1">
        <v>0</v>
      </c>
      <c r="BG815" s="1">
        <v>0</v>
      </c>
      <c r="BH815" s="1">
        <v>0</v>
      </c>
      <c r="BI815" s="1">
        <v>0</v>
      </c>
      <c r="BJ815" s="1">
        <v>0</v>
      </c>
      <c r="BK815" s="1">
        <v>0</v>
      </c>
      <c r="BL815" s="1">
        <v>0</v>
      </c>
      <c r="BM815" s="1">
        <v>0</v>
      </c>
      <c r="BN815" s="1">
        <v>0</v>
      </c>
      <c r="BO815" s="1">
        <v>0</v>
      </c>
      <c r="BP815" s="1">
        <v>0</v>
      </c>
      <c r="BQ815" s="2" t="str">
        <f>HYPERLINK("http://www.d20pfsrd.com/magic/all-spells/o/oath-of-peace","Oath of Peace")</f>
        <v>Oath of Peace</v>
      </c>
      <c r="BR815" s="1">
        <v>835</v>
      </c>
      <c r="BS815" s="1" t="s">
        <v>104</v>
      </c>
      <c r="BV815" s="1" t="s">
        <v>5229</v>
      </c>
      <c r="BX815" s="1">
        <v>1</v>
      </c>
      <c r="BY815" s="1" t="s">
        <v>104</v>
      </c>
      <c r="BZ815" s="1" t="s">
        <v>104</v>
      </c>
      <c r="CA815" s="1" t="s">
        <v>104</v>
      </c>
      <c r="CB815" s="1" t="s">
        <v>104</v>
      </c>
      <c r="CC815" s="1" t="s">
        <v>104</v>
      </c>
      <c r="CD815" s="1" t="s">
        <v>104</v>
      </c>
      <c r="CE815" s="1" t="s">
        <v>104</v>
      </c>
      <c r="CF815" s="1" t="s">
        <v>104</v>
      </c>
      <c r="CG815" s="1" t="s">
        <v>104</v>
      </c>
      <c r="CH815" s="1" t="s">
        <v>104</v>
      </c>
      <c r="CJ815" s="1">
        <v>0</v>
      </c>
      <c r="CK815" s="1">
        <v>0</v>
      </c>
      <c r="CL815" s="1">
        <v>0</v>
      </c>
      <c r="CM815" s="1" t="s">
        <v>104</v>
      </c>
    </row>
    <row r="816" spans="1:91" ht="14.25" customHeight="1" x14ac:dyDescent="0.3">
      <c r="A816" s="1" t="s">
        <v>5230</v>
      </c>
      <c r="B816" s="1" t="s">
        <v>216</v>
      </c>
      <c r="D816" s="1" t="s">
        <v>47</v>
      </c>
      <c r="E816" s="1" t="s">
        <v>5231</v>
      </c>
      <c r="F816" s="1" t="s">
        <v>95</v>
      </c>
      <c r="G816" s="1" t="s">
        <v>237</v>
      </c>
      <c r="H816" s="1">
        <v>0</v>
      </c>
      <c r="I816" s="1" t="s">
        <v>109</v>
      </c>
      <c r="L816" s="1" t="s">
        <v>1065</v>
      </c>
      <c r="M816" s="1" t="s">
        <v>2330</v>
      </c>
      <c r="N816" s="1">
        <v>0</v>
      </c>
      <c r="O816" s="1">
        <v>0</v>
      </c>
      <c r="P816" s="1" t="s">
        <v>211</v>
      </c>
      <c r="Q816" s="1" t="s">
        <v>184</v>
      </c>
      <c r="R816" s="1" t="s">
        <v>5232</v>
      </c>
      <c r="S816" s="1" t="s">
        <v>4403</v>
      </c>
      <c r="T816" s="1">
        <v>1</v>
      </c>
      <c r="U816" s="1">
        <v>0</v>
      </c>
      <c r="V816" s="1">
        <v>0</v>
      </c>
      <c r="W816" s="1">
        <v>0</v>
      </c>
      <c r="X816" s="1">
        <v>0</v>
      </c>
      <c r="Y816" s="1" t="s">
        <v>104</v>
      </c>
      <c r="Z816" s="1" t="s">
        <v>104</v>
      </c>
      <c r="AA816" s="1" t="s">
        <v>104</v>
      </c>
      <c r="AB816" s="1" t="s">
        <v>104</v>
      </c>
      <c r="AC816" s="1" t="s">
        <v>104</v>
      </c>
      <c r="AD816" s="1" t="s">
        <v>104</v>
      </c>
      <c r="AE816" s="1" t="s">
        <v>104</v>
      </c>
      <c r="AF816" s="1" t="s">
        <v>104</v>
      </c>
      <c r="AG816" s="1" t="s">
        <v>104</v>
      </c>
      <c r="AH816" s="1" t="s">
        <v>104</v>
      </c>
      <c r="AI816" s="1" t="s">
        <v>104</v>
      </c>
      <c r="AJ816" s="1">
        <v>2</v>
      </c>
      <c r="AK816" s="1" t="s">
        <v>104</v>
      </c>
      <c r="AL816" s="1" t="s">
        <v>104</v>
      </c>
      <c r="AM816" s="1" t="s">
        <v>104</v>
      </c>
      <c r="AO816" s="1">
        <v>2</v>
      </c>
      <c r="AQ816" s="1" t="s">
        <v>5233</v>
      </c>
      <c r="AR816" s="1">
        <v>0</v>
      </c>
      <c r="AS816" s="1">
        <v>0</v>
      </c>
      <c r="AT816" s="1">
        <v>0</v>
      </c>
      <c r="AU816" s="1">
        <v>0</v>
      </c>
      <c r="AV816" s="1">
        <v>1</v>
      </c>
      <c r="AW816" s="1">
        <v>0</v>
      </c>
      <c r="AX816" s="1">
        <v>0</v>
      </c>
      <c r="AY816" s="1">
        <v>0</v>
      </c>
      <c r="AZ816" s="1">
        <v>0</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2" t="str">
        <f>HYPERLINK("http://www.d20pfsrd.com/magic/all-spells/o/oracle-s-burden","Oracle's Burden")</f>
        <v>Oracle's Burden</v>
      </c>
      <c r="BR816" s="1">
        <v>836</v>
      </c>
      <c r="BS816" s="1" t="s">
        <v>104</v>
      </c>
      <c r="BX816" s="1">
        <v>0</v>
      </c>
      <c r="BY816" s="1" t="s">
        <v>104</v>
      </c>
      <c r="BZ816" s="1" t="s">
        <v>104</v>
      </c>
      <c r="CA816" s="1" t="s">
        <v>104</v>
      </c>
      <c r="CB816" s="1" t="s">
        <v>104</v>
      </c>
      <c r="CC816" s="1" t="s">
        <v>104</v>
      </c>
      <c r="CD816" s="1" t="s">
        <v>104</v>
      </c>
      <c r="CE816" s="1" t="s">
        <v>104</v>
      </c>
      <c r="CF816" s="1" t="s">
        <v>104</v>
      </c>
      <c r="CG816" s="1" t="s">
        <v>104</v>
      </c>
      <c r="CH816" s="1" t="s">
        <v>104</v>
      </c>
      <c r="CJ816" s="1">
        <v>0</v>
      </c>
      <c r="CK816" s="1">
        <v>0</v>
      </c>
      <c r="CL816" s="1">
        <v>0</v>
      </c>
      <c r="CM816" s="1" t="s">
        <v>104</v>
      </c>
    </row>
    <row r="817" spans="1:91" ht="14.25" customHeight="1" x14ac:dyDescent="0.3">
      <c r="A817" s="1" t="s">
        <v>5234</v>
      </c>
      <c r="B817" s="1" t="s">
        <v>434</v>
      </c>
      <c r="D817" s="1" t="s">
        <v>3767</v>
      </c>
      <c r="E817" s="1" t="s">
        <v>5235</v>
      </c>
      <c r="F817" s="1" t="s">
        <v>95</v>
      </c>
      <c r="G817" s="1" t="s">
        <v>116</v>
      </c>
      <c r="H817" s="1">
        <v>0</v>
      </c>
      <c r="I817" s="1" t="s">
        <v>117</v>
      </c>
      <c r="L817" s="1" t="s">
        <v>417</v>
      </c>
      <c r="M817" s="1" t="s">
        <v>426</v>
      </c>
      <c r="N817" s="1">
        <v>1</v>
      </c>
      <c r="O817" s="1">
        <v>0</v>
      </c>
      <c r="P817" s="1" t="s">
        <v>183</v>
      </c>
      <c r="Q817" s="1" t="s">
        <v>184</v>
      </c>
      <c r="R817" s="1" t="s">
        <v>5236</v>
      </c>
      <c r="S817" s="1" t="s">
        <v>4403</v>
      </c>
      <c r="T817" s="1">
        <v>1</v>
      </c>
      <c r="U817" s="1">
        <v>1</v>
      </c>
      <c r="V817" s="1">
        <v>0</v>
      </c>
      <c r="W817" s="1">
        <v>0</v>
      </c>
      <c r="X817" s="1">
        <v>0</v>
      </c>
      <c r="Y817" s="1">
        <v>3</v>
      </c>
      <c r="Z817" s="1">
        <v>3</v>
      </c>
      <c r="AA817" s="1" t="s">
        <v>104</v>
      </c>
      <c r="AB817" s="1" t="s">
        <v>104</v>
      </c>
      <c r="AC817" s="1" t="s">
        <v>104</v>
      </c>
      <c r="AD817" s="1" t="s">
        <v>104</v>
      </c>
      <c r="AE817" s="1" t="s">
        <v>104</v>
      </c>
      <c r="AF817" s="1" t="s">
        <v>104</v>
      </c>
      <c r="AG817" s="1" t="s">
        <v>104</v>
      </c>
      <c r="AH817" s="1">
        <v>3</v>
      </c>
      <c r="AI817" s="1" t="s">
        <v>104</v>
      </c>
      <c r="AJ817" s="1" t="s">
        <v>104</v>
      </c>
      <c r="AK817" s="1" t="s">
        <v>104</v>
      </c>
      <c r="AL817" s="1" t="s">
        <v>104</v>
      </c>
      <c r="AM817" s="1" t="s">
        <v>104</v>
      </c>
      <c r="AO817" s="1">
        <v>3</v>
      </c>
      <c r="AP817" s="1" t="s">
        <v>5237</v>
      </c>
      <c r="AQ817" s="1" t="s">
        <v>5238</v>
      </c>
      <c r="AR817" s="1">
        <v>0</v>
      </c>
      <c r="AS817" s="1">
        <v>0</v>
      </c>
      <c r="AT817" s="1">
        <v>0</v>
      </c>
      <c r="AU817" s="1">
        <v>0</v>
      </c>
      <c r="AV817" s="1">
        <v>0</v>
      </c>
      <c r="AW817" s="1">
        <v>0</v>
      </c>
      <c r="AX817" s="1">
        <v>0</v>
      </c>
      <c r="AY817" s="1">
        <v>0</v>
      </c>
      <c r="AZ817" s="1">
        <v>0</v>
      </c>
      <c r="BA817" s="1">
        <v>0</v>
      </c>
      <c r="BB817" s="1">
        <v>0</v>
      </c>
      <c r="BC817" s="1">
        <v>1</v>
      </c>
      <c r="BD817" s="1">
        <v>0</v>
      </c>
      <c r="BE817" s="1">
        <v>0</v>
      </c>
      <c r="BF817" s="1">
        <v>0</v>
      </c>
      <c r="BG817" s="1">
        <v>0</v>
      </c>
      <c r="BH817" s="1">
        <v>0</v>
      </c>
      <c r="BI817" s="1">
        <v>0</v>
      </c>
      <c r="BJ817" s="1">
        <v>0</v>
      </c>
      <c r="BK817" s="1">
        <v>0</v>
      </c>
      <c r="BL817" s="1">
        <v>1</v>
      </c>
      <c r="BM817" s="1">
        <v>0</v>
      </c>
      <c r="BN817" s="1">
        <v>0</v>
      </c>
      <c r="BO817" s="1">
        <v>0</v>
      </c>
      <c r="BP817" s="1">
        <v>0</v>
      </c>
      <c r="BQ817" s="2" t="str">
        <f>HYPERLINK("http://www.d20pfsrd.com/magic/all-spells/p/pain-strike","Pain Strike")</f>
        <v>Pain Strike</v>
      </c>
      <c r="BR817" s="1">
        <v>837</v>
      </c>
      <c r="BS817" s="1" t="s">
        <v>104</v>
      </c>
      <c r="BU817" s="1" t="s">
        <v>5239</v>
      </c>
      <c r="BX817" s="1">
        <v>0</v>
      </c>
      <c r="BY817" s="1">
        <v>3</v>
      </c>
      <c r="BZ817" s="1" t="s">
        <v>104</v>
      </c>
      <c r="CA817" s="1">
        <v>2</v>
      </c>
      <c r="CB817" s="1" t="s">
        <v>104</v>
      </c>
      <c r="CC817" s="1" t="s">
        <v>104</v>
      </c>
      <c r="CD817" s="1" t="s">
        <v>104</v>
      </c>
      <c r="CE817" s="1">
        <v>3</v>
      </c>
      <c r="CF817" s="1" t="s">
        <v>104</v>
      </c>
      <c r="CG817" s="1" t="s">
        <v>104</v>
      </c>
      <c r="CH817" s="1" t="s">
        <v>104</v>
      </c>
      <c r="CJ817" s="1">
        <v>0</v>
      </c>
      <c r="CK817" s="1">
        <v>0</v>
      </c>
      <c r="CL817" s="1">
        <v>0</v>
      </c>
      <c r="CM817" s="1" t="s">
        <v>104</v>
      </c>
    </row>
    <row r="818" spans="1:91" ht="14.25" customHeight="1" x14ac:dyDescent="0.3">
      <c r="A818" s="1" t="s">
        <v>5240</v>
      </c>
      <c r="B818" s="1" t="s">
        <v>434</v>
      </c>
      <c r="D818" s="1" t="s">
        <v>3767</v>
      </c>
      <c r="E818" s="1" t="s">
        <v>5241</v>
      </c>
      <c r="F818" s="1" t="s">
        <v>95</v>
      </c>
      <c r="G818" s="1" t="s">
        <v>116</v>
      </c>
      <c r="H818" s="1">
        <v>0</v>
      </c>
      <c r="I818" s="1" t="s">
        <v>117</v>
      </c>
      <c r="L818" s="1" t="s">
        <v>5242</v>
      </c>
      <c r="M818" s="1" t="s">
        <v>426</v>
      </c>
      <c r="N818" s="1">
        <v>1</v>
      </c>
      <c r="O818" s="1">
        <v>0</v>
      </c>
      <c r="P818" s="1" t="s">
        <v>183</v>
      </c>
      <c r="Q818" s="1" t="s">
        <v>184</v>
      </c>
      <c r="R818" s="1" t="s">
        <v>5243</v>
      </c>
      <c r="S818" s="1" t="s">
        <v>4403</v>
      </c>
      <c r="T818" s="1">
        <v>1</v>
      </c>
      <c r="U818" s="1">
        <v>1</v>
      </c>
      <c r="V818" s="1">
        <v>0</v>
      </c>
      <c r="W818" s="1">
        <v>0</v>
      </c>
      <c r="X818" s="1">
        <v>0</v>
      </c>
      <c r="Y818" s="1">
        <v>5</v>
      </c>
      <c r="Z818" s="1">
        <v>5</v>
      </c>
      <c r="AA818" s="1" t="s">
        <v>104</v>
      </c>
      <c r="AB818" s="1" t="s">
        <v>104</v>
      </c>
      <c r="AC818" s="1" t="s">
        <v>104</v>
      </c>
      <c r="AD818" s="1" t="s">
        <v>104</v>
      </c>
      <c r="AE818" s="1" t="s">
        <v>104</v>
      </c>
      <c r="AF818" s="1" t="s">
        <v>104</v>
      </c>
      <c r="AG818" s="1" t="s">
        <v>104</v>
      </c>
      <c r="AH818" s="1">
        <v>5</v>
      </c>
      <c r="AI818" s="1" t="s">
        <v>104</v>
      </c>
      <c r="AJ818" s="1" t="s">
        <v>104</v>
      </c>
      <c r="AK818" s="1" t="s">
        <v>104</v>
      </c>
      <c r="AL818" s="1" t="s">
        <v>104</v>
      </c>
      <c r="AM818" s="1" t="s">
        <v>104</v>
      </c>
      <c r="AO818" s="1">
        <v>5</v>
      </c>
      <c r="AQ818" s="1" t="s">
        <v>5244</v>
      </c>
      <c r="AR818" s="1">
        <v>0</v>
      </c>
      <c r="AS818" s="1">
        <v>0</v>
      </c>
      <c r="AT818" s="1">
        <v>0</v>
      </c>
      <c r="AU818" s="1">
        <v>0</v>
      </c>
      <c r="AV818" s="1">
        <v>0</v>
      </c>
      <c r="AW818" s="1">
        <v>0</v>
      </c>
      <c r="AX818" s="1">
        <v>0</v>
      </c>
      <c r="AY818" s="1">
        <v>0</v>
      </c>
      <c r="AZ818" s="1">
        <v>0</v>
      </c>
      <c r="BA818" s="1">
        <v>0</v>
      </c>
      <c r="BB818" s="1">
        <v>0</v>
      </c>
      <c r="BC818" s="1">
        <v>1</v>
      </c>
      <c r="BD818" s="1">
        <v>0</v>
      </c>
      <c r="BE818" s="1">
        <v>0</v>
      </c>
      <c r="BF818" s="1">
        <v>0</v>
      </c>
      <c r="BG818" s="1">
        <v>0</v>
      </c>
      <c r="BH818" s="1">
        <v>0</v>
      </c>
      <c r="BI818" s="1">
        <v>0</v>
      </c>
      <c r="BJ818" s="1">
        <v>0</v>
      </c>
      <c r="BK818" s="1">
        <v>0</v>
      </c>
      <c r="BL818" s="1">
        <v>1</v>
      </c>
      <c r="BM818" s="1">
        <v>0</v>
      </c>
      <c r="BN818" s="1">
        <v>0</v>
      </c>
      <c r="BO818" s="1">
        <v>0</v>
      </c>
      <c r="BP818" s="1">
        <v>0</v>
      </c>
      <c r="BQ818" s="2" t="str">
        <f>HYPERLINK("http://www.d20pfsrd.com/magic/all-spells/p/pain-strike,-mass","Pain Strike, Mass")</f>
        <v>Pain Strike, Mass</v>
      </c>
      <c r="BR818" s="1">
        <v>838</v>
      </c>
      <c r="BS818" s="1" t="s">
        <v>104</v>
      </c>
      <c r="BU818" s="1" t="s">
        <v>5245</v>
      </c>
      <c r="BX818" s="1">
        <v>0</v>
      </c>
      <c r="BY818" s="1" t="s">
        <v>104</v>
      </c>
      <c r="BZ818" s="1" t="s">
        <v>104</v>
      </c>
      <c r="CA818" s="1">
        <v>4</v>
      </c>
      <c r="CB818" s="1" t="s">
        <v>104</v>
      </c>
      <c r="CC818" s="1" t="s">
        <v>104</v>
      </c>
      <c r="CD818" s="1" t="s">
        <v>104</v>
      </c>
      <c r="CE818" s="1">
        <v>5</v>
      </c>
      <c r="CF818" s="1" t="s">
        <v>104</v>
      </c>
      <c r="CG818" s="1" t="s">
        <v>104</v>
      </c>
      <c r="CH818" s="1" t="s">
        <v>104</v>
      </c>
      <c r="CJ818" s="1">
        <v>0</v>
      </c>
      <c r="CK818" s="1">
        <v>0</v>
      </c>
      <c r="CL818" s="1">
        <v>0</v>
      </c>
      <c r="CM818" s="1" t="s">
        <v>104</v>
      </c>
    </row>
    <row r="819" spans="1:91" ht="14.25" customHeight="1" x14ac:dyDescent="0.3">
      <c r="A819" s="1" t="s">
        <v>5246</v>
      </c>
      <c r="B819" s="1" t="s">
        <v>162</v>
      </c>
      <c r="E819" s="1" t="s">
        <v>4471</v>
      </c>
      <c r="F819" s="1" t="s">
        <v>1502</v>
      </c>
      <c r="G819" s="1" t="s">
        <v>4639</v>
      </c>
      <c r="H819" s="1">
        <v>0</v>
      </c>
      <c r="I819" s="1" t="s">
        <v>117</v>
      </c>
      <c r="L819" s="1" t="s">
        <v>1065</v>
      </c>
      <c r="M819" s="1" t="s">
        <v>119</v>
      </c>
      <c r="N819" s="1">
        <v>0</v>
      </c>
      <c r="O819" s="1">
        <v>0</v>
      </c>
      <c r="P819" s="1" t="s">
        <v>1058</v>
      </c>
      <c r="Q819" s="1" t="s">
        <v>131</v>
      </c>
      <c r="R819" s="1" t="s">
        <v>5247</v>
      </c>
      <c r="S819" s="1" t="s">
        <v>4403</v>
      </c>
      <c r="T819" s="1">
        <v>1</v>
      </c>
      <c r="U819" s="1">
        <v>0</v>
      </c>
      <c r="V819" s="1">
        <v>0</v>
      </c>
      <c r="W819" s="1">
        <v>0</v>
      </c>
      <c r="X819" s="1">
        <v>1</v>
      </c>
      <c r="Y819" s="1" t="s">
        <v>104</v>
      </c>
      <c r="Z819" s="1" t="s">
        <v>104</v>
      </c>
      <c r="AA819" s="1" t="s">
        <v>104</v>
      </c>
      <c r="AB819" s="1" t="s">
        <v>104</v>
      </c>
      <c r="AC819" s="1" t="s">
        <v>104</v>
      </c>
      <c r="AD819" s="1" t="s">
        <v>104</v>
      </c>
      <c r="AE819" s="1">
        <v>2</v>
      </c>
      <c r="AF819" s="1" t="s">
        <v>104</v>
      </c>
      <c r="AG819" s="1" t="s">
        <v>104</v>
      </c>
      <c r="AH819" s="1" t="s">
        <v>104</v>
      </c>
      <c r="AI819" s="1" t="s">
        <v>104</v>
      </c>
      <c r="AJ819" s="1" t="s">
        <v>104</v>
      </c>
      <c r="AK819" s="1" t="s">
        <v>104</v>
      </c>
      <c r="AL819" s="1" t="s">
        <v>104</v>
      </c>
      <c r="AM819" s="1" t="s">
        <v>104</v>
      </c>
      <c r="AO819" s="1">
        <v>2</v>
      </c>
      <c r="AQ819" s="1" t="s">
        <v>5248</v>
      </c>
      <c r="AR819" s="1">
        <v>0</v>
      </c>
      <c r="AS819" s="1">
        <v>0</v>
      </c>
      <c r="AT819" s="1">
        <v>0</v>
      </c>
      <c r="AU819" s="1">
        <v>0</v>
      </c>
      <c r="AV819" s="1">
        <v>0</v>
      </c>
      <c r="AW819" s="1">
        <v>0</v>
      </c>
      <c r="AX819" s="1">
        <v>0</v>
      </c>
      <c r="AY819" s="1">
        <v>0</v>
      </c>
      <c r="AZ819" s="1">
        <v>0</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2" t="str">
        <f>HYPERLINK("http://www.d20pfsrd.com/magic/all-spells/p/paladin-s-sacrifice","Paladin's Sacrifice")</f>
        <v>Paladin's Sacrifice</v>
      </c>
      <c r="BR819" s="1">
        <v>839</v>
      </c>
      <c r="BS819" s="1" t="s">
        <v>104</v>
      </c>
      <c r="BX819" s="1">
        <v>0</v>
      </c>
      <c r="BY819" s="1" t="s">
        <v>104</v>
      </c>
      <c r="BZ819" s="1" t="s">
        <v>104</v>
      </c>
      <c r="CA819" s="1" t="s">
        <v>104</v>
      </c>
      <c r="CB819" s="1" t="s">
        <v>104</v>
      </c>
      <c r="CC819" s="1" t="s">
        <v>104</v>
      </c>
      <c r="CD819" s="1" t="s">
        <v>104</v>
      </c>
      <c r="CE819" s="1" t="s">
        <v>104</v>
      </c>
      <c r="CF819" s="1" t="s">
        <v>104</v>
      </c>
      <c r="CG819" s="1" t="s">
        <v>104</v>
      </c>
      <c r="CH819" s="1" t="s">
        <v>104</v>
      </c>
      <c r="CJ819" s="1">
        <v>0</v>
      </c>
      <c r="CK819" s="1">
        <v>0</v>
      </c>
      <c r="CL819" s="1">
        <v>0</v>
      </c>
      <c r="CM819" s="1" t="s">
        <v>104</v>
      </c>
    </row>
    <row r="820" spans="1:91" ht="14.25" customHeight="1" x14ac:dyDescent="0.3">
      <c r="A820" s="1" t="s">
        <v>5249</v>
      </c>
      <c r="B820" s="1" t="s">
        <v>507</v>
      </c>
      <c r="C820" s="1" t="s">
        <v>1308</v>
      </c>
      <c r="D820" s="1" t="s">
        <v>3185</v>
      </c>
      <c r="E820" s="1" t="s">
        <v>5250</v>
      </c>
      <c r="F820" s="1" t="s">
        <v>95</v>
      </c>
      <c r="G820" s="1" t="s">
        <v>116</v>
      </c>
      <c r="H820" s="1">
        <v>0</v>
      </c>
      <c r="I820" s="1" t="s">
        <v>5251</v>
      </c>
      <c r="L820" s="1" t="s">
        <v>5252</v>
      </c>
      <c r="M820" s="1" t="s">
        <v>119</v>
      </c>
      <c r="N820" s="1">
        <v>0</v>
      </c>
      <c r="O820" s="1">
        <v>0</v>
      </c>
      <c r="P820" s="1" t="s">
        <v>5253</v>
      </c>
      <c r="Q820" s="1" t="s">
        <v>184</v>
      </c>
      <c r="R820" s="1" t="s">
        <v>5254</v>
      </c>
      <c r="S820" s="1" t="s">
        <v>4403</v>
      </c>
      <c r="T820" s="1">
        <v>1</v>
      </c>
      <c r="U820" s="1">
        <v>1</v>
      </c>
      <c r="V820" s="1">
        <v>0</v>
      </c>
      <c r="W820" s="1">
        <v>0</v>
      </c>
      <c r="X820" s="1">
        <v>0</v>
      </c>
      <c r="Y820" s="1">
        <v>7</v>
      </c>
      <c r="Z820" s="1">
        <v>7</v>
      </c>
      <c r="AA820" s="1" t="s">
        <v>104</v>
      </c>
      <c r="AB820" s="1" t="s">
        <v>104</v>
      </c>
      <c r="AC820" s="1" t="s">
        <v>104</v>
      </c>
      <c r="AD820" s="1" t="s">
        <v>104</v>
      </c>
      <c r="AE820" s="1" t="s">
        <v>104</v>
      </c>
      <c r="AF820" s="1" t="s">
        <v>104</v>
      </c>
      <c r="AG820" s="1" t="s">
        <v>104</v>
      </c>
      <c r="AH820" s="1" t="s">
        <v>104</v>
      </c>
      <c r="AI820" s="1" t="s">
        <v>104</v>
      </c>
      <c r="AJ820" s="1" t="s">
        <v>104</v>
      </c>
      <c r="AK820" s="1" t="s">
        <v>104</v>
      </c>
      <c r="AL820" s="1" t="s">
        <v>104</v>
      </c>
      <c r="AM820" s="1" t="s">
        <v>104</v>
      </c>
      <c r="AO820" s="1">
        <v>7</v>
      </c>
      <c r="AQ820" s="1" t="s">
        <v>5255</v>
      </c>
      <c r="AR820" s="1">
        <v>0</v>
      </c>
      <c r="AS820" s="1">
        <v>0</v>
      </c>
      <c r="AT820" s="1">
        <v>0</v>
      </c>
      <c r="AU820" s="1">
        <v>0</v>
      </c>
      <c r="AV820" s="1">
        <v>0</v>
      </c>
      <c r="AW820" s="1">
        <v>0</v>
      </c>
      <c r="AX820" s="1">
        <v>0</v>
      </c>
      <c r="AY820" s="1">
        <v>0</v>
      </c>
      <c r="AZ820" s="1">
        <v>0</v>
      </c>
      <c r="BA820" s="1">
        <v>0</v>
      </c>
      <c r="BB820" s="1">
        <v>1</v>
      </c>
      <c r="BC820" s="1">
        <v>0</v>
      </c>
      <c r="BD820" s="1">
        <v>1</v>
      </c>
      <c r="BE820" s="1">
        <v>0</v>
      </c>
      <c r="BF820" s="1">
        <v>0</v>
      </c>
      <c r="BG820" s="1">
        <v>0</v>
      </c>
      <c r="BH820" s="1">
        <v>0</v>
      </c>
      <c r="BI820" s="1">
        <v>0</v>
      </c>
      <c r="BJ820" s="1">
        <v>0</v>
      </c>
      <c r="BK820" s="1">
        <v>1</v>
      </c>
      <c r="BL820" s="1">
        <v>0</v>
      </c>
      <c r="BM820" s="1">
        <v>0</v>
      </c>
      <c r="BN820" s="1">
        <v>0</v>
      </c>
      <c r="BO820" s="1">
        <v>0</v>
      </c>
      <c r="BP820" s="1">
        <v>0</v>
      </c>
      <c r="BQ820" s="2" t="str">
        <f>HYPERLINK("http://www.d20pfsrd.com/magic/all-spells/p/phantasmal-revenge","Phantasmal Revenge")</f>
        <v>Phantasmal Revenge</v>
      </c>
      <c r="BR820" s="1">
        <v>840</v>
      </c>
      <c r="BS820" s="1" t="s">
        <v>104</v>
      </c>
      <c r="BU820" s="1" t="s">
        <v>5256</v>
      </c>
      <c r="BX820" s="1">
        <v>0</v>
      </c>
      <c r="BY820" s="1" t="s">
        <v>104</v>
      </c>
      <c r="BZ820" s="1" t="s">
        <v>104</v>
      </c>
      <c r="CA820" s="1">
        <v>7</v>
      </c>
      <c r="CB820" s="1" t="s">
        <v>104</v>
      </c>
      <c r="CC820" s="1">
        <v>6</v>
      </c>
      <c r="CD820" s="1" t="s">
        <v>104</v>
      </c>
      <c r="CE820" s="1" t="s">
        <v>104</v>
      </c>
      <c r="CF820" s="1" t="s">
        <v>104</v>
      </c>
      <c r="CG820" s="1" t="s">
        <v>104</v>
      </c>
      <c r="CH820" s="1" t="s">
        <v>104</v>
      </c>
      <c r="CJ820" s="1">
        <v>0</v>
      </c>
      <c r="CK820" s="1">
        <v>0</v>
      </c>
      <c r="CL820" s="1">
        <v>0</v>
      </c>
      <c r="CM820" s="1" t="s">
        <v>104</v>
      </c>
    </row>
    <row r="821" spans="1:91" ht="14.25" customHeight="1" x14ac:dyDescent="0.3">
      <c r="A821" s="1" t="s">
        <v>5257</v>
      </c>
      <c r="B821" s="1" t="s">
        <v>507</v>
      </c>
      <c r="C821" s="1" t="s">
        <v>1308</v>
      </c>
      <c r="D821" s="1" t="s">
        <v>125</v>
      </c>
      <c r="E821" s="1" t="s">
        <v>5258</v>
      </c>
      <c r="F821" s="1" t="s">
        <v>95</v>
      </c>
      <c r="G821" s="1" t="s">
        <v>116</v>
      </c>
      <c r="H821" s="1">
        <v>0</v>
      </c>
      <c r="I821" s="1" t="s">
        <v>109</v>
      </c>
      <c r="L821" s="1" t="s">
        <v>5259</v>
      </c>
      <c r="M821" s="1" t="s">
        <v>426</v>
      </c>
      <c r="N821" s="1">
        <v>1</v>
      </c>
      <c r="O821" s="1">
        <v>0</v>
      </c>
      <c r="P821" s="1" t="s">
        <v>2706</v>
      </c>
      <c r="Q821" s="1" t="s">
        <v>184</v>
      </c>
      <c r="R821" s="1" t="s">
        <v>5260</v>
      </c>
      <c r="S821" s="1" t="s">
        <v>4403</v>
      </c>
      <c r="T821" s="1">
        <v>1</v>
      </c>
      <c r="U821" s="1">
        <v>1</v>
      </c>
      <c r="V821" s="1">
        <v>0</v>
      </c>
      <c r="W821" s="1">
        <v>0</v>
      </c>
      <c r="X821" s="1">
        <v>0</v>
      </c>
      <c r="Y821" s="1">
        <v>5</v>
      </c>
      <c r="Z821" s="1">
        <v>5</v>
      </c>
      <c r="AA821" s="1" t="s">
        <v>104</v>
      </c>
      <c r="AB821" s="1" t="s">
        <v>104</v>
      </c>
      <c r="AC821" s="1" t="s">
        <v>104</v>
      </c>
      <c r="AD821" s="1">
        <v>5</v>
      </c>
      <c r="AE821" s="1" t="s">
        <v>104</v>
      </c>
      <c r="AF821" s="1" t="s">
        <v>104</v>
      </c>
      <c r="AG821" s="1" t="s">
        <v>104</v>
      </c>
      <c r="AH821" s="1" t="s">
        <v>104</v>
      </c>
      <c r="AI821" s="1" t="s">
        <v>104</v>
      </c>
      <c r="AJ821" s="1" t="s">
        <v>104</v>
      </c>
      <c r="AK821" s="1" t="s">
        <v>104</v>
      </c>
      <c r="AL821" s="1" t="s">
        <v>104</v>
      </c>
      <c r="AM821" s="1" t="s">
        <v>104</v>
      </c>
      <c r="AO821" s="1">
        <v>5</v>
      </c>
      <c r="AP821" s="1" t="s">
        <v>5261</v>
      </c>
      <c r="AQ821" s="1" t="s">
        <v>5262</v>
      </c>
      <c r="AR821" s="1">
        <v>0</v>
      </c>
      <c r="AS821" s="1">
        <v>0</v>
      </c>
      <c r="AT821" s="1">
        <v>0</v>
      </c>
      <c r="AU821" s="1">
        <v>0</v>
      </c>
      <c r="AV821" s="1">
        <v>0</v>
      </c>
      <c r="AW821" s="1">
        <v>0</v>
      </c>
      <c r="AX821" s="1">
        <v>0</v>
      </c>
      <c r="AY821" s="1">
        <v>0</v>
      </c>
      <c r="AZ821" s="1">
        <v>0</v>
      </c>
      <c r="BA821" s="1">
        <v>0</v>
      </c>
      <c r="BB821" s="1">
        <v>0</v>
      </c>
      <c r="BC821" s="1">
        <v>0</v>
      </c>
      <c r="BD821" s="1">
        <v>0</v>
      </c>
      <c r="BE821" s="1">
        <v>0</v>
      </c>
      <c r="BF821" s="1">
        <v>0</v>
      </c>
      <c r="BG821" s="1">
        <v>0</v>
      </c>
      <c r="BH821" s="1">
        <v>0</v>
      </c>
      <c r="BI821" s="1">
        <v>0</v>
      </c>
      <c r="BJ821" s="1">
        <v>0</v>
      </c>
      <c r="BK821" s="1">
        <v>1</v>
      </c>
      <c r="BL821" s="1">
        <v>0</v>
      </c>
      <c r="BM821" s="1">
        <v>0</v>
      </c>
      <c r="BN821" s="1">
        <v>0</v>
      </c>
      <c r="BO821" s="1">
        <v>0</v>
      </c>
      <c r="BP821" s="1">
        <v>0</v>
      </c>
      <c r="BQ821" s="2" t="str">
        <f>HYPERLINK("http://www.d20pfsrd.com/magic/all-spells/p/phantasmal-web","Phantasmal Web")</f>
        <v>Phantasmal Web</v>
      </c>
      <c r="BR821" s="1">
        <v>841</v>
      </c>
      <c r="BS821" s="1" t="s">
        <v>104</v>
      </c>
      <c r="BX821" s="1">
        <v>0</v>
      </c>
      <c r="BY821" s="1" t="s">
        <v>104</v>
      </c>
      <c r="BZ821" s="1" t="s">
        <v>104</v>
      </c>
      <c r="CA821" s="1">
        <v>5</v>
      </c>
      <c r="CB821" s="1" t="s">
        <v>104</v>
      </c>
      <c r="CC821" s="1">
        <v>5</v>
      </c>
      <c r="CD821" s="1" t="s">
        <v>104</v>
      </c>
      <c r="CE821" s="1">
        <v>5</v>
      </c>
      <c r="CF821" s="1" t="s">
        <v>104</v>
      </c>
      <c r="CG821" s="1" t="s">
        <v>104</v>
      </c>
      <c r="CH821" s="1" t="s">
        <v>104</v>
      </c>
      <c r="CJ821" s="1">
        <v>0</v>
      </c>
      <c r="CK821" s="1">
        <v>0</v>
      </c>
      <c r="CL821" s="1">
        <v>0</v>
      </c>
      <c r="CM821" s="1" t="s">
        <v>104</v>
      </c>
    </row>
    <row r="822" spans="1:91" ht="14.25" customHeight="1" x14ac:dyDescent="0.3">
      <c r="A822" s="1" t="s">
        <v>5263</v>
      </c>
      <c r="B822" s="1" t="s">
        <v>123</v>
      </c>
      <c r="C822" s="1" t="s">
        <v>124</v>
      </c>
      <c r="D822" s="1" t="s">
        <v>207</v>
      </c>
      <c r="E822" s="1" t="s">
        <v>3789</v>
      </c>
      <c r="F822" s="1" t="s">
        <v>95</v>
      </c>
      <c r="G822" s="1" t="s">
        <v>5264</v>
      </c>
      <c r="H822" s="1">
        <v>0</v>
      </c>
      <c r="I822" s="1" t="s">
        <v>5265</v>
      </c>
      <c r="J822" s="1" t="s">
        <v>5266</v>
      </c>
      <c r="M822" s="1" t="s">
        <v>2313</v>
      </c>
      <c r="N822" s="1">
        <v>0</v>
      </c>
      <c r="O822" s="1">
        <v>0</v>
      </c>
      <c r="P822" s="1" t="s">
        <v>629</v>
      </c>
      <c r="Q822" s="1" t="s">
        <v>184</v>
      </c>
      <c r="R822" s="1" t="s">
        <v>5267</v>
      </c>
      <c r="S822" s="1" t="s">
        <v>4403</v>
      </c>
      <c r="T822" s="1">
        <v>1</v>
      </c>
      <c r="U822" s="1">
        <v>0</v>
      </c>
      <c r="V822" s="1">
        <v>0</v>
      </c>
      <c r="W822" s="1">
        <v>0</v>
      </c>
      <c r="X822" s="1">
        <v>0</v>
      </c>
      <c r="Y822" s="1" t="s">
        <v>104</v>
      </c>
      <c r="Z822" s="1" t="s">
        <v>104</v>
      </c>
      <c r="AA822" s="1" t="s">
        <v>104</v>
      </c>
      <c r="AB822" s="1" t="s">
        <v>104</v>
      </c>
      <c r="AC822" s="1" t="s">
        <v>104</v>
      </c>
      <c r="AD822" s="1">
        <v>6</v>
      </c>
      <c r="AE822" s="1" t="s">
        <v>104</v>
      </c>
      <c r="AF822" s="1" t="s">
        <v>104</v>
      </c>
      <c r="AG822" s="1" t="s">
        <v>104</v>
      </c>
      <c r="AH822" s="1" t="s">
        <v>104</v>
      </c>
      <c r="AI822" s="1" t="s">
        <v>104</v>
      </c>
      <c r="AJ822" s="1" t="s">
        <v>104</v>
      </c>
      <c r="AK822" s="1" t="s">
        <v>104</v>
      </c>
      <c r="AL822" s="1" t="s">
        <v>104</v>
      </c>
      <c r="AM822" s="1" t="s">
        <v>104</v>
      </c>
      <c r="AO822" s="1">
        <v>6</v>
      </c>
      <c r="AQ822" s="1" t="s">
        <v>5268</v>
      </c>
      <c r="AR822" s="1">
        <v>0</v>
      </c>
      <c r="AS822" s="1">
        <v>0</v>
      </c>
      <c r="AT822" s="1">
        <v>0</v>
      </c>
      <c r="AU822" s="1">
        <v>0</v>
      </c>
      <c r="AV822" s="1">
        <v>0</v>
      </c>
      <c r="AW822" s="1">
        <v>0</v>
      </c>
      <c r="AX822" s="1">
        <v>0</v>
      </c>
      <c r="AY822" s="1">
        <v>0</v>
      </c>
      <c r="AZ822" s="1">
        <v>0</v>
      </c>
      <c r="BA822" s="1">
        <v>0</v>
      </c>
      <c r="BB822" s="1">
        <v>0</v>
      </c>
      <c r="BC822" s="1">
        <v>0</v>
      </c>
      <c r="BD822" s="1">
        <v>0</v>
      </c>
      <c r="BE822" s="1">
        <v>0</v>
      </c>
      <c r="BF822" s="1">
        <v>0</v>
      </c>
      <c r="BG822" s="1">
        <v>0</v>
      </c>
      <c r="BH822" s="1">
        <v>0</v>
      </c>
      <c r="BI822" s="1">
        <v>0</v>
      </c>
      <c r="BJ822" s="1">
        <v>0</v>
      </c>
      <c r="BK822" s="1">
        <v>1</v>
      </c>
      <c r="BL822" s="1">
        <v>0</v>
      </c>
      <c r="BM822" s="1">
        <v>0</v>
      </c>
      <c r="BN822" s="1">
        <v>0</v>
      </c>
      <c r="BO822" s="1">
        <v>1</v>
      </c>
      <c r="BP822" s="1">
        <v>0</v>
      </c>
      <c r="BQ822" s="2" t="str">
        <f>HYPERLINK("http://www.d20pfsrd.com/magic/all-spells/p/pied-piping","Pied Piping")</f>
        <v>Pied Piping</v>
      </c>
      <c r="BR822" s="1">
        <v>842</v>
      </c>
      <c r="BS822" s="1" t="s">
        <v>104</v>
      </c>
      <c r="BX822" s="1">
        <v>0</v>
      </c>
      <c r="BY822" s="1" t="s">
        <v>104</v>
      </c>
      <c r="BZ822" s="1" t="s">
        <v>104</v>
      </c>
      <c r="CA822" s="1" t="s">
        <v>104</v>
      </c>
      <c r="CB822" s="1" t="s">
        <v>104</v>
      </c>
      <c r="CC822" s="1" t="s">
        <v>104</v>
      </c>
      <c r="CD822" s="1" t="s">
        <v>104</v>
      </c>
      <c r="CE822" s="1" t="s">
        <v>104</v>
      </c>
      <c r="CF822" s="1" t="s">
        <v>104</v>
      </c>
      <c r="CG822" s="1" t="s">
        <v>104</v>
      </c>
      <c r="CH822" s="1" t="s">
        <v>104</v>
      </c>
      <c r="CJ822" s="1">
        <v>0</v>
      </c>
      <c r="CK822" s="1">
        <v>0</v>
      </c>
      <c r="CL822" s="1">
        <v>0</v>
      </c>
      <c r="CM822" s="1" t="s">
        <v>104</v>
      </c>
    </row>
    <row r="823" spans="1:91" ht="14.25" customHeight="1" x14ac:dyDescent="0.3">
      <c r="A823" s="1" t="s">
        <v>5269</v>
      </c>
      <c r="B823" s="1" t="s">
        <v>92</v>
      </c>
      <c r="C823" s="1" t="s">
        <v>523</v>
      </c>
      <c r="D823" s="1" t="s">
        <v>61</v>
      </c>
      <c r="E823" s="1" t="s">
        <v>4272</v>
      </c>
      <c r="F823" s="1" t="s">
        <v>95</v>
      </c>
      <c r="G823" s="1" t="s">
        <v>127</v>
      </c>
      <c r="H823" s="1">
        <v>0</v>
      </c>
      <c r="I823" s="1" t="s">
        <v>109</v>
      </c>
      <c r="K823" s="1" t="s">
        <v>5270</v>
      </c>
      <c r="M823" s="1" t="s">
        <v>111</v>
      </c>
      <c r="N823" s="1">
        <v>0</v>
      </c>
      <c r="O823" s="1">
        <v>0</v>
      </c>
      <c r="P823" s="1" t="s">
        <v>100</v>
      </c>
      <c r="Q823" s="1" t="s">
        <v>101</v>
      </c>
      <c r="R823" s="1" t="s">
        <v>5271</v>
      </c>
      <c r="S823" s="1" t="s">
        <v>4403</v>
      </c>
      <c r="T823" s="1">
        <v>1</v>
      </c>
      <c r="U823" s="1">
        <v>1</v>
      </c>
      <c r="V823" s="1">
        <v>0</v>
      </c>
      <c r="W823" s="1">
        <v>0</v>
      </c>
      <c r="X823" s="1">
        <v>1</v>
      </c>
      <c r="Y823" s="1" t="s">
        <v>104</v>
      </c>
      <c r="Z823" s="1" t="s">
        <v>104</v>
      </c>
      <c r="AA823" s="1">
        <v>5</v>
      </c>
      <c r="AB823" s="1" t="s">
        <v>104</v>
      </c>
      <c r="AC823" s="1" t="s">
        <v>104</v>
      </c>
      <c r="AD823" s="1" t="s">
        <v>104</v>
      </c>
      <c r="AE823" s="1" t="s">
        <v>104</v>
      </c>
      <c r="AF823" s="1" t="s">
        <v>104</v>
      </c>
      <c r="AG823" s="1" t="s">
        <v>104</v>
      </c>
      <c r="AH823" s="1" t="s">
        <v>104</v>
      </c>
      <c r="AI823" s="1" t="s">
        <v>104</v>
      </c>
      <c r="AJ823" s="1">
        <v>5</v>
      </c>
      <c r="AK823" s="1" t="s">
        <v>104</v>
      </c>
      <c r="AL823" s="1" t="s">
        <v>104</v>
      </c>
      <c r="AM823" s="1" t="s">
        <v>104</v>
      </c>
      <c r="AO823" s="1">
        <v>5</v>
      </c>
      <c r="AQ823" s="1" t="s">
        <v>5272</v>
      </c>
      <c r="AR823" s="1">
        <v>0</v>
      </c>
      <c r="AS823" s="1">
        <v>0</v>
      </c>
      <c r="AT823" s="1">
        <v>0</v>
      </c>
      <c r="AU823" s="1">
        <v>0</v>
      </c>
      <c r="AV823" s="1">
        <v>0</v>
      </c>
      <c r="AW823" s="1">
        <v>0</v>
      </c>
      <c r="AX823" s="1">
        <v>0</v>
      </c>
      <c r="AY823" s="1">
        <v>0</v>
      </c>
      <c r="AZ823" s="1">
        <v>0</v>
      </c>
      <c r="BA823" s="1">
        <v>0</v>
      </c>
      <c r="BB823" s="1">
        <v>0</v>
      </c>
      <c r="BC823" s="1">
        <v>0</v>
      </c>
      <c r="BD823" s="1">
        <v>0</v>
      </c>
      <c r="BE823" s="1">
        <v>0</v>
      </c>
      <c r="BF823" s="1">
        <v>0</v>
      </c>
      <c r="BG823" s="1">
        <v>0</v>
      </c>
      <c r="BH823" s="1">
        <v>0</v>
      </c>
      <c r="BI823" s="1">
        <v>0</v>
      </c>
      <c r="BJ823" s="1">
        <v>1</v>
      </c>
      <c r="BK823" s="1">
        <v>0</v>
      </c>
      <c r="BL823" s="1">
        <v>0</v>
      </c>
      <c r="BM823" s="1">
        <v>0</v>
      </c>
      <c r="BN823" s="1">
        <v>0</v>
      </c>
      <c r="BO823" s="1">
        <v>0</v>
      </c>
      <c r="BP823" s="1">
        <v>0</v>
      </c>
      <c r="BQ823" s="2" t="str">
        <f>HYPERLINK("http://www.d20pfsrd.com/magic/all-spells/p/pillar-of-life","Pillar of Life")</f>
        <v>Pillar of Life</v>
      </c>
      <c r="BR823" s="1">
        <v>843</v>
      </c>
      <c r="BS823" s="1" t="s">
        <v>104</v>
      </c>
      <c r="BU823" s="1" t="s">
        <v>5273</v>
      </c>
      <c r="BV823" s="1" t="s">
        <v>5274</v>
      </c>
      <c r="BX823" s="1">
        <v>1</v>
      </c>
      <c r="BY823" s="1" t="s">
        <v>104</v>
      </c>
      <c r="BZ823" s="1" t="s">
        <v>104</v>
      </c>
      <c r="CA823" s="1" t="s">
        <v>104</v>
      </c>
      <c r="CB823" s="1" t="s">
        <v>104</v>
      </c>
      <c r="CC823" s="1" t="s">
        <v>104</v>
      </c>
      <c r="CD823" s="1" t="s">
        <v>104</v>
      </c>
      <c r="CE823" s="1" t="s">
        <v>104</v>
      </c>
      <c r="CF823" s="1" t="s">
        <v>104</v>
      </c>
      <c r="CG823" s="1" t="s">
        <v>104</v>
      </c>
      <c r="CH823" s="1" t="s">
        <v>104</v>
      </c>
      <c r="CJ823" s="1">
        <v>0</v>
      </c>
      <c r="CK823" s="1">
        <v>0</v>
      </c>
      <c r="CL823" s="1">
        <v>0</v>
      </c>
      <c r="CM823" s="1" t="s">
        <v>104</v>
      </c>
    </row>
    <row r="824" spans="1:91" ht="14.25" customHeight="1" x14ac:dyDescent="0.3">
      <c r="A824" s="1" t="s">
        <v>5275</v>
      </c>
      <c r="B824" s="1" t="s">
        <v>137</v>
      </c>
      <c r="E824" s="1" t="s">
        <v>5276</v>
      </c>
      <c r="F824" s="1" t="s">
        <v>95</v>
      </c>
      <c r="G824" s="1" t="s">
        <v>237</v>
      </c>
      <c r="H824" s="1">
        <v>0</v>
      </c>
      <c r="I824" s="1" t="s">
        <v>157</v>
      </c>
      <c r="L824" s="1" t="s">
        <v>158</v>
      </c>
      <c r="M824" s="1" t="s">
        <v>620</v>
      </c>
      <c r="N824" s="1">
        <v>1</v>
      </c>
      <c r="O824" s="1">
        <v>0</v>
      </c>
      <c r="R824" s="1" t="s">
        <v>5277</v>
      </c>
      <c r="S824" s="1" t="s">
        <v>4403</v>
      </c>
      <c r="T824" s="1">
        <v>1</v>
      </c>
      <c r="U824" s="1">
        <v>0</v>
      </c>
      <c r="V824" s="1">
        <v>0</v>
      </c>
      <c r="W824" s="1">
        <v>0</v>
      </c>
      <c r="X824" s="1">
        <v>0</v>
      </c>
      <c r="Y824" s="1">
        <v>5</v>
      </c>
      <c r="Z824" s="1">
        <v>5</v>
      </c>
      <c r="AA824" s="1">
        <v>4</v>
      </c>
      <c r="AB824" s="1" t="s">
        <v>104</v>
      </c>
      <c r="AC824" s="1" t="s">
        <v>104</v>
      </c>
      <c r="AD824" s="1" t="s">
        <v>104</v>
      </c>
      <c r="AE824" s="1" t="s">
        <v>104</v>
      </c>
      <c r="AF824" s="1">
        <v>5</v>
      </c>
      <c r="AG824" s="1">
        <v>5</v>
      </c>
      <c r="AH824" s="1" t="s">
        <v>104</v>
      </c>
      <c r="AI824" s="1" t="s">
        <v>104</v>
      </c>
      <c r="AJ824" s="1">
        <v>4</v>
      </c>
      <c r="AK824" s="1" t="s">
        <v>104</v>
      </c>
      <c r="AL824" s="1" t="s">
        <v>104</v>
      </c>
      <c r="AM824" s="1" t="s">
        <v>104</v>
      </c>
      <c r="AO824" s="1">
        <v>5</v>
      </c>
      <c r="AQ824" s="1" t="s">
        <v>5278</v>
      </c>
      <c r="AR824" s="1">
        <v>0</v>
      </c>
      <c r="AS824" s="1">
        <v>0</v>
      </c>
      <c r="AT824" s="1">
        <v>0</v>
      </c>
      <c r="AU824" s="1">
        <v>0</v>
      </c>
      <c r="AV824" s="1">
        <v>0</v>
      </c>
      <c r="AW824" s="1">
        <v>0</v>
      </c>
      <c r="AX824" s="1">
        <v>0</v>
      </c>
      <c r="AY824" s="1">
        <v>0</v>
      </c>
      <c r="AZ824" s="1">
        <v>0</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2" t="str">
        <f>HYPERLINK("http://www.d20pfsrd.com/magic/all-spells/p/planar-adaptation","Planar Adaptation")</f>
        <v>Planar Adaptation</v>
      </c>
      <c r="BR824" s="1">
        <v>844</v>
      </c>
      <c r="BS824" s="1" t="s">
        <v>104</v>
      </c>
      <c r="BX824" s="1">
        <v>0</v>
      </c>
      <c r="BY824" s="1" t="s">
        <v>104</v>
      </c>
      <c r="BZ824" s="1" t="s">
        <v>104</v>
      </c>
      <c r="CA824" s="1">
        <v>4</v>
      </c>
      <c r="CB824" s="1">
        <v>4</v>
      </c>
      <c r="CC824" s="1" t="s">
        <v>104</v>
      </c>
      <c r="CD824" s="1">
        <v>4</v>
      </c>
      <c r="CE824" s="1">
        <v>5</v>
      </c>
      <c r="CF824" s="1" t="s">
        <v>104</v>
      </c>
      <c r="CG824" s="1" t="s">
        <v>104</v>
      </c>
      <c r="CH824" s="1" t="s">
        <v>104</v>
      </c>
      <c r="CJ824" s="1">
        <v>0</v>
      </c>
      <c r="CK824" s="1">
        <v>0</v>
      </c>
      <c r="CL824" s="1">
        <v>0</v>
      </c>
      <c r="CM824" s="1">
        <v>5</v>
      </c>
    </row>
    <row r="825" spans="1:91" ht="14.25" customHeight="1" x14ac:dyDescent="0.3">
      <c r="A825" s="1" t="s">
        <v>5279</v>
      </c>
      <c r="B825" s="1" t="s">
        <v>137</v>
      </c>
      <c r="E825" s="1" t="s">
        <v>5280</v>
      </c>
      <c r="F825" s="1" t="s">
        <v>95</v>
      </c>
      <c r="G825" s="1" t="s">
        <v>116</v>
      </c>
      <c r="H825" s="1">
        <v>0</v>
      </c>
      <c r="I825" s="1" t="s">
        <v>117</v>
      </c>
      <c r="L825" s="1" t="s">
        <v>541</v>
      </c>
      <c r="M825" s="1" t="s">
        <v>620</v>
      </c>
      <c r="N825" s="1">
        <v>1</v>
      </c>
      <c r="O825" s="1">
        <v>0</v>
      </c>
      <c r="P825" s="1" t="s">
        <v>375</v>
      </c>
      <c r="Q825" s="1" t="s">
        <v>131</v>
      </c>
      <c r="R825" s="1" t="s">
        <v>5281</v>
      </c>
      <c r="S825" s="1" t="s">
        <v>4403</v>
      </c>
      <c r="T825" s="1">
        <v>1</v>
      </c>
      <c r="U825" s="1">
        <v>1</v>
      </c>
      <c r="V825" s="1">
        <v>0</v>
      </c>
      <c r="W825" s="1">
        <v>0</v>
      </c>
      <c r="X825" s="1">
        <v>0</v>
      </c>
      <c r="Y825" s="1">
        <v>7</v>
      </c>
      <c r="Z825" s="1">
        <v>7</v>
      </c>
      <c r="AA825" s="1">
        <v>6</v>
      </c>
      <c r="AB825" s="1" t="s">
        <v>104</v>
      </c>
      <c r="AC825" s="1" t="s">
        <v>104</v>
      </c>
      <c r="AD825" s="1" t="s">
        <v>104</v>
      </c>
      <c r="AE825" s="1" t="s">
        <v>104</v>
      </c>
      <c r="AF825" s="1" t="s">
        <v>104</v>
      </c>
      <c r="AG825" s="1">
        <v>6</v>
      </c>
      <c r="AH825" s="1" t="s">
        <v>104</v>
      </c>
      <c r="AI825" s="1" t="s">
        <v>104</v>
      </c>
      <c r="AJ825" s="1">
        <v>6</v>
      </c>
      <c r="AK825" s="1" t="s">
        <v>104</v>
      </c>
      <c r="AL825" s="1" t="s">
        <v>104</v>
      </c>
      <c r="AM825" s="1" t="s">
        <v>104</v>
      </c>
      <c r="AO825" s="1">
        <v>7</v>
      </c>
      <c r="AQ825" s="1" t="s">
        <v>5282</v>
      </c>
      <c r="AR825" s="1">
        <v>0</v>
      </c>
      <c r="AS825" s="1">
        <v>0</v>
      </c>
      <c r="AT825" s="1">
        <v>0</v>
      </c>
      <c r="AU825" s="1">
        <v>0</v>
      </c>
      <c r="AV825" s="1">
        <v>0</v>
      </c>
      <c r="AW825" s="1">
        <v>0</v>
      </c>
      <c r="AX825" s="1">
        <v>0</v>
      </c>
      <c r="AY825" s="1">
        <v>0</v>
      </c>
      <c r="AZ825" s="1">
        <v>0</v>
      </c>
      <c r="BA825" s="1">
        <v>0</v>
      </c>
      <c r="BB825" s="1">
        <v>0</v>
      </c>
      <c r="BC825" s="1">
        <v>0</v>
      </c>
      <c r="BD825" s="1">
        <v>0</v>
      </c>
      <c r="BE825" s="1">
        <v>0</v>
      </c>
      <c r="BF825" s="1">
        <v>0</v>
      </c>
      <c r="BG825" s="1">
        <v>0</v>
      </c>
      <c r="BH825" s="1">
        <v>0</v>
      </c>
      <c r="BI825" s="1">
        <v>0</v>
      </c>
      <c r="BJ825" s="1">
        <v>0</v>
      </c>
      <c r="BK825" s="1">
        <v>0</v>
      </c>
      <c r="BL825" s="1">
        <v>0</v>
      </c>
      <c r="BM825" s="1">
        <v>0</v>
      </c>
      <c r="BN825" s="1">
        <v>0</v>
      </c>
      <c r="BO825" s="1">
        <v>0</v>
      </c>
      <c r="BP825" s="1">
        <v>0</v>
      </c>
      <c r="BQ825" s="2" t="str">
        <f>HYPERLINK("http://www.d20pfsrd.com/magic/all-spells/p/planar-adaptation&lt;-mass","Planar Adaptation&lt; Mass")</f>
        <v>Planar Adaptation&lt; Mass</v>
      </c>
      <c r="BR825" s="1">
        <v>845</v>
      </c>
      <c r="BS825" s="1" t="s">
        <v>104</v>
      </c>
      <c r="BX825" s="1">
        <v>0</v>
      </c>
      <c r="BY825" s="1" t="s">
        <v>104</v>
      </c>
      <c r="BZ825" s="1" t="s">
        <v>104</v>
      </c>
      <c r="CA825" s="1">
        <v>6</v>
      </c>
      <c r="CB825" s="1" t="s">
        <v>104</v>
      </c>
      <c r="CC825" s="1" t="s">
        <v>104</v>
      </c>
      <c r="CD825" s="1">
        <v>6</v>
      </c>
      <c r="CE825" s="1" t="s">
        <v>104</v>
      </c>
      <c r="CF825" s="1" t="s">
        <v>104</v>
      </c>
      <c r="CG825" s="1" t="s">
        <v>104</v>
      </c>
      <c r="CH825" s="1" t="s">
        <v>104</v>
      </c>
      <c r="CJ825" s="1">
        <v>0</v>
      </c>
      <c r="CK825" s="1">
        <v>0</v>
      </c>
      <c r="CL825" s="1">
        <v>0</v>
      </c>
      <c r="CM825" s="1">
        <v>6</v>
      </c>
    </row>
    <row r="826" spans="1:91" ht="14.25" customHeight="1" x14ac:dyDescent="0.3">
      <c r="A826" s="1" t="s">
        <v>5283</v>
      </c>
      <c r="B826" s="1" t="s">
        <v>216</v>
      </c>
      <c r="E826" s="1" t="s">
        <v>5284</v>
      </c>
      <c r="F826" s="1" t="s">
        <v>95</v>
      </c>
      <c r="G826" s="1" t="s">
        <v>5285</v>
      </c>
      <c r="H826" s="1">
        <v>0</v>
      </c>
      <c r="I826" s="1" t="s">
        <v>117</v>
      </c>
      <c r="L826" s="1" t="s">
        <v>1065</v>
      </c>
      <c r="M826" s="1" t="s">
        <v>2330</v>
      </c>
      <c r="N826" s="1">
        <v>0</v>
      </c>
      <c r="O826" s="1">
        <v>0</v>
      </c>
      <c r="P826" s="1" t="s">
        <v>183</v>
      </c>
      <c r="Q826" s="1" t="s">
        <v>184</v>
      </c>
      <c r="R826" s="1" t="s">
        <v>5286</v>
      </c>
      <c r="S826" s="1" t="s">
        <v>4403</v>
      </c>
      <c r="T826" s="1">
        <v>1</v>
      </c>
      <c r="U826" s="1">
        <v>1</v>
      </c>
      <c r="V826" s="1">
        <v>1</v>
      </c>
      <c r="W826" s="1">
        <v>0</v>
      </c>
      <c r="X826" s="1">
        <v>0</v>
      </c>
      <c r="Y826" s="1" t="s">
        <v>104</v>
      </c>
      <c r="Z826" s="1" t="s">
        <v>104</v>
      </c>
      <c r="AA826" s="1" t="s">
        <v>104</v>
      </c>
      <c r="AB826" s="1">
        <v>2</v>
      </c>
      <c r="AC826" s="1" t="s">
        <v>104</v>
      </c>
      <c r="AD826" s="1" t="s">
        <v>104</v>
      </c>
      <c r="AE826" s="1" t="s">
        <v>104</v>
      </c>
      <c r="AF826" s="1" t="s">
        <v>104</v>
      </c>
      <c r="AG826" s="1" t="s">
        <v>104</v>
      </c>
      <c r="AH826" s="1">
        <v>2</v>
      </c>
      <c r="AI826" s="1" t="s">
        <v>104</v>
      </c>
      <c r="AJ826" s="1" t="s">
        <v>104</v>
      </c>
      <c r="AK826" s="1" t="s">
        <v>104</v>
      </c>
      <c r="AL826" s="1" t="s">
        <v>104</v>
      </c>
      <c r="AM826" s="1" t="s">
        <v>104</v>
      </c>
      <c r="AO826" s="1">
        <v>2</v>
      </c>
      <c r="AQ826" s="1" t="s">
        <v>5287</v>
      </c>
      <c r="AR826" s="1">
        <v>0</v>
      </c>
      <c r="AS826" s="1">
        <v>0</v>
      </c>
      <c r="AT826" s="1">
        <v>0</v>
      </c>
      <c r="AU826" s="1">
        <v>0</v>
      </c>
      <c r="AV826" s="1">
        <v>0</v>
      </c>
      <c r="AW826" s="1">
        <v>0</v>
      </c>
      <c r="AX826" s="1">
        <v>0</v>
      </c>
      <c r="AY826" s="1">
        <v>0</v>
      </c>
      <c r="AZ826" s="1">
        <v>0</v>
      </c>
      <c r="BA826" s="1">
        <v>0</v>
      </c>
      <c r="BB826" s="1">
        <v>0</v>
      </c>
      <c r="BC826" s="1">
        <v>0</v>
      </c>
      <c r="BD826" s="1">
        <v>0</v>
      </c>
      <c r="BE826" s="1">
        <v>0</v>
      </c>
      <c r="BF826" s="1">
        <v>0</v>
      </c>
      <c r="BG826" s="1">
        <v>0</v>
      </c>
      <c r="BH826" s="1">
        <v>0</v>
      </c>
      <c r="BI826" s="1">
        <v>0</v>
      </c>
      <c r="BJ826" s="1">
        <v>0</v>
      </c>
      <c r="BK826" s="1">
        <v>0</v>
      </c>
      <c r="BL826" s="1">
        <v>0</v>
      </c>
      <c r="BM826" s="1">
        <v>0</v>
      </c>
      <c r="BN826" s="1">
        <v>0</v>
      </c>
      <c r="BO826" s="1">
        <v>0</v>
      </c>
      <c r="BP826" s="1">
        <v>0</v>
      </c>
      <c r="BQ826" s="2" t="str">
        <f>HYPERLINK("http://www.d20pfsrd.com/magic/all-spells/p/pox-pustules","Pox Pustules")</f>
        <v>Pox Pustules</v>
      </c>
      <c r="BR826" s="1">
        <v>846</v>
      </c>
      <c r="BS826" s="1" t="s">
        <v>104</v>
      </c>
      <c r="BV826" s="1" t="s">
        <v>5288</v>
      </c>
      <c r="BX826" s="1">
        <v>1</v>
      </c>
      <c r="BY826" s="1" t="s">
        <v>104</v>
      </c>
      <c r="BZ826" s="1" t="s">
        <v>104</v>
      </c>
      <c r="CA826" s="1" t="s">
        <v>104</v>
      </c>
      <c r="CB826" s="1" t="s">
        <v>104</v>
      </c>
      <c r="CC826" s="1" t="s">
        <v>104</v>
      </c>
      <c r="CD826" s="1" t="s">
        <v>104</v>
      </c>
      <c r="CE826" s="1" t="s">
        <v>104</v>
      </c>
      <c r="CF826" s="1" t="s">
        <v>104</v>
      </c>
      <c r="CG826" s="1" t="s">
        <v>104</v>
      </c>
      <c r="CH826" s="1">
        <v>2</v>
      </c>
      <c r="CJ826" s="1">
        <v>0</v>
      </c>
      <c r="CK826" s="1">
        <v>0</v>
      </c>
      <c r="CL826" s="1">
        <v>0</v>
      </c>
      <c r="CM826" s="1" t="s">
        <v>104</v>
      </c>
    </row>
    <row r="827" spans="1:91" ht="14.25" customHeight="1" x14ac:dyDescent="0.3">
      <c r="A827" s="1" t="s">
        <v>5289</v>
      </c>
      <c r="B827" s="1" t="s">
        <v>92</v>
      </c>
      <c r="C827" s="1" t="s">
        <v>93</v>
      </c>
      <c r="E827" s="1" t="s">
        <v>4422</v>
      </c>
      <c r="F827" s="1" t="s">
        <v>95</v>
      </c>
      <c r="G827" s="1" t="s">
        <v>127</v>
      </c>
      <c r="H827" s="1">
        <v>0</v>
      </c>
      <c r="I827" s="1" t="s">
        <v>157</v>
      </c>
      <c r="L827" s="1" t="s">
        <v>158</v>
      </c>
      <c r="M827" s="1" t="s">
        <v>111</v>
      </c>
      <c r="N827" s="1">
        <v>0</v>
      </c>
      <c r="O827" s="1">
        <v>0</v>
      </c>
      <c r="R827" s="1" t="s">
        <v>5290</v>
      </c>
      <c r="S827" s="1" t="s">
        <v>4403</v>
      </c>
      <c r="T827" s="1">
        <v>1</v>
      </c>
      <c r="U827" s="1">
        <v>1</v>
      </c>
      <c r="V827" s="1">
        <v>0</v>
      </c>
      <c r="W827" s="1">
        <v>0</v>
      </c>
      <c r="X827" s="1">
        <v>1</v>
      </c>
      <c r="Y827" s="1" t="s">
        <v>104</v>
      </c>
      <c r="Z827" s="1" t="s">
        <v>104</v>
      </c>
      <c r="AA827" s="1" t="s">
        <v>104</v>
      </c>
      <c r="AB827" s="1" t="s">
        <v>104</v>
      </c>
      <c r="AC827" s="1">
        <v>2</v>
      </c>
      <c r="AD827" s="1" t="s">
        <v>104</v>
      </c>
      <c r="AE827" s="1" t="s">
        <v>104</v>
      </c>
      <c r="AF827" s="1" t="s">
        <v>104</v>
      </c>
      <c r="AG827" s="1" t="s">
        <v>104</v>
      </c>
      <c r="AH827" s="1" t="s">
        <v>104</v>
      </c>
      <c r="AI827" s="1" t="s">
        <v>104</v>
      </c>
      <c r="AJ827" s="1" t="s">
        <v>104</v>
      </c>
      <c r="AK827" s="1" t="s">
        <v>104</v>
      </c>
      <c r="AL827" s="1" t="s">
        <v>104</v>
      </c>
      <c r="AM827" s="1" t="s">
        <v>104</v>
      </c>
      <c r="AO827" s="1">
        <v>2</v>
      </c>
      <c r="AQ827" s="1" t="s">
        <v>5291</v>
      </c>
      <c r="AR827" s="1">
        <v>0</v>
      </c>
      <c r="AS827" s="1">
        <v>0</v>
      </c>
      <c r="AT827" s="1">
        <v>0</v>
      </c>
      <c r="AU827" s="1">
        <v>0</v>
      </c>
      <c r="AV827" s="1">
        <v>0</v>
      </c>
      <c r="AW827" s="1">
        <v>0</v>
      </c>
      <c r="AX827" s="1">
        <v>0</v>
      </c>
      <c r="AY827" s="1">
        <v>0</v>
      </c>
      <c r="AZ827" s="1">
        <v>0</v>
      </c>
      <c r="BA827" s="1">
        <v>0</v>
      </c>
      <c r="BB827" s="1">
        <v>0</v>
      </c>
      <c r="BC827" s="1">
        <v>0</v>
      </c>
      <c r="BD827" s="1">
        <v>0</v>
      </c>
      <c r="BE827" s="1">
        <v>0</v>
      </c>
      <c r="BF827" s="1">
        <v>0</v>
      </c>
      <c r="BG827" s="1">
        <v>0</v>
      </c>
      <c r="BH827" s="1">
        <v>0</v>
      </c>
      <c r="BI827" s="1">
        <v>0</v>
      </c>
      <c r="BJ827" s="1">
        <v>0</v>
      </c>
      <c r="BK827" s="1">
        <v>0</v>
      </c>
      <c r="BL827" s="1">
        <v>0</v>
      </c>
      <c r="BM827" s="1">
        <v>0</v>
      </c>
      <c r="BN827" s="1">
        <v>0</v>
      </c>
      <c r="BO827" s="1">
        <v>0</v>
      </c>
      <c r="BP827" s="1">
        <v>0</v>
      </c>
      <c r="BQ827" s="2" t="str">
        <f>HYPERLINK("http://www.d20pfsrd.com/magic/all-spells/p/protective-spirit","Protective Spirit")</f>
        <v>Protective Spirit</v>
      </c>
      <c r="BR827" s="1">
        <v>847</v>
      </c>
      <c r="BS827" s="1" t="s">
        <v>104</v>
      </c>
      <c r="BX827" s="1">
        <v>0</v>
      </c>
      <c r="BY827" s="1" t="s">
        <v>104</v>
      </c>
      <c r="BZ827" s="1" t="s">
        <v>104</v>
      </c>
      <c r="CA827" s="1" t="s">
        <v>104</v>
      </c>
      <c r="CB827" s="1" t="s">
        <v>104</v>
      </c>
      <c r="CC827" s="1" t="s">
        <v>104</v>
      </c>
      <c r="CD827" s="1" t="s">
        <v>104</v>
      </c>
      <c r="CE827" s="1" t="s">
        <v>104</v>
      </c>
      <c r="CF827" s="1" t="s">
        <v>104</v>
      </c>
      <c r="CG827" s="1" t="s">
        <v>104</v>
      </c>
      <c r="CH827" s="1">
        <v>2</v>
      </c>
      <c r="CJ827" s="1">
        <v>0</v>
      </c>
      <c r="CK827" s="1">
        <v>0</v>
      </c>
      <c r="CL827" s="1">
        <v>0</v>
      </c>
      <c r="CM827" s="1" t="s">
        <v>104</v>
      </c>
    </row>
    <row r="828" spans="1:91" ht="14.25" customHeight="1" x14ac:dyDescent="0.3">
      <c r="A828" s="1" t="s">
        <v>5292</v>
      </c>
      <c r="B828" s="1" t="s">
        <v>92</v>
      </c>
      <c r="C828" s="1" t="s">
        <v>523</v>
      </c>
      <c r="E828" s="1" t="s">
        <v>1846</v>
      </c>
      <c r="F828" s="1" t="s">
        <v>95</v>
      </c>
      <c r="G828" s="1" t="s">
        <v>116</v>
      </c>
      <c r="H828" s="1">
        <v>0</v>
      </c>
      <c r="I828" s="1" t="s">
        <v>117</v>
      </c>
      <c r="L828" s="1" t="s">
        <v>417</v>
      </c>
      <c r="M828" s="1" t="s">
        <v>119</v>
      </c>
      <c r="N828" s="1">
        <v>0</v>
      </c>
      <c r="O828" s="1">
        <v>0</v>
      </c>
      <c r="P828" s="1" t="s">
        <v>375</v>
      </c>
      <c r="Q828" s="1" t="s">
        <v>131</v>
      </c>
      <c r="R828" s="1" t="s">
        <v>5293</v>
      </c>
      <c r="S828" s="1" t="s">
        <v>4403</v>
      </c>
      <c r="T828" s="1">
        <v>1</v>
      </c>
      <c r="U828" s="1">
        <v>1</v>
      </c>
      <c r="V828" s="1">
        <v>0</v>
      </c>
      <c r="W828" s="1">
        <v>0</v>
      </c>
      <c r="X828" s="1">
        <v>0</v>
      </c>
      <c r="Y828" s="1" t="s">
        <v>104</v>
      </c>
      <c r="Z828" s="1" t="s">
        <v>104</v>
      </c>
      <c r="AA828" s="1" t="s">
        <v>104</v>
      </c>
      <c r="AB828" s="1" t="s">
        <v>104</v>
      </c>
      <c r="AC828" s="1" t="s">
        <v>104</v>
      </c>
      <c r="AD828" s="1">
        <v>3</v>
      </c>
      <c r="AE828" s="1" t="s">
        <v>104</v>
      </c>
      <c r="AF828" s="1" t="s">
        <v>104</v>
      </c>
      <c r="AG828" s="1" t="s">
        <v>104</v>
      </c>
      <c r="AH828" s="1" t="s">
        <v>104</v>
      </c>
      <c r="AI828" s="1" t="s">
        <v>104</v>
      </c>
      <c r="AJ828" s="1" t="s">
        <v>104</v>
      </c>
      <c r="AK828" s="1" t="s">
        <v>104</v>
      </c>
      <c r="AL828" s="1" t="s">
        <v>104</v>
      </c>
      <c r="AM828" s="1" t="s">
        <v>104</v>
      </c>
      <c r="AO828" s="1">
        <v>3</v>
      </c>
      <c r="AQ828" s="1" t="s">
        <v>5294</v>
      </c>
      <c r="AR828" s="1">
        <v>0</v>
      </c>
      <c r="AS828" s="1">
        <v>0</v>
      </c>
      <c r="AT828" s="1">
        <v>0</v>
      </c>
      <c r="AU828" s="1">
        <v>0</v>
      </c>
      <c r="AV828" s="1">
        <v>0</v>
      </c>
      <c r="AW828" s="1">
        <v>0</v>
      </c>
      <c r="AX828" s="1">
        <v>0</v>
      </c>
      <c r="AY828" s="1">
        <v>0</v>
      </c>
      <c r="AZ828" s="1">
        <v>0</v>
      </c>
      <c r="BA828" s="1">
        <v>0</v>
      </c>
      <c r="BB828" s="1">
        <v>0</v>
      </c>
      <c r="BC828" s="1">
        <v>0</v>
      </c>
      <c r="BD828" s="1">
        <v>0</v>
      </c>
      <c r="BE828" s="1">
        <v>0</v>
      </c>
      <c r="BF828" s="1">
        <v>0</v>
      </c>
      <c r="BG828" s="1">
        <v>0</v>
      </c>
      <c r="BH828" s="1">
        <v>0</v>
      </c>
      <c r="BI828" s="1">
        <v>0</v>
      </c>
      <c r="BJ828" s="1">
        <v>0</v>
      </c>
      <c r="BK828" s="1">
        <v>0</v>
      </c>
      <c r="BL828" s="1">
        <v>0</v>
      </c>
      <c r="BM828" s="1">
        <v>0</v>
      </c>
      <c r="BN828" s="1">
        <v>0</v>
      </c>
      <c r="BO828" s="1">
        <v>0</v>
      </c>
      <c r="BP828" s="1">
        <v>0</v>
      </c>
      <c r="BQ828" s="2" t="str">
        <f>HYPERLINK("http://www.d20pfsrd.com/magic/all-spells/p/purging-finale","Purging Finale")</f>
        <v>Purging Finale</v>
      </c>
      <c r="BR828" s="1">
        <v>848</v>
      </c>
      <c r="BS828" s="1" t="s">
        <v>104</v>
      </c>
      <c r="BX828" s="1">
        <v>0</v>
      </c>
      <c r="BY828" s="1" t="s">
        <v>104</v>
      </c>
      <c r="BZ828" s="1" t="s">
        <v>104</v>
      </c>
      <c r="CA828" s="1" t="s">
        <v>104</v>
      </c>
      <c r="CB828" s="1" t="s">
        <v>104</v>
      </c>
      <c r="CC828" s="1" t="s">
        <v>104</v>
      </c>
      <c r="CD828" s="1" t="s">
        <v>104</v>
      </c>
      <c r="CE828" s="1" t="s">
        <v>104</v>
      </c>
      <c r="CF828" s="1" t="s">
        <v>104</v>
      </c>
      <c r="CG828" s="1" t="s">
        <v>104</v>
      </c>
      <c r="CH828" s="1" t="s">
        <v>104</v>
      </c>
      <c r="CJ828" s="1">
        <v>0</v>
      </c>
      <c r="CK828" s="1">
        <v>0</v>
      </c>
      <c r="CL828" s="1">
        <v>0</v>
      </c>
      <c r="CM828" s="1" t="s">
        <v>104</v>
      </c>
    </row>
    <row r="829" spans="1:91" ht="14.25" customHeight="1" x14ac:dyDescent="0.3">
      <c r="A829" s="1" t="s">
        <v>5295</v>
      </c>
      <c r="B829" s="1" t="s">
        <v>92</v>
      </c>
      <c r="C829" s="1" t="s">
        <v>523</v>
      </c>
      <c r="E829" s="1" t="s">
        <v>4882</v>
      </c>
      <c r="F829" s="1" t="s">
        <v>95</v>
      </c>
      <c r="G829" s="1" t="s">
        <v>5296</v>
      </c>
      <c r="H829" s="1">
        <v>0</v>
      </c>
      <c r="I829" s="1" t="s">
        <v>157</v>
      </c>
      <c r="L829" s="1" t="s">
        <v>158</v>
      </c>
      <c r="M829" s="1" t="s">
        <v>191</v>
      </c>
      <c r="N829" s="1">
        <v>0</v>
      </c>
      <c r="O829" s="1">
        <v>0</v>
      </c>
      <c r="R829" s="1" t="s">
        <v>5297</v>
      </c>
      <c r="S829" s="1" t="s">
        <v>4403</v>
      </c>
      <c r="T829" s="1">
        <v>1</v>
      </c>
      <c r="U829" s="1">
        <v>1</v>
      </c>
      <c r="V829" s="1">
        <v>1</v>
      </c>
      <c r="W829" s="1">
        <v>0</v>
      </c>
      <c r="X829" s="1">
        <v>0</v>
      </c>
      <c r="Y829" s="1" t="s">
        <v>104</v>
      </c>
      <c r="Z829" s="1" t="s">
        <v>104</v>
      </c>
      <c r="AA829" s="1" t="s">
        <v>104</v>
      </c>
      <c r="AB829" s="1" t="s">
        <v>104</v>
      </c>
      <c r="AC829" s="1" t="s">
        <v>104</v>
      </c>
      <c r="AD829" s="1" t="s">
        <v>104</v>
      </c>
      <c r="AE829" s="1" t="s">
        <v>104</v>
      </c>
      <c r="AF829" s="1" t="s">
        <v>104</v>
      </c>
      <c r="AG829" s="1">
        <v>4</v>
      </c>
      <c r="AH829" s="1" t="s">
        <v>104</v>
      </c>
      <c r="AI829" s="1" t="s">
        <v>104</v>
      </c>
      <c r="AJ829" s="1" t="s">
        <v>104</v>
      </c>
      <c r="AK829" s="1" t="s">
        <v>104</v>
      </c>
      <c r="AL829" s="1" t="s">
        <v>104</v>
      </c>
      <c r="AM829" s="1" t="s">
        <v>104</v>
      </c>
      <c r="AO829" s="1">
        <v>4</v>
      </c>
      <c r="AQ829" s="1" t="s">
        <v>5298</v>
      </c>
      <c r="AR829" s="1">
        <v>0</v>
      </c>
      <c r="AS829" s="1">
        <v>0</v>
      </c>
      <c r="AT829" s="1">
        <v>0</v>
      </c>
      <c r="AU829" s="1">
        <v>0</v>
      </c>
      <c r="AV829" s="1">
        <v>0</v>
      </c>
      <c r="AW829" s="1">
        <v>0</v>
      </c>
      <c r="AX829" s="1">
        <v>0</v>
      </c>
      <c r="AY829" s="1">
        <v>0</v>
      </c>
      <c r="AZ829" s="1">
        <v>0</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2" t="str">
        <f>HYPERLINK("http://www.d20pfsrd.com/magic/all-spells/p/purified-calling","Purified Calling")</f>
        <v>Purified Calling</v>
      </c>
      <c r="BR829" s="1">
        <v>849</v>
      </c>
      <c r="BS829" s="1" t="s">
        <v>104</v>
      </c>
      <c r="BX829" s="1">
        <v>0</v>
      </c>
      <c r="BY829" s="1" t="s">
        <v>104</v>
      </c>
      <c r="BZ829" s="1" t="s">
        <v>104</v>
      </c>
      <c r="CA829" s="1" t="s">
        <v>104</v>
      </c>
      <c r="CB829" s="1" t="s">
        <v>104</v>
      </c>
      <c r="CC829" s="1" t="s">
        <v>104</v>
      </c>
      <c r="CD829" s="1" t="s">
        <v>104</v>
      </c>
      <c r="CE829" s="1" t="s">
        <v>104</v>
      </c>
      <c r="CF829" s="1" t="s">
        <v>104</v>
      </c>
      <c r="CG829" s="1" t="s">
        <v>104</v>
      </c>
      <c r="CH829" s="1" t="s">
        <v>104</v>
      </c>
      <c r="CJ829" s="1">
        <v>0</v>
      </c>
      <c r="CK829" s="1">
        <v>0</v>
      </c>
      <c r="CL829" s="1">
        <v>0</v>
      </c>
      <c r="CM829" s="1">
        <v>4</v>
      </c>
    </row>
    <row r="830" spans="1:91" ht="14.25" customHeight="1" x14ac:dyDescent="0.3">
      <c r="A830" s="1" t="s">
        <v>5299</v>
      </c>
      <c r="B830" s="1" t="s">
        <v>137</v>
      </c>
      <c r="D830" s="1" t="s">
        <v>64</v>
      </c>
      <c r="E830" s="1" t="s">
        <v>5300</v>
      </c>
      <c r="F830" s="1" t="s">
        <v>95</v>
      </c>
      <c r="G830" s="1" t="s">
        <v>116</v>
      </c>
      <c r="H830" s="1">
        <v>0</v>
      </c>
      <c r="I830" s="1" t="s">
        <v>256</v>
      </c>
      <c r="L830" s="1" t="s">
        <v>5301</v>
      </c>
      <c r="M830" s="1" t="s">
        <v>119</v>
      </c>
      <c r="N830" s="1">
        <v>0</v>
      </c>
      <c r="O830" s="1">
        <v>0</v>
      </c>
      <c r="P830" s="1" t="s">
        <v>471</v>
      </c>
      <c r="Q830" s="1" t="s">
        <v>472</v>
      </c>
      <c r="R830" s="1" t="s">
        <v>5302</v>
      </c>
      <c r="S830" s="1" t="s">
        <v>4403</v>
      </c>
      <c r="T830" s="1">
        <v>1</v>
      </c>
      <c r="U830" s="1">
        <v>1</v>
      </c>
      <c r="V830" s="1">
        <v>0</v>
      </c>
      <c r="W830" s="1">
        <v>0</v>
      </c>
      <c r="X830" s="1">
        <v>0</v>
      </c>
      <c r="Y830" s="1" t="s">
        <v>104</v>
      </c>
      <c r="Z830" s="1" t="s">
        <v>104</v>
      </c>
      <c r="AA830" s="1" t="s">
        <v>104</v>
      </c>
      <c r="AB830" s="1" t="s">
        <v>104</v>
      </c>
      <c r="AC830" s="1" t="s">
        <v>104</v>
      </c>
      <c r="AD830" s="1" t="s">
        <v>104</v>
      </c>
      <c r="AE830" s="1" t="s">
        <v>104</v>
      </c>
      <c r="AF830" s="1" t="s">
        <v>104</v>
      </c>
      <c r="AG830" s="1" t="s">
        <v>104</v>
      </c>
      <c r="AH830" s="1">
        <v>0</v>
      </c>
      <c r="AI830" s="1" t="s">
        <v>104</v>
      </c>
      <c r="AJ830" s="1" t="s">
        <v>104</v>
      </c>
      <c r="AK830" s="1" t="s">
        <v>104</v>
      </c>
      <c r="AL830" s="1" t="s">
        <v>104</v>
      </c>
      <c r="AM830" s="1" t="s">
        <v>104</v>
      </c>
      <c r="AO830" s="1">
        <v>0</v>
      </c>
      <c r="AQ830" s="1" t="s">
        <v>5303</v>
      </c>
      <c r="AR830" s="1">
        <v>0</v>
      </c>
      <c r="AS830" s="1">
        <v>0</v>
      </c>
      <c r="AT830" s="1">
        <v>0</v>
      </c>
      <c r="AU830" s="1">
        <v>0</v>
      </c>
      <c r="AV830" s="1">
        <v>0</v>
      </c>
      <c r="AW830" s="1">
        <v>0</v>
      </c>
      <c r="AX830" s="1">
        <v>0</v>
      </c>
      <c r="AY830" s="1">
        <v>0</v>
      </c>
      <c r="AZ830" s="1">
        <v>0</v>
      </c>
      <c r="BA830" s="1">
        <v>0</v>
      </c>
      <c r="BB830" s="1">
        <v>0</v>
      </c>
      <c r="BC830" s="1">
        <v>0</v>
      </c>
      <c r="BD830" s="1">
        <v>0</v>
      </c>
      <c r="BE830" s="1">
        <v>0</v>
      </c>
      <c r="BF830" s="1">
        <v>0</v>
      </c>
      <c r="BG830" s="1">
        <v>0</v>
      </c>
      <c r="BH830" s="1">
        <v>0</v>
      </c>
      <c r="BI830" s="1">
        <v>0</v>
      </c>
      <c r="BJ830" s="1">
        <v>0</v>
      </c>
      <c r="BK830" s="1">
        <v>0</v>
      </c>
      <c r="BL830" s="1">
        <v>0</v>
      </c>
      <c r="BM830" s="1">
        <v>1</v>
      </c>
      <c r="BN830" s="1">
        <v>0</v>
      </c>
      <c r="BO830" s="1">
        <v>0</v>
      </c>
      <c r="BP830" s="1">
        <v>0</v>
      </c>
      <c r="BQ830" s="2" t="str">
        <f>HYPERLINK("http://www.d20pfsrd.com/magic/all-spells/p/putrefy-food-and-drink","Putrefy Food and Drink")</f>
        <v>Putrefy Food and Drink</v>
      </c>
      <c r="BR830" s="1">
        <v>850</v>
      </c>
      <c r="BS830" s="1" t="s">
        <v>104</v>
      </c>
      <c r="BX830" s="1">
        <v>0</v>
      </c>
      <c r="BY830" s="1" t="s">
        <v>104</v>
      </c>
      <c r="BZ830" s="1" t="s">
        <v>104</v>
      </c>
      <c r="CA830" s="1" t="s">
        <v>104</v>
      </c>
      <c r="CB830" s="1" t="s">
        <v>104</v>
      </c>
      <c r="CC830" s="1" t="s">
        <v>104</v>
      </c>
      <c r="CD830" s="1" t="s">
        <v>104</v>
      </c>
      <c r="CE830" s="1" t="s">
        <v>104</v>
      </c>
      <c r="CF830" s="1" t="s">
        <v>104</v>
      </c>
      <c r="CG830" s="1" t="s">
        <v>104</v>
      </c>
      <c r="CH830" s="1" t="s">
        <v>104</v>
      </c>
      <c r="CJ830" s="1">
        <v>0</v>
      </c>
      <c r="CK830" s="1">
        <v>0</v>
      </c>
      <c r="CL830" s="1">
        <v>0</v>
      </c>
      <c r="CM830" s="1" t="s">
        <v>104</v>
      </c>
    </row>
    <row r="831" spans="1:91" ht="14.25" customHeight="1" x14ac:dyDescent="0.3">
      <c r="A831" s="1" t="s">
        <v>5304</v>
      </c>
      <c r="B831" s="1" t="s">
        <v>123</v>
      </c>
      <c r="C831" s="1" t="s">
        <v>124</v>
      </c>
      <c r="D831" s="1" t="s">
        <v>5305</v>
      </c>
      <c r="E831" s="1" t="s">
        <v>478</v>
      </c>
      <c r="F831" s="1" t="s">
        <v>95</v>
      </c>
      <c r="G831" s="1" t="s">
        <v>127</v>
      </c>
      <c r="H831" s="1">
        <v>0</v>
      </c>
      <c r="I831" s="1" t="s">
        <v>4220</v>
      </c>
      <c r="J831" s="1" t="s">
        <v>5306</v>
      </c>
      <c r="M831" s="1" t="s">
        <v>4641</v>
      </c>
      <c r="N831" s="1">
        <v>1</v>
      </c>
      <c r="O831" s="1">
        <v>0</v>
      </c>
      <c r="P831" s="1" t="s">
        <v>375</v>
      </c>
      <c r="Q831" s="1" t="s">
        <v>131</v>
      </c>
      <c r="R831" s="1" t="s">
        <v>5307</v>
      </c>
      <c r="S831" s="1" t="s">
        <v>4403</v>
      </c>
      <c r="T831" s="1">
        <v>1</v>
      </c>
      <c r="U831" s="1">
        <v>1</v>
      </c>
      <c r="V831" s="1">
        <v>0</v>
      </c>
      <c r="W831" s="1">
        <v>0</v>
      </c>
      <c r="X831" s="1">
        <v>1</v>
      </c>
      <c r="Y831" s="1" t="s">
        <v>104</v>
      </c>
      <c r="Z831" s="1" t="s">
        <v>104</v>
      </c>
      <c r="AA831" s="1" t="s">
        <v>104</v>
      </c>
      <c r="AB831" s="1" t="s">
        <v>104</v>
      </c>
      <c r="AC831" s="1" t="s">
        <v>104</v>
      </c>
      <c r="AD831" s="1" t="s">
        <v>104</v>
      </c>
      <c r="AE831" s="1">
        <v>1</v>
      </c>
      <c r="AF831" s="1" t="s">
        <v>104</v>
      </c>
      <c r="AG831" s="1" t="s">
        <v>104</v>
      </c>
      <c r="AH831" s="1" t="s">
        <v>104</v>
      </c>
      <c r="AI831" s="1" t="s">
        <v>104</v>
      </c>
      <c r="AJ831" s="1" t="s">
        <v>104</v>
      </c>
      <c r="AK831" s="1" t="s">
        <v>104</v>
      </c>
      <c r="AL831" s="1" t="s">
        <v>104</v>
      </c>
      <c r="AM831" s="1" t="s">
        <v>104</v>
      </c>
      <c r="AO831" s="1">
        <v>1</v>
      </c>
      <c r="AQ831" s="1" t="s">
        <v>5308</v>
      </c>
      <c r="AR831" s="1">
        <v>0</v>
      </c>
      <c r="AS831" s="1">
        <v>0</v>
      </c>
      <c r="AT831" s="1">
        <v>0</v>
      </c>
      <c r="AU831" s="1">
        <v>0</v>
      </c>
      <c r="AV831" s="1">
        <v>0</v>
      </c>
      <c r="AW831" s="1">
        <v>0</v>
      </c>
      <c r="AX831" s="1">
        <v>0</v>
      </c>
      <c r="AY831" s="1">
        <v>0</v>
      </c>
      <c r="AZ831" s="1">
        <v>0</v>
      </c>
      <c r="BA831" s="1">
        <v>0</v>
      </c>
      <c r="BB831" s="1">
        <v>1</v>
      </c>
      <c r="BC831" s="1">
        <v>0</v>
      </c>
      <c r="BD831" s="1">
        <v>0</v>
      </c>
      <c r="BE831" s="1">
        <v>0</v>
      </c>
      <c r="BF831" s="1">
        <v>0</v>
      </c>
      <c r="BG831" s="1">
        <v>1</v>
      </c>
      <c r="BH831" s="1">
        <v>0</v>
      </c>
      <c r="BI831" s="1">
        <v>0</v>
      </c>
      <c r="BJ831" s="1">
        <v>0</v>
      </c>
      <c r="BK831" s="1">
        <v>1</v>
      </c>
      <c r="BL831" s="1">
        <v>0</v>
      </c>
      <c r="BM831" s="1">
        <v>0</v>
      </c>
      <c r="BN831" s="1">
        <v>0</v>
      </c>
      <c r="BO831" s="1">
        <v>0</v>
      </c>
      <c r="BP831" s="1">
        <v>0</v>
      </c>
      <c r="BQ831" s="2" t="str">
        <f>HYPERLINK("http://www.d20pfsrd.com/magic/all-spells/r/rally-point","Rally Point")</f>
        <v>Rally Point</v>
      </c>
      <c r="BR831" s="1">
        <v>851</v>
      </c>
      <c r="BS831" s="1" t="s">
        <v>104</v>
      </c>
      <c r="BX831" s="1">
        <v>0</v>
      </c>
      <c r="BY831" s="1" t="s">
        <v>104</v>
      </c>
      <c r="BZ831" s="1" t="s">
        <v>104</v>
      </c>
      <c r="CA831" s="1" t="s">
        <v>104</v>
      </c>
      <c r="CB831" s="1" t="s">
        <v>104</v>
      </c>
      <c r="CC831" s="1" t="s">
        <v>104</v>
      </c>
      <c r="CD831" s="1" t="s">
        <v>104</v>
      </c>
      <c r="CE831" s="1" t="s">
        <v>104</v>
      </c>
      <c r="CF831" s="1" t="s">
        <v>104</v>
      </c>
      <c r="CG831" s="1" t="s">
        <v>104</v>
      </c>
      <c r="CH831" s="1" t="s">
        <v>104</v>
      </c>
      <c r="CJ831" s="1">
        <v>0</v>
      </c>
      <c r="CK831" s="1">
        <v>0</v>
      </c>
      <c r="CL831" s="1">
        <v>0</v>
      </c>
      <c r="CM831" s="1" t="s">
        <v>104</v>
      </c>
    </row>
    <row r="832" spans="1:91" ht="14.25" customHeight="1" x14ac:dyDescent="0.3">
      <c r="A832" s="1" t="s">
        <v>5309</v>
      </c>
      <c r="B832" s="1" t="s">
        <v>434</v>
      </c>
      <c r="D832" s="1" t="s">
        <v>66</v>
      </c>
      <c r="E832" s="1" t="s">
        <v>4560</v>
      </c>
      <c r="F832" s="1" t="s">
        <v>95</v>
      </c>
      <c r="G832" s="1" t="s">
        <v>127</v>
      </c>
      <c r="H832" s="1">
        <v>0</v>
      </c>
      <c r="I832" s="1" t="s">
        <v>697</v>
      </c>
      <c r="J832" s="1" t="s">
        <v>5310</v>
      </c>
      <c r="M832" s="1" t="s">
        <v>119</v>
      </c>
      <c r="N832" s="1">
        <v>0</v>
      </c>
      <c r="O832" s="1">
        <v>0</v>
      </c>
      <c r="P832" s="1" t="s">
        <v>1080</v>
      </c>
      <c r="Q832" s="1" t="s">
        <v>184</v>
      </c>
      <c r="R832" s="1" t="s">
        <v>5311</v>
      </c>
      <c r="S832" s="1" t="s">
        <v>4403</v>
      </c>
      <c r="T832" s="1">
        <v>1</v>
      </c>
      <c r="U832" s="1">
        <v>1</v>
      </c>
      <c r="V832" s="1">
        <v>0</v>
      </c>
      <c r="W832" s="1">
        <v>0</v>
      </c>
      <c r="X832" s="1">
        <v>1</v>
      </c>
      <c r="Y832" s="1" t="s">
        <v>104</v>
      </c>
      <c r="Z832" s="1" t="s">
        <v>104</v>
      </c>
      <c r="AA832" s="1" t="s">
        <v>104</v>
      </c>
      <c r="AB832" s="1" t="s">
        <v>104</v>
      </c>
      <c r="AC832" s="1" t="s">
        <v>104</v>
      </c>
      <c r="AD832" s="1" t="s">
        <v>104</v>
      </c>
      <c r="AE832" s="1" t="s">
        <v>104</v>
      </c>
      <c r="AF832" s="1" t="s">
        <v>104</v>
      </c>
      <c r="AG832" s="1" t="s">
        <v>104</v>
      </c>
      <c r="AH832" s="1" t="s">
        <v>104</v>
      </c>
      <c r="AI832" s="1">
        <v>4</v>
      </c>
      <c r="AJ832" s="1" t="s">
        <v>104</v>
      </c>
      <c r="AK832" s="1" t="s">
        <v>104</v>
      </c>
      <c r="AL832" s="1" t="s">
        <v>104</v>
      </c>
      <c r="AM832" s="1" t="s">
        <v>104</v>
      </c>
      <c r="AO832" s="1">
        <v>4</v>
      </c>
      <c r="AP832" s="1" t="s">
        <v>5312</v>
      </c>
      <c r="AQ832" s="1" t="s">
        <v>5313</v>
      </c>
      <c r="AR832" s="1">
        <v>0</v>
      </c>
      <c r="AS832" s="1">
        <v>0</v>
      </c>
      <c r="AT832" s="1">
        <v>0</v>
      </c>
      <c r="AU832" s="1">
        <v>0</v>
      </c>
      <c r="AV832" s="1">
        <v>0</v>
      </c>
      <c r="AW832" s="1">
        <v>0</v>
      </c>
      <c r="AX832" s="1">
        <v>0</v>
      </c>
      <c r="AY832" s="1">
        <v>0</v>
      </c>
      <c r="AZ832" s="1">
        <v>0</v>
      </c>
      <c r="BA832" s="1">
        <v>0</v>
      </c>
      <c r="BB832" s="1">
        <v>0</v>
      </c>
      <c r="BC832" s="1">
        <v>0</v>
      </c>
      <c r="BD832" s="1">
        <v>0</v>
      </c>
      <c r="BE832" s="1">
        <v>0</v>
      </c>
      <c r="BF832" s="1">
        <v>0</v>
      </c>
      <c r="BG832" s="1">
        <v>0</v>
      </c>
      <c r="BH832" s="1">
        <v>0</v>
      </c>
      <c r="BI832" s="1">
        <v>0</v>
      </c>
      <c r="BJ832" s="1">
        <v>0</v>
      </c>
      <c r="BK832" s="1">
        <v>0</v>
      </c>
      <c r="BL832" s="1">
        <v>0</v>
      </c>
      <c r="BM832" s="1">
        <v>0</v>
      </c>
      <c r="BN832" s="1">
        <v>0</v>
      </c>
      <c r="BO832" s="1">
        <v>1</v>
      </c>
      <c r="BP832" s="1">
        <v>0</v>
      </c>
      <c r="BQ832" s="2" t="str">
        <f>HYPERLINK("http://www.d20pfsrd.com/magic/all-spells/r/rebuke","Rebuke")</f>
        <v>Rebuke</v>
      </c>
      <c r="BR832" s="1">
        <v>853</v>
      </c>
      <c r="BS832" s="1" t="s">
        <v>104</v>
      </c>
      <c r="BX832" s="1">
        <v>0</v>
      </c>
      <c r="BY832" s="1" t="s">
        <v>104</v>
      </c>
      <c r="BZ832" s="1" t="s">
        <v>104</v>
      </c>
      <c r="CA832" s="1" t="s">
        <v>104</v>
      </c>
      <c r="CB832" s="1" t="s">
        <v>104</v>
      </c>
      <c r="CC832" s="1" t="s">
        <v>104</v>
      </c>
      <c r="CD832" s="1" t="s">
        <v>104</v>
      </c>
      <c r="CE832" s="1" t="s">
        <v>104</v>
      </c>
      <c r="CF832" s="1" t="s">
        <v>104</v>
      </c>
      <c r="CG832" s="1" t="s">
        <v>104</v>
      </c>
      <c r="CH832" s="1" t="s">
        <v>104</v>
      </c>
      <c r="CJ832" s="1">
        <v>0</v>
      </c>
      <c r="CK832" s="1">
        <v>0</v>
      </c>
      <c r="CL832" s="1">
        <v>0</v>
      </c>
      <c r="CM832" s="1" t="s">
        <v>104</v>
      </c>
    </row>
    <row r="833" spans="1:91" ht="14.25" customHeight="1" x14ac:dyDescent="0.3">
      <c r="A833" s="1" t="s">
        <v>5314</v>
      </c>
      <c r="B833" s="1" t="s">
        <v>92</v>
      </c>
      <c r="C833" s="1" t="s">
        <v>93</v>
      </c>
      <c r="D833" s="1" t="s">
        <v>51</v>
      </c>
      <c r="E833" s="1" t="s">
        <v>5315</v>
      </c>
      <c r="F833" s="1" t="s">
        <v>95</v>
      </c>
      <c r="G833" s="1" t="s">
        <v>5316</v>
      </c>
      <c r="H833" s="1">
        <v>0</v>
      </c>
      <c r="I833" s="1" t="s">
        <v>109</v>
      </c>
      <c r="K833" s="1" t="s">
        <v>5317</v>
      </c>
      <c r="M833" s="1" t="s">
        <v>119</v>
      </c>
      <c r="N833" s="1">
        <v>0</v>
      </c>
      <c r="O833" s="1">
        <v>0</v>
      </c>
      <c r="P833" s="1" t="s">
        <v>100</v>
      </c>
      <c r="Q833" s="1" t="s">
        <v>101</v>
      </c>
      <c r="R833" s="1" t="s">
        <v>5318</v>
      </c>
      <c r="S833" s="1" t="s">
        <v>4403</v>
      </c>
      <c r="T833" s="1">
        <v>1</v>
      </c>
      <c r="U833" s="1">
        <v>1</v>
      </c>
      <c r="V833" s="1">
        <v>1</v>
      </c>
      <c r="W833" s="1">
        <v>0</v>
      </c>
      <c r="X833" s="1">
        <v>0</v>
      </c>
      <c r="Y833" s="1">
        <v>7</v>
      </c>
      <c r="Z833" s="1">
        <v>7</v>
      </c>
      <c r="AA833" s="1" t="s">
        <v>104</v>
      </c>
      <c r="AB833" s="1">
        <v>7</v>
      </c>
      <c r="AC833" s="1" t="s">
        <v>104</v>
      </c>
      <c r="AD833" s="1" t="s">
        <v>104</v>
      </c>
      <c r="AE833" s="1" t="s">
        <v>104</v>
      </c>
      <c r="AF833" s="1" t="s">
        <v>104</v>
      </c>
      <c r="AG833" s="1" t="s">
        <v>104</v>
      </c>
      <c r="AH833" s="1" t="s">
        <v>104</v>
      </c>
      <c r="AI833" s="1" t="s">
        <v>104</v>
      </c>
      <c r="AJ833" s="1" t="s">
        <v>104</v>
      </c>
      <c r="AK833" s="1" t="s">
        <v>104</v>
      </c>
      <c r="AL833" s="1" t="s">
        <v>104</v>
      </c>
      <c r="AM833" s="1" t="s">
        <v>104</v>
      </c>
      <c r="AO833" s="1">
        <v>7</v>
      </c>
      <c r="AQ833" s="1" t="s">
        <v>5319</v>
      </c>
      <c r="AR833" s="1">
        <v>0</v>
      </c>
      <c r="AS833" s="1">
        <v>0</v>
      </c>
      <c r="AT833" s="1">
        <v>0</v>
      </c>
      <c r="AU833" s="1">
        <v>0</v>
      </c>
      <c r="AV833" s="1">
        <v>0</v>
      </c>
      <c r="AW833" s="1">
        <v>0</v>
      </c>
      <c r="AX833" s="1">
        <v>0</v>
      </c>
      <c r="AY833" s="1">
        <v>0</v>
      </c>
      <c r="AZ833" s="1">
        <v>1</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2" t="str">
        <f>HYPERLINK("http://www.d20pfsrd.com/magic/all-spells/r/rampart","Rampart")</f>
        <v>Rampart</v>
      </c>
      <c r="BR833" s="1">
        <v>854</v>
      </c>
      <c r="BS833" s="1" t="s">
        <v>104</v>
      </c>
      <c r="BX833" s="1">
        <v>0</v>
      </c>
      <c r="BY833" s="1" t="s">
        <v>104</v>
      </c>
      <c r="BZ833" s="1" t="s">
        <v>104</v>
      </c>
      <c r="CA833" s="1" t="s">
        <v>104</v>
      </c>
      <c r="CB833" s="1" t="s">
        <v>104</v>
      </c>
      <c r="CC833" s="1" t="s">
        <v>104</v>
      </c>
      <c r="CD833" s="1" t="s">
        <v>104</v>
      </c>
      <c r="CE833" s="1" t="s">
        <v>104</v>
      </c>
      <c r="CF833" s="1" t="s">
        <v>104</v>
      </c>
      <c r="CG833" s="1" t="s">
        <v>104</v>
      </c>
      <c r="CH833" s="1" t="s">
        <v>104</v>
      </c>
      <c r="CJ833" s="1">
        <v>0</v>
      </c>
      <c r="CK833" s="1">
        <v>0</v>
      </c>
      <c r="CL833" s="1">
        <v>0</v>
      </c>
      <c r="CM833" s="1" t="s">
        <v>104</v>
      </c>
    </row>
    <row r="834" spans="1:91" ht="14.25" customHeight="1" x14ac:dyDescent="0.3">
      <c r="A834" s="1" t="s">
        <v>5320</v>
      </c>
      <c r="B834" s="1" t="s">
        <v>92</v>
      </c>
      <c r="C834" s="1" t="s">
        <v>523</v>
      </c>
      <c r="E834" s="1" t="s">
        <v>5321</v>
      </c>
      <c r="F834" s="1" t="s">
        <v>95</v>
      </c>
      <c r="G834" s="1" t="s">
        <v>5322</v>
      </c>
      <c r="H834" s="1">
        <v>0</v>
      </c>
      <c r="I834" s="1" t="s">
        <v>128</v>
      </c>
      <c r="L834" s="1" t="s">
        <v>5323</v>
      </c>
      <c r="M834" s="1" t="s">
        <v>119</v>
      </c>
      <c r="N834" s="1">
        <v>0</v>
      </c>
      <c r="O834" s="1">
        <v>0</v>
      </c>
      <c r="P834" s="1" t="s">
        <v>100</v>
      </c>
      <c r="Q834" s="1" t="s">
        <v>101</v>
      </c>
      <c r="R834" s="1" t="s">
        <v>5324</v>
      </c>
      <c r="S834" s="1" t="s">
        <v>4403</v>
      </c>
      <c r="T834" s="1">
        <v>1</v>
      </c>
      <c r="U834" s="1">
        <v>1</v>
      </c>
      <c r="V834" s="1">
        <v>1</v>
      </c>
      <c r="W834" s="1">
        <v>0</v>
      </c>
      <c r="X834" s="1">
        <v>0</v>
      </c>
      <c r="Y834" s="1" t="s">
        <v>104</v>
      </c>
      <c r="Z834" s="1" t="s">
        <v>104</v>
      </c>
      <c r="AA834" s="1" t="s">
        <v>104</v>
      </c>
      <c r="AB834" s="1" t="s">
        <v>104</v>
      </c>
      <c r="AC834" s="1" t="s">
        <v>104</v>
      </c>
      <c r="AD834" s="1" t="s">
        <v>104</v>
      </c>
      <c r="AE834" s="1" t="s">
        <v>104</v>
      </c>
      <c r="AF834" s="1" t="s">
        <v>104</v>
      </c>
      <c r="AG834" s="1">
        <v>1</v>
      </c>
      <c r="AH834" s="1" t="s">
        <v>104</v>
      </c>
      <c r="AI834" s="1" t="s">
        <v>104</v>
      </c>
      <c r="AJ834" s="1" t="s">
        <v>104</v>
      </c>
      <c r="AK834" s="1" t="s">
        <v>104</v>
      </c>
      <c r="AL834" s="1" t="s">
        <v>104</v>
      </c>
      <c r="AM834" s="1" t="s">
        <v>104</v>
      </c>
      <c r="AO834" s="1">
        <v>1</v>
      </c>
      <c r="AQ834" s="1" t="s">
        <v>5325</v>
      </c>
      <c r="AR834" s="1">
        <v>0</v>
      </c>
      <c r="AS834" s="1">
        <v>0</v>
      </c>
      <c r="AT834" s="1">
        <v>0</v>
      </c>
      <c r="AU834" s="1">
        <v>0</v>
      </c>
      <c r="AV834" s="1">
        <v>0</v>
      </c>
      <c r="AW834" s="1">
        <v>0</v>
      </c>
      <c r="AX834" s="1">
        <v>0</v>
      </c>
      <c r="AY834" s="1">
        <v>0</v>
      </c>
      <c r="AZ834" s="1">
        <v>0</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2" t="str">
        <f>HYPERLINK("http://www.d20pfsrd.com/magic/all-spells/r/rejuvenate-eidolon,-lesser","Rejuvenate Eidolon, Lesser")</f>
        <v>Rejuvenate Eidolon, Lesser</v>
      </c>
      <c r="BR834" s="1">
        <v>855</v>
      </c>
      <c r="BS834" s="1" t="s">
        <v>104</v>
      </c>
      <c r="BX834" s="1">
        <v>0</v>
      </c>
      <c r="BY834" s="1" t="s">
        <v>104</v>
      </c>
      <c r="BZ834" s="1" t="s">
        <v>104</v>
      </c>
      <c r="CA834" s="1" t="s">
        <v>104</v>
      </c>
      <c r="CB834" s="1" t="s">
        <v>104</v>
      </c>
      <c r="CC834" s="1" t="s">
        <v>104</v>
      </c>
      <c r="CD834" s="1" t="s">
        <v>104</v>
      </c>
      <c r="CE834" s="1" t="s">
        <v>104</v>
      </c>
      <c r="CF834" s="1" t="s">
        <v>104</v>
      </c>
      <c r="CG834" s="1" t="s">
        <v>104</v>
      </c>
      <c r="CH834" s="1" t="s">
        <v>104</v>
      </c>
      <c r="CJ834" s="1">
        <v>0</v>
      </c>
      <c r="CK834" s="1">
        <v>0</v>
      </c>
      <c r="CL834" s="1">
        <v>0</v>
      </c>
      <c r="CM834" s="1">
        <v>1</v>
      </c>
    </row>
    <row r="835" spans="1:91" ht="14.25" customHeight="1" x14ac:dyDescent="0.3">
      <c r="A835" s="1" t="s">
        <v>5326</v>
      </c>
      <c r="B835" s="1" t="s">
        <v>92</v>
      </c>
      <c r="C835" s="1" t="s">
        <v>523</v>
      </c>
      <c r="E835" s="1" t="s">
        <v>4878</v>
      </c>
      <c r="F835" s="1" t="s">
        <v>95</v>
      </c>
      <c r="G835" s="1" t="s">
        <v>5322</v>
      </c>
      <c r="H835" s="1">
        <v>0</v>
      </c>
      <c r="I835" s="1" t="s">
        <v>128</v>
      </c>
      <c r="L835" s="1" t="s">
        <v>5323</v>
      </c>
      <c r="M835" s="1" t="s">
        <v>119</v>
      </c>
      <c r="N835" s="1">
        <v>0</v>
      </c>
      <c r="O835" s="1">
        <v>0</v>
      </c>
      <c r="P835" s="1" t="s">
        <v>100</v>
      </c>
      <c r="Q835" s="1" t="s">
        <v>101</v>
      </c>
      <c r="R835" s="1" t="s">
        <v>5327</v>
      </c>
      <c r="S835" s="1" t="s">
        <v>4403</v>
      </c>
      <c r="T835" s="1">
        <v>1</v>
      </c>
      <c r="U835" s="1">
        <v>1</v>
      </c>
      <c r="V835" s="1">
        <v>1</v>
      </c>
      <c r="W835" s="1">
        <v>0</v>
      </c>
      <c r="X835" s="1">
        <v>0</v>
      </c>
      <c r="Y835" s="1" t="s">
        <v>104</v>
      </c>
      <c r="Z835" s="1" t="s">
        <v>104</v>
      </c>
      <c r="AA835" s="1" t="s">
        <v>104</v>
      </c>
      <c r="AB835" s="1" t="s">
        <v>104</v>
      </c>
      <c r="AC835" s="1" t="s">
        <v>104</v>
      </c>
      <c r="AD835" s="1" t="s">
        <v>104</v>
      </c>
      <c r="AE835" s="1" t="s">
        <v>104</v>
      </c>
      <c r="AF835" s="1" t="s">
        <v>104</v>
      </c>
      <c r="AG835" s="1">
        <v>3</v>
      </c>
      <c r="AH835" s="1" t="s">
        <v>104</v>
      </c>
      <c r="AI835" s="1" t="s">
        <v>104</v>
      </c>
      <c r="AJ835" s="1" t="s">
        <v>104</v>
      </c>
      <c r="AK835" s="1" t="s">
        <v>104</v>
      </c>
      <c r="AL835" s="1" t="s">
        <v>104</v>
      </c>
      <c r="AM835" s="1" t="s">
        <v>104</v>
      </c>
      <c r="AO835" s="1">
        <v>3</v>
      </c>
      <c r="AQ835" s="1" t="s">
        <v>5328</v>
      </c>
      <c r="AR835" s="1">
        <v>0</v>
      </c>
      <c r="AS835" s="1">
        <v>0</v>
      </c>
      <c r="AT835" s="1">
        <v>0</v>
      </c>
      <c r="AU835" s="1">
        <v>0</v>
      </c>
      <c r="AV835" s="1">
        <v>0</v>
      </c>
      <c r="AW835" s="1">
        <v>0</v>
      </c>
      <c r="AX835" s="1">
        <v>0</v>
      </c>
      <c r="AY835" s="1">
        <v>0</v>
      </c>
      <c r="AZ835" s="1">
        <v>0</v>
      </c>
      <c r="BA835" s="1">
        <v>0</v>
      </c>
      <c r="BB835" s="1">
        <v>0</v>
      </c>
      <c r="BC835" s="1">
        <v>0</v>
      </c>
      <c r="BD835" s="1">
        <v>0</v>
      </c>
      <c r="BE835" s="1">
        <v>0</v>
      </c>
      <c r="BF835" s="1">
        <v>0</v>
      </c>
      <c r="BG835" s="1">
        <v>0</v>
      </c>
      <c r="BH835" s="1">
        <v>0</v>
      </c>
      <c r="BI835" s="1">
        <v>0</v>
      </c>
      <c r="BJ835" s="1">
        <v>0</v>
      </c>
      <c r="BK835" s="1">
        <v>0</v>
      </c>
      <c r="BL835" s="1">
        <v>0</v>
      </c>
      <c r="BM835" s="1">
        <v>0</v>
      </c>
      <c r="BN835" s="1">
        <v>0</v>
      </c>
      <c r="BO835" s="1">
        <v>0</v>
      </c>
      <c r="BP835" s="1">
        <v>0</v>
      </c>
      <c r="BQ835" s="2" t="str">
        <f>HYPERLINK("http://www.d20pfsrd.com/magic/all-spells/r/rejuvenate-eidolon","Rejuvenate Eidolon")</f>
        <v>Rejuvenate Eidolon</v>
      </c>
      <c r="BR835" s="1">
        <v>856</v>
      </c>
      <c r="BS835" s="1" t="s">
        <v>104</v>
      </c>
      <c r="BX835" s="1">
        <v>0</v>
      </c>
      <c r="BY835" s="1" t="s">
        <v>104</v>
      </c>
      <c r="BZ835" s="1" t="s">
        <v>104</v>
      </c>
      <c r="CA835" s="1" t="s">
        <v>104</v>
      </c>
      <c r="CB835" s="1" t="s">
        <v>104</v>
      </c>
      <c r="CC835" s="1" t="s">
        <v>104</v>
      </c>
      <c r="CD835" s="1" t="s">
        <v>104</v>
      </c>
      <c r="CE835" s="1" t="s">
        <v>104</v>
      </c>
      <c r="CF835" s="1" t="s">
        <v>104</v>
      </c>
      <c r="CG835" s="1" t="s">
        <v>104</v>
      </c>
      <c r="CH835" s="1" t="s">
        <v>104</v>
      </c>
      <c r="CJ835" s="1">
        <v>0</v>
      </c>
      <c r="CK835" s="1">
        <v>0</v>
      </c>
      <c r="CL835" s="1">
        <v>0</v>
      </c>
      <c r="CM835" s="1">
        <v>3</v>
      </c>
    </row>
    <row r="836" spans="1:91" ht="14.25" customHeight="1" x14ac:dyDescent="0.3">
      <c r="A836" s="1" t="s">
        <v>5329</v>
      </c>
      <c r="B836" s="1" t="s">
        <v>92</v>
      </c>
      <c r="C836" s="1" t="s">
        <v>523</v>
      </c>
      <c r="E836" s="1" t="s">
        <v>5330</v>
      </c>
      <c r="F836" s="1" t="s">
        <v>95</v>
      </c>
      <c r="G836" s="1" t="s">
        <v>5322</v>
      </c>
      <c r="H836" s="1">
        <v>0</v>
      </c>
      <c r="I836" s="1" t="s">
        <v>128</v>
      </c>
      <c r="L836" s="1" t="s">
        <v>5323</v>
      </c>
      <c r="M836" s="1" t="s">
        <v>119</v>
      </c>
      <c r="N836" s="1">
        <v>0</v>
      </c>
      <c r="O836" s="1">
        <v>0</v>
      </c>
      <c r="P836" s="1" t="s">
        <v>100</v>
      </c>
      <c r="Q836" s="1" t="s">
        <v>101</v>
      </c>
      <c r="R836" s="1" t="s">
        <v>5331</v>
      </c>
      <c r="S836" s="1" t="s">
        <v>4403</v>
      </c>
      <c r="T836" s="1">
        <v>1</v>
      </c>
      <c r="U836" s="1">
        <v>1</v>
      </c>
      <c r="V836" s="1">
        <v>1</v>
      </c>
      <c r="W836" s="1">
        <v>0</v>
      </c>
      <c r="X836" s="1">
        <v>0</v>
      </c>
      <c r="Y836" s="1" t="s">
        <v>104</v>
      </c>
      <c r="Z836" s="1" t="s">
        <v>104</v>
      </c>
      <c r="AA836" s="1" t="s">
        <v>104</v>
      </c>
      <c r="AB836" s="1" t="s">
        <v>104</v>
      </c>
      <c r="AC836" s="1" t="s">
        <v>104</v>
      </c>
      <c r="AD836" s="1" t="s">
        <v>104</v>
      </c>
      <c r="AE836" s="1" t="s">
        <v>104</v>
      </c>
      <c r="AF836" s="1" t="s">
        <v>104</v>
      </c>
      <c r="AG836" s="1">
        <v>5</v>
      </c>
      <c r="AH836" s="1" t="s">
        <v>104</v>
      </c>
      <c r="AI836" s="1" t="s">
        <v>104</v>
      </c>
      <c r="AJ836" s="1" t="s">
        <v>104</v>
      </c>
      <c r="AK836" s="1" t="s">
        <v>104</v>
      </c>
      <c r="AL836" s="1" t="s">
        <v>104</v>
      </c>
      <c r="AM836" s="1" t="s">
        <v>104</v>
      </c>
      <c r="AO836" s="1">
        <v>5</v>
      </c>
      <c r="AQ836" s="1" t="s">
        <v>5332</v>
      </c>
      <c r="AR836" s="1">
        <v>0</v>
      </c>
      <c r="AS836" s="1">
        <v>0</v>
      </c>
      <c r="AT836" s="1">
        <v>0</v>
      </c>
      <c r="AU836" s="1">
        <v>0</v>
      </c>
      <c r="AV836" s="1">
        <v>0</v>
      </c>
      <c r="AW836" s="1">
        <v>0</v>
      </c>
      <c r="AX836" s="1">
        <v>0</v>
      </c>
      <c r="AY836" s="1">
        <v>0</v>
      </c>
      <c r="AZ836" s="1">
        <v>0</v>
      </c>
      <c r="BA836" s="1">
        <v>0</v>
      </c>
      <c r="BB836" s="1">
        <v>0</v>
      </c>
      <c r="BC836" s="1">
        <v>0</v>
      </c>
      <c r="BD836" s="1">
        <v>0</v>
      </c>
      <c r="BE836" s="1">
        <v>0</v>
      </c>
      <c r="BF836" s="1">
        <v>0</v>
      </c>
      <c r="BG836" s="1">
        <v>0</v>
      </c>
      <c r="BH836" s="1">
        <v>0</v>
      </c>
      <c r="BI836" s="1">
        <v>0</v>
      </c>
      <c r="BJ836" s="1">
        <v>0</v>
      </c>
      <c r="BK836" s="1">
        <v>0</v>
      </c>
      <c r="BL836" s="1">
        <v>0</v>
      </c>
      <c r="BM836" s="1">
        <v>0</v>
      </c>
      <c r="BN836" s="1">
        <v>0</v>
      </c>
      <c r="BO836" s="1">
        <v>0</v>
      </c>
      <c r="BP836" s="1">
        <v>0</v>
      </c>
      <c r="BQ836" s="2" t="str">
        <f>HYPERLINK("http://www.d20pfsrd.com/magic/all-spells/r/rejuvenate-eidolon,-greater","Rejuvenate Eidolon, Greater")</f>
        <v>Rejuvenate Eidolon, Greater</v>
      </c>
      <c r="BR836" s="1">
        <v>857</v>
      </c>
      <c r="BS836" s="1" t="s">
        <v>104</v>
      </c>
      <c r="BX836" s="1">
        <v>0</v>
      </c>
      <c r="BY836" s="1" t="s">
        <v>104</v>
      </c>
      <c r="BZ836" s="1" t="s">
        <v>104</v>
      </c>
      <c r="CA836" s="1" t="s">
        <v>104</v>
      </c>
      <c r="CB836" s="1" t="s">
        <v>104</v>
      </c>
      <c r="CC836" s="1" t="s">
        <v>104</v>
      </c>
      <c r="CD836" s="1" t="s">
        <v>104</v>
      </c>
      <c r="CE836" s="1" t="s">
        <v>104</v>
      </c>
      <c r="CF836" s="1" t="s">
        <v>104</v>
      </c>
      <c r="CG836" s="1" t="s">
        <v>104</v>
      </c>
      <c r="CH836" s="1" t="s">
        <v>104</v>
      </c>
      <c r="CJ836" s="1">
        <v>0</v>
      </c>
      <c r="CK836" s="1">
        <v>0</v>
      </c>
      <c r="CL836" s="1">
        <v>0</v>
      </c>
      <c r="CM836" s="1">
        <v>5</v>
      </c>
    </row>
    <row r="837" spans="1:91" ht="14.25" customHeight="1" x14ac:dyDescent="0.3">
      <c r="A837" s="1" t="s">
        <v>5333</v>
      </c>
      <c r="B837" s="1" t="s">
        <v>434</v>
      </c>
      <c r="D837" s="1" t="s">
        <v>66</v>
      </c>
      <c r="E837" s="1" t="s">
        <v>5334</v>
      </c>
      <c r="F837" s="1" t="s">
        <v>4934</v>
      </c>
      <c r="G837" s="1" t="s">
        <v>237</v>
      </c>
      <c r="H837" s="1">
        <v>0</v>
      </c>
      <c r="I837" s="1" t="s">
        <v>157</v>
      </c>
      <c r="L837" s="1" t="s">
        <v>158</v>
      </c>
      <c r="M837" s="1" t="s">
        <v>111</v>
      </c>
      <c r="N837" s="1">
        <v>0</v>
      </c>
      <c r="O837" s="1">
        <v>0</v>
      </c>
      <c r="P837" s="1" t="s">
        <v>712</v>
      </c>
      <c r="Q837" s="1" t="s">
        <v>101</v>
      </c>
      <c r="R837" s="1" t="s">
        <v>5335</v>
      </c>
      <c r="S837" s="1" t="s">
        <v>4403</v>
      </c>
      <c r="T837" s="1">
        <v>1</v>
      </c>
      <c r="U837" s="1">
        <v>0</v>
      </c>
      <c r="V837" s="1">
        <v>0</v>
      </c>
      <c r="W837" s="1">
        <v>0</v>
      </c>
      <c r="X837" s="1">
        <v>0</v>
      </c>
      <c r="Y837" s="1" t="s">
        <v>104</v>
      </c>
      <c r="Z837" s="1" t="s">
        <v>104</v>
      </c>
      <c r="AA837" s="1" t="s">
        <v>104</v>
      </c>
      <c r="AB837" s="1" t="s">
        <v>104</v>
      </c>
      <c r="AC837" s="1" t="s">
        <v>104</v>
      </c>
      <c r="AD837" s="1" t="s">
        <v>104</v>
      </c>
      <c r="AE837" s="1">
        <v>4</v>
      </c>
      <c r="AF837" s="1" t="s">
        <v>104</v>
      </c>
      <c r="AG837" s="1" t="s">
        <v>104</v>
      </c>
      <c r="AH837" s="1" t="s">
        <v>104</v>
      </c>
      <c r="AI837" s="1">
        <v>5</v>
      </c>
      <c r="AJ837" s="1" t="s">
        <v>104</v>
      </c>
      <c r="AK837" s="1">
        <v>4</v>
      </c>
      <c r="AL837" s="1" t="s">
        <v>104</v>
      </c>
      <c r="AM837" s="1" t="s">
        <v>104</v>
      </c>
      <c r="AO837" s="1">
        <v>4</v>
      </c>
      <c r="AQ837" s="1" t="s">
        <v>5336</v>
      </c>
      <c r="AR837" s="1">
        <v>0</v>
      </c>
      <c r="AS837" s="1">
        <v>0</v>
      </c>
      <c r="AT837" s="1">
        <v>0</v>
      </c>
      <c r="AU837" s="1">
        <v>0</v>
      </c>
      <c r="AV837" s="1">
        <v>0</v>
      </c>
      <c r="AW837" s="1">
        <v>0</v>
      </c>
      <c r="AX837" s="1">
        <v>0</v>
      </c>
      <c r="AY837" s="1">
        <v>0</v>
      </c>
      <c r="AZ837" s="1">
        <v>0</v>
      </c>
      <c r="BA837" s="1">
        <v>0</v>
      </c>
      <c r="BB837" s="1">
        <v>0</v>
      </c>
      <c r="BC837" s="1">
        <v>0</v>
      </c>
      <c r="BD837" s="1">
        <v>0</v>
      </c>
      <c r="BE837" s="1">
        <v>0</v>
      </c>
      <c r="BF837" s="1">
        <v>0</v>
      </c>
      <c r="BG837" s="1">
        <v>0</v>
      </c>
      <c r="BH837" s="1">
        <v>0</v>
      </c>
      <c r="BI837" s="1">
        <v>0</v>
      </c>
      <c r="BJ837" s="1">
        <v>0</v>
      </c>
      <c r="BK837" s="1">
        <v>0</v>
      </c>
      <c r="BL837" s="1">
        <v>0</v>
      </c>
      <c r="BM837" s="1">
        <v>0</v>
      </c>
      <c r="BN837" s="1">
        <v>0</v>
      </c>
      <c r="BO837" s="1">
        <v>1</v>
      </c>
      <c r="BP837" s="1">
        <v>0</v>
      </c>
      <c r="BQ837" s="2" t="str">
        <f>HYPERLINK("http://www.d20pfsrd.com/magic/all-spells/r/resounding-blow","Resounding Blow")</f>
        <v>Resounding Blow</v>
      </c>
      <c r="BR837" s="1">
        <v>858</v>
      </c>
      <c r="BS837" s="1" t="s">
        <v>104</v>
      </c>
      <c r="BX837" s="1">
        <v>0</v>
      </c>
      <c r="BY837" s="1" t="s">
        <v>104</v>
      </c>
      <c r="BZ837" s="1" t="s">
        <v>104</v>
      </c>
      <c r="CA837" s="1" t="s">
        <v>104</v>
      </c>
      <c r="CB837" s="1" t="s">
        <v>104</v>
      </c>
      <c r="CC837" s="1" t="s">
        <v>104</v>
      </c>
      <c r="CD837" s="1" t="s">
        <v>104</v>
      </c>
      <c r="CE837" s="1" t="s">
        <v>104</v>
      </c>
      <c r="CF837" s="1" t="s">
        <v>104</v>
      </c>
      <c r="CG837" s="1" t="s">
        <v>104</v>
      </c>
      <c r="CH837" s="1" t="s">
        <v>104</v>
      </c>
      <c r="CJ837" s="1">
        <v>0</v>
      </c>
      <c r="CK837" s="1">
        <v>0</v>
      </c>
      <c r="CL837" s="1">
        <v>0</v>
      </c>
      <c r="CM837" s="1" t="s">
        <v>104</v>
      </c>
    </row>
    <row r="838" spans="1:91" ht="14.25" customHeight="1" x14ac:dyDescent="0.3">
      <c r="A838" s="1" t="s">
        <v>5337</v>
      </c>
      <c r="B838" s="1" t="s">
        <v>216</v>
      </c>
      <c r="D838" s="1" t="s">
        <v>47</v>
      </c>
      <c r="E838" s="1" t="s">
        <v>5338</v>
      </c>
      <c r="F838" s="1" t="s">
        <v>255</v>
      </c>
      <c r="G838" s="1" t="s">
        <v>5339</v>
      </c>
      <c r="H838" s="1">
        <v>0</v>
      </c>
      <c r="I838" s="1" t="s">
        <v>128</v>
      </c>
      <c r="L838" s="1" t="s">
        <v>5340</v>
      </c>
      <c r="M838" s="1" t="s">
        <v>298</v>
      </c>
      <c r="N838" s="1">
        <v>0</v>
      </c>
      <c r="O838" s="1">
        <v>0</v>
      </c>
      <c r="P838" s="1" t="s">
        <v>100</v>
      </c>
      <c r="Q838" s="1" t="s">
        <v>101</v>
      </c>
      <c r="R838" s="1" t="s">
        <v>5341</v>
      </c>
      <c r="S838" s="1" t="s">
        <v>4403</v>
      </c>
      <c r="T838" s="1">
        <v>1</v>
      </c>
      <c r="U838" s="1">
        <v>1</v>
      </c>
      <c r="V838" s="1">
        <v>1</v>
      </c>
      <c r="W838" s="1">
        <v>0</v>
      </c>
      <c r="X838" s="1">
        <v>1</v>
      </c>
      <c r="Y838" s="1" t="s">
        <v>104</v>
      </c>
      <c r="Z838" s="1" t="s">
        <v>104</v>
      </c>
      <c r="AA838" s="1">
        <v>4</v>
      </c>
      <c r="AB838" s="1">
        <v>5</v>
      </c>
      <c r="AC838" s="1" t="s">
        <v>104</v>
      </c>
      <c r="AD838" s="1" t="s">
        <v>104</v>
      </c>
      <c r="AE838" s="1" t="s">
        <v>104</v>
      </c>
      <c r="AF838" s="1" t="s">
        <v>104</v>
      </c>
      <c r="AG838" s="1" t="s">
        <v>104</v>
      </c>
      <c r="AH838" s="1">
        <v>5</v>
      </c>
      <c r="AI838" s="1" t="s">
        <v>104</v>
      </c>
      <c r="AJ838" s="1">
        <v>4</v>
      </c>
      <c r="AK838" s="1" t="s">
        <v>104</v>
      </c>
      <c r="AL838" s="1" t="s">
        <v>104</v>
      </c>
      <c r="AM838" s="1" t="s">
        <v>104</v>
      </c>
      <c r="AO838" s="1">
        <v>4</v>
      </c>
      <c r="AP838" s="1" t="s">
        <v>135</v>
      </c>
      <c r="AQ838" s="1" t="s">
        <v>5342</v>
      </c>
      <c r="AR838" s="1">
        <v>0</v>
      </c>
      <c r="AS838" s="1">
        <v>0</v>
      </c>
      <c r="AT838" s="1">
        <v>0</v>
      </c>
      <c r="AU838" s="1">
        <v>0</v>
      </c>
      <c r="AV838" s="1">
        <v>1</v>
      </c>
      <c r="AW838" s="1">
        <v>0</v>
      </c>
      <c r="AX838" s="1">
        <v>0</v>
      </c>
      <c r="AY838" s="1">
        <v>0</v>
      </c>
      <c r="AZ838" s="1">
        <v>0</v>
      </c>
      <c r="BA838" s="1">
        <v>0</v>
      </c>
      <c r="BB838" s="1">
        <v>0</v>
      </c>
      <c r="BC838" s="1">
        <v>0</v>
      </c>
      <c r="BD838" s="1">
        <v>0</v>
      </c>
      <c r="BE838" s="1">
        <v>0</v>
      </c>
      <c r="BF838" s="1">
        <v>0</v>
      </c>
      <c r="BG838" s="1">
        <v>0</v>
      </c>
      <c r="BH838" s="1">
        <v>0</v>
      </c>
      <c r="BI838" s="1">
        <v>0</v>
      </c>
      <c r="BJ838" s="1">
        <v>0</v>
      </c>
      <c r="BK838" s="1">
        <v>0</v>
      </c>
      <c r="BL838" s="1">
        <v>0</v>
      </c>
      <c r="BM838" s="1">
        <v>0</v>
      </c>
      <c r="BN838" s="1">
        <v>0</v>
      </c>
      <c r="BO838" s="1">
        <v>0</v>
      </c>
      <c r="BP838" s="1">
        <v>0</v>
      </c>
      <c r="BQ838" s="2" t="str">
        <f>HYPERLINK("http://www.d20pfsrd.com/magic/all-spells/r/rest-eternal","Rest Eternal")</f>
        <v>Rest Eternal</v>
      </c>
      <c r="BR838" s="1">
        <v>859</v>
      </c>
      <c r="BS838" s="1" t="s">
        <v>104</v>
      </c>
      <c r="BU838" s="1" t="s">
        <v>894</v>
      </c>
      <c r="BX838" s="1">
        <v>0</v>
      </c>
      <c r="BY838" s="1" t="s">
        <v>104</v>
      </c>
      <c r="BZ838" s="1">
        <v>5</v>
      </c>
      <c r="CA838" s="1" t="s">
        <v>104</v>
      </c>
      <c r="CB838" s="1" t="s">
        <v>104</v>
      </c>
      <c r="CC838" s="1" t="s">
        <v>104</v>
      </c>
      <c r="CD838" s="1" t="s">
        <v>104</v>
      </c>
      <c r="CE838" s="1" t="s">
        <v>104</v>
      </c>
      <c r="CF838" s="1" t="s">
        <v>104</v>
      </c>
      <c r="CG838" s="1" t="s">
        <v>104</v>
      </c>
      <c r="CH838" s="1">
        <v>5</v>
      </c>
      <c r="CJ838" s="1">
        <v>0</v>
      </c>
      <c r="CK838" s="1">
        <v>0</v>
      </c>
      <c r="CL838" s="1">
        <v>0</v>
      </c>
      <c r="CM838" s="1" t="s">
        <v>104</v>
      </c>
    </row>
    <row r="839" spans="1:91" ht="14.25" customHeight="1" x14ac:dyDescent="0.3">
      <c r="A839" s="1" t="s">
        <v>5343</v>
      </c>
      <c r="B839" s="1" t="s">
        <v>216</v>
      </c>
      <c r="E839" s="1" t="s">
        <v>5344</v>
      </c>
      <c r="F839" s="1" t="s">
        <v>287</v>
      </c>
      <c r="G839" s="1" t="s">
        <v>5345</v>
      </c>
      <c r="H839" s="1">
        <v>0</v>
      </c>
      <c r="I839" s="1" t="s">
        <v>117</v>
      </c>
      <c r="L839" s="1" t="s">
        <v>541</v>
      </c>
      <c r="M839" s="1" t="s">
        <v>5346</v>
      </c>
      <c r="N839" s="1">
        <v>0</v>
      </c>
      <c r="O839" s="1">
        <v>0</v>
      </c>
      <c r="P839" s="1" t="s">
        <v>1058</v>
      </c>
      <c r="Q839" s="1" t="s">
        <v>131</v>
      </c>
      <c r="R839" s="1" t="s">
        <v>5347</v>
      </c>
      <c r="S839" s="1" t="s">
        <v>4403</v>
      </c>
      <c r="T839" s="1">
        <v>1</v>
      </c>
      <c r="U839" s="1">
        <v>1</v>
      </c>
      <c r="V839" s="1">
        <v>1</v>
      </c>
      <c r="W839" s="1">
        <v>0</v>
      </c>
      <c r="X839" s="1">
        <v>0</v>
      </c>
      <c r="Y839" s="1" t="s">
        <v>104</v>
      </c>
      <c r="Z839" s="1" t="s">
        <v>104</v>
      </c>
      <c r="AA839" s="1" t="s">
        <v>104</v>
      </c>
      <c r="AB839" s="1" t="s">
        <v>104</v>
      </c>
      <c r="AC839" s="1" t="s">
        <v>104</v>
      </c>
      <c r="AD839" s="1">
        <v>1</v>
      </c>
      <c r="AE839" s="1" t="s">
        <v>104</v>
      </c>
      <c r="AF839" s="1" t="s">
        <v>104</v>
      </c>
      <c r="AG839" s="1" t="s">
        <v>104</v>
      </c>
      <c r="AH839" s="1" t="s">
        <v>104</v>
      </c>
      <c r="AI839" s="1" t="s">
        <v>104</v>
      </c>
      <c r="AJ839" s="1" t="s">
        <v>104</v>
      </c>
      <c r="AK839" s="1" t="s">
        <v>104</v>
      </c>
      <c r="AL839" s="1" t="s">
        <v>104</v>
      </c>
      <c r="AM839" s="1" t="s">
        <v>104</v>
      </c>
      <c r="AO839" s="1">
        <v>1</v>
      </c>
      <c r="AQ839" s="1" t="s">
        <v>5348</v>
      </c>
      <c r="AR839" s="1">
        <v>0</v>
      </c>
      <c r="AS839" s="1">
        <v>0</v>
      </c>
      <c r="AT839" s="1">
        <v>0</v>
      </c>
      <c r="AU839" s="1">
        <v>0</v>
      </c>
      <c r="AV839" s="1">
        <v>0</v>
      </c>
      <c r="AW839" s="1">
        <v>0</v>
      </c>
      <c r="AX839" s="1">
        <v>0</v>
      </c>
      <c r="AY839" s="1">
        <v>0</v>
      </c>
      <c r="AZ839" s="1">
        <v>0</v>
      </c>
      <c r="BA839" s="1">
        <v>0</v>
      </c>
      <c r="BB839" s="1">
        <v>0</v>
      </c>
      <c r="BC839" s="1">
        <v>0</v>
      </c>
      <c r="BD839" s="1">
        <v>0</v>
      </c>
      <c r="BE839" s="1">
        <v>0</v>
      </c>
      <c r="BF839" s="1">
        <v>0</v>
      </c>
      <c r="BG839" s="1">
        <v>0</v>
      </c>
      <c r="BH839" s="1">
        <v>0</v>
      </c>
      <c r="BI839" s="1">
        <v>0</v>
      </c>
      <c r="BJ839" s="1">
        <v>0</v>
      </c>
      <c r="BK839" s="1">
        <v>0</v>
      </c>
      <c r="BL839" s="1">
        <v>0</v>
      </c>
      <c r="BM839" s="1">
        <v>0</v>
      </c>
      <c r="BN839" s="1">
        <v>0</v>
      </c>
      <c r="BO839" s="1">
        <v>0</v>
      </c>
      <c r="BP839" s="1">
        <v>0</v>
      </c>
      <c r="BQ839" s="2" t="str">
        <f>HYPERLINK("http://www.d20pfsrd.com/magic/all-spells/r/restful-sleep","Restful Sleep")</f>
        <v>Restful Sleep</v>
      </c>
      <c r="BR839" s="1">
        <v>860</v>
      </c>
      <c r="BS839" s="1" t="s">
        <v>104</v>
      </c>
      <c r="BX839" s="1">
        <v>0</v>
      </c>
      <c r="BY839" s="1" t="s">
        <v>104</v>
      </c>
      <c r="BZ839" s="1" t="s">
        <v>104</v>
      </c>
      <c r="CA839" s="1" t="s">
        <v>104</v>
      </c>
      <c r="CB839" s="1" t="s">
        <v>104</v>
      </c>
      <c r="CC839" s="1" t="s">
        <v>104</v>
      </c>
      <c r="CD839" s="1" t="s">
        <v>104</v>
      </c>
      <c r="CE839" s="1" t="s">
        <v>104</v>
      </c>
      <c r="CF839" s="1" t="s">
        <v>104</v>
      </c>
      <c r="CG839" s="1" t="s">
        <v>104</v>
      </c>
      <c r="CH839" s="1" t="s">
        <v>104</v>
      </c>
      <c r="CJ839" s="1">
        <v>0</v>
      </c>
      <c r="CK839" s="1">
        <v>0</v>
      </c>
      <c r="CL839" s="1">
        <v>0</v>
      </c>
      <c r="CM839" s="1" t="s">
        <v>104</v>
      </c>
    </row>
    <row r="840" spans="1:91" ht="14.25" customHeight="1" x14ac:dyDescent="0.3">
      <c r="A840" s="1" t="s">
        <v>5349</v>
      </c>
      <c r="B840" s="1" t="s">
        <v>92</v>
      </c>
      <c r="C840" s="1" t="s">
        <v>523</v>
      </c>
      <c r="E840" s="1" t="s">
        <v>4757</v>
      </c>
      <c r="F840" s="1" t="s">
        <v>95</v>
      </c>
      <c r="G840" s="1" t="s">
        <v>5350</v>
      </c>
      <c r="H840" s="1">
        <v>1</v>
      </c>
      <c r="I840" s="1" t="s">
        <v>157</v>
      </c>
      <c r="L840" s="1" t="s">
        <v>158</v>
      </c>
      <c r="M840" s="1" t="s">
        <v>5351</v>
      </c>
      <c r="N840" s="1">
        <v>0</v>
      </c>
      <c r="O840" s="1">
        <v>0</v>
      </c>
      <c r="R840" s="1" t="s">
        <v>5352</v>
      </c>
      <c r="S840" s="1" t="s">
        <v>4403</v>
      </c>
      <c r="T840" s="1">
        <v>1</v>
      </c>
      <c r="U840" s="1">
        <v>1</v>
      </c>
      <c r="V840" s="1">
        <v>1</v>
      </c>
      <c r="W840" s="1">
        <v>0</v>
      </c>
      <c r="X840" s="1">
        <v>0</v>
      </c>
      <c r="Y840" s="1" t="s">
        <v>104</v>
      </c>
      <c r="Z840" s="1" t="s">
        <v>104</v>
      </c>
      <c r="AA840" s="1" t="s">
        <v>104</v>
      </c>
      <c r="AB840" s="1" t="s">
        <v>104</v>
      </c>
      <c r="AC840" s="1" t="s">
        <v>104</v>
      </c>
      <c r="AD840" s="1" t="s">
        <v>104</v>
      </c>
      <c r="AE840" s="1" t="s">
        <v>104</v>
      </c>
      <c r="AF840" s="1">
        <v>5</v>
      </c>
      <c r="AG840" s="1" t="s">
        <v>104</v>
      </c>
      <c r="AH840" s="1" t="s">
        <v>104</v>
      </c>
      <c r="AI840" s="1" t="s">
        <v>104</v>
      </c>
      <c r="AJ840" s="1" t="s">
        <v>104</v>
      </c>
      <c r="AK840" s="1" t="s">
        <v>104</v>
      </c>
      <c r="AL840" s="1" t="s">
        <v>104</v>
      </c>
      <c r="AM840" s="1" t="s">
        <v>104</v>
      </c>
      <c r="AO840" s="1">
        <v>5</v>
      </c>
      <c r="AQ840" s="1" t="s">
        <v>5353</v>
      </c>
      <c r="AR840" s="1">
        <v>0</v>
      </c>
      <c r="AS840" s="1">
        <v>0</v>
      </c>
      <c r="AT840" s="1">
        <v>0</v>
      </c>
      <c r="AU840" s="1">
        <v>0</v>
      </c>
      <c r="AV840" s="1">
        <v>0</v>
      </c>
      <c r="AW840" s="1">
        <v>0</v>
      </c>
      <c r="AX840" s="1">
        <v>0</v>
      </c>
      <c r="AY840" s="1">
        <v>0</v>
      </c>
      <c r="AZ840" s="1">
        <v>0</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2" t="str">
        <f>HYPERLINK("http://www.d20pfsrd.com/magic/all-spells/r/resurgent-transformation","Resurgent Transformation")</f>
        <v>Resurgent Transformation</v>
      </c>
      <c r="BR840" s="1">
        <v>861</v>
      </c>
      <c r="BS840" s="1">
        <v>100</v>
      </c>
      <c r="BX840" s="1">
        <v>0</v>
      </c>
      <c r="BY840" s="1" t="s">
        <v>104</v>
      </c>
      <c r="BZ840" s="1" t="s">
        <v>104</v>
      </c>
      <c r="CA840" s="1" t="s">
        <v>104</v>
      </c>
      <c r="CB840" s="1" t="s">
        <v>104</v>
      </c>
      <c r="CC840" s="1" t="s">
        <v>104</v>
      </c>
      <c r="CD840" s="1" t="s">
        <v>104</v>
      </c>
      <c r="CE840" s="1" t="s">
        <v>104</v>
      </c>
      <c r="CF840" s="1" t="s">
        <v>104</v>
      </c>
      <c r="CG840" s="1" t="s">
        <v>104</v>
      </c>
      <c r="CH840" s="1" t="s">
        <v>104</v>
      </c>
      <c r="CJ840" s="1">
        <v>0</v>
      </c>
      <c r="CK840" s="1">
        <v>0</v>
      </c>
      <c r="CL840" s="1">
        <v>0</v>
      </c>
      <c r="CM840" s="1" t="s">
        <v>104</v>
      </c>
    </row>
    <row r="841" spans="1:91" ht="14.25" customHeight="1" x14ac:dyDescent="0.3">
      <c r="A841" s="1" t="s">
        <v>5354</v>
      </c>
      <c r="B841" s="1" t="s">
        <v>216</v>
      </c>
      <c r="D841" s="1" t="s">
        <v>3767</v>
      </c>
      <c r="E841" s="1" t="s">
        <v>5355</v>
      </c>
      <c r="F841" s="1" t="s">
        <v>95</v>
      </c>
      <c r="G841" s="1" t="s">
        <v>237</v>
      </c>
      <c r="H841" s="1">
        <v>0</v>
      </c>
      <c r="I841" s="1" t="s">
        <v>117</v>
      </c>
      <c r="L841" s="1" t="s">
        <v>5356</v>
      </c>
      <c r="M841" s="1" t="s">
        <v>111</v>
      </c>
      <c r="N841" s="1">
        <v>0</v>
      </c>
      <c r="O841" s="1">
        <v>0</v>
      </c>
      <c r="P841" s="1" t="s">
        <v>1080</v>
      </c>
      <c r="Q841" s="1" t="s">
        <v>184</v>
      </c>
      <c r="R841" s="1" t="s">
        <v>5357</v>
      </c>
      <c r="S841" s="1" t="s">
        <v>4403</v>
      </c>
      <c r="T841" s="1">
        <v>1</v>
      </c>
      <c r="U841" s="1">
        <v>0</v>
      </c>
      <c r="V841" s="1">
        <v>0</v>
      </c>
      <c r="W841" s="1">
        <v>0</v>
      </c>
      <c r="X841" s="1">
        <v>0</v>
      </c>
      <c r="Y841" s="1" t="s">
        <v>104</v>
      </c>
      <c r="Z841" s="1" t="s">
        <v>104</v>
      </c>
      <c r="AA841" s="1" t="s">
        <v>104</v>
      </c>
      <c r="AB841" s="1" t="s">
        <v>104</v>
      </c>
      <c r="AC841" s="1" t="s">
        <v>104</v>
      </c>
      <c r="AD841" s="1" t="s">
        <v>104</v>
      </c>
      <c r="AE841" s="1" t="s">
        <v>104</v>
      </c>
      <c r="AF841" s="1" t="s">
        <v>104</v>
      </c>
      <c r="AG841" s="1" t="s">
        <v>104</v>
      </c>
      <c r="AH841" s="1" t="s">
        <v>104</v>
      </c>
      <c r="AI841" s="1">
        <v>3</v>
      </c>
      <c r="AJ841" s="1" t="s">
        <v>104</v>
      </c>
      <c r="AK841" s="1" t="s">
        <v>104</v>
      </c>
      <c r="AL841" s="1" t="s">
        <v>104</v>
      </c>
      <c r="AM841" s="1" t="s">
        <v>104</v>
      </c>
      <c r="AO841" s="1">
        <v>3</v>
      </c>
      <c r="AQ841" s="1" t="s">
        <v>5358</v>
      </c>
      <c r="AR841" s="1">
        <v>0</v>
      </c>
      <c r="AS841" s="1">
        <v>0</v>
      </c>
      <c r="AT841" s="1">
        <v>0</v>
      </c>
      <c r="AU841" s="1">
        <v>0</v>
      </c>
      <c r="AV841" s="1">
        <v>0</v>
      </c>
      <c r="AW841" s="1">
        <v>0</v>
      </c>
      <c r="AX841" s="1">
        <v>0</v>
      </c>
      <c r="AY841" s="1">
        <v>0</v>
      </c>
      <c r="AZ841" s="1">
        <v>0</v>
      </c>
      <c r="BA841" s="1">
        <v>0</v>
      </c>
      <c r="BB841" s="1">
        <v>0</v>
      </c>
      <c r="BC841" s="1">
        <v>1</v>
      </c>
      <c r="BD841" s="1">
        <v>0</v>
      </c>
      <c r="BE841" s="1">
        <v>0</v>
      </c>
      <c r="BF841" s="1">
        <v>0</v>
      </c>
      <c r="BG841" s="1">
        <v>0</v>
      </c>
      <c r="BH841" s="1">
        <v>0</v>
      </c>
      <c r="BI841" s="1">
        <v>0</v>
      </c>
      <c r="BJ841" s="1">
        <v>0</v>
      </c>
      <c r="BK841" s="1">
        <v>0</v>
      </c>
      <c r="BL841" s="1">
        <v>1</v>
      </c>
      <c r="BM841" s="1">
        <v>0</v>
      </c>
      <c r="BN841" s="1">
        <v>0</v>
      </c>
      <c r="BO841" s="1">
        <v>0</v>
      </c>
      <c r="BP841" s="1">
        <v>0</v>
      </c>
      <c r="BQ841" s="2" t="str">
        <f>HYPERLINK("http://www.d20pfsrd.com/magic/all-spells/r/retribution","Retribution")</f>
        <v>Retribution</v>
      </c>
      <c r="BR841" s="1">
        <v>862</v>
      </c>
      <c r="BS841" s="1" t="s">
        <v>104</v>
      </c>
      <c r="BX841" s="1">
        <v>0</v>
      </c>
      <c r="BY841" s="1" t="s">
        <v>104</v>
      </c>
      <c r="BZ841" s="1" t="s">
        <v>104</v>
      </c>
      <c r="CA841" s="1" t="s">
        <v>104</v>
      </c>
      <c r="CB841" s="1" t="s">
        <v>104</v>
      </c>
      <c r="CC841" s="1" t="s">
        <v>104</v>
      </c>
      <c r="CD841" s="1" t="s">
        <v>104</v>
      </c>
      <c r="CE841" s="1" t="s">
        <v>104</v>
      </c>
      <c r="CF841" s="1" t="s">
        <v>104</v>
      </c>
      <c r="CG841" s="1" t="s">
        <v>104</v>
      </c>
      <c r="CH841" s="1" t="s">
        <v>104</v>
      </c>
      <c r="CJ841" s="1">
        <v>0</v>
      </c>
      <c r="CK841" s="1">
        <v>0</v>
      </c>
      <c r="CL841" s="1">
        <v>0</v>
      </c>
      <c r="CM841" s="1" t="s">
        <v>104</v>
      </c>
    </row>
    <row r="842" spans="1:91" ht="14.25" customHeight="1" x14ac:dyDescent="0.3">
      <c r="A842" s="1" t="s">
        <v>5359</v>
      </c>
      <c r="B842" s="1" t="s">
        <v>92</v>
      </c>
      <c r="C842" s="1" t="s">
        <v>523</v>
      </c>
      <c r="E842" s="1" t="s">
        <v>1846</v>
      </c>
      <c r="F842" s="1" t="s">
        <v>4934</v>
      </c>
      <c r="G842" s="1" t="s">
        <v>116</v>
      </c>
      <c r="H842" s="1">
        <v>0</v>
      </c>
      <c r="I842" s="1" t="s">
        <v>697</v>
      </c>
      <c r="J842" s="1" t="s">
        <v>5360</v>
      </c>
      <c r="M842" s="1" t="s">
        <v>119</v>
      </c>
      <c r="N842" s="1">
        <v>0</v>
      </c>
      <c r="O842" s="1">
        <v>0</v>
      </c>
      <c r="P842" s="1" t="s">
        <v>5361</v>
      </c>
      <c r="Q842" s="1" t="s">
        <v>131</v>
      </c>
      <c r="R842" s="1" t="s">
        <v>5362</v>
      </c>
      <c r="S842" s="1" t="s">
        <v>4403</v>
      </c>
      <c r="T842" s="1">
        <v>1</v>
      </c>
      <c r="U842" s="1">
        <v>1</v>
      </c>
      <c r="V842" s="1">
        <v>0</v>
      </c>
      <c r="W842" s="1">
        <v>0</v>
      </c>
      <c r="X842" s="1">
        <v>0</v>
      </c>
      <c r="Y842" s="1" t="s">
        <v>104</v>
      </c>
      <c r="Z842" s="1" t="s">
        <v>104</v>
      </c>
      <c r="AA842" s="1" t="s">
        <v>104</v>
      </c>
      <c r="AB842" s="1" t="s">
        <v>104</v>
      </c>
      <c r="AC842" s="1" t="s">
        <v>104</v>
      </c>
      <c r="AD842" s="1">
        <v>3</v>
      </c>
      <c r="AE842" s="1" t="s">
        <v>104</v>
      </c>
      <c r="AF842" s="1" t="s">
        <v>104</v>
      </c>
      <c r="AG842" s="1" t="s">
        <v>104</v>
      </c>
      <c r="AH842" s="1" t="s">
        <v>104</v>
      </c>
      <c r="AI842" s="1" t="s">
        <v>104</v>
      </c>
      <c r="AJ842" s="1" t="s">
        <v>104</v>
      </c>
      <c r="AK842" s="1" t="s">
        <v>104</v>
      </c>
      <c r="AL842" s="1" t="s">
        <v>104</v>
      </c>
      <c r="AM842" s="1" t="s">
        <v>104</v>
      </c>
      <c r="AO842" s="1">
        <v>3</v>
      </c>
      <c r="AQ842" s="1" t="s">
        <v>5363</v>
      </c>
      <c r="AR842" s="1">
        <v>0</v>
      </c>
      <c r="AS842" s="1">
        <v>0</v>
      </c>
      <c r="AT842" s="1">
        <v>0</v>
      </c>
      <c r="AU842" s="1">
        <v>0</v>
      </c>
      <c r="AV842" s="1">
        <v>0</v>
      </c>
      <c r="AW842" s="1">
        <v>0</v>
      </c>
      <c r="AX842" s="1">
        <v>0</v>
      </c>
      <c r="AY842" s="1">
        <v>0</v>
      </c>
      <c r="AZ842" s="1">
        <v>0</v>
      </c>
      <c r="BA842" s="1">
        <v>0</v>
      </c>
      <c r="BB842" s="1">
        <v>0</v>
      </c>
      <c r="BC842" s="1">
        <v>0</v>
      </c>
      <c r="BD842" s="1">
        <v>0</v>
      </c>
      <c r="BE842" s="1">
        <v>0</v>
      </c>
      <c r="BF842" s="1">
        <v>0</v>
      </c>
      <c r="BG842" s="1">
        <v>0</v>
      </c>
      <c r="BH842" s="1">
        <v>0</v>
      </c>
      <c r="BI842" s="1">
        <v>0</v>
      </c>
      <c r="BJ842" s="1">
        <v>0</v>
      </c>
      <c r="BK842" s="1">
        <v>0</v>
      </c>
      <c r="BL842" s="1">
        <v>0</v>
      </c>
      <c r="BM842" s="1">
        <v>0</v>
      </c>
      <c r="BN842" s="1">
        <v>0</v>
      </c>
      <c r="BO842" s="1">
        <v>0</v>
      </c>
      <c r="BP842" s="1">
        <v>0</v>
      </c>
      <c r="BQ842" s="2" t="str">
        <f>HYPERLINK("http://www.d20pfsrd.com/magic/all-spells/r/reviving-finale","Reviving Finale")</f>
        <v>Reviving Finale</v>
      </c>
      <c r="BR842" s="1">
        <v>863</v>
      </c>
      <c r="BS842" s="1" t="s">
        <v>104</v>
      </c>
      <c r="BX842" s="1">
        <v>0</v>
      </c>
      <c r="BY842" s="1" t="s">
        <v>104</v>
      </c>
      <c r="BZ842" s="1" t="s">
        <v>104</v>
      </c>
      <c r="CA842" s="1" t="s">
        <v>104</v>
      </c>
      <c r="CB842" s="1" t="s">
        <v>104</v>
      </c>
      <c r="CC842" s="1" t="s">
        <v>104</v>
      </c>
      <c r="CD842" s="1" t="s">
        <v>104</v>
      </c>
      <c r="CE842" s="1" t="s">
        <v>104</v>
      </c>
      <c r="CF842" s="1" t="s">
        <v>104</v>
      </c>
      <c r="CG842" s="1" t="s">
        <v>104</v>
      </c>
      <c r="CH842" s="1" t="s">
        <v>104</v>
      </c>
      <c r="CJ842" s="1">
        <v>0</v>
      </c>
      <c r="CK842" s="1">
        <v>0</v>
      </c>
      <c r="CL842" s="1">
        <v>0</v>
      </c>
      <c r="CM842" s="1" t="s">
        <v>104</v>
      </c>
    </row>
    <row r="843" spans="1:91" ht="14.25" customHeight="1" x14ac:dyDescent="0.3">
      <c r="A843" s="1" t="s">
        <v>5364</v>
      </c>
      <c r="B843" s="1" t="s">
        <v>123</v>
      </c>
      <c r="C843" s="1" t="s">
        <v>124</v>
      </c>
      <c r="D843" s="1" t="s">
        <v>125</v>
      </c>
      <c r="E843" s="1" t="s">
        <v>5365</v>
      </c>
      <c r="F843" s="1" t="s">
        <v>95</v>
      </c>
      <c r="G843" s="1" t="s">
        <v>127</v>
      </c>
      <c r="H843" s="1">
        <v>0</v>
      </c>
      <c r="I843" s="1" t="s">
        <v>128</v>
      </c>
      <c r="L843" s="1" t="s">
        <v>374</v>
      </c>
      <c r="M843" s="1" t="s">
        <v>111</v>
      </c>
      <c r="N843" s="1">
        <v>0</v>
      </c>
      <c r="O843" s="1">
        <v>0</v>
      </c>
      <c r="P843" s="1" t="s">
        <v>375</v>
      </c>
      <c r="Q843" s="1" t="s">
        <v>131</v>
      </c>
      <c r="R843" s="1" t="s">
        <v>5366</v>
      </c>
      <c r="S843" s="1" t="s">
        <v>4403</v>
      </c>
      <c r="T843" s="1">
        <v>1</v>
      </c>
      <c r="U843" s="1">
        <v>1</v>
      </c>
      <c r="V843" s="1">
        <v>0</v>
      </c>
      <c r="W843" s="1">
        <v>0</v>
      </c>
      <c r="X843" s="1">
        <v>1</v>
      </c>
      <c r="Y843" s="1" t="s">
        <v>104</v>
      </c>
      <c r="Z843" s="1" t="s">
        <v>104</v>
      </c>
      <c r="AA843" s="1" t="s">
        <v>104</v>
      </c>
      <c r="AB843" s="1" t="s">
        <v>104</v>
      </c>
      <c r="AC843" s="1" t="s">
        <v>104</v>
      </c>
      <c r="AD843" s="1" t="s">
        <v>104</v>
      </c>
      <c r="AE843" s="1">
        <v>2</v>
      </c>
      <c r="AF843" s="1" t="s">
        <v>104</v>
      </c>
      <c r="AG843" s="1" t="s">
        <v>104</v>
      </c>
      <c r="AH843" s="1" t="s">
        <v>104</v>
      </c>
      <c r="AI843" s="1">
        <v>3</v>
      </c>
      <c r="AJ843" s="1" t="s">
        <v>104</v>
      </c>
      <c r="AK843" s="1" t="s">
        <v>104</v>
      </c>
      <c r="AL843" s="1" t="s">
        <v>104</v>
      </c>
      <c r="AM843" s="1" t="s">
        <v>104</v>
      </c>
      <c r="AO843" s="1">
        <v>2</v>
      </c>
      <c r="AQ843" s="1" t="s">
        <v>5367</v>
      </c>
      <c r="AR843" s="1">
        <v>0</v>
      </c>
      <c r="AS843" s="1">
        <v>0</v>
      </c>
      <c r="AT843" s="1">
        <v>0</v>
      </c>
      <c r="AU843" s="1">
        <v>0</v>
      </c>
      <c r="AV843" s="1">
        <v>0</v>
      </c>
      <c r="AW843" s="1">
        <v>0</v>
      </c>
      <c r="AX843" s="1">
        <v>0</v>
      </c>
      <c r="AY843" s="1">
        <v>0</v>
      </c>
      <c r="AZ843" s="1">
        <v>0</v>
      </c>
      <c r="BA843" s="1">
        <v>0</v>
      </c>
      <c r="BB843" s="1">
        <v>0</v>
      </c>
      <c r="BC843" s="1">
        <v>0</v>
      </c>
      <c r="BD843" s="1">
        <v>0</v>
      </c>
      <c r="BE843" s="1">
        <v>0</v>
      </c>
      <c r="BF843" s="1">
        <v>0</v>
      </c>
      <c r="BG843" s="1">
        <v>0</v>
      </c>
      <c r="BH843" s="1">
        <v>0</v>
      </c>
      <c r="BI843" s="1">
        <v>0</v>
      </c>
      <c r="BJ843" s="1">
        <v>0</v>
      </c>
      <c r="BK843" s="1">
        <v>1</v>
      </c>
      <c r="BL843" s="1">
        <v>0</v>
      </c>
      <c r="BM843" s="1">
        <v>0</v>
      </c>
      <c r="BN843" s="1">
        <v>0</v>
      </c>
      <c r="BO843" s="1">
        <v>0</v>
      </c>
      <c r="BP843" s="1">
        <v>0</v>
      </c>
      <c r="BQ843" s="2" t="str">
        <f>HYPERLINK("http://www.d20pfsrd.com/magic/all-spells/r/righteous-vigor","Righteous Vigor")</f>
        <v>Righteous Vigor</v>
      </c>
      <c r="BR843" s="1">
        <v>864</v>
      </c>
      <c r="BS843" s="1" t="s">
        <v>104</v>
      </c>
      <c r="BX843" s="1">
        <v>0</v>
      </c>
      <c r="BY843" s="1" t="s">
        <v>104</v>
      </c>
      <c r="BZ843" s="1" t="s">
        <v>104</v>
      </c>
      <c r="CA843" s="1" t="s">
        <v>104</v>
      </c>
      <c r="CB843" s="1" t="s">
        <v>104</v>
      </c>
      <c r="CC843" s="1" t="s">
        <v>104</v>
      </c>
      <c r="CD843" s="1" t="s">
        <v>104</v>
      </c>
      <c r="CE843" s="1" t="s">
        <v>104</v>
      </c>
      <c r="CF843" s="1" t="s">
        <v>104</v>
      </c>
      <c r="CG843" s="1" t="s">
        <v>104</v>
      </c>
      <c r="CH843" s="1" t="s">
        <v>104</v>
      </c>
      <c r="CJ843" s="1">
        <v>0</v>
      </c>
      <c r="CK843" s="1">
        <v>0</v>
      </c>
      <c r="CL843" s="1">
        <v>0</v>
      </c>
      <c r="CM843" s="1" t="s">
        <v>104</v>
      </c>
    </row>
    <row r="844" spans="1:91" ht="14.25" customHeight="1" x14ac:dyDescent="0.3">
      <c r="A844" s="1" t="s">
        <v>5368</v>
      </c>
      <c r="B844" s="1" t="s">
        <v>434</v>
      </c>
      <c r="D844" s="1" t="s">
        <v>44</v>
      </c>
      <c r="E844" s="1" t="s">
        <v>5369</v>
      </c>
      <c r="F844" s="1" t="s">
        <v>95</v>
      </c>
      <c r="G844" s="1" t="s">
        <v>116</v>
      </c>
      <c r="H844" s="1">
        <v>0</v>
      </c>
      <c r="I844" s="1" t="s">
        <v>2272</v>
      </c>
      <c r="J844" s="1" t="s">
        <v>2273</v>
      </c>
      <c r="M844" s="1" t="s">
        <v>111</v>
      </c>
      <c r="N844" s="1">
        <v>0</v>
      </c>
      <c r="O844" s="1">
        <v>0</v>
      </c>
      <c r="P844" s="1" t="s">
        <v>1080</v>
      </c>
      <c r="Q844" s="1" t="s">
        <v>184</v>
      </c>
      <c r="R844" s="1" t="s">
        <v>5370</v>
      </c>
      <c r="S844" s="1" t="s">
        <v>4403</v>
      </c>
      <c r="T844" s="1">
        <v>1</v>
      </c>
      <c r="U844" s="1">
        <v>1</v>
      </c>
      <c r="V844" s="1">
        <v>0</v>
      </c>
      <c r="W844" s="1">
        <v>0</v>
      </c>
      <c r="X844" s="1">
        <v>0</v>
      </c>
      <c r="Y844" s="1">
        <v>4</v>
      </c>
      <c r="Z844" s="1">
        <v>4</v>
      </c>
      <c r="AA844" s="1" t="s">
        <v>104</v>
      </c>
      <c r="AB844" s="1">
        <v>4</v>
      </c>
      <c r="AC844" s="1" t="s">
        <v>104</v>
      </c>
      <c r="AD844" s="1" t="s">
        <v>104</v>
      </c>
      <c r="AE844" s="1" t="s">
        <v>104</v>
      </c>
      <c r="AF844" s="1" t="s">
        <v>104</v>
      </c>
      <c r="AG844" s="1" t="s">
        <v>104</v>
      </c>
      <c r="AH844" s="1" t="s">
        <v>104</v>
      </c>
      <c r="AI844" s="1" t="s">
        <v>104</v>
      </c>
      <c r="AJ844" s="1" t="s">
        <v>104</v>
      </c>
      <c r="AK844" s="1" t="s">
        <v>104</v>
      </c>
      <c r="AL844" s="1">
        <v>4</v>
      </c>
      <c r="AM844" s="1" t="s">
        <v>104</v>
      </c>
      <c r="AO844" s="1">
        <v>4</v>
      </c>
      <c r="AQ844" s="1" t="s">
        <v>5371</v>
      </c>
      <c r="AR844" s="1">
        <v>0</v>
      </c>
      <c r="AS844" s="1">
        <v>1</v>
      </c>
      <c r="AT844" s="1">
        <v>0</v>
      </c>
      <c r="AU844" s="1">
        <v>0</v>
      </c>
      <c r="AV844" s="1">
        <v>0</v>
      </c>
      <c r="AW844" s="1">
        <v>0</v>
      </c>
      <c r="AX844" s="1">
        <v>0</v>
      </c>
      <c r="AY844" s="1">
        <v>0</v>
      </c>
      <c r="AZ844" s="1">
        <v>0</v>
      </c>
      <c r="BA844" s="1">
        <v>0</v>
      </c>
      <c r="BB844" s="1">
        <v>0</v>
      </c>
      <c r="BC844" s="1">
        <v>0</v>
      </c>
      <c r="BD844" s="1">
        <v>0</v>
      </c>
      <c r="BE844" s="1">
        <v>0</v>
      </c>
      <c r="BF844" s="1">
        <v>0</v>
      </c>
      <c r="BG844" s="1">
        <v>0</v>
      </c>
      <c r="BH844" s="1">
        <v>0</v>
      </c>
      <c r="BI844" s="1">
        <v>0</v>
      </c>
      <c r="BJ844" s="1">
        <v>0</v>
      </c>
      <c r="BK844" s="1">
        <v>0</v>
      </c>
      <c r="BL844" s="1">
        <v>0</v>
      </c>
      <c r="BM844" s="1">
        <v>0</v>
      </c>
      <c r="BN844" s="1">
        <v>0</v>
      </c>
      <c r="BO844" s="1">
        <v>0</v>
      </c>
      <c r="BP844" s="1">
        <v>0</v>
      </c>
      <c r="BQ844" s="2" t="str">
        <f>HYPERLINK("http://www.d20pfsrd.com/magic/all-spells/r/river-of-wind","River of Wind")</f>
        <v>River of Wind</v>
      </c>
      <c r="BR844" s="1">
        <v>865</v>
      </c>
      <c r="BS844" s="1" t="s">
        <v>104</v>
      </c>
      <c r="BX844" s="1">
        <v>0</v>
      </c>
      <c r="BY844" s="1">
        <v>4</v>
      </c>
      <c r="BZ844" s="1" t="s">
        <v>104</v>
      </c>
      <c r="CA844" s="1" t="s">
        <v>104</v>
      </c>
      <c r="CB844" s="1" t="s">
        <v>104</v>
      </c>
      <c r="CC844" s="1" t="s">
        <v>104</v>
      </c>
      <c r="CD844" s="1">
        <v>4</v>
      </c>
      <c r="CE844" s="1" t="s">
        <v>104</v>
      </c>
      <c r="CF844" s="1" t="s">
        <v>104</v>
      </c>
      <c r="CG844" s="1" t="s">
        <v>104</v>
      </c>
      <c r="CH844" s="1">
        <v>4</v>
      </c>
      <c r="CJ844" s="1">
        <v>0</v>
      </c>
      <c r="CK844" s="1">
        <v>0</v>
      </c>
      <c r="CL844" s="1">
        <v>0</v>
      </c>
      <c r="CM844" s="1" t="s">
        <v>104</v>
      </c>
    </row>
    <row r="845" spans="1:91" ht="14.25" customHeight="1" x14ac:dyDescent="0.3">
      <c r="A845" s="1" t="s">
        <v>5372</v>
      </c>
      <c r="B845" s="1" t="s">
        <v>92</v>
      </c>
      <c r="C845" s="1" t="s">
        <v>523</v>
      </c>
      <c r="E845" s="1" t="s">
        <v>5373</v>
      </c>
      <c r="F845" s="1" t="s">
        <v>255</v>
      </c>
      <c r="G845" s="1" t="s">
        <v>5374</v>
      </c>
      <c r="H845" s="1">
        <v>1</v>
      </c>
      <c r="I845" s="1" t="s">
        <v>1442</v>
      </c>
      <c r="L845" s="1" t="s">
        <v>374</v>
      </c>
      <c r="M845" s="1" t="s">
        <v>4992</v>
      </c>
      <c r="N845" s="1">
        <v>1</v>
      </c>
      <c r="O845" s="1">
        <v>0</v>
      </c>
      <c r="P845" s="1" t="s">
        <v>375</v>
      </c>
      <c r="Q845" s="1" t="s">
        <v>131</v>
      </c>
      <c r="R845" s="1" t="s">
        <v>5375</v>
      </c>
      <c r="S845" s="1" t="s">
        <v>4403</v>
      </c>
      <c r="T845" s="1">
        <v>1</v>
      </c>
      <c r="U845" s="1">
        <v>1</v>
      </c>
      <c r="V845" s="1">
        <v>0</v>
      </c>
      <c r="W845" s="1">
        <v>0</v>
      </c>
      <c r="X845" s="1">
        <v>0</v>
      </c>
      <c r="Y845" s="1" t="s">
        <v>104</v>
      </c>
      <c r="Z845" s="1" t="s">
        <v>104</v>
      </c>
      <c r="AA845" s="1">
        <v>3</v>
      </c>
      <c r="AB845" s="1" t="s">
        <v>104</v>
      </c>
      <c r="AC845" s="1" t="s">
        <v>104</v>
      </c>
      <c r="AD845" s="1" t="s">
        <v>104</v>
      </c>
      <c r="AE845" s="1">
        <v>2</v>
      </c>
      <c r="AF845" s="1" t="s">
        <v>104</v>
      </c>
      <c r="AG845" s="1" t="s">
        <v>104</v>
      </c>
      <c r="AH845" s="1" t="s">
        <v>104</v>
      </c>
      <c r="AI845" s="1">
        <v>2</v>
      </c>
      <c r="AJ845" s="1">
        <v>3</v>
      </c>
      <c r="AK845" s="1" t="s">
        <v>104</v>
      </c>
      <c r="AL845" s="1" t="s">
        <v>104</v>
      </c>
      <c r="AM845" s="1" t="s">
        <v>104</v>
      </c>
      <c r="AO845" s="1">
        <v>3</v>
      </c>
      <c r="AQ845" s="1" t="s">
        <v>5376</v>
      </c>
      <c r="AR845" s="1">
        <v>0</v>
      </c>
      <c r="AS845" s="1">
        <v>0</v>
      </c>
      <c r="AT845" s="1">
        <v>0</v>
      </c>
      <c r="AU845" s="1">
        <v>0</v>
      </c>
      <c r="AV845" s="1">
        <v>0</v>
      </c>
      <c r="AW845" s="1">
        <v>0</v>
      </c>
      <c r="AX845" s="1">
        <v>0</v>
      </c>
      <c r="AY845" s="1">
        <v>0</v>
      </c>
      <c r="AZ845" s="1">
        <v>0</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2" t="str">
        <f>HYPERLINK("http://www.d20pfsrd.com/magic/all-spells/s/sacred-bond","Sacred Bond")</f>
        <v>Sacred Bond</v>
      </c>
      <c r="BR845" s="1">
        <v>866</v>
      </c>
      <c r="BS845" s="1">
        <v>100</v>
      </c>
      <c r="BV845" s="1" t="s">
        <v>5377</v>
      </c>
      <c r="BW845" s="1" t="s">
        <v>5378</v>
      </c>
      <c r="BX845" s="1">
        <v>1</v>
      </c>
      <c r="BY845" s="1" t="s">
        <v>104</v>
      </c>
      <c r="BZ845" s="1" t="s">
        <v>104</v>
      </c>
      <c r="CA845" s="1" t="s">
        <v>104</v>
      </c>
      <c r="CB845" s="1" t="s">
        <v>104</v>
      </c>
      <c r="CC845" s="1" t="s">
        <v>104</v>
      </c>
      <c r="CD845" s="1" t="s">
        <v>104</v>
      </c>
      <c r="CE845" s="1" t="s">
        <v>104</v>
      </c>
      <c r="CF845" s="1" t="s">
        <v>104</v>
      </c>
      <c r="CG845" s="1" t="s">
        <v>104</v>
      </c>
      <c r="CH845" s="1" t="s">
        <v>104</v>
      </c>
      <c r="CJ845" s="1">
        <v>0</v>
      </c>
      <c r="CK845" s="1">
        <v>0</v>
      </c>
      <c r="CL845" s="1">
        <v>0</v>
      </c>
      <c r="CM845" s="1" t="s">
        <v>104</v>
      </c>
    </row>
    <row r="846" spans="1:91" ht="14.25" customHeight="1" x14ac:dyDescent="0.3">
      <c r="A846" s="1" t="s">
        <v>5379</v>
      </c>
      <c r="B846" s="1" t="s">
        <v>162</v>
      </c>
      <c r="E846" s="1" t="s">
        <v>2036</v>
      </c>
      <c r="F846" s="1" t="s">
        <v>95</v>
      </c>
      <c r="G846" s="1" t="s">
        <v>127</v>
      </c>
      <c r="H846" s="1">
        <v>0</v>
      </c>
      <c r="I846" s="1" t="s">
        <v>128</v>
      </c>
      <c r="L846" s="1" t="s">
        <v>374</v>
      </c>
      <c r="M846" s="1" t="s">
        <v>2330</v>
      </c>
      <c r="N846" s="1">
        <v>0</v>
      </c>
      <c r="O846" s="1">
        <v>0</v>
      </c>
      <c r="P846" s="1" t="s">
        <v>1058</v>
      </c>
      <c r="Q846" s="1" t="s">
        <v>131</v>
      </c>
      <c r="R846" s="1" t="s">
        <v>5380</v>
      </c>
      <c r="S846" s="1" t="s">
        <v>4403</v>
      </c>
      <c r="T846" s="1">
        <v>1</v>
      </c>
      <c r="U846" s="1">
        <v>1</v>
      </c>
      <c r="V846" s="1">
        <v>0</v>
      </c>
      <c r="W846" s="1">
        <v>0</v>
      </c>
      <c r="X846" s="1">
        <v>1</v>
      </c>
      <c r="Y846" s="1" t="s">
        <v>104</v>
      </c>
      <c r="Z846" s="1" t="s">
        <v>104</v>
      </c>
      <c r="AA846" s="1" t="s">
        <v>104</v>
      </c>
      <c r="AB846" s="1" t="s">
        <v>104</v>
      </c>
      <c r="AC846" s="1" t="s">
        <v>104</v>
      </c>
      <c r="AD846" s="1" t="s">
        <v>104</v>
      </c>
      <c r="AE846" s="1">
        <v>4</v>
      </c>
      <c r="AF846" s="1" t="s">
        <v>104</v>
      </c>
      <c r="AG846" s="1" t="s">
        <v>104</v>
      </c>
      <c r="AH846" s="1" t="s">
        <v>104</v>
      </c>
      <c r="AI846" s="1" t="s">
        <v>104</v>
      </c>
      <c r="AJ846" s="1" t="s">
        <v>104</v>
      </c>
      <c r="AK846" s="1" t="s">
        <v>104</v>
      </c>
      <c r="AL846" s="1" t="s">
        <v>104</v>
      </c>
      <c r="AM846" s="1" t="s">
        <v>104</v>
      </c>
      <c r="AO846" s="1">
        <v>4</v>
      </c>
      <c r="AP846" s="1" t="s">
        <v>5381</v>
      </c>
      <c r="AQ846" s="1" t="s">
        <v>5382</v>
      </c>
      <c r="AR846" s="1">
        <v>0</v>
      </c>
      <c r="AS846" s="1">
        <v>0</v>
      </c>
      <c r="AT846" s="1">
        <v>0</v>
      </c>
      <c r="AU846" s="1">
        <v>0</v>
      </c>
      <c r="AV846" s="1">
        <v>0</v>
      </c>
      <c r="AW846" s="1">
        <v>0</v>
      </c>
      <c r="AX846" s="1">
        <v>0</v>
      </c>
      <c r="AY846" s="1">
        <v>0</v>
      </c>
      <c r="AZ846" s="1">
        <v>0</v>
      </c>
      <c r="BA846" s="1">
        <v>0</v>
      </c>
      <c r="BB846" s="1">
        <v>0</v>
      </c>
      <c r="BC846" s="1">
        <v>0</v>
      </c>
      <c r="BD846" s="1">
        <v>0</v>
      </c>
      <c r="BE846" s="1">
        <v>0</v>
      </c>
      <c r="BF846" s="1">
        <v>0</v>
      </c>
      <c r="BG846" s="1">
        <v>0</v>
      </c>
      <c r="BH846" s="1">
        <v>0</v>
      </c>
      <c r="BI846" s="1">
        <v>0</v>
      </c>
      <c r="BJ846" s="1">
        <v>0</v>
      </c>
      <c r="BK846" s="1">
        <v>0</v>
      </c>
      <c r="BL846" s="1">
        <v>0</v>
      </c>
      <c r="BM846" s="1">
        <v>0</v>
      </c>
      <c r="BN846" s="1">
        <v>0</v>
      </c>
      <c r="BO846" s="1">
        <v>0</v>
      </c>
      <c r="BP846" s="1">
        <v>0</v>
      </c>
      <c r="BQ846" s="2" t="str">
        <f>HYPERLINK("http://www.d20pfsrd.com/magic/all-spells/s/sacrificial-oath","Sacrificial Oath")</f>
        <v>Sacrificial Oath</v>
      </c>
      <c r="BR846" s="1">
        <v>867</v>
      </c>
      <c r="BS846" s="1" t="s">
        <v>104</v>
      </c>
      <c r="BX846" s="1">
        <v>0</v>
      </c>
      <c r="BY846" s="1" t="s">
        <v>104</v>
      </c>
      <c r="BZ846" s="1" t="s">
        <v>104</v>
      </c>
      <c r="CA846" s="1" t="s">
        <v>104</v>
      </c>
      <c r="CB846" s="1" t="s">
        <v>104</v>
      </c>
      <c r="CC846" s="1" t="s">
        <v>104</v>
      </c>
      <c r="CD846" s="1" t="s">
        <v>104</v>
      </c>
      <c r="CE846" s="1" t="s">
        <v>104</v>
      </c>
      <c r="CF846" s="1" t="s">
        <v>104</v>
      </c>
      <c r="CG846" s="1" t="s">
        <v>104</v>
      </c>
      <c r="CH846" s="1" t="s">
        <v>104</v>
      </c>
      <c r="CJ846" s="1">
        <v>0</v>
      </c>
      <c r="CK846" s="1">
        <v>0</v>
      </c>
      <c r="CL846" s="1">
        <v>0</v>
      </c>
      <c r="CM846" s="1" t="s">
        <v>104</v>
      </c>
    </row>
    <row r="847" spans="1:91" ht="14.25" customHeight="1" x14ac:dyDescent="0.3">
      <c r="A847" s="1" t="s">
        <v>5383</v>
      </c>
      <c r="B847" s="1" t="s">
        <v>137</v>
      </c>
      <c r="E847" s="1" t="s">
        <v>4471</v>
      </c>
      <c r="F847" s="1" t="s">
        <v>95</v>
      </c>
      <c r="G847" s="1" t="s">
        <v>127</v>
      </c>
      <c r="H847" s="1">
        <v>0</v>
      </c>
      <c r="I847" s="1" t="s">
        <v>157</v>
      </c>
      <c r="L847" s="1" t="s">
        <v>5384</v>
      </c>
      <c r="M847" s="1" t="s">
        <v>5385</v>
      </c>
      <c r="N847" s="1">
        <v>1</v>
      </c>
      <c r="O847" s="1">
        <v>0</v>
      </c>
      <c r="R847" s="1" t="s">
        <v>5386</v>
      </c>
      <c r="S847" s="1" t="s">
        <v>4403</v>
      </c>
      <c r="T847" s="1">
        <v>1</v>
      </c>
      <c r="U847" s="1">
        <v>1</v>
      </c>
      <c r="V847" s="1">
        <v>0</v>
      </c>
      <c r="W847" s="1">
        <v>0</v>
      </c>
      <c r="X847" s="1">
        <v>1</v>
      </c>
      <c r="Y847" s="1" t="s">
        <v>104</v>
      </c>
      <c r="Z847" s="1" t="s">
        <v>104</v>
      </c>
      <c r="AA847" s="1" t="s">
        <v>104</v>
      </c>
      <c r="AB847" s="1" t="s">
        <v>104</v>
      </c>
      <c r="AC847" s="1" t="s">
        <v>104</v>
      </c>
      <c r="AD847" s="1" t="s">
        <v>104</v>
      </c>
      <c r="AE847" s="1">
        <v>2</v>
      </c>
      <c r="AF847" s="1" t="s">
        <v>104</v>
      </c>
      <c r="AG847" s="1" t="s">
        <v>104</v>
      </c>
      <c r="AH847" s="1" t="s">
        <v>104</v>
      </c>
      <c r="AI847" s="1" t="s">
        <v>104</v>
      </c>
      <c r="AJ847" s="1" t="s">
        <v>104</v>
      </c>
      <c r="AK847" s="1" t="s">
        <v>104</v>
      </c>
      <c r="AL847" s="1" t="s">
        <v>104</v>
      </c>
      <c r="AM847" s="1" t="s">
        <v>104</v>
      </c>
      <c r="AO847" s="1">
        <v>2</v>
      </c>
      <c r="AQ847" s="1" t="s">
        <v>5387</v>
      </c>
      <c r="AR847" s="1">
        <v>0</v>
      </c>
      <c r="AS847" s="1">
        <v>0</v>
      </c>
      <c r="AT847" s="1">
        <v>0</v>
      </c>
      <c r="AU847" s="1">
        <v>0</v>
      </c>
      <c r="AV847" s="1">
        <v>0</v>
      </c>
      <c r="AW847" s="1">
        <v>0</v>
      </c>
      <c r="AX847" s="1">
        <v>0</v>
      </c>
      <c r="AY847" s="1">
        <v>0</v>
      </c>
      <c r="AZ847" s="1">
        <v>0</v>
      </c>
      <c r="BA847" s="1">
        <v>0</v>
      </c>
      <c r="BB847" s="1">
        <v>0</v>
      </c>
      <c r="BC847" s="1">
        <v>0</v>
      </c>
      <c r="BD847" s="1">
        <v>0</v>
      </c>
      <c r="BE847" s="1">
        <v>0</v>
      </c>
      <c r="BF847" s="1">
        <v>0</v>
      </c>
      <c r="BG847" s="1">
        <v>0</v>
      </c>
      <c r="BH847" s="1">
        <v>0</v>
      </c>
      <c r="BI847" s="1">
        <v>0</v>
      </c>
      <c r="BJ847" s="1">
        <v>0</v>
      </c>
      <c r="BK847" s="1">
        <v>0</v>
      </c>
      <c r="BL847" s="1">
        <v>0</v>
      </c>
      <c r="BM847" s="1">
        <v>0</v>
      </c>
      <c r="BN847" s="1">
        <v>0</v>
      </c>
      <c r="BO847" s="1">
        <v>0</v>
      </c>
      <c r="BP847" s="1">
        <v>0</v>
      </c>
      <c r="BQ847" s="2" t="str">
        <f>HYPERLINK("http://www.d20pfsrd.com/magic/all-spells/s/saddle-surge","Saddle Surge")</f>
        <v>Saddle Surge</v>
      </c>
      <c r="BR847" s="1">
        <v>868</v>
      </c>
      <c r="BS847" s="1" t="s">
        <v>104</v>
      </c>
      <c r="BX847" s="1">
        <v>0</v>
      </c>
      <c r="BY847" s="1" t="s">
        <v>104</v>
      </c>
      <c r="BZ847" s="1" t="s">
        <v>104</v>
      </c>
      <c r="CA847" s="1" t="s">
        <v>104</v>
      </c>
      <c r="CB847" s="1" t="s">
        <v>104</v>
      </c>
      <c r="CC847" s="1" t="s">
        <v>104</v>
      </c>
      <c r="CD847" s="1" t="s">
        <v>104</v>
      </c>
      <c r="CE847" s="1" t="s">
        <v>104</v>
      </c>
      <c r="CF847" s="1" t="s">
        <v>104</v>
      </c>
      <c r="CG847" s="1" t="s">
        <v>104</v>
      </c>
      <c r="CH847" s="1" t="s">
        <v>104</v>
      </c>
      <c r="CJ847" s="1">
        <v>0</v>
      </c>
      <c r="CK847" s="1">
        <v>0</v>
      </c>
      <c r="CL847" s="1">
        <v>0</v>
      </c>
      <c r="CM847" s="1" t="s">
        <v>104</v>
      </c>
    </row>
    <row r="848" spans="1:91" ht="14.25" customHeight="1" x14ac:dyDescent="0.3">
      <c r="A848" s="1" t="s">
        <v>5388</v>
      </c>
      <c r="B848" s="1" t="s">
        <v>162</v>
      </c>
      <c r="D848" s="1" t="s">
        <v>58</v>
      </c>
      <c r="E848" s="1" t="s">
        <v>5389</v>
      </c>
      <c r="F848" s="1" t="s">
        <v>95</v>
      </c>
      <c r="G848" s="1" t="s">
        <v>116</v>
      </c>
      <c r="H848" s="1">
        <v>0</v>
      </c>
      <c r="I848" s="1" t="s">
        <v>128</v>
      </c>
      <c r="L848" s="1" t="s">
        <v>4746</v>
      </c>
      <c r="M848" s="1" t="s">
        <v>2330</v>
      </c>
      <c r="N848" s="1">
        <v>0</v>
      </c>
      <c r="O848" s="1">
        <v>0</v>
      </c>
      <c r="P848" s="1" t="s">
        <v>148</v>
      </c>
      <c r="Q848" s="1" t="s">
        <v>149</v>
      </c>
      <c r="R848" s="1" t="s">
        <v>5390</v>
      </c>
      <c r="S848" s="1" t="s">
        <v>4403</v>
      </c>
      <c r="T848" s="1">
        <v>1</v>
      </c>
      <c r="U848" s="1">
        <v>1</v>
      </c>
      <c r="V848" s="1">
        <v>0</v>
      </c>
      <c r="W848" s="1">
        <v>0</v>
      </c>
      <c r="X848" s="1">
        <v>0</v>
      </c>
      <c r="Y848" s="1" t="s">
        <v>104</v>
      </c>
      <c r="Z848" s="1" t="s">
        <v>104</v>
      </c>
      <c r="AA848" s="1" t="s">
        <v>104</v>
      </c>
      <c r="AB848" s="1" t="s">
        <v>104</v>
      </c>
      <c r="AC848" s="1" t="s">
        <v>104</v>
      </c>
      <c r="AD848" s="1" t="s">
        <v>104</v>
      </c>
      <c r="AE848" s="1">
        <v>3</v>
      </c>
      <c r="AF848" s="1" t="s">
        <v>104</v>
      </c>
      <c r="AG848" s="1" t="s">
        <v>104</v>
      </c>
      <c r="AH848" s="1" t="s">
        <v>104</v>
      </c>
      <c r="AI848" s="1">
        <v>4</v>
      </c>
      <c r="AJ848" s="1" t="s">
        <v>104</v>
      </c>
      <c r="AK848" s="1" t="s">
        <v>104</v>
      </c>
      <c r="AL848" s="1" t="s">
        <v>104</v>
      </c>
      <c r="AM848" s="1" t="s">
        <v>104</v>
      </c>
      <c r="AO848" s="1">
        <v>3</v>
      </c>
      <c r="AQ848" s="1" t="s">
        <v>5391</v>
      </c>
      <c r="AR848" s="1">
        <v>0</v>
      </c>
      <c r="AS848" s="1">
        <v>0</v>
      </c>
      <c r="AT848" s="1">
        <v>0</v>
      </c>
      <c r="AU848" s="1">
        <v>0</v>
      </c>
      <c r="AV848" s="1">
        <v>0</v>
      </c>
      <c r="AW848" s="1">
        <v>0</v>
      </c>
      <c r="AX848" s="1">
        <v>0</v>
      </c>
      <c r="AY848" s="1">
        <v>0</v>
      </c>
      <c r="AZ848" s="1">
        <v>0</v>
      </c>
      <c r="BA848" s="1">
        <v>0</v>
      </c>
      <c r="BB848" s="1">
        <v>0</v>
      </c>
      <c r="BC848" s="1">
        <v>0</v>
      </c>
      <c r="BD848" s="1">
        <v>0</v>
      </c>
      <c r="BE848" s="1">
        <v>0</v>
      </c>
      <c r="BF848" s="1">
        <v>0</v>
      </c>
      <c r="BG848" s="1">
        <v>1</v>
      </c>
      <c r="BH848" s="1">
        <v>0</v>
      </c>
      <c r="BI848" s="1">
        <v>0</v>
      </c>
      <c r="BJ848" s="1">
        <v>0</v>
      </c>
      <c r="BK848" s="1">
        <v>0</v>
      </c>
      <c r="BL848" s="1">
        <v>0</v>
      </c>
      <c r="BM848" s="1">
        <v>0</v>
      </c>
      <c r="BN848" s="1">
        <v>0</v>
      </c>
      <c r="BO848" s="1">
        <v>0</v>
      </c>
      <c r="BP848" s="1">
        <v>0</v>
      </c>
      <c r="BQ848" s="2" t="str">
        <f>HYPERLINK("http://www.d20pfsrd.com/magic/all-spells/s/sanctify-armor","Sanctify Armor")</f>
        <v>Sanctify Armor</v>
      </c>
      <c r="BR848" s="1">
        <v>869</v>
      </c>
      <c r="BS848" s="1" t="s">
        <v>104</v>
      </c>
      <c r="BV848" s="1" t="s">
        <v>5392</v>
      </c>
      <c r="BW848" s="1" t="s">
        <v>5393</v>
      </c>
      <c r="BX848" s="1">
        <v>1</v>
      </c>
      <c r="BY848" s="1" t="s">
        <v>104</v>
      </c>
      <c r="BZ848" s="1" t="s">
        <v>104</v>
      </c>
      <c r="CA848" s="1" t="s">
        <v>104</v>
      </c>
      <c r="CB848" s="1" t="s">
        <v>104</v>
      </c>
      <c r="CC848" s="1" t="s">
        <v>104</v>
      </c>
      <c r="CD848" s="1" t="s">
        <v>104</v>
      </c>
      <c r="CE848" s="1" t="s">
        <v>104</v>
      </c>
      <c r="CF848" s="1" t="s">
        <v>104</v>
      </c>
      <c r="CG848" s="1" t="s">
        <v>104</v>
      </c>
      <c r="CH848" s="1" t="s">
        <v>104</v>
      </c>
      <c r="CJ848" s="1">
        <v>0</v>
      </c>
      <c r="CK848" s="1">
        <v>0</v>
      </c>
      <c r="CL848" s="1">
        <v>0</v>
      </c>
      <c r="CM848" s="1" t="s">
        <v>104</v>
      </c>
    </row>
    <row r="849" spans="1:91" ht="14.25" customHeight="1" x14ac:dyDescent="0.3">
      <c r="A849" s="1" t="s">
        <v>5394</v>
      </c>
      <c r="B849" s="1" t="s">
        <v>434</v>
      </c>
      <c r="D849" s="1" t="s">
        <v>125</v>
      </c>
      <c r="E849" s="1" t="s">
        <v>5344</v>
      </c>
      <c r="F849" s="1" t="s">
        <v>1502</v>
      </c>
      <c r="G849" s="1" t="s">
        <v>116</v>
      </c>
      <c r="H849" s="1">
        <v>0</v>
      </c>
      <c r="I849" s="1" t="s">
        <v>117</v>
      </c>
      <c r="L849" s="1" t="s">
        <v>417</v>
      </c>
      <c r="M849" s="1" t="s">
        <v>119</v>
      </c>
      <c r="N849" s="1">
        <v>0</v>
      </c>
      <c r="O849" s="1">
        <v>0</v>
      </c>
      <c r="P849" s="1" t="s">
        <v>375</v>
      </c>
      <c r="Q849" s="1" t="s">
        <v>131</v>
      </c>
      <c r="R849" s="1" t="s">
        <v>5395</v>
      </c>
      <c r="S849" s="1" t="s">
        <v>4403</v>
      </c>
      <c r="T849" s="1">
        <v>1</v>
      </c>
      <c r="U849" s="1">
        <v>1</v>
      </c>
      <c r="V849" s="1">
        <v>0</v>
      </c>
      <c r="W849" s="1">
        <v>0</v>
      </c>
      <c r="X849" s="1">
        <v>0</v>
      </c>
      <c r="Y849" s="1" t="s">
        <v>104</v>
      </c>
      <c r="Z849" s="1" t="s">
        <v>104</v>
      </c>
      <c r="AA849" s="1" t="s">
        <v>104</v>
      </c>
      <c r="AB849" s="1" t="s">
        <v>104</v>
      </c>
      <c r="AC849" s="1" t="s">
        <v>104</v>
      </c>
      <c r="AD849" s="1">
        <v>1</v>
      </c>
      <c r="AE849" s="1" t="s">
        <v>104</v>
      </c>
      <c r="AF849" s="1" t="s">
        <v>104</v>
      </c>
      <c r="AG849" s="1" t="s">
        <v>104</v>
      </c>
      <c r="AH849" s="1" t="s">
        <v>104</v>
      </c>
      <c r="AI849" s="1" t="s">
        <v>104</v>
      </c>
      <c r="AJ849" s="1" t="s">
        <v>104</v>
      </c>
      <c r="AK849" s="1" t="s">
        <v>104</v>
      </c>
      <c r="AL849" s="1" t="s">
        <v>104</v>
      </c>
      <c r="AM849" s="1" t="s">
        <v>104</v>
      </c>
      <c r="AO849" s="1">
        <v>1</v>
      </c>
      <c r="AQ849" s="1" t="s">
        <v>5396</v>
      </c>
      <c r="AR849" s="1">
        <v>0</v>
      </c>
      <c r="AS849" s="1">
        <v>0</v>
      </c>
      <c r="AT849" s="1">
        <v>0</v>
      </c>
      <c r="AU849" s="1">
        <v>0</v>
      </c>
      <c r="AV849" s="1">
        <v>0</v>
      </c>
      <c r="AW849" s="1">
        <v>0</v>
      </c>
      <c r="AX849" s="1">
        <v>0</v>
      </c>
      <c r="AY849" s="1">
        <v>0</v>
      </c>
      <c r="AZ849" s="1">
        <v>0</v>
      </c>
      <c r="BA849" s="1">
        <v>0</v>
      </c>
      <c r="BB849" s="1">
        <v>0</v>
      </c>
      <c r="BC849" s="1">
        <v>0</v>
      </c>
      <c r="BD849" s="1">
        <v>0</v>
      </c>
      <c r="BE849" s="1">
        <v>0</v>
      </c>
      <c r="BF849" s="1">
        <v>0</v>
      </c>
      <c r="BG849" s="1">
        <v>0</v>
      </c>
      <c r="BH849" s="1">
        <v>0</v>
      </c>
      <c r="BI849" s="1">
        <v>0</v>
      </c>
      <c r="BJ849" s="1">
        <v>0</v>
      </c>
      <c r="BK849" s="1">
        <v>1</v>
      </c>
      <c r="BL849" s="1">
        <v>0</v>
      </c>
      <c r="BM849" s="1">
        <v>0</v>
      </c>
      <c r="BN849" s="1">
        <v>0</v>
      </c>
      <c r="BO849" s="1">
        <v>0</v>
      </c>
      <c r="BP849" s="1">
        <v>0</v>
      </c>
      <c r="BQ849" s="2" t="str">
        <f>HYPERLINK("http://www.d20pfsrd.com/magic/all-spells/s/saving-finale","Saving Finale")</f>
        <v>Saving Finale</v>
      </c>
      <c r="BR849" s="1">
        <v>870</v>
      </c>
      <c r="BS849" s="1" t="s">
        <v>104</v>
      </c>
      <c r="BV849" s="1" t="s">
        <v>5397</v>
      </c>
      <c r="BX849" s="1">
        <v>1</v>
      </c>
      <c r="BY849" s="1" t="s">
        <v>104</v>
      </c>
      <c r="BZ849" s="1" t="s">
        <v>104</v>
      </c>
      <c r="CA849" s="1" t="s">
        <v>104</v>
      </c>
      <c r="CB849" s="1" t="s">
        <v>104</v>
      </c>
      <c r="CC849" s="1" t="s">
        <v>104</v>
      </c>
      <c r="CD849" s="1" t="s">
        <v>104</v>
      </c>
      <c r="CE849" s="1" t="s">
        <v>104</v>
      </c>
      <c r="CF849" s="1" t="s">
        <v>104</v>
      </c>
      <c r="CG849" s="1" t="s">
        <v>104</v>
      </c>
      <c r="CH849" s="1" t="s">
        <v>104</v>
      </c>
      <c r="CJ849" s="1">
        <v>0</v>
      </c>
      <c r="CK849" s="1">
        <v>0</v>
      </c>
      <c r="CL849" s="1">
        <v>0</v>
      </c>
      <c r="CM849" s="1" t="s">
        <v>104</v>
      </c>
    </row>
    <row r="850" spans="1:91" ht="14.25" customHeight="1" x14ac:dyDescent="0.3">
      <c r="A850" s="1" t="s">
        <v>5398</v>
      </c>
      <c r="B850" s="1" t="s">
        <v>137</v>
      </c>
      <c r="E850" s="1" t="s">
        <v>3462</v>
      </c>
      <c r="F850" s="1" t="s">
        <v>95</v>
      </c>
      <c r="G850" s="1" t="s">
        <v>5399</v>
      </c>
      <c r="H850" s="1">
        <v>0</v>
      </c>
      <c r="I850" s="1" t="s">
        <v>117</v>
      </c>
      <c r="L850" s="1" t="s">
        <v>541</v>
      </c>
      <c r="M850" s="1" t="s">
        <v>201</v>
      </c>
      <c r="N850" s="1">
        <v>0</v>
      </c>
      <c r="O850" s="1">
        <v>0</v>
      </c>
      <c r="P850" s="1" t="s">
        <v>1058</v>
      </c>
      <c r="Q850" s="1" t="s">
        <v>131</v>
      </c>
      <c r="R850" s="1" t="s">
        <v>5400</v>
      </c>
      <c r="S850" s="1" t="s">
        <v>4403</v>
      </c>
      <c r="T850" s="1">
        <v>1</v>
      </c>
      <c r="U850" s="1">
        <v>1</v>
      </c>
      <c r="V850" s="1">
        <v>1</v>
      </c>
      <c r="W850" s="1">
        <v>0</v>
      </c>
      <c r="X850" s="1">
        <v>0</v>
      </c>
      <c r="Y850" s="1" t="s">
        <v>104</v>
      </c>
      <c r="Z850" s="1" t="s">
        <v>104</v>
      </c>
      <c r="AA850" s="1" t="s">
        <v>104</v>
      </c>
      <c r="AB850" s="1">
        <v>2</v>
      </c>
      <c r="AC850" s="1" t="s">
        <v>104</v>
      </c>
      <c r="AD850" s="1" t="s">
        <v>104</v>
      </c>
      <c r="AE850" s="1" t="s">
        <v>104</v>
      </c>
      <c r="AF850" s="1" t="s">
        <v>104</v>
      </c>
      <c r="AG850" s="1" t="s">
        <v>104</v>
      </c>
      <c r="AH850" s="1" t="s">
        <v>104</v>
      </c>
      <c r="AI850" s="1" t="s">
        <v>104</v>
      </c>
      <c r="AJ850" s="1" t="s">
        <v>104</v>
      </c>
      <c r="AK850" s="1" t="s">
        <v>104</v>
      </c>
      <c r="AL850" s="1" t="s">
        <v>104</v>
      </c>
      <c r="AM850" s="1" t="s">
        <v>104</v>
      </c>
      <c r="AO850" s="1">
        <v>2</v>
      </c>
      <c r="AQ850" s="1" t="s">
        <v>5401</v>
      </c>
      <c r="AR850" s="1">
        <v>0</v>
      </c>
      <c r="AS850" s="1">
        <v>0</v>
      </c>
      <c r="AT850" s="1">
        <v>0</v>
      </c>
      <c r="AU850" s="1">
        <v>0</v>
      </c>
      <c r="AV850" s="1">
        <v>0</v>
      </c>
      <c r="AW850" s="1">
        <v>0</v>
      </c>
      <c r="AX850" s="1">
        <v>0</v>
      </c>
      <c r="AY850" s="1">
        <v>0</v>
      </c>
      <c r="AZ850" s="1">
        <v>0</v>
      </c>
      <c r="BA850" s="1">
        <v>0</v>
      </c>
      <c r="BB850" s="1">
        <v>0</v>
      </c>
      <c r="BC850" s="1">
        <v>0</v>
      </c>
      <c r="BD850" s="1">
        <v>0</v>
      </c>
      <c r="BE850" s="1">
        <v>0</v>
      </c>
      <c r="BF850" s="1">
        <v>0</v>
      </c>
      <c r="BG850" s="1">
        <v>0</v>
      </c>
      <c r="BH850" s="1">
        <v>0</v>
      </c>
      <c r="BI850" s="1">
        <v>0</v>
      </c>
      <c r="BJ850" s="1">
        <v>0</v>
      </c>
      <c r="BK850" s="1">
        <v>0</v>
      </c>
      <c r="BL850" s="1">
        <v>0</v>
      </c>
      <c r="BM850" s="1">
        <v>0</v>
      </c>
      <c r="BN850" s="1">
        <v>0</v>
      </c>
      <c r="BO850" s="1">
        <v>0</v>
      </c>
      <c r="BP850" s="1">
        <v>0</v>
      </c>
      <c r="BQ850" s="2" t="str">
        <f>HYPERLINK("http://www.d20pfsrd.com/magic/all-spells/s/scent-trail","Scent Trail")</f>
        <v>Scent Trail</v>
      </c>
      <c r="BR850" s="1">
        <v>871</v>
      </c>
      <c r="BS850" s="1" t="s">
        <v>104</v>
      </c>
      <c r="BX850" s="1">
        <v>0</v>
      </c>
      <c r="BY850" s="1" t="s">
        <v>104</v>
      </c>
      <c r="BZ850" s="1" t="s">
        <v>104</v>
      </c>
      <c r="CA850" s="1" t="s">
        <v>104</v>
      </c>
      <c r="CB850" s="1" t="s">
        <v>104</v>
      </c>
      <c r="CC850" s="1" t="s">
        <v>104</v>
      </c>
      <c r="CD850" s="1" t="s">
        <v>104</v>
      </c>
      <c r="CE850" s="1" t="s">
        <v>104</v>
      </c>
      <c r="CF850" s="1" t="s">
        <v>104</v>
      </c>
      <c r="CG850" s="1" t="s">
        <v>104</v>
      </c>
      <c r="CH850" s="1">
        <v>2</v>
      </c>
      <c r="CJ850" s="1">
        <v>0</v>
      </c>
      <c r="CK850" s="1">
        <v>0</v>
      </c>
      <c r="CL850" s="1">
        <v>0</v>
      </c>
      <c r="CM850" s="1" t="s">
        <v>104</v>
      </c>
    </row>
    <row r="851" spans="1:91" ht="14.25" customHeight="1" x14ac:dyDescent="0.3">
      <c r="A851" s="1" t="s">
        <v>5402</v>
      </c>
      <c r="B851" s="1" t="s">
        <v>434</v>
      </c>
      <c r="D851" s="1" t="s">
        <v>66</v>
      </c>
      <c r="E851" s="1" t="s">
        <v>5403</v>
      </c>
      <c r="F851" s="1" t="s">
        <v>95</v>
      </c>
      <c r="G851" s="1" t="s">
        <v>237</v>
      </c>
      <c r="H851" s="1">
        <v>0</v>
      </c>
      <c r="I851" s="1" t="s">
        <v>914</v>
      </c>
      <c r="J851" s="1" t="s">
        <v>4773</v>
      </c>
      <c r="M851" s="1" t="s">
        <v>119</v>
      </c>
      <c r="N851" s="1">
        <v>0</v>
      </c>
      <c r="O851" s="1">
        <v>0</v>
      </c>
      <c r="P851" s="1" t="s">
        <v>183</v>
      </c>
      <c r="Q851" s="1" t="s">
        <v>184</v>
      </c>
      <c r="R851" s="1" t="s">
        <v>5404</v>
      </c>
      <c r="S851" s="1" t="s">
        <v>4403</v>
      </c>
      <c r="T851" s="1">
        <v>1</v>
      </c>
      <c r="U851" s="1">
        <v>0</v>
      </c>
      <c r="V851" s="1">
        <v>0</v>
      </c>
      <c r="W851" s="1">
        <v>0</v>
      </c>
      <c r="X851" s="1">
        <v>0</v>
      </c>
      <c r="Y851" s="1" t="s">
        <v>104</v>
      </c>
      <c r="Z851" s="1" t="s">
        <v>104</v>
      </c>
      <c r="AA851" s="1" t="s">
        <v>104</v>
      </c>
      <c r="AB851" s="1" t="s">
        <v>104</v>
      </c>
      <c r="AC851" s="1" t="s">
        <v>104</v>
      </c>
      <c r="AD851" s="1" t="s">
        <v>104</v>
      </c>
      <c r="AE851" s="1" t="s">
        <v>104</v>
      </c>
      <c r="AF851" s="1" t="s">
        <v>104</v>
      </c>
      <c r="AG851" s="1" t="s">
        <v>104</v>
      </c>
      <c r="AH851" s="1">
        <v>3</v>
      </c>
      <c r="AI851" s="1" t="s">
        <v>104</v>
      </c>
      <c r="AJ851" s="1" t="s">
        <v>104</v>
      </c>
      <c r="AK851" s="1" t="s">
        <v>104</v>
      </c>
      <c r="AL851" s="1" t="s">
        <v>104</v>
      </c>
      <c r="AM851" s="1" t="s">
        <v>104</v>
      </c>
      <c r="AO851" s="1">
        <v>3</v>
      </c>
      <c r="AQ851" s="1" t="s">
        <v>5405</v>
      </c>
      <c r="AR851" s="1">
        <v>0</v>
      </c>
      <c r="AS851" s="1">
        <v>0</v>
      </c>
      <c r="AT851" s="1">
        <v>0</v>
      </c>
      <c r="AU851" s="1">
        <v>0</v>
      </c>
      <c r="AV851" s="1">
        <v>0</v>
      </c>
      <c r="AW851" s="1">
        <v>0</v>
      </c>
      <c r="AX851" s="1">
        <v>0</v>
      </c>
      <c r="AY851" s="1">
        <v>0</v>
      </c>
      <c r="AZ851" s="1">
        <v>0</v>
      </c>
      <c r="BA851" s="1">
        <v>0</v>
      </c>
      <c r="BB851" s="1">
        <v>0</v>
      </c>
      <c r="BC851" s="1">
        <v>0</v>
      </c>
      <c r="BD851" s="1">
        <v>0</v>
      </c>
      <c r="BE851" s="1">
        <v>0</v>
      </c>
      <c r="BF851" s="1">
        <v>0</v>
      </c>
      <c r="BG851" s="1">
        <v>0</v>
      </c>
      <c r="BH851" s="1">
        <v>0</v>
      </c>
      <c r="BI851" s="1">
        <v>0</v>
      </c>
      <c r="BJ851" s="1">
        <v>0</v>
      </c>
      <c r="BK851" s="1">
        <v>0</v>
      </c>
      <c r="BL851" s="1">
        <v>0</v>
      </c>
      <c r="BM851" s="1">
        <v>0</v>
      </c>
      <c r="BN851" s="1">
        <v>0</v>
      </c>
      <c r="BO851" s="1">
        <v>1</v>
      </c>
      <c r="BP851" s="1">
        <v>0</v>
      </c>
      <c r="BQ851" s="2" t="str">
        <f>HYPERLINK("http://www.d20pfsrd.com/magic/all-spells/s/screech","Screech")</f>
        <v>Screech</v>
      </c>
      <c r="BR851" s="1">
        <v>872</v>
      </c>
      <c r="BS851" s="1" t="s">
        <v>104</v>
      </c>
      <c r="BX851" s="1">
        <v>0</v>
      </c>
      <c r="BY851" s="1" t="s">
        <v>104</v>
      </c>
      <c r="BZ851" s="1" t="s">
        <v>104</v>
      </c>
      <c r="CA851" s="1" t="s">
        <v>104</v>
      </c>
      <c r="CB851" s="1" t="s">
        <v>104</v>
      </c>
      <c r="CC851" s="1" t="s">
        <v>104</v>
      </c>
      <c r="CD851" s="1" t="s">
        <v>104</v>
      </c>
      <c r="CE851" s="1" t="s">
        <v>104</v>
      </c>
      <c r="CF851" s="1" t="s">
        <v>104</v>
      </c>
      <c r="CG851" s="1" t="s">
        <v>104</v>
      </c>
      <c r="CH851" s="1" t="s">
        <v>104</v>
      </c>
      <c r="CJ851" s="1">
        <v>0</v>
      </c>
      <c r="CK851" s="1">
        <v>0</v>
      </c>
      <c r="CL851" s="1">
        <v>0</v>
      </c>
      <c r="CM851" s="1" t="s">
        <v>104</v>
      </c>
    </row>
    <row r="852" spans="1:91" ht="14.25" customHeight="1" x14ac:dyDescent="0.3">
      <c r="A852" s="1" t="s">
        <v>5406</v>
      </c>
      <c r="B852" s="1" t="s">
        <v>216</v>
      </c>
      <c r="E852" s="1" t="s">
        <v>4700</v>
      </c>
      <c r="F852" s="1" t="s">
        <v>95</v>
      </c>
      <c r="G852" s="1" t="s">
        <v>5407</v>
      </c>
      <c r="H852" s="1">
        <v>0</v>
      </c>
      <c r="I852" s="1" t="s">
        <v>128</v>
      </c>
      <c r="L852" s="1" t="s">
        <v>5340</v>
      </c>
      <c r="M852" s="1" t="s">
        <v>119</v>
      </c>
      <c r="N852" s="1">
        <v>0</v>
      </c>
      <c r="O852" s="1">
        <v>0</v>
      </c>
      <c r="P852" s="1" t="s">
        <v>629</v>
      </c>
      <c r="Q852" s="1" t="s">
        <v>101</v>
      </c>
      <c r="R852" s="1" t="s">
        <v>5408</v>
      </c>
      <c r="S852" s="1" t="s">
        <v>4403</v>
      </c>
      <c r="T852" s="1">
        <v>1</v>
      </c>
      <c r="U852" s="1">
        <v>1</v>
      </c>
      <c r="V852" s="1">
        <v>1</v>
      </c>
      <c r="W852" s="1">
        <v>0</v>
      </c>
      <c r="X852" s="1">
        <v>0</v>
      </c>
      <c r="Y852" s="1">
        <v>1</v>
      </c>
      <c r="Z852" s="1">
        <v>1</v>
      </c>
      <c r="AA852" s="1" t="s">
        <v>104</v>
      </c>
      <c r="AB852" s="1" t="s">
        <v>104</v>
      </c>
      <c r="AC852" s="1" t="s">
        <v>104</v>
      </c>
      <c r="AD852" s="1" t="s">
        <v>104</v>
      </c>
      <c r="AE852" s="1" t="s">
        <v>104</v>
      </c>
      <c r="AF852" s="1" t="s">
        <v>104</v>
      </c>
      <c r="AG852" s="1" t="s">
        <v>104</v>
      </c>
      <c r="AH852" s="1" t="s">
        <v>104</v>
      </c>
      <c r="AI852" s="1" t="s">
        <v>104</v>
      </c>
      <c r="AJ852" s="1" t="s">
        <v>104</v>
      </c>
      <c r="AK852" s="1" t="s">
        <v>104</v>
      </c>
      <c r="AL852" s="1" t="s">
        <v>104</v>
      </c>
      <c r="AM852" s="1" t="s">
        <v>104</v>
      </c>
      <c r="AO852" s="1">
        <v>1</v>
      </c>
      <c r="AQ852" s="1" t="s">
        <v>5409</v>
      </c>
      <c r="AR852" s="1">
        <v>0</v>
      </c>
      <c r="AS852" s="1">
        <v>0</v>
      </c>
      <c r="AT852" s="1">
        <v>0</v>
      </c>
      <c r="AU852" s="1">
        <v>0</v>
      </c>
      <c r="AV852" s="1">
        <v>0</v>
      </c>
      <c r="AW852" s="1">
        <v>0</v>
      </c>
      <c r="AX852" s="1">
        <v>0</v>
      </c>
      <c r="AY852" s="1">
        <v>0</v>
      </c>
      <c r="AZ852" s="1">
        <v>0</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2" t="str">
        <f>HYPERLINK("http://www.d20pfsrd.com/magic/all-spells/s/sculpt-corpse","Sculpt Corpse")</f>
        <v>Sculpt Corpse</v>
      </c>
      <c r="BR852" s="1">
        <v>873</v>
      </c>
      <c r="BS852" s="1" t="s">
        <v>104</v>
      </c>
      <c r="BX852" s="1">
        <v>0</v>
      </c>
      <c r="BY852" s="1" t="s">
        <v>104</v>
      </c>
      <c r="BZ852" s="1" t="s">
        <v>104</v>
      </c>
      <c r="CA852" s="1" t="s">
        <v>104</v>
      </c>
      <c r="CB852" s="1" t="s">
        <v>104</v>
      </c>
      <c r="CC852" s="1" t="s">
        <v>104</v>
      </c>
      <c r="CD852" s="1">
        <v>1</v>
      </c>
      <c r="CE852" s="1" t="s">
        <v>104</v>
      </c>
      <c r="CF852" s="1" t="s">
        <v>104</v>
      </c>
      <c r="CG852" s="1" t="s">
        <v>104</v>
      </c>
      <c r="CH852" s="1" t="s">
        <v>104</v>
      </c>
      <c r="CJ852" s="1">
        <v>0</v>
      </c>
      <c r="CK852" s="1">
        <v>0</v>
      </c>
      <c r="CL852" s="1">
        <v>0</v>
      </c>
      <c r="CM852" s="1" t="s">
        <v>104</v>
      </c>
    </row>
    <row r="853" spans="1:91" ht="14.25" customHeight="1" x14ac:dyDescent="0.3">
      <c r="A853" s="1" t="s">
        <v>5410</v>
      </c>
      <c r="B853" s="1" t="s">
        <v>92</v>
      </c>
      <c r="C853" s="1" t="s">
        <v>93</v>
      </c>
      <c r="D853" s="1" t="s">
        <v>67</v>
      </c>
      <c r="E853" s="1" t="s">
        <v>5411</v>
      </c>
      <c r="F853" s="1" t="s">
        <v>95</v>
      </c>
      <c r="G853" s="1" t="s">
        <v>5412</v>
      </c>
      <c r="H853" s="1">
        <v>0</v>
      </c>
      <c r="I853" s="1" t="s">
        <v>157</v>
      </c>
      <c r="L853" s="1" t="s">
        <v>158</v>
      </c>
      <c r="M853" s="1" t="s">
        <v>2330</v>
      </c>
      <c r="N853" s="1">
        <v>0</v>
      </c>
      <c r="O853" s="1">
        <v>0</v>
      </c>
      <c r="R853" s="1" t="s">
        <v>5413</v>
      </c>
      <c r="S853" s="1" t="s">
        <v>4403</v>
      </c>
      <c r="T853" s="1">
        <v>1</v>
      </c>
      <c r="U853" s="1">
        <v>1</v>
      </c>
      <c r="V853" s="1">
        <v>1</v>
      </c>
      <c r="W853" s="1">
        <v>0</v>
      </c>
      <c r="X853" s="1">
        <v>0</v>
      </c>
      <c r="Y853" s="1">
        <v>8</v>
      </c>
      <c r="Z853" s="1">
        <v>8</v>
      </c>
      <c r="AA853" s="1" t="s">
        <v>104</v>
      </c>
      <c r="AB853" s="1">
        <v>8</v>
      </c>
      <c r="AC853" s="1" t="s">
        <v>104</v>
      </c>
      <c r="AD853" s="1" t="s">
        <v>104</v>
      </c>
      <c r="AE853" s="1" t="s">
        <v>104</v>
      </c>
      <c r="AF853" s="1" t="s">
        <v>104</v>
      </c>
      <c r="AG853" s="1" t="s">
        <v>104</v>
      </c>
      <c r="AH853" s="1" t="s">
        <v>104</v>
      </c>
      <c r="AI853" s="1" t="s">
        <v>104</v>
      </c>
      <c r="AJ853" s="1" t="s">
        <v>104</v>
      </c>
      <c r="AK853" s="1" t="s">
        <v>104</v>
      </c>
      <c r="AL853" s="1" t="s">
        <v>104</v>
      </c>
      <c r="AM853" s="1" t="s">
        <v>104</v>
      </c>
      <c r="AO853" s="1">
        <v>8</v>
      </c>
      <c r="AQ853" s="1" t="s">
        <v>5414</v>
      </c>
      <c r="AR853" s="1">
        <v>0</v>
      </c>
      <c r="AS853" s="1">
        <v>0</v>
      </c>
      <c r="AT853" s="1">
        <v>0</v>
      </c>
      <c r="AU853" s="1">
        <v>0</v>
      </c>
      <c r="AV853" s="1">
        <v>0</v>
      </c>
      <c r="AW853" s="1">
        <v>0</v>
      </c>
      <c r="AX853" s="1">
        <v>0</v>
      </c>
      <c r="AY853" s="1">
        <v>0</v>
      </c>
      <c r="AZ853" s="1">
        <v>0</v>
      </c>
      <c r="BA853" s="1">
        <v>0</v>
      </c>
      <c r="BB853" s="1">
        <v>0</v>
      </c>
      <c r="BC853" s="1">
        <v>0</v>
      </c>
      <c r="BD853" s="1">
        <v>0</v>
      </c>
      <c r="BE853" s="1">
        <v>0</v>
      </c>
      <c r="BF853" s="1">
        <v>0</v>
      </c>
      <c r="BG853" s="1">
        <v>0</v>
      </c>
      <c r="BH853" s="1">
        <v>0</v>
      </c>
      <c r="BI853" s="1">
        <v>0</v>
      </c>
      <c r="BJ853" s="1">
        <v>0</v>
      </c>
      <c r="BK853" s="1">
        <v>0</v>
      </c>
      <c r="BL853" s="1">
        <v>0</v>
      </c>
      <c r="BM853" s="1">
        <v>0</v>
      </c>
      <c r="BN853" s="1">
        <v>0</v>
      </c>
      <c r="BO853" s="1">
        <v>0</v>
      </c>
      <c r="BP853" s="1">
        <v>1</v>
      </c>
      <c r="BQ853" s="2" t="str">
        <f>HYPERLINK("http://www.d20pfsrd.com/magic/all-spells/s/seamantle","Seamantle")</f>
        <v>Seamantle</v>
      </c>
      <c r="BR853" s="1">
        <v>874</v>
      </c>
      <c r="BS853" s="1" t="s">
        <v>104</v>
      </c>
      <c r="BT853" s="1" t="s">
        <v>5415</v>
      </c>
      <c r="BU853" s="1" t="s">
        <v>5416</v>
      </c>
      <c r="BX853" s="1">
        <v>0</v>
      </c>
      <c r="BY853" s="1" t="s">
        <v>104</v>
      </c>
      <c r="BZ853" s="1" t="s">
        <v>104</v>
      </c>
      <c r="CA853" s="1" t="s">
        <v>104</v>
      </c>
      <c r="CB853" s="1" t="s">
        <v>104</v>
      </c>
      <c r="CC853" s="1" t="s">
        <v>104</v>
      </c>
      <c r="CD853" s="1" t="s">
        <v>104</v>
      </c>
      <c r="CE853" s="1" t="s">
        <v>104</v>
      </c>
      <c r="CF853" s="1" t="s">
        <v>104</v>
      </c>
      <c r="CG853" s="1" t="s">
        <v>104</v>
      </c>
      <c r="CH853" s="1" t="s">
        <v>104</v>
      </c>
      <c r="CJ853" s="1">
        <v>0</v>
      </c>
      <c r="CK853" s="1">
        <v>0</v>
      </c>
      <c r="CL853" s="1">
        <v>0</v>
      </c>
      <c r="CM853" s="1" t="s">
        <v>104</v>
      </c>
    </row>
    <row r="854" spans="1:91" ht="14.25" customHeight="1" x14ac:dyDescent="0.3">
      <c r="A854" s="1" t="s">
        <v>5417</v>
      </c>
      <c r="B854" s="1" t="s">
        <v>172</v>
      </c>
      <c r="D854" s="1" t="s">
        <v>125</v>
      </c>
      <c r="E854" s="1" t="s">
        <v>5418</v>
      </c>
      <c r="F854" s="1" t="s">
        <v>95</v>
      </c>
      <c r="G854" s="1" t="s">
        <v>5419</v>
      </c>
      <c r="H854" s="1">
        <v>0</v>
      </c>
      <c r="I854" s="1" t="s">
        <v>448</v>
      </c>
      <c r="J854" s="1" t="s">
        <v>1112</v>
      </c>
      <c r="M854" s="1" t="s">
        <v>5420</v>
      </c>
      <c r="N854" s="1">
        <v>0</v>
      </c>
      <c r="O854" s="1">
        <v>0</v>
      </c>
      <c r="P854" s="1" t="s">
        <v>211</v>
      </c>
      <c r="Q854" s="1" t="s">
        <v>101</v>
      </c>
      <c r="R854" s="1" t="s">
        <v>5421</v>
      </c>
      <c r="S854" s="1" t="s">
        <v>4403</v>
      </c>
      <c r="T854" s="1">
        <v>1</v>
      </c>
      <c r="U854" s="1">
        <v>1</v>
      </c>
      <c r="V854" s="1">
        <v>1</v>
      </c>
      <c r="W854" s="1">
        <v>0</v>
      </c>
      <c r="X854" s="1">
        <v>0</v>
      </c>
      <c r="Y854" s="1">
        <v>3</v>
      </c>
      <c r="Z854" s="1">
        <v>3</v>
      </c>
      <c r="AA854" s="1" t="s">
        <v>104</v>
      </c>
      <c r="AB854" s="1" t="s">
        <v>104</v>
      </c>
      <c r="AC854" s="1" t="s">
        <v>104</v>
      </c>
      <c r="AD854" s="1">
        <v>3</v>
      </c>
      <c r="AE854" s="1" t="s">
        <v>104</v>
      </c>
      <c r="AF854" s="1">
        <v>3</v>
      </c>
      <c r="AG854" s="1">
        <v>3</v>
      </c>
      <c r="AH854" s="1">
        <v>3</v>
      </c>
      <c r="AI854" s="1">
        <v>3</v>
      </c>
      <c r="AJ854" s="1" t="s">
        <v>104</v>
      </c>
      <c r="AK854" s="1" t="s">
        <v>104</v>
      </c>
      <c r="AL854" s="1" t="s">
        <v>104</v>
      </c>
      <c r="AM854" s="1" t="s">
        <v>104</v>
      </c>
      <c r="AO854" s="1">
        <v>3</v>
      </c>
      <c r="AP854" s="1" t="s">
        <v>5422</v>
      </c>
      <c r="AQ854" s="1" t="s">
        <v>5423</v>
      </c>
      <c r="AR854" s="1">
        <v>0</v>
      </c>
      <c r="AS854" s="1">
        <v>0</v>
      </c>
      <c r="AT854" s="1">
        <v>0</v>
      </c>
      <c r="AU854" s="1">
        <v>0</v>
      </c>
      <c r="AV854" s="1">
        <v>0</v>
      </c>
      <c r="AW854" s="1">
        <v>0</v>
      </c>
      <c r="AX854" s="1">
        <v>0</v>
      </c>
      <c r="AY854" s="1">
        <v>0</v>
      </c>
      <c r="AZ854" s="1">
        <v>0</v>
      </c>
      <c r="BA854" s="1">
        <v>0</v>
      </c>
      <c r="BB854" s="1">
        <v>0</v>
      </c>
      <c r="BC854" s="1">
        <v>0</v>
      </c>
      <c r="BD854" s="1">
        <v>0</v>
      </c>
      <c r="BE854" s="1">
        <v>0</v>
      </c>
      <c r="BF854" s="1">
        <v>0</v>
      </c>
      <c r="BG854" s="1">
        <v>0</v>
      </c>
      <c r="BH854" s="1">
        <v>0</v>
      </c>
      <c r="BI854" s="1">
        <v>0</v>
      </c>
      <c r="BJ854" s="1">
        <v>0</v>
      </c>
      <c r="BK854" s="1">
        <v>1</v>
      </c>
      <c r="BL854" s="1">
        <v>0</v>
      </c>
      <c r="BM854" s="1">
        <v>0</v>
      </c>
      <c r="BN854" s="1">
        <v>0</v>
      </c>
      <c r="BO854" s="1">
        <v>0</v>
      </c>
      <c r="BP854" s="1">
        <v>0</v>
      </c>
      <c r="BQ854" s="2" t="str">
        <f>HYPERLINK("http://www.d20pfsrd.com/magic/all-spells/s/seek-thoughts","Seek Thoughts")</f>
        <v>Seek Thoughts</v>
      </c>
      <c r="BR854" s="1">
        <v>875</v>
      </c>
      <c r="BS854" s="1" t="s">
        <v>104</v>
      </c>
      <c r="BX854" s="1">
        <v>0</v>
      </c>
      <c r="BY854" s="1" t="s">
        <v>104</v>
      </c>
      <c r="BZ854" s="1" t="s">
        <v>104</v>
      </c>
      <c r="CA854" s="1">
        <v>2</v>
      </c>
      <c r="CB854" s="1">
        <v>2</v>
      </c>
      <c r="CC854" s="1">
        <v>3</v>
      </c>
      <c r="CD854" s="1">
        <v>3</v>
      </c>
      <c r="CE854" s="1">
        <v>3</v>
      </c>
      <c r="CF854" s="1" t="s">
        <v>104</v>
      </c>
      <c r="CG854" s="1" t="s">
        <v>104</v>
      </c>
      <c r="CH854" s="1" t="s">
        <v>104</v>
      </c>
      <c r="CJ854" s="1">
        <v>0</v>
      </c>
      <c r="CK854" s="1">
        <v>0</v>
      </c>
      <c r="CL854" s="1">
        <v>0</v>
      </c>
      <c r="CM854" s="1">
        <v>3</v>
      </c>
    </row>
    <row r="855" spans="1:91" ht="14.25" customHeight="1" x14ac:dyDescent="0.3">
      <c r="A855" s="1" t="s">
        <v>5424</v>
      </c>
      <c r="B855" s="1" t="s">
        <v>172</v>
      </c>
      <c r="E855" s="1" t="s">
        <v>5425</v>
      </c>
      <c r="F855" s="1" t="s">
        <v>95</v>
      </c>
      <c r="G855" s="1" t="s">
        <v>5426</v>
      </c>
      <c r="H855" s="1">
        <v>0</v>
      </c>
      <c r="I855" s="1" t="s">
        <v>128</v>
      </c>
      <c r="L855" s="1" t="s">
        <v>374</v>
      </c>
      <c r="M855" s="1" t="s">
        <v>341</v>
      </c>
      <c r="N855" s="1">
        <v>0</v>
      </c>
      <c r="O855" s="1">
        <v>0</v>
      </c>
      <c r="P855" s="1" t="s">
        <v>375</v>
      </c>
      <c r="Q855" s="1" t="s">
        <v>131</v>
      </c>
      <c r="R855" s="1" t="s">
        <v>5427</v>
      </c>
      <c r="S855" s="1" t="s">
        <v>4403</v>
      </c>
      <c r="T855" s="1">
        <v>1</v>
      </c>
      <c r="U855" s="1">
        <v>1</v>
      </c>
      <c r="V855" s="1">
        <v>1</v>
      </c>
      <c r="W855" s="1">
        <v>0</v>
      </c>
      <c r="X855" s="1">
        <v>0</v>
      </c>
      <c r="Y855" s="1">
        <v>2</v>
      </c>
      <c r="Z855" s="1">
        <v>2</v>
      </c>
      <c r="AA855" s="1">
        <v>2</v>
      </c>
      <c r="AB855" s="1">
        <v>2</v>
      </c>
      <c r="AC855" s="1" t="s">
        <v>104</v>
      </c>
      <c r="AD855" s="1">
        <v>1</v>
      </c>
      <c r="AE855" s="1" t="s">
        <v>104</v>
      </c>
      <c r="AF855" s="1" t="s">
        <v>104</v>
      </c>
      <c r="AG855" s="1" t="s">
        <v>104</v>
      </c>
      <c r="AH855" s="1" t="s">
        <v>104</v>
      </c>
      <c r="AI855" s="1" t="s">
        <v>104</v>
      </c>
      <c r="AJ855" s="1">
        <v>2</v>
      </c>
      <c r="AK855" s="1" t="s">
        <v>104</v>
      </c>
      <c r="AL855" s="1" t="s">
        <v>104</v>
      </c>
      <c r="AM855" s="1" t="s">
        <v>104</v>
      </c>
      <c r="AO855" s="1">
        <v>2</v>
      </c>
      <c r="AP855" s="1" t="s">
        <v>5428</v>
      </c>
      <c r="AQ855" s="1" t="s">
        <v>5429</v>
      </c>
      <c r="AR855" s="1">
        <v>0</v>
      </c>
      <c r="AS855" s="1">
        <v>0</v>
      </c>
      <c r="AT855" s="1">
        <v>0</v>
      </c>
      <c r="AU855" s="1">
        <v>0</v>
      </c>
      <c r="AV855" s="1">
        <v>0</v>
      </c>
      <c r="AW855" s="1">
        <v>0</v>
      </c>
      <c r="AX855" s="1">
        <v>0</v>
      </c>
      <c r="AY855" s="1">
        <v>0</v>
      </c>
      <c r="AZ855" s="1">
        <v>0</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2" t="str">
        <f>HYPERLINK("http://www.d20pfsrd.com/magic/all-spells/s/share-language","Share Language")</f>
        <v>Share Language</v>
      </c>
      <c r="BR855" s="1">
        <v>877</v>
      </c>
      <c r="BS855" s="1" t="s">
        <v>104</v>
      </c>
      <c r="BX855" s="1">
        <v>0</v>
      </c>
      <c r="BY855" s="1" t="s">
        <v>104</v>
      </c>
      <c r="BZ855" s="1" t="s">
        <v>104</v>
      </c>
      <c r="CA855" s="1">
        <v>1</v>
      </c>
      <c r="CB855" s="1">
        <v>1</v>
      </c>
      <c r="CC855" s="1">
        <v>1</v>
      </c>
      <c r="CD855" s="1">
        <v>2</v>
      </c>
      <c r="CE855" s="1" t="s">
        <v>104</v>
      </c>
      <c r="CF855" s="1" t="s">
        <v>104</v>
      </c>
      <c r="CG855" s="1" t="s">
        <v>104</v>
      </c>
      <c r="CH855" s="1">
        <v>2</v>
      </c>
      <c r="CJ855" s="1">
        <v>0</v>
      </c>
      <c r="CK855" s="1">
        <v>0</v>
      </c>
      <c r="CL855" s="1">
        <v>0</v>
      </c>
      <c r="CM855" s="1" t="s">
        <v>104</v>
      </c>
    </row>
    <row r="856" spans="1:91" ht="14.25" customHeight="1" x14ac:dyDescent="0.3">
      <c r="A856" s="1" t="s">
        <v>5430</v>
      </c>
      <c r="B856" s="1" t="s">
        <v>216</v>
      </c>
      <c r="D856" s="1" t="s">
        <v>54</v>
      </c>
      <c r="E856" s="1" t="s">
        <v>4219</v>
      </c>
      <c r="F856" s="1" t="s">
        <v>191</v>
      </c>
      <c r="G856" s="1" t="s">
        <v>1802</v>
      </c>
      <c r="H856" s="1">
        <v>0</v>
      </c>
      <c r="I856" s="1" t="s">
        <v>157</v>
      </c>
      <c r="L856" s="1" t="s">
        <v>158</v>
      </c>
      <c r="M856" s="1" t="s">
        <v>620</v>
      </c>
      <c r="N856" s="1">
        <v>1</v>
      </c>
      <c r="O856" s="1">
        <v>0</v>
      </c>
      <c r="R856" s="1" t="s">
        <v>5431</v>
      </c>
      <c r="S856" s="1" t="s">
        <v>4403</v>
      </c>
      <c r="T856" s="1">
        <v>0</v>
      </c>
      <c r="U856" s="1">
        <v>1</v>
      </c>
      <c r="V856" s="1">
        <v>0</v>
      </c>
      <c r="W856" s="1">
        <v>0</v>
      </c>
      <c r="X856" s="1">
        <v>0</v>
      </c>
      <c r="Y856" s="1">
        <v>4</v>
      </c>
      <c r="Z856" s="1">
        <v>4</v>
      </c>
      <c r="AA856" s="1" t="s">
        <v>104</v>
      </c>
      <c r="AB856" s="1" t="s">
        <v>104</v>
      </c>
      <c r="AC856" s="1" t="s">
        <v>104</v>
      </c>
      <c r="AD856" s="1" t="s">
        <v>104</v>
      </c>
      <c r="AE856" s="1" t="s">
        <v>104</v>
      </c>
      <c r="AF856" s="1" t="s">
        <v>104</v>
      </c>
      <c r="AG856" s="1" t="s">
        <v>104</v>
      </c>
      <c r="AH856" s="1" t="s">
        <v>104</v>
      </c>
      <c r="AI856" s="1" t="s">
        <v>104</v>
      </c>
      <c r="AJ856" s="1" t="s">
        <v>104</v>
      </c>
      <c r="AK856" s="1" t="s">
        <v>104</v>
      </c>
      <c r="AL856" s="1" t="s">
        <v>104</v>
      </c>
      <c r="AM856" s="1" t="s">
        <v>104</v>
      </c>
      <c r="AO856" s="1">
        <v>4</v>
      </c>
      <c r="AQ856" s="1" t="s">
        <v>5432</v>
      </c>
      <c r="AR856" s="1">
        <v>0</v>
      </c>
      <c r="AS856" s="1">
        <v>0</v>
      </c>
      <c r="AT856" s="1">
        <v>0</v>
      </c>
      <c r="AU856" s="1">
        <v>0</v>
      </c>
      <c r="AV856" s="1">
        <v>0</v>
      </c>
      <c r="AW856" s="1">
        <v>0</v>
      </c>
      <c r="AX856" s="1">
        <v>0</v>
      </c>
      <c r="AY856" s="1">
        <v>0</v>
      </c>
      <c r="AZ856" s="1">
        <v>0</v>
      </c>
      <c r="BA856" s="1">
        <v>0</v>
      </c>
      <c r="BB856" s="1">
        <v>0</v>
      </c>
      <c r="BC856" s="1">
        <v>1</v>
      </c>
      <c r="BD856" s="1">
        <v>0</v>
      </c>
      <c r="BE856" s="1">
        <v>0</v>
      </c>
      <c r="BF856" s="1">
        <v>0</v>
      </c>
      <c r="BG856" s="1">
        <v>0</v>
      </c>
      <c r="BH856" s="1">
        <v>0</v>
      </c>
      <c r="BI856" s="1">
        <v>0</v>
      </c>
      <c r="BJ856" s="1">
        <v>0</v>
      </c>
      <c r="BK856" s="1">
        <v>0</v>
      </c>
      <c r="BL856" s="1">
        <v>0</v>
      </c>
      <c r="BM856" s="1">
        <v>0</v>
      </c>
      <c r="BN856" s="1">
        <v>0</v>
      </c>
      <c r="BO856" s="1">
        <v>0</v>
      </c>
      <c r="BP856" s="1">
        <v>0</v>
      </c>
      <c r="BQ856" s="2" t="str">
        <f>HYPERLINK("http://www.d20pfsrd.com/magic/all-spells/s/shadow-projection","Shadow Projection")</f>
        <v>Shadow Projection</v>
      </c>
      <c r="BR856" s="1">
        <v>878</v>
      </c>
      <c r="BS856" s="1" t="s">
        <v>104</v>
      </c>
      <c r="BX856" s="1">
        <v>0</v>
      </c>
      <c r="BY856" s="1" t="s">
        <v>104</v>
      </c>
      <c r="BZ856" s="1" t="s">
        <v>104</v>
      </c>
      <c r="CA856" s="1" t="s">
        <v>104</v>
      </c>
      <c r="CB856" s="1" t="s">
        <v>104</v>
      </c>
      <c r="CC856" s="1" t="s">
        <v>104</v>
      </c>
      <c r="CD856" s="1" t="s">
        <v>104</v>
      </c>
      <c r="CE856" s="1" t="s">
        <v>104</v>
      </c>
      <c r="CF856" s="1" t="s">
        <v>104</v>
      </c>
      <c r="CG856" s="1" t="s">
        <v>104</v>
      </c>
      <c r="CH856" s="1" t="s">
        <v>104</v>
      </c>
      <c r="CJ856" s="1">
        <v>0</v>
      </c>
      <c r="CK856" s="1">
        <v>0</v>
      </c>
      <c r="CL856" s="1">
        <v>0</v>
      </c>
      <c r="CM856" s="1" t="s">
        <v>104</v>
      </c>
    </row>
    <row r="857" spans="1:91" ht="14.25" customHeight="1" x14ac:dyDescent="0.3">
      <c r="A857" s="1" t="s">
        <v>5433</v>
      </c>
      <c r="B857" s="1" t="s">
        <v>172</v>
      </c>
      <c r="C857" s="1" t="s">
        <v>285</v>
      </c>
      <c r="E857" s="1" t="s">
        <v>5434</v>
      </c>
      <c r="F857" s="1" t="s">
        <v>4199</v>
      </c>
      <c r="G857" s="1" t="s">
        <v>5435</v>
      </c>
      <c r="H857" s="1">
        <v>0</v>
      </c>
      <c r="I857" s="1" t="s">
        <v>97</v>
      </c>
      <c r="L857" s="1" t="s">
        <v>5436</v>
      </c>
      <c r="M857" s="1" t="s">
        <v>4641</v>
      </c>
      <c r="N857" s="1">
        <v>1</v>
      </c>
      <c r="O857" s="1">
        <v>0</v>
      </c>
      <c r="P857" s="1" t="s">
        <v>375</v>
      </c>
      <c r="Q857" s="1" t="s">
        <v>131</v>
      </c>
      <c r="R857" s="1" t="s">
        <v>5437</v>
      </c>
      <c r="S857" s="1" t="s">
        <v>4403</v>
      </c>
      <c r="T857" s="1">
        <v>1</v>
      </c>
      <c r="U857" s="1">
        <v>1</v>
      </c>
      <c r="V857" s="1">
        <v>1</v>
      </c>
      <c r="W857" s="1">
        <v>0</v>
      </c>
      <c r="X857" s="1">
        <v>0</v>
      </c>
      <c r="Y857" s="1">
        <v>4</v>
      </c>
      <c r="Z857" s="1">
        <v>4</v>
      </c>
      <c r="AA857" s="1" t="s">
        <v>104</v>
      </c>
      <c r="AB857" s="1" t="s">
        <v>104</v>
      </c>
      <c r="AC857" s="1" t="s">
        <v>104</v>
      </c>
      <c r="AD857" s="1" t="s">
        <v>104</v>
      </c>
      <c r="AE857" s="1" t="s">
        <v>104</v>
      </c>
      <c r="AF857" s="1" t="s">
        <v>104</v>
      </c>
      <c r="AG857" s="1" t="s">
        <v>104</v>
      </c>
      <c r="AH857" s="1">
        <v>3</v>
      </c>
      <c r="AI857" s="1" t="s">
        <v>104</v>
      </c>
      <c r="AJ857" s="1" t="s">
        <v>104</v>
      </c>
      <c r="AK857" s="1" t="s">
        <v>104</v>
      </c>
      <c r="AL857" s="1" t="s">
        <v>104</v>
      </c>
      <c r="AM857" s="1" t="s">
        <v>104</v>
      </c>
      <c r="AO857" s="1">
        <v>4</v>
      </c>
      <c r="AQ857" s="1" t="s">
        <v>5438</v>
      </c>
      <c r="AR857" s="1">
        <v>0</v>
      </c>
      <c r="AS857" s="1">
        <v>0</v>
      </c>
      <c r="AT857" s="1">
        <v>0</v>
      </c>
      <c r="AU857" s="1">
        <v>0</v>
      </c>
      <c r="AV857" s="1">
        <v>0</v>
      </c>
      <c r="AW857" s="1">
        <v>0</v>
      </c>
      <c r="AX857" s="1">
        <v>0</v>
      </c>
      <c r="AY857" s="1">
        <v>0</v>
      </c>
      <c r="AZ857" s="1">
        <v>0</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2" t="str">
        <f>HYPERLINK("http://www.d20pfsrd.com/magic/all-spells/s/share-senses","Share Senses")</f>
        <v>Share Senses</v>
      </c>
      <c r="BR857" s="1">
        <v>879</v>
      </c>
      <c r="BS857" s="1" t="s">
        <v>104</v>
      </c>
      <c r="BX857" s="1">
        <v>0</v>
      </c>
      <c r="BY857" s="1" t="s">
        <v>104</v>
      </c>
      <c r="BZ857" s="1" t="s">
        <v>104</v>
      </c>
      <c r="CA857" s="1">
        <v>3</v>
      </c>
      <c r="CB857" s="1">
        <v>3</v>
      </c>
      <c r="CC857" s="1" t="s">
        <v>104</v>
      </c>
      <c r="CD857" s="1" t="s">
        <v>104</v>
      </c>
      <c r="CE857" s="1" t="s">
        <v>104</v>
      </c>
      <c r="CF857" s="1" t="s">
        <v>104</v>
      </c>
      <c r="CG857" s="1" t="s">
        <v>104</v>
      </c>
      <c r="CH857" s="1" t="s">
        <v>104</v>
      </c>
      <c r="CJ857" s="1">
        <v>0</v>
      </c>
      <c r="CK857" s="1">
        <v>0</v>
      </c>
      <c r="CL857" s="1">
        <v>0</v>
      </c>
      <c r="CM857" s="1" t="s">
        <v>104</v>
      </c>
    </row>
    <row r="858" spans="1:91" ht="14.25" customHeight="1" x14ac:dyDescent="0.3">
      <c r="A858" s="1" t="s">
        <v>5439</v>
      </c>
      <c r="B858" s="1" t="s">
        <v>137</v>
      </c>
      <c r="D858" s="1" t="s">
        <v>51</v>
      </c>
      <c r="E858" s="1" t="s">
        <v>4378</v>
      </c>
      <c r="F858" s="1" t="s">
        <v>95</v>
      </c>
      <c r="G858" s="1" t="s">
        <v>5440</v>
      </c>
      <c r="H858" s="1">
        <v>0</v>
      </c>
      <c r="I858" s="1" t="s">
        <v>109</v>
      </c>
      <c r="J858" s="1" t="s">
        <v>5441</v>
      </c>
      <c r="M858" s="1" t="s">
        <v>426</v>
      </c>
      <c r="N858" s="1">
        <v>1</v>
      </c>
      <c r="O858" s="1">
        <v>0</v>
      </c>
      <c r="P858" s="1" t="s">
        <v>4047</v>
      </c>
      <c r="Q858" s="1" t="s">
        <v>101</v>
      </c>
      <c r="R858" s="1" t="s">
        <v>5442</v>
      </c>
      <c r="S858" s="1" t="s">
        <v>4403</v>
      </c>
      <c r="T858" s="1">
        <v>1</v>
      </c>
      <c r="U858" s="1">
        <v>1</v>
      </c>
      <c r="V858" s="1">
        <v>1</v>
      </c>
      <c r="W858" s="1">
        <v>0</v>
      </c>
      <c r="X858" s="1">
        <v>0</v>
      </c>
      <c r="Y858" s="1">
        <v>3</v>
      </c>
      <c r="Z858" s="1">
        <v>3</v>
      </c>
      <c r="AA858" s="1" t="s">
        <v>104</v>
      </c>
      <c r="AB858" s="1">
        <v>3</v>
      </c>
      <c r="AC858" s="1" t="s">
        <v>104</v>
      </c>
      <c r="AD858" s="1" t="s">
        <v>104</v>
      </c>
      <c r="AE858" s="1" t="s">
        <v>104</v>
      </c>
      <c r="AF858" s="1" t="s">
        <v>104</v>
      </c>
      <c r="AG858" s="1" t="s">
        <v>104</v>
      </c>
      <c r="AH858" s="1" t="s">
        <v>104</v>
      </c>
      <c r="AI858" s="1" t="s">
        <v>104</v>
      </c>
      <c r="AJ858" s="1" t="s">
        <v>104</v>
      </c>
      <c r="AK858" s="1" t="s">
        <v>104</v>
      </c>
      <c r="AL858" s="1" t="s">
        <v>104</v>
      </c>
      <c r="AM858" s="1" t="s">
        <v>104</v>
      </c>
      <c r="AO858" s="1">
        <v>3</v>
      </c>
      <c r="AQ858" s="1" t="s">
        <v>5443</v>
      </c>
      <c r="AR858" s="1">
        <v>0</v>
      </c>
      <c r="AS858" s="1">
        <v>0</v>
      </c>
      <c r="AT858" s="1">
        <v>0</v>
      </c>
      <c r="AU858" s="1">
        <v>0</v>
      </c>
      <c r="AV858" s="1">
        <v>0</v>
      </c>
      <c r="AW858" s="1">
        <v>0</v>
      </c>
      <c r="AX858" s="1">
        <v>0</v>
      </c>
      <c r="AY858" s="1">
        <v>0</v>
      </c>
      <c r="AZ858" s="1">
        <v>1</v>
      </c>
      <c r="BA858" s="1">
        <v>0</v>
      </c>
      <c r="BB858" s="1">
        <v>0</v>
      </c>
      <c r="BC858" s="1">
        <v>0</v>
      </c>
      <c r="BD858" s="1">
        <v>0</v>
      </c>
      <c r="BE858" s="1">
        <v>0</v>
      </c>
      <c r="BF858" s="1">
        <v>0</v>
      </c>
      <c r="BG858" s="1">
        <v>0</v>
      </c>
      <c r="BH858" s="1">
        <v>0</v>
      </c>
      <c r="BI858" s="1">
        <v>0</v>
      </c>
      <c r="BJ858" s="1">
        <v>0</v>
      </c>
      <c r="BK858" s="1">
        <v>0</v>
      </c>
      <c r="BL858" s="1">
        <v>0</v>
      </c>
      <c r="BM858" s="1">
        <v>0</v>
      </c>
      <c r="BN858" s="1">
        <v>0</v>
      </c>
      <c r="BO858" s="1">
        <v>0</v>
      </c>
      <c r="BP858" s="1">
        <v>0</v>
      </c>
      <c r="BQ858" s="2" t="str">
        <f>HYPERLINK("http://www.d20pfsrd.com/magic/all-spells/s/shifting-sand","Shifting Sand")</f>
        <v>Shifting Sand</v>
      </c>
      <c r="BR858" s="1">
        <v>880</v>
      </c>
      <c r="BS858" s="1" t="s">
        <v>104</v>
      </c>
      <c r="BT858" s="1" t="s">
        <v>5444</v>
      </c>
      <c r="BX858" s="1">
        <v>0</v>
      </c>
      <c r="BY858" s="1" t="s">
        <v>104</v>
      </c>
      <c r="BZ858" s="1" t="s">
        <v>104</v>
      </c>
      <c r="CA858" s="1" t="s">
        <v>104</v>
      </c>
      <c r="CB858" s="1" t="s">
        <v>104</v>
      </c>
      <c r="CC858" s="1" t="s">
        <v>104</v>
      </c>
      <c r="CD858" s="1" t="s">
        <v>104</v>
      </c>
      <c r="CE858" s="1" t="s">
        <v>104</v>
      </c>
      <c r="CF858" s="1" t="s">
        <v>104</v>
      </c>
      <c r="CG858" s="1" t="s">
        <v>104</v>
      </c>
      <c r="CH858" s="1">
        <v>3</v>
      </c>
      <c r="CJ858" s="1">
        <v>0</v>
      </c>
      <c r="CK858" s="1">
        <v>0</v>
      </c>
      <c r="CL858" s="1">
        <v>0</v>
      </c>
      <c r="CM858" s="1" t="s">
        <v>104</v>
      </c>
    </row>
    <row r="859" spans="1:91" ht="14.25" customHeight="1" x14ac:dyDescent="0.3">
      <c r="A859" s="1" t="s">
        <v>5445</v>
      </c>
      <c r="B859" s="1" t="s">
        <v>123</v>
      </c>
      <c r="C859" s="1" t="s">
        <v>124</v>
      </c>
      <c r="D859" s="1" t="s">
        <v>271</v>
      </c>
      <c r="E859" s="1" t="s">
        <v>4560</v>
      </c>
      <c r="F859" s="1" t="s">
        <v>95</v>
      </c>
      <c r="G859" s="1" t="s">
        <v>5446</v>
      </c>
      <c r="H859" s="1">
        <v>0</v>
      </c>
      <c r="I859" s="1" t="s">
        <v>117</v>
      </c>
      <c r="L859" s="1" t="s">
        <v>5447</v>
      </c>
      <c r="M859" s="1" t="s">
        <v>191</v>
      </c>
      <c r="N859" s="1">
        <v>0</v>
      </c>
      <c r="O859" s="1">
        <v>0</v>
      </c>
      <c r="P859" s="1" t="s">
        <v>375</v>
      </c>
      <c r="Q859" s="1" t="s">
        <v>131</v>
      </c>
      <c r="R859" s="1" t="s">
        <v>5448</v>
      </c>
      <c r="S859" s="1" t="s">
        <v>4403</v>
      </c>
      <c r="T859" s="1">
        <v>1</v>
      </c>
      <c r="U859" s="1">
        <v>1</v>
      </c>
      <c r="V859" s="1">
        <v>1</v>
      </c>
      <c r="W859" s="1">
        <v>0</v>
      </c>
      <c r="X859" s="1">
        <v>0</v>
      </c>
      <c r="Y859" s="1" t="s">
        <v>104</v>
      </c>
      <c r="Z859" s="1" t="s">
        <v>104</v>
      </c>
      <c r="AA859" s="1" t="s">
        <v>104</v>
      </c>
      <c r="AB859" s="1" t="s">
        <v>104</v>
      </c>
      <c r="AC859" s="1" t="s">
        <v>104</v>
      </c>
      <c r="AD859" s="1" t="s">
        <v>104</v>
      </c>
      <c r="AE859" s="1" t="s">
        <v>104</v>
      </c>
      <c r="AF859" s="1" t="s">
        <v>104</v>
      </c>
      <c r="AG859" s="1" t="s">
        <v>104</v>
      </c>
      <c r="AH859" s="1" t="s">
        <v>104</v>
      </c>
      <c r="AI859" s="1">
        <v>4</v>
      </c>
      <c r="AJ859" s="1" t="s">
        <v>104</v>
      </c>
      <c r="AK859" s="1" t="s">
        <v>104</v>
      </c>
      <c r="AL859" s="1" t="s">
        <v>104</v>
      </c>
      <c r="AM859" s="1" t="s">
        <v>104</v>
      </c>
      <c r="AO859" s="1">
        <v>4</v>
      </c>
      <c r="AQ859" s="1" t="s">
        <v>5449</v>
      </c>
      <c r="AR859" s="1">
        <v>0</v>
      </c>
      <c r="AS859" s="1">
        <v>0</v>
      </c>
      <c r="AT859" s="1">
        <v>0</v>
      </c>
      <c r="AU859" s="1">
        <v>0</v>
      </c>
      <c r="AV859" s="1">
        <v>0</v>
      </c>
      <c r="AW859" s="1">
        <v>0</v>
      </c>
      <c r="AX859" s="1">
        <v>0</v>
      </c>
      <c r="AY859" s="1">
        <v>0</v>
      </c>
      <c r="AZ859" s="1">
        <v>0</v>
      </c>
      <c r="BA859" s="1">
        <v>0</v>
      </c>
      <c r="BB859" s="1">
        <v>1</v>
      </c>
      <c r="BC859" s="1">
        <v>0</v>
      </c>
      <c r="BD859" s="1">
        <v>0</v>
      </c>
      <c r="BE859" s="1">
        <v>0</v>
      </c>
      <c r="BF859" s="1">
        <v>0</v>
      </c>
      <c r="BG859" s="1">
        <v>0</v>
      </c>
      <c r="BH859" s="1">
        <v>0</v>
      </c>
      <c r="BI859" s="1">
        <v>0</v>
      </c>
      <c r="BJ859" s="1">
        <v>0</v>
      </c>
      <c r="BK859" s="1">
        <v>1</v>
      </c>
      <c r="BL859" s="1">
        <v>0</v>
      </c>
      <c r="BM859" s="1">
        <v>0</v>
      </c>
      <c r="BN859" s="1">
        <v>0</v>
      </c>
      <c r="BO859" s="1">
        <v>0</v>
      </c>
      <c r="BP859" s="1">
        <v>0</v>
      </c>
      <c r="BQ859" s="2" t="str">
        <f>HYPERLINK("http://www.d20pfsrd.com/magic/all-spells/s/shared-wrath","Shared Wrath")</f>
        <v>Shared Wrath</v>
      </c>
      <c r="BR859" s="1">
        <v>881</v>
      </c>
      <c r="BS859" s="1" t="s">
        <v>104</v>
      </c>
      <c r="BX859" s="1">
        <v>0</v>
      </c>
      <c r="BY859" s="1" t="s">
        <v>104</v>
      </c>
      <c r="BZ859" s="1" t="s">
        <v>104</v>
      </c>
      <c r="CA859" s="1" t="s">
        <v>104</v>
      </c>
      <c r="CB859" s="1" t="s">
        <v>104</v>
      </c>
      <c r="CC859" s="1" t="s">
        <v>104</v>
      </c>
      <c r="CD859" s="1" t="s">
        <v>104</v>
      </c>
      <c r="CE859" s="1" t="s">
        <v>104</v>
      </c>
      <c r="CF859" s="1" t="s">
        <v>104</v>
      </c>
      <c r="CG859" s="1" t="s">
        <v>104</v>
      </c>
      <c r="CH859" s="1" t="s">
        <v>104</v>
      </c>
      <c r="CJ859" s="1">
        <v>0</v>
      </c>
      <c r="CK859" s="1">
        <v>0</v>
      </c>
      <c r="CL859" s="1">
        <v>0</v>
      </c>
      <c r="CM859" s="1" t="s">
        <v>104</v>
      </c>
    </row>
    <row r="860" spans="1:91" ht="14.25" customHeight="1" x14ac:dyDescent="0.3">
      <c r="A860" s="1" t="s">
        <v>5450</v>
      </c>
      <c r="B860" s="1" t="s">
        <v>172</v>
      </c>
      <c r="E860" s="1" t="s">
        <v>5451</v>
      </c>
      <c r="F860" s="1" t="s">
        <v>95</v>
      </c>
      <c r="G860" s="1" t="s">
        <v>116</v>
      </c>
      <c r="H860" s="1">
        <v>0</v>
      </c>
      <c r="I860" s="1" t="s">
        <v>914</v>
      </c>
      <c r="J860" s="1" t="s">
        <v>5452</v>
      </c>
      <c r="M860" s="1" t="s">
        <v>119</v>
      </c>
      <c r="N860" s="1">
        <v>0</v>
      </c>
      <c r="O860" s="1">
        <v>0</v>
      </c>
      <c r="P860" s="1" t="s">
        <v>100</v>
      </c>
      <c r="Q860" s="1" t="s">
        <v>101</v>
      </c>
      <c r="R860" s="1" t="s">
        <v>5453</v>
      </c>
      <c r="S860" s="1" t="s">
        <v>4403</v>
      </c>
      <c r="T860" s="1">
        <v>1</v>
      </c>
      <c r="U860" s="1">
        <v>1</v>
      </c>
      <c r="V860" s="1">
        <v>0</v>
      </c>
      <c r="W860" s="1">
        <v>0</v>
      </c>
      <c r="X860" s="1">
        <v>0</v>
      </c>
      <c r="Y860" s="1" t="s">
        <v>104</v>
      </c>
      <c r="Z860" s="1" t="s">
        <v>104</v>
      </c>
      <c r="AA860" s="1" t="s">
        <v>104</v>
      </c>
      <c r="AB860" s="1" t="s">
        <v>104</v>
      </c>
      <c r="AC860" s="1" t="s">
        <v>104</v>
      </c>
      <c r="AD860" s="1">
        <v>0</v>
      </c>
      <c r="AE860" s="1" t="s">
        <v>104</v>
      </c>
      <c r="AF860" s="1" t="s">
        <v>104</v>
      </c>
      <c r="AG860" s="1" t="s">
        <v>104</v>
      </c>
      <c r="AH860" s="1" t="s">
        <v>104</v>
      </c>
      <c r="AI860" s="1">
        <v>0</v>
      </c>
      <c r="AJ860" s="1" t="s">
        <v>104</v>
      </c>
      <c r="AK860" s="1" t="s">
        <v>104</v>
      </c>
      <c r="AL860" s="1" t="s">
        <v>104</v>
      </c>
      <c r="AM860" s="1" t="s">
        <v>104</v>
      </c>
      <c r="AO860" s="1">
        <v>0</v>
      </c>
      <c r="AQ860" s="1" t="s">
        <v>5454</v>
      </c>
      <c r="AR860" s="1">
        <v>0</v>
      </c>
      <c r="AS860" s="1">
        <v>0</v>
      </c>
      <c r="AT860" s="1">
        <v>0</v>
      </c>
      <c r="AU860" s="1">
        <v>0</v>
      </c>
      <c r="AV860" s="1">
        <v>0</v>
      </c>
      <c r="AW860" s="1">
        <v>0</v>
      </c>
      <c r="AX860" s="1">
        <v>0</v>
      </c>
      <c r="AY860" s="1">
        <v>0</v>
      </c>
      <c r="AZ860" s="1">
        <v>0</v>
      </c>
      <c r="BA860" s="1">
        <v>0</v>
      </c>
      <c r="BB860" s="1">
        <v>0</v>
      </c>
      <c r="BC860" s="1">
        <v>0</v>
      </c>
      <c r="BD860" s="1">
        <v>0</v>
      </c>
      <c r="BE860" s="1">
        <v>0</v>
      </c>
      <c r="BF860" s="1">
        <v>0</v>
      </c>
      <c r="BG860" s="1">
        <v>0</v>
      </c>
      <c r="BH860" s="1">
        <v>0</v>
      </c>
      <c r="BI860" s="1">
        <v>0</v>
      </c>
      <c r="BJ860" s="1">
        <v>0</v>
      </c>
      <c r="BK860" s="1">
        <v>0</v>
      </c>
      <c r="BL860" s="1">
        <v>0</v>
      </c>
      <c r="BM860" s="1">
        <v>0</v>
      </c>
      <c r="BN860" s="1">
        <v>0</v>
      </c>
      <c r="BO860" s="1">
        <v>0</v>
      </c>
      <c r="BP860" s="1">
        <v>0</v>
      </c>
      <c r="BQ860" s="2" t="str">
        <f>HYPERLINK("http://www.d20pfsrd.com/magic/all-spells/s/sift","Sift")</f>
        <v>Sift</v>
      </c>
      <c r="BR860" s="1">
        <v>882</v>
      </c>
      <c r="BS860" s="1" t="s">
        <v>104</v>
      </c>
      <c r="BX860" s="1">
        <v>0</v>
      </c>
      <c r="BY860" s="1" t="s">
        <v>104</v>
      </c>
      <c r="BZ860" s="1" t="s">
        <v>104</v>
      </c>
      <c r="CA860" s="1">
        <v>0</v>
      </c>
      <c r="CB860" s="1">
        <v>0</v>
      </c>
      <c r="CC860" s="1" t="s">
        <v>104</v>
      </c>
      <c r="CD860" s="1">
        <v>0</v>
      </c>
      <c r="CE860" s="1" t="s">
        <v>104</v>
      </c>
      <c r="CF860" s="1" t="s">
        <v>104</v>
      </c>
      <c r="CG860" s="1" t="s">
        <v>104</v>
      </c>
      <c r="CH860" s="1" t="s">
        <v>104</v>
      </c>
      <c r="CJ860" s="1">
        <v>0</v>
      </c>
      <c r="CK860" s="1">
        <v>0</v>
      </c>
      <c r="CL860" s="1">
        <v>0</v>
      </c>
      <c r="CM860" s="1" t="s">
        <v>104</v>
      </c>
    </row>
    <row r="861" spans="1:91" ht="14.25" customHeight="1" x14ac:dyDescent="0.3">
      <c r="A861" s="1" t="s">
        <v>5455</v>
      </c>
      <c r="B861" s="1" t="s">
        <v>434</v>
      </c>
      <c r="D861" s="1" t="s">
        <v>5456</v>
      </c>
      <c r="E861" s="1" t="s">
        <v>5457</v>
      </c>
      <c r="F861" s="1" t="s">
        <v>95</v>
      </c>
      <c r="G861" s="1" t="s">
        <v>5458</v>
      </c>
      <c r="H861" s="1">
        <v>0</v>
      </c>
      <c r="I861" s="1" t="s">
        <v>109</v>
      </c>
      <c r="J861" s="1" t="s">
        <v>5459</v>
      </c>
      <c r="M861" s="1" t="s">
        <v>426</v>
      </c>
      <c r="N861" s="1">
        <v>1</v>
      </c>
      <c r="O861" s="1">
        <v>0</v>
      </c>
      <c r="P861" s="1" t="s">
        <v>4379</v>
      </c>
      <c r="Q861" s="1" t="s">
        <v>184</v>
      </c>
      <c r="R861" s="1" t="s">
        <v>5460</v>
      </c>
      <c r="S861" s="1" t="s">
        <v>4403</v>
      </c>
      <c r="T861" s="1">
        <v>1</v>
      </c>
      <c r="U861" s="1">
        <v>1</v>
      </c>
      <c r="V861" s="1">
        <v>1</v>
      </c>
      <c r="W861" s="1">
        <v>0</v>
      </c>
      <c r="X861" s="1">
        <v>1</v>
      </c>
      <c r="Y861" s="1">
        <v>6</v>
      </c>
      <c r="Z861" s="1">
        <v>6</v>
      </c>
      <c r="AA861" s="1" t="s">
        <v>104</v>
      </c>
      <c r="AB861" s="1">
        <v>6</v>
      </c>
      <c r="AC861" s="1" t="s">
        <v>104</v>
      </c>
      <c r="AD861" s="1" t="s">
        <v>104</v>
      </c>
      <c r="AE861" s="1" t="s">
        <v>104</v>
      </c>
      <c r="AF861" s="1" t="s">
        <v>104</v>
      </c>
      <c r="AG861" s="1" t="s">
        <v>104</v>
      </c>
      <c r="AH861" s="1" t="s">
        <v>104</v>
      </c>
      <c r="AI861" s="1" t="s">
        <v>104</v>
      </c>
      <c r="AJ861" s="1" t="s">
        <v>104</v>
      </c>
      <c r="AK861" s="1" t="s">
        <v>104</v>
      </c>
      <c r="AL861" s="1">
        <v>6</v>
      </c>
      <c r="AM861" s="1" t="s">
        <v>104</v>
      </c>
      <c r="AO861" s="1">
        <v>6</v>
      </c>
      <c r="AP861" s="1" t="s">
        <v>563</v>
      </c>
      <c r="AQ861" s="1" t="s">
        <v>5461</v>
      </c>
      <c r="AR861" s="1">
        <v>0</v>
      </c>
      <c r="AS861" s="1">
        <v>1</v>
      </c>
      <c r="AT861" s="1">
        <v>0</v>
      </c>
      <c r="AU861" s="1">
        <v>0</v>
      </c>
      <c r="AV861" s="1">
        <v>0</v>
      </c>
      <c r="AW861" s="1">
        <v>0</v>
      </c>
      <c r="AX861" s="1">
        <v>0</v>
      </c>
      <c r="AY861" s="1">
        <v>0</v>
      </c>
      <c r="AZ861" s="1">
        <v>0</v>
      </c>
      <c r="BA861" s="1">
        <v>0</v>
      </c>
      <c r="BB861" s="1">
        <v>0</v>
      </c>
      <c r="BC861" s="1">
        <v>0</v>
      </c>
      <c r="BD861" s="1">
        <v>0</v>
      </c>
      <c r="BE861" s="1">
        <v>1</v>
      </c>
      <c r="BF861" s="1">
        <v>0</v>
      </c>
      <c r="BG861" s="1">
        <v>0</v>
      </c>
      <c r="BH861" s="1">
        <v>0</v>
      </c>
      <c r="BI861" s="1">
        <v>0</v>
      </c>
      <c r="BJ861" s="1">
        <v>0</v>
      </c>
      <c r="BK861" s="1">
        <v>0</v>
      </c>
      <c r="BL861" s="1">
        <v>0</v>
      </c>
      <c r="BM861" s="1">
        <v>0</v>
      </c>
      <c r="BN861" s="1">
        <v>0</v>
      </c>
      <c r="BO861" s="1">
        <v>0</v>
      </c>
      <c r="BP861" s="1">
        <v>0</v>
      </c>
      <c r="BQ861" s="2" t="str">
        <f>HYPERLINK("http://www.d20pfsrd.com/magic/all-spells/s/sirocco","Sirocco")</f>
        <v>Sirocco</v>
      </c>
      <c r="BR861" s="1">
        <v>883</v>
      </c>
      <c r="BS861" s="1" t="s">
        <v>104</v>
      </c>
      <c r="BU861" s="1" t="s">
        <v>5462</v>
      </c>
      <c r="BX861" s="1">
        <v>0</v>
      </c>
      <c r="BY861" s="1" t="s">
        <v>104</v>
      </c>
      <c r="BZ861" s="1" t="s">
        <v>104</v>
      </c>
      <c r="CA861" s="1" t="s">
        <v>104</v>
      </c>
      <c r="CB861" s="1" t="s">
        <v>104</v>
      </c>
      <c r="CC861" s="1" t="s">
        <v>104</v>
      </c>
      <c r="CD861" s="1">
        <v>6</v>
      </c>
      <c r="CE861" s="1" t="s">
        <v>104</v>
      </c>
      <c r="CF861" s="1" t="s">
        <v>104</v>
      </c>
      <c r="CG861" s="1" t="s">
        <v>104</v>
      </c>
      <c r="CH861" s="1">
        <v>6</v>
      </c>
      <c r="CJ861" s="1">
        <v>0</v>
      </c>
      <c r="CK861" s="1">
        <v>0</v>
      </c>
      <c r="CL861" s="1">
        <v>0</v>
      </c>
      <c r="CM861" s="1" t="s">
        <v>104</v>
      </c>
    </row>
    <row r="862" spans="1:91" ht="14.25" customHeight="1" x14ac:dyDescent="0.3">
      <c r="A862" s="1" t="s">
        <v>5463</v>
      </c>
      <c r="B862" s="1" t="s">
        <v>123</v>
      </c>
      <c r="C862" s="1" t="s">
        <v>124</v>
      </c>
      <c r="D862" s="1" t="s">
        <v>125</v>
      </c>
      <c r="E862" s="1" t="s">
        <v>5464</v>
      </c>
      <c r="F862" s="1" t="s">
        <v>255</v>
      </c>
      <c r="G862" s="1" t="s">
        <v>5465</v>
      </c>
      <c r="H862" s="1">
        <v>1</v>
      </c>
      <c r="I862" s="1" t="s">
        <v>128</v>
      </c>
      <c r="L862" s="1" t="s">
        <v>5466</v>
      </c>
      <c r="M862" s="1" t="s">
        <v>620</v>
      </c>
      <c r="N862" s="1">
        <v>1</v>
      </c>
      <c r="O862" s="1">
        <v>0</v>
      </c>
      <c r="P862" s="1" t="s">
        <v>418</v>
      </c>
      <c r="Q862" s="1" t="s">
        <v>184</v>
      </c>
      <c r="R862" s="1" t="s">
        <v>5467</v>
      </c>
      <c r="S862" s="1" t="s">
        <v>4403</v>
      </c>
      <c r="T862" s="1">
        <v>1</v>
      </c>
      <c r="U862" s="1">
        <v>1</v>
      </c>
      <c r="V862" s="1">
        <v>1</v>
      </c>
      <c r="W862" s="1">
        <v>0</v>
      </c>
      <c r="X862" s="1">
        <v>0</v>
      </c>
      <c r="Y862" s="1" t="s">
        <v>104</v>
      </c>
      <c r="Z862" s="1" t="s">
        <v>104</v>
      </c>
      <c r="AA862" s="1" t="s">
        <v>104</v>
      </c>
      <c r="AB862" s="1" t="s">
        <v>104</v>
      </c>
      <c r="AC862" s="1" t="s">
        <v>104</v>
      </c>
      <c r="AD862" s="1" t="s">
        <v>104</v>
      </c>
      <c r="AE862" s="1" t="s">
        <v>104</v>
      </c>
      <c r="AF862" s="1" t="s">
        <v>104</v>
      </c>
      <c r="AG862" s="1" t="s">
        <v>104</v>
      </c>
      <c r="AH862" s="1">
        <v>4</v>
      </c>
      <c r="AI862" s="1">
        <v>4</v>
      </c>
      <c r="AJ862" s="1" t="s">
        <v>104</v>
      </c>
      <c r="AK862" s="1" t="s">
        <v>104</v>
      </c>
      <c r="AL862" s="1" t="s">
        <v>104</v>
      </c>
      <c r="AM862" s="1" t="s">
        <v>104</v>
      </c>
      <c r="AO862" s="1">
        <v>4</v>
      </c>
      <c r="AQ862" s="1" t="s">
        <v>5468</v>
      </c>
      <c r="AR862" s="1">
        <v>0</v>
      </c>
      <c r="AS862" s="1">
        <v>0</v>
      </c>
      <c r="AT862" s="1">
        <v>0</v>
      </c>
      <c r="AU862" s="1">
        <v>0</v>
      </c>
      <c r="AV862" s="1">
        <v>0</v>
      </c>
      <c r="AW862" s="1">
        <v>0</v>
      </c>
      <c r="AX862" s="1">
        <v>0</v>
      </c>
      <c r="AY862" s="1">
        <v>0</v>
      </c>
      <c r="AZ862" s="1">
        <v>0</v>
      </c>
      <c r="BA862" s="1">
        <v>0</v>
      </c>
      <c r="BB862" s="1">
        <v>0</v>
      </c>
      <c r="BC862" s="1">
        <v>0</v>
      </c>
      <c r="BD862" s="1">
        <v>0</v>
      </c>
      <c r="BE862" s="1">
        <v>0</v>
      </c>
      <c r="BF862" s="1">
        <v>0</v>
      </c>
      <c r="BG862" s="1">
        <v>0</v>
      </c>
      <c r="BH862" s="1">
        <v>0</v>
      </c>
      <c r="BI862" s="1">
        <v>0</v>
      </c>
      <c r="BJ862" s="1">
        <v>0</v>
      </c>
      <c r="BK862" s="1">
        <v>1</v>
      </c>
      <c r="BL862" s="1">
        <v>0</v>
      </c>
      <c r="BM862" s="1">
        <v>0</v>
      </c>
      <c r="BN862" s="1">
        <v>0</v>
      </c>
      <c r="BO862" s="1">
        <v>0</v>
      </c>
      <c r="BP862" s="1">
        <v>0</v>
      </c>
      <c r="BQ862" s="2" t="str">
        <f>HYPERLINK("http://www.d20pfsrd.com/magic/all-spells/s/sleepwalk","Sleepwalk")</f>
        <v>Sleepwalk</v>
      </c>
      <c r="BR862" s="1">
        <v>884</v>
      </c>
      <c r="BS862" s="1">
        <v>100</v>
      </c>
      <c r="BX862" s="1">
        <v>0</v>
      </c>
      <c r="BY862" s="1" t="s">
        <v>104</v>
      </c>
      <c r="BZ862" s="1" t="s">
        <v>104</v>
      </c>
      <c r="CA862" s="1">
        <v>4</v>
      </c>
      <c r="CB862" s="1" t="s">
        <v>104</v>
      </c>
      <c r="CC862" s="1">
        <v>4</v>
      </c>
      <c r="CD862" s="1" t="s">
        <v>104</v>
      </c>
      <c r="CE862" s="1" t="s">
        <v>104</v>
      </c>
      <c r="CF862" s="1" t="s">
        <v>104</v>
      </c>
      <c r="CG862" s="1" t="s">
        <v>104</v>
      </c>
      <c r="CH862" s="1" t="s">
        <v>104</v>
      </c>
      <c r="CJ862" s="1">
        <v>0</v>
      </c>
      <c r="CK862" s="1">
        <v>0</v>
      </c>
      <c r="CL862" s="1">
        <v>0</v>
      </c>
      <c r="CM862" s="1" t="s">
        <v>104</v>
      </c>
    </row>
    <row r="863" spans="1:91" ht="14.25" customHeight="1" x14ac:dyDescent="0.3">
      <c r="A863" s="1" t="s">
        <v>5469</v>
      </c>
      <c r="B863" s="1" t="s">
        <v>92</v>
      </c>
      <c r="C863" s="1" t="s">
        <v>93</v>
      </c>
      <c r="D863" s="1" t="s">
        <v>67</v>
      </c>
      <c r="E863" s="1" t="s">
        <v>5470</v>
      </c>
      <c r="F863" s="1" t="s">
        <v>95</v>
      </c>
      <c r="G863" s="1" t="s">
        <v>5471</v>
      </c>
      <c r="H863" s="1">
        <v>0</v>
      </c>
      <c r="I863" s="1" t="s">
        <v>128</v>
      </c>
      <c r="L863" s="1" t="s">
        <v>374</v>
      </c>
      <c r="M863" s="1" t="s">
        <v>4992</v>
      </c>
      <c r="N863" s="1">
        <v>1</v>
      </c>
      <c r="O863" s="1">
        <v>0</v>
      </c>
      <c r="P863" s="1" t="s">
        <v>5472</v>
      </c>
      <c r="Q863" s="1" t="s">
        <v>101</v>
      </c>
      <c r="R863" s="1" t="s">
        <v>5473</v>
      </c>
      <c r="S863" s="1" t="s">
        <v>4403</v>
      </c>
      <c r="T863" s="1">
        <v>1</v>
      </c>
      <c r="U863" s="1">
        <v>1</v>
      </c>
      <c r="V863" s="1">
        <v>1</v>
      </c>
      <c r="W863" s="1">
        <v>0</v>
      </c>
      <c r="X863" s="1">
        <v>1</v>
      </c>
      <c r="Y863" s="1">
        <v>2</v>
      </c>
      <c r="Z863" s="1">
        <v>2</v>
      </c>
      <c r="AA863" s="1" t="s">
        <v>104</v>
      </c>
      <c r="AB863" s="1">
        <v>2</v>
      </c>
      <c r="AC863" s="1">
        <v>2</v>
      </c>
      <c r="AD863" s="1" t="s">
        <v>104</v>
      </c>
      <c r="AE863" s="1" t="s">
        <v>104</v>
      </c>
      <c r="AF863" s="1" t="s">
        <v>104</v>
      </c>
      <c r="AG863" s="1" t="s">
        <v>104</v>
      </c>
      <c r="AH863" s="1" t="s">
        <v>104</v>
      </c>
      <c r="AI863" s="1" t="s">
        <v>104</v>
      </c>
      <c r="AJ863" s="1" t="s">
        <v>104</v>
      </c>
      <c r="AK863" s="1" t="s">
        <v>104</v>
      </c>
      <c r="AL863" s="1" t="s">
        <v>104</v>
      </c>
      <c r="AM863" s="1" t="s">
        <v>104</v>
      </c>
      <c r="AO863" s="1">
        <v>2</v>
      </c>
      <c r="AP863" s="1" t="s">
        <v>5474</v>
      </c>
      <c r="AQ863" s="1" t="s">
        <v>5475</v>
      </c>
      <c r="AR863" s="1">
        <v>0</v>
      </c>
      <c r="AS863" s="1">
        <v>0</v>
      </c>
      <c r="AT863" s="1">
        <v>0</v>
      </c>
      <c r="AU863" s="1">
        <v>0</v>
      </c>
      <c r="AV863" s="1">
        <v>0</v>
      </c>
      <c r="AW863" s="1">
        <v>0</v>
      </c>
      <c r="AX863" s="1">
        <v>0</v>
      </c>
      <c r="AY863" s="1">
        <v>0</v>
      </c>
      <c r="AZ863" s="1">
        <v>0</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1</v>
      </c>
      <c r="BQ863" s="2" t="str">
        <f>HYPERLINK("http://www.d20pfsrd.com/magic/all-spells/s/slipstream","Slipstream")</f>
        <v>Slipstream</v>
      </c>
      <c r="BR863" s="1">
        <v>885</v>
      </c>
      <c r="BS863" s="1" t="s">
        <v>104</v>
      </c>
      <c r="BT863" s="1" t="s">
        <v>5476</v>
      </c>
      <c r="BU863" s="1" t="s">
        <v>855</v>
      </c>
      <c r="BX863" s="1">
        <v>0</v>
      </c>
      <c r="BY863" s="1">
        <v>2</v>
      </c>
      <c r="BZ863" s="1" t="s">
        <v>104</v>
      </c>
      <c r="CA863" s="1" t="s">
        <v>104</v>
      </c>
      <c r="CB863" s="1" t="s">
        <v>104</v>
      </c>
      <c r="CC863" s="1" t="s">
        <v>104</v>
      </c>
      <c r="CD863" s="1" t="s">
        <v>104</v>
      </c>
      <c r="CE863" s="1" t="s">
        <v>104</v>
      </c>
      <c r="CF863" s="1" t="s">
        <v>104</v>
      </c>
      <c r="CG863" s="1" t="s">
        <v>104</v>
      </c>
      <c r="CH863" s="1">
        <v>2</v>
      </c>
      <c r="CJ863" s="1">
        <v>0</v>
      </c>
      <c r="CK863" s="1">
        <v>0</v>
      </c>
      <c r="CL863" s="1">
        <v>0</v>
      </c>
      <c r="CM863" s="1" t="s">
        <v>104</v>
      </c>
    </row>
    <row r="864" spans="1:91" ht="14.25" customHeight="1" x14ac:dyDescent="0.3">
      <c r="A864" s="1" t="s">
        <v>5477</v>
      </c>
      <c r="B864" s="1" t="s">
        <v>137</v>
      </c>
      <c r="E864" s="1" t="s">
        <v>5478</v>
      </c>
      <c r="F864" s="1" t="s">
        <v>95</v>
      </c>
      <c r="G864" s="1" t="s">
        <v>5479</v>
      </c>
      <c r="H864" s="1">
        <v>0</v>
      </c>
      <c r="I864" s="1" t="s">
        <v>109</v>
      </c>
      <c r="L864" s="1" t="s">
        <v>5480</v>
      </c>
      <c r="M864" s="1" t="s">
        <v>111</v>
      </c>
      <c r="N864" s="1">
        <v>0</v>
      </c>
      <c r="O864" s="1">
        <v>0</v>
      </c>
      <c r="P864" s="1" t="s">
        <v>471</v>
      </c>
      <c r="Q864" s="1" t="s">
        <v>472</v>
      </c>
      <c r="R864" s="1" t="s">
        <v>5481</v>
      </c>
      <c r="S864" s="1" t="s">
        <v>4403</v>
      </c>
      <c r="T864" s="1">
        <v>1</v>
      </c>
      <c r="U864" s="1">
        <v>1</v>
      </c>
      <c r="V864" s="1">
        <v>1</v>
      </c>
      <c r="W864" s="1">
        <v>0</v>
      </c>
      <c r="X864" s="1">
        <v>0</v>
      </c>
      <c r="Y864" s="1" t="s">
        <v>104</v>
      </c>
      <c r="Z864" s="1" t="s">
        <v>104</v>
      </c>
      <c r="AA864" s="1">
        <v>5</v>
      </c>
      <c r="AB864" s="1">
        <v>5</v>
      </c>
      <c r="AC864" s="1" t="s">
        <v>104</v>
      </c>
      <c r="AD864" s="1" t="s">
        <v>104</v>
      </c>
      <c r="AE864" s="1" t="s">
        <v>104</v>
      </c>
      <c r="AF864" s="1" t="s">
        <v>104</v>
      </c>
      <c r="AG864" s="1" t="s">
        <v>104</v>
      </c>
      <c r="AH864" s="1" t="s">
        <v>104</v>
      </c>
      <c r="AI864" s="1" t="s">
        <v>104</v>
      </c>
      <c r="AJ864" s="1">
        <v>5</v>
      </c>
      <c r="AK864" s="1" t="s">
        <v>104</v>
      </c>
      <c r="AL864" s="1" t="s">
        <v>104</v>
      </c>
      <c r="AM864" s="1" t="s">
        <v>104</v>
      </c>
      <c r="AO864" s="1">
        <v>5</v>
      </c>
      <c r="AQ864" s="1" t="s">
        <v>5482</v>
      </c>
      <c r="AR864" s="1">
        <v>0</v>
      </c>
      <c r="AS864" s="1">
        <v>0</v>
      </c>
      <c r="AT864" s="1">
        <v>0</v>
      </c>
      <c r="AU864" s="1">
        <v>0</v>
      </c>
      <c r="AV864" s="1">
        <v>0</v>
      </c>
      <c r="AW864" s="1">
        <v>0</v>
      </c>
      <c r="AX864" s="1">
        <v>0</v>
      </c>
      <c r="AY864" s="1">
        <v>0</v>
      </c>
      <c r="AZ864" s="1">
        <v>0</v>
      </c>
      <c r="BA864" s="1">
        <v>0</v>
      </c>
      <c r="BB864" s="1">
        <v>0</v>
      </c>
      <c r="BC864" s="1">
        <v>0</v>
      </c>
      <c r="BD864" s="1">
        <v>0</v>
      </c>
      <c r="BE864" s="1">
        <v>0</v>
      </c>
      <c r="BF864" s="1">
        <v>0</v>
      </c>
      <c r="BG864" s="1">
        <v>0</v>
      </c>
      <c r="BH864" s="1">
        <v>0</v>
      </c>
      <c r="BI864" s="1">
        <v>0</v>
      </c>
      <c r="BJ864" s="1">
        <v>0</v>
      </c>
      <c r="BK864" s="1">
        <v>0</v>
      </c>
      <c r="BL864" s="1">
        <v>0</v>
      </c>
      <c r="BM864" s="1">
        <v>0</v>
      </c>
      <c r="BN864" s="1">
        <v>0</v>
      </c>
      <c r="BO864" s="1">
        <v>0</v>
      </c>
      <c r="BP864" s="1">
        <v>0</v>
      </c>
      <c r="BQ864" s="2" t="str">
        <f>HYPERLINK("http://www.d20pfsrd.com/magic/all-spells/s/snake-staff","Snake Staff")</f>
        <v>Snake Staff</v>
      </c>
      <c r="BR864" s="1">
        <v>886</v>
      </c>
      <c r="BS864" s="1" t="s">
        <v>104</v>
      </c>
      <c r="BU864" s="1" t="s">
        <v>5483</v>
      </c>
      <c r="BX864" s="1">
        <v>0</v>
      </c>
      <c r="BY864" s="1" t="s">
        <v>104</v>
      </c>
      <c r="BZ864" s="1">
        <v>6</v>
      </c>
      <c r="CA864" s="1" t="s">
        <v>104</v>
      </c>
      <c r="CB864" s="1" t="s">
        <v>104</v>
      </c>
      <c r="CC864" s="1" t="s">
        <v>104</v>
      </c>
      <c r="CD864" s="1" t="s">
        <v>104</v>
      </c>
      <c r="CE864" s="1" t="s">
        <v>104</v>
      </c>
      <c r="CF864" s="1" t="s">
        <v>104</v>
      </c>
      <c r="CG864" s="1" t="s">
        <v>104</v>
      </c>
      <c r="CH864" s="1">
        <v>5</v>
      </c>
      <c r="CJ864" s="1">
        <v>0</v>
      </c>
      <c r="CK864" s="1">
        <v>0</v>
      </c>
      <c r="CL864" s="1">
        <v>0</v>
      </c>
      <c r="CM864" s="1" t="s">
        <v>104</v>
      </c>
    </row>
    <row r="865" spans="1:91" ht="14.25" customHeight="1" x14ac:dyDescent="0.3">
      <c r="A865" s="1" t="s">
        <v>5484</v>
      </c>
      <c r="B865" s="1" t="s">
        <v>92</v>
      </c>
      <c r="C865" s="1" t="s">
        <v>93</v>
      </c>
      <c r="E865" s="1" t="s">
        <v>5344</v>
      </c>
      <c r="F865" s="1" t="s">
        <v>95</v>
      </c>
      <c r="G865" s="1" t="s">
        <v>237</v>
      </c>
      <c r="H865" s="1">
        <v>0</v>
      </c>
      <c r="I865" s="1" t="s">
        <v>117</v>
      </c>
      <c r="K865" s="1" t="s">
        <v>5485</v>
      </c>
      <c r="M865" s="1" t="s">
        <v>2313</v>
      </c>
      <c r="N865" s="1">
        <v>0</v>
      </c>
      <c r="O865" s="1">
        <v>0</v>
      </c>
      <c r="P865" s="1" t="s">
        <v>100</v>
      </c>
      <c r="Q865" s="1" t="s">
        <v>101</v>
      </c>
      <c r="R865" s="1" t="s">
        <v>5486</v>
      </c>
      <c r="S865" s="1" t="s">
        <v>4403</v>
      </c>
      <c r="T865" s="1">
        <v>1</v>
      </c>
      <c r="U865" s="1">
        <v>0</v>
      </c>
      <c r="V865" s="1">
        <v>0</v>
      </c>
      <c r="W865" s="1">
        <v>0</v>
      </c>
      <c r="X865" s="1">
        <v>0</v>
      </c>
      <c r="Y865" s="1" t="s">
        <v>104</v>
      </c>
      <c r="Z865" s="1" t="s">
        <v>104</v>
      </c>
      <c r="AA865" s="1" t="s">
        <v>104</v>
      </c>
      <c r="AB865" s="1" t="s">
        <v>104</v>
      </c>
      <c r="AC865" s="1" t="s">
        <v>104</v>
      </c>
      <c r="AD865" s="1">
        <v>1</v>
      </c>
      <c r="AE865" s="1" t="s">
        <v>104</v>
      </c>
      <c r="AF865" s="1" t="s">
        <v>104</v>
      </c>
      <c r="AG865" s="1" t="s">
        <v>104</v>
      </c>
      <c r="AH865" s="1" t="s">
        <v>104</v>
      </c>
      <c r="AI865" s="1" t="s">
        <v>104</v>
      </c>
      <c r="AJ865" s="1" t="s">
        <v>104</v>
      </c>
      <c r="AK865" s="1" t="s">
        <v>104</v>
      </c>
      <c r="AL865" s="1" t="s">
        <v>104</v>
      </c>
      <c r="AM865" s="1" t="s">
        <v>104</v>
      </c>
      <c r="AO865" s="1">
        <v>1</v>
      </c>
      <c r="AQ865" s="1" t="s">
        <v>5487</v>
      </c>
      <c r="AR865" s="1">
        <v>0</v>
      </c>
      <c r="AS865" s="1">
        <v>0</v>
      </c>
      <c r="AT865" s="1">
        <v>0</v>
      </c>
      <c r="AU865" s="1">
        <v>0</v>
      </c>
      <c r="AV865" s="1">
        <v>0</v>
      </c>
      <c r="AW865" s="1">
        <v>0</v>
      </c>
      <c r="AX865" s="1">
        <v>0</v>
      </c>
      <c r="AY865" s="1">
        <v>0</v>
      </c>
      <c r="AZ865" s="1">
        <v>0</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2" t="str">
        <f>HYPERLINK("http://www.d20pfsrd.com/magic/all-spells/s/solid-note","Solid Note")</f>
        <v>Solid Note</v>
      </c>
      <c r="BR865" s="1">
        <v>887</v>
      </c>
      <c r="BS865" s="1" t="s">
        <v>104</v>
      </c>
      <c r="BX865" s="1">
        <v>0</v>
      </c>
      <c r="BY865" s="1" t="s">
        <v>104</v>
      </c>
      <c r="BZ865" s="1" t="s">
        <v>104</v>
      </c>
      <c r="CA865" s="1" t="s">
        <v>104</v>
      </c>
      <c r="CB865" s="1" t="s">
        <v>104</v>
      </c>
      <c r="CC865" s="1" t="s">
        <v>104</v>
      </c>
      <c r="CD865" s="1" t="s">
        <v>104</v>
      </c>
      <c r="CE865" s="1" t="s">
        <v>104</v>
      </c>
      <c r="CF865" s="1" t="s">
        <v>104</v>
      </c>
      <c r="CG865" s="1" t="s">
        <v>104</v>
      </c>
      <c r="CH865" s="1" t="s">
        <v>104</v>
      </c>
      <c r="CJ865" s="1">
        <v>0</v>
      </c>
      <c r="CK865" s="1">
        <v>0</v>
      </c>
      <c r="CL865" s="1">
        <v>0</v>
      </c>
      <c r="CM865" s="1" t="s">
        <v>104</v>
      </c>
    </row>
    <row r="866" spans="1:91" ht="14.25" customHeight="1" x14ac:dyDescent="0.3">
      <c r="A866" s="1" t="s">
        <v>5488</v>
      </c>
      <c r="B866" s="1" t="s">
        <v>434</v>
      </c>
      <c r="D866" s="1" t="s">
        <v>56</v>
      </c>
      <c r="E866" s="1" t="s">
        <v>5489</v>
      </c>
      <c r="F866" s="1" t="s">
        <v>95</v>
      </c>
      <c r="G866" s="1" t="s">
        <v>5490</v>
      </c>
      <c r="H866" s="1">
        <v>0</v>
      </c>
      <c r="I866" s="1" t="s">
        <v>117</v>
      </c>
      <c r="L866" s="1" t="s">
        <v>5491</v>
      </c>
      <c r="M866" s="1" t="s">
        <v>119</v>
      </c>
      <c r="N866" s="1">
        <v>0</v>
      </c>
      <c r="O866" s="1">
        <v>0</v>
      </c>
      <c r="P866" s="1" t="s">
        <v>4401</v>
      </c>
      <c r="Q866" s="1" t="s">
        <v>472</v>
      </c>
      <c r="R866" s="1" t="s">
        <v>5492</v>
      </c>
      <c r="S866" s="1" t="s">
        <v>4403</v>
      </c>
      <c r="T866" s="1">
        <v>1</v>
      </c>
      <c r="U866" s="1">
        <v>1</v>
      </c>
      <c r="V866" s="1">
        <v>0</v>
      </c>
      <c r="W866" s="1">
        <v>0</v>
      </c>
      <c r="X866" s="1">
        <v>0</v>
      </c>
      <c r="Y866" s="1">
        <v>0</v>
      </c>
      <c r="Z866" s="1">
        <v>0</v>
      </c>
      <c r="AA866" s="1">
        <v>0</v>
      </c>
      <c r="AB866" s="1">
        <v>0</v>
      </c>
      <c r="AC866" s="1" t="s">
        <v>104</v>
      </c>
      <c r="AD866" s="1">
        <v>0</v>
      </c>
      <c r="AE866" s="1" t="s">
        <v>104</v>
      </c>
      <c r="AF866" s="1" t="s">
        <v>104</v>
      </c>
      <c r="AG866" s="1" t="s">
        <v>104</v>
      </c>
      <c r="AH866" s="1">
        <v>0</v>
      </c>
      <c r="AI866" s="1" t="s">
        <v>104</v>
      </c>
      <c r="AJ866" s="1">
        <v>0</v>
      </c>
      <c r="AK866" s="1" t="s">
        <v>104</v>
      </c>
      <c r="AL866" s="1">
        <v>0</v>
      </c>
      <c r="AM866" s="1" t="s">
        <v>104</v>
      </c>
      <c r="AO866" s="1">
        <v>0</v>
      </c>
      <c r="AQ866" s="1" t="s">
        <v>5493</v>
      </c>
      <c r="AR866" s="1">
        <v>0</v>
      </c>
      <c r="AS866" s="1">
        <v>0</v>
      </c>
      <c r="AT866" s="1">
        <v>0</v>
      </c>
      <c r="AU866" s="1">
        <v>0</v>
      </c>
      <c r="AV866" s="1">
        <v>0</v>
      </c>
      <c r="AW866" s="1">
        <v>0</v>
      </c>
      <c r="AX866" s="1">
        <v>0</v>
      </c>
      <c r="AY866" s="1">
        <v>0</v>
      </c>
      <c r="AZ866" s="1">
        <v>0</v>
      </c>
      <c r="BA866" s="1">
        <v>0</v>
      </c>
      <c r="BB866" s="1">
        <v>0</v>
      </c>
      <c r="BC866" s="1">
        <v>0</v>
      </c>
      <c r="BD866" s="1">
        <v>0</v>
      </c>
      <c r="BE866" s="1">
        <v>1</v>
      </c>
      <c r="BF866" s="1">
        <v>0</v>
      </c>
      <c r="BG866" s="1">
        <v>0</v>
      </c>
      <c r="BH866" s="1">
        <v>0</v>
      </c>
      <c r="BI866" s="1">
        <v>0</v>
      </c>
      <c r="BJ866" s="1">
        <v>0</v>
      </c>
      <c r="BK866" s="1">
        <v>0</v>
      </c>
      <c r="BL866" s="1">
        <v>0</v>
      </c>
      <c r="BM866" s="1">
        <v>0</v>
      </c>
      <c r="BN866" s="1">
        <v>0</v>
      </c>
      <c r="BO866" s="1">
        <v>0</v>
      </c>
      <c r="BP866" s="1">
        <v>0</v>
      </c>
      <c r="BQ866" s="2" t="str">
        <f>HYPERLINK("http://www.d20pfsrd.com/magic/all-spells/s/spark","Spark")</f>
        <v>Spark</v>
      </c>
      <c r="BR866" s="1">
        <v>888</v>
      </c>
      <c r="BS866" s="1" t="s">
        <v>104</v>
      </c>
      <c r="BX866" s="1">
        <v>0</v>
      </c>
      <c r="BY866" s="1" t="s">
        <v>104</v>
      </c>
      <c r="BZ866" s="1" t="s">
        <v>104</v>
      </c>
      <c r="CA866" s="1" t="s">
        <v>104</v>
      </c>
      <c r="CB866" s="1" t="s">
        <v>104</v>
      </c>
      <c r="CC866" s="1" t="s">
        <v>104</v>
      </c>
      <c r="CD866" s="1">
        <v>0</v>
      </c>
      <c r="CE866" s="1" t="s">
        <v>104</v>
      </c>
      <c r="CF866" s="1" t="s">
        <v>104</v>
      </c>
      <c r="CG866" s="1" t="s">
        <v>104</v>
      </c>
      <c r="CH866" s="1">
        <v>0</v>
      </c>
      <c r="CJ866" s="1">
        <v>0</v>
      </c>
      <c r="CK866" s="1">
        <v>0</v>
      </c>
      <c r="CL866" s="1">
        <v>0</v>
      </c>
      <c r="CM866" s="1" t="s">
        <v>104</v>
      </c>
    </row>
    <row r="867" spans="1:91" ht="14.25" customHeight="1" x14ac:dyDescent="0.3">
      <c r="A867" s="1" t="s">
        <v>5494</v>
      </c>
      <c r="B867" s="1" t="s">
        <v>92</v>
      </c>
      <c r="C867" s="1" t="s">
        <v>93</v>
      </c>
      <c r="E867" s="1" t="s">
        <v>5495</v>
      </c>
      <c r="F867" s="1" t="s">
        <v>95</v>
      </c>
      <c r="G867" s="1" t="s">
        <v>4713</v>
      </c>
      <c r="H867" s="1">
        <v>1</v>
      </c>
      <c r="I867" s="1" t="s">
        <v>109</v>
      </c>
      <c r="K867" s="1" t="s">
        <v>4413</v>
      </c>
      <c r="M867" s="1" t="s">
        <v>4414</v>
      </c>
      <c r="N867" s="1">
        <v>0</v>
      </c>
      <c r="O867" s="1">
        <v>0</v>
      </c>
      <c r="P867" s="1" t="s">
        <v>1605</v>
      </c>
      <c r="Q867" s="1" t="s">
        <v>101</v>
      </c>
      <c r="R867" s="1" t="s">
        <v>5496</v>
      </c>
      <c r="S867" s="1" t="s">
        <v>4403</v>
      </c>
      <c r="T867" s="1">
        <v>1</v>
      </c>
      <c r="U867" s="1">
        <v>1</v>
      </c>
      <c r="V867" s="1">
        <v>0</v>
      </c>
      <c r="W867" s="1">
        <v>0</v>
      </c>
      <c r="X867" s="1">
        <v>0</v>
      </c>
      <c r="Y867" s="1">
        <v>3</v>
      </c>
      <c r="Z867" s="1">
        <v>3</v>
      </c>
      <c r="AA867" s="1" t="s">
        <v>104</v>
      </c>
      <c r="AB867" s="1" t="s">
        <v>104</v>
      </c>
      <c r="AC867" s="1" t="s">
        <v>104</v>
      </c>
      <c r="AD867" s="1" t="s">
        <v>104</v>
      </c>
      <c r="AE867" s="1" t="s">
        <v>104</v>
      </c>
      <c r="AF867" s="1" t="s">
        <v>104</v>
      </c>
      <c r="AG867" s="1">
        <v>3</v>
      </c>
      <c r="AH867" s="1" t="s">
        <v>104</v>
      </c>
      <c r="AI867" s="1" t="s">
        <v>104</v>
      </c>
      <c r="AJ867" s="1" t="s">
        <v>104</v>
      </c>
      <c r="AK867" s="1" t="s">
        <v>104</v>
      </c>
      <c r="AL867" s="1" t="s">
        <v>104</v>
      </c>
      <c r="AM867" s="1" t="s">
        <v>104</v>
      </c>
      <c r="AO867" s="1">
        <v>3</v>
      </c>
      <c r="AP867" s="1" t="s">
        <v>5497</v>
      </c>
      <c r="AQ867" s="1" t="s">
        <v>5498</v>
      </c>
      <c r="AR867" s="1">
        <v>0</v>
      </c>
      <c r="AS867" s="1">
        <v>0</v>
      </c>
      <c r="AT867" s="1">
        <v>0</v>
      </c>
      <c r="AU867" s="1">
        <v>0</v>
      </c>
      <c r="AV867" s="1">
        <v>0</v>
      </c>
      <c r="AW867" s="1">
        <v>0</v>
      </c>
      <c r="AX867" s="1">
        <v>0</v>
      </c>
      <c r="AY867" s="1">
        <v>0</v>
      </c>
      <c r="AZ867" s="1">
        <v>0</v>
      </c>
      <c r="BA867" s="1">
        <v>0</v>
      </c>
      <c r="BB867" s="1">
        <v>0</v>
      </c>
      <c r="BC867" s="1">
        <v>0</v>
      </c>
      <c r="BD867" s="1">
        <v>0</v>
      </c>
      <c r="BE867" s="1">
        <v>0</v>
      </c>
      <c r="BF867" s="1">
        <v>0</v>
      </c>
      <c r="BG867" s="1">
        <v>0</v>
      </c>
      <c r="BH867" s="1">
        <v>0</v>
      </c>
      <c r="BI867" s="1">
        <v>0</v>
      </c>
      <c r="BJ867" s="1">
        <v>0</v>
      </c>
      <c r="BK867" s="1">
        <v>0</v>
      </c>
      <c r="BL867" s="1">
        <v>0</v>
      </c>
      <c r="BM867" s="1">
        <v>0</v>
      </c>
      <c r="BN867" s="1">
        <v>0</v>
      </c>
      <c r="BO867" s="1">
        <v>0</v>
      </c>
      <c r="BP867" s="1">
        <v>0</v>
      </c>
      <c r="BQ867" s="2" t="str">
        <f>HYPERLINK("http://www.d20pfsrd.com/magic/all-spells/s/spiked-pit","Spiked Pit")</f>
        <v>Spiked Pit</v>
      </c>
      <c r="BR867" s="1">
        <v>889</v>
      </c>
      <c r="BS867" s="1">
        <v>10</v>
      </c>
      <c r="BX867" s="1">
        <v>0</v>
      </c>
      <c r="BY867" s="1" t="s">
        <v>104</v>
      </c>
      <c r="BZ867" s="1" t="s">
        <v>104</v>
      </c>
      <c r="CA867" s="1" t="s">
        <v>104</v>
      </c>
      <c r="CB867" s="1" t="s">
        <v>104</v>
      </c>
      <c r="CC867" s="1" t="s">
        <v>104</v>
      </c>
      <c r="CD867" s="1" t="s">
        <v>104</v>
      </c>
      <c r="CE867" s="1" t="s">
        <v>104</v>
      </c>
      <c r="CF867" s="1" t="s">
        <v>104</v>
      </c>
      <c r="CG867" s="1" t="s">
        <v>104</v>
      </c>
      <c r="CH867" s="1" t="s">
        <v>104</v>
      </c>
      <c r="CJ867" s="1">
        <v>0</v>
      </c>
      <c r="CK867" s="1">
        <v>0</v>
      </c>
      <c r="CL867" s="1">
        <v>0</v>
      </c>
      <c r="CM867" s="1">
        <v>3</v>
      </c>
    </row>
    <row r="868" spans="1:91" ht="14.25" customHeight="1" x14ac:dyDescent="0.3">
      <c r="A868" s="1" t="s">
        <v>5499</v>
      </c>
      <c r="B868" s="1" t="s">
        <v>434</v>
      </c>
      <c r="D868" s="1" t="s">
        <v>57</v>
      </c>
      <c r="E868" s="1" t="s">
        <v>5500</v>
      </c>
      <c r="F868" s="1" t="s">
        <v>95</v>
      </c>
      <c r="G868" s="1" t="s">
        <v>127</v>
      </c>
      <c r="H868" s="1">
        <v>0</v>
      </c>
      <c r="I868" s="1" t="s">
        <v>109</v>
      </c>
      <c r="K868" s="1" t="s">
        <v>5501</v>
      </c>
      <c r="M868" s="1" t="s">
        <v>426</v>
      </c>
      <c r="N868" s="1">
        <v>1</v>
      </c>
      <c r="O868" s="1">
        <v>0</v>
      </c>
      <c r="P868" s="1" t="s">
        <v>100</v>
      </c>
      <c r="Q868" s="1" t="s">
        <v>184</v>
      </c>
      <c r="R868" s="1" t="s">
        <v>5502</v>
      </c>
      <c r="S868" s="1" t="s">
        <v>4403</v>
      </c>
      <c r="T868" s="1">
        <v>1</v>
      </c>
      <c r="U868" s="1">
        <v>1</v>
      </c>
      <c r="V868" s="1">
        <v>0</v>
      </c>
      <c r="W868" s="1">
        <v>0</v>
      </c>
      <c r="X868" s="1">
        <v>1</v>
      </c>
      <c r="Y868" s="1" t="s">
        <v>104</v>
      </c>
      <c r="Z868" s="1" t="s">
        <v>104</v>
      </c>
      <c r="AA868" s="1">
        <v>4</v>
      </c>
      <c r="AB868" s="1" t="s">
        <v>104</v>
      </c>
      <c r="AC868" s="1" t="s">
        <v>104</v>
      </c>
      <c r="AD868" s="1" t="s">
        <v>104</v>
      </c>
      <c r="AE868" s="1" t="s">
        <v>104</v>
      </c>
      <c r="AF868" s="1" t="s">
        <v>104</v>
      </c>
      <c r="AG868" s="1" t="s">
        <v>104</v>
      </c>
      <c r="AH868" s="1" t="s">
        <v>104</v>
      </c>
      <c r="AI868" s="1" t="s">
        <v>104</v>
      </c>
      <c r="AJ868" s="1">
        <v>4</v>
      </c>
      <c r="AK868" s="1" t="s">
        <v>104</v>
      </c>
      <c r="AL868" s="1" t="s">
        <v>104</v>
      </c>
      <c r="AM868" s="1" t="s">
        <v>104</v>
      </c>
      <c r="AO868" s="1">
        <v>4</v>
      </c>
      <c r="AQ868" s="1" t="s">
        <v>5503</v>
      </c>
      <c r="AR868" s="1">
        <v>0</v>
      </c>
      <c r="AS868" s="1">
        <v>0</v>
      </c>
      <c r="AT868" s="1">
        <v>0</v>
      </c>
      <c r="AU868" s="1">
        <v>0</v>
      </c>
      <c r="AV868" s="1">
        <v>0</v>
      </c>
      <c r="AW868" s="1">
        <v>0</v>
      </c>
      <c r="AX868" s="1">
        <v>0</v>
      </c>
      <c r="AY868" s="1">
        <v>0</v>
      </c>
      <c r="AZ868" s="1">
        <v>0</v>
      </c>
      <c r="BA868" s="1">
        <v>0</v>
      </c>
      <c r="BB868" s="1">
        <v>0</v>
      </c>
      <c r="BC868" s="1">
        <v>0</v>
      </c>
      <c r="BD868" s="1">
        <v>0</v>
      </c>
      <c r="BE868" s="1">
        <v>0</v>
      </c>
      <c r="BF868" s="1">
        <v>1</v>
      </c>
      <c r="BG868" s="1">
        <v>0</v>
      </c>
      <c r="BH868" s="1">
        <v>0</v>
      </c>
      <c r="BI868" s="1">
        <v>0</v>
      </c>
      <c r="BJ868" s="1">
        <v>0</v>
      </c>
      <c r="BK868" s="1">
        <v>0</v>
      </c>
      <c r="BL868" s="1">
        <v>0</v>
      </c>
      <c r="BM868" s="1">
        <v>0</v>
      </c>
      <c r="BN868" s="1">
        <v>0</v>
      </c>
      <c r="BO868" s="1">
        <v>0</v>
      </c>
      <c r="BP868" s="1">
        <v>0</v>
      </c>
      <c r="BQ868" s="2" t="str">
        <f>HYPERLINK("http://www.d20pfsrd.com/magic/all-spells/s/spiritual-ally","Spiritual Ally")</f>
        <v>Spiritual Ally</v>
      </c>
      <c r="BR868" s="1">
        <v>890</v>
      </c>
      <c r="BS868" s="1" t="s">
        <v>104</v>
      </c>
      <c r="BU868" s="1" t="s">
        <v>5504</v>
      </c>
      <c r="BX868" s="1">
        <v>0</v>
      </c>
      <c r="BY868" s="1" t="s">
        <v>104</v>
      </c>
      <c r="BZ868" s="1" t="s">
        <v>104</v>
      </c>
      <c r="CA868" s="1" t="s">
        <v>104</v>
      </c>
      <c r="CB868" s="1">
        <v>4</v>
      </c>
      <c r="CC868" s="1" t="s">
        <v>104</v>
      </c>
      <c r="CD868" s="1" t="s">
        <v>104</v>
      </c>
      <c r="CE868" s="1">
        <v>4</v>
      </c>
      <c r="CF868" s="1" t="s">
        <v>104</v>
      </c>
      <c r="CG868" s="1" t="s">
        <v>104</v>
      </c>
      <c r="CH868" s="1" t="s">
        <v>104</v>
      </c>
      <c r="CJ868" s="1">
        <v>0</v>
      </c>
      <c r="CK868" s="1">
        <v>0</v>
      </c>
      <c r="CL868" s="1">
        <v>0</v>
      </c>
      <c r="CM868" s="1" t="s">
        <v>104</v>
      </c>
    </row>
    <row r="869" spans="1:91" ht="14.25" customHeight="1" x14ac:dyDescent="0.3">
      <c r="A869" s="1" t="s">
        <v>5505</v>
      </c>
      <c r="B869" s="1" t="s">
        <v>162</v>
      </c>
      <c r="E869" s="1" t="s">
        <v>5506</v>
      </c>
      <c r="F869" s="1" t="s">
        <v>255</v>
      </c>
      <c r="G869" s="1" t="s">
        <v>5507</v>
      </c>
      <c r="H869" s="1">
        <v>1</v>
      </c>
      <c r="I869" s="1" t="s">
        <v>157</v>
      </c>
      <c r="L869" s="1" t="s">
        <v>158</v>
      </c>
      <c r="M869" s="1" t="s">
        <v>5508</v>
      </c>
      <c r="N869" s="1">
        <v>1</v>
      </c>
      <c r="O869" s="1">
        <v>0</v>
      </c>
      <c r="R869" s="1" t="s">
        <v>5509</v>
      </c>
      <c r="S869" s="1" t="s">
        <v>4403</v>
      </c>
      <c r="T869" s="1">
        <v>1</v>
      </c>
      <c r="U869" s="1">
        <v>1</v>
      </c>
      <c r="V869" s="1">
        <v>1</v>
      </c>
      <c r="W869" s="1">
        <v>0</v>
      </c>
      <c r="X869" s="1">
        <v>0</v>
      </c>
      <c r="Y869" s="1" t="s">
        <v>104</v>
      </c>
      <c r="Z869" s="1" t="s">
        <v>104</v>
      </c>
      <c r="AA869" s="1" t="s">
        <v>104</v>
      </c>
      <c r="AB869" s="1" t="s">
        <v>104</v>
      </c>
      <c r="AC869" s="1" t="s">
        <v>104</v>
      </c>
      <c r="AD869" s="1" t="s">
        <v>104</v>
      </c>
      <c r="AE869" s="1" t="s">
        <v>104</v>
      </c>
      <c r="AF869" s="1" t="s">
        <v>104</v>
      </c>
      <c r="AG869" s="1" t="s">
        <v>104</v>
      </c>
      <c r="AH869" s="1">
        <v>4</v>
      </c>
      <c r="AI869" s="1" t="s">
        <v>104</v>
      </c>
      <c r="AJ869" s="1" t="s">
        <v>104</v>
      </c>
      <c r="AK869" s="1" t="s">
        <v>104</v>
      </c>
      <c r="AL869" s="1" t="s">
        <v>104</v>
      </c>
      <c r="AM869" s="1" t="s">
        <v>104</v>
      </c>
      <c r="AO869" s="1">
        <v>4</v>
      </c>
      <c r="AQ869" s="1" t="s">
        <v>5510</v>
      </c>
      <c r="AR869" s="1">
        <v>0</v>
      </c>
      <c r="AS869" s="1">
        <v>0</v>
      </c>
      <c r="AT869" s="1">
        <v>0</v>
      </c>
      <c r="AU869" s="1">
        <v>0</v>
      </c>
      <c r="AV869" s="1">
        <v>0</v>
      </c>
      <c r="AW869" s="1">
        <v>0</v>
      </c>
      <c r="AX869" s="1">
        <v>0</v>
      </c>
      <c r="AY869" s="1">
        <v>0</v>
      </c>
      <c r="AZ869" s="1">
        <v>0</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2" t="str">
        <f>HYPERLINK("http://www.d20pfsrd.com/magic/all-spells/s/spite","Spite")</f>
        <v>Spite</v>
      </c>
      <c r="BR869" s="1">
        <v>891</v>
      </c>
      <c r="BS869" s="1">
        <v>250</v>
      </c>
      <c r="BX869" s="1">
        <v>0</v>
      </c>
      <c r="BY869" s="1" t="s">
        <v>104</v>
      </c>
      <c r="BZ869" s="1" t="s">
        <v>104</v>
      </c>
      <c r="CA869" s="1" t="s">
        <v>104</v>
      </c>
      <c r="CB869" s="1" t="s">
        <v>104</v>
      </c>
      <c r="CC869" s="1">
        <v>3</v>
      </c>
      <c r="CD869" s="1" t="s">
        <v>104</v>
      </c>
      <c r="CE869" s="1" t="s">
        <v>104</v>
      </c>
      <c r="CF869" s="1" t="s">
        <v>104</v>
      </c>
      <c r="CG869" s="1" t="s">
        <v>104</v>
      </c>
      <c r="CH869" s="1" t="s">
        <v>104</v>
      </c>
      <c r="CJ869" s="1">
        <v>0</v>
      </c>
      <c r="CK869" s="1">
        <v>0</v>
      </c>
      <c r="CL869" s="1">
        <v>0</v>
      </c>
      <c r="CM869" s="1" t="s">
        <v>104</v>
      </c>
    </row>
    <row r="870" spans="1:91" ht="14.25" customHeight="1" x14ac:dyDescent="0.3">
      <c r="A870" s="1" t="s">
        <v>5511</v>
      </c>
      <c r="B870" s="1" t="s">
        <v>123</v>
      </c>
      <c r="C870" s="1" t="s">
        <v>124</v>
      </c>
      <c r="D870" s="1" t="s">
        <v>125</v>
      </c>
      <c r="E870" s="1" t="s">
        <v>2036</v>
      </c>
      <c r="F870" s="1" t="s">
        <v>1502</v>
      </c>
      <c r="G870" s="1" t="s">
        <v>127</v>
      </c>
      <c r="H870" s="1">
        <v>0</v>
      </c>
      <c r="I870" s="1" t="s">
        <v>109</v>
      </c>
      <c r="L870" s="1" t="s">
        <v>1065</v>
      </c>
      <c r="M870" s="1" t="s">
        <v>5512</v>
      </c>
      <c r="N870" s="1">
        <v>0</v>
      </c>
      <c r="O870" s="1">
        <v>0</v>
      </c>
      <c r="P870" s="1" t="s">
        <v>276</v>
      </c>
      <c r="Q870" s="1" t="s">
        <v>184</v>
      </c>
      <c r="R870" s="1" t="s">
        <v>5513</v>
      </c>
      <c r="S870" s="1" t="s">
        <v>4403</v>
      </c>
      <c r="T870" s="1">
        <v>1</v>
      </c>
      <c r="U870" s="1">
        <v>1</v>
      </c>
      <c r="V870" s="1">
        <v>0</v>
      </c>
      <c r="W870" s="1">
        <v>0</v>
      </c>
      <c r="X870" s="1">
        <v>1</v>
      </c>
      <c r="Y870" s="1" t="s">
        <v>104</v>
      </c>
      <c r="Z870" s="1" t="s">
        <v>104</v>
      </c>
      <c r="AA870" s="1" t="s">
        <v>104</v>
      </c>
      <c r="AB870" s="1" t="s">
        <v>104</v>
      </c>
      <c r="AC870" s="1" t="s">
        <v>104</v>
      </c>
      <c r="AD870" s="1" t="s">
        <v>104</v>
      </c>
      <c r="AE870" s="1">
        <v>4</v>
      </c>
      <c r="AF870" s="1" t="s">
        <v>104</v>
      </c>
      <c r="AG870" s="1" t="s">
        <v>104</v>
      </c>
      <c r="AH870" s="1" t="s">
        <v>104</v>
      </c>
      <c r="AI870" s="1" t="s">
        <v>104</v>
      </c>
      <c r="AJ870" s="1" t="s">
        <v>104</v>
      </c>
      <c r="AK870" s="1" t="s">
        <v>104</v>
      </c>
      <c r="AL870" s="1" t="s">
        <v>104</v>
      </c>
      <c r="AM870" s="1" t="s">
        <v>104</v>
      </c>
      <c r="AO870" s="1">
        <v>4</v>
      </c>
      <c r="AQ870" s="1" t="s">
        <v>5514</v>
      </c>
      <c r="AR870" s="1">
        <v>0</v>
      </c>
      <c r="AS870" s="1">
        <v>0</v>
      </c>
      <c r="AT870" s="1">
        <v>0</v>
      </c>
      <c r="AU870" s="1">
        <v>0</v>
      </c>
      <c r="AV870" s="1">
        <v>0</v>
      </c>
      <c r="AW870" s="1">
        <v>0</v>
      </c>
      <c r="AX870" s="1">
        <v>0</v>
      </c>
      <c r="AY870" s="1">
        <v>0</v>
      </c>
      <c r="AZ870" s="1">
        <v>0</v>
      </c>
      <c r="BA870" s="1">
        <v>0</v>
      </c>
      <c r="BB870" s="1">
        <v>0</v>
      </c>
      <c r="BC870" s="1">
        <v>0</v>
      </c>
      <c r="BD870" s="1">
        <v>0</v>
      </c>
      <c r="BE870" s="1">
        <v>0</v>
      </c>
      <c r="BF870" s="1">
        <v>0</v>
      </c>
      <c r="BG870" s="1">
        <v>0</v>
      </c>
      <c r="BH870" s="1">
        <v>0</v>
      </c>
      <c r="BI870" s="1">
        <v>0</v>
      </c>
      <c r="BJ870" s="1">
        <v>0</v>
      </c>
      <c r="BK870" s="1">
        <v>1</v>
      </c>
      <c r="BL870" s="1">
        <v>0</v>
      </c>
      <c r="BM870" s="1">
        <v>0</v>
      </c>
      <c r="BN870" s="1">
        <v>0</v>
      </c>
      <c r="BO870" s="1">
        <v>0</v>
      </c>
      <c r="BP870" s="1">
        <v>0</v>
      </c>
      <c r="BQ870" s="2" t="str">
        <f>HYPERLINK("http://www.d20pfsrd.com/magic/all-spells/s/stay-the-hand","Stay the Hand")</f>
        <v>Stay the Hand</v>
      </c>
      <c r="BR870" s="1">
        <v>892</v>
      </c>
      <c r="BS870" s="1" t="s">
        <v>104</v>
      </c>
      <c r="BX870" s="1">
        <v>0</v>
      </c>
      <c r="BY870" s="1" t="s">
        <v>104</v>
      </c>
      <c r="BZ870" s="1" t="s">
        <v>104</v>
      </c>
      <c r="CA870" s="1" t="s">
        <v>104</v>
      </c>
      <c r="CB870" s="1" t="s">
        <v>104</v>
      </c>
      <c r="CC870" s="1" t="s">
        <v>104</v>
      </c>
      <c r="CD870" s="1" t="s">
        <v>104</v>
      </c>
      <c r="CE870" s="1" t="s">
        <v>104</v>
      </c>
      <c r="CF870" s="1" t="s">
        <v>104</v>
      </c>
      <c r="CG870" s="1" t="s">
        <v>104</v>
      </c>
      <c r="CH870" s="1" t="s">
        <v>104</v>
      </c>
      <c r="CJ870" s="1">
        <v>0</v>
      </c>
      <c r="CK870" s="1">
        <v>0</v>
      </c>
      <c r="CL870" s="1">
        <v>0</v>
      </c>
      <c r="CM870" s="1" t="s">
        <v>104</v>
      </c>
    </row>
    <row r="871" spans="1:91" ht="14.25" customHeight="1" x14ac:dyDescent="0.3">
      <c r="A871" s="1" t="s">
        <v>5515</v>
      </c>
      <c r="B871" s="1" t="s">
        <v>92</v>
      </c>
      <c r="C871" s="1" t="s">
        <v>93</v>
      </c>
      <c r="D871" s="1" t="s">
        <v>51</v>
      </c>
      <c r="E871" s="1" t="s">
        <v>5516</v>
      </c>
      <c r="F871" s="1" t="s">
        <v>95</v>
      </c>
      <c r="G871" s="1" t="s">
        <v>127</v>
      </c>
      <c r="H871" s="1">
        <v>0</v>
      </c>
      <c r="I871" s="1" t="s">
        <v>109</v>
      </c>
      <c r="J871" s="1" t="s">
        <v>3444</v>
      </c>
      <c r="M871" s="1" t="s">
        <v>111</v>
      </c>
      <c r="N871" s="1">
        <v>0</v>
      </c>
      <c r="O871" s="1">
        <v>0</v>
      </c>
      <c r="P871" s="1" t="s">
        <v>100</v>
      </c>
      <c r="Q871" s="1" t="s">
        <v>101</v>
      </c>
      <c r="R871" s="1" t="s">
        <v>5517</v>
      </c>
      <c r="S871" s="1" t="s">
        <v>4403</v>
      </c>
      <c r="T871" s="1">
        <v>1</v>
      </c>
      <c r="U871" s="1">
        <v>1</v>
      </c>
      <c r="V871" s="1">
        <v>0</v>
      </c>
      <c r="W871" s="1">
        <v>0</v>
      </c>
      <c r="X871" s="1">
        <v>1</v>
      </c>
      <c r="Y871" s="1">
        <v>2</v>
      </c>
      <c r="Z871" s="1">
        <v>2</v>
      </c>
      <c r="AA871" s="1" t="s">
        <v>104</v>
      </c>
      <c r="AB871" s="1">
        <v>2</v>
      </c>
      <c r="AC871" s="1">
        <v>2</v>
      </c>
      <c r="AD871" s="1" t="s">
        <v>104</v>
      </c>
      <c r="AE871" s="1" t="s">
        <v>104</v>
      </c>
      <c r="AF871" s="1" t="s">
        <v>104</v>
      </c>
      <c r="AG871" s="1" t="s">
        <v>104</v>
      </c>
      <c r="AH871" s="1" t="s">
        <v>104</v>
      </c>
      <c r="AI871" s="1" t="s">
        <v>104</v>
      </c>
      <c r="AJ871" s="1" t="s">
        <v>104</v>
      </c>
      <c r="AK871" s="1" t="s">
        <v>104</v>
      </c>
      <c r="AL871" s="1">
        <v>2</v>
      </c>
      <c r="AM871" s="1" t="s">
        <v>104</v>
      </c>
      <c r="AO871" s="1">
        <v>2</v>
      </c>
      <c r="AP871" s="1" t="s">
        <v>5518</v>
      </c>
      <c r="AQ871" s="1" t="s">
        <v>5519</v>
      </c>
      <c r="AR871" s="1">
        <v>0</v>
      </c>
      <c r="AS871" s="1">
        <v>0</v>
      </c>
      <c r="AT871" s="1">
        <v>0</v>
      </c>
      <c r="AU871" s="1">
        <v>0</v>
      </c>
      <c r="AV871" s="1">
        <v>0</v>
      </c>
      <c r="AW871" s="1">
        <v>0</v>
      </c>
      <c r="AX871" s="1">
        <v>0</v>
      </c>
      <c r="AY871" s="1">
        <v>0</v>
      </c>
      <c r="AZ871" s="1">
        <v>1</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2" t="str">
        <f>HYPERLINK("http://www.d20pfsrd.com/magic/all-spells/s/stone-call","Stone Call")</f>
        <v>Stone Call</v>
      </c>
      <c r="BR871" s="1">
        <v>893</v>
      </c>
      <c r="BS871" s="1" t="s">
        <v>104</v>
      </c>
      <c r="BU871" s="1" t="s">
        <v>5520</v>
      </c>
      <c r="BX871" s="1">
        <v>0</v>
      </c>
      <c r="BY871" s="1">
        <v>2</v>
      </c>
      <c r="BZ871" s="1" t="s">
        <v>104</v>
      </c>
      <c r="CA871" s="1" t="s">
        <v>104</v>
      </c>
      <c r="CB871" s="1" t="s">
        <v>104</v>
      </c>
      <c r="CC871" s="1" t="s">
        <v>104</v>
      </c>
      <c r="CD871" s="1" t="s">
        <v>104</v>
      </c>
      <c r="CE871" s="1" t="s">
        <v>104</v>
      </c>
      <c r="CF871" s="1" t="s">
        <v>104</v>
      </c>
      <c r="CG871" s="1" t="s">
        <v>104</v>
      </c>
      <c r="CH871" s="1">
        <v>2</v>
      </c>
      <c r="CJ871" s="1">
        <v>0</v>
      </c>
      <c r="CK871" s="1">
        <v>0</v>
      </c>
      <c r="CL871" s="1">
        <v>0</v>
      </c>
      <c r="CM871" s="1" t="s">
        <v>104</v>
      </c>
    </row>
    <row r="872" spans="1:91" ht="14.25" customHeight="1" x14ac:dyDescent="0.3">
      <c r="A872" s="1" t="s">
        <v>5521</v>
      </c>
      <c r="B872" s="1" t="s">
        <v>137</v>
      </c>
      <c r="D872" s="1" t="s">
        <v>51</v>
      </c>
      <c r="E872" s="1" t="s">
        <v>5522</v>
      </c>
      <c r="F872" s="1" t="s">
        <v>95</v>
      </c>
      <c r="G872" s="1" t="s">
        <v>5523</v>
      </c>
      <c r="H872" s="1">
        <v>0</v>
      </c>
      <c r="I872" s="1" t="s">
        <v>157</v>
      </c>
      <c r="L872" s="1" t="s">
        <v>158</v>
      </c>
      <c r="M872" s="1" t="s">
        <v>4641</v>
      </c>
      <c r="N872" s="1">
        <v>1</v>
      </c>
      <c r="O872" s="1">
        <v>0</v>
      </c>
      <c r="R872" s="1" t="s">
        <v>5524</v>
      </c>
      <c r="S872" s="1" t="s">
        <v>4403</v>
      </c>
      <c r="T872" s="1">
        <v>1</v>
      </c>
      <c r="U872" s="1">
        <v>1</v>
      </c>
      <c r="V872" s="1">
        <v>1</v>
      </c>
      <c r="W872" s="1">
        <v>0</v>
      </c>
      <c r="X872" s="1">
        <v>0</v>
      </c>
      <c r="Y872" s="1">
        <v>1</v>
      </c>
      <c r="Z872" s="1">
        <v>1</v>
      </c>
      <c r="AA872" s="1" t="s">
        <v>104</v>
      </c>
      <c r="AB872" s="1">
        <v>1</v>
      </c>
      <c r="AC872" s="1" t="s">
        <v>104</v>
      </c>
      <c r="AD872" s="1" t="s">
        <v>104</v>
      </c>
      <c r="AE872" s="1" t="s">
        <v>104</v>
      </c>
      <c r="AF872" s="1">
        <v>1</v>
      </c>
      <c r="AG872" s="1" t="s">
        <v>104</v>
      </c>
      <c r="AH872" s="1" t="s">
        <v>104</v>
      </c>
      <c r="AI872" s="1" t="s">
        <v>104</v>
      </c>
      <c r="AJ872" s="1" t="s">
        <v>104</v>
      </c>
      <c r="AK872" s="1" t="s">
        <v>104</v>
      </c>
      <c r="AL872" s="1">
        <v>1</v>
      </c>
      <c r="AM872" s="1" t="s">
        <v>104</v>
      </c>
      <c r="AO872" s="1">
        <v>1</v>
      </c>
      <c r="AQ872" s="1" t="s">
        <v>5525</v>
      </c>
      <c r="AR872" s="1">
        <v>0</v>
      </c>
      <c r="AS872" s="1">
        <v>0</v>
      </c>
      <c r="AT872" s="1">
        <v>0</v>
      </c>
      <c r="AU872" s="1">
        <v>0</v>
      </c>
      <c r="AV872" s="1">
        <v>0</v>
      </c>
      <c r="AW872" s="1">
        <v>0</v>
      </c>
      <c r="AX872" s="1">
        <v>0</v>
      </c>
      <c r="AY872" s="1">
        <v>0</v>
      </c>
      <c r="AZ872" s="1">
        <v>1</v>
      </c>
      <c r="BA872" s="1">
        <v>0</v>
      </c>
      <c r="BB872" s="1">
        <v>0</v>
      </c>
      <c r="BC872" s="1">
        <v>0</v>
      </c>
      <c r="BD872" s="1">
        <v>0</v>
      </c>
      <c r="BE872" s="1">
        <v>0</v>
      </c>
      <c r="BF872" s="1">
        <v>0</v>
      </c>
      <c r="BG872" s="1">
        <v>0</v>
      </c>
      <c r="BH872" s="1">
        <v>0</v>
      </c>
      <c r="BI872" s="1">
        <v>0</v>
      </c>
      <c r="BJ872" s="1">
        <v>0</v>
      </c>
      <c r="BK872" s="1">
        <v>0</v>
      </c>
      <c r="BL872" s="1">
        <v>0</v>
      </c>
      <c r="BM872" s="1">
        <v>0</v>
      </c>
      <c r="BN872" s="1">
        <v>0</v>
      </c>
      <c r="BO872" s="1">
        <v>0</v>
      </c>
      <c r="BP872" s="1">
        <v>0</v>
      </c>
      <c r="BQ872" s="2" t="str">
        <f>HYPERLINK("http://www.d20pfsrd.com/magic/all-spells/s/stone-fist","Stone Fist")</f>
        <v>Stone Fist</v>
      </c>
      <c r="BR872" s="1">
        <v>894</v>
      </c>
      <c r="BS872" s="1" t="s">
        <v>104</v>
      </c>
      <c r="BU872" s="1" t="s">
        <v>5526</v>
      </c>
      <c r="BX872" s="1">
        <v>0</v>
      </c>
      <c r="BY872" s="1">
        <v>1</v>
      </c>
      <c r="BZ872" s="1" t="s">
        <v>104</v>
      </c>
      <c r="CA872" s="1" t="s">
        <v>104</v>
      </c>
      <c r="CB872" s="1" t="s">
        <v>104</v>
      </c>
      <c r="CC872" s="1" t="s">
        <v>104</v>
      </c>
      <c r="CD872" s="1" t="s">
        <v>104</v>
      </c>
      <c r="CE872" s="1" t="s">
        <v>104</v>
      </c>
      <c r="CF872" s="1" t="s">
        <v>104</v>
      </c>
      <c r="CG872" s="1" t="s">
        <v>104</v>
      </c>
      <c r="CH872" s="1">
        <v>1</v>
      </c>
      <c r="CJ872" s="1">
        <v>0</v>
      </c>
      <c r="CK872" s="1">
        <v>0</v>
      </c>
      <c r="CL872" s="1">
        <v>0</v>
      </c>
      <c r="CM872" s="1" t="s">
        <v>104</v>
      </c>
    </row>
    <row r="873" spans="1:91" ht="14.25" customHeight="1" x14ac:dyDescent="0.3">
      <c r="A873" s="1" t="s">
        <v>5527</v>
      </c>
      <c r="B873" s="1" t="s">
        <v>434</v>
      </c>
      <c r="D873" s="1" t="s">
        <v>52</v>
      </c>
      <c r="E873" s="1" t="s">
        <v>5528</v>
      </c>
      <c r="F873" s="1" t="s">
        <v>95</v>
      </c>
      <c r="G873" s="1" t="s">
        <v>5529</v>
      </c>
      <c r="H873" s="1">
        <v>0</v>
      </c>
      <c r="I873" s="1" t="s">
        <v>914</v>
      </c>
      <c r="J873" s="1" t="s">
        <v>5530</v>
      </c>
      <c r="M873" s="1" t="s">
        <v>119</v>
      </c>
      <c r="N873" s="1">
        <v>0</v>
      </c>
      <c r="O873" s="1">
        <v>0</v>
      </c>
      <c r="P873" s="1" t="s">
        <v>1080</v>
      </c>
      <c r="Q873" s="1" t="s">
        <v>184</v>
      </c>
      <c r="R873" s="1" t="s">
        <v>5531</v>
      </c>
      <c r="S873" s="1" t="s">
        <v>4403</v>
      </c>
      <c r="T873" s="1">
        <v>1</v>
      </c>
      <c r="U873" s="1">
        <v>1</v>
      </c>
      <c r="V873" s="1">
        <v>1</v>
      </c>
      <c r="W873" s="1">
        <v>0</v>
      </c>
      <c r="X873" s="1">
        <v>1</v>
      </c>
      <c r="Y873" s="1">
        <v>8</v>
      </c>
      <c r="Z873" s="1">
        <v>8</v>
      </c>
      <c r="AA873" s="1">
        <v>8</v>
      </c>
      <c r="AB873" s="1">
        <v>8</v>
      </c>
      <c r="AC873" s="1" t="s">
        <v>104</v>
      </c>
      <c r="AD873" s="1" t="s">
        <v>104</v>
      </c>
      <c r="AE873" s="1" t="s">
        <v>104</v>
      </c>
      <c r="AF873" s="1" t="s">
        <v>104</v>
      </c>
      <c r="AG873" s="1" t="s">
        <v>104</v>
      </c>
      <c r="AH873" s="1">
        <v>8</v>
      </c>
      <c r="AI873" s="1" t="s">
        <v>104</v>
      </c>
      <c r="AJ873" s="1">
        <v>8</v>
      </c>
      <c r="AK873" s="1" t="s">
        <v>104</v>
      </c>
      <c r="AL873" s="1" t="s">
        <v>104</v>
      </c>
      <c r="AM873" s="1" t="s">
        <v>104</v>
      </c>
      <c r="AO873" s="1">
        <v>8</v>
      </c>
      <c r="AQ873" s="1" t="s">
        <v>5532</v>
      </c>
      <c r="AR873" s="1">
        <v>0</v>
      </c>
      <c r="AS873" s="1">
        <v>0</v>
      </c>
      <c r="AT873" s="1">
        <v>0</v>
      </c>
      <c r="AU873" s="1">
        <v>0</v>
      </c>
      <c r="AV873" s="1">
        <v>0</v>
      </c>
      <c r="AW873" s="1">
        <v>0</v>
      </c>
      <c r="AX873" s="1">
        <v>0</v>
      </c>
      <c r="AY873" s="1">
        <v>0</v>
      </c>
      <c r="AZ873" s="1">
        <v>0</v>
      </c>
      <c r="BA873" s="1">
        <v>1</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2" t="str">
        <f>HYPERLINK("http://www.d20pfsrd.com/magic/all-spells/s/stormbolts","Stormbolts")</f>
        <v>Stormbolts</v>
      </c>
      <c r="BR873" s="1">
        <v>896</v>
      </c>
      <c r="BS873" s="1" t="s">
        <v>104</v>
      </c>
      <c r="BX873" s="1">
        <v>0</v>
      </c>
      <c r="BY873" s="1" t="s">
        <v>104</v>
      </c>
      <c r="BZ873" s="1">
        <v>8</v>
      </c>
      <c r="CA873" s="1" t="s">
        <v>104</v>
      </c>
      <c r="CB873" s="1" t="s">
        <v>104</v>
      </c>
      <c r="CC873" s="1" t="s">
        <v>104</v>
      </c>
      <c r="CD873" s="1" t="s">
        <v>104</v>
      </c>
      <c r="CE873" s="1" t="s">
        <v>104</v>
      </c>
      <c r="CF873" s="1" t="s">
        <v>104</v>
      </c>
      <c r="CG873" s="1" t="s">
        <v>104</v>
      </c>
      <c r="CH873" s="1" t="s">
        <v>104</v>
      </c>
      <c r="CJ873" s="1">
        <v>0</v>
      </c>
      <c r="CK873" s="1">
        <v>0</v>
      </c>
      <c r="CL873" s="1">
        <v>0</v>
      </c>
      <c r="CM873" s="1" t="s">
        <v>104</v>
      </c>
    </row>
    <row r="874" spans="1:91" ht="14.25" customHeight="1" x14ac:dyDescent="0.3">
      <c r="A874" s="1" t="s">
        <v>5533</v>
      </c>
      <c r="B874" s="1" t="s">
        <v>137</v>
      </c>
      <c r="E874" s="1" t="s">
        <v>4299</v>
      </c>
      <c r="F874" s="1" t="s">
        <v>95</v>
      </c>
      <c r="G874" s="1" t="s">
        <v>116</v>
      </c>
      <c r="H874" s="1">
        <v>0</v>
      </c>
      <c r="I874" s="1" t="s">
        <v>128</v>
      </c>
      <c r="L874" s="1" t="s">
        <v>374</v>
      </c>
      <c r="M874" s="1" t="s">
        <v>2330</v>
      </c>
      <c r="N874" s="1">
        <v>0</v>
      </c>
      <c r="O874" s="1">
        <v>0</v>
      </c>
      <c r="P874" s="1" t="s">
        <v>1058</v>
      </c>
      <c r="Q874" s="1" t="s">
        <v>131</v>
      </c>
      <c r="R874" s="1" t="s">
        <v>5534</v>
      </c>
      <c r="S874" s="1" t="s">
        <v>4403</v>
      </c>
      <c r="T874" s="1">
        <v>1</v>
      </c>
      <c r="U874" s="1">
        <v>1</v>
      </c>
      <c r="V874" s="1">
        <v>0</v>
      </c>
      <c r="W874" s="1">
        <v>0</v>
      </c>
      <c r="X874" s="1">
        <v>0</v>
      </c>
      <c r="Y874" s="1" t="s">
        <v>104</v>
      </c>
      <c r="Z874" s="1" t="s">
        <v>104</v>
      </c>
      <c r="AA874" s="1" t="s">
        <v>104</v>
      </c>
      <c r="AB874" s="1">
        <v>4</v>
      </c>
      <c r="AC874" s="1">
        <v>3</v>
      </c>
      <c r="AD874" s="1" t="s">
        <v>104</v>
      </c>
      <c r="AE874" s="1" t="s">
        <v>104</v>
      </c>
      <c r="AF874" s="1" t="s">
        <v>104</v>
      </c>
      <c r="AG874" s="1" t="s">
        <v>104</v>
      </c>
      <c r="AH874" s="1" t="s">
        <v>104</v>
      </c>
      <c r="AI874" s="1" t="s">
        <v>104</v>
      </c>
      <c r="AJ874" s="1" t="s">
        <v>104</v>
      </c>
      <c r="AK874" s="1" t="s">
        <v>104</v>
      </c>
      <c r="AL874" s="1" t="s">
        <v>104</v>
      </c>
      <c r="AM874" s="1" t="s">
        <v>104</v>
      </c>
      <c r="AO874" s="1">
        <v>4</v>
      </c>
      <c r="AQ874" s="1" t="s">
        <v>5535</v>
      </c>
      <c r="AR874" s="1">
        <v>0</v>
      </c>
      <c r="AS874" s="1">
        <v>0</v>
      </c>
      <c r="AT874" s="1">
        <v>0</v>
      </c>
      <c r="AU874" s="1">
        <v>0</v>
      </c>
      <c r="AV874" s="1">
        <v>0</v>
      </c>
      <c r="AW874" s="1">
        <v>0</v>
      </c>
      <c r="AX874" s="1">
        <v>0</v>
      </c>
      <c r="AY874" s="1">
        <v>0</v>
      </c>
      <c r="AZ874" s="1">
        <v>0</v>
      </c>
      <c r="BA874" s="1">
        <v>0</v>
      </c>
      <c r="BB874" s="1">
        <v>0</v>
      </c>
      <c r="BC874" s="1">
        <v>0</v>
      </c>
      <c r="BD874" s="1">
        <v>0</v>
      </c>
      <c r="BE874" s="1">
        <v>0</v>
      </c>
      <c r="BF874" s="1">
        <v>0</v>
      </c>
      <c r="BG874" s="1">
        <v>0</v>
      </c>
      <c r="BH874" s="1">
        <v>0</v>
      </c>
      <c r="BI874" s="1">
        <v>0</v>
      </c>
      <c r="BJ874" s="1">
        <v>0</v>
      </c>
      <c r="BK874" s="1">
        <v>0</v>
      </c>
      <c r="BL874" s="1">
        <v>0</v>
      </c>
      <c r="BM874" s="1">
        <v>0</v>
      </c>
      <c r="BN874" s="1">
        <v>0</v>
      </c>
      <c r="BO874" s="1">
        <v>0</v>
      </c>
      <c r="BP874" s="1">
        <v>0</v>
      </c>
      <c r="BQ874" s="2" t="str">
        <f>HYPERLINK("http://www.d20pfsrd.com/magic/all-spells/s/strong-jaw","Strong Jaw")</f>
        <v>Strong Jaw</v>
      </c>
      <c r="BR874" s="1">
        <v>897</v>
      </c>
      <c r="BS874" s="1" t="s">
        <v>104</v>
      </c>
      <c r="BX874" s="1">
        <v>0</v>
      </c>
      <c r="BY874" s="1" t="s">
        <v>104</v>
      </c>
      <c r="BZ874" s="1" t="s">
        <v>104</v>
      </c>
      <c r="CA874" s="1" t="s">
        <v>104</v>
      </c>
      <c r="CB874" s="1" t="s">
        <v>104</v>
      </c>
      <c r="CC874" s="1" t="s">
        <v>104</v>
      </c>
      <c r="CD874" s="1" t="s">
        <v>104</v>
      </c>
      <c r="CE874" s="1" t="s">
        <v>104</v>
      </c>
      <c r="CF874" s="1" t="s">
        <v>104</v>
      </c>
      <c r="CG874" s="1" t="s">
        <v>104</v>
      </c>
      <c r="CH874" s="1">
        <v>3</v>
      </c>
      <c r="CJ874" s="1">
        <v>0</v>
      </c>
      <c r="CK874" s="1">
        <v>0</v>
      </c>
      <c r="CL874" s="1">
        <v>0</v>
      </c>
      <c r="CM874" s="1" t="s">
        <v>104</v>
      </c>
    </row>
    <row r="875" spans="1:91" ht="14.25" customHeight="1" x14ac:dyDescent="0.3">
      <c r="A875" s="1" t="s">
        <v>5536</v>
      </c>
      <c r="B875" s="1" t="s">
        <v>92</v>
      </c>
      <c r="C875" s="1" t="s">
        <v>93</v>
      </c>
      <c r="E875" s="1" t="s">
        <v>5537</v>
      </c>
      <c r="F875" s="1" t="s">
        <v>95</v>
      </c>
      <c r="G875" s="1" t="s">
        <v>4713</v>
      </c>
      <c r="H875" s="1">
        <v>1</v>
      </c>
      <c r="I875" s="1" t="s">
        <v>117</v>
      </c>
      <c r="K875" s="1" t="s">
        <v>145</v>
      </c>
      <c r="M875" s="1" t="s">
        <v>4414</v>
      </c>
      <c r="N875" s="1">
        <v>0</v>
      </c>
      <c r="O875" s="1">
        <v>0</v>
      </c>
      <c r="P875" s="1" t="s">
        <v>3552</v>
      </c>
      <c r="Q875" s="1" t="s">
        <v>101</v>
      </c>
      <c r="R875" s="1" t="s">
        <v>5538</v>
      </c>
      <c r="S875" s="1" t="s">
        <v>4403</v>
      </c>
      <c r="T875" s="1">
        <v>1</v>
      </c>
      <c r="U875" s="1">
        <v>1</v>
      </c>
      <c r="V875" s="1">
        <v>0</v>
      </c>
      <c r="W875" s="1">
        <v>0</v>
      </c>
      <c r="X875" s="1">
        <v>0</v>
      </c>
      <c r="Y875" s="1">
        <v>1</v>
      </c>
      <c r="Z875" s="1">
        <v>1</v>
      </c>
      <c r="AA875" s="1" t="s">
        <v>104</v>
      </c>
      <c r="AB875" s="1" t="s">
        <v>104</v>
      </c>
      <c r="AC875" s="1" t="s">
        <v>104</v>
      </c>
      <c r="AD875" s="1" t="s">
        <v>104</v>
      </c>
      <c r="AE875" s="1" t="s">
        <v>104</v>
      </c>
      <c r="AF875" s="1" t="s">
        <v>104</v>
      </c>
      <c r="AG875" s="1" t="s">
        <v>104</v>
      </c>
      <c r="AH875" s="1" t="s">
        <v>104</v>
      </c>
      <c r="AI875" s="1" t="s">
        <v>104</v>
      </c>
      <c r="AJ875" s="1" t="s">
        <v>104</v>
      </c>
      <c r="AK875" s="1" t="s">
        <v>104</v>
      </c>
      <c r="AL875" s="1" t="s">
        <v>104</v>
      </c>
      <c r="AM875" s="1" t="s">
        <v>104</v>
      </c>
      <c r="AO875" s="1">
        <v>1</v>
      </c>
      <c r="AQ875" s="1" t="s">
        <v>5539</v>
      </c>
      <c r="AR875" s="1">
        <v>0</v>
      </c>
      <c r="AS875" s="1">
        <v>0</v>
      </c>
      <c r="AT875" s="1">
        <v>0</v>
      </c>
      <c r="AU875" s="1">
        <v>0</v>
      </c>
      <c r="AV875" s="1">
        <v>0</v>
      </c>
      <c r="AW875" s="1">
        <v>0</v>
      </c>
      <c r="AX875" s="1">
        <v>0</v>
      </c>
      <c r="AY875" s="1">
        <v>0</v>
      </c>
      <c r="AZ875" s="1">
        <v>0</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2" t="str">
        <f>HYPERLINK("http://www.d20pfsrd.com/magic/all-spells/s/stumble-gap","Stumble Gap")</f>
        <v>Stumble Gap</v>
      </c>
      <c r="BR875" s="1">
        <v>898</v>
      </c>
      <c r="BS875" s="1">
        <v>10</v>
      </c>
      <c r="BX875" s="1">
        <v>0</v>
      </c>
      <c r="BY875" s="1" t="s">
        <v>104</v>
      </c>
      <c r="BZ875" s="1" t="s">
        <v>104</v>
      </c>
      <c r="CA875" s="1" t="s">
        <v>104</v>
      </c>
      <c r="CB875" s="1" t="s">
        <v>104</v>
      </c>
      <c r="CC875" s="1" t="s">
        <v>104</v>
      </c>
      <c r="CD875" s="1" t="s">
        <v>104</v>
      </c>
      <c r="CE875" s="1" t="s">
        <v>104</v>
      </c>
      <c r="CF875" s="1" t="s">
        <v>104</v>
      </c>
      <c r="CG875" s="1" t="s">
        <v>104</v>
      </c>
      <c r="CH875" s="1" t="s">
        <v>104</v>
      </c>
      <c r="CJ875" s="1">
        <v>0</v>
      </c>
      <c r="CK875" s="1">
        <v>0</v>
      </c>
      <c r="CL875" s="1">
        <v>0</v>
      </c>
      <c r="CM875" s="1" t="s">
        <v>104</v>
      </c>
    </row>
    <row r="876" spans="1:91" ht="14.25" customHeight="1" x14ac:dyDescent="0.3">
      <c r="A876" s="1" t="s">
        <v>5540</v>
      </c>
      <c r="B876" s="1" t="s">
        <v>123</v>
      </c>
      <c r="C876" s="1" t="s">
        <v>124</v>
      </c>
      <c r="D876" s="1" t="s">
        <v>125</v>
      </c>
      <c r="E876" s="1" t="s">
        <v>4490</v>
      </c>
      <c r="F876" s="1" t="s">
        <v>95</v>
      </c>
      <c r="G876" s="1" t="s">
        <v>116</v>
      </c>
      <c r="H876" s="1">
        <v>0</v>
      </c>
      <c r="I876" s="1" t="s">
        <v>117</v>
      </c>
      <c r="L876" s="1" t="s">
        <v>4741</v>
      </c>
      <c r="M876" s="1" t="s">
        <v>255</v>
      </c>
      <c r="N876" s="1">
        <v>0</v>
      </c>
      <c r="O876" s="1">
        <v>0</v>
      </c>
      <c r="P876" s="1" t="s">
        <v>712</v>
      </c>
      <c r="Q876" s="1" t="s">
        <v>184</v>
      </c>
      <c r="R876" s="1" t="s">
        <v>5541</v>
      </c>
      <c r="S876" s="1" t="s">
        <v>4403</v>
      </c>
      <c r="T876" s="1">
        <v>1</v>
      </c>
      <c r="U876" s="1">
        <v>1</v>
      </c>
      <c r="V876" s="1">
        <v>0</v>
      </c>
      <c r="W876" s="1">
        <v>0</v>
      </c>
      <c r="X876" s="1">
        <v>0</v>
      </c>
      <c r="Y876" s="1" t="s">
        <v>104</v>
      </c>
      <c r="Z876" s="1" t="s">
        <v>104</v>
      </c>
      <c r="AA876" s="1" t="s">
        <v>104</v>
      </c>
      <c r="AB876" s="1" t="s">
        <v>104</v>
      </c>
      <c r="AC876" s="1" t="s">
        <v>104</v>
      </c>
      <c r="AD876" s="1">
        <v>5</v>
      </c>
      <c r="AE876" s="1" t="s">
        <v>104</v>
      </c>
      <c r="AF876" s="1" t="s">
        <v>104</v>
      </c>
      <c r="AG876" s="1" t="s">
        <v>104</v>
      </c>
      <c r="AH876" s="1" t="s">
        <v>104</v>
      </c>
      <c r="AI876" s="1" t="s">
        <v>104</v>
      </c>
      <c r="AJ876" s="1" t="s">
        <v>104</v>
      </c>
      <c r="AK876" s="1" t="s">
        <v>104</v>
      </c>
      <c r="AL876" s="1" t="s">
        <v>104</v>
      </c>
      <c r="AM876" s="1" t="s">
        <v>104</v>
      </c>
      <c r="AO876" s="1">
        <v>5</v>
      </c>
      <c r="AQ876" s="1" t="s">
        <v>5542</v>
      </c>
      <c r="AR876" s="1">
        <v>0</v>
      </c>
      <c r="AS876" s="1">
        <v>0</v>
      </c>
      <c r="AT876" s="1">
        <v>0</v>
      </c>
      <c r="AU876" s="1">
        <v>0</v>
      </c>
      <c r="AV876" s="1">
        <v>0</v>
      </c>
      <c r="AW876" s="1">
        <v>0</v>
      </c>
      <c r="AX876" s="1">
        <v>0</v>
      </c>
      <c r="AY876" s="1">
        <v>0</v>
      </c>
      <c r="AZ876" s="1">
        <v>0</v>
      </c>
      <c r="BA876" s="1">
        <v>0</v>
      </c>
      <c r="BB876" s="1">
        <v>0</v>
      </c>
      <c r="BC876" s="1">
        <v>0</v>
      </c>
      <c r="BD876" s="1">
        <v>0</v>
      </c>
      <c r="BE876" s="1">
        <v>0</v>
      </c>
      <c r="BF876" s="1">
        <v>0</v>
      </c>
      <c r="BG876" s="1">
        <v>0</v>
      </c>
      <c r="BH876" s="1">
        <v>0</v>
      </c>
      <c r="BI876" s="1">
        <v>0</v>
      </c>
      <c r="BJ876" s="1">
        <v>0</v>
      </c>
      <c r="BK876" s="1">
        <v>1</v>
      </c>
      <c r="BL876" s="1">
        <v>0</v>
      </c>
      <c r="BM876" s="1">
        <v>0</v>
      </c>
      <c r="BN876" s="1">
        <v>0</v>
      </c>
      <c r="BO876" s="1">
        <v>0</v>
      </c>
      <c r="BP876" s="1">
        <v>0</v>
      </c>
      <c r="BQ876" s="2" t="str">
        <f>HYPERLINK("http://www.d20pfsrd.com/magic/all-spells/s/stunning-finale","Stunning Finale")</f>
        <v>Stunning Finale</v>
      </c>
      <c r="BR876" s="1">
        <v>899</v>
      </c>
      <c r="BS876" s="1" t="s">
        <v>104</v>
      </c>
      <c r="BX876" s="1">
        <v>0</v>
      </c>
      <c r="BY876" s="1" t="s">
        <v>104</v>
      </c>
      <c r="BZ876" s="1" t="s">
        <v>104</v>
      </c>
      <c r="CA876" s="1" t="s">
        <v>104</v>
      </c>
      <c r="CB876" s="1" t="s">
        <v>104</v>
      </c>
      <c r="CC876" s="1" t="s">
        <v>104</v>
      </c>
      <c r="CD876" s="1" t="s">
        <v>104</v>
      </c>
      <c r="CE876" s="1" t="s">
        <v>104</v>
      </c>
      <c r="CF876" s="1" t="s">
        <v>104</v>
      </c>
      <c r="CG876" s="1" t="s">
        <v>104</v>
      </c>
      <c r="CH876" s="1" t="s">
        <v>104</v>
      </c>
      <c r="CJ876" s="1">
        <v>0</v>
      </c>
      <c r="CK876" s="1">
        <v>0</v>
      </c>
      <c r="CL876" s="1">
        <v>0</v>
      </c>
      <c r="CM876" s="1" t="s">
        <v>104</v>
      </c>
    </row>
    <row r="877" spans="1:91" ht="14.25" customHeight="1" x14ac:dyDescent="0.3">
      <c r="A877" s="1" t="s">
        <v>5543</v>
      </c>
      <c r="B877" s="1" t="s">
        <v>216</v>
      </c>
      <c r="E877" s="1" t="s">
        <v>5544</v>
      </c>
      <c r="F877" s="1" t="s">
        <v>95</v>
      </c>
      <c r="G877" s="1" t="s">
        <v>5545</v>
      </c>
      <c r="H877" s="1">
        <v>0</v>
      </c>
      <c r="I877" s="1" t="s">
        <v>117</v>
      </c>
      <c r="L877" s="1" t="s">
        <v>417</v>
      </c>
      <c r="M877" s="1" t="s">
        <v>1519</v>
      </c>
      <c r="N877" s="1">
        <v>0</v>
      </c>
      <c r="O877" s="1">
        <v>0</v>
      </c>
      <c r="P877" s="1" t="s">
        <v>1080</v>
      </c>
      <c r="Q877" s="1" t="s">
        <v>184</v>
      </c>
      <c r="R877" s="1" t="s">
        <v>5546</v>
      </c>
      <c r="S877" s="1" t="s">
        <v>4403</v>
      </c>
      <c r="T877" s="1">
        <v>1</v>
      </c>
      <c r="U877" s="1">
        <v>1</v>
      </c>
      <c r="V877" s="1">
        <v>1</v>
      </c>
      <c r="W877" s="1">
        <v>0</v>
      </c>
      <c r="X877" s="1">
        <v>0</v>
      </c>
      <c r="Y877" s="1">
        <v>5</v>
      </c>
      <c r="Z877" s="1">
        <v>5</v>
      </c>
      <c r="AA877" s="1" t="s">
        <v>104</v>
      </c>
      <c r="AB877" s="1" t="s">
        <v>104</v>
      </c>
      <c r="AC877" s="1" t="s">
        <v>104</v>
      </c>
      <c r="AD877" s="1" t="s">
        <v>104</v>
      </c>
      <c r="AE877" s="1" t="s">
        <v>104</v>
      </c>
      <c r="AF877" s="1" t="s">
        <v>104</v>
      </c>
      <c r="AG877" s="1" t="s">
        <v>104</v>
      </c>
      <c r="AH877" s="1">
        <v>5</v>
      </c>
      <c r="AI877" s="1" t="s">
        <v>104</v>
      </c>
      <c r="AJ877" s="1" t="s">
        <v>104</v>
      </c>
      <c r="AK877" s="1" t="s">
        <v>104</v>
      </c>
      <c r="AL877" s="1" t="s">
        <v>104</v>
      </c>
      <c r="AM877" s="1" t="s">
        <v>104</v>
      </c>
      <c r="AO877" s="1">
        <v>5</v>
      </c>
      <c r="AP877" s="1" t="s">
        <v>5547</v>
      </c>
      <c r="AQ877" s="1" t="s">
        <v>5548</v>
      </c>
      <c r="AR877" s="1">
        <v>0</v>
      </c>
      <c r="AS877" s="1">
        <v>0</v>
      </c>
      <c r="AT877" s="1">
        <v>0</v>
      </c>
      <c r="AU877" s="1">
        <v>0</v>
      </c>
      <c r="AV877" s="1">
        <v>0</v>
      </c>
      <c r="AW877" s="1">
        <v>0</v>
      </c>
      <c r="AX877" s="1">
        <v>0</v>
      </c>
      <c r="AY877" s="1">
        <v>0</v>
      </c>
      <c r="AZ877" s="1">
        <v>0</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2" t="str">
        <f>HYPERLINK("http://www.d20pfsrd.com/magic/all-spells/s/suffocation","Suffocation")</f>
        <v>Suffocation</v>
      </c>
      <c r="BR877" s="1">
        <v>900</v>
      </c>
      <c r="BS877" s="1" t="s">
        <v>104</v>
      </c>
      <c r="BU877" s="1" t="s">
        <v>5549</v>
      </c>
      <c r="BX877" s="1">
        <v>0</v>
      </c>
      <c r="BY877" s="1" t="s">
        <v>104</v>
      </c>
      <c r="BZ877" s="1" t="s">
        <v>104</v>
      </c>
      <c r="CA877" s="1">
        <v>5</v>
      </c>
      <c r="CB877" s="1" t="s">
        <v>104</v>
      </c>
      <c r="CC877" s="1" t="s">
        <v>104</v>
      </c>
      <c r="CD877" s="1">
        <v>5</v>
      </c>
      <c r="CE877" s="1">
        <v>5</v>
      </c>
      <c r="CF877" s="1" t="s">
        <v>104</v>
      </c>
      <c r="CG877" s="1" t="s">
        <v>104</v>
      </c>
      <c r="CH877" s="1" t="s">
        <v>104</v>
      </c>
      <c r="CJ877" s="1">
        <v>0</v>
      </c>
      <c r="CK877" s="1">
        <v>0</v>
      </c>
      <c r="CL877" s="1">
        <v>0</v>
      </c>
      <c r="CM877" s="1" t="s">
        <v>104</v>
      </c>
    </row>
    <row r="878" spans="1:91" ht="14.25" customHeight="1" x14ac:dyDescent="0.3">
      <c r="A878" s="1" t="s">
        <v>5550</v>
      </c>
      <c r="B878" s="1" t="s">
        <v>216</v>
      </c>
      <c r="E878" s="1" t="s">
        <v>2007</v>
      </c>
      <c r="F878" s="1" t="s">
        <v>95</v>
      </c>
      <c r="G878" s="1" t="s">
        <v>5545</v>
      </c>
      <c r="H878" s="1">
        <v>0</v>
      </c>
      <c r="I878" s="1" t="s">
        <v>117</v>
      </c>
      <c r="L878" s="1" t="s">
        <v>5551</v>
      </c>
      <c r="M878" s="1" t="s">
        <v>111</v>
      </c>
      <c r="N878" s="1">
        <v>0</v>
      </c>
      <c r="O878" s="1">
        <v>0</v>
      </c>
      <c r="P878" s="1" t="s">
        <v>1080</v>
      </c>
      <c r="Q878" s="1" t="s">
        <v>184</v>
      </c>
      <c r="R878" s="1" t="s">
        <v>5552</v>
      </c>
      <c r="S878" s="1" t="s">
        <v>4403</v>
      </c>
      <c r="T878" s="1">
        <v>1</v>
      </c>
      <c r="U878" s="1">
        <v>1</v>
      </c>
      <c r="V878" s="1">
        <v>1</v>
      </c>
      <c r="W878" s="1">
        <v>0</v>
      </c>
      <c r="X878" s="1">
        <v>0</v>
      </c>
      <c r="Y878" s="1">
        <v>9</v>
      </c>
      <c r="Z878" s="1">
        <v>9</v>
      </c>
      <c r="AA878" s="1" t="s">
        <v>104</v>
      </c>
      <c r="AB878" s="1" t="s">
        <v>104</v>
      </c>
      <c r="AC878" s="1" t="s">
        <v>104</v>
      </c>
      <c r="AD878" s="1" t="s">
        <v>104</v>
      </c>
      <c r="AE878" s="1" t="s">
        <v>104</v>
      </c>
      <c r="AF878" s="1" t="s">
        <v>104</v>
      </c>
      <c r="AG878" s="1" t="s">
        <v>104</v>
      </c>
      <c r="AH878" s="1">
        <v>9</v>
      </c>
      <c r="AI878" s="1" t="s">
        <v>104</v>
      </c>
      <c r="AJ878" s="1" t="s">
        <v>104</v>
      </c>
      <c r="AK878" s="1" t="s">
        <v>104</v>
      </c>
      <c r="AL878" s="1" t="s">
        <v>104</v>
      </c>
      <c r="AM878" s="1" t="s">
        <v>104</v>
      </c>
      <c r="AO878" s="1">
        <v>9</v>
      </c>
      <c r="AP878" s="1" t="s">
        <v>5553</v>
      </c>
      <c r="AQ878" s="1" t="s">
        <v>5554</v>
      </c>
      <c r="AR878" s="1">
        <v>0</v>
      </c>
      <c r="AS878" s="1">
        <v>0</v>
      </c>
      <c r="AT878" s="1">
        <v>0</v>
      </c>
      <c r="AU878" s="1">
        <v>0</v>
      </c>
      <c r="AV878" s="1">
        <v>0</v>
      </c>
      <c r="AW878" s="1">
        <v>0</v>
      </c>
      <c r="AX878" s="1">
        <v>0</v>
      </c>
      <c r="AY878" s="1">
        <v>0</v>
      </c>
      <c r="AZ878" s="1">
        <v>0</v>
      </c>
      <c r="BA878" s="1">
        <v>0</v>
      </c>
      <c r="BB878" s="1">
        <v>0</v>
      </c>
      <c r="BC878" s="1">
        <v>0</v>
      </c>
      <c r="BD878" s="1">
        <v>0</v>
      </c>
      <c r="BE878" s="1">
        <v>0</v>
      </c>
      <c r="BF878" s="1">
        <v>0</v>
      </c>
      <c r="BG878" s="1">
        <v>0</v>
      </c>
      <c r="BH878" s="1">
        <v>0</v>
      </c>
      <c r="BI878" s="1">
        <v>0</v>
      </c>
      <c r="BJ878" s="1">
        <v>0</v>
      </c>
      <c r="BK878" s="1">
        <v>0</v>
      </c>
      <c r="BL878" s="1">
        <v>0</v>
      </c>
      <c r="BM878" s="1">
        <v>0</v>
      </c>
      <c r="BN878" s="1">
        <v>0</v>
      </c>
      <c r="BO878" s="1">
        <v>0</v>
      </c>
      <c r="BP878" s="1">
        <v>0</v>
      </c>
      <c r="BQ878" s="2" t="str">
        <f>HYPERLINK("http://www.d20pfsrd.com/magic/all-spells/s/suffocation,-mass","Suffocation, Mass")</f>
        <v>Suffocation, Mass</v>
      </c>
      <c r="BR878" s="1">
        <v>901</v>
      </c>
      <c r="BS878" s="1" t="s">
        <v>104</v>
      </c>
      <c r="BX878" s="1">
        <v>0</v>
      </c>
      <c r="BY878" s="1" t="s">
        <v>104</v>
      </c>
      <c r="BZ878" s="1" t="s">
        <v>104</v>
      </c>
      <c r="CA878" s="1">
        <v>9</v>
      </c>
      <c r="CB878" s="1" t="s">
        <v>104</v>
      </c>
      <c r="CC878" s="1" t="s">
        <v>104</v>
      </c>
      <c r="CD878" s="1" t="s">
        <v>104</v>
      </c>
      <c r="CE878" s="1" t="s">
        <v>104</v>
      </c>
      <c r="CF878" s="1" t="s">
        <v>104</v>
      </c>
      <c r="CG878" s="1" t="s">
        <v>104</v>
      </c>
      <c r="CH878" s="1" t="s">
        <v>104</v>
      </c>
      <c r="CJ878" s="1">
        <v>0</v>
      </c>
      <c r="CK878" s="1">
        <v>0</v>
      </c>
      <c r="CL878" s="1">
        <v>0</v>
      </c>
      <c r="CM878" s="1" t="s">
        <v>104</v>
      </c>
    </row>
    <row r="879" spans="1:91" ht="14.25" customHeight="1" x14ac:dyDescent="0.3">
      <c r="A879" s="1" t="s">
        <v>5555</v>
      </c>
      <c r="B879" s="1" t="s">
        <v>92</v>
      </c>
      <c r="C879" s="1" t="s">
        <v>903</v>
      </c>
      <c r="E879" s="1" t="s">
        <v>4873</v>
      </c>
      <c r="F879" s="1" t="s">
        <v>255</v>
      </c>
      <c r="G879" s="1" t="s">
        <v>5556</v>
      </c>
      <c r="H879" s="1">
        <v>0</v>
      </c>
      <c r="I879" s="1" t="s">
        <v>117</v>
      </c>
      <c r="L879" s="1" t="s">
        <v>4780</v>
      </c>
      <c r="M879" s="1" t="s">
        <v>4641</v>
      </c>
      <c r="N879" s="1">
        <v>1</v>
      </c>
      <c r="O879" s="1">
        <v>0</v>
      </c>
      <c r="P879" s="1" t="s">
        <v>100</v>
      </c>
      <c r="Q879" s="1" t="s">
        <v>101</v>
      </c>
      <c r="R879" s="1" t="s">
        <v>5557</v>
      </c>
      <c r="S879" s="1" t="s">
        <v>4403</v>
      </c>
      <c r="T879" s="1">
        <v>1</v>
      </c>
      <c r="U879" s="1">
        <v>1</v>
      </c>
      <c r="V879" s="1">
        <v>1</v>
      </c>
      <c r="W879" s="1">
        <v>0</v>
      </c>
      <c r="X879" s="1">
        <v>0</v>
      </c>
      <c r="Y879" s="1" t="s">
        <v>104</v>
      </c>
      <c r="Z879" s="1" t="s">
        <v>104</v>
      </c>
      <c r="AA879" s="1" t="s">
        <v>104</v>
      </c>
      <c r="AB879" s="1" t="s">
        <v>104</v>
      </c>
      <c r="AC879" s="1" t="s">
        <v>104</v>
      </c>
      <c r="AD879" s="1" t="s">
        <v>104</v>
      </c>
      <c r="AE879" s="1" t="s">
        <v>104</v>
      </c>
      <c r="AF879" s="1" t="s">
        <v>104</v>
      </c>
      <c r="AG879" s="1">
        <v>2</v>
      </c>
      <c r="AH879" s="1" t="s">
        <v>104</v>
      </c>
      <c r="AI879" s="1" t="s">
        <v>104</v>
      </c>
      <c r="AJ879" s="1" t="s">
        <v>104</v>
      </c>
      <c r="AK879" s="1" t="s">
        <v>104</v>
      </c>
      <c r="AL879" s="1" t="s">
        <v>104</v>
      </c>
      <c r="AM879" s="1" t="s">
        <v>104</v>
      </c>
      <c r="AO879" s="1">
        <v>2</v>
      </c>
      <c r="AQ879" s="1" t="s">
        <v>5558</v>
      </c>
      <c r="AR879" s="1">
        <v>0</v>
      </c>
      <c r="AS879" s="1">
        <v>0</v>
      </c>
      <c r="AT879" s="1">
        <v>0</v>
      </c>
      <c r="AU879" s="1">
        <v>0</v>
      </c>
      <c r="AV879" s="1">
        <v>0</v>
      </c>
      <c r="AW879" s="1">
        <v>0</v>
      </c>
      <c r="AX879" s="1">
        <v>0</v>
      </c>
      <c r="AY879" s="1">
        <v>0</v>
      </c>
      <c r="AZ879" s="1">
        <v>0</v>
      </c>
      <c r="BA879" s="1">
        <v>0</v>
      </c>
      <c r="BB879" s="1">
        <v>0</v>
      </c>
      <c r="BC879" s="1">
        <v>0</v>
      </c>
      <c r="BD879" s="1">
        <v>0</v>
      </c>
      <c r="BE879" s="1">
        <v>0</v>
      </c>
      <c r="BF879" s="1">
        <v>0</v>
      </c>
      <c r="BG879" s="1">
        <v>0</v>
      </c>
      <c r="BH879" s="1">
        <v>0</v>
      </c>
      <c r="BI879" s="1">
        <v>0</v>
      </c>
      <c r="BJ879" s="1">
        <v>0</v>
      </c>
      <c r="BK879" s="1">
        <v>0</v>
      </c>
      <c r="BL879" s="1">
        <v>0</v>
      </c>
      <c r="BM879" s="1">
        <v>0</v>
      </c>
      <c r="BN879" s="1">
        <v>0</v>
      </c>
      <c r="BO879" s="1">
        <v>0</v>
      </c>
      <c r="BP879" s="1">
        <v>0</v>
      </c>
      <c r="BQ879" s="2" t="str">
        <f>HYPERLINK("http://www.d20pfsrd.com/magic/all-spells/s/summon-eidolon","Summon Eidolon")</f>
        <v>Summon Eidolon</v>
      </c>
      <c r="BR879" s="1">
        <v>902</v>
      </c>
      <c r="BS879" s="1" t="s">
        <v>104</v>
      </c>
      <c r="BX879" s="1">
        <v>0</v>
      </c>
      <c r="BY879" s="1" t="s">
        <v>104</v>
      </c>
      <c r="BZ879" s="1" t="s">
        <v>104</v>
      </c>
      <c r="CA879" s="1" t="s">
        <v>104</v>
      </c>
      <c r="CB879" s="1" t="s">
        <v>104</v>
      </c>
      <c r="CC879" s="1" t="s">
        <v>104</v>
      </c>
      <c r="CD879" s="1" t="s">
        <v>104</v>
      </c>
      <c r="CE879" s="1" t="s">
        <v>104</v>
      </c>
      <c r="CF879" s="1" t="s">
        <v>104</v>
      </c>
      <c r="CG879" s="1" t="s">
        <v>104</v>
      </c>
      <c r="CH879" s="1" t="s">
        <v>104</v>
      </c>
      <c r="CJ879" s="1">
        <v>0</v>
      </c>
      <c r="CK879" s="1">
        <v>0</v>
      </c>
      <c r="CL879" s="1">
        <v>0</v>
      </c>
      <c r="CM879" s="1">
        <v>2</v>
      </c>
    </row>
    <row r="880" spans="1:91" ht="14.25" customHeight="1" x14ac:dyDescent="0.3">
      <c r="A880" s="1" t="s">
        <v>5559</v>
      </c>
      <c r="B880" s="1" t="s">
        <v>137</v>
      </c>
      <c r="E880" s="1" t="s">
        <v>5560</v>
      </c>
      <c r="F880" s="1" t="s">
        <v>95</v>
      </c>
      <c r="G880" s="1" t="s">
        <v>5561</v>
      </c>
      <c r="H880" s="1">
        <v>0</v>
      </c>
      <c r="I880" s="1" t="s">
        <v>157</v>
      </c>
      <c r="L880" s="1" t="s">
        <v>158</v>
      </c>
      <c r="M880" s="1" t="s">
        <v>145</v>
      </c>
      <c r="N880" s="1">
        <v>0</v>
      </c>
      <c r="O880" s="1">
        <v>0</v>
      </c>
      <c r="R880" s="1" t="s">
        <v>5562</v>
      </c>
      <c r="S880" s="1" t="s">
        <v>4403</v>
      </c>
      <c r="T880" s="1">
        <v>1</v>
      </c>
      <c r="U880" s="1">
        <v>1</v>
      </c>
      <c r="V880" s="1">
        <v>1</v>
      </c>
      <c r="W880" s="1">
        <v>0</v>
      </c>
      <c r="X880" s="1">
        <v>1</v>
      </c>
      <c r="Y880" s="1" t="s">
        <v>104</v>
      </c>
      <c r="Z880" s="1" t="s">
        <v>104</v>
      </c>
      <c r="AA880" s="1" t="s">
        <v>104</v>
      </c>
      <c r="AB880" s="1">
        <v>6</v>
      </c>
      <c r="AC880" s="1" t="s">
        <v>104</v>
      </c>
      <c r="AD880" s="1" t="s">
        <v>104</v>
      </c>
      <c r="AE880" s="1" t="s">
        <v>104</v>
      </c>
      <c r="AF880" s="1" t="s">
        <v>104</v>
      </c>
      <c r="AG880" s="1" t="s">
        <v>104</v>
      </c>
      <c r="AH880" s="1">
        <v>6</v>
      </c>
      <c r="AI880" s="1" t="s">
        <v>104</v>
      </c>
      <c r="AJ880" s="1" t="s">
        <v>104</v>
      </c>
      <c r="AK880" s="1" t="s">
        <v>104</v>
      </c>
      <c r="AL880" s="1" t="s">
        <v>104</v>
      </c>
      <c r="AM880" s="1" t="s">
        <v>104</v>
      </c>
      <c r="AO880" s="1">
        <v>6</v>
      </c>
      <c r="AP880" s="1" t="s">
        <v>5563</v>
      </c>
      <c r="AQ880" s="1" t="s">
        <v>5564</v>
      </c>
      <c r="AR880" s="1">
        <v>0</v>
      </c>
      <c r="AS880" s="1">
        <v>0</v>
      </c>
      <c r="AT880" s="1">
        <v>0</v>
      </c>
      <c r="AU880" s="1">
        <v>0</v>
      </c>
      <c r="AV880" s="1">
        <v>0</v>
      </c>
      <c r="AW880" s="1">
        <v>0</v>
      </c>
      <c r="AX880" s="1">
        <v>0</v>
      </c>
      <c r="AY880" s="1">
        <v>0</v>
      </c>
      <c r="AZ880" s="1">
        <v>0</v>
      </c>
      <c r="BA880" s="1">
        <v>0</v>
      </c>
      <c r="BB880" s="1">
        <v>0</v>
      </c>
      <c r="BC880" s="1">
        <v>0</v>
      </c>
      <c r="BD880" s="1">
        <v>0</v>
      </c>
      <c r="BE880" s="1">
        <v>0</v>
      </c>
      <c r="BF880" s="1">
        <v>0</v>
      </c>
      <c r="BG880" s="1">
        <v>0</v>
      </c>
      <c r="BH880" s="1">
        <v>0</v>
      </c>
      <c r="BI880" s="1">
        <v>0</v>
      </c>
      <c r="BJ880" s="1">
        <v>0</v>
      </c>
      <c r="BK880" s="1">
        <v>0</v>
      </c>
      <c r="BL880" s="1">
        <v>0</v>
      </c>
      <c r="BM880" s="1">
        <v>0</v>
      </c>
      <c r="BN880" s="1">
        <v>0</v>
      </c>
      <c r="BO880" s="1">
        <v>0</v>
      </c>
      <c r="BP880" s="1">
        <v>0</v>
      </c>
      <c r="BQ880" s="2" t="str">
        <f>HYPERLINK("http://www.d20pfsrd.com/magic/all-spells/s/swarm-skin","Swarm Skin")</f>
        <v>Swarm Skin</v>
      </c>
      <c r="BR880" s="1">
        <v>903</v>
      </c>
      <c r="BS880" s="1" t="s">
        <v>104</v>
      </c>
      <c r="BX880" s="1">
        <v>0</v>
      </c>
      <c r="BY880" s="1" t="s">
        <v>104</v>
      </c>
      <c r="BZ880" s="1" t="s">
        <v>104</v>
      </c>
      <c r="CA880" s="1" t="s">
        <v>104</v>
      </c>
      <c r="CB880" s="1" t="s">
        <v>104</v>
      </c>
      <c r="CC880" s="1" t="s">
        <v>104</v>
      </c>
      <c r="CD880" s="1" t="s">
        <v>104</v>
      </c>
      <c r="CE880" s="1" t="s">
        <v>104</v>
      </c>
      <c r="CF880" s="1" t="s">
        <v>104</v>
      </c>
      <c r="CG880" s="1" t="s">
        <v>104</v>
      </c>
      <c r="CH880" s="1">
        <v>6</v>
      </c>
      <c r="CJ880" s="1">
        <v>0</v>
      </c>
      <c r="CK880" s="1">
        <v>0</v>
      </c>
      <c r="CL880" s="1">
        <v>0</v>
      </c>
      <c r="CM880" s="1" t="s">
        <v>104</v>
      </c>
    </row>
    <row r="881" spans="1:91" ht="14.25" customHeight="1" x14ac:dyDescent="0.3">
      <c r="A881" s="1" t="s">
        <v>5565</v>
      </c>
      <c r="B881" s="1" t="s">
        <v>137</v>
      </c>
      <c r="E881" s="1" t="s">
        <v>5566</v>
      </c>
      <c r="F881" s="1" t="s">
        <v>95</v>
      </c>
      <c r="G881" s="1" t="s">
        <v>127</v>
      </c>
      <c r="H881" s="1">
        <v>0</v>
      </c>
      <c r="I881" s="1" t="s">
        <v>157</v>
      </c>
      <c r="L881" s="1" t="s">
        <v>158</v>
      </c>
      <c r="M881" s="1" t="s">
        <v>111</v>
      </c>
      <c r="N881" s="1">
        <v>0</v>
      </c>
      <c r="O881" s="1">
        <v>0</v>
      </c>
      <c r="R881" s="1" t="s">
        <v>5567</v>
      </c>
      <c r="S881" s="1" t="s">
        <v>4403</v>
      </c>
      <c r="T881" s="1">
        <v>1</v>
      </c>
      <c r="U881" s="1">
        <v>1</v>
      </c>
      <c r="V881" s="1">
        <v>0</v>
      </c>
      <c r="W881" s="1">
        <v>0</v>
      </c>
      <c r="X881" s="1">
        <v>1</v>
      </c>
      <c r="Y881" s="1" t="s">
        <v>104</v>
      </c>
      <c r="Z881" s="1" t="s">
        <v>104</v>
      </c>
      <c r="AA881" s="1" t="s">
        <v>104</v>
      </c>
      <c r="AB881" s="1">
        <v>4</v>
      </c>
      <c r="AC881" s="1" t="s">
        <v>104</v>
      </c>
      <c r="AD881" s="1" t="s">
        <v>104</v>
      </c>
      <c r="AE881" s="1" t="s">
        <v>104</v>
      </c>
      <c r="AF881" s="1">
        <v>3</v>
      </c>
      <c r="AG881" s="1" t="s">
        <v>104</v>
      </c>
      <c r="AH881" s="1" t="s">
        <v>104</v>
      </c>
      <c r="AI881" s="1" t="s">
        <v>104</v>
      </c>
      <c r="AJ881" s="1" t="s">
        <v>104</v>
      </c>
      <c r="AK881" s="1" t="s">
        <v>104</v>
      </c>
      <c r="AL881" s="1" t="s">
        <v>104</v>
      </c>
      <c r="AM881" s="1" t="s">
        <v>104</v>
      </c>
      <c r="AO881" s="1">
        <v>4</v>
      </c>
      <c r="AQ881" s="1" t="s">
        <v>5568</v>
      </c>
      <c r="AR881" s="1">
        <v>0</v>
      </c>
      <c r="AS881" s="1">
        <v>0</v>
      </c>
      <c r="AT881" s="1">
        <v>0</v>
      </c>
      <c r="AU881" s="1">
        <v>0</v>
      </c>
      <c r="AV881" s="1">
        <v>0</v>
      </c>
      <c r="AW881" s="1">
        <v>0</v>
      </c>
      <c r="AX881" s="1">
        <v>0</v>
      </c>
      <c r="AY881" s="1">
        <v>0</v>
      </c>
      <c r="AZ881" s="1">
        <v>0</v>
      </c>
      <c r="BA881" s="1">
        <v>0</v>
      </c>
      <c r="BB881" s="1">
        <v>0</v>
      </c>
      <c r="BC881" s="1">
        <v>0</v>
      </c>
      <c r="BD881" s="1">
        <v>0</v>
      </c>
      <c r="BE881" s="1">
        <v>0</v>
      </c>
      <c r="BF881" s="1">
        <v>0</v>
      </c>
      <c r="BG881" s="1">
        <v>0</v>
      </c>
      <c r="BH881" s="1">
        <v>0</v>
      </c>
      <c r="BI881" s="1">
        <v>0</v>
      </c>
      <c r="BJ881" s="1">
        <v>0</v>
      </c>
      <c r="BK881" s="1">
        <v>0</v>
      </c>
      <c r="BL881" s="1">
        <v>0</v>
      </c>
      <c r="BM881" s="1">
        <v>0</v>
      </c>
      <c r="BN881" s="1">
        <v>0</v>
      </c>
      <c r="BO881" s="1">
        <v>0</v>
      </c>
      <c r="BP881" s="1">
        <v>0</v>
      </c>
      <c r="BQ881" s="2" t="str">
        <f>HYPERLINK("http://www.d20pfsrd.com/magic/all-spells/t/thorn-body","Thorn Body")</f>
        <v>Thorn Body</v>
      </c>
      <c r="BR881" s="1">
        <v>904</v>
      </c>
      <c r="BS881" s="1" t="s">
        <v>104</v>
      </c>
      <c r="BU881" s="1" t="s">
        <v>5569</v>
      </c>
      <c r="BX881" s="1">
        <v>0</v>
      </c>
      <c r="BY881" s="1" t="s">
        <v>104</v>
      </c>
      <c r="BZ881" s="1">
        <v>4</v>
      </c>
      <c r="CA881" s="1" t="s">
        <v>104</v>
      </c>
      <c r="CB881" s="1" t="s">
        <v>104</v>
      </c>
      <c r="CC881" s="1" t="s">
        <v>104</v>
      </c>
      <c r="CD881" s="1" t="s">
        <v>104</v>
      </c>
      <c r="CE881" s="1" t="s">
        <v>104</v>
      </c>
      <c r="CF881" s="1" t="s">
        <v>104</v>
      </c>
      <c r="CG881" s="1" t="s">
        <v>104</v>
      </c>
      <c r="CH881" s="1">
        <v>4</v>
      </c>
      <c r="CJ881" s="1">
        <v>0</v>
      </c>
      <c r="CK881" s="1">
        <v>0</v>
      </c>
      <c r="CL881" s="1">
        <v>0</v>
      </c>
      <c r="CM881" s="1" t="s">
        <v>104</v>
      </c>
    </row>
    <row r="882" spans="1:91" ht="14.25" customHeight="1" x14ac:dyDescent="0.3">
      <c r="A882" s="1" t="s">
        <v>5570</v>
      </c>
      <c r="B882" s="1" t="s">
        <v>137</v>
      </c>
      <c r="E882" s="1" t="s">
        <v>5571</v>
      </c>
      <c r="F882" s="1" t="s">
        <v>95</v>
      </c>
      <c r="G882" s="1" t="s">
        <v>5572</v>
      </c>
      <c r="H882" s="1">
        <v>1</v>
      </c>
      <c r="I882" s="1" t="s">
        <v>157</v>
      </c>
      <c r="L882" s="1" t="s">
        <v>158</v>
      </c>
      <c r="M882" s="1" t="s">
        <v>5573</v>
      </c>
      <c r="N882" s="1">
        <v>1</v>
      </c>
      <c r="O882" s="1">
        <v>0</v>
      </c>
      <c r="R882" s="1" t="s">
        <v>5574</v>
      </c>
      <c r="S882" s="1" t="s">
        <v>4403</v>
      </c>
      <c r="T882" s="1">
        <v>1</v>
      </c>
      <c r="U882" s="1">
        <v>1</v>
      </c>
      <c r="V882" s="1">
        <v>0</v>
      </c>
      <c r="W882" s="1">
        <v>0</v>
      </c>
      <c r="X882" s="1">
        <v>0</v>
      </c>
      <c r="Y882" s="1" t="s">
        <v>104</v>
      </c>
      <c r="Z882" s="1" t="s">
        <v>104</v>
      </c>
      <c r="AA882" s="1" t="s">
        <v>104</v>
      </c>
      <c r="AB882" s="1">
        <v>5</v>
      </c>
      <c r="AC882" s="1" t="s">
        <v>104</v>
      </c>
      <c r="AD882" s="1" t="s">
        <v>104</v>
      </c>
      <c r="AE882" s="1" t="s">
        <v>104</v>
      </c>
      <c r="AF882" s="1" t="s">
        <v>104</v>
      </c>
      <c r="AG882" s="1" t="s">
        <v>104</v>
      </c>
      <c r="AH882" s="1">
        <v>4</v>
      </c>
      <c r="AI882" s="1" t="s">
        <v>104</v>
      </c>
      <c r="AJ882" s="1" t="s">
        <v>104</v>
      </c>
      <c r="AK882" s="1" t="s">
        <v>104</v>
      </c>
      <c r="AL882" s="1" t="s">
        <v>104</v>
      </c>
      <c r="AM882" s="1" t="s">
        <v>104</v>
      </c>
      <c r="AO882" s="1">
        <v>5</v>
      </c>
      <c r="AQ882" s="1" t="s">
        <v>5575</v>
      </c>
      <c r="AR882" s="1">
        <v>0</v>
      </c>
      <c r="AS882" s="1">
        <v>0</v>
      </c>
      <c r="AT882" s="1">
        <v>0</v>
      </c>
      <c r="AU882" s="1">
        <v>0</v>
      </c>
      <c r="AV882" s="1">
        <v>0</v>
      </c>
      <c r="AW882" s="1">
        <v>0</v>
      </c>
      <c r="AX882" s="1">
        <v>0</v>
      </c>
      <c r="AY882" s="1">
        <v>0</v>
      </c>
      <c r="AZ882" s="1">
        <v>0</v>
      </c>
      <c r="BA882" s="1">
        <v>0</v>
      </c>
      <c r="BB882" s="1">
        <v>0</v>
      </c>
      <c r="BC882" s="1">
        <v>0</v>
      </c>
      <c r="BD882" s="1">
        <v>0</v>
      </c>
      <c r="BE882" s="1">
        <v>0</v>
      </c>
      <c r="BF882" s="1">
        <v>0</v>
      </c>
      <c r="BG882" s="1">
        <v>0</v>
      </c>
      <c r="BH882" s="1">
        <v>0</v>
      </c>
      <c r="BI882" s="1">
        <v>0</v>
      </c>
      <c r="BJ882" s="1">
        <v>0</v>
      </c>
      <c r="BK882" s="1">
        <v>0</v>
      </c>
      <c r="BL882" s="1">
        <v>0</v>
      </c>
      <c r="BM882" s="1">
        <v>0</v>
      </c>
      <c r="BN882" s="1">
        <v>0</v>
      </c>
      <c r="BO882" s="1">
        <v>0</v>
      </c>
      <c r="BP882" s="1">
        <v>0</v>
      </c>
      <c r="BQ882" s="2" t="str">
        <f>HYPERLINK("http://www.d20pfsrd.com/magic/all-spells/t/threefold-aspect","Threefold Aspect")</f>
        <v>Threefold Aspect</v>
      </c>
      <c r="BR882" s="1">
        <v>905</v>
      </c>
      <c r="BS882" s="1">
        <v>5</v>
      </c>
      <c r="BT882" s="1" t="s">
        <v>5576</v>
      </c>
      <c r="BU882" s="1" t="s">
        <v>5577</v>
      </c>
      <c r="BX882" s="1">
        <v>0</v>
      </c>
      <c r="BY882" s="1" t="s">
        <v>104</v>
      </c>
      <c r="BZ882" s="1" t="s">
        <v>104</v>
      </c>
      <c r="CA882" s="1" t="s">
        <v>104</v>
      </c>
      <c r="CB882" s="1" t="s">
        <v>104</v>
      </c>
      <c r="CC882" s="1" t="s">
        <v>104</v>
      </c>
      <c r="CD882" s="1" t="s">
        <v>104</v>
      </c>
      <c r="CE882" s="1" t="s">
        <v>104</v>
      </c>
      <c r="CF882" s="1" t="s">
        <v>104</v>
      </c>
      <c r="CG882" s="1" t="s">
        <v>104</v>
      </c>
      <c r="CH882" s="1">
        <v>5</v>
      </c>
      <c r="CJ882" s="1">
        <v>0</v>
      </c>
      <c r="CK882" s="1">
        <v>0</v>
      </c>
      <c r="CL882" s="1">
        <v>0</v>
      </c>
      <c r="CM882" s="1" t="s">
        <v>104</v>
      </c>
    </row>
    <row r="883" spans="1:91" ht="14.25" customHeight="1" x14ac:dyDescent="0.3">
      <c r="A883" s="1" t="s">
        <v>5578</v>
      </c>
      <c r="B883" s="1" t="s">
        <v>434</v>
      </c>
      <c r="D883" s="1" t="s">
        <v>66</v>
      </c>
      <c r="E883" s="1" t="s">
        <v>1846</v>
      </c>
      <c r="F883" s="1" t="s">
        <v>95</v>
      </c>
      <c r="G883" s="1" t="s">
        <v>116</v>
      </c>
      <c r="H883" s="1">
        <v>0</v>
      </c>
      <c r="I883" s="1" t="s">
        <v>548</v>
      </c>
      <c r="J883" s="1" t="s">
        <v>549</v>
      </c>
      <c r="M883" s="1" t="s">
        <v>119</v>
      </c>
      <c r="N883" s="1">
        <v>0</v>
      </c>
      <c r="O883" s="1">
        <v>0</v>
      </c>
      <c r="P883" s="1" t="s">
        <v>1080</v>
      </c>
      <c r="Q883" s="1" t="s">
        <v>184</v>
      </c>
      <c r="R883" s="1" t="s">
        <v>5579</v>
      </c>
      <c r="S883" s="1" t="s">
        <v>4403</v>
      </c>
      <c r="T883" s="1">
        <v>1</v>
      </c>
      <c r="U883" s="1">
        <v>1</v>
      </c>
      <c r="V883" s="1">
        <v>0</v>
      </c>
      <c r="W883" s="1">
        <v>0</v>
      </c>
      <c r="X883" s="1">
        <v>0</v>
      </c>
      <c r="Y883" s="1" t="s">
        <v>104</v>
      </c>
      <c r="Z883" s="1" t="s">
        <v>104</v>
      </c>
      <c r="AA883" s="1" t="s">
        <v>104</v>
      </c>
      <c r="AB883" s="1" t="s">
        <v>104</v>
      </c>
      <c r="AC883" s="1" t="s">
        <v>104</v>
      </c>
      <c r="AD883" s="1">
        <v>3</v>
      </c>
      <c r="AE883" s="1" t="s">
        <v>104</v>
      </c>
      <c r="AF883" s="1" t="s">
        <v>104</v>
      </c>
      <c r="AG883" s="1" t="s">
        <v>104</v>
      </c>
      <c r="AH883" s="1" t="s">
        <v>104</v>
      </c>
      <c r="AI883" s="1" t="s">
        <v>104</v>
      </c>
      <c r="AJ883" s="1" t="s">
        <v>104</v>
      </c>
      <c r="AK883" s="1" t="s">
        <v>104</v>
      </c>
      <c r="AL883" s="1" t="s">
        <v>104</v>
      </c>
      <c r="AM883" s="1" t="s">
        <v>104</v>
      </c>
      <c r="AO883" s="1">
        <v>3</v>
      </c>
      <c r="AQ883" s="1" t="s">
        <v>5580</v>
      </c>
      <c r="AR883" s="1">
        <v>0</v>
      </c>
      <c r="AS883" s="1">
        <v>0</v>
      </c>
      <c r="AT883" s="1">
        <v>0</v>
      </c>
      <c r="AU883" s="1">
        <v>0</v>
      </c>
      <c r="AV883" s="1">
        <v>0</v>
      </c>
      <c r="AW883" s="1">
        <v>0</v>
      </c>
      <c r="AX883" s="1">
        <v>0</v>
      </c>
      <c r="AY883" s="1">
        <v>0</v>
      </c>
      <c r="AZ883" s="1">
        <v>0</v>
      </c>
      <c r="BA883" s="1">
        <v>0</v>
      </c>
      <c r="BB883" s="1">
        <v>0</v>
      </c>
      <c r="BC883" s="1">
        <v>0</v>
      </c>
      <c r="BD883" s="1">
        <v>0</v>
      </c>
      <c r="BE883" s="1">
        <v>0</v>
      </c>
      <c r="BF883" s="1">
        <v>0</v>
      </c>
      <c r="BG883" s="1">
        <v>0</v>
      </c>
      <c r="BH883" s="1">
        <v>0</v>
      </c>
      <c r="BI883" s="1">
        <v>0</v>
      </c>
      <c r="BJ883" s="1">
        <v>0</v>
      </c>
      <c r="BK883" s="1">
        <v>0</v>
      </c>
      <c r="BL883" s="1">
        <v>0</v>
      </c>
      <c r="BM883" s="1">
        <v>0</v>
      </c>
      <c r="BN883" s="1">
        <v>0</v>
      </c>
      <c r="BO883" s="1">
        <v>1</v>
      </c>
      <c r="BP883" s="1">
        <v>0</v>
      </c>
      <c r="BQ883" s="2" t="str">
        <f>HYPERLINK("http://www.d20pfsrd.com/magic/all-spells/t/thundering-drums","Thundering Drums")</f>
        <v>Thundering Drums</v>
      </c>
      <c r="BR883" s="1">
        <v>906</v>
      </c>
      <c r="BS883" s="1" t="s">
        <v>104</v>
      </c>
      <c r="BX883" s="1">
        <v>0</v>
      </c>
      <c r="BY883" s="1" t="s">
        <v>104</v>
      </c>
      <c r="BZ883" s="1" t="s">
        <v>104</v>
      </c>
      <c r="CA883" s="1" t="s">
        <v>104</v>
      </c>
      <c r="CB883" s="1" t="s">
        <v>104</v>
      </c>
      <c r="CC883" s="1" t="s">
        <v>104</v>
      </c>
      <c r="CD883" s="1" t="s">
        <v>104</v>
      </c>
      <c r="CE883" s="1" t="s">
        <v>104</v>
      </c>
      <c r="CF883" s="1" t="s">
        <v>104</v>
      </c>
      <c r="CG883" s="1" t="s">
        <v>104</v>
      </c>
      <c r="CH883" s="1" t="s">
        <v>104</v>
      </c>
      <c r="CJ883" s="1">
        <v>0</v>
      </c>
      <c r="CK883" s="1">
        <v>0</v>
      </c>
      <c r="CL883" s="1">
        <v>0</v>
      </c>
      <c r="CM883" s="1" t="s">
        <v>104</v>
      </c>
    </row>
    <row r="884" spans="1:91" ht="14.25" customHeight="1" x14ac:dyDescent="0.3">
      <c r="A884" s="1" t="s">
        <v>5581</v>
      </c>
      <c r="B884" s="1" t="s">
        <v>172</v>
      </c>
      <c r="E884" s="1" t="s">
        <v>5344</v>
      </c>
      <c r="F884" s="1" t="s">
        <v>1502</v>
      </c>
      <c r="G884" s="1" t="s">
        <v>237</v>
      </c>
      <c r="H884" s="1">
        <v>0</v>
      </c>
      <c r="I884" s="1" t="s">
        <v>117</v>
      </c>
      <c r="L884" s="1" t="s">
        <v>1065</v>
      </c>
      <c r="M884" s="1" t="s">
        <v>119</v>
      </c>
      <c r="N884" s="1">
        <v>0</v>
      </c>
      <c r="O884" s="1">
        <v>0</v>
      </c>
      <c r="P884" s="1" t="s">
        <v>375</v>
      </c>
      <c r="Q884" s="1" t="s">
        <v>131</v>
      </c>
      <c r="R884" s="1" t="s">
        <v>5582</v>
      </c>
      <c r="S884" s="1" t="s">
        <v>4403</v>
      </c>
      <c r="T884" s="1">
        <v>1</v>
      </c>
      <c r="U884" s="1">
        <v>0</v>
      </c>
      <c r="V884" s="1">
        <v>0</v>
      </c>
      <c r="W884" s="1">
        <v>0</v>
      </c>
      <c r="X884" s="1">
        <v>0</v>
      </c>
      <c r="Y884" s="1" t="s">
        <v>104</v>
      </c>
      <c r="Z884" s="1" t="s">
        <v>104</v>
      </c>
      <c r="AA884" s="1" t="s">
        <v>104</v>
      </c>
      <c r="AB884" s="1" t="s">
        <v>104</v>
      </c>
      <c r="AC884" s="1" t="s">
        <v>104</v>
      </c>
      <c r="AD884" s="1">
        <v>1</v>
      </c>
      <c r="AE884" s="1" t="s">
        <v>104</v>
      </c>
      <c r="AF884" s="1" t="s">
        <v>104</v>
      </c>
      <c r="AG884" s="1" t="s">
        <v>104</v>
      </c>
      <c r="AH884" s="1" t="s">
        <v>104</v>
      </c>
      <c r="AI884" s="1" t="s">
        <v>104</v>
      </c>
      <c r="AJ884" s="1" t="s">
        <v>104</v>
      </c>
      <c r="AK884" s="1" t="s">
        <v>104</v>
      </c>
      <c r="AL884" s="1" t="s">
        <v>104</v>
      </c>
      <c r="AM884" s="1" t="s">
        <v>104</v>
      </c>
      <c r="AO884" s="1">
        <v>1</v>
      </c>
      <c r="AQ884" s="1" t="s">
        <v>5583</v>
      </c>
      <c r="AR884" s="1">
        <v>0</v>
      </c>
      <c r="AS884" s="1">
        <v>0</v>
      </c>
      <c r="AT884" s="1">
        <v>0</v>
      </c>
      <c r="AU884" s="1">
        <v>0</v>
      </c>
      <c r="AV884" s="1">
        <v>0</v>
      </c>
      <c r="AW884" s="1">
        <v>0</v>
      </c>
      <c r="AX884" s="1">
        <v>0</v>
      </c>
      <c r="AY884" s="1">
        <v>0</v>
      </c>
      <c r="AZ884" s="1">
        <v>0</v>
      </c>
      <c r="BA884" s="1">
        <v>0</v>
      </c>
      <c r="BB884" s="1">
        <v>0</v>
      </c>
      <c r="BC884" s="1">
        <v>0</v>
      </c>
      <c r="BD884" s="1">
        <v>0</v>
      </c>
      <c r="BE884" s="1">
        <v>0</v>
      </c>
      <c r="BF884" s="1">
        <v>0</v>
      </c>
      <c r="BG884" s="1">
        <v>0</v>
      </c>
      <c r="BH884" s="1">
        <v>0</v>
      </c>
      <c r="BI884" s="1">
        <v>0</v>
      </c>
      <c r="BJ884" s="1">
        <v>0</v>
      </c>
      <c r="BK884" s="1">
        <v>0</v>
      </c>
      <c r="BL884" s="1">
        <v>0</v>
      </c>
      <c r="BM884" s="1">
        <v>0</v>
      </c>
      <c r="BN884" s="1">
        <v>0</v>
      </c>
      <c r="BO884" s="1">
        <v>0</v>
      </c>
      <c r="BP884" s="1">
        <v>0</v>
      </c>
      <c r="BQ884" s="2" t="str">
        <f>HYPERLINK("http://www.d20pfsrd.com/magic/all-spells/t/timely-inspiration","Timely Inspiration")</f>
        <v>Timely Inspiration</v>
      </c>
      <c r="BR884" s="1">
        <v>907</v>
      </c>
      <c r="BS884" s="1" t="s">
        <v>104</v>
      </c>
      <c r="BX884" s="1">
        <v>0</v>
      </c>
      <c r="BY884" s="1" t="s">
        <v>104</v>
      </c>
      <c r="BZ884" s="1" t="s">
        <v>104</v>
      </c>
      <c r="CA884" s="1" t="s">
        <v>104</v>
      </c>
      <c r="CB884" s="1" t="s">
        <v>104</v>
      </c>
      <c r="CC884" s="1" t="s">
        <v>104</v>
      </c>
      <c r="CD884" s="1" t="s">
        <v>104</v>
      </c>
      <c r="CE884" s="1" t="s">
        <v>104</v>
      </c>
      <c r="CF884" s="1" t="s">
        <v>104</v>
      </c>
      <c r="CG884" s="1" t="s">
        <v>104</v>
      </c>
      <c r="CH884" s="1" t="s">
        <v>104</v>
      </c>
      <c r="CJ884" s="1">
        <v>0</v>
      </c>
      <c r="CK884" s="1">
        <v>0</v>
      </c>
      <c r="CL884" s="1">
        <v>0</v>
      </c>
      <c r="CM884" s="1" t="s">
        <v>104</v>
      </c>
    </row>
    <row r="885" spans="1:91" ht="14.25" customHeight="1" x14ac:dyDescent="0.3">
      <c r="A885" s="1" t="s">
        <v>5584</v>
      </c>
      <c r="B885" s="1" t="s">
        <v>137</v>
      </c>
      <c r="E885" s="1" t="s">
        <v>5585</v>
      </c>
      <c r="F885" s="1" t="s">
        <v>95</v>
      </c>
      <c r="G885" s="1" t="s">
        <v>5586</v>
      </c>
      <c r="H885" s="1">
        <v>0</v>
      </c>
      <c r="I885" s="1" t="s">
        <v>157</v>
      </c>
      <c r="L885" s="1" t="s">
        <v>158</v>
      </c>
      <c r="M885" s="1" t="s">
        <v>620</v>
      </c>
      <c r="N885" s="1">
        <v>1</v>
      </c>
      <c r="O885" s="1">
        <v>0</v>
      </c>
      <c r="R885" s="1" t="s">
        <v>5587</v>
      </c>
      <c r="S885" s="1" t="s">
        <v>4403</v>
      </c>
      <c r="T885" s="1">
        <v>1</v>
      </c>
      <c r="U885" s="1">
        <v>1</v>
      </c>
      <c r="V885" s="1">
        <v>1</v>
      </c>
      <c r="W885" s="1">
        <v>0</v>
      </c>
      <c r="X885" s="1">
        <v>0</v>
      </c>
      <c r="Y885" s="1" t="s">
        <v>104</v>
      </c>
      <c r="Z885" s="1" t="s">
        <v>104</v>
      </c>
      <c r="AA885" s="1" t="s">
        <v>104</v>
      </c>
      <c r="AB885" s="1" t="s">
        <v>104</v>
      </c>
      <c r="AC885" s="1">
        <v>1</v>
      </c>
      <c r="AD885" s="1" t="s">
        <v>104</v>
      </c>
      <c r="AE885" s="1" t="s">
        <v>104</v>
      </c>
      <c r="AF885" s="1" t="s">
        <v>104</v>
      </c>
      <c r="AG885" s="1" t="s">
        <v>104</v>
      </c>
      <c r="AH885" s="1" t="s">
        <v>104</v>
      </c>
      <c r="AI885" s="1">
        <v>1</v>
      </c>
      <c r="AJ885" s="1" t="s">
        <v>104</v>
      </c>
      <c r="AK885" s="1" t="s">
        <v>104</v>
      </c>
      <c r="AL885" s="1" t="s">
        <v>104</v>
      </c>
      <c r="AM885" s="1" t="s">
        <v>104</v>
      </c>
      <c r="AO885" s="1">
        <v>1</v>
      </c>
      <c r="AQ885" s="1" t="s">
        <v>5588</v>
      </c>
      <c r="AR885" s="1">
        <v>0</v>
      </c>
      <c r="AS885" s="1">
        <v>0</v>
      </c>
      <c r="AT885" s="1">
        <v>0</v>
      </c>
      <c r="AU885" s="1">
        <v>0</v>
      </c>
      <c r="AV885" s="1">
        <v>0</v>
      </c>
      <c r="AW885" s="1">
        <v>0</v>
      </c>
      <c r="AX885" s="1">
        <v>0</v>
      </c>
      <c r="AY885" s="1">
        <v>0</v>
      </c>
      <c r="AZ885" s="1">
        <v>0</v>
      </c>
      <c r="BA885" s="1">
        <v>0</v>
      </c>
      <c r="BB885" s="1">
        <v>0</v>
      </c>
      <c r="BC885" s="1">
        <v>0</v>
      </c>
      <c r="BD885" s="1">
        <v>0</v>
      </c>
      <c r="BE885" s="1">
        <v>0</v>
      </c>
      <c r="BF885" s="1">
        <v>0</v>
      </c>
      <c r="BG885" s="1">
        <v>0</v>
      </c>
      <c r="BH885" s="1">
        <v>0</v>
      </c>
      <c r="BI885" s="1">
        <v>0</v>
      </c>
      <c r="BJ885" s="1">
        <v>0</v>
      </c>
      <c r="BK885" s="1">
        <v>0</v>
      </c>
      <c r="BL885" s="1">
        <v>0</v>
      </c>
      <c r="BM885" s="1">
        <v>0</v>
      </c>
      <c r="BN885" s="1">
        <v>0</v>
      </c>
      <c r="BO885" s="1">
        <v>0</v>
      </c>
      <c r="BP885" s="1">
        <v>0</v>
      </c>
      <c r="BQ885" s="2" t="str">
        <f>HYPERLINK("http://www.d20pfsrd.com/magic/all-spells/t/tireless-pursuit","Tireless Pursuit")</f>
        <v>Tireless Pursuit</v>
      </c>
      <c r="BR885" s="1">
        <v>908</v>
      </c>
      <c r="BS885" s="1" t="s">
        <v>104</v>
      </c>
      <c r="BX885" s="1">
        <v>0</v>
      </c>
      <c r="BY885" s="1" t="s">
        <v>104</v>
      </c>
      <c r="BZ885" s="1" t="s">
        <v>104</v>
      </c>
      <c r="CA885" s="1" t="s">
        <v>104</v>
      </c>
      <c r="CB885" s="1" t="s">
        <v>104</v>
      </c>
      <c r="CC885" s="1" t="s">
        <v>104</v>
      </c>
      <c r="CD885" s="1" t="s">
        <v>104</v>
      </c>
      <c r="CE885" s="1" t="s">
        <v>104</v>
      </c>
      <c r="CF885" s="1" t="s">
        <v>104</v>
      </c>
      <c r="CG885" s="1" t="s">
        <v>104</v>
      </c>
      <c r="CH885" s="1">
        <v>1</v>
      </c>
      <c r="CJ885" s="1">
        <v>0</v>
      </c>
      <c r="CK885" s="1">
        <v>0</v>
      </c>
      <c r="CL885" s="1">
        <v>0</v>
      </c>
      <c r="CM885" s="1" t="s">
        <v>104</v>
      </c>
    </row>
    <row r="886" spans="1:91" ht="14.25" customHeight="1" x14ac:dyDescent="0.3">
      <c r="A886" s="1" t="s">
        <v>5589</v>
      </c>
      <c r="B886" s="1" t="s">
        <v>137</v>
      </c>
      <c r="E886" s="1" t="s">
        <v>5590</v>
      </c>
      <c r="F886" s="1" t="s">
        <v>95</v>
      </c>
      <c r="G886" s="1" t="s">
        <v>5591</v>
      </c>
      <c r="H886" s="1">
        <v>0</v>
      </c>
      <c r="I886" s="1" t="s">
        <v>128</v>
      </c>
      <c r="L886" s="1" t="s">
        <v>5592</v>
      </c>
      <c r="M886" s="1" t="s">
        <v>620</v>
      </c>
      <c r="N886" s="1">
        <v>1</v>
      </c>
      <c r="O886" s="1">
        <v>0</v>
      </c>
      <c r="P886" s="1" t="s">
        <v>1058</v>
      </c>
      <c r="Q886" s="1" t="s">
        <v>131</v>
      </c>
      <c r="R886" s="1" t="s">
        <v>5593</v>
      </c>
      <c r="S886" s="1" t="s">
        <v>4403</v>
      </c>
      <c r="T886" s="1">
        <v>1</v>
      </c>
      <c r="U886" s="1">
        <v>1</v>
      </c>
      <c r="V886" s="1">
        <v>1</v>
      </c>
      <c r="W886" s="1">
        <v>0</v>
      </c>
      <c r="X886" s="1">
        <v>0</v>
      </c>
      <c r="Y886" s="1" t="s">
        <v>104</v>
      </c>
      <c r="Z886" s="1" t="s">
        <v>104</v>
      </c>
      <c r="AA886" s="1" t="s">
        <v>104</v>
      </c>
      <c r="AB886" s="1" t="s">
        <v>104</v>
      </c>
      <c r="AC886" s="1">
        <v>3</v>
      </c>
      <c r="AD886" s="1" t="s">
        <v>104</v>
      </c>
      <c r="AE886" s="1" t="s">
        <v>104</v>
      </c>
      <c r="AF886" s="1" t="s">
        <v>104</v>
      </c>
      <c r="AG886" s="1" t="s">
        <v>104</v>
      </c>
      <c r="AH886" s="1" t="s">
        <v>104</v>
      </c>
      <c r="AI886" s="1">
        <v>4</v>
      </c>
      <c r="AJ886" s="1" t="s">
        <v>104</v>
      </c>
      <c r="AK886" s="1" t="s">
        <v>104</v>
      </c>
      <c r="AL886" s="1" t="s">
        <v>104</v>
      </c>
      <c r="AM886" s="1" t="s">
        <v>104</v>
      </c>
      <c r="AO886" s="1">
        <v>3</v>
      </c>
      <c r="AQ886" s="1" t="s">
        <v>5594</v>
      </c>
      <c r="AR886" s="1">
        <v>0</v>
      </c>
      <c r="AS886" s="1">
        <v>0</v>
      </c>
      <c r="AT886" s="1">
        <v>0</v>
      </c>
      <c r="AU886" s="1">
        <v>0</v>
      </c>
      <c r="AV886" s="1">
        <v>0</v>
      </c>
      <c r="AW886" s="1">
        <v>0</v>
      </c>
      <c r="AX886" s="1">
        <v>0</v>
      </c>
      <c r="AY886" s="1">
        <v>0</v>
      </c>
      <c r="AZ886" s="1">
        <v>0</v>
      </c>
      <c r="BA886" s="1">
        <v>0</v>
      </c>
      <c r="BB886" s="1">
        <v>0</v>
      </c>
      <c r="BC886" s="1">
        <v>0</v>
      </c>
      <c r="BD886" s="1">
        <v>0</v>
      </c>
      <c r="BE886" s="1">
        <v>0</v>
      </c>
      <c r="BF886" s="1">
        <v>0</v>
      </c>
      <c r="BG886" s="1">
        <v>0</v>
      </c>
      <c r="BH886" s="1">
        <v>0</v>
      </c>
      <c r="BI886" s="1">
        <v>0</v>
      </c>
      <c r="BJ886" s="1">
        <v>0</v>
      </c>
      <c r="BK886" s="1">
        <v>0</v>
      </c>
      <c r="BL886" s="1">
        <v>0</v>
      </c>
      <c r="BM886" s="1">
        <v>0</v>
      </c>
      <c r="BN886" s="1">
        <v>0</v>
      </c>
      <c r="BO886" s="1">
        <v>0</v>
      </c>
      <c r="BP886" s="1">
        <v>0</v>
      </c>
      <c r="BQ886" s="2" t="str">
        <f>HYPERLINK("http://www.d20pfsrd.com/magic/all-spells/t/tireless-pursuers","Tireless Pursuers")</f>
        <v>Tireless Pursuers</v>
      </c>
      <c r="BR886" s="1">
        <v>909</v>
      </c>
      <c r="BS886" s="1" t="s">
        <v>104</v>
      </c>
      <c r="BX886" s="1">
        <v>0</v>
      </c>
      <c r="BY886" s="1" t="s">
        <v>104</v>
      </c>
      <c r="BZ886" s="1" t="s">
        <v>104</v>
      </c>
      <c r="CA886" s="1" t="s">
        <v>104</v>
      </c>
      <c r="CB886" s="1" t="s">
        <v>104</v>
      </c>
      <c r="CC886" s="1" t="s">
        <v>104</v>
      </c>
      <c r="CD886" s="1" t="s">
        <v>104</v>
      </c>
      <c r="CE886" s="1" t="s">
        <v>104</v>
      </c>
      <c r="CF886" s="1" t="s">
        <v>104</v>
      </c>
      <c r="CG886" s="1" t="s">
        <v>104</v>
      </c>
      <c r="CH886" s="1">
        <v>3</v>
      </c>
      <c r="CJ886" s="1">
        <v>0</v>
      </c>
      <c r="CK886" s="1">
        <v>0</v>
      </c>
      <c r="CL886" s="1">
        <v>0</v>
      </c>
      <c r="CM886" s="1" t="s">
        <v>104</v>
      </c>
    </row>
    <row r="887" spans="1:91" ht="14.25" customHeight="1" x14ac:dyDescent="0.3">
      <c r="A887" s="1" t="s">
        <v>5595</v>
      </c>
      <c r="B887" s="1" t="s">
        <v>137</v>
      </c>
      <c r="E887" s="1" t="s">
        <v>5596</v>
      </c>
      <c r="F887" s="1" t="s">
        <v>95</v>
      </c>
      <c r="G887" s="1" t="s">
        <v>116</v>
      </c>
      <c r="H887" s="1">
        <v>0</v>
      </c>
      <c r="I887" s="1" t="s">
        <v>128</v>
      </c>
      <c r="L887" s="1" t="s">
        <v>374</v>
      </c>
      <c r="M887" s="1" t="s">
        <v>111</v>
      </c>
      <c r="N887" s="1">
        <v>0</v>
      </c>
      <c r="O887" s="1">
        <v>0</v>
      </c>
      <c r="P887" s="1" t="s">
        <v>1080</v>
      </c>
      <c r="Q887" s="1" t="s">
        <v>184</v>
      </c>
      <c r="R887" s="1" t="s">
        <v>5597</v>
      </c>
      <c r="S887" s="1" t="s">
        <v>4403</v>
      </c>
      <c r="T887" s="1">
        <v>1</v>
      </c>
      <c r="U887" s="1">
        <v>1</v>
      </c>
      <c r="V887" s="1">
        <v>0</v>
      </c>
      <c r="W887" s="1">
        <v>0</v>
      </c>
      <c r="X887" s="1">
        <v>0</v>
      </c>
      <c r="Y887" s="1">
        <v>1</v>
      </c>
      <c r="Z887" s="1">
        <v>1</v>
      </c>
      <c r="AA887" s="1" t="s">
        <v>104</v>
      </c>
      <c r="AB887" s="1" t="s">
        <v>104</v>
      </c>
      <c r="AC887" s="1" t="s">
        <v>104</v>
      </c>
      <c r="AD887" s="1">
        <v>1</v>
      </c>
      <c r="AE887" s="1" t="s">
        <v>104</v>
      </c>
      <c r="AF887" s="1" t="s">
        <v>104</v>
      </c>
      <c r="AG887" s="1" t="s">
        <v>104</v>
      </c>
      <c r="AH887" s="1" t="s">
        <v>104</v>
      </c>
      <c r="AI887" s="1" t="s">
        <v>104</v>
      </c>
      <c r="AJ887" s="1" t="s">
        <v>104</v>
      </c>
      <c r="AK887" s="1" t="s">
        <v>104</v>
      </c>
      <c r="AL887" s="1" t="s">
        <v>104</v>
      </c>
      <c r="AM887" s="1" t="s">
        <v>104</v>
      </c>
      <c r="AO887" s="1">
        <v>1</v>
      </c>
      <c r="AQ887" s="1" t="s">
        <v>5598</v>
      </c>
      <c r="AR887" s="1">
        <v>0</v>
      </c>
      <c r="AS887" s="1">
        <v>0</v>
      </c>
      <c r="AT887" s="1">
        <v>0</v>
      </c>
      <c r="AU887" s="1">
        <v>0</v>
      </c>
      <c r="AV887" s="1">
        <v>0</v>
      </c>
      <c r="AW887" s="1">
        <v>0</v>
      </c>
      <c r="AX887" s="1">
        <v>0</v>
      </c>
      <c r="AY887" s="1">
        <v>0</v>
      </c>
      <c r="AZ887" s="1">
        <v>0</v>
      </c>
      <c r="BA887" s="1">
        <v>0</v>
      </c>
      <c r="BB887" s="1">
        <v>0</v>
      </c>
      <c r="BC887" s="1">
        <v>0</v>
      </c>
      <c r="BD887" s="1">
        <v>0</v>
      </c>
      <c r="BE887" s="1">
        <v>0</v>
      </c>
      <c r="BF887" s="1">
        <v>0</v>
      </c>
      <c r="BG887" s="1">
        <v>0</v>
      </c>
      <c r="BH887" s="1">
        <v>0</v>
      </c>
      <c r="BI887" s="1">
        <v>0</v>
      </c>
      <c r="BJ887" s="1">
        <v>0</v>
      </c>
      <c r="BK887" s="1">
        <v>0</v>
      </c>
      <c r="BL887" s="1">
        <v>0</v>
      </c>
      <c r="BM887" s="1">
        <v>0</v>
      </c>
      <c r="BN887" s="1">
        <v>0</v>
      </c>
      <c r="BO887" s="1">
        <v>0</v>
      </c>
      <c r="BP887" s="1">
        <v>0</v>
      </c>
      <c r="BQ887" s="2" t="str">
        <f>HYPERLINK("http://www.d20pfsrd.com/magic/all-spells/t/touch-of-gracelessness","Touch of Gracelessness")</f>
        <v>Touch of Gracelessness</v>
      </c>
      <c r="BR887" s="1">
        <v>910</v>
      </c>
      <c r="BS887" s="1" t="s">
        <v>104</v>
      </c>
      <c r="BX887" s="1">
        <v>0</v>
      </c>
      <c r="BY887" s="1">
        <v>1</v>
      </c>
      <c r="BZ887" s="1" t="s">
        <v>104</v>
      </c>
      <c r="CA887" s="1" t="s">
        <v>104</v>
      </c>
      <c r="CB887" s="1" t="s">
        <v>104</v>
      </c>
      <c r="CC887" s="1">
        <v>1</v>
      </c>
      <c r="CD887" s="1" t="s">
        <v>104</v>
      </c>
      <c r="CE887" s="1">
        <v>1</v>
      </c>
      <c r="CF887" s="1" t="s">
        <v>104</v>
      </c>
      <c r="CG887" s="1" t="s">
        <v>104</v>
      </c>
      <c r="CH887" s="1" t="s">
        <v>104</v>
      </c>
      <c r="CJ887" s="1">
        <v>0</v>
      </c>
      <c r="CK887" s="1">
        <v>0</v>
      </c>
      <c r="CL887" s="1">
        <v>0</v>
      </c>
      <c r="CM887" s="1" t="s">
        <v>104</v>
      </c>
    </row>
    <row r="888" spans="1:91" ht="14.25" customHeight="1" x14ac:dyDescent="0.3">
      <c r="A888" s="1" t="s">
        <v>5599</v>
      </c>
      <c r="B888" s="1" t="s">
        <v>137</v>
      </c>
      <c r="E888" s="1" t="s">
        <v>5600</v>
      </c>
      <c r="F888" s="1" t="s">
        <v>95</v>
      </c>
      <c r="G888" s="1" t="s">
        <v>5601</v>
      </c>
      <c r="H888" s="1">
        <v>0</v>
      </c>
      <c r="I888" s="1" t="s">
        <v>128</v>
      </c>
      <c r="L888" s="1" t="s">
        <v>374</v>
      </c>
      <c r="M888" s="1" t="s">
        <v>2330</v>
      </c>
      <c r="N888" s="1">
        <v>0</v>
      </c>
      <c r="O888" s="1">
        <v>0</v>
      </c>
      <c r="P888" s="1" t="s">
        <v>1058</v>
      </c>
      <c r="Q888" s="1" t="s">
        <v>131</v>
      </c>
      <c r="R888" s="1" t="s">
        <v>5602</v>
      </c>
      <c r="S888" s="1" t="s">
        <v>4403</v>
      </c>
      <c r="T888" s="1">
        <v>1</v>
      </c>
      <c r="U888" s="1">
        <v>1</v>
      </c>
      <c r="V888" s="1">
        <v>1</v>
      </c>
      <c r="W888" s="1">
        <v>0</v>
      </c>
      <c r="X888" s="1">
        <v>0</v>
      </c>
      <c r="Y888" s="1">
        <v>1</v>
      </c>
      <c r="Z888" s="1">
        <v>1</v>
      </c>
      <c r="AA888" s="1" t="s">
        <v>104</v>
      </c>
      <c r="AB888" s="1">
        <v>1</v>
      </c>
      <c r="AC888" s="1" t="s">
        <v>104</v>
      </c>
      <c r="AD888" s="1" t="s">
        <v>104</v>
      </c>
      <c r="AE888" s="1" t="s">
        <v>104</v>
      </c>
      <c r="AF888" s="1">
        <v>1</v>
      </c>
      <c r="AG888" s="1" t="s">
        <v>104</v>
      </c>
      <c r="AH888" s="1" t="s">
        <v>104</v>
      </c>
      <c r="AI888" s="1" t="s">
        <v>104</v>
      </c>
      <c r="AJ888" s="1" t="s">
        <v>104</v>
      </c>
      <c r="AK888" s="1" t="s">
        <v>104</v>
      </c>
      <c r="AL888" s="1" t="s">
        <v>104</v>
      </c>
      <c r="AM888" s="1" t="s">
        <v>104</v>
      </c>
      <c r="AO888" s="1">
        <v>1</v>
      </c>
      <c r="AQ888" s="1" t="s">
        <v>5603</v>
      </c>
      <c r="AR888" s="1">
        <v>0</v>
      </c>
      <c r="AS888" s="1">
        <v>0</v>
      </c>
      <c r="AT888" s="1">
        <v>0</v>
      </c>
      <c r="AU888" s="1">
        <v>0</v>
      </c>
      <c r="AV888" s="1">
        <v>0</v>
      </c>
      <c r="AW888" s="1">
        <v>0</v>
      </c>
      <c r="AX888" s="1">
        <v>0</v>
      </c>
      <c r="AY888" s="1">
        <v>0</v>
      </c>
      <c r="AZ888" s="1">
        <v>0</v>
      </c>
      <c r="BA888" s="1">
        <v>0</v>
      </c>
      <c r="BB888" s="1">
        <v>0</v>
      </c>
      <c r="BC888" s="1">
        <v>0</v>
      </c>
      <c r="BD888" s="1">
        <v>0</v>
      </c>
      <c r="BE888" s="1">
        <v>0</v>
      </c>
      <c r="BF888" s="1">
        <v>0</v>
      </c>
      <c r="BG888" s="1">
        <v>0</v>
      </c>
      <c r="BH888" s="1">
        <v>0</v>
      </c>
      <c r="BI888" s="1">
        <v>0</v>
      </c>
      <c r="BJ888" s="1">
        <v>0</v>
      </c>
      <c r="BK888" s="1">
        <v>0</v>
      </c>
      <c r="BL888" s="1">
        <v>0</v>
      </c>
      <c r="BM888" s="1">
        <v>0</v>
      </c>
      <c r="BN888" s="1">
        <v>0</v>
      </c>
      <c r="BO888" s="1">
        <v>0</v>
      </c>
      <c r="BP888" s="1">
        <v>0</v>
      </c>
      <c r="BQ888" s="2" t="str">
        <f>HYPERLINK("http://www.d20pfsrd.com/magic/all-spells/t/touch-of-the-sea","Touch of the Sea")</f>
        <v>Touch of the Sea</v>
      </c>
      <c r="BR888" s="1">
        <v>911</v>
      </c>
      <c r="BS888" s="1" t="s">
        <v>104</v>
      </c>
      <c r="BX888" s="1">
        <v>0</v>
      </c>
      <c r="BY888" s="1">
        <v>1</v>
      </c>
      <c r="BZ888" s="1" t="s">
        <v>104</v>
      </c>
      <c r="CA888" s="1" t="s">
        <v>104</v>
      </c>
      <c r="CB888" s="1" t="s">
        <v>104</v>
      </c>
      <c r="CC888" s="1" t="s">
        <v>104</v>
      </c>
      <c r="CD888" s="1" t="s">
        <v>104</v>
      </c>
      <c r="CE888" s="1" t="s">
        <v>104</v>
      </c>
      <c r="CF888" s="1" t="s">
        <v>104</v>
      </c>
      <c r="CG888" s="1" t="s">
        <v>104</v>
      </c>
      <c r="CH888" s="1">
        <v>1</v>
      </c>
      <c r="CJ888" s="1">
        <v>0</v>
      </c>
      <c r="CK888" s="1">
        <v>0</v>
      </c>
      <c r="CL888" s="1">
        <v>0</v>
      </c>
      <c r="CM888" s="1" t="s">
        <v>104</v>
      </c>
    </row>
    <row r="889" spans="1:91" ht="14.25" customHeight="1" x14ac:dyDescent="0.3">
      <c r="A889" s="1" t="s">
        <v>5604</v>
      </c>
      <c r="B889" s="1" t="s">
        <v>137</v>
      </c>
      <c r="E889" s="1" t="s">
        <v>4882</v>
      </c>
      <c r="F889" s="1" t="s">
        <v>273</v>
      </c>
      <c r="G889" s="1" t="s">
        <v>5605</v>
      </c>
      <c r="H889" s="1">
        <v>1</v>
      </c>
      <c r="I889" s="1" t="s">
        <v>128</v>
      </c>
      <c r="L889" s="1" t="s">
        <v>4874</v>
      </c>
      <c r="M889" s="1" t="s">
        <v>119</v>
      </c>
      <c r="N889" s="1">
        <v>0</v>
      </c>
      <c r="O889" s="1">
        <v>0</v>
      </c>
      <c r="P889" s="1" t="s">
        <v>375</v>
      </c>
      <c r="Q889" s="1" t="s">
        <v>101</v>
      </c>
      <c r="R889" s="1" t="s">
        <v>5606</v>
      </c>
      <c r="S889" s="1" t="s">
        <v>4403</v>
      </c>
      <c r="T889" s="1">
        <v>1</v>
      </c>
      <c r="U889" s="1">
        <v>1</v>
      </c>
      <c r="V889" s="1">
        <v>1</v>
      </c>
      <c r="W889" s="1">
        <v>0</v>
      </c>
      <c r="X889" s="1">
        <v>0</v>
      </c>
      <c r="Y889" s="1" t="s">
        <v>104</v>
      </c>
      <c r="Z889" s="1" t="s">
        <v>104</v>
      </c>
      <c r="AA889" s="1" t="s">
        <v>104</v>
      </c>
      <c r="AB889" s="1" t="s">
        <v>104</v>
      </c>
      <c r="AC889" s="1" t="s">
        <v>104</v>
      </c>
      <c r="AD889" s="1" t="s">
        <v>104</v>
      </c>
      <c r="AE889" s="1" t="s">
        <v>104</v>
      </c>
      <c r="AF889" s="1" t="s">
        <v>104</v>
      </c>
      <c r="AG889" s="1">
        <v>4</v>
      </c>
      <c r="AH889" s="1" t="s">
        <v>104</v>
      </c>
      <c r="AI889" s="1" t="s">
        <v>104</v>
      </c>
      <c r="AJ889" s="1" t="s">
        <v>104</v>
      </c>
      <c r="AK889" s="1" t="s">
        <v>104</v>
      </c>
      <c r="AL889" s="1" t="s">
        <v>104</v>
      </c>
      <c r="AM889" s="1" t="s">
        <v>104</v>
      </c>
      <c r="AO889" s="1">
        <v>4</v>
      </c>
      <c r="AQ889" s="1" t="s">
        <v>5607</v>
      </c>
      <c r="AR889" s="1">
        <v>0</v>
      </c>
      <c r="AS889" s="1">
        <v>0</v>
      </c>
      <c r="AT889" s="1">
        <v>0</v>
      </c>
      <c r="AU889" s="1">
        <v>0</v>
      </c>
      <c r="AV889" s="1">
        <v>0</v>
      </c>
      <c r="AW889" s="1">
        <v>0</v>
      </c>
      <c r="AX889" s="1">
        <v>0</v>
      </c>
      <c r="AY889" s="1">
        <v>0</v>
      </c>
      <c r="AZ889" s="1">
        <v>0</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2" t="str">
        <f>HYPERLINK("http://www.d20pfsrd.com/magic/all-spells/t/transmogrify","Transmogrify")</f>
        <v>Transmogrify</v>
      </c>
      <c r="BR889" s="1">
        <v>912</v>
      </c>
      <c r="BS889" s="1">
        <v>1000</v>
      </c>
      <c r="BX889" s="1">
        <v>0</v>
      </c>
      <c r="BY889" s="1" t="s">
        <v>104</v>
      </c>
      <c r="BZ889" s="1" t="s">
        <v>104</v>
      </c>
      <c r="CA889" s="1" t="s">
        <v>104</v>
      </c>
      <c r="CB889" s="1" t="s">
        <v>104</v>
      </c>
      <c r="CC889" s="1" t="s">
        <v>104</v>
      </c>
      <c r="CD889" s="1" t="s">
        <v>104</v>
      </c>
      <c r="CE889" s="1" t="s">
        <v>104</v>
      </c>
      <c r="CF889" s="1" t="s">
        <v>104</v>
      </c>
      <c r="CG889" s="1" t="s">
        <v>104</v>
      </c>
      <c r="CH889" s="1" t="s">
        <v>104</v>
      </c>
      <c r="CJ889" s="1">
        <v>0</v>
      </c>
      <c r="CK889" s="1">
        <v>0</v>
      </c>
      <c r="CL889" s="1">
        <v>0</v>
      </c>
      <c r="CM889" s="1">
        <v>4</v>
      </c>
    </row>
    <row r="890" spans="1:91" ht="14.25" customHeight="1" x14ac:dyDescent="0.3">
      <c r="A890" s="1" t="s">
        <v>5608</v>
      </c>
      <c r="B890" s="1" t="s">
        <v>137</v>
      </c>
      <c r="D890" s="1" t="s">
        <v>64</v>
      </c>
      <c r="E890" s="1" t="s">
        <v>4418</v>
      </c>
      <c r="F890" s="1" t="s">
        <v>95</v>
      </c>
      <c r="G890" s="1" t="s">
        <v>1802</v>
      </c>
      <c r="H890" s="1">
        <v>0</v>
      </c>
      <c r="I890" s="1" t="s">
        <v>157</v>
      </c>
      <c r="L890" s="1" t="s">
        <v>158</v>
      </c>
      <c r="M890" s="1" t="s">
        <v>5609</v>
      </c>
      <c r="N890" s="1">
        <v>0</v>
      </c>
      <c r="O890" s="1">
        <v>0</v>
      </c>
      <c r="R890" s="1" t="s">
        <v>5610</v>
      </c>
      <c r="S890" s="1" t="s">
        <v>4403</v>
      </c>
      <c r="T890" s="1">
        <v>0</v>
      </c>
      <c r="U890" s="1">
        <v>1</v>
      </c>
      <c r="V890" s="1">
        <v>0</v>
      </c>
      <c r="W890" s="1">
        <v>0</v>
      </c>
      <c r="X890" s="1">
        <v>0</v>
      </c>
      <c r="Y890" s="1" t="s">
        <v>104</v>
      </c>
      <c r="Z890" s="1" t="s">
        <v>104</v>
      </c>
      <c r="AA890" s="1" t="s">
        <v>104</v>
      </c>
      <c r="AB890" s="1" t="s">
        <v>104</v>
      </c>
      <c r="AC890" s="1" t="s">
        <v>104</v>
      </c>
      <c r="AD890" s="1" t="s">
        <v>104</v>
      </c>
      <c r="AE890" s="1" t="s">
        <v>104</v>
      </c>
      <c r="AF890" s="1">
        <v>2</v>
      </c>
      <c r="AG890" s="1" t="s">
        <v>104</v>
      </c>
      <c r="AH890" s="1" t="s">
        <v>104</v>
      </c>
      <c r="AI890" s="1" t="s">
        <v>104</v>
      </c>
      <c r="AJ890" s="1" t="s">
        <v>104</v>
      </c>
      <c r="AK890" s="1" t="s">
        <v>104</v>
      </c>
      <c r="AL890" s="1" t="s">
        <v>104</v>
      </c>
      <c r="AM890" s="1" t="s">
        <v>104</v>
      </c>
      <c r="AO890" s="1">
        <v>2</v>
      </c>
      <c r="AQ890" s="1" t="s">
        <v>5611</v>
      </c>
      <c r="AR890" s="1">
        <v>0</v>
      </c>
      <c r="AS890" s="1">
        <v>0</v>
      </c>
      <c r="AT890" s="1">
        <v>0</v>
      </c>
      <c r="AU890" s="1">
        <v>0</v>
      </c>
      <c r="AV890" s="1">
        <v>0</v>
      </c>
      <c r="AW890" s="1">
        <v>0</v>
      </c>
      <c r="AX890" s="1">
        <v>0</v>
      </c>
      <c r="AY890" s="1">
        <v>0</v>
      </c>
      <c r="AZ890" s="1">
        <v>0</v>
      </c>
      <c r="BA890" s="1">
        <v>0</v>
      </c>
      <c r="BB890" s="1">
        <v>0</v>
      </c>
      <c r="BC890" s="1">
        <v>0</v>
      </c>
      <c r="BD890" s="1">
        <v>0</v>
      </c>
      <c r="BE890" s="1">
        <v>0</v>
      </c>
      <c r="BF890" s="1">
        <v>0</v>
      </c>
      <c r="BG890" s="1">
        <v>0</v>
      </c>
      <c r="BH890" s="1">
        <v>0</v>
      </c>
      <c r="BI890" s="1">
        <v>0</v>
      </c>
      <c r="BJ890" s="1">
        <v>0</v>
      </c>
      <c r="BK890" s="1">
        <v>0</v>
      </c>
      <c r="BL890" s="1">
        <v>0</v>
      </c>
      <c r="BM890" s="1">
        <v>1</v>
      </c>
      <c r="BN890" s="1">
        <v>0</v>
      </c>
      <c r="BO890" s="1">
        <v>0</v>
      </c>
      <c r="BP890" s="1">
        <v>0</v>
      </c>
      <c r="BQ890" s="2" t="str">
        <f>HYPERLINK("http://www.d20pfsrd.com/magic/all-spells/t/transmute-potion-to-poison","Transmute Potion to Poison")</f>
        <v>Transmute Potion to Poison</v>
      </c>
      <c r="BR890" s="1">
        <v>913</v>
      </c>
      <c r="BS890" s="1" t="s">
        <v>104</v>
      </c>
      <c r="BX890" s="1">
        <v>0</v>
      </c>
      <c r="BY890" s="1" t="s">
        <v>104</v>
      </c>
      <c r="BZ890" s="1" t="s">
        <v>104</v>
      </c>
      <c r="CA890" s="1" t="s">
        <v>104</v>
      </c>
      <c r="CB890" s="1" t="s">
        <v>104</v>
      </c>
      <c r="CC890" s="1" t="s">
        <v>104</v>
      </c>
      <c r="CD890" s="1" t="s">
        <v>104</v>
      </c>
      <c r="CE890" s="1" t="s">
        <v>104</v>
      </c>
      <c r="CF890" s="1" t="s">
        <v>104</v>
      </c>
      <c r="CG890" s="1" t="s">
        <v>104</v>
      </c>
      <c r="CH890" s="1" t="s">
        <v>104</v>
      </c>
      <c r="CJ890" s="1">
        <v>0</v>
      </c>
      <c r="CK890" s="1">
        <v>0</v>
      </c>
      <c r="CL890" s="1">
        <v>0</v>
      </c>
      <c r="CM890" s="1" t="s">
        <v>104</v>
      </c>
    </row>
    <row r="891" spans="1:91" ht="14.25" customHeight="1" x14ac:dyDescent="0.3">
      <c r="A891" s="1" t="s">
        <v>5612</v>
      </c>
      <c r="B891" s="1" t="s">
        <v>137</v>
      </c>
      <c r="E891" s="1" t="s">
        <v>5613</v>
      </c>
      <c r="F891" s="1" t="s">
        <v>95</v>
      </c>
      <c r="G891" s="1" t="s">
        <v>5614</v>
      </c>
      <c r="H891" s="1">
        <v>1</v>
      </c>
      <c r="I891" s="1" t="s">
        <v>117</v>
      </c>
      <c r="L891" s="1" t="s">
        <v>5615</v>
      </c>
      <c r="M891" s="1" t="s">
        <v>4400</v>
      </c>
      <c r="N891" s="1">
        <v>1</v>
      </c>
      <c r="O891" s="1">
        <v>0</v>
      </c>
      <c r="P891" s="1" t="s">
        <v>4401</v>
      </c>
      <c r="Q891" s="1" t="s">
        <v>472</v>
      </c>
      <c r="R891" s="1" t="s">
        <v>5616</v>
      </c>
      <c r="S891" s="1" t="s">
        <v>4403</v>
      </c>
      <c r="T891" s="1">
        <v>1</v>
      </c>
      <c r="U891" s="1">
        <v>1</v>
      </c>
      <c r="V891" s="1">
        <v>1</v>
      </c>
      <c r="W891" s="1">
        <v>0</v>
      </c>
      <c r="X891" s="1">
        <v>0</v>
      </c>
      <c r="Y891" s="1">
        <v>5</v>
      </c>
      <c r="Z891" s="1">
        <v>5</v>
      </c>
      <c r="AA891" s="1">
        <v>5</v>
      </c>
      <c r="AB891" s="1" t="s">
        <v>104</v>
      </c>
      <c r="AC891" s="1" t="s">
        <v>104</v>
      </c>
      <c r="AD891" s="1">
        <v>4</v>
      </c>
      <c r="AE891" s="1" t="s">
        <v>104</v>
      </c>
      <c r="AF891" s="1" t="s">
        <v>104</v>
      </c>
      <c r="AG891" s="1" t="s">
        <v>104</v>
      </c>
      <c r="AH891" s="1" t="s">
        <v>104</v>
      </c>
      <c r="AI891" s="1" t="s">
        <v>104</v>
      </c>
      <c r="AJ891" s="1">
        <v>5</v>
      </c>
      <c r="AK891" s="1" t="s">
        <v>104</v>
      </c>
      <c r="AL891" s="1" t="s">
        <v>104</v>
      </c>
      <c r="AM891" s="1" t="s">
        <v>104</v>
      </c>
      <c r="AO891" s="1">
        <v>5</v>
      </c>
      <c r="AQ891" s="1" t="s">
        <v>5617</v>
      </c>
      <c r="AR891" s="1">
        <v>0</v>
      </c>
      <c r="AS891" s="1">
        <v>0</v>
      </c>
      <c r="AT891" s="1">
        <v>0</v>
      </c>
      <c r="AU891" s="1">
        <v>0</v>
      </c>
      <c r="AV891" s="1">
        <v>0</v>
      </c>
      <c r="AW891" s="1">
        <v>0</v>
      </c>
      <c r="AX891" s="1">
        <v>0</v>
      </c>
      <c r="AY891" s="1">
        <v>0</v>
      </c>
      <c r="AZ891" s="1">
        <v>0</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2" t="str">
        <f>HYPERLINK("http://www.d20pfsrd.com/magic/all-spells/t/treasure-stitching","Treasure Stitching")</f>
        <v>Treasure Stitching</v>
      </c>
      <c r="BR891" s="1">
        <v>914</v>
      </c>
      <c r="BS891" s="1">
        <v>100</v>
      </c>
      <c r="BX891" s="1">
        <v>0</v>
      </c>
      <c r="BY891" s="1" t="s">
        <v>104</v>
      </c>
      <c r="BZ891" s="1" t="s">
        <v>104</v>
      </c>
      <c r="CA891" s="1" t="s">
        <v>104</v>
      </c>
      <c r="CB891" s="1" t="s">
        <v>104</v>
      </c>
      <c r="CC891" s="1" t="s">
        <v>104</v>
      </c>
      <c r="CD891" s="1">
        <v>4</v>
      </c>
      <c r="CE891" s="1" t="s">
        <v>104</v>
      </c>
      <c r="CF891" s="1" t="s">
        <v>104</v>
      </c>
      <c r="CG891" s="1" t="s">
        <v>104</v>
      </c>
      <c r="CH891" s="1" t="s">
        <v>104</v>
      </c>
      <c r="CJ891" s="1">
        <v>0</v>
      </c>
      <c r="CK891" s="1">
        <v>0</v>
      </c>
      <c r="CL891" s="1">
        <v>0</v>
      </c>
      <c r="CM891" s="1" t="s">
        <v>104</v>
      </c>
    </row>
    <row r="892" spans="1:91" ht="14.25" customHeight="1" x14ac:dyDescent="0.3">
      <c r="A892" s="1" t="s">
        <v>5618</v>
      </c>
      <c r="B892" s="1" t="s">
        <v>162</v>
      </c>
      <c r="E892" s="1" t="s">
        <v>5619</v>
      </c>
      <c r="F892" s="1" t="s">
        <v>95</v>
      </c>
      <c r="G892" s="1" t="s">
        <v>116</v>
      </c>
      <c r="H892" s="1">
        <v>0</v>
      </c>
      <c r="I892" s="1" t="s">
        <v>109</v>
      </c>
      <c r="L892" s="1" t="s">
        <v>5620</v>
      </c>
      <c r="M892" s="1" t="s">
        <v>111</v>
      </c>
      <c r="N892" s="1">
        <v>0</v>
      </c>
      <c r="O892" s="1">
        <v>0</v>
      </c>
      <c r="P892" s="1" t="s">
        <v>211</v>
      </c>
      <c r="Q892" s="1" t="s">
        <v>184</v>
      </c>
      <c r="R892" s="1" t="s">
        <v>5621</v>
      </c>
      <c r="S892" s="1" t="s">
        <v>4403</v>
      </c>
      <c r="T892" s="1">
        <v>1</v>
      </c>
      <c r="U892" s="1">
        <v>1</v>
      </c>
      <c r="V892" s="1">
        <v>0</v>
      </c>
      <c r="W892" s="1">
        <v>0</v>
      </c>
      <c r="X892" s="1">
        <v>0</v>
      </c>
      <c r="Y892" s="1">
        <v>4</v>
      </c>
      <c r="Z892" s="1">
        <v>4</v>
      </c>
      <c r="AA892" s="1" t="s">
        <v>104</v>
      </c>
      <c r="AB892" s="1">
        <v>4</v>
      </c>
      <c r="AC892" s="1" t="s">
        <v>104</v>
      </c>
      <c r="AD892" s="1" t="s">
        <v>104</v>
      </c>
      <c r="AE892" s="1" t="s">
        <v>104</v>
      </c>
      <c r="AF892" s="1" t="s">
        <v>104</v>
      </c>
      <c r="AG892" s="1" t="s">
        <v>104</v>
      </c>
      <c r="AH892" s="1" t="s">
        <v>104</v>
      </c>
      <c r="AI892" s="1" t="s">
        <v>104</v>
      </c>
      <c r="AJ892" s="1" t="s">
        <v>104</v>
      </c>
      <c r="AK892" s="1" t="s">
        <v>104</v>
      </c>
      <c r="AL892" s="1" t="s">
        <v>104</v>
      </c>
      <c r="AM892" s="1" t="s">
        <v>104</v>
      </c>
      <c r="AO892" s="1">
        <v>4</v>
      </c>
      <c r="AQ892" s="1" t="s">
        <v>5622</v>
      </c>
      <c r="AR892" s="1">
        <v>0</v>
      </c>
      <c r="AS892" s="1">
        <v>0</v>
      </c>
      <c r="AT892" s="1">
        <v>0</v>
      </c>
      <c r="AU892" s="1">
        <v>0</v>
      </c>
      <c r="AV892" s="1">
        <v>0</v>
      </c>
      <c r="AW892" s="1">
        <v>0</v>
      </c>
      <c r="AX892" s="1">
        <v>0</v>
      </c>
      <c r="AY892" s="1">
        <v>0</v>
      </c>
      <c r="AZ892" s="1">
        <v>0</v>
      </c>
      <c r="BA892" s="1">
        <v>0</v>
      </c>
      <c r="BB892" s="1">
        <v>0</v>
      </c>
      <c r="BC892" s="1">
        <v>0</v>
      </c>
      <c r="BD892" s="1">
        <v>0</v>
      </c>
      <c r="BE892" s="1">
        <v>0</v>
      </c>
      <c r="BF892" s="1">
        <v>0</v>
      </c>
      <c r="BG892" s="1">
        <v>0</v>
      </c>
      <c r="BH892" s="1">
        <v>0</v>
      </c>
      <c r="BI892" s="1">
        <v>0</v>
      </c>
      <c r="BJ892" s="1">
        <v>0</v>
      </c>
      <c r="BK892" s="1">
        <v>0</v>
      </c>
      <c r="BL892" s="1">
        <v>0</v>
      </c>
      <c r="BM892" s="1">
        <v>0</v>
      </c>
      <c r="BN892" s="1">
        <v>0</v>
      </c>
      <c r="BO892" s="1">
        <v>0</v>
      </c>
      <c r="BP892" s="1">
        <v>0</v>
      </c>
      <c r="BQ892" s="2" t="str">
        <f>HYPERLINK("http://www.d20pfsrd.com/magic/all-spells/t/true-form","True Form")</f>
        <v>True Form</v>
      </c>
      <c r="BR892" s="1">
        <v>915</v>
      </c>
      <c r="BS892" s="1" t="s">
        <v>104</v>
      </c>
      <c r="BV892" s="1" t="s">
        <v>5623</v>
      </c>
      <c r="BW892" s="1" t="s">
        <v>5624</v>
      </c>
      <c r="BX892" s="1">
        <v>1</v>
      </c>
      <c r="BY892" s="1" t="s">
        <v>104</v>
      </c>
      <c r="BZ892" s="1" t="s">
        <v>104</v>
      </c>
      <c r="CA892" s="1">
        <v>4</v>
      </c>
      <c r="CB892" s="1" t="s">
        <v>104</v>
      </c>
      <c r="CC892" s="1" t="s">
        <v>104</v>
      </c>
      <c r="CD892" s="1">
        <v>4</v>
      </c>
      <c r="CE892" s="1" t="s">
        <v>104</v>
      </c>
      <c r="CF892" s="1" t="s">
        <v>104</v>
      </c>
      <c r="CG892" s="1" t="s">
        <v>104</v>
      </c>
      <c r="CH892" s="1">
        <v>4</v>
      </c>
      <c r="CJ892" s="1">
        <v>0</v>
      </c>
      <c r="CK892" s="1">
        <v>0</v>
      </c>
      <c r="CL892" s="1">
        <v>0</v>
      </c>
      <c r="CM892" s="1" t="s">
        <v>104</v>
      </c>
    </row>
    <row r="893" spans="1:91" ht="14.25" customHeight="1" x14ac:dyDescent="0.3">
      <c r="A893" s="1" t="s">
        <v>5625</v>
      </c>
      <c r="B893" s="1" t="s">
        <v>92</v>
      </c>
      <c r="C893" s="1" t="s">
        <v>93</v>
      </c>
      <c r="D893" s="1" t="s">
        <v>67</v>
      </c>
      <c r="E893" s="1" t="s">
        <v>3330</v>
      </c>
      <c r="F893" s="1" t="s">
        <v>95</v>
      </c>
      <c r="G893" s="1" t="s">
        <v>116</v>
      </c>
      <c r="H893" s="1">
        <v>0</v>
      </c>
      <c r="I893" s="1" t="s">
        <v>97</v>
      </c>
      <c r="K893" s="1" t="s">
        <v>5626</v>
      </c>
      <c r="M893" s="1" t="s">
        <v>5627</v>
      </c>
      <c r="N893" s="1">
        <v>0</v>
      </c>
      <c r="O893" s="1">
        <v>0</v>
      </c>
      <c r="P893" s="1" t="s">
        <v>145</v>
      </c>
      <c r="Q893" s="1" t="s">
        <v>101</v>
      </c>
      <c r="R893" s="1" t="s">
        <v>5628</v>
      </c>
      <c r="S893" s="1" t="s">
        <v>4403</v>
      </c>
      <c r="T893" s="1">
        <v>1</v>
      </c>
      <c r="U893" s="1">
        <v>1</v>
      </c>
      <c r="V893" s="1">
        <v>0</v>
      </c>
      <c r="W893" s="1">
        <v>0</v>
      </c>
      <c r="X893" s="1">
        <v>0</v>
      </c>
      <c r="Y893" s="1">
        <v>9</v>
      </c>
      <c r="Z893" s="1">
        <v>9</v>
      </c>
      <c r="AA893" s="1" t="s">
        <v>104</v>
      </c>
      <c r="AB893" s="1">
        <v>9</v>
      </c>
      <c r="AC893" s="1" t="s">
        <v>104</v>
      </c>
      <c r="AD893" s="1" t="s">
        <v>104</v>
      </c>
      <c r="AE893" s="1" t="s">
        <v>104</v>
      </c>
      <c r="AF893" s="1" t="s">
        <v>104</v>
      </c>
      <c r="AG893" s="1" t="s">
        <v>104</v>
      </c>
      <c r="AH893" s="1" t="s">
        <v>104</v>
      </c>
      <c r="AI893" s="1" t="s">
        <v>104</v>
      </c>
      <c r="AJ893" s="1" t="s">
        <v>104</v>
      </c>
      <c r="AK893" s="1" t="s">
        <v>104</v>
      </c>
      <c r="AL893" s="1" t="s">
        <v>104</v>
      </c>
      <c r="AM893" s="1" t="s">
        <v>104</v>
      </c>
      <c r="AO893" s="1">
        <v>9</v>
      </c>
      <c r="AP893" s="1" t="s">
        <v>5629</v>
      </c>
      <c r="AQ893" s="1" t="s">
        <v>5630</v>
      </c>
      <c r="AR893" s="1">
        <v>0</v>
      </c>
      <c r="AS893" s="1">
        <v>0</v>
      </c>
      <c r="AT893" s="1">
        <v>0</v>
      </c>
      <c r="AU893" s="1">
        <v>0</v>
      </c>
      <c r="AV893" s="1">
        <v>0</v>
      </c>
      <c r="AW893" s="1">
        <v>0</v>
      </c>
      <c r="AX893" s="1">
        <v>0</v>
      </c>
      <c r="AY893" s="1">
        <v>0</v>
      </c>
      <c r="AZ893" s="1">
        <v>0</v>
      </c>
      <c r="BA893" s="1">
        <v>0</v>
      </c>
      <c r="BB893" s="1">
        <v>0</v>
      </c>
      <c r="BC893" s="1">
        <v>0</v>
      </c>
      <c r="BD893" s="1">
        <v>0</v>
      </c>
      <c r="BE893" s="1">
        <v>0</v>
      </c>
      <c r="BF893" s="1">
        <v>0</v>
      </c>
      <c r="BG893" s="1">
        <v>0</v>
      </c>
      <c r="BH893" s="1">
        <v>0</v>
      </c>
      <c r="BI893" s="1">
        <v>0</v>
      </c>
      <c r="BJ893" s="1">
        <v>0</v>
      </c>
      <c r="BK893" s="1">
        <v>0</v>
      </c>
      <c r="BL893" s="1">
        <v>0</v>
      </c>
      <c r="BM893" s="1">
        <v>0</v>
      </c>
      <c r="BN893" s="1">
        <v>0</v>
      </c>
      <c r="BO893" s="1">
        <v>0</v>
      </c>
      <c r="BP893" s="1">
        <v>1</v>
      </c>
      <c r="BQ893" s="2" t="str">
        <f>HYPERLINK("http://www.d20pfsrd.com/magic/all-spells/t/tsunami","Tsunami")</f>
        <v>Tsunami</v>
      </c>
      <c r="BR893" s="1">
        <v>916</v>
      </c>
      <c r="BS893" s="1" t="s">
        <v>104</v>
      </c>
      <c r="BU893" s="1" t="s">
        <v>5631</v>
      </c>
      <c r="BV893" s="1" t="s">
        <v>5632</v>
      </c>
      <c r="BW893" s="1" t="s">
        <v>5633</v>
      </c>
      <c r="BX893" s="1">
        <v>1</v>
      </c>
      <c r="BY893" s="1" t="s">
        <v>104</v>
      </c>
      <c r="BZ893" s="1">
        <v>9</v>
      </c>
      <c r="CA893" s="1" t="s">
        <v>104</v>
      </c>
      <c r="CB893" s="1" t="s">
        <v>104</v>
      </c>
      <c r="CC893" s="1" t="s">
        <v>104</v>
      </c>
      <c r="CD893" s="1" t="s">
        <v>104</v>
      </c>
      <c r="CE893" s="1" t="s">
        <v>104</v>
      </c>
      <c r="CF893" s="1" t="s">
        <v>104</v>
      </c>
      <c r="CG893" s="1" t="s">
        <v>104</v>
      </c>
      <c r="CH893" s="1" t="s">
        <v>104</v>
      </c>
      <c r="CJ893" s="1">
        <v>0</v>
      </c>
      <c r="CK893" s="1">
        <v>0</v>
      </c>
      <c r="CL893" s="1">
        <v>0</v>
      </c>
      <c r="CM893" s="1" t="s">
        <v>104</v>
      </c>
    </row>
    <row r="894" spans="1:91" ht="14.25" customHeight="1" x14ac:dyDescent="0.3">
      <c r="A894" s="1" t="s">
        <v>5634</v>
      </c>
      <c r="B894" s="1" t="s">
        <v>434</v>
      </c>
      <c r="D894" s="1" t="s">
        <v>57</v>
      </c>
      <c r="E894" s="1" t="s">
        <v>5635</v>
      </c>
      <c r="F894" s="1" t="s">
        <v>95</v>
      </c>
      <c r="G894" s="1" t="s">
        <v>5636</v>
      </c>
      <c r="H894" s="1">
        <v>0</v>
      </c>
      <c r="I894" s="1" t="s">
        <v>117</v>
      </c>
      <c r="K894" s="1" t="s">
        <v>5637</v>
      </c>
      <c r="M894" s="1" t="s">
        <v>426</v>
      </c>
      <c r="N894" s="1">
        <v>1</v>
      </c>
      <c r="O894" s="1">
        <v>0</v>
      </c>
      <c r="P894" s="1" t="s">
        <v>100</v>
      </c>
      <c r="Q894" s="1" t="s">
        <v>184</v>
      </c>
      <c r="R894" s="1" t="s">
        <v>5638</v>
      </c>
      <c r="S894" s="1" t="s">
        <v>4403</v>
      </c>
      <c r="T894" s="1">
        <v>1</v>
      </c>
      <c r="U894" s="1">
        <v>1</v>
      </c>
      <c r="V894" s="1">
        <v>0</v>
      </c>
      <c r="W894" s="1">
        <v>0</v>
      </c>
      <c r="X894" s="1">
        <v>0</v>
      </c>
      <c r="Y894" s="1">
        <v>3</v>
      </c>
      <c r="Z894" s="1">
        <v>3</v>
      </c>
      <c r="AA894" s="1" t="s">
        <v>104</v>
      </c>
      <c r="AB894" s="1" t="s">
        <v>104</v>
      </c>
      <c r="AC894" s="1" t="s">
        <v>104</v>
      </c>
      <c r="AD894" s="1" t="s">
        <v>104</v>
      </c>
      <c r="AE894" s="1" t="s">
        <v>104</v>
      </c>
      <c r="AF894" s="1" t="s">
        <v>104</v>
      </c>
      <c r="AG894" s="1" t="s">
        <v>104</v>
      </c>
      <c r="AH894" s="1">
        <v>3</v>
      </c>
      <c r="AI894" s="1" t="s">
        <v>104</v>
      </c>
      <c r="AJ894" s="1" t="s">
        <v>104</v>
      </c>
      <c r="AK894" s="1" t="s">
        <v>104</v>
      </c>
      <c r="AL894" s="1" t="s">
        <v>104</v>
      </c>
      <c r="AM894" s="1" t="s">
        <v>104</v>
      </c>
      <c r="AO894" s="1">
        <v>3</v>
      </c>
      <c r="AQ894" s="1" t="s">
        <v>5639</v>
      </c>
      <c r="AR894" s="1">
        <v>0</v>
      </c>
      <c r="AS894" s="1">
        <v>0</v>
      </c>
      <c r="AT894" s="1">
        <v>0</v>
      </c>
      <c r="AU894" s="1">
        <v>0</v>
      </c>
      <c r="AV894" s="1">
        <v>0</v>
      </c>
      <c r="AW894" s="1">
        <v>0</v>
      </c>
      <c r="AX894" s="1">
        <v>0</v>
      </c>
      <c r="AY894" s="1">
        <v>0</v>
      </c>
      <c r="AZ894" s="1">
        <v>0</v>
      </c>
      <c r="BA894" s="1">
        <v>0</v>
      </c>
      <c r="BB894" s="1">
        <v>0</v>
      </c>
      <c r="BC894" s="1">
        <v>0</v>
      </c>
      <c r="BD894" s="1">
        <v>0</v>
      </c>
      <c r="BE894" s="1">
        <v>0</v>
      </c>
      <c r="BF894" s="1">
        <v>1</v>
      </c>
      <c r="BG894" s="1">
        <v>0</v>
      </c>
      <c r="BH894" s="1">
        <v>0</v>
      </c>
      <c r="BI894" s="1">
        <v>0</v>
      </c>
      <c r="BJ894" s="1">
        <v>0</v>
      </c>
      <c r="BK894" s="1">
        <v>0</v>
      </c>
      <c r="BL894" s="1">
        <v>0</v>
      </c>
      <c r="BM894" s="1">
        <v>0</v>
      </c>
      <c r="BN894" s="1">
        <v>0</v>
      </c>
      <c r="BO894" s="1">
        <v>0</v>
      </c>
      <c r="BP894" s="1">
        <v>0</v>
      </c>
      <c r="BQ894" s="2" t="str">
        <f>HYPERLINK("http://www.d20pfsrd.com/magic/all-spells/t/twilight-knife","Twilight Knife")</f>
        <v>Twilight Knife</v>
      </c>
      <c r="BR894" s="1">
        <v>917</v>
      </c>
      <c r="BS894" s="1" t="s">
        <v>104</v>
      </c>
      <c r="BU894" s="1" t="s">
        <v>5640</v>
      </c>
      <c r="BX894" s="1">
        <v>0</v>
      </c>
      <c r="BY894" s="1">
        <v>3</v>
      </c>
      <c r="BZ894" s="1" t="s">
        <v>104</v>
      </c>
      <c r="CA894" s="1">
        <v>3</v>
      </c>
      <c r="CB894" s="1" t="s">
        <v>104</v>
      </c>
      <c r="CC894" s="1" t="s">
        <v>104</v>
      </c>
      <c r="CD894" s="1">
        <v>3</v>
      </c>
      <c r="CE894" s="1">
        <v>3</v>
      </c>
      <c r="CF894" s="1" t="s">
        <v>104</v>
      </c>
      <c r="CG894" s="1" t="s">
        <v>104</v>
      </c>
      <c r="CH894" s="1" t="s">
        <v>104</v>
      </c>
      <c r="CJ894" s="1">
        <v>0</v>
      </c>
      <c r="CK894" s="1">
        <v>0</v>
      </c>
      <c r="CL894" s="1">
        <v>0</v>
      </c>
      <c r="CM894" s="1" t="s">
        <v>104</v>
      </c>
    </row>
    <row r="895" spans="1:91" ht="14.25" customHeight="1" x14ac:dyDescent="0.3">
      <c r="A895" s="1" t="s">
        <v>5641</v>
      </c>
      <c r="B895" s="1" t="s">
        <v>137</v>
      </c>
      <c r="E895" s="1" t="s">
        <v>5642</v>
      </c>
      <c r="F895" s="1" t="s">
        <v>95</v>
      </c>
      <c r="G895" s="1" t="s">
        <v>5643</v>
      </c>
      <c r="H895" s="1">
        <v>0</v>
      </c>
      <c r="I895" s="1" t="s">
        <v>157</v>
      </c>
      <c r="L895" s="1" t="s">
        <v>158</v>
      </c>
      <c r="M895" s="1" t="s">
        <v>5644</v>
      </c>
      <c r="N895" s="1">
        <v>1</v>
      </c>
      <c r="O895" s="1">
        <v>0</v>
      </c>
      <c r="R895" s="1" t="s">
        <v>5645</v>
      </c>
      <c r="S895" s="1" t="s">
        <v>4403</v>
      </c>
      <c r="T895" s="1">
        <v>1</v>
      </c>
      <c r="U895" s="1">
        <v>1</v>
      </c>
      <c r="V895" s="1">
        <v>1</v>
      </c>
      <c r="W895" s="1">
        <v>0</v>
      </c>
      <c r="X895" s="1">
        <v>0</v>
      </c>
      <c r="Y895" s="1" t="s">
        <v>104</v>
      </c>
      <c r="Z895" s="1" t="s">
        <v>104</v>
      </c>
      <c r="AA895" s="1" t="s">
        <v>104</v>
      </c>
      <c r="AB895" s="1" t="s">
        <v>104</v>
      </c>
      <c r="AC895" s="1" t="s">
        <v>104</v>
      </c>
      <c r="AD895" s="1" t="s">
        <v>104</v>
      </c>
      <c r="AE895" s="1" t="s">
        <v>104</v>
      </c>
      <c r="AF895" s="1">
        <v>6</v>
      </c>
      <c r="AG895" s="1" t="s">
        <v>104</v>
      </c>
      <c r="AH895" s="1" t="s">
        <v>104</v>
      </c>
      <c r="AI895" s="1" t="s">
        <v>104</v>
      </c>
      <c r="AJ895" s="1" t="s">
        <v>104</v>
      </c>
      <c r="AK895" s="1" t="s">
        <v>104</v>
      </c>
      <c r="AL895" s="1" t="s">
        <v>104</v>
      </c>
      <c r="AM895" s="1" t="s">
        <v>104</v>
      </c>
      <c r="AO895" s="1">
        <v>6</v>
      </c>
      <c r="AQ895" s="1" t="s">
        <v>5646</v>
      </c>
      <c r="AR895" s="1">
        <v>0</v>
      </c>
      <c r="AS895" s="1">
        <v>0</v>
      </c>
      <c r="AT895" s="1">
        <v>0</v>
      </c>
      <c r="AU895" s="1">
        <v>0</v>
      </c>
      <c r="AV895" s="1">
        <v>0</v>
      </c>
      <c r="AW895" s="1">
        <v>0</v>
      </c>
      <c r="AX895" s="1">
        <v>0</v>
      </c>
      <c r="AY895" s="1">
        <v>0</v>
      </c>
      <c r="AZ895" s="1">
        <v>0</v>
      </c>
      <c r="BA895" s="1">
        <v>0</v>
      </c>
      <c r="BB895" s="1">
        <v>0</v>
      </c>
      <c r="BC895" s="1">
        <v>0</v>
      </c>
      <c r="BD895" s="1">
        <v>0</v>
      </c>
      <c r="BE895" s="1">
        <v>0</v>
      </c>
      <c r="BF895" s="1">
        <v>0</v>
      </c>
      <c r="BG895" s="1">
        <v>0</v>
      </c>
      <c r="BH895" s="1">
        <v>0</v>
      </c>
      <c r="BI895" s="1">
        <v>0</v>
      </c>
      <c r="BJ895" s="1">
        <v>0</v>
      </c>
      <c r="BK895" s="1">
        <v>0</v>
      </c>
      <c r="BL895" s="1">
        <v>0</v>
      </c>
      <c r="BM895" s="1">
        <v>0</v>
      </c>
      <c r="BN895" s="1">
        <v>0</v>
      </c>
      <c r="BO895" s="1">
        <v>0</v>
      </c>
      <c r="BP895" s="1">
        <v>0</v>
      </c>
      <c r="BQ895" s="2" t="str">
        <f>HYPERLINK("http://www.d20pfsrd.com/magic/all-spells/t/twin-form","Twin Form")</f>
        <v>Twin Form</v>
      </c>
      <c r="BR895" s="1">
        <v>918</v>
      </c>
      <c r="BS895" s="1" t="s">
        <v>104</v>
      </c>
      <c r="BX895" s="1">
        <v>0</v>
      </c>
      <c r="BY895" s="1" t="s">
        <v>104</v>
      </c>
      <c r="BZ895" s="1" t="s">
        <v>104</v>
      </c>
      <c r="CA895" s="1" t="s">
        <v>104</v>
      </c>
      <c r="CB895" s="1" t="s">
        <v>104</v>
      </c>
      <c r="CC895" s="1" t="s">
        <v>104</v>
      </c>
      <c r="CD895" s="1" t="s">
        <v>104</v>
      </c>
      <c r="CE895" s="1" t="s">
        <v>104</v>
      </c>
      <c r="CF895" s="1" t="s">
        <v>104</v>
      </c>
      <c r="CG895" s="1" t="s">
        <v>104</v>
      </c>
      <c r="CH895" s="1" t="s">
        <v>104</v>
      </c>
      <c r="CJ895" s="1">
        <v>0</v>
      </c>
      <c r="CK895" s="1">
        <v>0</v>
      </c>
      <c r="CL895" s="1">
        <v>0</v>
      </c>
      <c r="CM895" s="1" t="s">
        <v>104</v>
      </c>
    </row>
    <row r="896" spans="1:91" ht="14.25" customHeight="1" x14ac:dyDescent="0.3">
      <c r="A896" s="1" t="s">
        <v>5647</v>
      </c>
      <c r="B896" s="1" t="s">
        <v>137</v>
      </c>
      <c r="E896" s="1" t="s">
        <v>5321</v>
      </c>
      <c r="F896" s="1" t="s">
        <v>95</v>
      </c>
      <c r="G896" s="1" t="s">
        <v>5648</v>
      </c>
      <c r="H896" s="1">
        <v>0</v>
      </c>
      <c r="I896" s="1" t="s">
        <v>109</v>
      </c>
      <c r="L896" s="1" t="s">
        <v>4874</v>
      </c>
      <c r="M896" s="1" t="s">
        <v>4292</v>
      </c>
      <c r="N896" s="1">
        <v>0</v>
      </c>
      <c r="O896" s="1">
        <v>0</v>
      </c>
      <c r="P896" s="1" t="s">
        <v>375</v>
      </c>
      <c r="Q896" s="1" t="s">
        <v>101</v>
      </c>
      <c r="R896" s="1" t="s">
        <v>5649</v>
      </c>
      <c r="S896" s="1" t="s">
        <v>4403</v>
      </c>
      <c r="T896" s="1">
        <v>1</v>
      </c>
      <c r="U896" s="1">
        <v>1</v>
      </c>
      <c r="V896" s="1">
        <v>1</v>
      </c>
      <c r="W896" s="1">
        <v>0</v>
      </c>
      <c r="X896" s="1">
        <v>0</v>
      </c>
      <c r="Y896" s="1" t="s">
        <v>104</v>
      </c>
      <c r="Z896" s="1" t="s">
        <v>104</v>
      </c>
      <c r="AA896" s="1" t="s">
        <v>104</v>
      </c>
      <c r="AB896" s="1" t="s">
        <v>104</v>
      </c>
      <c r="AC896" s="1" t="s">
        <v>104</v>
      </c>
      <c r="AD896" s="1" t="s">
        <v>104</v>
      </c>
      <c r="AE896" s="1" t="s">
        <v>104</v>
      </c>
      <c r="AF896" s="1" t="s">
        <v>104</v>
      </c>
      <c r="AG896" s="1">
        <v>1</v>
      </c>
      <c r="AH896" s="1" t="s">
        <v>104</v>
      </c>
      <c r="AI896" s="1" t="s">
        <v>104</v>
      </c>
      <c r="AJ896" s="1" t="s">
        <v>104</v>
      </c>
      <c r="AK896" s="1" t="s">
        <v>104</v>
      </c>
      <c r="AL896" s="1" t="s">
        <v>104</v>
      </c>
      <c r="AM896" s="1" t="s">
        <v>104</v>
      </c>
      <c r="AO896" s="1">
        <v>1</v>
      </c>
      <c r="AQ896" s="1" t="s">
        <v>5650</v>
      </c>
      <c r="AR896" s="1">
        <v>0</v>
      </c>
      <c r="AS896" s="1">
        <v>0</v>
      </c>
      <c r="AT896" s="1">
        <v>0</v>
      </c>
      <c r="AU896" s="1">
        <v>0</v>
      </c>
      <c r="AV896" s="1">
        <v>0</v>
      </c>
      <c r="AW896" s="1">
        <v>0</v>
      </c>
      <c r="AX896" s="1">
        <v>0</v>
      </c>
      <c r="AY896" s="1">
        <v>0</v>
      </c>
      <c r="AZ896" s="1">
        <v>0</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2" t="str">
        <f>HYPERLINK("http://www.d20pfsrd.com/magic/all-spells/u/unfett-er","Unfett er")</f>
        <v>Unfett er</v>
      </c>
      <c r="BR896" s="1">
        <v>919</v>
      </c>
      <c r="BS896" s="1" t="s">
        <v>104</v>
      </c>
      <c r="BX896" s="1">
        <v>0</v>
      </c>
      <c r="BY896" s="1" t="s">
        <v>104</v>
      </c>
      <c r="BZ896" s="1" t="s">
        <v>104</v>
      </c>
      <c r="CA896" s="1" t="s">
        <v>104</v>
      </c>
      <c r="CB896" s="1" t="s">
        <v>104</v>
      </c>
      <c r="CC896" s="1" t="s">
        <v>104</v>
      </c>
      <c r="CD896" s="1" t="s">
        <v>104</v>
      </c>
      <c r="CE896" s="1" t="s">
        <v>104</v>
      </c>
      <c r="CF896" s="1" t="s">
        <v>104</v>
      </c>
      <c r="CG896" s="1" t="s">
        <v>104</v>
      </c>
      <c r="CH896" s="1" t="s">
        <v>104</v>
      </c>
      <c r="CJ896" s="1">
        <v>0</v>
      </c>
      <c r="CK896" s="1">
        <v>0</v>
      </c>
      <c r="CL896" s="1">
        <v>0</v>
      </c>
      <c r="CM896" s="1">
        <v>1</v>
      </c>
    </row>
    <row r="897" spans="1:91" ht="14.25" customHeight="1" x14ac:dyDescent="0.3">
      <c r="A897" s="1" t="s">
        <v>5651</v>
      </c>
      <c r="B897" s="1" t="s">
        <v>137</v>
      </c>
      <c r="E897" s="1" t="s">
        <v>5652</v>
      </c>
      <c r="F897" s="1" t="s">
        <v>95</v>
      </c>
      <c r="G897" s="1" t="s">
        <v>5653</v>
      </c>
      <c r="H897" s="1">
        <v>1</v>
      </c>
      <c r="I897" s="1" t="s">
        <v>157</v>
      </c>
      <c r="L897" s="1" t="s">
        <v>158</v>
      </c>
      <c r="M897" s="1" t="s">
        <v>119</v>
      </c>
      <c r="N897" s="1">
        <v>0</v>
      </c>
      <c r="O897" s="1">
        <v>0</v>
      </c>
      <c r="R897" s="1" t="s">
        <v>5654</v>
      </c>
      <c r="S897" s="1" t="s">
        <v>4403</v>
      </c>
      <c r="T897" s="1">
        <v>1</v>
      </c>
      <c r="U897" s="1">
        <v>1</v>
      </c>
      <c r="V897" s="1">
        <v>1</v>
      </c>
      <c r="W897" s="1">
        <v>0</v>
      </c>
      <c r="X897" s="1">
        <v>0</v>
      </c>
      <c r="Y897" s="1" t="s">
        <v>104</v>
      </c>
      <c r="Z897" s="1" t="s">
        <v>104</v>
      </c>
      <c r="AA897" s="1" t="s">
        <v>104</v>
      </c>
      <c r="AB897" s="1" t="s">
        <v>104</v>
      </c>
      <c r="AC897" s="1" t="s">
        <v>104</v>
      </c>
      <c r="AD897" s="1" t="s">
        <v>104</v>
      </c>
      <c r="AE897" s="1" t="s">
        <v>104</v>
      </c>
      <c r="AF897" s="1">
        <v>4</v>
      </c>
      <c r="AG897" s="1" t="s">
        <v>104</v>
      </c>
      <c r="AH897" s="1" t="s">
        <v>104</v>
      </c>
      <c r="AI897" s="1" t="s">
        <v>104</v>
      </c>
      <c r="AJ897" s="1" t="s">
        <v>104</v>
      </c>
      <c r="AK897" s="1" t="s">
        <v>104</v>
      </c>
      <c r="AL897" s="1" t="s">
        <v>104</v>
      </c>
      <c r="AM897" s="1" t="s">
        <v>104</v>
      </c>
      <c r="AO897" s="1">
        <v>4</v>
      </c>
      <c r="AQ897" s="1" t="s">
        <v>5655</v>
      </c>
      <c r="AR897" s="1">
        <v>0</v>
      </c>
      <c r="AS897" s="1">
        <v>0</v>
      </c>
      <c r="AT897" s="1">
        <v>0</v>
      </c>
      <c r="AU897" s="1">
        <v>0</v>
      </c>
      <c r="AV897" s="1">
        <v>0</v>
      </c>
      <c r="AW897" s="1">
        <v>0</v>
      </c>
      <c r="AX897" s="1">
        <v>0</v>
      </c>
      <c r="AY897" s="1">
        <v>0</v>
      </c>
      <c r="AZ897" s="1">
        <v>0</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2" t="str">
        <f>HYPERLINK("http://www.d20pfsrd.com/magic/all-spells/u/universal-formula","Universal Formula")</f>
        <v>Universal Formula</v>
      </c>
      <c r="BR897" s="1">
        <v>920</v>
      </c>
      <c r="BS897" s="1">
        <v>100</v>
      </c>
      <c r="BX897" s="1">
        <v>0</v>
      </c>
      <c r="BY897" s="1" t="s">
        <v>104</v>
      </c>
      <c r="BZ897" s="1" t="s">
        <v>104</v>
      </c>
      <c r="CA897" s="1" t="s">
        <v>104</v>
      </c>
      <c r="CB897" s="1" t="s">
        <v>104</v>
      </c>
      <c r="CC897" s="1" t="s">
        <v>104</v>
      </c>
      <c r="CD897" s="1" t="s">
        <v>104</v>
      </c>
      <c r="CE897" s="1" t="s">
        <v>104</v>
      </c>
      <c r="CF897" s="1" t="s">
        <v>104</v>
      </c>
      <c r="CG897" s="1" t="s">
        <v>104</v>
      </c>
      <c r="CH897" s="1" t="s">
        <v>104</v>
      </c>
      <c r="CJ897" s="1">
        <v>0</v>
      </c>
      <c r="CK897" s="1">
        <v>0</v>
      </c>
      <c r="CL897" s="1">
        <v>0</v>
      </c>
      <c r="CM897" s="1" t="s">
        <v>104</v>
      </c>
    </row>
    <row r="898" spans="1:91" ht="14.25" customHeight="1" x14ac:dyDescent="0.3">
      <c r="A898" s="1" t="s">
        <v>5656</v>
      </c>
      <c r="B898" s="1" t="s">
        <v>216</v>
      </c>
      <c r="E898" s="1" t="s">
        <v>5657</v>
      </c>
      <c r="F898" s="1" t="s">
        <v>95</v>
      </c>
      <c r="G898" s="1" t="s">
        <v>5658</v>
      </c>
      <c r="H898" s="1">
        <v>1</v>
      </c>
      <c r="I898" s="1" t="s">
        <v>117</v>
      </c>
      <c r="L898" s="1" t="s">
        <v>1065</v>
      </c>
      <c r="M898" s="1" t="s">
        <v>426</v>
      </c>
      <c r="N898" s="1">
        <v>1</v>
      </c>
      <c r="O898" s="1">
        <v>0</v>
      </c>
      <c r="P898" s="1" t="s">
        <v>211</v>
      </c>
      <c r="Q898" s="1" t="s">
        <v>184</v>
      </c>
      <c r="R898" s="1" t="s">
        <v>5659</v>
      </c>
      <c r="S898" s="1" t="s">
        <v>4403</v>
      </c>
      <c r="T898" s="1">
        <v>1</v>
      </c>
      <c r="U898" s="1">
        <v>1</v>
      </c>
      <c r="V898" s="1">
        <v>1</v>
      </c>
      <c r="W898" s="1">
        <v>0</v>
      </c>
      <c r="X898" s="1">
        <v>0</v>
      </c>
      <c r="Y898" s="1">
        <v>6</v>
      </c>
      <c r="Z898" s="1">
        <v>6</v>
      </c>
      <c r="AA898" s="1" t="s">
        <v>104</v>
      </c>
      <c r="AB898" s="1" t="s">
        <v>104</v>
      </c>
      <c r="AC898" s="1" t="s">
        <v>104</v>
      </c>
      <c r="AD898" s="1">
        <v>5</v>
      </c>
      <c r="AE898" s="1" t="s">
        <v>104</v>
      </c>
      <c r="AF898" s="1" t="s">
        <v>104</v>
      </c>
      <c r="AG898" s="1" t="s">
        <v>104</v>
      </c>
      <c r="AH898" s="1">
        <v>6</v>
      </c>
      <c r="AI898" s="1">
        <v>5</v>
      </c>
      <c r="AJ898" s="1" t="s">
        <v>104</v>
      </c>
      <c r="AK898" s="1" t="s">
        <v>104</v>
      </c>
      <c r="AL898" s="1" t="s">
        <v>104</v>
      </c>
      <c r="AM898" s="1" t="s">
        <v>104</v>
      </c>
      <c r="AO898" s="1">
        <v>6</v>
      </c>
      <c r="AQ898" s="1" t="s">
        <v>5660</v>
      </c>
      <c r="AR898" s="1">
        <v>0</v>
      </c>
      <c r="AS898" s="1">
        <v>0</v>
      </c>
      <c r="AT898" s="1">
        <v>0</v>
      </c>
      <c r="AU898" s="1">
        <v>0</v>
      </c>
      <c r="AV898" s="1">
        <v>0</v>
      </c>
      <c r="AW898" s="1">
        <v>0</v>
      </c>
      <c r="AX898" s="1">
        <v>0</v>
      </c>
      <c r="AY898" s="1">
        <v>0</v>
      </c>
      <c r="AZ898" s="1">
        <v>0</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2" t="str">
        <f>HYPERLINK("http://www.d20pfsrd.com/magic/all-spells/u/unwilling-shield","Unwilling Shield")</f>
        <v>Unwilling Shield</v>
      </c>
      <c r="BR898" s="1">
        <v>921</v>
      </c>
      <c r="BS898" s="1">
        <v>250</v>
      </c>
      <c r="BX898" s="1">
        <v>0</v>
      </c>
      <c r="BY898" s="1" t="s">
        <v>104</v>
      </c>
      <c r="BZ898" s="1" t="s">
        <v>104</v>
      </c>
      <c r="CA898" s="1">
        <v>6</v>
      </c>
      <c r="CB898" s="1" t="s">
        <v>104</v>
      </c>
      <c r="CC898" s="1">
        <v>5</v>
      </c>
      <c r="CD898" s="1">
        <v>5</v>
      </c>
      <c r="CE898" s="1">
        <v>6</v>
      </c>
      <c r="CF898" s="1" t="s">
        <v>104</v>
      </c>
      <c r="CG898" s="1" t="s">
        <v>104</v>
      </c>
      <c r="CH898" s="1" t="s">
        <v>104</v>
      </c>
      <c r="CJ898" s="1">
        <v>0</v>
      </c>
      <c r="CK898" s="1">
        <v>0</v>
      </c>
      <c r="CL898" s="1">
        <v>0</v>
      </c>
      <c r="CM898" s="1" t="s">
        <v>104</v>
      </c>
    </row>
    <row r="899" spans="1:91" ht="14.25" customHeight="1" x14ac:dyDescent="0.3">
      <c r="A899" s="1" t="s">
        <v>5661</v>
      </c>
      <c r="B899" s="1" t="s">
        <v>123</v>
      </c>
      <c r="C899" s="1" t="s">
        <v>635</v>
      </c>
      <c r="D899" s="1" t="s">
        <v>125</v>
      </c>
      <c r="E899" s="1" t="s">
        <v>5662</v>
      </c>
      <c r="F899" s="1" t="s">
        <v>95</v>
      </c>
      <c r="G899" s="1" t="s">
        <v>116</v>
      </c>
      <c r="H899" s="1">
        <v>0</v>
      </c>
      <c r="I899" s="1" t="s">
        <v>117</v>
      </c>
      <c r="L899" s="1" t="s">
        <v>417</v>
      </c>
      <c r="M899" s="1" t="s">
        <v>255</v>
      </c>
      <c r="N899" s="1">
        <v>0</v>
      </c>
      <c r="O899" s="1">
        <v>0</v>
      </c>
      <c r="P899" s="1" t="s">
        <v>211</v>
      </c>
      <c r="Q899" s="1" t="s">
        <v>184</v>
      </c>
      <c r="R899" s="1" t="s">
        <v>5663</v>
      </c>
      <c r="S899" s="1" t="s">
        <v>4403</v>
      </c>
      <c r="T899" s="1">
        <v>1</v>
      </c>
      <c r="U899" s="1">
        <v>1</v>
      </c>
      <c r="V899" s="1">
        <v>0</v>
      </c>
      <c r="W899" s="1">
        <v>0</v>
      </c>
      <c r="X899" s="1">
        <v>0</v>
      </c>
      <c r="Y899" s="1" t="s">
        <v>104</v>
      </c>
      <c r="Z899" s="1" t="s">
        <v>104</v>
      </c>
      <c r="AA899" s="1" t="s">
        <v>104</v>
      </c>
      <c r="AB899" s="1" t="s">
        <v>104</v>
      </c>
      <c r="AC899" s="1" t="s">
        <v>104</v>
      </c>
      <c r="AD899" s="1">
        <v>0</v>
      </c>
      <c r="AE899" s="1" t="s">
        <v>104</v>
      </c>
      <c r="AF899" s="1" t="s">
        <v>104</v>
      </c>
      <c r="AG899" s="1" t="s">
        <v>104</v>
      </c>
      <c r="AH899" s="1" t="s">
        <v>104</v>
      </c>
      <c r="AI899" s="1" t="s">
        <v>104</v>
      </c>
      <c r="AJ899" s="1" t="s">
        <v>104</v>
      </c>
      <c r="AK899" s="1" t="s">
        <v>104</v>
      </c>
      <c r="AL899" s="1" t="s">
        <v>104</v>
      </c>
      <c r="AM899" s="1" t="s">
        <v>104</v>
      </c>
      <c r="AO899" s="1">
        <v>0</v>
      </c>
      <c r="AQ899" s="1" t="s">
        <v>5664</v>
      </c>
      <c r="AR899" s="1">
        <v>0</v>
      </c>
      <c r="AS899" s="1">
        <v>0</v>
      </c>
      <c r="AT899" s="1">
        <v>0</v>
      </c>
      <c r="AU899" s="1">
        <v>0</v>
      </c>
      <c r="AV899" s="1">
        <v>0</v>
      </c>
      <c r="AW899" s="1">
        <v>0</v>
      </c>
      <c r="AX899" s="1">
        <v>0</v>
      </c>
      <c r="AY899" s="1">
        <v>0</v>
      </c>
      <c r="AZ899" s="1">
        <v>0</v>
      </c>
      <c r="BA899" s="1">
        <v>0</v>
      </c>
      <c r="BB899" s="1">
        <v>0</v>
      </c>
      <c r="BC899" s="1">
        <v>0</v>
      </c>
      <c r="BD899" s="1">
        <v>0</v>
      </c>
      <c r="BE899" s="1">
        <v>0</v>
      </c>
      <c r="BF899" s="1">
        <v>0</v>
      </c>
      <c r="BG899" s="1">
        <v>0</v>
      </c>
      <c r="BH899" s="1">
        <v>0</v>
      </c>
      <c r="BI899" s="1">
        <v>0</v>
      </c>
      <c r="BJ899" s="1">
        <v>0</v>
      </c>
      <c r="BK899" s="1">
        <v>1</v>
      </c>
      <c r="BL899" s="1">
        <v>0</v>
      </c>
      <c r="BM899" s="1">
        <v>0</v>
      </c>
      <c r="BN899" s="1">
        <v>0</v>
      </c>
      <c r="BO899" s="1">
        <v>0</v>
      </c>
      <c r="BP899" s="1">
        <v>0</v>
      </c>
      <c r="BQ899" s="2" t="str">
        <f>HYPERLINK("http://www.d20pfsrd.com/magic/all-spells/u/unwitting-ally","Unwitting Ally")</f>
        <v>Unwitting Ally</v>
      </c>
      <c r="BR899" s="1">
        <v>922</v>
      </c>
      <c r="BS899" s="1" t="s">
        <v>104</v>
      </c>
      <c r="BX899" s="1">
        <v>0</v>
      </c>
      <c r="BY899" s="1" t="s">
        <v>104</v>
      </c>
      <c r="BZ899" s="1" t="s">
        <v>104</v>
      </c>
      <c r="CA899" s="1">
        <v>1</v>
      </c>
      <c r="CB899" s="1" t="s">
        <v>104</v>
      </c>
      <c r="CC899" s="1">
        <v>0</v>
      </c>
      <c r="CD899" s="1" t="s">
        <v>104</v>
      </c>
      <c r="CE899" s="1" t="s">
        <v>104</v>
      </c>
      <c r="CF899" s="1" t="s">
        <v>104</v>
      </c>
      <c r="CG899" s="1" t="s">
        <v>104</v>
      </c>
      <c r="CH899" s="1" t="s">
        <v>104</v>
      </c>
      <c r="CJ899" s="1">
        <v>0</v>
      </c>
      <c r="CK899" s="1">
        <v>0</v>
      </c>
      <c r="CL899" s="1">
        <v>0</v>
      </c>
      <c r="CM899" s="1" t="s">
        <v>104</v>
      </c>
    </row>
    <row r="900" spans="1:91" ht="14.25" customHeight="1" x14ac:dyDescent="0.3">
      <c r="A900" s="1" t="s">
        <v>5665</v>
      </c>
      <c r="B900" s="1" t="s">
        <v>507</v>
      </c>
      <c r="C900" s="1" t="s">
        <v>508</v>
      </c>
      <c r="E900" s="1" t="s">
        <v>5666</v>
      </c>
      <c r="F900" s="1" t="s">
        <v>95</v>
      </c>
      <c r="G900" s="1" t="s">
        <v>116</v>
      </c>
      <c r="H900" s="1">
        <v>0</v>
      </c>
      <c r="I900" s="1" t="s">
        <v>128</v>
      </c>
      <c r="L900" s="1" t="s">
        <v>374</v>
      </c>
      <c r="M900" s="1" t="s">
        <v>5667</v>
      </c>
      <c r="N900" s="1">
        <v>1</v>
      </c>
      <c r="O900" s="1">
        <v>0</v>
      </c>
      <c r="P900" s="1" t="s">
        <v>375</v>
      </c>
      <c r="Q900" s="1" t="s">
        <v>131</v>
      </c>
      <c r="R900" s="1" t="s">
        <v>5668</v>
      </c>
      <c r="S900" s="1" t="s">
        <v>4403</v>
      </c>
      <c r="T900" s="1">
        <v>1</v>
      </c>
      <c r="U900" s="1">
        <v>1</v>
      </c>
      <c r="V900" s="1">
        <v>0</v>
      </c>
      <c r="W900" s="1">
        <v>0</v>
      </c>
      <c r="X900" s="1">
        <v>0</v>
      </c>
      <c r="Y900" s="1">
        <v>1</v>
      </c>
      <c r="Z900" s="1">
        <v>1</v>
      </c>
      <c r="AA900" s="1" t="s">
        <v>104</v>
      </c>
      <c r="AB900" s="1" t="s">
        <v>104</v>
      </c>
      <c r="AC900" s="1" t="s">
        <v>104</v>
      </c>
      <c r="AD900" s="1">
        <v>1</v>
      </c>
      <c r="AE900" s="1" t="s">
        <v>104</v>
      </c>
      <c r="AF900" s="1" t="s">
        <v>104</v>
      </c>
      <c r="AG900" s="1" t="s">
        <v>104</v>
      </c>
      <c r="AH900" s="1" t="s">
        <v>104</v>
      </c>
      <c r="AI900" s="1" t="s">
        <v>104</v>
      </c>
      <c r="AJ900" s="1" t="s">
        <v>104</v>
      </c>
      <c r="AK900" s="1" t="s">
        <v>104</v>
      </c>
      <c r="AL900" s="1">
        <v>1</v>
      </c>
      <c r="AM900" s="1" t="s">
        <v>104</v>
      </c>
      <c r="AO900" s="1">
        <v>1</v>
      </c>
      <c r="AQ900" s="1" t="s">
        <v>5669</v>
      </c>
      <c r="AR900" s="1">
        <v>0</v>
      </c>
      <c r="AS900" s="1">
        <v>0</v>
      </c>
      <c r="AT900" s="1">
        <v>0</v>
      </c>
      <c r="AU900" s="1">
        <v>0</v>
      </c>
      <c r="AV900" s="1">
        <v>0</v>
      </c>
      <c r="AW900" s="1">
        <v>0</v>
      </c>
      <c r="AX900" s="1">
        <v>0</v>
      </c>
      <c r="AY900" s="1">
        <v>0</v>
      </c>
      <c r="AZ900" s="1">
        <v>0</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2" t="str">
        <f>HYPERLINK("http://www.d20pfsrd.com/magic/all-spells/v/vanish","Vanish")</f>
        <v>Vanish</v>
      </c>
      <c r="BR900" s="1">
        <v>923</v>
      </c>
      <c r="BS900" s="1" t="s">
        <v>104</v>
      </c>
      <c r="BX900" s="1">
        <v>0</v>
      </c>
      <c r="BY900" s="1" t="s">
        <v>104</v>
      </c>
      <c r="BZ900" s="1" t="s">
        <v>104</v>
      </c>
      <c r="CA900" s="1">
        <v>1</v>
      </c>
      <c r="CB900" s="1" t="s">
        <v>104</v>
      </c>
      <c r="CC900" s="1">
        <v>1</v>
      </c>
      <c r="CD900" s="1">
        <v>1</v>
      </c>
      <c r="CE900" s="1" t="s">
        <v>104</v>
      </c>
      <c r="CF900" s="1" t="s">
        <v>104</v>
      </c>
      <c r="CG900" s="1" t="s">
        <v>104</v>
      </c>
      <c r="CH900" s="1" t="s">
        <v>104</v>
      </c>
      <c r="CJ900" s="1">
        <v>0</v>
      </c>
      <c r="CK900" s="1">
        <v>0</v>
      </c>
      <c r="CL900" s="1">
        <v>0</v>
      </c>
      <c r="CM900" s="1" t="s">
        <v>104</v>
      </c>
    </row>
    <row r="901" spans="1:91" ht="14.25" customHeight="1" x14ac:dyDescent="0.3">
      <c r="A901" s="1" t="s">
        <v>5670</v>
      </c>
      <c r="B901" s="1" t="s">
        <v>162</v>
      </c>
      <c r="D901" s="1" t="s">
        <v>58</v>
      </c>
      <c r="E901" s="1" t="s">
        <v>478</v>
      </c>
      <c r="F901" s="1" t="s">
        <v>95</v>
      </c>
      <c r="G901" s="1" t="s">
        <v>127</v>
      </c>
      <c r="H901" s="1">
        <v>0</v>
      </c>
      <c r="I901" s="1" t="s">
        <v>5671</v>
      </c>
      <c r="L901" s="1" t="s">
        <v>5672</v>
      </c>
      <c r="M901" s="1" t="s">
        <v>4992</v>
      </c>
      <c r="N901" s="1">
        <v>1</v>
      </c>
      <c r="O901" s="1">
        <v>0</v>
      </c>
      <c r="R901" s="1" t="s">
        <v>5673</v>
      </c>
      <c r="S901" s="1" t="s">
        <v>4403</v>
      </c>
      <c r="T901" s="1">
        <v>1</v>
      </c>
      <c r="U901" s="1">
        <v>1</v>
      </c>
      <c r="V901" s="1">
        <v>0</v>
      </c>
      <c r="W901" s="1">
        <v>0</v>
      </c>
      <c r="X901" s="1">
        <v>1</v>
      </c>
      <c r="Y901" s="1" t="s">
        <v>104</v>
      </c>
      <c r="Z901" s="1" t="s">
        <v>104</v>
      </c>
      <c r="AA901" s="1" t="s">
        <v>104</v>
      </c>
      <c r="AB901" s="1" t="s">
        <v>104</v>
      </c>
      <c r="AC901" s="1" t="s">
        <v>104</v>
      </c>
      <c r="AD901" s="1" t="s">
        <v>104</v>
      </c>
      <c r="AE901" s="1">
        <v>1</v>
      </c>
      <c r="AF901" s="1" t="s">
        <v>104</v>
      </c>
      <c r="AG901" s="1" t="s">
        <v>104</v>
      </c>
      <c r="AH901" s="1" t="s">
        <v>104</v>
      </c>
      <c r="AI901" s="1" t="s">
        <v>104</v>
      </c>
      <c r="AJ901" s="1" t="s">
        <v>104</v>
      </c>
      <c r="AK901" s="1" t="s">
        <v>104</v>
      </c>
      <c r="AL901" s="1" t="s">
        <v>104</v>
      </c>
      <c r="AM901" s="1" t="s">
        <v>104</v>
      </c>
      <c r="AO901" s="1">
        <v>1</v>
      </c>
      <c r="AQ901" s="1" t="s">
        <v>5674</v>
      </c>
      <c r="AR901" s="1">
        <v>0</v>
      </c>
      <c r="AS901" s="1">
        <v>0</v>
      </c>
      <c r="AT901" s="1">
        <v>0</v>
      </c>
      <c r="AU901" s="1">
        <v>0</v>
      </c>
      <c r="AV901" s="1">
        <v>0</v>
      </c>
      <c r="AW901" s="1">
        <v>0</v>
      </c>
      <c r="AX901" s="1">
        <v>0</v>
      </c>
      <c r="AY901" s="1">
        <v>0</v>
      </c>
      <c r="AZ901" s="1">
        <v>0</v>
      </c>
      <c r="BA901" s="1">
        <v>0</v>
      </c>
      <c r="BB901" s="1">
        <v>0</v>
      </c>
      <c r="BC901" s="1">
        <v>0</v>
      </c>
      <c r="BD901" s="1">
        <v>0</v>
      </c>
      <c r="BE901" s="1">
        <v>0</v>
      </c>
      <c r="BF901" s="1">
        <v>0</v>
      </c>
      <c r="BG901" s="1">
        <v>1</v>
      </c>
      <c r="BH901" s="1">
        <v>0</v>
      </c>
      <c r="BI901" s="1">
        <v>0</v>
      </c>
      <c r="BJ901" s="1">
        <v>0</v>
      </c>
      <c r="BK901" s="1">
        <v>0</v>
      </c>
      <c r="BL901" s="1">
        <v>0</v>
      </c>
      <c r="BM901" s="1">
        <v>0</v>
      </c>
      <c r="BN901" s="1">
        <v>0</v>
      </c>
      <c r="BO901" s="1">
        <v>0</v>
      </c>
      <c r="BP901" s="1">
        <v>0</v>
      </c>
      <c r="BQ901" s="2" t="str">
        <f>HYPERLINK("http://www.d20pfsrd.com/magic/all-spells/v/veil-of-positive-energy","Veil of Positive Energy")</f>
        <v>Veil of Positive Energy</v>
      </c>
      <c r="BR901" s="1">
        <v>924</v>
      </c>
      <c r="BS901" s="1" t="s">
        <v>104</v>
      </c>
      <c r="BX901" s="1">
        <v>0</v>
      </c>
      <c r="BY901" s="1" t="s">
        <v>104</v>
      </c>
      <c r="BZ901" s="1" t="s">
        <v>104</v>
      </c>
      <c r="CA901" s="1" t="s">
        <v>104</v>
      </c>
      <c r="CB901" s="1" t="s">
        <v>104</v>
      </c>
      <c r="CC901" s="1" t="s">
        <v>104</v>
      </c>
      <c r="CD901" s="1" t="s">
        <v>104</v>
      </c>
      <c r="CE901" s="1" t="s">
        <v>104</v>
      </c>
      <c r="CF901" s="1" t="s">
        <v>104</v>
      </c>
      <c r="CG901" s="1" t="s">
        <v>104</v>
      </c>
      <c r="CH901" s="1" t="s">
        <v>104</v>
      </c>
      <c r="CJ901" s="1">
        <v>0</v>
      </c>
      <c r="CK901" s="1">
        <v>0</v>
      </c>
      <c r="CL901" s="1">
        <v>0</v>
      </c>
      <c r="CM901" s="1" t="s">
        <v>104</v>
      </c>
    </row>
    <row r="902" spans="1:91" ht="14.25" customHeight="1" x14ac:dyDescent="0.3">
      <c r="A902" s="1" t="s">
        <v>5675</v>
      </c>
      <c r="B902" s="1" t="s">
        <v>216</v>
      </c>
      <c r="D902" s="1" t="s">
        <v>64</v>
      </c>
      <c r="E902" s="1" t="s">
        <v>5134</v>
      </c>
      <c r="F902" s="1" t="s">
        <v>4934</v>
      </c>
      <c r="G902" s="1" t="s">
        <v>116</v>
      </c>
      <c r="H902" s="1">
        <v>0</v>
      </c>
      <c r="I902" s="1" t="s">
        <v>705</v>
      </c>
      <c r="L902" s="1" t="s">
        <v>5676</v>
      </c>
      <c r="M902" s="1" t="s">
        <v>119</v>
      </c>
      <c r="N902" s="1">
        <v>0</v>
      </c>
      <c r="O902" s="1">
        <v>0</v>
      </c>
      <c r="P902" s="1" t="s">
        <v>2807</v>
      </c>
      <c r="Q902" s="1" t="s">
        <v>184</v>
      </c>
      <c r="R902" s="1" t="s">
        <v>5677</v>
      </c>
      <c r="S902" s="1" t="s">
        <v>4403</v>
      </c>
      <c r="T902" s="1">
        <v>1</v>
      </c>
      <c r="U902" s="1">
        <v>1</v>
      </c>
      <c r="V902" s="1">
        <v>0</v>
      </c>
      <c r="W902" s="1">
        <v>0</v>
      </c>
      <c r="X902" s="1">
        <v>0</v>
      </c>
      <c r="Y902" s="1" t="s">
        <v>104</v>
      </c>
      <c r="Z902" s="1" t="s">
        <v>104</v>
      </c>
      <c r="AA902" s="1" t="s">
        <v>104</v>
      </c>
      <c r="AB902" s="1" t="s">
        <v>104</v>
      </c>
      <c r="AC902" s="1">
        <v>3</v>
      </c>
      <c r="AD902" s="1" t="s">
        <v>104</v>
      </c>
      <c r="AE902" s="1" t="s">
        <v>104</v>
      </c>
      <c r="AF902" s="1" t="s">
        <v>104</v>
      </c>
      <c r="AG902" s="1" t="s">
        <v>104</v>
      </c>
      <c r="AH902" s="1" t="s">
        <v>104</v>
      </c>
      <c r="AI902" s="1" t="s">
        <v>104</v>
      </c>
      <c r="AJ902" s="1" t="s">
        <v>104</v>
      </c>
      <c r="AK902" s="1" t="s">
        <v>104</v>
      </c>
      <c r="AL902" s="1" t="s">
        <v>104</v>
      </c>
      <c r="AM902" s="1" t="s">
        <v>104</v>
      </c>
      <c r="AO902" s="1">
        <v>3</v>
      </c>
      <c r="AQ902" s="1" t="s">
        <v>5678</v>
      </c>
      <c r="AR902" s="1">
        <v>0</v>
      </c>
      <c r="AS902" s="1">
        <v>0</v>
      </c>
      <c r="AT902" s="1">
        <v>0</v>
      </c>
      <c r="AU902" s="1">
        <v>0</v>
      </c>
      <c r="AV902" s="1">
        <v>0</v>
      </c>
      <c r="AW902" s="1">
        <v>0</v>
      </c>
      <c r="AX902" s="1">
        <v>0</v>
      </c>
      <c r="AY902" s="1">
        <v>0</v>
      </c>
      <c r="AZ902" s="1">
        <v>0</v>
      </c>
      <c r="BA902" s="1">
        <v>0</v>
      </c>
      <c r="BB902" s="1">
        <v>0</v>
      </c>
      <c r="BC902" s="1">
        <v>0</v>
      </c>
      <c r="BD902" s="1">
        <v>0</v>
      </c>
      <c r="BE902" s="1">
        <v>0</v>
      </c>
      <c r="BF902" s="1">
        <v>0</v>
      </c>
      <c r="BG902" s="1">
        <v>0</v>
      </c>
      <c r="BH902" s="1">
        <v>0</v>
      </c>
      <c r="BI902" s="1">
        <v>0</v>
      </c>
      <c r="BJ902" s="1">
        <v>0</v>
      </c>
      <c r="BK902" s="1">
        <v>0</v>
      </c>
      <c r="BL902" s="1">
        <v>0</v>
      </c>
      <c r="BM902" s="1">
        <v>1</v>
      </c>
      <c r="BN902" s="1">
        <v>0</v>
      </c>
      <c r="BO902" s="1">
        <v>0</v>
      </c>
      <c r="BP902" s="1">
        <v>0</v>
      </c>
      <c r="BQ902" s="2" t="str">
        <f>HYPERLINK("http://www.d20pfsrd.com/magic/all-spells/v/venomous-bolt","Venomous Bolt")</f>
        <v>Venomous Bolt</v>
      </c>
      <c r="BR902" s="1">
        <v>925</v>
      </c>
      <c r="BS902" s="1" t="s">
        <v>104</v>
      </c>
      <c r="BX902" s="1">
        <v>0</v>
      </c>
      <c r="BY902" s="1" t="s">
        <v>104</v>
      </c>
      <c r="BZ902" s="1" t="s">
        <v>104</v>
      </c>
      <c r="CA902" s="1" t="s">
        <v>104</v>
      </c>
      <c r="CB902" s="1" t="s">
        <v>104</v>
      </c>
      <c r="CC902" s="1" t="s">
        <v>104</v>
      </c>
      <c r="CD902" s="1" t="s">
        <v>104</v>
      </c>
      <c r="CE902" s="1" t="s">
        <v>104</v>
      </c>
      <c r="CF902" s="1" t="s">
        <v>104</v>
      </c>
      <c r="CG902" s="1" t="s">
        <v>104</v>
      </c>
      <c r="CH902" s="1">
        <v>3</v>
      </c>
      <c r="CJ902" s="1">
        <v>0</v>
      </c>
      <c r="CK902" s="1">
        <v>0</v>
      </c>
      <c r="CL902" s="1">
        <v>0</v>
      </c>
      <c r="CM902" s="1" t="s">
        <v>104</v>
      </c>
    </row>
    <row r="903" spans="1:91" ht="14.25" customHeight="1" x14ac:dyDescent="0.3">
      <c r="A903" s="1" t="s">
        <v>5679</v>
      </c>
      <c r="B903" s="1" t="s">
        <v>137</v>
      </c>
      <c r="E903" s="1" t="s">
        <v>5680</v>
      </c>
      <c r="F903" s="1" t="s">
        <v>95</v>
      </c>
      <c r="G903" s="1" t="s">
        <v>4302</v>
      </c>
      <c r="H903" s="1">
        <v>0</v>
      </c>
      <c r="I903" s="1" t="s">
        <v>117</v>
      </c>
      <c r="L903" s="1" t="s">
        <v>2235</v>
      </c>
      <c r="M903" s="1" t="s">
        <v>2330</v>
      </c>
      <c r="N903" s="1">
        <v>0</v>
      </c>
      <c r="O903" s="1">
        <v>0</v>
      </c>
      <c r="P903" s="1" t="s">
        <v>148</v>
      </c>
      <c r="Q903" s="1" t="s">
        <v>149</v>
      </c>
      <c r="R903" s="1" t="s">
        <v>5681</v>
      </c>
      <c r="S903" s="1" t="s">
        <v>4403</v>
      </c>
      <c r="T903" s="1">
        <v>1</v>
      </c>
      <c r="U903" s="1">
        <v>1</v>
      </c>
      <c r="V903" s="1">
        <v>1</v>
      </c>
      <c r="W903" s="1">
        <v>0</v>
      </c>
      <c r="X903" s="1">
        <v>0</v>
      </c>
      <c r="Y903" s="1">
        <v>3</v>
      </c>
      <c r="Z903" s="1">
        <v>3</v>
      </c>
      <c r="AA903" s="1" t="s">
        <v>104</v>
      </c>
      <c r="AB903" s="1" t="s">
        <v>104</v>
      </c>
      <c r="AC903" s="1">
        <v>2</v>
      </c>
      <c r="AD903" s="1">
        <v>2</v>
      </c>
      <c r="AE903" s="1" t="s">
        <v>104</v>
      </c>
      <c r="AF903" s="1" t="s">
        <v>104</v>
      </c>
      <c r="AG903" s="1" t="s">
        <v>104</v>
      </c>
      <c r="AH903" s="1" t="s">
        <v>104</v>
      </c>
      <c r="AI903" s="1" t="s">
        <v>104</v>
      </c>
      <c r="AJ903" s="1" t="s">
        <v>104</v>
      </c>
      <c r="AK903" s="1" t="s">
        <v>104</v>
      </c>
      <c r="AL903" s="1">
        <v>3</v>
      </c>
      <c r="AM903" s="1" t="s">
        <v>104</v>
      </c>
      <c r="AO903" s="1">
        <v>3</v>
      </c>
      <c r="AQ903" s="1" t="s">
        <v>5682</v>
      </c>
      <c r="AR903" s="1">
        <v>0</v>
      </c>
      <c r="AS903" s="1">
        <v>0</v>
      </c>
      <c r="AT903" s="1">
        <v>0</v>
      </c>
      <c r="AU903" s="1">
        <v>0</v>
      </c>
      <c r="AV903" s="1">
        <v>0</v>
      </c>
      <c r="AW903" s="1">
        <v>0</v>
      </c>
      <c r="AX903" s="1">
        <v>0</v>
      </c>
      <c r="AY903" s="1">
        <v>0</v>
      </c>
      <c r="AZ903" s="1">
        <v>0</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2" t="str">
        <f>HYPERLINK("http://www.d20pfsrd.com/magic/all-spells/v/versatile-weapon","Versatile Weapon")</f>
        <v>Versatile Weapon</v>
      </c>
      <c r="BR903" s="1">
        <v>926</v>
      </c>
      <c r="BS903" s="1" t="s">
        <v>104</v>
      </c>
      <c r="BX903" s="1">
        <v>0</v>
      </c>
      <c r="BY903" s="1">
        <v>3</v>
      </c>
      <c r="BZ903" s="1" t="s">
        <v>104</v>
      </c>
      <c r="CA903" s="1">
        <v>3</v>
      </c>
      <c r="CB903" s="1" t="s">
        <v>104</v>
      </c>
      <c r="CC903" s="1" t="s">
        <v>104</v>
      </c>
      <c r="CD903" s="1">
        <v>2</v>
      </c>
      <c r="CE903" s="1" t="s">
        <v>104</v>
      </c>
      <c r="CF903" s="1" t="s">
        <v>104</v>
      </c>
      <c r="CG903" s="1" t="s">
        <v>104</v>
      </c>
      <c r="CH903" s="1">
        <v>2</v>
      </c>
      <c r="CJ903" s="1">
        <v>0</v>
      </c>
      <c r="CK903" s="1">
        <v>0</v>
      </c>
      <c r="CL903" s="1">
        <v>0</v>
      </c>
      <c r="CM903" s="1" t="s">
        <v>104</v>
      </c>
    </row>
    <row r="904" spans="1:91" ht="14.25" customHeight="1" x14ac:dyDescent="0.3">
      <c r="A904" s="1" t="s">
        <v>5683</v>
      </c>
      <c r="B904" s="1" t="s">
        <v>92</v>
      </c>
      <c r="C904" s="1" t="s">
        <v>903</v>
      </c>
      <c r="E904" s="1" t="s">
        <v>5684</v>
      </c>
      <c r="F904" s="1" t="s">
        <v>95</v>
      </c>
      <c r="G904" s="1" t="s">
        <v>1802</v>
      </c>
      <c r="H904" s="1">
        <v>0</v>
      </c>
      <c r="I904" s="1" t="s">
        <v>157</v>
      </c>
      <c r="K904" s="1" t="s">
        <v>5685</v>
      </c>
      <c r="M904" s="1" t="s">
        <v>111</v>
      </c>
      <c r="N904" s="1">
        <v>0</v>
      </c>
      <c r="O904" s="1">
        <v>0</v>
      </c>
      <c r="R904" s="1" t="s">
        <v>5686</v>
      </c>
      <c r="S904" s="1" t="s">
        <v>4403</v>
      </c>
      <c r="T904" s="1">
        <v>0</v>
      </c>
      <c r="U904" s="1">
        <v>1</v>
      </c>
      <c r="V904" s="1">
        <v>0</v>
      </c>
      <c r="W904" s="1">
        <v>0</v>
      </c>
      <c r="X904" s="1">
        <v>0</v>
      </c>
      <c r="Y904" s="1" t="s">
        <v>104</v>
      </c>
      <c r="Z904" s="1" t="s">
        <v>104</v>
      </c>
      <c r="AA904" s="1" t="s">
        <v>104</v>
      </c>
      <c r="AB904" s="1" t="s">
        <v>104</v>
      </c>
      <c r="AC904" s="1" t="s">
        <v>104</v>
      </c>
      <c r="AD904" s="1" t="s">
        <v>104</v>
      </c>
      <c r="AE904" s="1" t="s">
        <v>104</v>
      </c>
      <c r="AF904" s="1">
        <v>2</v>
      </c>
      <c r="AG904" s="1" t="s">
        <v>104</v>
      </c>
      <c r="AH904" s="1">
        <v>2</v>
      </c>
      <c r="AI904" s="1" t="s">
        <v>104</v>
      </c>
      <c r="AJ904" s="1" t="s">
        <v>104</v>
      </c>
      <c r="AK904" s="1" t="s">
        <v>104</v>
      </c>
      <c r="AL904" s="1" t="s">
        <v>104</v>
      </c>
      <c r="AM904" s="1" t="s">
        <v>104</v>
      </c>
      <c r="AO904" s="1">
        <v>2</v>
      </c>
      <c r="AP904" s="1" t="s">
        <v>5687</v>
      </c>
      <c r="AQ904" s="1" t="s">
        <v>5688</v>
      </c>
      <c r="AR904" s="1">
        <v>0</v>
      </c>
      <c r="AS904" s="1">
        <v>0</v>
      </c>
      <c r="AT904" s="1">
        <v>0</v>
      </c>
      <c r="AU904" s="1">
        <v>0</v>
      </c>
      <c r="AV904" s="1">
        <v>0</v>
      </c>
      <c r="AW904" s="1">
        <v>0</v>
      </c>
      <c r="AX904" s="1">
        <v>0</v>
      </c>
      <c r="AY904" s="1">
        <v>0</v>
      </c>
      <c r="AZ904" s="1">
        <v>0</v>
      </c>
      <c r="BA904" s="1">
        <v>0</v>
      </c>
      <c r="BB904" s="1">
        <v>0</v>
      </c>
      <c r="BC904" s="1">
        <v>0</v>
      </c>
      <c r="BD904" s="1">
        <v>0</v>
      </c>
      <c r="BE904" s="1">
        <v>0</v>
      </c>
      <c r="BF904" s="1">
        <v>0</v>
      </c>
      <c r="BG904" s="1">
        <v>0</v>
      </c>
      <c r="BH904" s="1">
        <v>0</v>
      </c>
      <c r="BI904" s="1">
        <v>0</v>
      </c>
      <c r="BJ904" s="1">
        <v>0</v>
      </c>
      <c r="BK904" s="1">
        <v>0</v>
      </c>
      <c r="BL904" s="1">
        <v>0</v>
      </c>
      <c r="BM904" s="1">
        <v>0</v>
      </c>
      <c r="BN904" s="1">
        <v>0</v>
      </c>
      <c r="BO904" s="1">
        <v>0</v>
      </c>
      <c r="BP904" s="1">
        <v>0</v>
      </c>
      <c r="BQ904" s="2" t="str">
        <f>HYPERLINK("http://www.d20pfsrd.com/magic/all-spells/v/vomit-swarm","Vomit Swarm")</f>
        <v>Vomit Swarm</v>
      </c>
      <c r="BR904" s="1">
        <v>927</v>
      </c>
      <c r="BS904" s="1" t="s">
        <v>104</v>
      </c>
      <c r="BX904" s="1">
        <v>0</v>
      </c>
      <c r="BY904" s="1" t="s">
        <v>104</v>
      </c>
      <c r="BZ904" s="1" t="s">
        <v>104</v>
      </c>
      <c r="CA904" s="1" t="s">
        <v>104</v>
      </c>
      <c r="CB904" s="1" t="s">
        <v>104</v>
      </c>
      <c r="CC904" s="1" t="s">
        <v>104</v>
      </c>
      <c r="CD904" s="1" t="s">
        <v>104</v>
      </c>
      <c r="CE904" s="1" t="s">
        <v>104</v>
      </c>
      <c r="CF904" s="1" t="s">
        <v>104</v>
      </c>
      <c r="CG904" s="1" t="s">
        <v>104</v>
      </c>
      <c r="CH904" s="1" t="s">
        <v>104</v>
      </c>
      <c r="CJ904" s="1">
        <v>0</v>
      </c>
      <c r="CK904" s="1">
        <v>0</v>
      </c>
      <c r="CL904" s="1">
        <v>0</v>
      </c>
      <c r="CM904" s="1" t="s">
        <v>104</v>
      </c>
    </row>
    <row r="905" spans="1:91" ht="14.25" customHeight="1" x14ac:dyDescent="0.3">
      <c r="A905" s="1" t="s">
        <v>5689</v>
      </c>
      <c r="B905" s="1" t="s">
        <v>434</v>
      </c>
      <c r="D905" s="1" t="s">
        <v>67</v>
      </c>
      <c r="E905" s="1" t="s">
        <v>5690</v>
      </c>
      <c r="F905" s="1" t="s">
        <v>95</v>
      </c>
      <c r="G905" s="1" t="s">
        <v>5691</v>
      </c>
      <c r="H905" s="1">
        <v>0</v>
      </c>
      <c r="I905" s="1" t="s">
        <v>97</v>
      </c>
      <c r="K905" s="1" t="s">
        <v>5692</v>
      </c>
      <c r="M905" s="1" t="s">
        <v>426</v>
      </c>
      <c r="N905" s="1">
        <v>1</v>
      </c>
      <c r="O905" s="1">
        <v>0</v>
      </c>
      <c r="P905" s="1" t="s">
        <v>5693</v>
      </c>
      <c r="Q905" s="1" t="s">
        <v>184</v>
      </c>
      <c r="R905" s="1" t="s">
        <v>5694</v>
      </c>
      <c r="S905" s="1" t="s">
        <v>4403</v>
      </c>
      <c r="T905" s="1">
        <v>1</v>
      </c>
      <c r="U905" s="1">
        <v>1</v>
      </c>
      <c r="V905" s="1">
        <v>1</v>
      </c>
      <c r="W905" s="1">
        <v>0</v>
      </c>
      <c r="X905" s="1">
        <v>1</v>
      </c>
      <c r="Y905" s="1">
        <v>7</v>
      </c>
      <c r="Z905" s="1">
        <v>7</v>
      </c>
      <c r="AA905" s="1" t="s">
        <v>104</v>
      </c>
      <c r="AB905" s="1">
        <v>7</v>
      </c>
      <c r="AC905" s="1" t="s">
        <v>104</v>
      </c>
      <c r="AD905" s="1" t="s">
        <v>104</v>
      </c>
      <c r="AE905" s="1" t="s">
        <v>104</v>
      </c>
      <c r="AF905" s="1" t="s">
        <v>104</v>
      </c>
      <c r="AG905" s="1" t="s">
        <v>104</v>
      </c>
      <c r="AH905" s="1" t="s">
        <v>104</v>
      </c>
      <c r="AI905" s="1" t="s">
        <v>104</v>
      </c>
      <c r="AJ905" s="1" t="s">
        <v>104</v>
      </c>
      <c r="AK905" s="1" t="s">
        <v>104</v>
      </c>
      <c r="AL905" s="1" t="s">
        <v>104</v>
      </c>
      <c r="AM905" s="1" t="s">
        <v>104</v>
      </c>
      <c r="AO905" s="1">
        <v>7</v>
      </c>
      <c r="AQ905" s="1" t="s">
        <v>5695</v>
      </c>
      <c r="AR905" s="1">
        <v>0</v>
      </c>
      <c r="AS905" s="1">
        <v>0</v>
      </c>
      <c r="AT905" s="1">
        <v>0</v>
      </c>
      <c r="AU905" s="1">
        <v>0</v>
      </c>
      <c r="AV905" s="1">
        <v>0</v>
      </c>
      <c r="AW905" s="1">
        <v>0</v>
      </c>
      <c r="AX905" s="1">
        <v>0</v>
      </c>
      <c r="AY905" s="1">
        <v>0</v>
      </c>
      <c r="AZ905" s="1">
        <v>0</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1</v>
      </c>
      <c r="BQ905" s="2" t="str">
        <f>HYPERLINK("http://www.d20pfsrd.com/magic/all-spells/v/vortex","Vortex")</f>
        <v>Vortex</v>
      </c>
      <c r="BR905" s="1">
        <v>928</v>
      </c>
      <c r="BS905" s="1" t="s">
        <v>104</v>
      </c>
      <c r="BU905" s="1" t="s">
        <v>5696</v>
      </c>
      <c r="BX905" s="1">
        <v>0</v>
      </c>
      <c r="BY905" s="1" t="s">
        <v>104</v>
      </c>
      <c r="BZ905" s="1">
        <v>7</v>
      </c>
      <c r="CA905" s="1" t="s">
        <v>104</v>
      </c>
      <c r="CB905" s="1" t="s">
        <v>104</v>
      </c>
      <c r="CC905" s="1" t="s">
        <v>104</v>
      </c>
      <c r="CD905" s="1" t="s">
        <v>104</v>
      </c>
      <c r="CE905" s="1" t="s">
        <v>104</v>
      </c>
      <c r="CF905" s="1" t="s">
        <v>104</v>
      </c>
      <c r="CG905" s="1" t="s">
        <v>104</v>
      </c>
      <c r="CH905" s="1" t="s">
        <v>104</v>
      </c>
      <c r="CJ905" s="1">
        <v>0</v>
      </c>
      <c r="CK905" s="1">
        <v>0</v>
      </c>
      <c r="CL905" s="1">
        <v>0</v>
      </c>
      <c r="CM905" s="1" t="s">
        <v>104</v>
      </c>
    </row>
    <row r="906" spans="1:91" ht="14.25" customHeight="1" x14ac:dyDescent="0.3">
      <c r="A906" s="1" t="s">
        <v>5697</v>
      </c>
      <c r="B906" s="1" t="s">
        <v>434</v>
      </c>
      <c r="D906" s="1" t="s">
        <v>58</v>
      </c>
      <c r="E906" s="1" t="s">
        <v>4471</v>
      </c>
      <c r="F906" s="1" t="s">
        <v>95</v>
      </c>
      <c r="G906" s="1" t="s">
        <v>127</v>
      </c>
      <c r="H906" s="1">
        <v>0</v>
      </c>
      <c r="I906" s="1" t="s">
        <v>2272</v>
      </c>
      <c r="K906" s="1" t="s">
        <v>5698</v>
      </c>
      <c r="M906" s="1" t="s">
        <v>111</v>
      </c>
      <c r="N906" s="1">
        <v>0</v>
      </c>
      <c r="O906" s="1">
        <v>0</v>
      </c>
      <c r="P906" s="1" t="s">
        <v>100</v>
      </c>
      <c r="Q906" s="1" t="s">
        <v>184</v>
      </c>
      <c r="R906" s="1" t="s">
        <v>5699</v>
      </c>
      <c r="S906" s="1" t="s">
        <v>4403</v>
      </c>
      <c r="T906" s="1">
        <v>1</v>
      </c>
      <c r="U906" s="1">
        <v>1</v>
      </c>
      <c r="V906" s="1">
        <v>0</v>
      </c>
      <c r="W906" s="1">
        <v>0</v>
      </c>
      <c r="X906" s="1">
        <v>1</v>
      </c>
      <c r="Y906" s="1" t="s">
        <v>104</v>
      </c>
      <c r="Z906" s="1" t="s">
        <v>104</v>
      </c>
      <c r="AA906" s="1" t="s">
        <v>104</v>
      </c>
      <c r="AB906" s="1" t="s">
        <v>104</v>
      </c>
      <c r="AC906" s="1" t="s">
        <v>104</v>
      </c>
      <c r="AD906" s="1" t="s">
        <v>104</v>
      </c>
      <c r="AE906" s="1">
        <v>2</v>
      </c>
      <c r="AF906" s="1" t="s">
        <v>104</v>
      </c>
      <c r="AG906" s="1" t="s">
        <v>104</v>
      </c>
      <c r="AH906" s="1" t="s">
        <v>104</v>
      </c>
      <c r="AI906" s="1" t="s">
        <v>104</v>
      </c>
      <c r="AJ906" s="1" t="s">
        <v>104</v>
      </c>
      <c r="AK906" s="1" t="s">
        <v>104</v>
      </c>
      <c r="AL906" s="1" t="s">
        <v>104</v>
      </c>
      <c r="AM906" s="1" t="s">
        <v>104</v>
      </c>
      <c r="AO906" s="1">
        <v>2</v>
      </c>
      <c r="AQ906" s="1" t="s">
        <v>5700</v>
      </c>
      <c r="AR906" s="1">
        <v>0</v>
      </c>
      <c r="AS906" s="1">
        <v>0</v>
      </c>
      <c r="AT906" s="1">
        <v>0</v>
      </c>
      <c r="AU906" s="1">
        <v>0</v>
      </c>
      <c r="AV906" s="1">
        <v>0</v>
      </c>
      <c r="AW906" s="1">
        <v>0</v>
      </c>
      <c r="AX906" s="1">
        <v>0</v>
      </c>
      <c r="AY906" s="1">
        <v>0</v>
      </c>
      <c r="AZ906" s="1">
        <v>0</v>
      </c>
      <c r="BA906" s="1">
        <v>0</v>
      </c>
      <c r="BB906" s="1">
        <v>0</v>
      </c>
      <c r="BC906" s="1">
        <v>0</v>
      </c>
      <c r="BD906" s="1">
        <v>0</v>
      </c>
      <c r="BE906" s="1">
        <v>0</v>
      </c>
      <c r="BF906" s="1">
        <v>0</v>
      </c>
      <c r="BG906" s="1">
        <v>1</v>
      </c>
      <c r="BH906" s="1">
        <v>0</v>
      </c>
      <c r="BI906" s="1">
        <v>0</v>
      </c>
      <c r="BJ906" s="1">
        <v>0</v>
      </c>
      <c r="BK906" s="1">
        <v>0</v>
      </c>
      <c r="BL906" s="1">
        <v>0</v>
      </c>
      <c r="BM906" s="1">
        <v>0</v>
      </c>
      <c r="BN906" s="1">
        <v>0</v>
      </c>
      <c r="BO906" s="1">
        <v>0</v>
      </c>
      <c r="BP906" s="1">
        <v>0</v>
      </c>
      <c r="BQ906" s="2" t="str">
        <f>HYPERLINK("http://www.d20pfsrd.com/magic/all-spells/w/wake-of-light","Wake of Light")</f>
        <v>Wake of Light</v>
      </c>
      <c r="BR906" s="1">
        <v>929</v>
      </c>
      <c r="BS906" s="1" t="s">
        <v>104</v>
      </c>
      <c r="BX906" s="1">
        <v>0</v>
      </c>
      <c r="BY906" s="1" t="s">
        <v>104</v>
      </c>
      <c r="BZ906" s="1" t="s">
        <v>104</v>
      </c>
      <c r="CA906" s="1" t="s">
        <v>104</v>
      </c>
      <c r="CB906" s="1" t="s">
        <v>104</v>
      </c>
      <c r="CC906" s="1" t="s">
        <v>104</v>
      </c>
      <c r="CD906" s="1" t="s">
        <v>104</v>
      </c>
      <c r="CE906" s="1" t="s">
        <v>104</v>
      </c>
      <c r="CF906" s="1" t="s">
        <v>104</v>
      </c>
      <c r="CG906" s="1" t="s">
        <v>104</v>
      </c>
      <c r="CH906" s="1" t="s">
        <v>104</v>
      </c>
      <c r="CJ906" s="1">
        <v>0</v>
      </c>
      <c r="CK906" s="1">
        <v>0</v>
      </c>
      <c r="CL906" s="1">
        <v>0</v>
      </c>
      <c r="CM906" s="1" t="s">
        <v>104</v>
      </c>
    </row>
    <row r="907" spans="1:91" ht="14.25" customHeight="1" x14ac:dyDescent="0.3">
      <c r="A907" s="1" t="s">
        <v>5701</v>
      </c>
      <c r="B907" s="1" t="s">
        <v>92</v>
      </c>
      <c r="C907" s="1" t="s">
        <v>93</v>
      </c>
      <c r="D907" s="1" t="s">
        <v>5702</v>
      </c>
      <c r="E907" s="1" t="s">
        <v>5411</v>
      </c>
      <c r="F907" s="1" t="s">
        <v>95</v>
      </c>
      <c r="G907" s="1" t="s">
        <v>5703</v>
      </c>
      <c r="H907" s="1">
        <v>0</v>
      </c>
      <c r="I907" s="1" t="s">
        <v>109</v>
      </c>
      <c r="L907" s="1" t="s">
        <v>5704</v>
      </c>
      <c r="M907" s="1" t="s">
        <v>426</v>
      </c>
      <c r="N907" s="1">
        <v>1</v>
      </c>
      <c r="O907" s="1">
        <v>0</v>
      </c>
      <c r="P907" s="1" t="s">
        <v>145</v>
      </c>
      <c r="Q907" s="1" t="s">
        <v>101</v>
      </c>
      <c r="R907" s="1" t="s">
        <v>5705</v>
      </c>
      <c r="S907" s="1" t="s">
        <v>4403</v>
      </c>
      <c r="T907" s="1">
        <v>1</v>
      </c>
      <c r="U907" s="1">
        <v>1</v>
      </c>
      <c r="V907" s="1">
        <v>1</v>
      </c>
      <c r="W907" s="1">
        <v>0</v>
      </c>
      <c r="X907" s="1">
        <v>1</v>
      </c>
      <c r="Y907" s="1">
        <v>8</v>
      </c>
      <c r="Z907" s="1">
        <v>8</v>
      </c>
      <c r="AA907" s="1" t="s">
        <v>104</v>
      </c>
      <c r="AB907" s="1">
        <v>8</v>
      </c>
      <c r="AC907" s="1" t="s">
        <v>104</v>
      </c>
      <c r="AD907" s="1" t="s">
        <v>104</v>
      </c>
      <c r="AE907" s="1" t="s">
        <v>104</v>
      </c>
      <c r="AF907" s="1" t="s">
        <v>104</v>
      </c>
      <c r="AG907" s="1" t="s">
        <v>104</v>
      </c>
      <c r="AH907" s="1" t="s">
        <v>104</v>
      </c>
      <c r="AI907" s="1" t="s">
        <v>104</v>
      </c>
      <c r="AJ907" s="1" t="s">
        <v>104</v>
      </c>
      <c r="AK907" s="1" t="s">
        <v>104</v>
      </c>
      <c r="AL907" s="1" t="s">
        <v>104</v>
      </c>
      <c r="AM907" s="1" t="s">
        <v>104</v>
      </c>
      <c r="AO907" s="1">
        <v>8</v>
      </c>
      <c r="AQ907" s="1" t="s">
        <v>5706</v>
      </c>
      <c r="AR907" s="1">
        <v>0</v>
      </c>
      <c r="AS907" s="1">
        <v>0</v>
      </c>
      <c r="AT907" s="1">
        <v>0</v>
      </c>
      <c r="AU907" s="1">
        <v>0</v>
      </c>
      <c r="AV907" s="1">
        <v>0</v>
      </c>
      <c r="AW907" s="1">
        <v>0</v>
      </c>
      <c r="AX907" s="1">
        <v>0</v>
      </c>
      <c r="AY907" s="1">
        <v>0</v>
      </c>
      <c r="AZ907" s="1">
        <v>1</v>
      </c>
      <c r="BA907" s="1">
        <v>0</v>
      </c>
      <c r="BB907" s="1">
        <v>0</v>
      </c>
      <c r="BC907" s="1">
        <v>0</v>
      </c>
      <c r="BD907" s="1">
        <v>0</v>
      </c>
      <c r="BE907" s="1">
        <v>1</v>
      </c>
      <c r="BF907" s="1">
        <v>0</v>
      </c>
      <c r="BG907" s="1">
        <v>0</v>
      </c>
      <c r="BH907" s="1">
        <v>0</v>
      </c>
      <c r="BI907" s="1">
        <v>0</v>
      </c>
      <c r="BJ907" s="1">
        <v>0</v>
      </c>
      <c r="BK907" s="1">
        <v>0</v>
      </c>
      <c r="BL907" s="1">
        <v>0</v>
      </c>
      <c r="BM907" s="1">
        <v>0</v>
      </c>
      <c r="BN907" s="1">
        <v>0</v>
      </c>
      <c r="BO907" s="1">
        <v>0</v>
      </c>
      <c r="BP907" s="1">
        <v>0</v>
      </c>
      <c r="BQ907" s="2" t="str">
        <f>HYPERLINK("http://www.d20pfsrd.com/magic/all-spells/w/wall-of-lava","Wall of Lava")</f>
        <v>Wall of Lava</v>
      </c>
      <c r="BR907" s="1">
        <v>930</v>
      </c>
      <c r="BS907" s="1" t="s">
        <v>104</v>
      </c>
      <c r="BX907" s="1">
        <v>0</v>
      </c>
      <c r="BY907" s="1" t="s">
        <v>104</v>
      </c>
      <c r="BZ907" s="1" t="s">
        <v>104</v>
      </c>
      <c r="CA907" s="1" t="s">
        <v>104</v>
      </c>
      <c r="CB907" s="1" t="s">
        <v>104</v>
      </c>
      <c r="CC907" s="1" t="s">
        <v>104</v>
      </c>
      <c r="CD907" s="1" t="s">
        <v>104</v>
      </c>
      <c r="CE907" s="1" t="s">
        <v>104</v>
      </c>
      <c r="CF907" s="1" t="s">
        <v>104</v>
      </c>
      <c r="CG907" s="1" t="s">
        <v>104</v>
      </c>
      <c r="CH907" s="1" t="s">
        <v>104</v>
      </c>
      <c r="CJ907" s="1">
        <v>0</v>
      </c>
      <c r="CK907" s="1">
        <v>0</v>
      </c>
      <c r="CL907" s="1">
        <v>0</v>
      </c>
      <c r="CM907" s="1" t="s">
        <v>104</v>
      </c>
    </row>
    <row r="908" spans="1:91" ht="14.25" customHeight="1" x14ac:dyDescent="0.3">
      <c r="A908" s="1" t="s">
        <v>5707</v>
      </c>
      <c r="B908" s="1" t="s">
        <v>162</v>
      </c>
      <c r="E908" s="1" t="s">
        <v>919</v>
      </c>
      <c r="F908" s="1" t="s">
        <v>95</v>
      </c>
      <c r="G908" s="1" t="s">
        <v>5708</v>
      </c>
      <c r="H908" s="1">
        <v>1</v>
      </c>
      <c r="I908" s="1" t="s">
        <v>109</v>
      </c>
      <c r="K908" s="1" t="s">
        <v>5709</v>
      </c>
      <c r="M908" s="1" t="s">
        <v>5710</v>
      </c>
      <c r="N908" s="1">
        <v>0</v>
      </c>
      <c r="O908" s="1">
        <v>0</v>
      </c>
      <c r="P908" s="1" t="s">
        <v>100</v>
      </c>
      <c r="Q908" s="1" t="s">
        <v>101</v>
      </c>
      <c r="R908" s="1" t="s">
        <v>5711</v>
      </c>
      <c r="S908" s="1" t="s">
        <v>4403</v>
      </c>
      <c r="T908" s="1">
        <v>1</v>
      </c>
      <c r="U908" s="1">
        <v>1</v>
      </c>
      <c r="V908" s="1">
        <v>1</v>
      </c>
      <c r="W908" s="1">
        <v>0</v>
      </c>
      <c r="X908" s="1">
        <v>0</v>
      </c>
      <c r="Y908" s="1">
        <v>9</v>
      </c>
      <c r="Z908" s="1">
        <v>9</v>
      </c>
      <c r="AA908" s="1" t="s">
        <v>104</v>
      </c>
      <c r="AB908" s="1" t="s">
        <v>104</v>
      </c>
      <c r="AC908" s="1" t="s">
        <v>104</v>
      </c>
      <c r="AD908" s="1" t="s">
        <v>104</v>
      </c>
      <c r="AE908" s="1" t="s">
        <v>104</v>
      </c>
      <c r="AF908" s="1" t="s">
        <v>104</v>
      </c>
      <c r="AG908" s="1" t="s">
        <v>104</v>
      </c>
      <c r="AH908" s="1" t="s">
        <v>104</v>
      </c>
      <c r="AI908" s="1" t="s">
        <v>104</v>
      </c>
      <c r="AJ908" s="1" t="s">
        <v>104</v>
      </c>
      <c r="AK908" s="1" t="s">
        <v>104</v>
      </c>
      <c r="AL908" s="1" t="s">
        <v>104</v>
      </c>
      <c r="AM908" s="1" t="s">
        <v>104</v>
      </c>
      <c r="AO908" s="1">
        <v>9</v>
      </c>
      <c r="AQ908" s="1" t="s">
        <v>5712</v>
      </c>
      <c r="AR908" s="1">
        <v>0</v>
      </c>
      <c r="AS908" s="1">
        <v>0</v>
      </c>
      <c r="AT908" s="1">
        <v>0</v>
      </c>
      <c r="AU908" s="1">
        <v>0</v>
      </c>
      <c r="AV908" s="1">
        <v>0</v>
      </c>
      <c r="AW908" s="1">
        <v>0</v>
      </c>
      <c r="AX908" s="1">
        <v>0</v>
      </c>
      <c r="AY908" s="1">
        <v>0</v>
      </c>
      <c r="AZ908" s="1">
        <v>0</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t="s">
        <v>104</v>
      </c>
      <c r="BR908" s="1">
        <v>931</v>
      </c>
      <c r="BS908" s="1">
        <v>1000</v>
      </c>
      <c r="BX908" s="1">
        <v>0</v>
      </c>
      <c r="BY908" s="1" t="s">
        <v>104</v>
      </c>
      <c r="BZ908" s="1" t="s">
        <v>104</v>
      </c>
      <c r="CA908" s="1">
        <v>9</v>
      </c>
      <c r="CB908" s="1" t="s">
        <v>104</v>
      </c>
      <c r="CC908" s="1" t="s">
        <v>104</v>
      </c>
      <c r="CD908" s="1" t="s">
        <v>104</v>
      </c>
      <c r="CE908" s="1" t="s">
        <v>104</v>
      </c>
      <c r="CF908" s="1" t="s">
        <v>104</v>
      </c>
      <c r="CG908" s="1" t="s">
        <v>104</v>
      </c>
      <c r="CH908" s="1" t="s">
        <v>104</v>
      </c>
      <c r="CJ908" s="1">
        <v>0</v>
      </c>
      <c r="CK908" s="1">
        <v>0</v>
      </c>
      <c r="CL908" s="1">
        <v>0</v>
      </c>
      <c r="CM908" s="1" t="s">
        <v>104</v>
      </c>
    </row>
    <row r="909" spans="1:91" ht="14.25" customHeight="1" x14ac:dyDescent="0.3">
      <c r="A909" s="1" t="s">
        <v>5713</v>
      </c>
      <c r="B909" s="1" t="s">
        <v>507</v>
      </c>
      <c r="C909" s="1" t="s">
        <v>720</v>
      </c>
      <c r="D909" s="1" t="s">
        <v>5714</v>
      </c>
      <c r="E909" s="1" t="s">
        <v>5715</v>
      </c>
      <c r="F909" s="1" t="s">
        <v>95</v>
      </c>
      <c r="G909" s="1" t="s">
        <v>5716</v>
      </c>
      <c r="H909" s="1">
        <v>0</v>
      </c>
      <c r="I909" s="1" t="s">
        <v>117</v>
      </c>
      <c r="L909" s="1" t="s">
        <v>5717</v>
      </c>
      <c r="M909" s="1" t="s">
        <v>5718</v>
      </c>
      <c r="N909" s="1">
        <v>0</v>
      </c>
      <c r="O909" s="1">
        <v>0</v>
      </c>
      <c r="P909" s="1" t="s">
        <v>418</v>
      </c>
      <c r="Q909" s="1" t="s">
        <v>184</v>
      </c>
      <c r="R909" s="1" t="s">
        <v>5719</v>
      </c>
      <c r="S909" s="1" t="s">
        <v>4403</v>
      </c>
      <c r="T909" s="1">
        <v>1</v>
      </c>
      <c r="U909" s="1">
        <v>1</v>
      </c>
      <c r="V909" s="1">
        <v>1</v>
      </c>
      <c r="W909" s="1">
        <v>0</v>
      </c>
      <c r="X909" s="1">
        <v>0</v>
      </c>
      <c r="Y909" s="1">
        <v>4</v>
      </c>
      <c r="Z909" s="1">
        <v>4</v>
      </c>
      <c r="AA909" s="1" t="s">
        <v>104</v>
      </c>
      <c r="AB909" s="1" t="s">
        <v>104</v>
      </c>
      <c r="AC909" s="1" t="s">
        <v>104</v>
      </c>
      <c r="AD909" s="1">
        <v>4</v>
      </c>
      <c r="AE909" s="1" t="s">
        <v>104</v>
      </c>
      <c r="AF909" s="1" t="s">
        <v>104</v>
      </c>
      <c r="AG909" s="1" t="s">
        <v>104</v>
      </c>
      <c r="AH909" s="1">
        <v>4</v>
      </c>
      <c r="AI909" s="1" t="s">
        <v>104</v>
      </c>
      <c r="AJ909" s="1" t="s">
        <v>104</v>
      </c>
      <c r="AK909" s="1" t="s">
        <v>104</v>
      </c>
      <c r="AL909" s="1" t="s">
        <v>104</v>
      </c>
      <c r="AM909" s="1" t="s">
        <v>104</v>
      </c>
      <c r="AO909" s="1">
        <v>4</v>
      </c>
      <c r="AQ909" s="1" t="s">
        <v>5720</v>
      </c>
      <c r="AR909" s="1">
        <v>0</v>
      </c>
      <c r="AS909" s="1">
        <v>0</v>
      </c>
      <c r="AT909" s="1">
        <v>0</v>
      </c>
      <c r="AU909" s="1">
        <v>0</v>
      </c>
      <c r="AV909" s="1">
        <v>0</v>
      </c>
      <c r="AW909" s="1">
        <v>0</v>
      </c>
      <c r="AX909" s="1">
        <v>0</v>
      </c>
      <c r="AY909" s="1">
        <v>0</v>
      </c>
      <c r="AZ909" s="1">
        <v>0</v>
      </c>
      <c r="BA909" s="1">
        <v>0</v>
      </c>
      <c r="BB909" s="1">
        <v>0</v>
      </c>
      <c r="BC909" s="1">
        <v>0</v>
      </c>
      <c r="BD909" s="1">
        <v>0</v>
      </c>
      <c r="BE909" s="1">
        <v>0</v>
      </c>
      <c r="BF909" s="1">
        <v>0</v>
      </c>
      <c r="BG909" s="1">
        <v>0</v>
      </c>
      <c r="BH909" s="1">
        <v>0</v>
      </c>
      <c r="BI909" s="1">
        <v>0</v>
      </c>
      <c r="BJ909" s="1">
        <v>1</v>
      </c>
      <c r="BK909" s="1">
        <v>1</v>
      </c>
      <c r="BL909" s="1">
        <v>0</v>
      </c>
      <c r="BM909" s="1">
        <v>0</v>
      </c>
      <c r="BN909" s="1">
        <v>0</v>
      </c>
      <c r="BO909" s="1">
        <v>0</v>
      </c>
      <c r="BP909" s="1">
        <v>0</v>
      </c>
      <c r="BQ909" s="2" t="str">
        <f>HYPERLINK("http://www.d20pfsrd.com/magic/all-spells/w/wandering-star-motes","Wandering Star Motes")</f>
        <v>Wandering Star Motes</v>
      </c>
      <c r="BR909" s="1">
        <v>932</v>
      </c>
      <c r="BS909" s="1" t="s">
        <v>104</v>
      </c>
      <c r="BU909" s="1" t="s">
        <v>5721</v>
      </c>
      <c r="BX909" s="1">
        <v>0</v>
      </c>
      <c r="BY909" s="1" t="s">
        <v>104</v>
      </c>
      <c r="BZ909" s="1">
        <v>4</v>
      </c>
      <c r="CA909" s="1">
        <v>4</v>
      </c>
      <c r="CB909" s="1" t="s">
        <v>104</v>
      </c>
      <c r="CC909" s="1" t="s">
        <v>104</v>
      </c>
      <c r="CD909" s="1">
        <v>4</v>
      </c>
      <c r="CE909" s="1" t="s">
        <v>104</v>
      </c>
      <c r="CF909" s="1" t="s">
        <v>104</v>
      </c>
      <c r="CG909" s="1" t="s">
        <v>104</v>
      </c>
      <c r="CH909" s="1" t="s">
        <v>104</v>
      </c>
      <c r="CJ909" s="1">
        <v>0</v>
      </c>
      <c r="CK909" s="1">
        <v>0</v>
      </c>
      <c r="CL909" s="1">
        <v>0</v>
      </c>
      <c r="CM909" s="1" t="s">
        <v>104</v>
      </c>
    </row>
    <row r="910" spans="1:91" ht="14.25" customHeight="1" x14ac:dyDescent="0.3">
      <c r="A910" s="1" t="s">
        <v>5722</v>
      </c>
      <c r="B910" s="1" t="s">
        <v>162</v>
      </c>
      <c r="E910" s="1" t="s">
        <v>5355</v>
      </c>
      <c r="F910" s="1" t="s">
        <v>95</v>
      </c>
      <c r="G910" s="1" t="s">
        <v>127</v>
      </c>
      <c r="H910" s="1">
        <v>0</v>
      </c>
      <c r="I910" s="1" t="s">
        <v>128</v>
      </c>
      <c r="J910" s="1" t="s">
        <v>2375</v>
      </c>
      <c r="M910" s="1" t="s">
        <v>4292</v>
      </c>
      <c r="N910" s="1">
        <v>0</v>
      </c>
      <c r="O910" s="1">
        <v>0</v>
      </c>
      <c r="P910" s="1" t="s">
        <v>375</v>
      </c>
      <c r="Q910" s="1" t="s">
        <v>101</v>
      </c>
      <c r="R910" s="1" t="s">
        <v>5723</v>
      </c>
      <c r="S910" s="1" t="s">
        <v>4403</v>
      </c>
      <c r="T910" s="1">
        <v>1</v>
      </c>
      <c r="U910" s="1">
        <v>1</v>
      </c>
      <c r="V910" s="1">
        <v>0</v>
      </c>
      <c r="W910" s="1">
        <v>0</v>
      </c>
      <c r="X910" s="1">
        <v>1</v>
      </c>
      <c r="Y910" s="1" t="s">
        <v>104</v>
      </c>
      <c r="Z910" s="1" t="s">
        <v>104</v>
      </c>
      <c r="AA910" s="1" t="s">
        <v>104</v>
      </c>
      <c r="AB910" s="1" t="s">
        <v>104</v>
      </c>
      <c r="AC910" s="1" t="s">
        <v>104</v>
      </c>
      <c r="AD910" s="1" t="s">
        <v>104</v>
      </c>
      <c r="AE910" s="1" t="s">
        <v>104</v>
      </c>
      <c r="AF910" s="1" t="s">
        <v>104</v>
      </c>
      <c r="AG910" s="1" t="s">
        <v>104</v>
      </c>
      <c r="AH910" s="1" t="s">
        <v>104</v>
      </c>
      <c r="AI910" s="1">
        <v>3</v>
      </c>
      <c r="AJ910" s="1" t="s">
        <v>104</v>
      </c>
      <c r="AK910" s="1" t="s">
        <v>104</v>
      </c>
      <c r="AL910" s="1" t="s">
        <v>104</v>
      </c>
      <c r="AM910" s="1" t="s">
        <v>104</v>
      </c>
      <c r="AO910" s="1">
        <v>3</v>
      </c>
      <c r="AQ910" s="1" t="s">
        <v>5724</v>
      </c>
      <c r="AR910" s="1">
        <v>0</v>
      </c>
      <c r="AS910" s="1">
        <v>0</v>
      </c>
      <c r="AT910" s="1">
        <v>0</v>
      </c>
      <c r="AU910" s="1">
        <v>0</v>
      </c>
      <c r="AV910" s="1">
        <v>0</v>
      </c>
      <c r="AW910" s="1">
        <v>0</v>
      </c>
      <c r="AX910" s="1">
        <v>0</v>
      </c>
      <c r="AY910" s="1">
        <v>0</v>
      </c>
      <c r="AZ910" s="1">
        <v>0</v>
      </c>
      <c r="BA910" s="1">
        <v>0</v>
      </c>
      <c r="BB910" s="1">
        <v>0</v>
      </c>
      <c r="BC910" s="1">
        <v>0</v>
      </c>
      <c r="BD910" s="1">
        <v>0</v>
      </c>
      <c r="BE910" s="1">
        <v>0</v>
      </c>
      <c r="BF910" s="1">
        <v>0</v>
      </c>
      <c r="BG910" s="1">
        <v>0</v>
      </c>
      <c r="BH910" s="1">
        <v>0</v>
      </c>
      <c r="BI910" s="1">
        <v>0</v>
      </c>
      <c r="BJ910" s="1">
        <v>0</v>
      </c>
      <c r="BK910" s="1">
        <v>0</v>
      </c>
      <c r="BL910" s="1">
        <v>0</v>
      </c>
      <c r="BM910" s="1">
        <v>0</v>
      </c>
      <c r="BN910" s="1">
        <v>0</v>
      </c>
      <c r="BO910" s="1">
        <v>0</v>
      </c>
      <c r="BP910" s="1">
        <v>0</v>
      </c>
      <c r="BQ910" s="2" t="str">
        <f>HYPERLINK("http://www.d20pfsrd.com/magic/all-spells/w/ward-the-faithful","Ward the Faithful")</f>
        <v>Ward the Faithful</v>
      </c>
      <c r="BR910" s="1">
        <v>933</v>
      </c>
      <c r="BS910" s="1" t="s">
        <v>104</v>
      </c>
      <c r="BX910" s="1">
        <v>0</v>
      </c>
      <c r="BY910" s="1" t="s">
        <v>104</v>
      </c>
      <c r="BZ910" s="1" t="s">
        <v>104</v>
      </c>
      <c r="CA910" s="1" t="s">
        <v>104</v>
      </c>
      <c r="CB910" s="1" t="s">
        <v>104</v>
      </c>
      <c r="CC910" s="1" t="s">
        <v>104</v>
      </c>
      <c r="CD910" s="1" t="s">
        <v>104</v>
      </c>
      <c r="CE910" s="1" t="s">
        <v>104</v>
      </c>
      <c r="CF910" s="1" t="s">
        <v>104</v>
      </c>
      <c r="CG910" s="1" t="s">
        <v>104</v>
      </c>
      <c r="CH910" s="1" t="s">
        <v>104</v>
      </c>
      <c r="CJ910" s="1">
        <v>0</v>
      </c>
      <c r="CK910" s="1">
        <v>0</v>
      </c>
      <c r="CL910" s="1">
        <v>0</v>
      </c>
      <c r="CM910" s="1" t="s">
        <v>104</v>
      </c>
    </row>
    <row r="911" spans="1:91" ht="14.25" customHeight="1" x14ac:dyDescent="0.3">
      <c r="A911" s="1" t="s">
        <v>5725</v>
      </c>
      <c r="B911" s="1" t="s">
        <v>137</v>
      </c>
      <c r="D911" s="1" t="s">
        <v>53</v>
      </c>
      <c r="E911" s="1" t="s">
        <v>5726</v>
      </c>
      <c r="F911" s="1" t="s">
        <v>95</v>
      </c>
      <c r="G911" s="1" t="s">
        <v>127</v>
      </c>
      <c r="H911" s="1">
        <v>0</v>
      </c>
      <c r="I911" s="1" t="s">
        <v>128</v>
      </c>
      <c r="L911" s="1" t="s">
        <v>479</v>
      </c>
      <c r="M911" s="1" t="s">
        <v>2330</v>
      </c>
      <c r="N911" s="1">
        <v>0</v>
      </c>
      <c r="O911" s="1">
        <v>0</v>
      </c>
      <c r="P911" s="1" t="s">
        <v>148</v>
      </c>
      <c r="Q911" s="1" t="s">
        <v>149</v>
      </c>
      <c r="R911" s="1" t="s">
        <v>5727</v>
      </c>
      <c r="S911" s="1" t="s">
        <v>4403</v>
      </c>
      <c r="T911" s="1">
        <v>1</v>
      </c>
      <c r="U911" s="1">
        <v>1</v>
      </c>
      <c r="V911" s="1">
        <v>0</v>
      </c>
      <c r="W911" s="1">
        <v>0</v>
      </c>
      <c r="X911" s="1">
        <v>1</v>
      </c>
      <c r="Y911" s="1" t="s">
        <v>104</v>
      </c>
      <c r="Z911" s="1" t="s">
        <v>104</v>
      </c>
      <c r="AA911" s="1">
        <v>2</v>
      </c>
      <c r="AB911" s="1" t="s">
        <v>104</v>
      </c>
      <c r="AC911" s="1" t="s">
        <v>104</v>
      </c>
      <c r="AD911" s="1" t="s">
        <v>104</v>
      </c>
      <c r="AE911" s="1">
        <v>2</v>
      </c>
      <c r="AF911" s="1" t="s">
        <v>104</v>
      </c>
      <c r="AG911" s="1" t="s">
        <v>104</v>
      </c>
      <c r="AH911" s="1" t="s">
        <v>104</v>
      </c>
      <c r="AI911" s="1">
        <v>2</v>
      </c>
      <c r="AJ911" s="1">
        <v>2</v>
      </c>
      <c r="AK911" s="1" t="s">
        <v>104</v>
      </c>
      <c r="AL911" s="1" t="s">
        <v>104</v>
      </c>
      <c r="AM911" s="1" t="s">
        <v>104</v>
      </c>
      <c r="AO911" s="1">
        <v>2</v>
      </c>
      <c r="AQ911" s="1" t="s">
        <v>5728</v>
      </c>
      <c r="AR911" s="1">
        <v>0</v>
      </c>
      <c r="AS911" s="1">
        <v>0</v>
      </c>
      <c r="AT911" s="1">
        <v>0</v>
      </c>
      <c r="AU911" s="1">
        <v>0</v>
      </c>
      <c r="AV911" s="1">
        <v>0</v>
      </c>
      <c r="AW911" s="1">
        <v>0</v>
      </c>
      <c r="AX911" s="1">
        <v>0</v>
      </c>
      <c r="AY911" s="1">
        <v>0</v>
      </c>
      <c r="AZ911" s="1">
        <v>0</v>
      </c>
      <c r="BA911" s="1">
        <v>0</v>
      </c>
      <c r="BB911" s="1">
        <v>1</v>
      </c>
      <c r="BC911" s="1">
        <v>0</v>
      </c>
      <c r="BD911" s="1">
        <v>0</v>
      </c>
      <c r="BE911" s="1">
        <v>0</v>
      </c>
      <c r="BF911" s="1">
        <v>0</v>
      </c>
      <c r="BG911" s="1">
        <v>0</v>
      </c>
      <c r="BH911" s="1">
        <v>0</v>
      </c>
      <c r="BI911" s="1">
        <v>0</v>
      </c>
      <c r="BJ911" s="1">
        <v>0</v>
      </c>
      <c r="BK911" s="1">
        <v>0</v>
      </c>
      <c r="BL911" s="1">
        <v>0</v>
      </c>
      <c r="BM911" s="1">
        <v>0</v>
      </c>
      <c r="BN911" s="1">
        <v>0</v>
      </c>
      <c r="BO911" s="1">
        <v>0</v>
      </c>
      <c r="BP911" s="1">
        <v>0</v>
      </c>
      <c r="BQ911" s="2" t="str">
        <f>HYPERLINK("http://www.d20pfsrd.com/magic/all-spells/w/weapon-of-awe","Weapon of Awe")</f>
        <v>Weapon of Awe</v>
      </c>
      <c r="BR911" s="1">
        <v>934</v>
      </c>
      <c r="BS911" s="1" t="s">
        <v>104</v>
      </c>
      <c r="BX911" s="1">
        <v>0</v>
      </c>
      <c r="BY911" s="1" t="s">
        <v>104</v>
      </c>
      <c r="BZ911" s="1" t="s">
        <v>104</v>
      </c>
      <c r="CA911" s="1" t="s">
        <v>104</v>
      </c>
      <c r="CB911" s="1" t="s">
        <v>104</v>
      </c>
      <c r="CC911" s="1" t="s">
        <v>104</v>
      </c>
      <c r="CD911" s="1">
        <v>2</v>
      </c>
      <c r="CE911" s="1" t="s">
        <v>104</v>
      </c>
      <c r="CF911" s="1" t="s">
        <v>104</v>
      </c>
      <c r="CG911" s="1" t="s">
        <v>104</v>
      </c>
      <c r="CH911" s="1" t="s">
        <v>104</v>
      </c>
      <c r="CJ911" s="1">
        <v>0</v>
      </c>
      <c r="CK911" s="1">
        <v>0</v>
      </c>
      <c r="CL911" s="1">
        <v>0</v>
      </c>
      <c r="CM911" s="1" t="s">
        <v>104</v>
      </c>
    </row>
    <row r="912" spans="1:91" ht="14.25" customHeight="1" x14ac:dyDescent="0.3">
      <c r="A912" s="1" t="s">
        <v>5729</v>
      </c>
      <c r="B912" s="1" t="s">
        <v>434</v>
      </c>
      <c r="D912" s="1" t="s">
        <v>44</v>
      </c>
      <c r="E912" s="1" t="s">
        <v>5730</v>
      </c>
      <c r="F912" s="1" t="s">
        <v>95</v>
      </c>
      <c r="G912" s="1" t="s">
        <v>127</v>
      </c>
      <c r="H912" s="1">
        <v>0</v>
      </c>
      <c r="I912" s="1" t="s">
        <v>157</v>
      </c>
      <c r="L912" s="1" t="s">
        <v>158</v>
      </c>
      <c r="M912" s="1" t="s">
        <v>2330</v>
      </c>
      <c r="N912" s="1">
        <v>0</v>
      </c>
      <c r="O912" s="1">
        <v>0</v>
      </c>
      <c r="R912" s="1" t="s">
        <v>5731</v>
      </c>
      <c r="S912" s="1" t="s">
        <v>4403</v>
      </c>
      <c r="T912" s="1">
        <v>1</v>
      </c>
      <c r="U912" s="1">
        <v>1</v>
      </c>
      <c r="V912" s="1">
        <v>0</v>
      </c>
      <c r="W912" s="1">
        <v>0</v>
      </c>
      <c r="X912" s="1">
        <v>1</v>
      </c>
      <c r="Y912" s="1">
        <v>9</v>
      </c>
      <c r="Z912" s="1">
        <v>9</v>
      </c>
      <c r="AA912" s="1">
        <v>9</v>
      </c>
      <c r="AB912" s="1">
        <v>9</v>
      </c>
      <c r="AC912" s="1" t="s">
        <v>104</v>
      </c>
      <c r="AD912" s="1" t="s">
        <v>104</v>
      </c>
      <c r="AE912" s="1" t="s">
        <v>104</v>
      </c>
      <c r="AF912" s="1" t="s">
        <v>104</v>
      </c>
      <c r="AG912" s="1" t="s">
        <v>104</v>
      </c>
      <c r="AH912" s="1" t="s">
        <v>104</v>
      </c>
      <c r="AI912" s="1" t="s">
        <v>104</v>
      </c>
      <c r="AJ912" s="1">
        <v>9</v>
      </c>
      <c r="AK912" s="1" t="s">
        <v>104</v>
      </c>
      <c r="AL912" s="1" t="s">
        <v>104</v>
      </c>
      <c r="AM912" s="1" t="s">
        <v>104</v>
      </c>
      <c r="AO912" s="1">
        <v>9</v>
      </c>
      <c r="AP912" s="1" t="s">
        <v>5732</v>
      </c>
      <c r="AQ912" s="1" t="s">
        <v>5733</v>
      </c>
      <c r="AR912" s="1">
        <v>0</v>
      </c>
      <c r="AS912" s="1">
        <v>1</v>
      </c>
      <c r="AT912" s="1">
        <v>0</v>
      </c>
      <c r="AU912" s="1">
        <v>0</v>
      </c>
      <c r="AV912" s="1">
        <v>0</v>
      </c>
      <c r="AW912" s="1">
        <v>0</v>
      </c>
      <c r="AX912" s="1">
        <v>0</v>
      </c>
      <c r="AY912" s="1">
        <v>0</v>
      </c>
      <c r="AZ912" s="1">
        <v>0</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2" t="str">
        <f>HYPERLINK("http://www.d20pfsrd.com/magic/all-spells/w/winds-of-vengeance","Winds of Vengeance")</f>
        <v>Winds of Vengeance</v>
      </c>
      <c r="BR912" s="1">
        <v>935</v>
      </c>
      <c r="BS912" s="1" t="s">
        <v>104</v>
      </c>
      <c r="BU912" s="1" t="s">
        <v>5734</v>
      </c>
      <c r="BX912" s="1">
        <v>0</v>
      </c>
      <c r="BY912" s="1" t="s">
        <v>104</v>
      </c>
      <c r="BZ912" s="1">
        <v>9</v>
      </c>
      <c r="CA912" s="1" t="s">
        <v>104</v>
      </c>
      <c r="CB912" s="1" t="s">
        <v>104</v>
      </c>
      <c r="CC912" s="1" t="s">
        <v>104</v>
      </c>
      <c r="CD912" s="1" t="s">
        <v>104</v>
      </c>
      <c r="CE912" s="1" t="s">
        <v>104</v>
      </c>
      <c r="CF912" s="1" t="s">
        <v>104</v>
      </c>
      <c r="CG912" s="1" t="s">
        <v>104</v>
      </c>
      <c r="CH912" s="1" t="s">
        <v>104</v>
      </c>
      <c r="CJ912" s="1">
        <v>0</v>
      </c>
      <c r="CK912" s="1">
        <v>0</v>
      </c>
      <c r="CL912" s="1">
        <v>0</v>
      </c>
      <c r="CM912" s="1" t="s">
        <v>104</v>
      </c>
    </row>
    <row r="913" spans="1:91" ht="14.25" customHeight="1" x14ac:dyDescent="0.3">
      <c r="A913" s="1" t="s">
        <v>5735</v>
      </c>
      <c r="B913" s="1" t="s">
        <v>137</v>
      </c>
      <c r="D913" s="1" t="s">
        <v>5736</v>
      </c>
      <c r="E913" s="1" t="s">
        <v>4648</v>
      </c>
      <c r="F913" s="1" t="s">
        <v>95</v>
      </c>
      <c r="G913" s="1" t="s">
        <v>127</v>
      </c>
      <c r="H913" s="1">
        <v>0</v>
      </c>
      <c r="I913" s="1" t="s">
        <v>145</v>
      </c>
      <c r="K913" s="1" t="s">
        <v>145</v>
      </c>
      <c r="M913" s="1" t="s">
        <v>5737</v>
      </c>
      <c r="N913" s="1">
        <v>1</v>
      </c>
      <c r="O913" s="1">
        <v>0</v>
      </c>
      <c r="P913" s="1" t="s">
        <v>100</v>
      </c>
      <c r="Q913" s="1" t="s">
        <v>184</v>
      </c>
      <c r="R913" s="1" t="s">
        <v>5738</v>
      </c>
      <c r="S913" s="1" t="s">
        <v>4403</v>
      </c>
      <c r="T913" s="1">
        <v>1</v>
      </c>
      <c r="U913" s="1">
        <v>1</v>
      </c>
      <c r="V913" s="1">
        <v>0</v>
      </c>
      <c r="W913" s="1">
        <v>0</v>
      </c>
      <c r="X913" s="1">
        <v>1</v>
      </c>
      <c r="Y913" s="1">
        <v>9</v>
      </c>
      <c r="Z913" s="1">
        <v>9</v>
      </c>
      <c r="AA913" s="1" t="s">
        <v>104</v>
      </c>
      <c r="AB913" s="1">
        <v>9</v>
      </c>
      <c r="AC913" s="1" t="s">
        <v>104</v>
      </c>
      <c r="AD913" s="1" t="s">
        <v>104</v>
      </c>
      <c r="AE913" s="1" t="s">
        <v>104</v>
      </c>
      <c r="AF913" s="1" t="s">
        <v>104</v>
      </c>
      <c r="AG913" s="1" t="s">
        <v>104</v>
      </c>
      <c r="AH913" s="1" t="s">
        <v>104</v>
      </c>
      <c r="AI913" s="1" t="s">
        <v>104</v>
      </c>
      <c r="AJ913" s="1" t="s">
        <v>104</v>
      </c>
      <c r="AK913" s="1" t="s">
        <v>104</v>
      </c>
      <c r="AL913" s="1" t="s">
        <v>104</v>
      </c>
      <c r="AM913" s="1" t="s">
        <v>104</v>
      </c>
      <c r="AO913" s="1">
        <v>9</v>
      </c>
      <c r="AP913" s="1" t="s">
        <v>5739</v>
      </c>
      <c r="AQ913" s="1" t="s">
        <v>5740</v>
      </c>
      <c r="AR913" s="1">
        <v>0</v>
      </c>
      <c r="AS913" s="1">
        <v>0</v>
      </c>
      <c r="AT913" s="1">
        <v>0</v>
      </c>
      <c r="AU913" s="1">
        <v>0</v>
      </c>
      <c r="AV913" s="1">
        <v>0</v>
      </c>
      <c r="AW913" s="1">
        <v>0</v>
      </c>
      <c r="AX913" s="1">
        <v>0</v>
      </c>
      <c r="AY913" s="1">
        <v>0</v>
      </c>
      <c r="AZ913" s="1">
        <v>1</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1</v>
      </c>
      <c r="BQ913" s="2" t="str">
        <f>HYPERLINK("http://www.d20pfsrd.com/magic/all-spells/w/world-wave","World Wave")</f>
        <v>World Wave</v>
      </c>
      <c r="BR913" s="1">
        <v>936</v>
      </c>
      <c r="BS913" s="1" t="s">
        <v>104</v>
      </c>
      <c r="BT913" s="1" t="s">
        <v>5741</v>
      </c>
      <c r="BX913" s="1">
        <v>0</v>
      </c>
      <c r="BY913" s="1" t="s">
        <v>104</v>
      </c>
      <c r="BZ913" s="1" t="s">
        <v>104</v>
      </c>
      <c r="CA913" s="1" t="s">
        <v>104</v>
      </c>
      <c r="CB913" s="1" t="s">
        <v>104</v>
      </c>
      <c r="CC913" s="1" t="s">
        <v>104</v>
      </c>
      <c r="CD913" s="1" t="s">
        <v>104</v>
      </c>
      <c r="CE913" s="1" t="s">
        <v>104</v>
      </c>
      <c r="CF913" s="1" t="s">
        <v>104</v>
      </c>
      <c r="CG913" s="1" t="s">
        <v>104</v>
      </c>
      <c r="CH913" s="1" t="s">
        <v>104</v>
      </c>
      <c r="CJ913" s="1">
        <v>0</v>
      </c>
      <c r="CK913" s="1">
        <v>0</v>
      </c>
      <c r="CL913" s="1">
        <v>0</v>
      </c>
      <c r="CM913" s="1" t="s">
        <v>104</v>
      </c>
    </row>
    <row r="914" spans="1:91" ht="14.25" customHeight="1" x14ac:dyDescent="0.3">
      <c r="A914" s="1" t="s">
        <v>5742</v>
      </c>
      <c r="B914" s="1" t="s">
        <v>123</v>
      </c>
      <c r="C914" s="1" t="s">
        <v>124</v>
      </c>
      <c r="D914" s="1" t="s">
        <v>271</v>
      </c>
      <c r="E914" s="1" t="s">
        <v>4590</v>
      </c>
      <c r="F914" s="1" t="s">
        <v>95</v>
      </c>
      <c r="G914" s="1" t="s">
        <v>5446</v>
      </c>
      <c r="H914" s="1">
        <v>0</v>
      </c>
      <c r="I914" s="1" t="s">
        <v>157</v>
      </c>
      <c r="L914" s="1" t="s">
        <v>158</v>
      </c>
      <c r="M914" s="1" t="s">
        <v>191</v>
      </c>
      <c r="N914" s="1">
        <v>0</v>
      </c>
      <c r="O914" s="1">
        <v>0</v>
      </c>
      <c r="R914" s="1" t="s">
        <v>5743</v>
      </c>
      <c r="S914" s="1" t="s">
        <v>4403</v>
      </c>
      <c r="T914" s="1">
        <v>1</v>
      </c>
      <c r="U914" s="1">
        <v>1</v>
      </c>
      <c r="V914" s="1">
        <v>1</v>
      </c>
      <c r="W914" s="1">
        <v>0</v>
      </c>
      <c r="X914" s="1">
        <v>0</v>
      </c>
      <c r="Y914" s="1" t="s">
        <v>104</v>
      </c>
      <c r="Z914" s="1" t="s">
        <v>104</v>
      </c>
      <c r="AA914" s="1" t="s">
        <v>104</v>
      </c>
      <c r="AB914" s="1" t="s">
        <v>104</v>
      </c>
      <c r="AC914" s="1" t="s">
        <v>104</v>
      </c>
      <c r="AD914" s="1" t="s">
        <v>104</v>
      </c>
      <c r="AE914" s="1" t="s">
        <v>104</v>
      </c>
      <c r="AF914" s="1" t="s">
        <v>104</v>
      </c>
      <c r="AG914" s="1" t="s">
        <v>104</v>
      </c>
      <c r="AH914" s="1" t="s">
        <v>104</v>
      </c>
      <c r="AI914" s="1">
        <v>1</v>
      </c>
      <c r="AJ914" s="1" t="s">
        <v>104</v>
      </c>
      <c r="AK914" s="1" t="s">
        <v>104</v>
      </c>
      <c r="AL914" s="1" t="s">
        <v>104</v>
      </c>
      <c r="AM914" s="1" t="s">
        <v>104</v>
      </c>
      <c r="AO914" s="1">
        <v>1</v>
      </c>
      <c r="AQ914" s="1" t="s">
        <v>5744</v>
      </c>
      <c r="AR914" s="1">
        <v>0</v>
      </c>
      <c r="AS914" s="1">
        <v>0</v>
      </c>
      <c r="AT914" s="1">
        <v>0</v>
      </c>
      <c r="AU914" s="1">
        <v>0</v>
      </c>
      <c r="AV914" s="1">
        <v>0</v>
      </c>
      <c r="AW914" s="1">
        <v>0</v>
      </c>
      <c r="AX914" s="1">
        <v>0</v>
      </c>
      <c r="AY914" s="1">
        <v>0</v>
      </c>
      <c r="AZ914" s="1">
        <v>0</v>
      </c>
      <c r="BA914" s="1">
        <v>0</v>
      </c>
      <c r="BB914" s="1">
        <v>1</v>
      </c>
      <c r="BC914" s="1">
        <v>0</v>
      </c>
      <c r="BD914" s="1">
        <v>0</v>
      </c>
      <c r="BE914" s="1">
        <v>0</v>
      </c>
      <c r="BF914" s="1">
        <v>0</v>
      </c>
      <c r="BG914" s="1">
        <v>0</v>
      </c>
      <c r="BH914" s="1">
        <v>0</v>
      </c>
      <c r="BI914" s="1">
        <v>0</v>
      </c>
      <c r="BJ914" s="1">
        <v>0</v>
      </c>
      <c r="BK914" s="1">
        <v>1</v>
      </c>
      <c r="BL914" s="1">
        <v>0</v>
      </c>
      <c r="BM914" s="1">
        <v>0</v>
      </c>
      <c r="BN914" s="1">
        <v>0</v>
      </c>
      <c r="BO914" s="1">
        <v>0</v>
      </c>
      <c r="BP914" s="1">
        <v>0</v>
      </c>
      <c r="BQ914" s="2" t="str">
        <f>HYPERLINK("http://www.d20pfsrd.com/magic/all-spells/w/wrath","Wrath")</f>
        <v>Wrath</v>
      </c>
      <c r="BR914" s="1">
        <v>937</v>
      </c>
      <c r="BS914" s="1" t="s">
        <v>104</v>
      </c>
      <c r="BU914" s="1" t="s">
        <v>5745</v>
      </c>
      <c r="BX914" s="1">
        <v>0</v>
      </c>
      <c r="BY914" s="1" t="s">
        <v>104</v>
      </c>
      <c r="BZ914" s="1" t="s">
        <v>104</v>
      </c>
      <c r="CA914" s="1" t="s">
        <v>104</v>
      </c>
      <c r="CB914" s="1" t="s">
        <v>104</v>
      </c>
      <c r="CC914" s="1" t="s">
        <v>104</v>
      </c>
      <c r="CD914" s="1" t="s">
        <v>104</v>
      </c>
      <c r="CE914" s="1" t="s">
        <v>104</v>
      </c>
      <c r="CF914" s="1" t="s">
        <v>104</v>
      </c>
      <c r="CG914" s="1" t="s">
        <v>104</v>
      </c>
      <c r="CH914" s="1" t="s">
        <v>104</v>
      </c>
      <c r="CJ914" s="1">
        <v>0</v>
      </c>
      <c r="CK914" s="1">
        <v>0</v>
      </c>
      <c r="CL914" s="1">
        <v>0</v>
      </c>
      <c r="CM914" s="1" t="s">
        <v>104</v>
      </c>
    </row>
    <row r="915" spans="1:91" ht="14.25" customHeight="1" x14ac:dyDescent="0.3">
      <c r="A915" s="1" t="s">
        <v>5746</v>
      </c>
      <c r="B915" s="1" t="s">
        <v>434</v>
      </c>
      <c r="D915" s="1" t="s">
        <v>5747</v>
      </c>
      <c r="E915" s="1" t="s">
        <v>5748</v>
      </c>
      <c r="F915" s="1" t="s">
        <v>95</v>
      </c>
      <c r="G915" s="1" t="s">
        <v>127</v>
      </c>
      <c r="H915" s="1">
        <v>0</v>
      </c>
      <c r="I915" s="1" t="s">
        <v>5749</v>
      </c>
      <c r="L915" s="1" t="s">
        <v>5750</v>
      </c>
      <c r="M915" s="1" t="s">
        <v>2330</v>
      </c>
      <c r="N915" s="1">
        <v>0</v>
      </c>
      <c r="O915" s="1">
        <v>0</v>
      </c>
      <c r="P915" s="1" t="s">
        <v>375</v>
      </c>
      <c r="Q915" s="1" t="s">
        <v>131</v>
      </c>
      <c r="R915" s="1" t="s">
        <v>5751</v>
      </c>
      <c r="S915" s="1" t="s">
        <v>4403</v>
      </c>
      <c r="T915" s="1">
        <v>1</v>
      </c>
      <c r="U915" s="1">
        <v>1</v>
      </c>
      <c r="V915" s="1">
        <v>0</v>
      </c>
      <c r="W915" s="1">
        <v>0</v>
      </c>
      <c r="X915" s="1">
        <v>1</v>
      </c>
      <c r="Y915" s="1" t="s">
        <v>104</v>
      </c>
      <c r="Z915" s="1" t="s">
        <v>104</v>
      </c>
      <c r="AA915" s="1">
        <v>3</v>
      </c>
      <c r="AB915" s="1" t="s">
        <v>104</v>
      </c>
      <c r="AC915" s="1" t="s">
        <v>104</v>
      </c>
      <c r="AD915" s="1" t="s">
        <v>104</v>
      </c>
      <c r="AE915" s="1">
        <v>3</v>
      </c>
      <c r="AF915" s="1" t="s">
        <v>104</v>
      </c>
      <c r="AG915" s="1" t="s">
        <v>104</v>
      </c>
      <c r="AH915" s="1" t="s">
        <v>104</v>
      </c>
      <c r="AI915" s="1" t="s">
        <v>104</v>
      </c>
      <c r="AJ915" s="1">
        <v>3</v>
      </c>
      <c r="AK915" s="1" t="s">
        <v>104</v>
      </c>
      <c r="AL915" s="1" t="s">
        <v>104</v>
      </c>
      <c r="AM915" s="1" t="s">
        <v>104</v>
      </c>
      <c r="AO915" s="1">
        <v>3</v>
      </c>
      <c r="AP915" s="1" t="s">
        <v>5752</v>
      </c>
      <c r="AQ915" s="1" t="s">
        <v>5753</v>
      </c>
      <c r="AR915" s="1">
        <v>0</v>
      </c>
      <c r="AS915" s="1">
        <v>0</v>
      </c>
      <c r="AT915" s="1">
        <v>0</v>
      </c>
      <c r="AU915" s="1">
        <v>0</v>
      </c>
      <c r="AV915" s="1">
        <v>0</v>
      </c>
      <c r="AW915" s="1">
        <v>0</v>
      </c>
      <c r="AX915" s="1">
        <v>0</v>
      </c>
      <c r="AY915" s="1">
        <v>0</v>
      </c>
      <c r="AZ915" s="1">
        <v>0</v>
      </c>
      <c r="BA915" s="1">
        <v>0</v>
      </c>
      <c r="BB915" s="1">
        <v>0</v>
      </c>
      <c r="BC915" s="1">
        <v>0</v>
      </c>
      <c r="BD915" s="1">
        <v>0</v>
      </c>
      <c r="BE915" s="1">
        <v>0</v>
      </c>
      <c r="BF915" s="1">
        <v>1</v>
      </c>
      <c r="BG915" s="1">
        <v>0</v>
      </c>
      <c r="BH915" s="1">
        <v>0</v>
      </c>
      <c r="BI915" s="1">
        <v>0</v>
      </c>
      <c r="BJ915" s="1">
        <v>1</v>
      </c>
      <c r="BK915" s="1">
        <v>0</v>
      </c>
      <c r="BL915" s="1">
        <v>0</v>
      </c>
      <c r="BM915" s="1">
        <v>0</v>
      </c>
      <c r="BN915" s="1">
        <v>0</v>
      </c>
      <c r="BO915" s="1">
        <v>0</v>
      </c>
      <c r="BP915" s="1">
        <v>0</v>
      </c>
      <c r="BQ915" s="2" t="str">
        <f>HYPERLINK("http://www.d20pfsrd.com/magic/all-spells/w/wrathful-mantle","Wrathful Mantle")</f>
        <v>Wrathful Mantle</v>
      </c>
      <c r="BR915" s="1">
        <v>938</v>
      </c>
      <c r="BS915" s="1" t="s">
        <v>104</v>
      </c>
      <c r="BX915" s="1">
        <v>0</v>
      </c>
      <c r="BY915" s="1" t="s">
        <v>104</v>
      </c>
      <c r="BZ915" s="1" t="s">
        <v>104</v>
      </c>
      <c r="CA915" s="1" t="s">
        <v>104</v>
      </c>
      <c r="CB915" s="1" t="s">
        <v>104</v>
      </c>
      <c r="CC915" s="1" t="s">
        <v>104</v>
      </c>
      <c r="CD915" s="1" t="s">
        <v>104</v>
      </c>
      <c r="CE915" s="1" t="s">
        <v>104</v>
      </c>
      <c r="CF915" s="1" t="s">
        <v>104</v>
      </c>
      <c r="CG915" s="1" t="s">
        <v>104</v>
      </c>
      <c r="CH915" s="1" t="s">
        <v>104</v>
      </c>
      <c r="CJ915" s="1">
        <v>0</v>
      </c>
      <c r="CK915" s="1">
        <v>0</v>
      </c>
      <c r="CL915" s="1">
        <v>0</v>
      </c>
      <c r="CM915" s="1" t="s">
        <v>104</v>
      </c>
    </row>
    <row r="916" spans="1:91" ht="14.25" customHeight="1" x14ac:dyDescent="0.3">
      <c r="A916" s="1" t="s">
        <v>5754</v>
      </c>
      <c r="B916" s="1" t="s">
        <v>172</v>
      </c>
      <c r="E916" s="1" t="s">
        <v>5755</v>
      </c>
      <c r="F916" s="1" t="s">
        <v>95</v>
      </c>
      <c r="G916" s="1" t="s">
        <v>127</v>
      </c>
      <c r="H916" s="1">
        <v>0</v>
      </c>
      <c r="I916" s="1" t="s">
        <v>109</v>
      </c>
      <c r="L916" s="1" t="s">
        <v>1065</v>
      </c>
      <c r="M916" s="1" t="s">
        <v>2330</v>
      </c>
      <c r="N916" s="1">
        <v>0</v>
      </c>
      <c r="O916" s="1">
        <v>0</v>
      </c>
      <c r="P916" s="1" t="s">
        <v>100</v>
      </c>
      <c r="Q916" s="1" t="s">
        <v>184</v>
      </c>
      <c r="R916" s="1" t="s">
        <v>5756</v>
      </c>
      <c r="S916" s="1" t="s">
        <v>4403</v>
      </c>
      <c r="T916" s="1">
        <v>1</v>
      </c>
      <c r="U916" s="1">
        <v>1</v>
      </c>
      <c r="V916" s="1">
        <v>0</v>
      </c>
      <c r="W916" s="1">
        <v>0</v>
      </c>
      <c r="X916" s="1">
        <v>1</v>
      </c>
      <c r="Y916" s="1" t="s">
        <v>104</v>
      </c>
      <c r="Z916" s="1" t="s">
        <v>104</v>
      </c>
      <c r="AA916" s="1" t="s">
        <v>104</v>
      </c>
      <c r="AB916" s="1" t="s">
        <v>104</v>
      </c>
      <c r="AC916" s="1">
        <v>2</v>
      </c>
      <c r="AD916" s="1" t="s">
        <v>104</v>
      </c>
      <c r="AE916" s="1" t="s">
        <v>104</v>
      </c>
      <c r="AF916" s="1" t="s">
        <v>104</v>
      </c>
      <c r="AG916" s="1" t="s">
        <v>104</v>
      </c>
      <c r="AH916" s="1" t="s">
        <v>104</v>
      </c>
      <c r="AI916" s="1">
        <v>3</v>
      </c>
      <c r="AJ916" s="1" t="s">
        <v>104</v>
      </c>
      <c r="AK916" s="1" t="s">
        <v>104</v>
      </c>
      <c r="AL916" s="1" t="s">
        <v>104</v>
      </c>
      <c r="AM916" s="1" t="s">
        <v>104</v>
      </c>
      <c r="AO916" s="1">
        <v>2</v>
      </c>
      <c r="AQ916" s="1" t="s">
        <v>5757</v>
      </c>
      <c r="AR916" s="1">
        <v>0</v>
      </c>
      <c r="AS916" s="1">
        <v>0</v>
      </c>
      <c r="AT916" s="1">
        <v>0</v>
      </c>
      <c r="AU916" s="1">
        <v>0</v>
      </c>
      <c r="AV916" s="1">
        <v>0</v>
      </c>
      <c r="AW916" s="1">
        <v>0</v>
      </c>
      <c r="AX916" s="1">
        <v>0</v>
      </c>
      <c r="AY916" s="1">
        <v>0</v>
      </c>
      <c r="AZ916" s="1">
        <v>0</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2" t="str">
        <f>HYPERLINK("http://www.d20pfsrd.com/magic/all-spells/h/hunter-s-eye","Hunter's Eye")</f>
        <v>Hunter's Eye</v>
      </c>
      <c r="BR916" s="1">
        <v>940</v>
      </c>
      <c r="BS916" s="1" t="s">
        <v>104</v>
      </c>
      <c r="BX916" s="1">
        <v>0</v>
      </c>
      <c r="BY916" s="1" t="s">
        <v>104</v>
      </c>
      <c r="BZ916" s="1" t="s">
        <v>104</v>
      </c>
      <c r="CA916" s="1" t="s">
        <v>104</v>
      </c>
      <c r="CB916" s="1" t="s">
        <v>104</v>
      </c>
      <c r="CC916" s="1" t="s">
        <v>104</v>
      </c>
      <c r="CD916" s="1" t="s">
        <v>104</v>
      </c>
      <c r="CE916" s="1" t="s">
        <v>104</v>
      </c>
      <c r="CF916" s="1" t="s">
        <v>104</v>
      </c>
      <c r="CG916" s="1" t="s">
        <v>104</v>
      </c>
      <c r="CH916" s="1">
        <v>2</v>
      </c>
      <c r="CJ916" s="1">
        <v>0</v>
      </c>
      <c r="CK916" s="1">
        <v>0</v>
      </c>
      <c r="CL916" s="1">
        <v>0</v>
      </c>
      <c r="CM916" s="1" t="s">
        <v>104</v>
      </c>
    </row>
    <row r="917" spans="1:91" ht="14.25" customHeight="1" x14ac:dyDescent="0.3">
      <c r="A917" s="1" t="s">
        <v>5758</v>
      </c>
      <c r="B917" s="1" t="s">
        <v>216</v>
      </c>
      <c r="D917" s="1" t="s">
        <v>3185</v>
      </c>
      <c r="E917" s="1" t="s">
        <v>5759</v>
      </c>
      <c r="F917" s="1" t="s">
        <v>95</v>
      </c>
      <c r="G917" s="1" t="s">
        <v>116</v>
      </c>
      <c r="H917" s="1">
        <v>0</v>
      </c>
      <c r="I917" s="1" t="s">
        <v>697</v>
      </c>
      <c r="J917" s="1" t="s">
        <v>627</v>
      </c>
      <c r="M917" s="1" t="s">
        <v>111</v>
      </c>
      <c r="N917" s="1">
        <v>0</v>
      </c>
      <c r="O917" s="1">
        <v>0</v>
      </c>
      <c r="P917" s="1" t="s">
        <v>211</v>
      </c>
      <c r="Q917" s="1" t="s">
        <v>100</v>
      </c>
      <c r="R917" s="1" t="s">
        <v>5760</v>
      </c>
      <c r="S917" s="1" t="s">
        <v>4403</v>
      </c>
      <c r="T917" s="1">
        <v>1</v>
      </c>
      <c r="U917" s="1">
        <v>1</v>
      </c>
      <c r="V917" s="1">
        <v>0</v>
      </c>
      <c r="W917" s="1">
        <v>0</v>
      </c>
      <c r="X917" s="1">
        <v>0</v>
      </c>
      <c r="Y917" s="1" t="s">
        <v>104</v>
      </c>
      <c r="Z917" s="1" t="s">
        <v>104</v>
      </c>
      <c r="AA917" s="1" t="s">
        <v>104</v>
      </c>
      <c r="AB917" s="1" t="s">
        <v>104</v>
      </c>
      <c r="AC917" s="1">
        <v>1</v>
      </c>
      <c r="AD917" s="1" t="s">
        <v>104</v>
      </c>
      <c r="AE917" s="1" t="s">
        <v>104</v>
      </c>
      <c r="AF917" s="1" t="s">
        <v>104</v>
      </c>
      <c r="AG917" s="1" t="s">
        <v>104</v>
      </c>
      <c r="AH917" s="1" t="s">
        <v>104</v>
      </c>
      <c r="AI917" s="1" t="s">
        <v>104</v>
      </c>
      <c r="AJ917" s="1" t="s">
        <v>104</v>
      </c>
      <c r="AK917" s="1" t="s">
        <v>104</v>
      </c>
      <c r="AL917" s="1" t="s">
        <v>104</v>
      </c>
      <c r="AM917" s="1" t="s">
        <v>104</v>
      </c>
      <c r="AO917" s="1">
        <v>1</v>
      </c>
      <c r="AQ917" s="1" t="s">
        <v>5761</v>
      </c>
      <c r="AR917" s="1">
        <v>0</v>
      </c>
      <c r="AS917" s="1">
        <v>0</v>
      </c>
      <c r="AT917" s="1">
        <v>0</v>
      </c>
      <c r="AU917" s="1">
        <v>0</v>
      </c>
      <c r="AV917" s="1">
        <v>0</v>
      </c>
      <c r="AW917" s="1">
        <v>0</v>
      </c>
      <c r="AX917" s="1">
        <v>0</v>
      </c>
      <c r="AY917" s="1">
        <v>0</v>
      </c>
      <c r="AZ917" s="1">
        <v>0</v>
      </c>
      <c r="BA917" s="1">
        <v>0</v>
      </c>
      <c r="BB917" s="1">
        <v>1</v>
      </c>
      <c r="BC917" s="1">
        <v>0</v>
      </c>
      <c r="BD917" s="1">
        <v>1</v>
      </c>
      <c r="BE917" s="1">
        <v>0</v>
      </c>
      <c r="BF917" s="1">
        <v>0</v>
      </c>
      <c r="BG917" s="1">
        <v>0</v>
      </c>
      <c r="BH917" s="1">
        <v>0</v>
      </c>
      <c r="BI917" s="1">
        <v>0</v>
      </c>
      <c r="BJ917" s="1">
        <v>0</v>
      </c>
      <c r="BK917" s="1">
        <v>1</v>
      </c>
      <c r="BL917" s="1">
        <v>0</v>
      </c>
      <c r="BM917" s="1">
        <v>0</v>
      </c>
      <c r="BN917" s="1">
        <v>0</v>
      </c>
      <c r="BO917" s="1">
        <v>0</v>
      </c>
      <c r="BP917" s="1">
        <v>0</v>
      </c>
      <c r="BQ917" s="2" t="str">
        <f>HYPERLINK("http://www.d20pfsrd.com/magic/all-spells/h/hunter-s-howl","Hunter's Howl")</f>
        <v>Hunter's Howl</v>
      </c>
      <c r="BR917" s="1">
        <v>941</v>
      </c>
      <c r="BS917" s="1" t="s">
        <v>104</v>
      </c>
      <c r="BX917" s="1">
        <v>0</v>
      </c>
      <c r="BY917" s="1" t="s">
        <v>104</v>
      </c>
      <c r="BZ917" s="1" t="s">
        <v>104</v>
      </c>
      <c r="CA917" s="1" t="s">
        <v>104</v>
      </c>
      <c r="CB917" s="1" t="s">
        <v>104</v>
      </c>
      <c r="CC917" s="1" t="s">
        <v>104</v>
      </c>
      <c r="CD917" s="1" t="s">
        <v>104</v>
      </c>
      <c r="CE917" s="1" t="s">
        <v>104</v>
      </c>
      <c r="CF917" s="1" t="s">
        <v>104</v>
      </c>
      <c r="CG917" s="1" t="s">
        <v>104</v>
      </c>
      <c r="CH917" s="1">
        <v>1</v>
      </c>
      <c r="CJ917" s="1">
        <v>0</v>
      </c>
      <c r="CK917" s="1">
        <v>0</v>
      </c>
      <c r="CL917" s="1">
        <v>0</v>
      </c>
      <c r="CM917" s="1" t="s">
        <v>104</v>
      </c>
    </row>
    <row r="918" spans="1:91" ht="14.25" customHeight="1" x14ac:dyDescent="0.3">
      <c r="A918" s="1" t="s">
        <v>5762</v>
      </c>
      <c r="B918" s="1" t="s">
        <v>137</v>
      </c>
      <c r="E918" s="1" t="s">
        <v>5763</v>
      </c>
      <c r="F918" s="1" t="s">
        <v>95</v>
      </c>
      <c r="G918" s="1" t="s">
        <v>5764</v>
      </c>
      <c r="H918" s="1">
        <v>0</v>
      </c>
      <c r="I918" s="1" t="s">
        <v>157</v>
      </c>
      <c r="L918" s="1" t="s">
        <v>158</v>
      </c>
      <c r="M918" s="1" t="s">
        <v>4292</v>
      </c>
      <c r="N918" s="1">
        <v>0</v>
      </c>
      <c r="O918" s="1">
        <v>0</v>
      </c>
      <c r="R918" s="1" t="s">
        <v>5765</v>
      </c>
      <c r="S918" s="1" t="s">
        <v>4403</v>
      </c>
      <c r="T918" s="1">
        <v>1</v>
      </c>
      <c r="U918" s="1">
        <v>1</v>
      </c>
      <c r="V918" s="1">
        <v>1</v>
      </c>
      <c r="W918" s="1">
        <v>0</v>
      </c>
      <c r="X918" s="1">
        <v>0</v>
      </c>
      <c r="Y918" s="1" t="s">
        <v>104</v>
      </c>
      <c r="Z918" s="1" t="s">
        <v>104</v>
      </c>
      <c r="AA918" s="1" t="s">
        <v>104</v>
      </c>
      <c r="AB918" s="1" t="s">
        <v>104</v>
      </c>
      <c r="AC918" s="1">
        <v>2</v>
      </c>
      <c r="AD918" s="1" t="s">
        <v>104</v>
      </c>
      <c r="AE918" s="1" t="s">
        <v>104</v>
      </c>
      <c r="AF918" s="1">
        <v>2</v>
      </c>
      <c r="AG918" s="1" t="s">
        <v>104</v>
      </c>
      <c r="AH918" s="1">
        <v>2</v>
      </c>
      <c r="AI918" s="1">
        <v>2</v>
      </c>
      <c r="AJ918" s="1" t="s">
        <v>104</v>
      </c>
      <c r="AK918" s="1" t="s">
        <v>104</v>
      </c>
      <c r="AL918" s="1" t="s">
        <v>104</v>
      </c>
      <c r="AM918" s="1" t="s">
        <v>104</v>
      </c>
      <c r="AO918" s="1">
        <v>2</v>
      </c>
      <c r="AQ918" s="1" t="s">
        <v>5766</v>
      </c>
      <c r="AR918" s="1">
        <v>0</v>
      </c>
      <c r="AS918" s="1">
        <v>0</v>
      </c>
      <c r="AT918" s="1">
        <v>0</v>
      </c>
      <c r="AU918" s="1">
        <v>0</v>
      </c>
      <c r="AV918" s="1">
        <v>0</v>
      </c>
      <c r="AW918" s="1">
        <v>0</v>
      </c>
      <c r="AX918" s="1">
        <v>0</v>
      </c>
      <c r="AY918" s="1">
        <v>0</v>
      </c>
      <c r="AZ918" s="1">
        <v>0</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2" t="str">
        <f>HYPERLINK("http://www.d20pfsrd.com/magic/all-spells/p/perceive-cues","Perceive Cues")</f>
        <v>Perceive Cues</v>
      </c>
      <c r="BR918" s="1">
        <v>942</v>
      </c>
      <c r="BS918" s="1" t="s">
        <v>104</v>
      </c>
      <c r="BX918" s="1">
        <v>0</v>
      </c>
      <c r="BY918" s="1" t="s">
        <v>104</v>
      </c>
      <c r="BZ918" s="1" t="s">
        <v>104</v>
      </c>
      <c r="CA918" s="1">
        <v>2</v>
      </c>
      <c r="CB918" s="1" t="s">
        <v>104</v>
      </c>
      <c r="CC918" s="1">
        <v>2</v>
      </c>
      <c r="CD918" s="1">
        <v>2</v>
      </c>
      <c r="CE918" s="1" t="s">
        <v>104</v>
      </c>
      <c r="CF918" s="1" t="s">
        <v>104</v>
      </c>
      <c r="CG918" s="1" t="s">
        <v>104</v>
      </c>
      <c r="CH918" s="1">
        <v>2</v>
      </c>
      <c r="CJ918" s="1">
        <v>0</v>
      </c>
      <c r="CK918" s="1">
        <v>0</v>
      </c>
      <c r="CL918" s="1">
        <v>0</v>
      </c>
      <c r="CM918" s="1" t="s">
        <v>104</v>
      </c>
    </row>
    <row r="919" spans="1:91" ht="14.25" customHeight="1" x14ac:dyDescent="0.3">
      <c r="A919" s="1" t="s">
        <v>5767</v>
      </c>
      <c r="B919" s="1" t="s">
        <v>172</v>
      </c>
      <c r="E919" s="1" t="s">
        <v>5768</v>
      </c>
      <c r="F919" s="1" t="s">
        <v>191</v>
      </c>
      <c r="G919" s="1" t="s">
        <v>5769</v>
      </c>
      <c r="H919" s="1">
        <v>0</v>
      </c>
      <c r="I919" s="1" t="s">
        <v>128</v>
      </c>
      <c r="L919" s="1" t="s">
        <v>5770</v>
      </c>
      <c r="M919" s="1" t="s">
        <v>119</v>
      </c>
      <c r="N919" s="1">
        <v>0</v>
      </c>
      <c r="O919" s="1">
        <v>0</v>
      </c>
      <c r="P919" s="1" t="s">
        <v>100</v>
      </c>
      <c r="Q919" s="1" t="s">
        <v>101</v>
      </c>
      <c r="R919" s="1" t="s">
        <v>5771</v>
      </c>
      <c r="S919" s="1" t="s">
        <v>4403</v>
      </c>
      <c r="T919" s="1">
        <v>1</v>
      </c>
      <c r="U919" s="1">
        <v>1</v>
      </c>
      <c r="V919" s="1">
        <v>1</v>
      </c>
      <c r="W919" s="1">
        <v>0</v>
      </c>
      <c r="X919" s="1">
        <v>0</v>
      </c>
      <c r="Y919" s="1" t="s">
        <v>104</v>
      </c>
      <c r="Z919" s="1" t="s">
        <v>104</v>
      </c>
      <c r="AA919" s="1" t="s">
        <v>104</v>
      </c>
      <c r="AB919" s="1" t="s">
        <v>104</v>
      </c>
      <c r="AC919" s="1">
        <v>1</v>
      </c>
      <c r="AD919" s="1" t="s">
        <v>104</v>
      </c>
      <c r="AE919" s="1" t="s">
        <v>104</v>
      </c>
      <c r="AF919" s="1" t="s">
        <v>104</v>
      </c>
      <c r="AG919" s="1" t="s">
        <v>104</v>
      </c>
      <c r="AH919" s="1" t="s">
        <v>104</v>
      </c>
      <c r="AI919" s="1" t="s">
        <v>104</v>
      </c>
      <c r="AJ919" s="1" t="s">
        <v>104</v>
      </c>
      <c r="AK919" s="1" t="s">
        <v>104</v>
      </c>
      <c r="AL919" s="1" t="s">
        <v>104</v>
      </c>
      <c r="AM919" s="1" t="s">
        <v>104</v>
      </c>
      <c r="AO919" s="1">
        <v>1</v>
      </c>
      <c r="AQ919" s="1" t="s">
        <v>5772</v>
      </c>
      <c r="AR919" s="1">
        <v>0</v>
      </c>
      <c r="AS919" s="1">
        <v>0</v>
      </c>
      <c r="AT919" s="1">
        <v>0</v>
      </c>
      <c r="AU919" s="1">
        <v>0</v>
      </c>
      <c r="AV919" s="1">
        <v>0</v>
      </c>
      <c r="AW919" s="1">
        <v>0</v>
      </c>
      <c r="AX919" s="1">
        <v>0</v>
      </c>
      <c r="AY919" s="1">
        <v>0</v>
      </c>
      <c r="AZ919" s="1">
        <v>0</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2" t="str">
        <f>HYPERLINK("http://www.d20pfsrd.com/magic/all-spells/r/residual-tracking","Residual Tracking")</f>
        <v>Residual Tracking</v>
      </c>
      <c r="BR919" s="1">
        <v>943</v>
      </c>
      <c r="BS919" s="1" t="s">
        <v>104</v>
      </c>
      <c r="BX919" s="1">
        <v>0</v>
      </c>
      <c r="BY919" s="1" t="s">
        <v>104</v>
      </c>
      <c r="BZ919" s="1" t="s">
        <v>104</v>
      </c>
      <c r="CA919" s="1" t="s">
        <v>104</v>
      </c>
      <c r="CB919" s="1" t="s">
        <v>104</v>
      </c>
      <c r="CC919" s="1" t="s">
        <v>104</v>
      </c>
      <c r="CD919" s="1">
        <v>2</v>
      </c>
      <c r="CE919" s="1" t="s">
        <v>104</v>
      </c>
      <c r="CF919" s="1" t="s">
        <v>104</v>
      </c>
      <c r="CG919" s="1" t="s">
        <v>104</v>
      </c>
      <c r="CH919" s="1">
        <v>1</v>
      </c>
      <c r="CJ919" s="1">
        <v>0</v>
      </c>
      <c r="CK919" s="1">
        <v>0</v>
      </c>
      <c r="CL919" s="1">
        <v>0</v>
      </c>
      <c r="CM919" s="1" t="s">
        <v>104</v>
      </c>
    </row>
    <row r="920" spans="1:91" ht="14.25" customHeight="1" x14ac:dyDescent="0.3">
      <c r="A920" s="1" t="s">
        <v>5773</v>
      </c>
      <c r="B920" s="1" t="s">
        <v>92</v>
      </c>
      <c r="C920" s="1" t="s">
        <v>523</v>
      </c>
      <c r="D920" s="1" t="s">
        <v>53</v>
      </c>
      <c r="E920" s="1" t="s">
        <v>5774</v>
      </c>
      <c r="F920" s="1" t="s">
        <v>95</v>
      </c>
      <c r="G920" s="1" t="s">
        <v>127</v>
      </c>
      <c r="H920" s="1">
        <v>0</v>
      </c>
      <c r="I920" s="1" t="s">
        <v>117</v>
      </c>
      <c r="L920" s="1" t="s">
        <v>417</v>
      </c>
      <c r="M920" s="1" t="s">
        <v>5775</v>
      </c>
      <c r="N920" s="1">
        <v>0</v>
      </c>
      <c r="O920" s="1">
        <v>0</v>
      </c>
      <c r="P920" s="1" t="s">
        <v>375</v>
      </c>
      <c r="Q920" s="1" t="s">
        <v>131</v>
      </c>
      <c r="R920" s="1" t="s">
        <v>5776</v>
      </c>
      <c r="S920" s="1" t="s">
        <v>4403</v>
      </c>
      <c r="T920" s="1">
        <v>1</v>
      </c>
      <c r="U920" s="1">
        <v>1</v>
      </c>
      <c r="V920" s="1">
        <v>0</v>
      </c>
      <c r="W920" s="1">
        <v>0</v>
      </c>
      <c r="X920" s="1">
        <v>1</v>
      </c>
      <c r="Y920" s="1" t="s">
        <v>104</v>
      </c>
      <c r="Z920" s="1" t="s">
        <v>104</v>
      </c>
      <c r="AA920" s="1">
        <v>2</v>
      </c>
      <c r="AB920" s="1" t="s">
        <v>104</v>
      </c>
      <c r="AC920" s="1" t="s">
        <v>104</v>
      </c>
      <c r="AD920" s="1" t="s">
        <v>104</v>
      </c>
      <c r="AE920" s="1">
        <v>2</v>
      </c>
      <c r="AF920" s="1" t="s">
        <v>104</v>
      </c>
      <c r="AG920" s="1" t="s">
        <v>104</v>
      </c>
      <c r="AH920" s="1" t="s">
        <v>104</v>
      </c>
      <c r="AI920" s="1" t="s">
        <v>104</v>
      </c>
      <c r="AJ920" s="1">
        <v>2</v>
      </c>
      <c r="AK920" s="1" t="s">
        <v>104</v>
      </c>
      <c r="AL920" s="1" t="s">
        <v>104</v>
      </c>
      <c r="AM920" s="1" t="s">
        <v>104</v>
      </c>
      <c r="AO920" s="1">
        <v>2</v>
      </c>
      <c r="AQ920" s="1" t="s">
        <v>5777</v>
      </c>
      <c r="AR920" s="1">
        <v>0</v>
      </c>
      <c r="AS920" s="1">
        <v>0</v>
      </c>
      <c r="AT920" s="1">
        <v>0</v>
      </c>
      <c r="AU920" s="1">
        <v>0</v>
      </c>
      <c r="AV920" s="1">
        <v>0</v>
      </c>
      <c r="AW920" s="1">
        <v>0</v>
      </c>
      <c r="AX920" s="1">
        <v>0</v>
      </c>
      <c r="AY920" s="1">
        <v>0</v>
      </c>
      <c r="AZ920" s="1">
        <v>0</v>
      </c>
      <c r="BA920" s="1">
        <v>0</v>
      </c>
      <c r="BB920" s="1">
        <v>1</v>
      </c>
      <c r="BC920" s="1">
        <v>0</v>
      </c>
      <c r="BD920" s="1">
        <v>0</v>
      </c>
      <c r="BE920" s="1">
        <v>0</v>
      </c>
      <c r="BF920" s="1">
        <v>0</v>
      </c>
      <c r="BG920" s="1">
        <v>0</v>
      </c>
      <c r="BH920" s="1">
        <v>0</v>
      </c>
      <c r="BI920" s="1">
        <v>0</v>
      </c>
      <c r="BJ920" s="1">
        <v>0</v>
      </c>
      <c r="BK920" s="1">
        <v>0</v>
      </c>
      <c r="BL920" s="1">
        <v>0</v>
      </c>
      <c r="BM920" s="1">
        <v>0</v>
      </c>
      <c r="BN920" s="1">
        <v>0</v>
      </c>
      <c r="BO920" s="1">
        <v>0</v>
      </c>
      <c r="BP920" s="1">
        <v>0</v>
      </c>
      <c r="BQ920" s="2" t="str">
        <f>HYPERLINK("http://www.d20pfsrd.com/magic/all-spells/b/blessing-of-courage-and-life","Blessing of Courage and Life")</f>
        <v>Blessing of Courage and Life</v>
      </c>
      <c r="BR920" s="1">
        <v>944</v>
      </c>
      <c r="BS920" s="1" t="s">
        <v>104</v>
      </c>
      <c r="BU920" s="1" t="s">
        <v>5778</v>
      </c>
      <c r="BX920" s="1">
        <v>0</v>
      </c>
      <c r="BY920" s="1" t="s">
        <v>104</v>
      </c>
      <c r="BZ920" s="1" t="s">
        <v>104</v>
      </c>
      <c r="CA920" s="1" t="s">
        <v>104</v>
      </c>
      <c r="CB920" s="1" t="s">
        <v>104</v>
      </c>
      <c r="CC920" s="1" t="s">
        <v>104</v>
      </c>
      <c r="CD920" s="1" t="s">
        <v>104</v>
      </c>
      <c r="CE920" s="1" t="s">
        <v>104</v>
      </c>
      <c r="CF920" s="1" t="s">
        <v>104</v>
      </c>
      <c r="CG920" s="1" t="s">
        <v>104</v>
      </c>
      <c r="CH920" s="1" t="s">
        <v>104</v>
      </c>
      <c r="CJ920" s="1">
        <v>0</v>
      </c>
      <c r="CK920" s="1">
        <v>0</v>
      </c>
      <c r="CL920" s="1">
        <v>0</v>
      </c>
      <c r="CM920" s="1" t="s">
        <v>104</v>
      </c>
    </row>
    <row r="921" spans="1:91" ht="14.25" customHeight="1" x14ac:dyDescent="0.3">
      <c r="A921" s="1" t="s">
        <v>5779</v>
      </c>
      <c r="B921" s="1" t="s">
        <v>123</v>
      </c>
      <c r="C921" s="1" t="s">
        <v>124</v>
      </c>
      <c r="D921" s="1" t="s">
        <v>125</v>
      </c>
      <c r="E921" s="1" t="s">
        <v>5780</v>
      </c>
      <c r="F921" s="1" t="s">
        <v>95</v>
      </c>
      <c r="G921" s="1" t="s">
        <v>5781</v>
      </c>
      <c r="H921" s="1">
        <v>0</v>
      </c>
      <c r="I921" s="1" t="s">
        <v>109</v>
      </c>
      <c r="L921" s="1" t="s">
        <v>417</v>
      </c>
      <c r="M921" s="1" t="s">
        <v>5385</v>
      </c>
      <c r="N921" s="1">
        <v>1</v>
      </c>
      <c r="O921" s="1">
        <v>0</v>
      </c>
      <c r="P921" s="1" t="s">
        <v>418</v>
      </c>
      <c r="Q921" s="1" t="s">
        <v>184</v>
      </c>
      <c r="R921" s="1" t="s">
        <v>5782</v>
      </c>
      <c r="S921" s="1" t="s">
        <v>5783</v>
      </c>
      <c r="T921" s="1">
        <v>1</v>
      </c>
      <c r="U921" s="1">
        <v>1</v>
      </c>
      <c r="V921" s="1">
        <v>1</v>
      </c>
      <c r="W921" s="1">
        <v>0</v>
      </c>
      <c r="X921" s="1">
        <v>1</v>
      </c>
      <c r="Y921" s="1">
        <v>5</v>
      </c>
      <c r="Z921" s="1">
        <v>5</v>
      </c>
      <c r="AA921" s="1">
        <v>5</v>
      </c>
      <c r="AB921" s="1" t="s">
        <v>104</v>
      </c>
      <c r="AC921" s="1" t="s">
        <v>104</v>
      </c>
      <c r="AD921" s="1" t="s">
        <v>104</v>
      </c>
      <c r="AE921" s="1" t="s">
        <v>104</v>
      </c>
      <c r="AF921" s="1" t="s">
        <v>104</v>
      </c>
      <c r="AG921" s="1" t="s">
        <v>104</v>
      </c>
      <c r="AH921" s="1" t="s">
        <v>104</v>
      </c>
      <c r="AI921" s="1" t="s">
        <v>104</v>
      </c>
      <c r="AJ921" s="1">
        <v>5</v>
      </c>
      <c r="AK921" s="1" t="s">
        <v>104</v>
      </c>
      <c r="AL921" s="1" t="s">
        <v>104</v>
      </c>
      <c r="AM921" s="1" t="s">
        <v>104</v>
      </c>
      <c r="AO921" s="1">
        <v>5</v>
      </c>
      <c r="AR921" s="1">
        <v>0</v>
      </c>
      <c r="AS921" s="1">
        <v>0</v>
      </c>
      <c r="AT921" s="1">
        <v>0</v>
      </c>
      <c r="AU921" s="1">
        <v>0</v>
      </c>
      <c r="AV921" s="1">
        <v>0</v>
      </c>
      <c r="AW921" s="1">
        <v>0</v>
      </c>
      <c r="AX921" s="1">
        <v>0</v>
      </c>
      <c r="AY921" s="1">
        <v>0</v>
      </c>
      <c r="AZ921" s="1">
        <v>0</v>
      </c>
      <c r="BA921" s="1">
        <v>0</v>
      </c>
      <c r="BB921" s="1">
        <v>0</v>
      </c>
      <c r="BC921" s="1">
        <v>0</v>
      </c>
      <c r="BD921" s="1">
        <v>0</v>
      </c>
      <c r="BE921" s="1">
        <v>0</v>
      </c>
      <c r="BF921" s="1">
        <v>0</v>
      </c>
      <c r="BG921" s="1">
        <v>0</v>
      </c>
      <c r="BH921" s="1">
        <v>0</v>
      </c>
      <c r="BI921" s="1">
        <v>0</v>
      </c>
      <c r="BJ921" s="1">
        <v>0</v>
      </c>
      <c r="BK921" s="1">
        <v>1</v>
      </c>
      <c r="BL921" s="1">
        <v>0</v>
      </c>
      <c r="BM921" s="1">
        <v>0</v>
      </c>
      <c r="BN921" s="1">
        <v>0</v>
      </c>
      <c r="BO921" s="1">
        <v>0</v>
      </c>
      <c r="BP921" s="1">
        <v>0</v>
      </c>
      <c r="BQ921" s="1" t="s">
        <v>104</v>
      </c>
      <c r="BR921" s="1">
        <v>950</v>
      </c>
      <c r="BS921" s="1" t="s">
        <v>104</v>
      </c>
      <c r="BX921" s="1">
        <v>0</v>
      </c>
      <c r="BY921" s="1" t="s">
        <v>104</v>
      </c>
      <c r="BZ921" s="1" t="s">
        <v>104</v>
      </c>
      <c r="CA921" s="1" t="s">
        <v>104</v>
      </c>
      <c r="CB921" s="1" t="s">
        <v>104</v>
      </c>
      <c r="CC921" s="1" t="s">
        <v>104</v>
      </c>
      <c r="CD921" s="1" t="s">
        <v>104</v>
      </c>
      <c r="CE921" s="1" t="s">
        <v>104</v>
      </c>
      <c r="CF921" s="1" t="s">
        <v>104</v>
      </c>
      <c r="CG921" s="1" t="s">
        <v>104</v>
      </c>
      <c r="CH921" s="1" t="s">
        <v>104</v>
      </c>
      <c r="CJ921" s="1">
        <v>0</v>
      </c>
      <c r="CK921" s="1">
        <v>0</v>
      </c>
      <c r="CL921" s="1">
        <v>0</v>
      </c>
      <c r="CM921" s="1" t="s">
        <v>104</v>
      </c>
    </row>
    <row r="922" spans="1:91" ht="14.25" customHeight="1" x14ac:dyDescent="0.3">
      <c r="A922" s="1" t="s">
        <v>5784</v>
      </c>
      <c r="B922" s="1" t="s">
        <v>172</v>
      </c>
      <c r="E922" s="1" t="s">
        <v>5785</v>
      </c>
      <c r="F922" s="1" t="s">
        <v>95</v>
      </c>
      <c r="G922" s="1" t="s">
        <v>116</v>
      </c>
      <c r="H922" s="1">
        <v>0</v>
      </c>
      <c r="I922" s="1" t="s">
        <v>157</v>
      </c>
      <c r="L922" s="1" t="s">
        <v>158</v>
      </c>
      <c r="M922" s="1" t="s">
        <v>111</v>
      </c>
      <c r="N922" s="1">
        <v>0</v>
      </c>
      <c r="O922" s="1">
        <v>0</v>
      </c>
      <c r="R922" s="1" t="s">
        <v>5786</v>
      </c>
      <c r="S922" s="1" t="s">
        <v>5787</v>
      </c>
      <c r="T922" s="1">
        <v>1</v>
      </c>
      <c r="U922" s="1">
        <v>1</v>
      </c>
      <c r="V922" s="1">
        <v>0</v>
      </c>
      <c r="W922" s="1">
        <v>0</v>
      </c>
      <c r="X922" s="1">
        <v>0</v>
      </c>
      <c r="Y922" s="1" t="s">
        <v>104</v>
      </c>
      <c r="Z922" s="1" t="s">
        <v>104</v>
      </c>
      <c r="AA922" s="1">
        <v>5</v>
      </c>
      <c r="AB922" s="1">
        <v>4</v>
      </c>
      <c r="AC922" s="1" t="s">
        <v>104</v>
      </c>
      <c r="AD922" s="1" t="s">
        <v>104</v>
      </c>
      <c r="AE922" s="1" t="s">
        <v>104</v>
      </c>
      <c r="AF922" s="1">
        <v>5</v>
      </c>
      <c r="AG922" s="1" t="s">
        <v>104</v>
      </c>
      <c r="AH922" s="1" t="s">
        <v>104</v>
      </c>
      <c r="AI922" s="1" t="s">
        <v>104</v>
      </c>
      <c r="AJ922" s="1">
        <v>5</v>
      </c>
      <c r="AK922" s="1" t="s">
        <v>104</v>
      </c>
      <c r="AL922" s="1" t="s">
        <v>104</v>
      </c>
      <c r="AM922" s="1" t="s">
        <v>104</v>
      </c>
      <c r="AO922" s="1">
        <v>5</v>
      </c>
      <c r="AR922" s="1">
        <v>0</v>
      </c>
      <c r="AS922" s="1">
        <v>0</v>
      </c>
      <c r="AT922" s="1">
        <v>0</v>
      </c>
      <c r="AU922" s="1">
        <v>0</v>
      </c>
      <c r="AV922" s="1">
        <v>0</v>
      </c>
      <c r="AW922" s="1">
        <v>0</v>
      </c>
      <c r="AX922" s="1">
        <v>0</v>
      </c>
      <c r="AY922" s="1">
        <v>0</v>
      </c>
      <c r="AZ922" s="1">
        <v>0</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2" t="str">
        <f>HYPERLINK("http://www.d20pfsrd.com/magic/all-spells/a/ancestral-memory","Ancestral Memory")</f>
        <v>Ancestral Memory</v>
      </c>
      <c r="BR922" s="1">
        <v>951</v>
      </c>
      <c r="BS922" s="1" t="s">
        <v>104</v>
      </c>
      <c r="BX922" s="1">
        <v>0</v>
      </c>
      <c r="BY922" s="1" t="s">
        <v>104</v>
      </c>
      <c r="BZ922" s="1" t="s">
        <v>104</v>
      </c>
      <c r="CA922" s="1" t="s">
        <v>104</v>
      </c>
      <c r="CB922" s="1" t="s">
        <v>104</v>
      </c>
      <c r="CC922" s="1" t="s">
        <v>104</v>
      </c>
      <c r="CD922" s="1" t="s">
        <v>104</v>
      </c>
      <c r="CE922" s="1" t="s">
        <v>104</v>
      </c>
      <c r="CF922" s="1" t="s">
        <v>104</v>
      </c>
      <c r="CG922" s="1" t="s">
        <v>104</v>
      </c>
      <c r="CH922" s="1">
        <v>4</v>
      </c>
      <c r="CJ922" s="1">
        <v>0</v>
      </c>
      <c r="CK922" s="1">
        <v>0</v>
      </c>
      <c r="CL922" s="1">
        <v>0</v>
      </c>
      <c r="CM922" s="1" t="s">
        <v>104</v>
      </c>
    </row>
    <row r="923" spans="1:91" ht="14.25" customHeight="1" x14ac:dyDescent="0.3">
      <c r="A923" s="1" t="s">
        <v>5788</v>
      </c>
      <c r="B923" s="1" t="s">
        <v>137</v>
      </c>
      <c r="E923" s="1" t="s">
        <v>5789</v>
      </c>
      <c r="F923" s="1" t="s">
        <v>95</v>
      </c>
      <c r="G923" s="1" t="s">
        <v>5790</v>
      </c>
      <c r="H923" s="1">
        <v>0</v>
      </c>
      <c r="I923" s="1" t="s">
        <v>128</v>
      </c>
      <c r="L923" s="1" t="s">
        <v>5791</v>
      </c>
      <c r="M923" s="1" t="s">
        <v>4292</v>
      </c>
      <c r="N923" s="1">
        <v>0</v>
      </c>
      <c r="O923" s="1">
        <v>0</v>
      </c>
      <c r="P923" s="1" t="s">
        <v>1058</v>
      </c>
      <c r="Q923" s="1" t="s">
        <v>131</v>
      </c>
      <c r="R923" s="1" t="s">
        <v>5792</v>
      </c>
      <c r="S923" s="1" t="s">
        <v>5787</v>
      </c>
      <c r="T923" s="1">
        <v>1</v>
      </c>
      <c r="U923" s="1">
        <v>1</v>
      </c>
      <c r="V923" s="1">
        <v>1</v>
      </c>
      <c r="W923" s="1">
        <v>0</v>
      </c>
      <c r="X923" s="1">
        <v>0</v>
      </c>
      <c r="Y923" s="1" t="s">
        <v>104</v>
      </c>
      <c r="Z923" s="1" t="s">
        <v>104</v>
      </c>
      <c r="AA923" s="1">
        <v>1</v>
      </c>
      <c r="AB923" s="1" t="s">
        <v>104</v>
      </c>
      <c r="AC923" s="1" t="s">
        <v>104</v>
      </c>
      <c r="AD923" s="1" t="s">
        <v>104</v>
      </c>
      <c r="AE923" s="1" t="s">
        <v>104</v>
      </c>
      <c r="AF923" s="1" t="s">
        <v>104</v>
      </c>
      <c r="AG923" s="1" t="s">
        <v>104</v>
      </c>
      <c r="AH923" s="1" t="s">
        <v>104</v>
      </c>
      <c r="AI923" s="1">
        <v>1</v>
      </c>
      <c r="AJ923" s="1">
        <v>1</v>
      </c>
      <c r="AK923" s="1" t="s">
        <v>104</v>
      </c>
      <c r="AL923" s="1">
        <v>1</v>
      </c>
      <c r="AM923" s="1" t="s">
        <v>104</v>
      </c>
      <c r="AO923" s="1">
        <v>1</v>
      </c>
      <c r="AR923" s="1">
        <v>0</v>
      </c>
      <c r="AS923" s="1">
        <v>0</v>
      </c>
      <c r="AT923" s="1">
        <v>0</v>
      </c>
      <c r="AU923" s="1">
        <v>0</v>
      </c>
      <c r="AV923" s="1">
        <v>0</v>
      </c>
      <c r="AW923" s="1">
        <v>0</v>
      </c>
      <c r="AX923" s="1">
        <v>0</v>
      </c>
      <c r="AY923" s="1">
        <v>0</v>
      </c>
      <c r="AZ923" s="1">
        <v>0</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2" t="str">
        <f>HYPERLINK("http://www.d20pfsrd.com/magic/all-spells/g/gorum-s-armor","Gorum's Armor")</f>
        <v>Gorum's Armor</v>
      </c>
      <c r="BR923" s="1">
        <v>953</v>
      </c>
      <c r="BS923" s="1" t="s">
        <v>104</v>
      </c>
      <c r="BV923" s="1" t="s">
        <v>5793</v>
      </c>
      <c r="BX923" s="1">
        <v>1</v>
      </c>
      <c r="BY923" s="1" t="s">
        <v>104</v>
      </c>
      <c r="BZ923" s="1" t="s">
        <v>104</v>
      </c>
      <c r="CA923" s="1" t="s">
        <v>104</v>
      </c>
      <c r="CB923" s="1" t="s">
        <v>104</v>
      </c>
      <c r="CC923" s="1" t="s">
        <v>104</v>
      </c>
      <c r="CD923" s="1" t="s">
        <v>104</v>
      </c>
      <c r="CE923" s="1" t="s">
        <v>104</v>
      </c>
      <c r="CF923" s="1" t="s">
        <v>104</v>
      </c>
      <c r="CG923" s="1" t="s">
        <v>104</v>
      </c>
      <c r="CH923" s="1" t="s">
        <v>104</v>
      </c>
      <c r="CJ923" s="1">
        <v>0</v>
      </c>
      <c r="CK923" s="1">
        <v>0</v>
      </c>
      <c r="CL923" s="1">
        <v>0</v>
      </c>
      <c r="CM923" s="1" t="s">
        <v>104</v>
      </c>
    </row>
    <row r="924" spans="1:91" ht="14.25" customHeight="1" x14ac:dyDescent="0.3">
      <c r="A924" s="1" t="s">
        <v>5794</v>
      </c>
      <c r="B924" s="1" t="s">
        <v>172</v>
      </c>
      <c r="E924" s="1" t="s">
        <v>5795</v>
      </c>
      <c r="F924" s="1" t="s">
        <v>287</v>
      </c>
      <c r="G924" s="1" t="s">
        <v>5796</v>
      </c>
      <c r="H924" s="1">
        <v>0</v>
      </c>
      <c r="I924" s="1" t="s">
        <v>128</v>
      </c>
      <c r="L924" s="1" t="s">
        <v>1065</v>
      </c>
      <c r="M924" s="1" t="s">
        <v>5797</v>
      </c>
      <c r="N924" s="1">
        <v>0</v>
      </c>
      <c r="O924" s="1">
        <v>0</v>
      </c>
      <c r="R924" s="1" t="s">
        <v>5798</v>
      </c>
      <c r="S924" s="1" t="s">
        <v>5787</v>
      </c>
      <c r="T924" s="1">
        <v>1</v>
      </c>
      <c r="U924" s="1">
        <v>1</v>
      </c>
      <c r="V924" s="1">
        <v>0</v>
      </c>
      <c r="W924" s="1">
        <v>0</v>
      </c>
      <c r="X924" s="1">
        <v>0</v>
      </c>
      <c r="Y924" s="1">
        <v>3</v>
      </c>
      <c r="Z924" s="1">
        <v>3</v>
      </c>
      <c r="AA924" s="1" t="s">
        <v>104</v>
      </c>
      <c r="AB924" s="1" t="s">
        <v>104</v>
      </c>
      <c r="AC924" s="1" t="s">
        <v>104</v>
      </c>
      <c r="AD924" s="1">
        <v>3</v>
      </c>
      <c r="AE924" s="1" t="s">
        <v>104</v>
      </c>
      <c r="AF924" s="1" t="s">
        <v>104</v>
      </c>
      <c r="AG924" s="1" t="s">
        <v>104</v>
      </c>
      <c r="AH924" s="1">
        <v>3</v>
      </c>
      <c r="AI924" s="1" t="s">
        <v>104</v>
      </c>
      <c r="AJ924" s="1" t="s">
        <v>104</v>
      </c>
      <c r="AK924" s="1" t="s">
        <v>104</v>
      </c>
      <c r="AL924" s="1" t="s">
        <v>104</v>
      </c>
      <c r="AM924" s="1" t="s">
        <v>104</v>
      </c>
      <c r="AO924" s="1">
        <v>3</v>
      </c>
      <c r="AR924" s="1">
        <v>0</v>
      </c>
      <c r="AS924" s="1">
        <v>0</v>
      </c>
      <c r="AT924" s="1">
        <v>0</v>
      </c>
      <c r="AU924" s="1">
        <v>0</v>
      </c>
      <c r="AV924" s="1">
        <v>0</v>
      </c>
      <c r="AW924" s="1">
        <v>0</v>
      </c>
      <c r="AX924" s="1">
        <v>0</v>
      </c>
      <c r="AY924" s="1">
        <v>0</v>
      </c>
      <c r="AZ924" s="1">
        <v>0</v>
      </c>
      <c r="BA924" s="1">
        <v>0</v>
      </c>
      <c r="BB924" s="1">
        <v>0</v>
      </c>
      <c r="BC924" s="1">
        <v>0</v>
      </c>
      <c r="BD924" s="1">
        <v>0</v>
      </c>
      <c r="BE924" s="1">
        <v>0</v>
      </c>
      <c r="BF924" s="1">
        <v>0</v>
      </c>
      <c r="BG924" s="1">
        <v>0</v>
      </c>
      <c r="BH924" s="1">
        <v>0</v>
      </c>
      <c r="BI924" s="1">
        <v>0</v>
      </c>
      <c r="BJ924" s="1">
        <v>0</v>
      </c>
      <c r="BK924" s="1">
        <v>0</v>
      </c>
      <c r="BL924" s="1">
        <v>0</v>
      </c>
      <c r="BM924" s="1">
        <v>0</v>
      </c>
      <c r="BN924" s="1">
        <v>0</v>
      </c>
      <c r="BO924" s="1">
        <v>0</v>
      </c>
      <c r="BP924" s="1">
        <v>0</v>
      </c>
      <c r="BQ924" s="2" t="str">
        <f>HYPERLINK("http://www.d20pfsrd.com/magic/all-spells/h/harrowing","Harrowing")</f>
        <v>Harrowing</v>
      </c>
      <c r="BR924" s="1">
        <v>954</v>
      </c>
      <c r="BS924" s="1" t="s">
        <v>104</v>
      </c>
      <c r="BT924" s="1" t="s">
        <v>5799</v>
      </c>
      <c r="BV924" s="1" t="s">
        <v>5800</v>
      </c>
      <c r="BW924" s="1" t="s">
        <v>5801</v>
      </c>
      <c r="BX924" s="1">
        <v>1</v>
      </c>
      <c r="BY924" s="1" t="s">
        <v>104</v>
      </c>
      <c r="BZ924" s="1" t="s">
        <v>104</v>
      </c>
      <c r="CA924" s="1" t="s">
        <v>104</v>
      </c>
      <c r="CB924" s="1" t="s">
        <v>104</v>
      </c>
      <c r="CC924" s="1" t="s">
        <v>104</v>
      </c>
      <c r="CD924" s="1" t="s">
        <v>104</v>
      </c>
      <c r="CE924" s="1" t="s">
        <v>104</v>
      </c>
      <c r="CF924" s="1" t="s">
        <v>104</v>
      </c>
      <c r="CG924" s="1" t="s">
        <v>104</v>
      </c>
      <c r="CH924" s="1" t="s">
        <v>104</v>
      </c>
      <c r="CJ924" s="1">
        <v>0</v>
      </c>
      <c r="CK924" s="1">
        <v>0</v>
      </c>
      <c r="CL924" s="1">
        <v>0</v>
      </c>
      <c r="CM924" s="1" t="s">
        <v>104</v>
      </c>
    </row>
    <row r="925" spans="1:91" ht="14.25" customHeight="1" x14ac:dyDescent="0.3">
      <c r="A925" s="1" t="s">
        <v>5802</v>
      </c>
      <c r="B925" s="1" t="s">
        <v>92</v>
      </c>
      <c r="C925" s="1" t="s">
        <v>523</v>
      </c>
      <c r="D925" s="1" t="s">
        <v>54</v>
      </c>
      <c r="E925" s="1" t="s">
        <v>5803</v>
      </c>
      <c r="F925" s="1" t="s">
        <v>255</v>
      </c>
      <c r="G925" s="1" t="s">
        <v>5804</v>
      </c>
      <c r="H925" s="1">
        <v>0</v>
      </c>
      <c r="I925" s="1" t="s">
        <v>128</v>
      </c>
      <c r="L925" s="1" t="s">
        <v>374</v>
      </c>
      <c r="M925" s="1" t="s">
        <v>191</v>
      </c>
      <c r="N925" s="1">
        <v>0</v>
      </c>
      <c r="O925" s="1">
        <v>0</v>
      </c>
      <c r="P925" s="1" t="s">
        <v>375</v>
      </c>
      <c r="Q925" s="1" t="s">
        <v>131</v>
      </c>
      <c r="R925" s="1" t="s">
        <v>5805</v>
      </c>
      <c r="S925" s="1" t="s">
        <v>5787</v>
      </c>
      <c r="T925" s="1">
        <v>1</v>
      </c>
      <c r="U925" s="1">
        <v>1</v>
      </c>
      <c r="V925" s="1">
        <v>1</v>
      </c>
      <c r="W925" s="1">
        <v>0</v>
      </c>
      <c r="X925" s="1">
        <v>0</v>
      </c>
      <c r="Y925" s="1">
        <v>1</v>
      </c>
      <c r="Z925" s="1">
        <v>1</v>
      </c>
      <c r="AA925" s="1">
        <v>1</v>
      </c>
      <c r="AB925" s="1" t="s">
        <v>104</v>
      </c>
      <c r="AC925" s="1" t="s">
        <v>104</v>
      </c>
      <c r="AD925" s="1" t="s">
        <v>104</v>
      </c>
      <c r="AE925" s="1" t="s">
        <v>104</v>
      </c>
      <c r="AF925" s="1" t="s">
        <v>104</v>
      </c>
      <c r="AG925" s="1">
        <v>1</v>
      </c>
      <c r="AH925" s="1">
        <v>1</v>
      </c>
      <c r="AI925" s="1" t="s">
        <v>104</v>
      </c>
      <c r="AJ925" s="1">
        <v>1</v>
      </c>
      <c r="AK925" s="1" t="s">
        <v>104</v>
      </c>
      <c r="AL925" s="1">
        <v>1</v>
      </c>
      <c r="AM925" s="1" t="s">
        <v>104</v>
      </c>
      <c r="AO925" s="1">
        <v>1</v>
      </c>
      <c r="AR925" s="1">
        <v>0</v>
      </c>
      <c r="AS925" s="1">
        <v>0</v>
      </c>
      <c r="AT925" s="1">
        <v>0</v>
      </c>
      <c r="AU925" s="1">
        <v>0</v>
      </c>
      <c r="AV925" s="1">
        <v>0</v>
      </c>
      <c r="AW925" s="1">
        <v>0</v>
      </c>
      <c r="AX925" s="1">
        <v>0</v>
      </c>
      <c r="AY925" s="1">
        <v>0</v>
      </c>
      <c r="AZ925" s="1">
        <v>0</v>
      </c>
      <c r="BA925" s="1">
        <v>0</v>
      </c>
      <c r="BB925" s="1">
        <v>0</v>
      </c>
      <c r="BC925" s="1">
        <v>1</v>
      </c>
      <c r="BD925" s="1">
        <v>0</v>
      </c>
      <c r="BE925" s="1">
        <v>0</v>
      </c>
      <c r="BF925" s="1">
        <v>0</v>
      </c>
      <c r="BG925" s="1">
        <v>0</v>
      </c>
      <c r="BH925" s="1">
        <v>0</v>
      </c>
      <c r="BI925" s="1">
        <v>0</v>
      </c>
      <c r="BJ925" s="1">
        <v>0</v>
      </c>
      <c r="BK925" s="1">
        <v>0</v>
      </c>
      <c r="BL925" s="1">
        <v>0</v>
      </c>
      <c r="BM925" s="1">
        <v>0</v>
      </c>
      <c r="BN925" s="1">
        <v>0</v>
      </c>
      <c r="BO925" s="1">
        <v>0</v>
      </c>
      <c r="BP925" s="1">
        <v>0</v>
      </c>
      <c r="BQ925" s="2" t="str">
        <f>HYPERLINK("http://www.d20pfsrd.com/magic/all-spells/i/infernal-healing","Infernal Healing")</f>
        <v>Infernal Healing</v>
      </c>
      <c r="BR925" s="1">
        <v>955</v>
      </c>
      <c r="BS925" s="1" t="s">
        <v>104</v>
      </c>
      <c r="BX925" s="1">
        <v>0</v>
      </c>
      <c r="BY925" s="1" t="s">
        <v>104</v>
      </c>
      <c r="BZ925" s="1" t="s">
        <v>104</v>
      </c>
      <c r="CA925" s="1" t="s">
        <v>104</v>
      </c>
      <c r="CB925" s="1" t="s">
        <v>104</v>
      </c>
      <c r="CC925" s="1" t="s">
        <v>104</v>
      </c>
      <c r="CD925" s="1" t="s">
        <v>104</v>
      </c>
      <c r="CE925" s="1" t="s">
        <v>104</v>
      </c>
      <c r="CF925" s="1" t="s">
        <v>104</v>
      </c>
      <c r="CG925" s="1" t="s">
        <v>104</v>
      </c>
      <c r="CH925" s="1" t="s">
        <v>104</v>
      </c>
      <c r="CJ925" s="1">
        <v>0</v>
      </c>
      <c r="CK925" s="1">
        <v>0</v>
      </c>
      <c r="CL925" s="1">
        <v>0</v>
      </c>
      <c r="CM925" s="1">
        <v>1</v>
      </c>
    </row>
    <row r="926" spans="1:91" ht="14.25" customHeight="1" x14ac:dyDescent="0.3">
      <c r="A926" s="1" t="s">
        <v>5806</v>
      </c>
      <c r="B926" s="1" t="s">
        <v>92</v>
      </c>
      <c r="C926" s="1" t="s">
        <v>523</v>
      </c>
      <c r="D926" s="1" t="s">
        <v>54</v>
      </c>
      <c r="E926" s="1" t="s">
        <v>5807</v>
      </c>
      <c r="F926" s="1" t="s">
        <v>255</v>
      </c>
      <c r="G926" s="1" t="s">
        <v>5804</v>
      </c>
      <c r="H926" s="1">
        <v>0</v>
      </c>
      <c r="I926" s="1" t="s">
        <v>128</v>
      </c>
      <c r="L926" s="1" t="s">
        <v>374</v>
      </c>
      <c r="M926" s="1" t="s">
        <v>191</v>
      </c>
      <c r="N926" s="1">
        <v>0</v>
      </c>
      <c r="O926" s="1">
        <v>0</v>
      </c>
      <c r="P926" s="1" t="s">
        <v>375</v>
      </c>
      <c r="Q926" s="1" t="s">
        <v>131</v>
      </c>
      <c r="R926" s="1" t="s">
        <v>5808</v>
      </c>
      <c r="S926" s="1" t="s">
        <v>5787</v>
      </c>
      <c r="T926" s="1">
        <v>1</v>
      </c>
      <c r="U926" s="1">
        <v>1</v>
      </c>
      <c r="V926" s="1">
        <v>1</v>
      </c>
      <c r="W926" s="1">
        <v>0</v>
      </c>
      <c r="X926" s="1">
        <v>0</v>
      </c>
      <c r="Y926" s="1">
        <v>4</v>
      </c>
      <c r="Z926" s="1">
        <v>4</v>
      </c>
      <c r="AA926" s="1">
        <v>4</v>
      </c>
      <c r="AB926" s="1" t="s">
        <v>104</v>
      </c>
      <c r="AC926" s="1" t="s">
        <v>104</v>
      </c>
      <c r="AD926" s="1" t="s">
        <v>104</v>
      </c>
      <c r="AE926" s="1" t="s">
        <v>104</v>
      </c>
      <c r="AF926" s="1" t="s">
        <v>104</v>
      </c>
      <c r="AG926" s="1">
        <v>4</v>
      </c>
      <c r="AH926" s="1">
        <v>4</v>
      </c>
      <c r="AI926" s="1" t="s">
        <v>104</v>
      </c>
      <c r="AJ926" s="1">
        <v>4</v>
      </c>
      <c r="AK926" s="1" t="s">
        <v>104</v>
      </c>
      <c r="AL926" s="1">
        <v>4</v>
      </c>
      <c r="AM926" s="1" t="s">
        <v>104</v>
      </c>
      <c r="AO926" s="1">
        <v>4</v>
      </c>
      <c r="AR926" s="1">
        <v>0</v>
      </c>
      <c r="AS926" s="1">
        <v>0</v>
      </c>
      <c r="AT926" s="1">
        <v>0</v>
      </c>
      <c r="AU926" s="1">
        <v>0</v>
      </c>
      <c r="AV926" s="1">
        <v>0</v>
      </c>
      <c r="AW926" s="1">
        <v>0</v>
      </c>
      <c r="AX926" s="1">
        <v>0</v>
      </c>
      <c r="AY926" s="1">
        <v>0</v>
      </c>
      <c r="AZ926" s="1">
        <v>0</v>
      </c>
      <c r="BA926" s="1">
        <v>0</v>
      </c>
      <c r="BB926" s="1">
        <v>0</v>
      </c>
      <c r="BC926" s="1">
        <v>1</v>
      </c>
      <c r="BD926" s="1">
        <v>0</v>
      </c>
      <c r="BE926" s="1">
        <v>0</v>
      </c>
      <c r="BF926" s="1">
        <v>0</v>
      </c>
      <c r="BG926" s="1">
        <v>0</v>
      </c>
      <c r="BH926" s="1">
        <v>0</v>
      </c>
      <c r="BI926" s="1">
        <v>0</v>
      </c>
      <c r="BJ926" s="1">
        <v>0</v>
      </c>
      <c r="BK926" s="1">
        <v>0</v>
      </c>
      <c r="BL926" s="1">
        <v>0</v>
      </c>
      <c r="BM926" s="1">
        <v>0</v>
      </c>
      <c r="BN926" s="1">
        <v>0</v>
      </c>
      <c r="BO926" s="1">
        <v>0</v>
      </c>
      <c r="BP926" s="1">
        <v>0</v>
      </c>
      <c r="BQ926" s="2" t="str">
        <f>HYPERLINK("http://www.d20pfsrd.com/magic/all-spells/i/infernal-healing","Infernal Healing, Greater")</f>
        <v>Infernal Healing, Greater</v>
      </c>
      <c r="BR926" s="1">
        <v>956</v>
      </c>
      <c r="BS926" s="1" t="s">
        <v>104</v>
      </c>
      <c r="BX926" s="1">
        <v>0</v>
      </c>
      <c r="BY926" s="1" t="s">
        <v>104</v>
      </c>
      <c r="BZ926" s="1" t="s">
        <v>104</v>
      </c>
      <c r="CA926" s="1" t="s">
        <v>104</v>
      </c>
      <c r="CB926" s="1" t="s">
        <v>104</v>
      </c>
      <c r="CC926" s="1" t="s">
        <v>104</v>
      </c>
      <c r="CD926" s="1" t="s">
        <v>104</v>
      </c>
      <c r="CE926" s="1" t="s">
        <v>104</v>
      </c>
      <c r="CF926" s="1" t="s">
        <v>104</v>
      </c>
      <c r="CG926" s="1" t="s">
        <v>104</v>
      </c>
      <c r="CH926" s="1" t="s">
        <v>104</v>
      </c>
      <c r="CJ926" s="1">
        <v>0</v>
      </c>
      <c r="CK926" s="1">
        <v>0</v>
      </c>
      <c r="CL926" s="1">
        <v>0</v>
      </c>
      <c r="CM926" s="1">
        <v>4</v>
      </c>
    </row>
    <row r="927" spans="1:91" ht="14.25" customHeight="1" x14ac:dyDescent="0.3">
      <c r="A927" s="1" t="s">
        <v>5809</v>
      </c>
      <c r="B927" s="1" t="s">
        <v>123</v>
      </c>
      <c r="C927" s="1" t="s">
        <v>124</v>
      </c>
      <c r="D927" s="1" t="s">
        <v>125</v>
      </c>
      <c r="E927" s="1" t="s">
        <v>5810</v>
      </c>
      <c r="F927" s="1" t="s">
        <v>191</v>
      </c>
      <c r="G927" s="1" t="s">
        <v>5811</v>
      </c>
      <c r="H927" s="1">
        <v>1</v>
      </c>
      <c r="I927" s="1" t="s">
        <v>128</v>
      </c>
      <c r="L927" s="1" t="s">
        <v>374</v>
      </c>
      <c r="M927" s="1" t="s">
        <v>5812</v>
      </c>
      <c r="N927" s="1">
        <v>1</v>
      </c>
      <c r="O927" s="1">
        <v>0</v>
      </c>
      <c r="P927" s="1" t="s">
        <v>375</v>
      </c>
      <c r="Q927" s="1" t="s">
        <v>5813</v>
      </c>
      <c r="R927" s="1" t="s">
        <v>5814</v>
      </c>
      <c r="S927" s="1" t="s">
        <v>5787</v>
      </c>
      <c r="T927" s="1">
        <v>1</v>
      </c>
      <c r="U927" s="1">
        <v>0</v>
      </c>
      <c r="V927" s="1">
        <v>1</v>
      </c>
      <c r="W927" s="1">
        <v>0</v>
      </c>
      <c r="X927" s="1">
        <v>0</v>
      </c>
      <c r="Y927" s="1">
        <v>3</v>
      </c>
      <c r="Z927" s="1">
        <v>3</v>
      </c>
      <c r="AA927" s="1">
        <v>3</v>
      </c>
      <c r="AB927" s="1" t="s">
        <v>104</v>
      </c>
      <c r="AC927" s="1" t="s">
        <v>104</v>
      </c>
      <c r="AD927" s="1">
        <v>3</v>
      </c>
      <c r="AE927" s="1" t="s">
        <v>104</v>
      </c>
      <c r="AF927" s="1" t="s">
        <v>104</v>
      </c>
      <c r="AG927" s="1" t="s">
        <v>104</v>
      </c>
      <c r="AH927" s="1">
        <v>3</v>
      </c>
      <c r="AI927" s="1" t="s">
        <v>104</v>
      </c>
      <c r="AJ927" s="1">
        <v>3</v>
      </c>
      <c r="AK927" s="1" t="s">
        <v>104</v>
      </c>
      <c r="AL927" s="1" t="s">
        <v>104</v>
      </c>
      <c r="AM927" s="1" t="s">
        <v>104</v>
      </c>
      <c r="AO927" s="1">
        <v>3</v>
      </c>
      <c r="AR927" s="1">
        <v>0</v>
      </c>
      <c r="AS927" s="1">
        <v>0</v>
      </c>
      <c r="AT927" s="1">
        <v>0</v>
      </c>
      <c r="AU927" s="1">
        <v>0</v>
      </c>
      <c r="AV927" s="1">
        <v>0</v>
      </c>
      <c r="AW927" s="1">
        <v>0</v>
      </c>
      <c r="AX927" s="1">
        <v>0</v>
      </c>
      <c r="AY927" s="1">
        <v>0</v>
      </c>
      <c r="AZ927" s="1">
        <v>0</v>
      </c>
      <c r="BA927" s="1">
        <v>0</v>
      </c>
      <c r="BB927" s="1">
        <v>0</v>
      </c>
      <c r="BC927" s="1">
        <v>0</v>
      </c>
      <c r="BD927" s="1">
        <v>0</v>
      </c>
      <c r="BE927" s="1">
        <v>0</v>
      </c>
      <c r="BF927" s="1">
        <v>0</v>
      </c>
      <c r="BG927" s="1">
        <v>0</v>
      </c>
      <c r="BH927" s="1">
        <v>0</v>
      </c>
      <c r="BI927" s="1">
        <v>0</v>
      </c>
      <c r="BJ927" s="1">
        <v>0</v>
      </c>
      <c r="BK927" s="1">
        <v>1</v>
      </c>
      <c r="BL927" s="1">
        <v>0</v>
      </c>
      <c r="BM927" s="1">
        <v>0</v>
      </c>
      <c r="BN927" s="1">
        <v>0</v>
      </c>
      <c r="BO927" s="1">
        <v>0</v>
      </c>
      <c r="BP927" s="1">
        <v>0</v>
      </c>
      <c r="BQ927" s="2" t="str">
        <f>HYPERLINK("http://www.d20pfsrd.com/magic/all-spells/l/lover-s-vengeance","Lover's Vengeance")</f>
        <v>Lover's Vengeance</v>
      </c>
      <c r="BR927" s="1">
        <v>958</v>
      </c>
      <c r="BS927" s="1">
        <v>100</v>
      </c>
      <c r="BX927" s="1">
        <v>0</v>
      </c>
      <c r="BY927" s="1" t="s">
        <v>104</v>
      </c>
      <c r="BZ927" s="1" t="s">
        <v>104</v>
      </c>
      <c r="CA927" s="1" t="s">
        <v>104</v>
      </c>
      <c r="CB927" s="1" t="s">
        <v>104</v>
      </c>
      <c r="CC927" s="1" t="s">
        <v>104</v>
      </c>
      <c r="CD927" s="1" t="s">
        <v>104</v>
      </c>
      <c r="CE927" s="1" t="s">
        <v>104</v>
      </c>
      <c r="CF927" s="1" t="s">
        <v>104</v>
      </c>
      <c r="CG927" s="1" t="s">
        <v>104</v>
      </c>
      <c r="CH927" s="1" t="s">
        <v>104</v>
      </c>
      <c r="CJ927" s="1">
        <v>0</v>
      </c>
      <c r="CK927" s="1">
        <v>0</v>
      </c>
      <c r="CL927" s="1">
        <v>0</v>
      </c>
      <c r="CM927" s="1" t="s">
        <v>104</v>
      </c>
    </row>
    <row r="928" spans="1:91" ht="14.25" customHeight="1" x14ac:dyDescent="0.3">
      <c r="A928" s="1" t="s">
        <v>5815</v>
      </c>
      <c r="B928" s="1" t="s">
        <v>434</v>
      </c>
      <c r="D928" s="1" t="s">
        <v>5816</v>
      </c>
      <c r="E928" s="1" t="s">
        <v>5817</v>
      </c>
      <c r="F928" s="1" t="s">
        <v>95</v>
      </c>
      <c r="G928" s="1" t="s">
        <v>127</v>
      </c>
      <c r="H928" s="1">
        <v>0</v>
      </c>
      <c r="I928" s="1" t="s">
        <v>157</v>
      </c>
      <c r="L928" s="1" t="s">
        <v>158</v>
      </c>
      <c r="M928" s="1" t="s">
        <v>111</v>
      </c>
      <c r="N928" s="1">
        <v>0</v>
      </c>
      <c r="O928" s="1">
        <v>0</v>
      </c>
      <c r="P928" s="1" t="s">
        <v>145</v>
      </c>
      <c r="Q928" s="1" t="s">
        <v>101</v>
      </c>
      <c r="R928" s="1" t="s">
        <v>5818</v>
      </c>
      <c r="S928" s="1" t="s">
        <v>5787</v>
      </c>
      <c r="T928" s="1">
        <v>1</v>
      </c>
      <c r="U928" s="1">
        <v>1</v>
      </c>
      <c r="V928" s="1">
        <v>0</v>
      </c>
      <c r="W928" s="1">
        <v>0</v>
      </c>
      <c r="X928" s="1">
        <v>1</v>
      </c>
      <c r="Y928" s="1" t="s">
        <v>104</v>
      </c>
      <c r="Z928" s="1" t="s">
        <v>104</v>
      </c>
      <c r="AA928" s="1">
        <v>4</v>
      </c>
      <c r="AB928" s="1" t="s">
        <v>104</v>
      </c>
      <c r="AC928" s="1">
        <v>4</v>
      </c>
      <c r="AD928" s="1">
        <v>4</v>
      </c>
      <c r="AE928" s="1">
        <v>4</v>
      </c>
      <c r="AF928" s="1" t="s">
        <v>104</v>
      </c>
      <c r="AG928" s="1" t="s">
        <v>104</v>
      </c>
      <c r="AH928" s="1" t="s">
        <v>104</v>
      </c>
      <c r="AI928" s="1" t="s">
        <v>104</v>
      </c>
      <c r="AJ928" s="1">
        <v>4</v>
      </c>
      <c r="AK928" s="1" t="s">
        <v>104</v>
      </c>
      <c r="AL928" s="1">
        <v>4</v>
      </c>
      <c r="AM928" s="1" t="s">
        <v>104</v>
      </c>
      <c r="AO928" s="1">
        <v>4</v>
      </c>
      <c r="AR928" s="1">
        <v>0</v>
      </c>
      <c r="AS928" s="1">
        <v>0</v>
      </c>
      <c r="AT928" s="1">
        <v>0</v>
      </c>
      <c r="AU928" s="1">
        <v>0</v>
      </c>
      <c r="AV928" s="1">
        <v>0</v>
      </c>
      <c r="AW928" s="1">
        <v>0</v>
      </c>
      <c r="AX928" s="1">
        <v>0</v>
      </c>
      <c r="AY928" s="1">
        <v>0</v>
      </c>
      <c r="AZ928" s="1">
        <v>0</v>
      </c>
      <c r="BA928" s="1">
        <v>0</v>
      </c>
      <c r="BB928" s="1">
        <v>0</v>
      </c>
      <c r="BC928" s="1">
        <v>0</v>
      </c>
      <c r="BD928" s="1">
        <v>0</v>
      </c>
      <c r="BE928" s="1">
        <v>1</v>
      </c>
      <c r="BF928" s="1">
        <v>0</v>
      </c>
      <c r="BG928" s="1">
        <v>1</v>
      </c>
      <c r="BH928" s="1">
        <v>0</v>
      </c>
      <c r="BI928" s="1">
        <v>0</v>
      </c>
      <c r="BJ928" s="1">
        <v>1</v>
      </c>
      <c r="BK928" s="1">
        <v>0</v>
      </c>
      <c r="BL928" s="1">
        <v>0</v>
      </c>
      <c r="BM928" s="1">
        <v>0</v>
      </c>
      <c r="BN928" s="1">
        <v>0</v>
      </c>
      <c r="BO928" s="1">
        <v>0</v>
      </c>
      <c r="BP928" s="1">
        <v>0</v>
      </c>
      <c r="BQ928" s="2" t="str">
        <f>HYPERLINK("http://www.d20pfsrd.com/magic/all-spells/s/shield-of-the-dawnflower","Shield of the Dawnflower")</f>
        <v>Shield of the Dawnflower</v>
      </c>
      <c r="BR928" s="1">
        <v>959</v>
      </c>
      <c r="BS928" s="1" t="s">
        <v>104</v>
      </c>
      <c r="BV928" s="1" t="s">
        <v>5819</v>
      </c>
      <c r="BX928" s="1">
        <v>1</v>
      </c>
      <c r="BY928" s="1" t="s">
        <v>104</v>
      </c>
      <c r="BZ928" s="1" t="s">
        <v>104</v>
      </c>
      <c r="CA928" s="1" t="s">
        <v>104</v>
      </c>
      <c r="CB928" s="1" t="s">
        <v>104</v>
      </c>
      <c r="CC928" s="1" t="s">
        <v>104</v>
      </c>
      <c r="CD928" s="1" t="s">
        <v>104</v>
      </c>
      <c r="CE928" s="1" t="s">
        <v>104</v>
      </c>
      <c r="CF928" s="1" t="s">
        <v>104</v>
      </c>
      <c r="CG928" s="1" t="s">
        <v>104</v>
      </c>
      <c r="CH928" s="1">
        <v>4</v>
      </c>
      <c r="CJ928" s="1">
        <v>0</v>
      </c>
      <c r="CK928" s="1">
        <v>0</v>
      </c>
      <c r="CL928" s="1">
        <v>0</v>
      </c>
      <c r="CM928" s="1" t="s">
        <v>104</v>
      </c>
    </row>
    <row r="929" spans="1:91" ht="14.25" customHeight="1" x14ac:dyDescent="0.3">
      <c r="A929" s="1" t="s">
        <v>5820</v>
      </c>
      <c r="B929" s="1" t="s">
        <v>162</v>
      </c>
      <c r="E929" s="1" t="s">
        <v>843</v>
      </c>
      <c r="F929" s="1" t="s">
        <v>287</v>
      </c>
      <c r="G929" s="1" t="s">
        <v>5821</v>
      </c>
      <c r="H929" s="1">
        <v>1</v>
      </c>
      <c r="I929" s="1" t="s">
        <v>109</v>
      </c>
      <c r="J929" s="1" t="s">
        <v>5822</v>
      </c>
      <c r="M929" s="1" t="s">
        <v>194</v>
      </c>
      <c r="N929" s="1">
        <v>0</v>
      </c>
      <c r="O929" s="1">
        <v>1</v>
      </c>
      <c r="P929" s="1" t="s">
        <v>211</v>
      </c>
      <c r="Q929" s="1" t="s">
        <v>184</v>
      </c>
      <c r="R929" s="1" t="s">
        <v>5823</v>
      </c>
      <c r="S929" s="1" t="s">
        <v>5787</v>
      </c>
      <c r="T929" s="1">
        <v>1</v>
      </c>
      <c r="U929" s="1">
        <v>1</v>
      </c>
      <c r="V929" s="1">
        <v>1</v>
      </c>
      <c r="W929" s="1">
        <v>0</v>
      </c>
      <c r="X929" s="1">
        <v>0</v>
      </c>
      <c r="Y929" s="1">
        <v>7</v>
      </c>
      <c r="Z929" s="1">
        <v>7</v>
      </c>
      <c r="AA929" s="1" t="s">
        <v>104</v>
      </c>
      <c r="AB929" s="1" t="s">
        <v>104</v>
      </c>
      <c r="AC929" s="1" t="s">
        <v>104</v>
      </c>
      <c r="AD929" s="1" t="s">
        <v>104</v>
      </c>
      <c r="AE929" s="1" t="s">
        <v>104</v>
      </c>
      <c r="AF929" s="1" t="s">
        <v>104</v>
      </c>
      <c r="AG929" s="1" t="s">
        <v>104</v>
      </c>
      <c r="AH929" s="1" t="s">
        <v>104</v>
      </c>
      <c r="AI929" s="1" t="s">
        <v>104</v>
      </c>
      <c r="AJ929" s="1" t="s">
        <v>104</v>
      </c>
      <c r="AK929" s="1" t="s">
        <v>104</v>
      </c>
      <c r="AL929" s="1" t="s">
        <v>104</v>
      </c>
      <c r="AM929" s="1" t="s">
        <v>104</v>
      </c>
      <c r="AO929" s="1">
        <v>7</v>
      </c>
      <c r="AP929" s="1" t="s">
        <v>5824</v>
      </c>
      <c r="AR929" s="1">
        <v>0</v>
      </c>
      <c r="AS929" s="1">
        <v>0</v>
      </c>
      <c r="AT929" s="1">
        <v>0</v>
      </c>
      <c r="AU929" s="1">
        <v>0</v>
      </c>
      <c r="AV929" s="1">
        <v>0</v>
      </c>
      <c r="AW929" s="1">
        <v>0</v>
      </c>
      <c r="AX929" s="1">
        <v>0</v>
      </c>
      <c r="AY929" s="1">
        <v>0</v>
      </c>
      <c r="AZ929" s="1">
        <v>0</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2" t="str">
        <f>HYPERLINK("http://www.d20pfsrd.com/magic/all-spells/t/teleport-trap","Teleport Trap")</f>
        <v>Teleport Trap</v>
      </c>
      <c r="BR929" s="1">
        <v>960</v>
      </c>
      <c r="BS929" s="1">
        <v>100</v>
      </c>
      <c r="BX929" s="1">
        <v>0</v>
      </c>
      <c r="BY929" s="1" t="s">
        <v>104</v>
      </c>
      <c r="BZ929" s="1" t="s">
        <v>104</v>
      </c>
      <c r="CA929" s="1" t="s">
        <v>104</v>
      </c>
      <c r="CB929" s="1" t="s">
        <v>104</v>
      </c>
      <c r="CC929" s="1" t="s">
        <v>104</v>
      </c>
      <c r="CD929" s="1" t="s">
        <v>104</v>
      </c>
      <c r="CE929" s="1" t="s">
        <v>104</v>
      </c>
      <c r="CF929" s="1" t="s">
        <v>104</v>
      </c>
      <c r="CG929" s="1" t="s">
        <v>104</v>
      </c>
      <c r="CH929" s="1" t="s">
        <v>104</v>
      </c>
      <c r="CJ929" s="1">
        <v>0</v>
      </c>
      <c r="CK929" s="1">
        <v>0</v>
      </c>
      <c r="CL929" s="1">
        <v>0</v>
      </c>
      <c r="CM929" s="1" t="s">
        <v>104</v>
      </c>
    </row>
    <row r="930" spans="1:91" ht="14.25" customHeight="1" x14ac:dyDescent="0.3">
      <c r="A930" s="1" t="s">
        <v>5825</v>
      </c>
      <c r="B930" s="1" t="s">
        <v>123</v>
      </c>
      <c r="C930" s="1" t="s">
        <v>124</v>
      </c>
      <c r="D930" s="1" t="s">
        <v>125</v>
      </c>
      <c r="E930" s="1" t="s">
        <v>5826</v>
      </c>
      <c r="F930" s="1" t="s">
        <v>95</v>
      </c>
      <c r="G930" s="1" t="s">
        <v>116</v>
      </c>
      <c r="H930" s="1">
        <v>0</v>
      </c>
      <c r="I930" s="1" t="s">
        <v>117</v>
      </c>
      <c r="K930" s="1" t="s">
        <v>5827</v>
      </c>
      <c r="M930" s="1" t="s">
        <v>111</v>
      </c>
      <c r="N930" s="1">
        <v>0</v>
      </c>
      <c r="O930" s="1">
        <v>0</v>
      </c>
      <c r="P930" s="1" t="s">
        <v>375</v>
      </c>
      <c r="Q930" s="1" t="s">
        <v>131</v>
      </c>
      <c r="R930" s="1" t="s">
        <v>5828</v>
      </c>
      <c r="S930" s="1" t="s">
        <v>5787</v>
      </c>
      <c r="T930" s="1">
        <v>1</v>
      </c>
      <c r="U930" s="1">
        <v>1</v>
      </c>
      <c r="V930" s="1">
        <v>0</v>
      </c>
      <c r="W930" s="1">
        <v>0</v>
      </c>
      <c r="X930" s="1">
        <v>0</v>
      </c>
      <c r="Y930" s="1" t="s">
        <v>104</v>
      </c>
      <c r="Z930" s="1" t="s">
        <v>104</v>
      </c>
      <c r="AA930" s="1">
        <v>1</v>
      </c>
      <c r="AB930" s="1" t="s">
        <v>104</v>
      </c>
      <c r="AC930" s="1">
        <v>1</v>
      </c>
      <c r="AD930" s="1">
        <v>1</v>
      </c>
      <c r="AE930" s="1">
        <v>1</v>
      </c>
      <c r="AF930" s="1" t="s">
        <v>104</v>
      </c>
      <c r="AG930" s="1" t="s">
        <v>104</v>
      </c>
      <c r="AH930" s="1">
        <v>1</v>
      </c>
      <c r="AI930" s="1" t="s">
        <v>104</v>
      </c>
      <c r="AJ930" s="1">
        <v>1</v>
      </c>
      <c r="AK930" s="1" t="s">
        <v>104</v>
      </c>
      <c r="AL930" s="1" t="s">
        <v>104</v>
      </c>
      <c r="AM930" s="1" t="s">
        <v>104</v>
      </c>
      <c r="AO930" s="1">
        <v>1</v>
      </c>
      <c r="AR930" s="1">
        <v>0</v>
      </c>
      <c r="AS930" s="1">
        <v>0</v>
      </c>
      <c r="AT930" s="1">
        <v>0</v>
      </c>
      <c r="AU930" s="1">
        <v>0</v>
      </c>
      <c r="AV930" s="1">
        <v>0</v>
      </c>
      <c r="AW930" s="1">
        <v>0</v>
      </c>
      <c r="AX930" s="1">
        <v>0</v>
      </c>
      <c r="AY930" s="1">
        <v>0</v>
      </c>
      <c r="AZ930" s="1">
        <v>0</v>
      </c>
      <c r="BA930" s="1">
        <v>0</v>
      </c>
      <c r="BB930" s="1">
        <v>0</v>
      </c>
      <c r="BC930" s="1">
        <v>0</v>
      </c>
      <c r="BD930" s="1">
        <v>0</v>
      </c>
      <c r="BE930" s="1">
        <v>0</v>
      </c>
      <c r="BF930" s="1">
        <v>0</v>
      </c>
      <c r="BG930" s="1">
        <v>0</v>
      </c>
      <c r="BH930" s="1">
        <v>0</v>
      </c>
      <c r="BI930" s="1">
        <v>0</v>
      </c>
      <c r="BJ930" s="1">
        <v>0</v>
      </c>
      <c r="BK930" s="1">
        <v>1</v>
      </c>
      <c r="BL930" s="1">
        <v>0</v>
      </c>
      <c r="BM930" s="1">
        <v>0</v>
      </c>
      <c r="BN930" s="1">
        <v>0</v>
      </c>
      <c r="BO930" s="1">
        <v>0</v>
      </c>
      <c r="BP930" s="1">
        <v>0</v>
      </c>
      <c r="BQ930" s="2" t="str">
        <f>HYPERLINK("http://www.d20pfsrd.com/magic/all-spells/u/unbreakable-heart","Unbreakable Heart")</f>
        <v>Unbreakable Heart</v>
      </c>
      <c r="BR930" s="1">
        <v>961</v>
      </c>
      <c r="BS930" s="1" t="s">
        <v>104</v>
      </c>
      <c r="BX930" s="1">
        <v>0</v>
      </c>
      <c r="BY930" s="1" t="s">
        <v>104</v>
      </c>
      <c r="BZ930" s="1" t="s">
        <v>104</v>
      </c>
      <c r="CA930" s="1" t="s">
        <v>104</v>
      </c>
      <c r="CB930" s="1" t="s">
        <v>104</v>
      </c>
      <c r="CC930" s="1" t="s">
        <v>104</v>
      </c>
      <c r="CD930" s="1" t="s">
        <v>104</v>
      </c>
      <c r="CE930" s="1" t="s">
        <v>104</v>
      </c>
      <c r="CF930" s="1" t="s">
        <v>104</v>
      </c>
      <c r="CG930" s="1" t="s">
        <v>104</v>
      </c>
      <c r="CH930" s="1">
        <v>1</v>
      </c>
      <c r="CJ930" s="1">
        <v>0</v>
      </c>
      <c r="CK930" s="1">
        <v>0</v>
      </c>
      <c r="CL930" s="1">
        <v>0</v>
      </c>
      <c r="CM930" s="1" t="s">
        <v>104</v>
      </c>
    </row>
    <row r="931" spans="1:91" ht="14.25" customHeight="1" x14ac:dyDescent="0.3">
      <c r="A931" s="1" t="s">
        <v>5829</v>
      </c>
      <c r="B931" s="1" t="s">
        <v>507</v>
      </c>
      <c r="C931" s="1" t="s">
        <v>1308</v>
      </c>
      <c r="D931" s="1" t="s">
        <v>2620</v>
      </c>
      <c r="E931" s="1" t="s">
        <v>5830</v>
      </c>
      <c r="F931" s="1" t="s">
        <v>5831</v>
      </c>
      <c r="G931" s="1" t="s">
        <v>116</v>
      </c>
      <c r="H931" s="1">
        <v>0</v>
      </c>
      <c r="I931" s="1" t="s">
        <v>289</v>
      </c>
      <c r="L931" s="1" t="s">
        <v>417</v>
      </c>
      <c r="M931" s="1" t="s">
        <v>119</v>
      </c>
      <c r="N931" s="1">
        <v>0</v>
      </c>
      <c r="O931" s="1">
        <v>0</v>
      </c>
      <c r="P931" s="1" t="s">
        <v>1902</v>
      </c>
      <c r="Q931" s="1" t="s">
        <v>184</v>
      </c>
      <c r="R931" s="1" t="s">
        <v>5832</v>
      </c>
      <c r="S931" s="1" t="s">
        <v>5787</v>
      </c>
      <c r="T931" s="1">
        <v>1</v>
      </c>
      <c r="U931" s="1">
        <v>1</v>
      </c>
      <c r="V931" s="1">
        <v>0</v>
      </c>
      <c r="W931" s="1">
        <v>0</v>
      </c>
      <c r="X931" s="1">
        <v>0</v>
      </c>
      <c r="Y931" s="1" t="s">
        <v>104</v>
      </c>
      <c r="Z931" s="1" t="s">
        <v>104</v>
      </c>
      <c r="AA931" s="1">
        <v>7</v>
      </c>
      <c r="AB931" s="1" t="s">
        <v>104</v>
      </c>
      <c r="AC931" s="1" t="s">
        <v>104</v>
      </c>
      <c r="AD931" s="1" t="s">
        <v>104</v>
      </c>
      <c r="AE931" s="1" t="s">
        <v>104</v>
      </c>
      <c r="AF931" s="1" t="s">
        <v>104</v>
      </c>
      <c r="AG931" s="1" t="s">
        <v>104</v>
      </c>
      <c r="AH931" s="1">
        <v>7</v>
      </c>
      <c r="AI931" s="1">
        <v>6</v>
      </c>
      <c r="AJ931" s="1">
        <v>7</v>
      </c>
      <c r="AK931" s="1" t="s">
        <v>104</v>
      </c>
      <c r="AL931" s="1" t="s">
        <v>104</v>
      </c>
      <c r="AM931" s="1" t="s">
        <v>104</v>
      </c>
      <c r="AO931" s="1">
        <v>7</v>
      </c>
      <c r="AR931" s="1">
        <v>0</v>
      </c>
      <c r="AS931" s="1">
        <v>0</v>
      </c>
      <c r="AT931" s="1">
        <v>0</v>
      </c>
      <c r="AU931" s="1">
        <v>0</v>
      </c>
      <c r="AV931" s="1">
        <v>0</v>
      </c>
      <c r="AW931" s="1">
        <v>0</v>
      </c>
      <c r="AX931" s="1">
        <v>0</v>
      </c>
      <c r="AY931" s="1">
        <v>0</v>
      </c>
      <c r="AZ931" s="1">
        <v>0</v>
      </c>
      <c r="BA931" s="1">
        <v>0</v>
      </c>
      <c r="BB931" s="1">
        <v>0</v>
      </c>
      <c r="BC931" s="1">
        <v>1</v>
      </c>
      <c r="BD931" s="1">
        <v>0</v>
      </c>
      <c r="BE931" s="1">
        <v>0</v>
      </c>
      <c r="BF931" s="1">
        <v>0</v>
      </c>
      <c r="BG931" s="1">
        <v>0</v>
      </c>
      <c r="BH931" s="1">
        <v>0</v>
      </c>
      <c r="BI931" s="1">
        <v>0</v>
      </c>
      <c r="BJ931" s="1">
        <v>0</v>
      </c>
      <c r="BK931" s="1">
        <v>1</v>
      </c>
      <c r="BL931" s="1">
        <v>0</v>
      </c>
      <c r="BM931" s="1">
        <v>0</v>
      </c>
      <c r="BN931" s="1">
        <v>0</v>
      </c>
      <c r="BO931" s="1">
        <v>0</v>
      </c>
      <c r="BP931" s="1">
        <v>0</v>
      </c>
      <c r="BQ931" s="2" t="str">
        <f>HYPERLINK("http://www.d20pfsrd.com/magic/all-spells/v/vision-of-lamashtu","Vision of Lamashtu")</f>
        <v>Vision of Lamashtu</v>
      </c>
      <c r="BR931" s="1">
        <v>964</v>
      </c>
      <c r="BS931" s="1" t="s">
        <v>104</v>
      </c>
      <c r="BX931" s="1">
        <v>0</v>
      </c>
      <c r="BY931" s="1" t="s">
        <v>104</v>
      </c>
      <c r="BZ931" s="1" t="s">
        <v>104</v>
      </c>
      <c r="CA931" s="1" t="s">
        <v>104</v>
      </c>
      <c r="CB931" s="1" t="s">
        <v>104</v>
      </c>
      <c r="CC931" s="1" t="s">
        <v>104</v>
      </c>
      <c r="CD931" s="1" t="s">
        <v>104</v>
      </c>
      <c r="CE931" s="1" t="s">
        <v>104</v>
      </c>
      <c r="CF931" s="1" t="s">
        <v>104</v>
      </c>
      <c r="CG931" s="1" t="s">
        <v>104</v>
      </c>
      <c r="CH931" s="1" t="s">
        <v>104</v>
      </c>
      <c r="CJ931" s="1">
        <v>0</v>
      </c>
      <c r="CK931" s="1">
        <v>0</v>
      </c>
      <c r="CL931" s="1">
        <v>0</v>
      </c>
      <c r="CM931" s="1" t="s">
        <v>104</v>
      </c>
    </row>
    <row r="932" spans="1:91" ht="14.25" customHeight="1" x14ac:dyDescent="0.3">
      <c r="A932" s="1" t="s">
        <v>5833</v>
      </c>
      <c r="B932" s="1" t="s">
        <v>507</v>
      </c>
      <c r="C932" s="1" t="s">
        <v>1308</v>
      </c>
      <c r="E932" s="1" t="s">
        <v>4285</v>
      </c>
      <c r="F932" s="1" t="s">
        <v>95</v>
      </c>
      <c r="G932" s="1" t="s">
        <v>5834</v>
      </c>
      <c r="H932" s="1">
        <v>0</v>
      </c>
      <c r="I932" s="1" t="s">
        <v>128</v>
      </c>
      <c r="L932" s="1" t="s">
        <v>5835</v>
      </c>
      <c r="M932" s="1" t="s">
        <v>620</v>
      </c>
      <c r="N932" s="1">
        <v>1</v>
      </c>
      <c r="O932" s="1">
        <v>0</v>
      </c>
      <c r="P932" s="1" t="s">
        <v>101</v>
      </c>
      <c r="Q932" s="1" t="s">
        <v>101</v>
      </c>
      <c r="R932" s="1" t="s">
        <v>5836</v>
      </c>
      <c r="S932" s="1" t="s">
        <v>5837</v>
      </c>
      <c r="T932" s="1">
        <v>1</v>
      </c>
      <c r="U932" s="1">
        <v>1</v>
      </c>
      <c r="V932" s="1">
        <v>0</v>
      </c>
      <c r="W932" s="1">
        <v>0</v>
      </c>
      <c r="X932" s="1">
        <v>0</v>
      </c>
      <c r="Y932" s="1" t="s">
        <v>104</v>
      </c>
      <c r="Z932" s="1" t="s">
        <v>104</v>
      </c>
      <c r="AA932" s="1">
        <v>2</v>
      </c>
      <c r="AB932" s="1" t="s">
        <v>104</v>
      </c>
      <c r="AC932" s="1" t="s">
        <v>104</v>
      </c>
      <c r="AD932" s="1">
        <v>2</v>
      </c>
      <c r="AE932" s="1" t="s">
        <v>104</v>
      </c>
      <c r="AF932" s="1" t="s">
        <v>104</v>
      </c>
      <c r="AG932" s="1" t="s">
        <v>104</v>
      </c>
      <c r="AH932" s="1" t="s">
        <v>104</v>
      </c>
      <c r="AI932" s="1" t="s">
        <v>104</v>
      </c>
      <c r="AJ932" s="1">
        <v>2</v>
      </c>
      <c r="AK932" s="1" t="s">
        <v>104</v>
      </c>
      <c r="AL932" s="1" t="s">
        <v>104</v>
      </c>
      <c r="AM932" s="1" t="s">
        <v>104</v>
      </c>
      <c r="AN932" s="1" t="s">
        <v>5838</v>
      </c>
      <c r="AO932" s="1">
        <v>2</v>
      </c>
      <c r="AR932" s="1">
        <v>0</v>
      </c>
      <c r="AS932" s="1">
        <v>0</v>
      </c>
      <c r="AT932" s="1">
        <v>0</v>
      </c>
      <c r="AU932" s="1">
        <v>0</v>
      </c>
      <c r="AV932" s="1">
        <v>0</v>
      </c>
      <c r="AW932" s="1">
        <v>0</v>
      </c>
      <c r="AX932" s="1">
        <v>0</v>
      </c>
      <c r="AY932" s="1">
        <v>0</v>
      </c>
      <c r="AZ932" s="1">
        <v>0</v>
      </c>
      <c r="BA932" s="1">
        <v>0</v>
      </c>
      <c r="BB932" s="1">
        <v>0</v>
      </c>
      <c r="BC932" s="1">
        <v>0</v>
      </c>
      <c r="BD932" s="1">
        <v>0</v>
      </c>
      <c r="BE932" s="1">
        <v>0</v>
      </c>
      <c r="BF932" s="1">
        <v>0</v>
      </c>
      <c r="BG932" s="1">
        <v>0</v>
      </c>
      <c r="BH932" s="1">
        <v>0</v>
      </c>
      <c r="BI932" s="1">
        <v>0</v>
      </c>
      <c r="BJ932" s="1">
        <v>0</v>
      </c>
      <c r="BK932" s="1">
        <v>0</v>
      </c>
      <c r="BL932" s="1">
        <v>0</v>
      </c>
      <c r="BM932" s="1">
        <v>0</v>
      </c>
      <c r="BN932" s="1">
        <v>0</v>
      </c>
      <c r="BO932" s="1">
        <v>0</v>
      </c>
      <c r="BP932" s="1">
        <v>0</v>
      </c>
      <c r="BQ932" s="1" t="s">
        <v>104</v>
      </c>
      <c r="BR932" s="1">
        <v>973</v>
      </c>
      <c r="BS932" s="1" t="s">
        <v>104</v>
      </c>
      <c r="BX932" s="1">
        <v>0</v>
      </c>
      <c r="BY932" s="1" t="s">
        <v>104</v>
      </c>
      <c r="BZ932" s="1" t="s">
        <v>104</v>
      </c>
      <c r="CA932" s="1" t="s">
        <v>104</v>
      </c>
      <c r="CB932" s="1" t="s">
        <v>104</v>
      </c>
      <c r="CC932" s="1" t="s">
        <v>104</v>
      </c>
      <c r="CD932" s="1" t="s">
        <v>104</v>
      </c>
      <c r="CE932" s="1" t="s">
        <v>104</v>
      </c>
      <c r="CF932" s="1" t="s">
        <v>104</v>
      </c>
      <c r="CG932" s="1" t="s">
        <v>104</v>
      </c>
      <c r="CH932" s="1" t="s">
        <v>104</v>
      </c>
      <c r="CJ932" s="1">
        <v>0</v>
      </c>
      <c r="CK932" s="1">
        <v>0</v>
      </c>
      <c r="CL932" s="1">
        <v>0</v>
      </c>
      <c r="CM932" s="1" t="s">
        <v>104</v>
      </c>
    </row>
    <row r="933" spans="1:91" ht="14.25" customHeight="1" x14ac:dyDescent="0.3">
      <c r="A933" s="1" t="s">
        <v>5839</v>
      </c>
      <c r="B933" s="1" t="s">
        <v>92</v>
      </c>
      <c r="C933" s="1" t="s">
        <v>93</v>
      </c>
      <c r="D933" s="1" t="s">
        <v>43</v>
      </c>
      <c r="E933" s="1" t="s">
        <v>5840</v>
      </c>
      <c r="F933" s="1" t="s">
        <v>95</v>
      </c>
      <c r="G933" s="1" t="s">
        <v>5841</v>
      </c>
      <c r="H933" s="1">
        <v>1</v>
      </c>
      <c r="I933" s="1" t="s">
        <v>776</v>
      </c>
      <c r="K933" s="1" t="s">
        <v>5111</v>
      </c>
      <c r="M933" s="1" t="s">
        <v>119</v>
      </c>
      <c r="N933" s="1">
        <v>0</v>
      </c>
      <c r="O933" s="1">
        <v>0</v>
      </c>
      <c r="P933" s="1" t="s">
        <v>5842</v>
      </c>
      <c r="Q933" s="1" t="s">
        <v>184</v>
      </c>
      <c r="R933" s="1" t="s">
        <v>5843</v>
      </c>
      <c r="S933" s="1" t="s">
        <v>4201</v>
      </c>
      <c r="T933" s="1">
        <v>1</v>
      </c>
      <c r="U933" s="1">
        <v>1</v>
      </c>
      <c r="V933" s="1">
        <v>1</v>
      </c>
      <c r="W933" s="1">
        <v>0</v>
      </c>
      <c r="X933" s="1">
        <v>0</v>
      </c>
      <c r="Y933" s="1">
        <v>5</v>
      </c>
      <c r="Z933" s="1">
        <v>5</v>
      </c>
      <c r="AA933" s="1" t="s">
        <v>104</v>
      </c>
      <c r="AB933" s="1" t="s">
        <v>104</v>
      </c>
      <c r="AC933" s="1" t="s">
        <v>104</v>
      </c>
      <c r="AD933" s="1" t="s">
        <v>104</v>
      </c>
      <c r="AE933" s="1" t="s">
        <v>104</v>
      </c>
      <c r="AF933" s="1" t="s">
        <v>104</v>
      </c>
      <c r="AG933" s="1" t="s">
        <v>104</v>
      </c>
      <c r="AH933" s="1" t="s">
        <v>104</v>
      </c>
      <c r="AI933" s="1" t="s">
        <v>104</v>
      </c>
      <c r="AJ933" s="1" t="s">
        <v>104</v>
      </c>
      <c r="AK933" s="1" t="s">
        <v>104</v>
      </c>
      <c r="AL933" s="1">
        <v>5</v>
      </c>
      <c r="AM933" s="1" t="s">
        <v>104</v>
      </c>
      <c r="AO933" s="1">
        <v>5</v>
      </c>
      <c r="AQ933" s="1" t="s">
        <v>5844</v>
      </c>
      <c r="AR933" s="1">
        <v>1</v>
      </c>
      <c r="AS933" s="1">
        <v>0</v>
      </c>
      <c r="AT933" s="1">
        <v>0</v>
      </c>
      <c r="AU933" s="1">
        <v>0</v>
      </c>
      <c r="AV933" s="1">
        <v>0</v>
      </c>
      <c r="AW933" s="1">
        <v>0</v>
      </c>
      <c r="AX933" s="1">
        <v>0</v>
      </c>
      <c r="AY933" s="1">
        <v>0</v>
      </c>
      <c r="AZ933" s="1">
        <v>0</v>
      </c>
      <c r="BA933" s="1">
        <v>0</v>
      </c>
      <c r="BB933" s="1">
        <v>0</v>
      </c>
      <c r="BC933" s="1">
        <v>0</v>
      </c>
      <c r="BD933" s="1">
        <v>0</v>
      </c>
      <c r="BE933" s="1">
        <v>0</v>
      </c>
      <c r="BF933" s="1">
        <v>0</v>
      </c>
      <c r="BG933" s="1">
        <v>0</v>
      </c>
      <c r="BH933" s="1">
        <v>0</v>
      </c>
      <c r="BI933" s="1">
        <v>0</v>
      </c>
      <c r="BJ933" s="1">
        <v>0</v>
      </c>
      <c r="BK933" s="1">
        <v>0</v>
      </c>
      <c r="BL933" s="1">
        <v>0</v>
      </c>
      <c r="BM933" s="1">
        <v>0</v>
      </c>
      <c r="BN933" s="1">
        <v>0</v>
      </c>
      <c r="BO933" s="1">
        <v>0</v>
      </c>
      <c r="BP933" s="1">
        <v>0</v>
      </c>
      <c r="BQ933" s="2" t="str">
        <f>HYPERLINK("http://www.d20pfsrd.com/magic/all-spells/a/acidic-spray","Acidic Spray")</f>
        <v>Acidic Spray</v>
      </c>
      <c r="BR933" s="1">
        <v>975</v>
      </c>
      <c r="BS933" s="1">
        <v>10</v>
      </c>
      <c r="BX933" s="1">
        <v>0</v>
      </c>
      <c r="BY933" s="1" t="s">
        <v>104</v>
      </c>
      <c r="BZ933" s="1" t="s">
        <v>104</v>
      </c>
      <c r="CA933" s="1" t="s">
        <v>104</v>
      </c>
      <c r="CB933" s="1" t="s">
        <v>104</v>
      </c>
      <c r="CC933" s="1" t="s">
        <v>104</v>
      </c>
      <c r="CD933" s="1" t="s">
        <v>104</v>
      </c>
      <c r="CE933" s="1" t="s">
        <v>104</v>
      </c>
      <c r="CF933" s="1" t="s">
        <v>104</v>
      </c>
      <c r="CG933" s="1" t="s">
        <v>104</v>
      </c>
      <c r="CH933" s="1" t="s">
        <v>104</v>
      </c>
      <c r="CJ933" s="1">
        <v>0</v>
      </c>
      <c r="CK933" s="1">
        <v>0</v>
      </c>
      <c r="CL933" s="1">
        <v>0</v>
      </c>
      <c r="CM933" s="1" t="s">
        <v>104</v>
      </c>
    </row>
    <row r="934" spans="1:91" ht="14.25" customHeight="1" x14ac:dyDescent="0.3">
      <c r="A934" s="1" t="s">
        <v>5845</v>
      </c>
      <c r="B934" s="1" t="s">
        <v>137</v>
      </c>
      <c r="E934" s="1" t="s">
        <v>5846</v>
      </c>
      <c r="F934" s="1" t="s">
        <v>95</v>
      </c>
      <c r="G934" s="1" t="s">
        <v>5847</v>
      </c>
      <c r="H934" s="1">
        <v>0</v>
      </c>
      <c r="I934" s="1" t="s">
        <v>128</v>
      </c>
      <c r="L934" s="1" t="s">
        <v>374</v>
      </c>
      <c r="M934" s="1" t="s">
        <v>2330</v>
      </c>
      <c r="N934" s="1">
        <v>0</v>
      </c>
      <c r="O934" s="1">
        <v>0</v>
      </c>
      <c r="P934" s="1" t="s">
        <v>375</v>
      </c>
      <c r="Q934" s="1" t="s">
        <v>184</v>
      </c>
      <c r="R934" s="1" t="s">
        <v>5848</v>
      </c>
      <c r="S934" s="1" t="s">
        <v>4201</v>
      </c>
      <c r="T934" s="1">
        <v>1</v>
      </c>
      <c r="U934" s="1">
        <v>1</v>
      </c>
      <c r="V934" s="1">
        <v>1</v>
      </c>
      <c r="W934" s="1">
        <v>0</v>
      </c>
      <c r="X934" s="1">
        <v>0</v>
      </c>
      <c r="Y934" s="1" t="s">
        <v>104</v>
      </c>
      <c r="Z934" s="1" t="s">
        <v>104</v>
      </c>
      <c r="AA934" s="1" t="s">
        <v>104</v>
      </c>
      <c r="AB934" s="1" t="s">
        <v>104</v>
      </c>
      <c r="AC934" s="1">
        <v>2</v>
      </c>
      <c r="AD934" s="1">
        <v>2</v>
      </c>
      <c r="AE934" s="1" t="s">
        <v>104</v>
      </c>
      <c r="AF934" s="1">
        <v>2</v>
      </c>
      <c r="AG934" s="1" t="s">
        <v>104</v>
      </c>
      <c r="AH934" s="1" t="s">
        <v>104</v>
      </c>
      <c r="AI934" s="1">
        <v>2</v>
      </c>
      <c r="AJ934" s="1" t="s">
        <v>104</v>
      </c>
      <c r="AK934" s="1" t="s">
        <v>104</v>
      </c>
      <c r="AL934" s="1" t="s">
        <v>104</v>
      </c>
      <c r="AM934" s="1" t="s">
        <v>104</v>
      </c>
      <c r="AO934" s="1">
        <v>2</v>
      </c>
      <c r="AQ934" s="1" t="s">
        <v>5849</v>
      </c>
      <c r="AR934" s="1">
        <v>0</v>
      </c>
      <c r="AS934" s="1">
        <v>0</v>
      </c>
      <c r="AT934" s="1">
        <v>0</v>
      </c>
      <c r="AU934" s="1">
        <v>0</v>
      </c>
      <c r="AV934" s="1">
        <v>0</v>
      </c>
      <c r="AW934" s="1">
        <v>0</v>
      </c>
      <c r="AX934" s="1">
        <v>0</v>
      </c>
      <c r="AY934" s="1">
        <v>0</v>
      </c>
      <c r="AZ934" s="1">
        <v>0</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2" t="str">
        <f>HYPERLINK("http://www.d20pfsrd.com/magic/all-spells/a/acute-senses","Acute Senses")</f>
        <v>Acute Senses</v>
      </c>
      <c r="BR934" s="1">
        <v>976</v>
      </c>
      <c r="BS934" s="1" t="s">
        <v>104</v>
      </c>
      <c r="BX934" s="1">
        <v>0</v>
      </c>
      <c r="BY934" s="1" t="s">
        <v>104</v>
      </c>
      <c r="BZ934" s="1" t="s">
        <v>104</v>
      </c>
      <c r="CA934" s="1">
        <v>2</v>
      </c>
      <c r="CB934" s="1" t="s">
        <v>104</v>
      </c>
      <c r="CC934" s="1" t="s">
        <v>104</v>
      </c>
      <c r="CD934" s="1" t="s">
        <v>104</v>
      </c>
      <c r="CE934" s="1" t="s">
        <v>104</v>
      </c>
      <c r="CF934" s="1" t="s">
        <v>104</v>
      </c>
      <c r="CG934" s="1" t="s">
        <v>104</v>
      </c>
      <c r="CH934" s="1">
        <v>2</v>
      </c>
      <c r="CJ934" s="1">
        <v>0</v>
      </c>
      <c r="CK934" s="1">
        <v>0</v>
      </c>
      <c r="CL934" s="1">
        <v>0</v>
      </c>
      <c r="CM934" s="1" t="s">
        <v>104</v>
      </c>
    </row>
    <row r="935" spans="1:91" ht="14.25" customHeight="1" x14ac:dyDescent="0.3">
      <c r="A935" s="1" t="s">
        <v>5850</v>
      </c>
      <c r="B935" s="1" t="s">
        <v>137</v>
      </c>
      <c r="E935" s="1" t="s">
        <v>5851</v>
      </c>
      <c r="F935" s="1" t="s">
        <v>95</v>
      </c>
      <c r="G935" s="1" t="s">
        <v>116</v>
      </c>
      <c r="H935" s="1">
        <v>0</v>
      </c>
      <c r="I935" s="1" t="s">
        <v>157</v>
      </c>
      <c r="L935" s="1" t="s">
        <v>158</v>
      </c>
      <c r="M935" s="1" t="s">
        <v>341</v>
      </c>
      <c r="N935" s="1">
        <v>0</v>
      </c>
      <c r="O935" s="1">
        <v>0</v>
      </c>
      <c r="R935" s="1" t="s">
        <v>5852</v>
      </c>
      <c r="S935" s="1" t="s">
        <v>4201</v>
      </c>
      <c r="T935" s="1">
        <v>1</v>
      </c>
      <c r="U935" s="1">
        <v>1</v>
      </c>
      <c r="V935" s="1">
        <v>0</v>
      </c>
      <c r="W935" s="1">
        <v>0</v>
      </c>
      <c r="X935" s="1">
        <v>0</v>
      </c>
      <c r="Y935" s="1">
        <v>4</v>
      </c>
      <c r="Z935" s="1">
        <v>4</v>
      </c>
      <c r="AA935" s="1" t="s">
        <v>104</v>
      </c>
      <c r="AB935" s="1">
        <v>4</v>
      </c>
      <c r="AC935" s="1" t="s">
        <v>104</v>
      </c>
      <c r="AD935" s="1" t="s">
        <v>104</v>
      </c>
      <c r="AE935" s="1" t="s">
        <v>104</v>
      </c>
      <c r="AF935" s="1">
        <v>3</v>
      </c>
      <c r="AG935" s="1" t="s">
        <v>104</v>
      </c>
      <c r="AH935" s="1">
        <v>4</v>
      </c>
      <c r="AI935" s="1" t="s">
        <v>104</v>
      </c>
      <c r="AJ935" s="1" t="s">
        <v>104</v>
      </c>
      <c r="AK935" s="1" t="s">
        <v>104</v>
      </c>
      <c r="AL935" s="1" t="s">
        <v>104</v>
      </c>
      <c r="AM935" s="1" t="s">
        <v>104</v>
      </c>
      <c r="AO935" s="1">
        <v>4</v>
      </c>
      <c r="AQ935" s="1" t="s">
        <v>5853</v>
      </c>
      <c r="AR935" s="1">
        <v>0</v>
      </c>
      <c r="AS935" s="1">
        <v>0</v>
      </c>
      <c r="AT935" s="1">
        <v>0</v>
      </c>
      <c r="AU935" s="1">
        <v>0</v>
      </c>
      <c r="AV935" s="1">
        <v>0</v>
      </c>
      <c r="AW935" s="1">
        <v>0</v>
      </c>
      <c r="AX935" s="1">
        <v>0</v>
      </c>
      <c r="AY935" s="1">
        <v>0</v>
      </c>
      <c r="AZ935" s="1">
        <v>0</v>
      </c>
      <c r="BA935" s="1">
        <v>0</v>
      </c>
      <c r="BB935" s="1">
        <v>0</v>
      </c>
      <c r="BC935" s="1">
        <v>0</v>
      </c>
      <c r="BD935" s="1">
        <v>0</v>
      </c>
      <c r="BE935" s="1">
        <v>0</v>
      </c>
      <c r="BF935" s="1">
        <v>0</v>
      </c>
      <c r="BG935" s="1">
        <v>0</v>
      </c>
      <c r="BH935" s="1">
        <v>0</v>
      </c>
      <c r="BI935" s="1">
        <v>0</v>
      </c>
      <c r="BJ935" s="1">
        <v>0</v>
      </c>
      <c r="BK935" s="1">
        <v>0</v>
      </c>
      <c r="BL935" s="1">
        <v>0</v>
      </c>
      <c r="BM935" s="1">
        <v>0</v>
      </c>
      <c r="BN935" s="1">
        <v>0</v>
      </c>
      <c r="BO935" s="1">
        <v>0</v>
      </c>
      <c r="BP935" s="1">
        <v>0</v>
      </c>
      <c r="BQ935" s="2" t="str">
        <f>HYPERLINK("http://www.d20pfsrd.com/magic/all-spells/a/age-resistance","Age Resistance, Lesser")</f>
        <v>Age Resistance, Lesser</v>
      </c>
      <c r="BR935" s="1">
        <v>977</v>
      </c>
      <c r="BS935" s="1" t="s">
        <v>104</v>
      </c>
      <c r="BX935" s="1">
        <v>0</v>
      </c>
      <c r="BY935" s="1" t="s">
        <v>104</v>
      </c>
      <c r="BZ935" s="1" t="s">
        <v>104</v>
      </c>
      <c r="CA935" s="1">
        <v>4</v>
      </c>
      <c r="CB935" s="1" t="s">
        <v>104</v>
      </c>
      <c r="CC935" s="1" t="s">
        <v>104</v>
      </c>
      <c r="CD935" s="1">
        <v>3</v>
      </c>
      <c r="CE935" s="1" t="s">
        <v>104</v>
      </c>
      <c r="CF935" s="1" t="s">
        <v>104</v>
      </c>
      <c r="CG935" s="1" t="s">
        <v>104</v>
      </c>
      <c r="CH935" s="1">
        <v>4</v>
      </c>
      <c r="CJ935" s="1">
        <v>0</v>
      </c>
      <c r="CK935" s="1">
        <v>0</v>
      </c>
      <c r="CL935" s="1">
        <v>0</v>
      </c>
      <c r="CM935" s="1" t="s">
        <v>104</v>
      </c>
    </row>
    <row r="936" spans="1:91" ht="14.25" customHeight="1" x14ac:dyDescent="0.3">
      <c r="A936" s="1" t="s">
        <v>5854</v>
      </c>
      <c r="B936" s="1" t="s">
        <v>137</v>
      </c>
      <c r="E936" s="1" t="s">
        <v>5855</v>
      </c>
      <c r="F936" s="1" t="s">
        <v>95</v>
      </c>
      <c r="G936" s="1" t="s">
        <v>116</v>
      </c>
      <c r="H936" s="1">
        <v>0</v>
      </c>
      <c r="I936" s="1" t="s">
        <v>157</v>
      </c>
      <c r="L936" s="1" t="s">
        <v>158</v>
      </c>
      <c r="M936" s="1" t="s">
        <v>341</v>
      </c>
      <c r="N936" s="1">
        <v>0</v>
      </c>
      <c r="O936" s="1">
        <v>0</v>
      </c>
      <c r="R936" s="1" t="s">
        <v>5856</v>
      </c>
      <c r="S936" s="1" t="s">
        <v>4201</v>
      </c>
      <c r="T936" s="1">
        <v>1</v>
      </c>
      <c r="U936" s="1">
        <v>1</v>
      </c>
      <c r="V936" s="1">
        <v>0</v>
      </c>
      <c r="W936" s="1">
        <v>0</v>
      </c>
      <c r="X936" s="1">
        <v>0</v>
      </c>
      <c r="Y936" s="1">
        <v>7</v>
      </c>
      <c r="Z936" s="1">
        <v>7</v>
      </c>
      <c r="AA936" s="1" t="s">
        <v>104</v>
      </c>
      <c r="AB936" s="1">
        <v>7</v>
      </c>
      <c r="AC936" s="1" t="s">
        <v>104</v>
      </c>
      <c r="AD936" s="1" t="s">
        <v>104</v>
      </c>
      <c r="AE936" s="1" t="s">
        <v>104</v>
      </c>
      <c r="AF936" s="1">
        <v>5</v>
      </c>
      <c r="AG936" s="1" t="s">
        <v>104</v>
      </c>
      <c r="AH936" s="1">
        <v>7</v>
      </c>
      <c r="AI936" s="1" t="s">
        <v>104</v>
      </c>
      <c r="AJ936" s="1" t="s">
        <v>104</v>
      </c>
      <c r="AK936" s="1" t="s">
        <v>104</v>
      </c>
      <c r="AL936" s="1" t="s">
        <v>104</v>
      </c>
      <c r="AM936" s="1" t="s">
        <v>104</v>
      </c>
      <c r="AO936" s="1">
        <v>7</v>
      </c>
      <c r="AQ936" s="1" t="s">
        <v>5857</v>
      </c>
      <c r="AR936" s="1">
        <v>0</v>
      </c>
      <c r="AS936" s="1">
        <v>0</v>
      </c>
      <c r="AT936" s="1">
        <v>0</v>
      </c>
      <c r="AU936" s="1">
        <v>0</v>
      </c>
      <c r="AV936" s="1">
        <v>0</v>
      </c>
      <c r="AW936" s="1">
        <v>0</v>
      </c>
      <c r="AX936" s="1">
        <v>0</v>
      </c>
      <c r="AY936" s="1">
        <v>0</v>
      </c>
      <c r="AZ936" s="1">
        <v>0</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2" t="str">
        <f>HYPERLINK("http://www.d20pfsrd.com/magic/all-spells/a/age-resistance","Age Resistance, Greater")</f>
        <v>Age Resistance, Greater</v>
      </c>
      <c r="BR936" s="1">
        <v>978</v>
      </c>
      <c r="BS936" s="1" t="s">
        <v>104</v>
      </c>
      <c r="BT936" s="1" t="s">
        <v>5858</v>
      </c>
      <c r="BX936" s="1">
        <v>0</v>
      </c>
      <c r="BY936" s="1" t="s">
        <v>104</v>
      </c>
      <c r="BZ936" s="1" t="s">
        <v>104</v>
      </c>
      <c r="CA936" s="1">
        <v>7</v>
      </c>
      <c r="CB936" s="1" t="s">
        <v>104</v>
      </c>
      <c r="CC936" s="1" t="s">
        <v>104</v>
      </c>
      <c r="CD936" s="1">
        <v>5</v>
      </c>
      <c r="CE936" s="1" t="s">
        <v>104</v>
      </c>
      <c r="CF936" s="1" t="s">
        <v>104</v>
      </c>
      <c r="CG936" s="1" t="s">
        <v>104</v>
      </c>
      <c r="CH936" s="1" t="s">
        <v>104</v>
      </c>
      <c r="CJ936" s="1">
        <v>0</v>
      </c>
      <c r="CK936" s="1">
        <v>0</v>
      </c>
      <c r="CL936" s="1">
        <v>0</v>
      </c>
      <c r="CM936" s="1" t="s">
        <v>104</v>
      </c>
    </row>
    <row r="937" spans="1:91" ht="14.25" customHeight="1" x14ac:dyDescent="0.3">
      <c r="A937" s="1" t="s">
        <v>5859</v>
      </c>
      <c r="B937" s="1" t="s">
        <v>137</v>
      </c>
      <c r="E937" s="1" t="s">
        <v>5860</v>
      </c>
      <c r="F937" s="1" t="s">
        <v>95</v>
      </c>
      <c r="G937" s="1" t="s">
        <v>116</v>
      </c>
      <c r="H937" s="1">
        <v>0</v>
      </c>
      <c r="I937" s="1" t="s">
        <v>157</v>
      </c>
      <c r="L937" s="1" t="s">
        <v>158</v>
      </c>
      <c r="M937" s="1" t="s">
        <v>341</v>
      </c>
      <c r="N937" s="1">
        <v>0</v>
      </c>
      <c r="O937" s="1">
        <v>0</v>
      </c>
      <c r="R937" s="1" t="s">
        <v>5861</v>
      </c>
      <c r="S937" s="1" t="s">
        <v>4201</v>
      </c>
      <c r="T937" s="1">
        <v>1</v>
      </c>
      <c r="U937" s="1">
        <v>1</v>
      </c>
      <c r="V937" s="1">
        <v>0</v>
      </c>
      <c r="W937" s="1">
        <v>0</v>
      </c>
      <c r="X937" s="1">
        <v>0</v>
      </c>
      <c r="Y937" s="1">
        <v>6</v>
      </c>
      <c r="Z937" s="1">
        <v>6</v>
      </c>
      <c r="AA937" s="1" t="s">
        <v>104</v>
      </c>
      <c r="AB937" s="1">
        <v>6</v>
      </c>
      <c r="AC937" s="1" t="s">
        <v>104</v>
      </c>
      <c r="AD937" s="1" t="s">
        <v>104</v>
      </c>
      <c r="AE937" s="1" t="s">
        <v>104</v>
      </c>
      <c r="AF937" s="1">
        <v>4</v>
      </c>
      <c r="AG937" s="1" t="s">
        <v>104</v>
      </c>
      <c r="AH937" s="1">
        <v>6</v>
      </c>
      <c r="AI937" s="1" t="s">
        <v>104</v>
      </c>
      <c r="AJ937" s="1" t="s">
        <v>104</v>
      </c>
      <c r="AK937" s="1" t="s">
        <v>104</v>
      </c>
      <c r="AL937" s="1" t="s">
        <v>104</v>
      </c>
      <c r="AM937" s="1" t="s">
        <v>104</v>
      </c>
      <c r="AO937" s="1">
        <v>6</v>
      </c>
      <c r="AQ937" s="1" t="s">
        <v>5862</v>
      </c>
      <c r="AR937" s="1">
        <v>0</v>
      </c>
      <c r="AS937" s="1">
        <v>0</v>
      </c>
      <c r="AT937" s="1">
        <v>0</v>
      </c>
      <c r="AU937" s="1">
        <v>0</v>
      </c>
      <c r="AV937" s="1">
        <v>0</v>
      </c>
      <c r="AW937" s="1">
        <v>0</v>
      </c>
      <c r="AX937" s="1">
        <v>0</v>
      </c>
      <c r="AY937" s="1">
        <v>0</v>
      </c>
      <c r="AZ937" s="1">
        <v>0</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2" t="str">
        <f>HYPERLINK("http://www.d20pfsrd.com/magic/all-spells/a/age-resistance","Age Resistance")</f>
        <v>Age Resistance</v>
      </c>
      <c r="BR937" s="1">
        <v>979</v>
      </c>
      <c r="BS937" s="1" t="s">
        <v>104</v>
      </c>
      <c r="BX937" s="1">
        <v>0</v>
      </c>
      <c r="BY937" s="1" t="s">
        <v>104</v>
      </c>
      <c r="BZ937" s="1" t="s">
        <v>104</v>
      </c>
      <c r="CA937" s="1">
        <v>6</v>
      </c>
      <c r="CB937" s="1" t="s">
        <v>104</v>
      </c>
      <c r="CC937" s="1" t="s">
        <v>104</v>
      </c>
      <c r="CD937" s="1">
        <v>4</v>
      </c>
      <c r="CE937" s="1" t="s">
        <v>104</v>
      </c>
      <c r="CF937" s="1" t="s">
        <v>104</v>
      </c>
      <c r="CG937" s="1" t="s">
        <v>104</v>
      </c>
      <c r="CH937" s="1">
        <v>6</v>
      </c>
      <c r="CJ937" s="1">
        <v>0</v>
      </c>
      <c r="CK937" s="1">
        <v>0</v>
      </c>
      <c r="CL937" s="1">
        <v>0</v>
      </c>
      <c r="CM937" s="1" t="s">
        <v>104</v>
      </c>
    </row>
    <row r="938" spans="1:91" ht="14.25" customHeight="1" x14ac:dyDescent="0.3">
      <c r="A938" s="1" t="s">
        <v>5863</v>
      </c>
      <c r="B938" s="1" t="s">
        <v>137</v>
      </c>
      <c r="E938" s="1" t="s">
        <v>4596</v>
      </c>
      <c r="F938" s="1" t="s">
        <v>95</v>
      </c>
      <c r="G938" s="1" t="s">
        <v>237</v>
      </c>
      <c r="H938" s="1">
        <v>0</v>
      </c>
      <c r="I938" s="1" t="s">
        <v>157</v>
      </c>
      <c r="L938" s="1" t="s">
        <v>158</v>
      </c>
      <c r="M938" s="1" t="s">
        <v>5864</v>
      </c>
      <c r="N938" s="1">
        <v>1</v>
      </c>
      <c r="O938" s="1">
        <v>0</v>
      </c>
      <c r="R938" s="1" t="s">
        <v>5865</v>
      </c>
      <c r="S938" s="1" t="s">
        <v>4201</v>
      </c>
      <c r="T938" s="1">
        <v>1</v>
      </c>
      <c r="U938" s="1">
        <v>0</v>
      </c>
      <c r="V938" s="1">
        <v>0</v>
      </c>
      <c r="W938" s="1">
        <v>0</v>
      </c>
      <c r="X938" s="1">
        <v>0</v>
      </c>
      <c r="Y938" s="1" t="s">
        <v>104</v>
      </c>
      <c r="Z938" s="1" t="s">
        <v>104</v>
      </c>
      <c r="AA938" s="1" t="s">
        <v>104</v>
      </c>
      <c r="AB938" s="1" t="s">
        <v>104</v>
      </c>
      <c r="AC938" s="1" t="s">
        <v>104</v>
      </c>
      <c r="AD938" s="1">
        <v>2</v>
      </c>
      <c r="AE938" s="1" t="s">
        <v>104</v>
      </c>
      <c r="AF938" s="1" t="s">
        <v>104</v>
      </c>
      <c r="AG938" s="1" t="s">
        <v>104</v>
      </c>
      <c r="AH938" s="1" t="s">
        <v>104</v>
      </c>
      <c r="AI938" s="1" t="s">
        <v>104</v>
      </c>
      <c r="AJ938" s="1" t="s">
        <v>104</v>
      </c>
      <c r="AK938" s="1" t="s">
        <v>104</v>
      </c>
      <c r="AL938" s="1" t="s">
        <v>104</v>
      </c>
      <c r="AM938" s="1" t="s">
        <v>104</v>
      </c>
      <c r="AO938" s="1">
        <v>2</v>
      </c>
      <c r="AQ938" s="1" t="s">
        <v>5866</v>
      </c>
      <c r="AR938" s="1">
        <v>0</v>
      </c>
      <c r="AS938" s="1">
        <v>0</v>
      </c>
      <c r="AT938" s="1">
        <v>0</v>
      </c>
      <c r="AU938" s="1">
        <v>0</v>
      </c>
      <c r="AV938" s="1">
        <v>0</v>
      </c>
      <c r="AW938" s="1">
        <v>0</v>
      </c>
      <c r="AX938" s="1">
        <v>0</v>
      </c>
      <c r="AY938" s="1">
        <v>0</v>
      </c>
      <c r="AZ938" s="1">
        <v>0</v>
      </c>
      <c r="BA938" s="1">
        <v>0</v>
      </c>
      <c r="BB938" s="1">
        <v>0</v>
      </c>
      <c r="BC938" s="1">
        <v>0</v>
      </c>
      <c r="BD938" s="1">
        <v>0</v>
      </c>
      <c r="BE938" s="1">
        <v>0</v>
      </c>
      <c r="BF938" s="1">
        <v>0</v>
      </c>
      <c r="BG938" s="1">
        <v>0</v>
      </c>
      <c r="BH938" s="1">
        <v>0</v>
      </c>
      <c r="BI938" s="1">
        <v>0</v>
      </c>
      <c r="BJ938" s="1">
        <v>0</v>
      </c>
      <c r="BK938" s="1">
        <v>0</v>
      </c>
      <c r="BL938" s="1">
        <v>0</v>
      </c>
      <c r="BM938" s="1">
        <v>0</v>
      </c>
      <c r="BN938" s="1">
        <v>0</v>
      </c>
      <c r="BO938" s="1">
        <v>0</v>
      </c>
      <c r="BP938" s="1">
        <v>0</v>
      </c>
      <c r="BQ938" s="2" t="str">
        <f>HYPERLINK("http://www.d20pfsrd.com/magic/all-spells/a/allegro","Allegro")</f>
        <v>Allegro</v>
      </c>
      <c r="BR938" s="1">
        <v>980</v>
      </c>
      <c r="BS938" s="1" t="s">
        <v>104</v>
      </c>
      <c r="BX938" s="1">
        <v>0</v>
      </c>
      <c r="BY938" s="1" t="s">
        <v>104</v>
      </c>
      <c r="BZ938" s="1" t="s">
        <v>104</v>
      </c>
      <c r="CA938" s="1" t="s">
        <v>104</v>
      </c>
      <c r="CB938" s="1" t="s">
        <v>104</v>
      </c>
      <c r="CC938" s="1" t="s">
        <v>104</v>
      </c>
      <c r="CD938" s="1" t="s">
        <v>104</v>
      </c>
      <c r="CE938" s="1" t="s">
        <v>104</v>
      </c>
      <c r="CF938" s="1" t="s">
        <v>104</v>
      </c>
      <c r="CG938" s="1" t="s">
        <v>104</v>
      </c>
      <c r="CH938" s="1" t="s">
        <v>104</v>
      </c>
      <c r="CJ938" s="1">
        <v>0</v>
      </c>
      <c r="CK938" s="1">
        <v>0</v>
      </c>
      <c r="CL938" s="1">
        <v>0</v>
      </c>
      <c r="CM938" s="1" t="s">
        <v>104</v>
      </c>
    </row>
    <row r="939" spans="1:91" ht="14.25" customHeight="1" x14ac:dyDescent="0.3">
      <c r="A939" s="1" t="s">
        <v>5867</v>
      </c>
      <c r="B939" s="1" t="s">
        <v>216</v>
      </c>
      <c r="D939" s="1" t="s">
        <v>54</v>
      </c>
      <c r="E939" s="1" t="s">
        <v>5868</v>
      </c>
      <c r="F939" s="1" t="s">
        <v>95</v>
      </c>
      <c r="G939" s="1" t="s">
        <v>218</v>
      </c>
      <c r="H939" s="1">
        <v>1</v>
      </c>
      <c r="I939" s="1" t="s">
        <v>128</v>
      </c>
      <c r="L939" s="1" t="s">
        <v>886</v>
      </c>
      <c r="M939" s="1" t="s">
        <v>119</v>
      </c>
      <c r="N939" s="1">
        <v>0</v>
      </c>
      <c r="O939" s="1">
        <v>0</v>
      </c>
      <c r="P939" s="1" t="s">
        <v>100</v>
      </c>
      <c r="Q939" s="1" t="s">
        <v>101</v>
      </c>
      <c r="R939" s="1" t="s">
        <v>5869</v>
      </c>
      <c r="S939" s="1" t="s">
        <v>4201</v>
      </c>
      <c r="T939" s="1">
        <v>1</v>
      </c>
      <c r="U939" s="1">
        <v>1</v>
      </c>
      <c r="V939" s="1">
        <v>1</v>
      </c>
      <c r="W939" s="1">
        <v>0</v>
      </c>
      <c r="X939" s="1">
        <v>0</v>
      </c>
      <c r="Y939" s="1">
        <v>3</v>
      </c>
      <c r="Z939" s="1">
        <v>3</v>
      </c>
      <c r="AA939" s="1">
        <v>2</v>
      </c>
      <c r="AB939" s="1" t="s">
        <v>104</v>
      </c>
      <c r="AC939" s="1" t="s">
        <v>104</v>
      </c>
      <c r="AD939" s="1" t="s">
        <v>104</v>
      </c>
      <c r="AE939" s="1" t="s">
        <v>104</v>
      </c>
      <c r="AF939" s="1" t="s">
        <v>104</v>
      </c>
      <c r="AG939" s="1" t="s">
        <v>104</v>
      </c>
      <c r="AH939" s="1" t="s">
        <v>104</v>
      </c>
      <c r="AI939" s="1" t="s">
        <v>104</v>
      </c>
      <c r="AJ939" s="1">
        <v>2</v>
      </c>
      <c r="AK939" s="1" t="s">
        <v>104</v>
      </c>
      <c r="AL939" s="1" t="s">
        <v>104</v>
      </c>
      <c r="AM939" s="1" t="s">
        <v>104</v>
      </c>
      <c r="AO939" s="1">
        <v>3</v>
      </c>
      <c r="AQ939" s="1" t="s">
        <v>5870</v>
      </c>
      <c r="AR939" s="1">
        <v>0</v>
      </c>
      <c r="AS939" s="1">
        <v>0</v>
      </c>
      <c r="AT939" s="1">
        <v>0</v>
      </c>
      <c r="AU939" s="1">
        <v>0</v>
      </c>
      <c r="AV939" s="1">
        <v>0</v>
      </c>
      <c r="AW939" s="1">
        <v>0</v>
      </c>
      <c r="AX939" s="1">
        <v>0</v>
      </c>
      <c r="AY939" s="1">
        <v>0</v>
      </c>
      <c r="AZ939" s="1">
        <v>0</v>
      </c>
      <c r="BA939" s="1">
        <v>0</v>
      </c>
      <c r="BB939" s="1">
        <v>0</v>
      </c>
      <c r="BC939" s="1">
        <v>1</v>
      </c>
      <c r="BD939" s="1">
        <v>0</v>
      </c>
      <c r="BE939" s="1">
        <v>0</v>
      </c>
      <c r="BF939" s="1">
        <v>0</v>
      </c>
      <c r="BG939" s="1">
        <v>0</v>
      </c>
      <c r="BH939" s="1">
        <v>0</v>
      </c>
      <c r="BI939" s="1">
        <v>0</v>
      </c>
      <c r="BJ939" s="1">
        <v>0</v>
      </c>
      <c r="BK939" s="1">
        <v>0</v>
      </c>
      <c r="BL939" s="1">
        <v>0</v>
      </c>
      <c r="BM939" s="1">
        <v>0</v>
      </c>
      <c r="BN939" s="1">
        <v>0</v>
      </c>
      <c r="BO939" s="1">
        <v>0</v>
      </c>
      <c r="BP939" s="1">
        <v>0</v>
      </c>
      <c r="BQ939" s="2" t="str">
        <f>HYPERLINK("http://www.d20pfsrd.com/magic/all-spells/a/animate-dead","Animate Dead, Lesser")</f>
        <v>Animate Dead, Lesser</v>
      </c>
      <c r="BR939" s="1">
        <v>981</v>
      </c>
      <c r="BS939" s="1">
        <v>25</v>
      </c>
      <c r="BX939" s="1">
        <v>0</v>
      </c>
      <c r="BY939" s="1" t="s">
        <v>104</v>
      </c>
      <c r="BZ939" s="1">
        <v>2</v>
      </c>
      <c r="CA939" s="1" t="s">
        <v>104</v>
      </c>
      <c r="CB939" s="1" t="s">
        <v>104</v>
      </c>
      <c r="CC939" s="1" t="s">
        <v>104</v>
      </c>
      <c r="CD939" s="1">
        <v>2</v>
      </c>
      <c r="CE939" s="1">
        <v>2</v>
      </c>
      <c r="CF939" s="1" t="s">
        <v>104</v>
      </c>
      <c r="CG939" s="1" t="s">
        <v>104</v>
      </c>
      <c r="CH939" s="1" t="s">
        <v>104</v>
      </c>
      <c r="CJ939" s="1">
        <v>0</v>
      </c>
      <c r="CK939" s="1">
        <v>0</v>
      </c>
      <c r="CL939" s="1">
        <v>0</v>
      </c>
      <c r="CM939" s="1" t="s">
        <v>104</v>
      </c>
    </row>
    <row r="940" spans="1:91" ht="14.25" customHeight="1" x14ac:dyDescent="0.3">
      <c r="A940" s="1" t="s">
        <v>5871</v>
      </c>
      <c r="B940" s="1" t="s">
        <v>137</v>
      </c>
      <c r="C940" s="1" t="s">
        <v>154</v>
      </c>
      <c r="E940" s="1" t="s">
        <v>5872</v>
      </c>
      <c r="F940" s="1" t="s">
        <v>95</v>
      </c>
      <c r="G940" s="1" t="s">
        <v>5873</v>
      </c>
      <c r="H940" s="1">
        <v>0</v>
      </c>
      <c r="I940" s="1" t="s">
        <v>128</v>
      </c>
      <c r="L940" s="1" t="s">
        <v>5874</v>
      </c>
      <c r="M940" s="1" t="s">
        <v>201</v>
      </c>
      <c r="N940" s="1">
        <v>0</v>
      </c>
      <c r="O940" s="1">
        <v>0</v>
      </c>
      <c r="P940" s="1" t="s">
        <v>183</v>
      </c>
      <c r="Q940" s="1" t="s">
        <v>184</v>
      </c>
      <c r="R940" s="1" t="s">
        <v>5875</v>
      </c>
      <c r="S940" s="1" t="s">
        <v>4201</v>
      </c>
      <c r="T940" s="1">
        <v>1</v>
      </c>
      <c r="U940" s="1">
        <v>1</v>
      </c>
      <c r="V940" s="1">
        <v>1</v>
      </c>
      <c r="W940" s="1">
        <v>0</v>
      </c>
      <c r="X940" s="1">
        <v>0</v>
      </c>
      <c r="Y940" s="1">
        <v>3</v>
      </c>
      <c r="Z940" s="1">
        <v>3</v>
      </c>
      <c r="AA940" s="1" t="s">
        <v>104</v>
      </c>
      <c r="AB940" s="1">
        <v>3</v>
      </c>
      <c r="AC940" s="1" t="s">
        <v>104</v>
      </c>
      <c r="AD940" s="1" t="s">
        <v>104</v>
      </c>
      <c r="AE940" s="1" t="s">
        <v>104</v>
      </c>
      <c r="AF940" s="1" t="s">
        <v>104</v>
      </c>
      <c r="AG940" s="1" t="s">
        <v>104</v>
      </c>
      <c r="AH940" s="1">
        <v>3</v>
      </c>
      <c r="AI940" s="1" t="s">
        <v>104</v>
      </c>
      <c r="AJ940" s="1" t="s">
        <v>104</v>
      </c>
      <c r="AK940" s="1" t="s">
        <v>104</v>
      </c>
      <c r="AL940" s="1" t="s">
        <v>104</v>
      </c>
      <c r="AM940" s="1" t="s">
        <v>104</v>
      </c>
      <c r="AO940" s="1">
        <v>3</v>
      </c>
      <c r="AQ940" s="1" t="s">
        <v>5876</v>
      </c>
      <c r="AR940" s="1">
        <v>0</v>
      </c>
      <c r="AS940" s="1">
        <v>0</v>
      </c>
      <c r="AT940" s="1">
        <v>0</v>
      </c>
      <c r="AU940" s="1">
        <v>0</v>
      </c>
      <c r="AV940" s="1">
        <v>0</v>
      </c>
      <c r="AW940" s="1">
        <v>0</v>
      </c>
      <c r="AX940" s="1">
        <v>0</v>
      </c>
      <c r="AY940" s="1">
        <v>0</v>
      </c>
      <c r="AZ940" s="1">
        <v>0</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2" t="str">
        <f>HYPERLINK("http://www.d20pfsrd.com/magic/all-spells/a/anthropomorphic-animal","Anthropomorphic Animal")</f>
        <v>Anthropomorphic Animal</v>
      </c>
      <c r="BR940" s="1">
        <v>982</v>
      </c>
      <c r="BS940" s="1" t="s">
        <v>104</v>
      </c>
      <c r="BX940" s="1">
        <v>0</v>
      </c>
      <c r="BY940" s="1" t="s">
        <v>104</v>
      </c>
      <c r="BZ940" s="1" t="s">
        <v>104</v>
      </c>
      <c r="CA940" s="1" t="s">
        <v>104</v>
      </c>
      <c r="CB940" s="1" t="s">
        <v>104</v>
      </c>
      <c r="CC940" s="1" t="s">
        <v>104</v>
      </c>
      <c r="CD940" s="1" t="s">
        <v>104</v>
      </c>
      <c r="CE940" s="1" t="s">
        <v>104</v>
      </c>
      <c r="CF940" s="1" t="s">
        <v>104</v>
      </c>
      <c r="CG940" s="1" t="s">
        <v>104</v>
      </c>
      <c r="CH940" s="1">
        <v>3</v>
      </c>
      <c r="CJ940" s="1">
        <v>0</v>
      </c>
      <c r="CK940" s="1">
        <v>0</v>
      </c>
      <c r="CL940" s="1">
        <v>0</v>
      </c>
      <c r="CM940" s="1" t="s">
        <v>104</v>
      </c>
    </row>
    <row r="941" spans="1:91" ht="14.25" customHeight="1" x14ac:dyDescent="0.3">
      <c r="A941" s="1" t="s">
        <v>5877</v>
      </c>
      <c r="B941" s="1" t="s">
        <v>172</v>
      </c>
      <c r="E941" s="1" t="s">
        <v>5878</v>
      </c>
      <c r="F941" s="1" t="s">
        <v>95</v>
      </c>
      <c r="G941" s="1" t="s">
        <v>116</v>
      </c>
      <c r="H941" s="1">
        <v>0</v>
      </c>
      <c r="I941" s="1" t="s">
        <v>128</v>
      </c>
      <c r="L941" s="1" t="s">
        <v>374</v>
      </c>
      <c r="M941" s="1" t="s">
        <v>5879</v>
      </c>
      <c r="N941" s="1">
        <v>0</v>
      </c>
      <c r="O941" s="1">
        <v>0</v>
      </c>
      <c r="P941" s="1" t="s">
        <v>211</v>
      </c>
      <c r="Q941" s="1" t="s">
        <v>184</v>
      </c>
      <c r="R941" s="1" t="s">
        <v>5880</v>
      </c>
      <c r="S941" s="1" t="s">
        <v>4201</v>
      </c>
      <c r="T941" s="1">
        <v>1</v>
      </c>
      <c r="U941" s="1">
        <v>1</v>
      </c>
      <c r="V941" s="1">
        <v>0</v>
      </c>
      <c r="W941" s="1">
        <v>0</v>
      </c>
      <c r="X941" s="1">
        <v>0</v>
      </c>
      <c r="Y941" s="1">
        <v>1</v>
      </c>
      <c r="Z941" s="1">
        <v>1</v>
      </c>
      <c r="AA941" s="1" t="s">
        <v>104</v>
      </c>
      <c r="AB941" s="1" t="s">
        <v>104</v>
      </c>
      <c r="AC941" s="1">
        <v>1</v>
      </c>
      <c r="AD941" s="1">
        <v>1</v>
      </c>
      <c r="AE941" s="1" t="s">
        <v>104</v>
      </c>
      <c r="AF941" s="1">
        <v>1</v>
      </c>
      <c r="AG941" s="1" t="s">
        <v>104</v>
      </c>
      <c r="AH941" s="1" t="s">
        <v>104</v>
      </c>
      <c r="AI941" s="1" t="s">
        <v>104</v>
      </c>
      <c r="AJ941" s="1" t="s">
        <v>104</v>
      </c>
      <c r="AK941" s="1" t="s">
        <v>104</v>
      </c>
      <c r="AL941" s="1" t="s">
        <v>104</v>
      </c>
      <c r="AM941" s="1" t="s">
        <v>104</v>
      </c>
      <c r="AO941" s="1">
        <v>1</v>
      </c>
      <c r="AQ941" s="1" t="s">
        <v>5881</v>
      </c>
      <c r="AR941" s="1">
        <v>0</v>
      </c>
      <c r="AS941" s="1">
        <v>0</v>
      </c>
      <c r="AT941" s="1">
        <v>0</v>
      </c>
      <c r="AU941" s="1">
        <v>0</v>
      </c>
      <c r="AV941" s="1">
        <v>0</v>
      </c>
      <c r="AW941" s="1">
        <v>0</v>
      </c>
      <c r="AX941" s="1">
        <v>0</v>
      </c>
      <c r="AY941" s="1">
        <v>0</v>
      </c>
      <c r="AZ941" s="1">
        <v>0</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2" t="str">
        <f>HYPERLINK("http://www.d20pfsrd.com/magic/all-spells/a/anticipate-peril","Anticipate Peril")</f>
        <v>Anticipate Peril</v>
      </c>
      <c r="BR941" s="1">
        <v>983</v>
      </c>
      <c r="BS941" s="1" t="s">
        <v>104</v>
      </c>
      <c r="BV941" s="1" t="s">
        <v>5882</v>
      </c>
      <c r="BX941" s="1">
        <v>1</v>
      </c>
      <c r="BY941" s="1" t="s">
        <v>104</v>
      </c>
      <c r="BZ941" s="1" t="s">
        <v>104</v>
      </c>
      <c r="CA941" s="1">
        <v>1</v>
      </c>
      <c r="CB941" s="1">
        <v>1</v>
      </c>
      <c r="CC941" s="1">
        <v>1</v>
      </c>
      <c r="CD941" s="1">
        <v>1</v>
      </c>
      <c r="CE941" s="1">
        <v>1</v>
      </c>
      <c r="CF941" s="1" t="s">
        <v>104</v>
      </c>
      <c r="CG941" s="1" t="s">
        <v>104</v>
      </c>
      <c r="CH941" s="1">
        <v>1</v>
      </c>
      <c r="CJ941" s="1">
        <v>0</v>
      </c>
      <c r="CK941" s="1">
        <v>0</v>
      </c>
      <c r="CL941" s="1">
        <v>0</v>
      </c>
      <c r="CM941" s="1" t="s">
        <v>104</v>
      </c>
    </row>
    <row r="942" spans="1:91" ht="14.25" customHeight="1" x14ac:dyDescent="0.3">
      <c r="A942" s="1" t="s">
        <v>5883</v>
      </c>
      <c r="B942" s="1" t="s">
        <v>137</v>
      </c>
      <c r="E942" s="1" t="s">
        <v>281</v>
      </c>
      <c r="F942" s="1" t="s">
        <v>95</v>
      </c>
      <c r="G942" s="1" t="s">
        <v>127</v>
      </c>
      <c r="H942" s="1">
        <v>0</v>
      </c>
      <c r="I942" s="1" t="s">
        <v>109</v>
      </c>
      <c r="L942" s="1" t="s">
        <v>5884</v>
      </c>
      <c r="M942" s="1" t="s">
        <v>426</v>
      </c>
      <c r="N942" s="1">
        <v>1</v>
      </c>
      <c r="O942" s="1">
        <v>0</v>
      </c>
      <c r="P942" s="1" t="s">
        <v>100</v>
      </c>
      <c r="Q942" s="1" t="s">
        <v>101</v>
      </c>
      <c r="R942" s="1" t="s">
        <v>5885</v>
      </c>
      <c r="S942" s="1" t="s">
        <v>4201</v>
      </c>
      <c r="T942" s="1">
        <v>1</v>
      </c>
      <c r="U942" s="1">
        <v>1</v>
      </c>
      <c r="V942" s="1">
        <v>0</v>
      </c>
      <c r="W942" s="1">
        <v>0</v>
      </c>
      <c r="X942" s="1">
        <v>1</v>
      </c>
      <c r="Y942" s="1" t="s">
        <v>104</v>
      </c>
      <c r="Z942" s="1" t="s">
        <v>104</v>
      </c>
      <c r="AA942" s="1" t="s">
        <v>104</v>
      </c>
      <c r="AB942" s="1">
        <v>4</v>
      </c>
      <c r="AC942" s="1" t="s">
        <v>104</v>
      </c>
      <c r="AD942" s="1" t="s">
        <v>104</v>
      </c>
      <c r="AE942" s="1" t="s">
        <v>104</v>
      </c>
      <c r="AF942" s="1" t="s">
        <v>104</v>
      </c>
      <c r="AG942" s="1" t="s">
        <v>104</v>
      </c>
      <c r="AH942" s="1" t="s">
        <v>104</v>
      </c>
      <c r="AI942" s="1" t="s">
        <v>104</v>
      </c>
      <c r="AJ942" s="1" t="s">
        <v>104</v>
      </c>
      <c r="AK942" s="1" t="s">
        <v>104</v>
      </c>
      <c r="AL942" s="1" t="s">
        <v>104</v>
      </c>
      <c r="AM942" s="1" t="s">
        <v>104</v>
      </c>
      <c r="AO942" s="1">
        <v>4</v>
      </c>
      <c r="AQ942" s="1" t="s">
        <v>5886</v>
      </c>
      <c r="AR942" s="1">
        <v>0</v>
      </c>
      <c r="AS942" s="1">
        <v>0</v>
      </c>
      <c r="AT942" s="1">
        <v>0</v>
      </c>
      <c r="AU942" s="1">
        <v>0</v>
      </c>
      <c r="AV942" s="1">
        <v>0</v>
      </c>
      <c r="AW942" s="1">
        <v>0</v>
      </c>
      <c r="AX942" s="1">
        <v>0</v>
      </c>
      <c r="AY942" s="1">
        <v>0</v>
      </c>
      <c r="AZ942" s="1">
        <v>0</v>
      </c>
      <c r="BA942" s="1">
        <v>0</v>
      </c>
      <c r="BB942" s="1">
        <v>0</v>
      </c>
      <c r="BC942" s="1">
        <v>0</v>
      </c>
      <c r="BD942" s="1">
        <v>0</v>
      </c>
      <c r="BE942" s="1">
        <v>0</v>
      </c>
      <c r="BF942" s="1">
        <v>0</v>
      </c>
      <c r="BG942" s="1">
        <v>0</v>
      </c>
      <c r="BH942" s="1">
        <v>0</v>
      </c>
      <c r="BI942" s="1">
        <v>0</v>
      </c>
      <c r="BJ942" s="1">
        <v>0</v>
      </c>
      <c r="BK942" s="1">
        <v>0</v>
      </c>
      <c r="BL942" s="1">
        <v>0</v>
      </c>
      <c r="BM942" s="1">
        <v>0</v>
      </c>
      <c r="BN942" s="1">
        <v>0</v>
      </c>
      <c r="BO942" s="1">
        <v>0</v>
      </c>
      <c r="BP942" s="1">
        <v>0</v>
      </c>
      <c r="BQ942" s="2" t="str">
        <f>HYPERLINK("http://www.d20pfsrd.com/magic/all-spells/a/arboreal-hammer","Arboreal Hammer")</f>
        <v>Arboreal Hammer</v>
      </c>
      <c r="BR942" s="1">
        <v>984</v>
      </c>
      <c r="BS942" s="1" t="s">
        <v>104</v>
      </c>
      <c r="BV942" s="1" t="s">
        <v>5887</v>
      </c>
      <c r="BW942" s="1" t="s">
        <v>5888</v>
      </c>
      <c r="BX942" s="1">
        <v>1</v>
      </c>
      <c r="BY942" s="1" t="s">
        <v>104</v>
      </c>
      <c r="BZ942" s="1" t="s">
        <v>104</v>
      </c>
      <c r="CA942" s="1" t="s">
        <v>104</v>
      </c>
      <c r="CB942" s="1" t="s">
        <v>104</v>
      </c>
      <c r="CC942" s="1" t="s">
        <v>104</v>
      </c>
      <c r="CD942" s="1" t="s">
        <v>104</v>
      </c>
      <c r="CE942" s="1" t="s">
        <v>104</v>
      </c>
      <c r="CF942" s="1" t="s">
        <v>104</v>
      </c>
      <c r="CG942" s="1" t="s">
        <v>104</v>
      </c>
      <c r="CH942" s="1">
        <v>4</v>
      </c>
      <c r="CJ942" s="1">
        <v>0</v>
      </c>
      <c r="CK942" s="1">
        <v>0</v>
      </c>
      <c r="CL942" s="1">
        <v>0</v>
      </c>
      <c r="CM942" s="1" t="s">
        <v>104</v>
      </c>
    </row>
    <row r="943" spans="1:91" ht="14.25" customHeight="1" x14ac:dyDescent="0.3">
      <c r="A943" s="1" t="s">
        <v>5889</v>
      </c>
      <c r="B943" s="1" t="s">
        <v>162</v>
      </c>
      <c r="E943" s="1" t="s">
        <v>5890</v>
      </c>
      <c r="F943" s="1" t="s">
        <v>95</v>
      </c>
      <c r="G943" s="1" t="s">
        <v>116</v>
      </c>
      <c r="H943" s="1">
        <v>0</v>
      </c>
      <c r="I943" s="1" t="s">
        <v>128</v>
      </c>
      <c r="L943" s="1" t="s">
        <v>374</v>
      </c>
      <c r="M943" s="1" t="s">
        <v>119</v>
      </c>
      <c r="N943" s="1">
        <v>0</v>
      </c>
      <c r="O943" s="1">
        <v>0</v>
      </c>
      <c r="P943" s="1" t="s">
        <v>100</v>
      </c>
      <c r="Q943" s="1" t="s">
        <v>184</v>
      </c>
      <c r="R943" s="1" t="s">
        <v>5891</v>
      </c>
      <c r="S943" s="1" t="s">
        <v>4201</v>
      </c>
      <c r="T943" s="1">
        <v>1</v>
      </c>
      <c r="U943" s="1">
        <v>1</v>
      </c>
      <c r="V943" s="1">
        <v>0</v>
      </c>
      <c r="W943" s="1">
        <v>0</v>
      </c>
      <c r="X943" s="1">
        <v>0</v>
      </c>
      <c r="Y943" s="1" t="s">
        <v>104</v>
      </c>
      <c r="Z943" s="1" t="s">
        <v>104</v>
      </c>
      <c r="AA943" s="1" t="s">
        <v>104</v>
      </c>
      <c r="AB943" s="1" t="s">
        <v>104</v>
      </c>
      <c r="AC943" s="1" t="s">
        <v>104</v>
      </c>
      <c r="AD943" s="1" t="s">
        <v>104</v>
      </c>
      <c r="AE943" s="1" t="s">
        <v>104</v>
      </c>
      <c r="AF943" s="1" t="s">
        <v>104</v>
      </c>
      <c r="AG943" s="1" t="s">
        <v>104</v>
      </c>
      <c r="AH943" s="1" t="s">
        <v>104</v>
      </c>
      <c r="AI943" s="1" t="s">
        <v>104</v>
      </c>
      <c r="AJ943" s="1" t="s">
        <v>104</v>
      </c>
      <c r="AK943" s="1" t="s">
        <v>104</v>
      </c>
      <c r="AL943" s="1">
        <v>4</v>
      </c>
      <c r="AM943" s="1" t="s">
        <v>104</v>
      </c>
      <c r="AO943" s="1">
        <v>4</v>
      </c>
      <c r="AQ943" s="1" t="s">
        <v>5892</v>
      </c>
      <c r="AR943" s="1">
        <v>0</v>
      </c>
      <c r="AS943" s="1">
        <v>0</v>
      </c>
      <c r="AT943" s="1">
        <v>0</v>
      </c>
      <c r="AU943" s="1">
        <v>0</v>
      </c>
      <c r="AV943" s="1">
        <v>0</v>
      </c>
      <c r="AW943" s="1">
        <v>0</v>
      </c>
      <c r="AX943" s="1">
        <v>0</v>
      </c>
      <c r="AY943" s="1">
        <v>0</v>
      </c>
      <c r="AZ943" s="1">
        <v>0</v>
      </c>
      <c r="BA943" s="1">
        <v>0</v>
      </c>
      <c r="BB943" s="1">
        <v>0</v>
      </c>
      <c r="BC943" s="1">
        <v>0</v>
      </c>
      <c r="BD943" s="1">
        <v>0</v>
      </c>
      <c r="BE943" s="1">
        <v>0</v>
      </c>
      <c r="BF943" s="1">
        <v>0</v>
      </c>
      <c r="BG943" s="1">
        <v>0</v>
      </c>
      <c r="BH943" s="1">
        <v>0</v>
      </c>
      <c r="BI943" s="1">
        <v>0</v>
      </c>
      <c r="BJ943" s="1">
        <v>0</v>
      </c>
      <c r="BK943" s="1">
        <v>0</v>
      </c>
      <c r="BL943" s="1">
        <v>0</v>
      </c>
      <c r="BM943" s="1">
        <v>0</v>
      </c>
      <c r="BN943" s="1">
        <v>0</v>
      </c>
      <c r="BO943" s="1">
        <v>0</v>
      </c>
      <c r="BP943" s="1">
        <v>0</v>
      </c>
      <c r="BQ943" s="2" t="str">
        <f>HYPERLINK("http://www.d20pfsrd.com/magic/all-spells/a/arcana-theft","Arcana Theft")</f>
        <v>Arcana Theft</v>
      </c>
      <c r="BR943" s="1">
        <v>985</v>
      </c>
      <c r="BS943" s="1" t="s">
        <v>104</v>
      </c>
      <c r="BX943" s="1">
        <v>0</v>
      </c>
      <c r="BY943" s="1" t="s">
        <v>104</v>
      </c>
      <c r="BZ943" s="1" t="s">
        <v>104</v>
      </c>
      <c r="CA943" s="1">
        <v>5</v>
      </c>
      <c r="CB943" s="1" t="s">
        <v>104</v>
      </c>
      <c r="CC943" s="1" t="s">
        <v>104</v>
      </c>
      <c r="CD943" s="1" t="s">
        <v>104</v>
      </c>
      <c r="CE943" s="1" t="s">
        <v>104</v>
      </c>
      <c r="CF943" s="1" t="s">
        <v>104</v>
      </c>
      <c r="CG943" s="1" t="s">
        <v>104</v>
      </c>
      <c r="CH943" s="1" t="s">
        <v>104</v>
      </c>
      <c r="CJ943" s="1">
        <v>0</v>
      </c>
      <c r="CK943" s="1">
        <v>0</v>
      </c>
      <c r="CL943" s="1">
        <v>0</v>
      </c>
      <c r="CM943" s="1" t="s">
        <v>104</v>
      </c>
    </row>
    <row r="944" spans="1:91" ht="14.25" customHeight="1" x14ac:dyDescent="0.3">
      <c r="A944" s="1" t="s">
        <v>5893</v>
      </c>
      <c r="B944" s="1" t="s">
        <v>434</v>
      </c>
      <c r="D944" s="1" t="s">
        <v>5894</v>
      </c>
      <c r="E944" s="1" t="s">
        <v>5748</v>
      </c>
      <c r="F944" s="1" t="s">
        <v>95</v>
      </c>
      <c r="G944" s="1" t="s">
        <v>116</v>
      </c>
      <c r="H944" s="1">
        <v>0</v>
      </c>
      <c r="I944" s="1" t="s">
        <v>697</v>
      </c>
      <c r="J944" s="1" t="s">
        <v>5895</v>
      </c>
      <c r="M944" s="1" t="s">
        <v>2330</v>
      </c>
      <c r="N944" s="1">
        <v>0</v>
      </c>
      <c r="O944" s="1">
        <v>0</v>
      </c>
      <c r="P944" s="1" t="s">
        <v>211</v>
      </c>
      <c r="Q944" s="1" t="s">
        <v>184</v>
      </c>
      <c r="R944" s="1" t="s">
        <v>5896</v>
      </c>
      <c r="S944" s="1" t="s">
        <v>4201</v>
      </c>
      <c r="T944" s="1">
        <v>1</v>
      </c>
      <c r="U944" s="1">
        <v>1</v>
      </c>
      <c r="V944" s="1">
        <v>0</v>
      </c>
      <c r="W944" s="1">
        <v>0</v>
      </c>
      <c r="X944" s="1">
        <v>0</v>
      </c>
      <c r="Y944" s="1" t="s">
        <v>104</v>
      </c>
      <c r="Z944" s="1" t="s">
        <v>104</v>
      </c>
      <c r="AA944" s="1">
        <v>3</v>
      </c>
      <c r="AB944" s="1" t="s">
        <v>104</v>
      </c>
      <c r="AC944" s="1" t="s">
        <v>104</v>
      </c>
      <c r="AD944" s="1" t="s">
        <v>104</v>
      </c>
      <c r="AE944" s="1">
        <v>3</v>
      </c>
      <c r="AF944" s="1" t="s">
        <v>104</v>
      </c>
      <c r="AG944" s="1" t="s">
        <v>104</v>
      </c>
      <c r="AH944" s="1" t="s">
        <v>104</v>
      </c>
      <c r="AI944" s="1" t="s">
        <v>104</v>
      </c>
      <c r="AJ944" s="1">
        <v>3</v>
      </c>
      <c r="AK944" s="1" t="s">
        <v>104</v>
      </c>
      <c r="AL944" s="1" t="s">
        <v>104</v>
      </c>
      <c r="AM944" s="1" t="s">
        <v>104</v>
      </c>
      <c r="AO944" s="1">
        <v>3</v>
      </c>
      <c r="AQ944" s="1" t="s">
        <v>5897</v>
      </c>
      <c r="AR944" s="1">
        <v>0</v>
      </c>
      <c r="AS944" s="1">
        <v>0</v>
      </c>
      <c r="AT944" s="1">
        <v>0</v>
      </c>
      <c r="AU944" s="1">
        <v>0</v>
      </c>
      <c r="AV944" s="1">
        <v>0</v>
      </c>
      <c r="AW944" s="1">
        <v>0</v>
      </c>
      <c r="AX944" s="1">
        <v>0</v>
      </c>
      <c r="AY944" s="1">
        <v>0</v>
      </c>
      <c r="AZ944" s="1">
        <v>0</v>
      </c>
      <c r="BA944" s="1">
        <v>0</v>
      </c>
      <c r="BB944" s="1">
        <v>0</v>
      </c>
      <c r="BC944" s="1">
        <v>0</v>
      </c>
      <c r="BD944" s="1">
        <v>0</v>
      </c>
      <c r="BE944" s="1">
        <v>0</v>
      </c>
      <c r="BF944" s="1">
        <v>0</v>
      </c>
      <c r="BG944" s="1">
        <v>1</v>
      </c>
      <c r="BH944" s="1">
        <v>0</v>
      </c>
      <c r="BI944" s="1">
        <v>1</v>
      </c>
      <c r="BJ944" s="1">
        <v>0</v>
      </c>
      <c r="BK944" s="1">
        <v>0</v>
      </c>
      <c r="BL944" s="1">
        <v>0</v>
      </c>
      <c r="BM944" s="1">
        <v>0</v>
      </c>
      <c r="BN944" s="1">
        <v>0</v>
      </c>
      <c r="BO944" s="1">
        <v>0</v>
      </c>
      <c r="BP944" s="1">
        <v>0</v>
      </c>
      <c r="BQ944" s="2" t="str">
        <f>HYPERLINK("http://www.d20pfsrd.com/magic/all-spells/a/archon-s-aura","Archon's Aura")</f>
        <v>Archon's Aura</v>
      </c>
      <c r="BR944" s="1">
        <v>986</v>
      </c>
      <c r="BS944" s="1" t="s">
        <v>104</v>
      </c>
      <c r="BX944" s="1">
        <v>0</v>
      </c>
      <c r="BY944" s="1" t="s">
        <v>104</v>
      </c>
      <c r="BZ944" s="1" t="s">
        <v>104</v>
      </c>
      <c r="CA944" s="1" t="s">
        <v>104</v>
      </c>
      <c r="CB944" s="1" t="s">
        <v>104</v>
      </c>
      <c r="CC944" s="1" t="s">
        <v>104</v>
      </c>
      <c r="CD944" s="1" t="s">
        <v>104</v>
      </c>
      <c r="CE944" s="1" t="s">
        <v>104</v>
      </c>
      <c r="CF944" s="1" t="s">
        <v>104</v>
      </c>
      <c r="CG944" s="1" t="s">
        <v>104</v>
      </c>
      <c r="CH944" s="1" t="s">
        <v>104</v>
      </c>
      <c r="CJ944" s="1">
        <v>0</v>
      </c>
      <c r="CK944" s="1">
        <v>0</v>
      </c>
      <c r="CL944" s="1">
        <v>0</v>
      </c>
      <c r="CM944" s="1" t="s">
        <v>104</v>
      </c>
    </row>
    <row r="945" spans="1:91" ht="14.25" customHeight="1" x14ac:dyDescent="0.3">
      <c r="A945" s="1" t="s">
        <v>5898</v>
      </c>
      <c r="B945" s="1" t="s">
        <v>434</v>
      </c>
      <c r="D945" s="1" t="s">
        <v>60</v>
      </c>
      <c r="E945" s="1" t="s">
        <v>5774</v>
      </c>
      <c r="F945" s="1" t="s">
        <v>95</v>
      </c>
      <c r="G945" s="1" t="s">
        <v>5899</v>
      </c>
      <c r="H945" s="1">
        <v>0</v>
      </c>
      <c r="I945" s="1" t="s">
        <v>117</v>
      </c>
      <c r="K945" s="1" t="s">
        <v>5900</v>
      </c>
      <c r="M945" s="1" t="s">
        <v>2030</v>
      </c>
      <c r="N945" s="1">
        <v>0</v>
      </c>
      <c r="O945" s="1">
        <v>0</v>
      </c>
      <c r="P945" s="1" t="s">
        <v>5901</v>
      </c>
      <c r="Q945" s="1" t="s">
        <v>184</v>
      </c>
      <c r="R945" s="1" t="s">
        <v>5902</v>
      </c>
      <c r="S945" s="1" t="s">
        <v>4201</v>
      </c>
      <c r="T945" s="1">
        <v>1</v>
      </c>
      <c r="U945" s="1">
        <v>1</v>
      </c>
      <c r="V945" s="1">
        <v>0</v>
      </c>
      <c r="W945" s="1">
        <v>0</v>
      </c>
      <c r="X945" s="1">
        <v>1</v>
      </c>
      <c r="Y945" s="1" t="s">
        <v>104</v>
      </c>
      <c r="Z945" s="1" t="s">
        <v>104</v>
      </c>
      <c r="AA945" s="1">
        <v>2</v>
      </c>
      <c r="AB945" s="1" t="s">
        <v>104</v>
      </c>
      <c r="AC945" s="1" t="s">
        <v>104</v>
      </c>
      <c r="AD945" s="1" t="s">
        <v>104</v>
      </c>
      <c r="AE945" s="1">
        <v>2</v>
      </c>
      <c r="AF945" s="1" t="s">
        <v>104</v>
      </c>
      <c r="AG945" s="1" t="s">
        <v>104</v>
      </c>
      <c r="AH945" s="1" t="s">
        <v>104</v>
      </c>
      <c r="AI945" s="1" t="s">
        <v>104</v>
      </c>
      <c r="AJ945" s="1">
        <v>2</v>
      </c>
      <c r="AK945" s="1" t="s">
        <v>104</v>
      </c>
      <c r="AL945" s="1" t="s">
        <v>104</v>
      </c>
      <c r="AM945" s="1" t="s">
        <v>104</v>
      </c>
      <c r="AO945" s="1">
        <v>2</v>
      </c>
      <c r="AQ945" s="1" t="s">
        <v>5903</v>
      </c>
      <c r="AR945" s="1">
        <v>0</v>
      </c>
      <c r="AS945" s="1">
        <v>0</v>
      </c>
      <c r="AT945" s="1">
        <v>0</v>
      </c>
      <c r="AU945" s="1">
        <v>0</v>
      </c>
      <c r="AV945" s="1">
        <v>0</v>
      </c>
      <c r="AW945" s="1">
        <v>0</v>
      </c>
      <c r="AX945" s="1">
        <v>0</v>
      </c>
      <c r="AY945" s="1">
        <v>0</v>
      </c>
      <c r="AZ945" s="1">
        <v>0</v>
      </c>
      <c r="BA945" s="1">
        <v>0</v>
      </c>
      <c r="BB945" s="1">
        <v>0</v>
      </c>
      <c r="BC945" s="1">
        <v>0</v>
      </c>
      <c r="BD945" s="1">
        <v>0</v>
      </c>
      <c r="BE945" s="1">
        <v>0</v>
      </c>
      <c r="BF945" s="1">
        <v>0</v>
      </c>
      <c r="BG945" s="1">
        <v>0</v>
      </c>
      <c r="BH945" s="1">
        <v>0</v>
      </c>
      <c r="BI945" s="1">
        <v>1</v>
      </c>
      <c r="BJ945" s="1">
        <v>0</v>
      </c>
      <c r="BK945" s="1">
        <v>0</v>
      </c>
      <c r="BL945" s="1">
        <v>0</v>
      </c>
      <c r="BM945" s="1">
        <v>0</v>
      </c>
      <c r="BN945" s="1">
        <v>0</v>
      </c>
      <c r="BO945" s="1">
        <v>0</v>
      </c>
      <c r="BP945" s="1">
        <v>0</v>
      </c>
      <c r="BQ945" s="2" t="str">
        <f>HYPERLINK("http://www.d20pfsrd.com/magic/all-spells/a/arrow-of-law","Arrow of Law")</f>
        <v>Arrow of Law</v>
      </c>
      <c r="BR945" s="1">
        <v>987</v>
      </c>
      <c r="BS945" s="1" t="s">
        <v>104</v>
      </c>
      <c r="BX945" s="1">
        <v>0</v>
      </c>
      <c r="BY945" s="1" t="s">
        <v>104</v>
      </c>
      <c r="BZ945" s="1" t="s">
        <v>104</v>
      </c>
      <c r="CA945" s="1" t="s">
        <v>104</v>
      </c>
      <c r="CB945" s="1" t="s">
        <v>104</v>
      </c>
      <c r="CC945" s="1" t="s">
        <v>104</v>
      </c>
      <c r="CD945" s="1" t="s">
        <v>104</v>
      </c>
      <c r="CE945" s="1" t="s">
        <v>104</v>
      </c>
      <c r="CF945" s="1" t="s">
        <v>104</v>
      </c>
      <c r="CG945" s="1" t="s">
        <v>104</v>
      </c>
      <c r="CH945" s="1" t="s">
        <v>104</v>
      </c>
      <c r="CJ945" s="1">
        <v>0</v>
      </c>
      <c r="CK945" s="1">
        <v>0</v>
      </c>
      <c r="CL945" s="1">
        <v>0</v>
      </c>
      <c r="CM945" s="1" t="s">
        <v>104</v>
      </c>
    </row>
    <row r="946" spans="1:91" ht="14.25" customHeight="1" x14ac:dyDescent="0.3">
      <c r="A946" s="1" t="s">
        <v>5904</v>
      </c>
      <c r="B946" s="1" t="s">
        <v>92</v>
      </c>
      <c r="C946" s="1" t="s">
        <v>93</v>
      </c>
      <c r="D946" s="1" t="s">
        <v>56</v>
      </c>
      <c r="E946" s="1" t="s">
        <v>5872</v>
      </c>
      <c r="F946" s="1" t="s">
        <v>95</v>
      </c>
      <c r="G946" s="1" t="s">
        <v>5905</v>
      </c>
      <c r="H946" s="1">
        <v>0</v>
      </c>
      <c r="I946" s="1" t="s">
        <v>97</v>
      </c>
      <c r="J946" s="1" t="s">
        <v>3444</v>
      </c>
      <c r="M946" s="1" t="s">
        <v>111</v>
      </c>
      <c r="N946" s="1">
        <v>0</v>
      </c>
      <c r="O946" s="1">
        <v>0</v>
      </c>
      <c r="P946" s="1" t="s">
        <v>100</v>
      </c>
      <c r="Q946" s="1" t="s">
        <v>101</v>
      </c>
      <c r="R946" s="1" t="s">
        <v>5906</v>
      </c>
      <c r="S946" s="1" t="s">
        <v>4201</v>
      </c>
      <c r="T946" s="1">
        <v>1</v>
      </c>
      <c r="U946" s="1">
        <v>1</v>
      </c>
      <c r="V946" s="1">
        <v>1</v>
      </c>
      <c r="W946" s="1">
        <v>0</v>
      </c>
      <c r="X946" s="1">
        <v>1</v>
      </c>
      <c r="Y946" s="1">
        <v>3</v>
      </c>
      <c r="Z946" s="1">
        <v>3</v>
      </c>
      <c r="AA946" s="1" t="s">
        <v>104</v>
      </c>
      <c r="AB946" s="1">
        <v>3</v>
      </c>
      <c r="AC946" s="1" t="s">
        <v>104</v>
      </c>
      <c r="AD946" s="1" t="s">
        <v>104</v>
      </c>
      <c r="AE946" s="1" t="s">
        <v>104</v>
      </c>
      <c r="AF946" s="1" t="s">
        <v>104</v>
      </c>
      <c r="AG946" s="1" t="s">
        <v>104</v>
      </c>
      <c r="AH946" s="1">
        <v>3</v>
      </c>
      <c r="AI946" s="1" t="s">
        <v>104</v>
      </c>
      <c r="AJ946" s="1" t="s">
        <v>104</v>
      </c>
      <c r="AK946" s="1" t="s">
        <v>104</v>
      </c>
      <c r="AL946" s="1" t="s">
        <v>104</v>
      </c>
      <c r="AM946" s="1" t="s">
        <v>104</v>
      </c>
      <c r="AO946" s="1">
        <v>3</v>
      </c>
      <c r="AQ946" s="1" t="s">
        <v>5907</v>
      </c>
      <c r="AR946" s="1">
        <v>0</v>
      </c>
      <c r="AS946" s="1">
        <v>0</v>
      </c>
      <c r="AT946" s="1">
        <v>0</v>
      </c>
      <c r="AU946" s="1">
        <v>0</v>
      </c>
      <c r="AV946" s="1">
        <v>0</v>
      </c>
      <c r="AW946" s="1">
        <v>0</v>
      </c>
      <c r="AX946" s="1">
        <v>0</v>
      </c>
      <c r="AY946" s="1">
        <v>0</v>
      </c>
      <c r="AZ946" s="1">
        <v>0</v>
      </c>
      <c r="BA946" s="1">
        <v>0</v>
      </c>
      <c r="BB946" s="1">
        <v>0</v>
      </c>
      <c r="BC946" s="1">
        <v>0</v>
      </c>
      <c r="BD946" s="1">
        <v>0</v>
      </c>
      <c r="BE946" s="1">
        <v>1</v>
      </c>
      <c r="BF946" s="1">
        <v>0</v>
      </c>
      <c r="BG946" s="1">
        <v>0</v>
      </c>
      <c r="BH946" s="1">
        <v>0</v>
      </c>
      <c r="BI946" s="1">
        <v>0</v>
      </c>
      <c r="BJ946" s="1">
        <v>0</v>
      </c>
      <c r="BK946" s="1">
        <v>0</v>
      </c>
      <c r="BL946" s="1">
        <v>0</v>
      </c>
      <c r="BM946" s="1">
        <v>0</v>
      </c>
      <c r="BN946" s="1">
        <v>0</v>
      </c>
      <c r="BO946" s="1">
        <v>0</v>
      </c>
      <c r="BP946" s="1">
        <v>0</v>
      </c>
      <c r="BQ946" s="2" t="str">
        <f>HYPERLINK("http://www.d20pfsrd.com/magic/all-spells/a/ash-storm","Ash Storm")</f>
        <v>Ash Storm</v>
      </c>
      <c r="BR946" s="1">
        <v>988</v>
      </c>
      <c r="BS946" s="1" t="s">
        <v>104</v>
      </c>
      <c r="BX946" s="1">
        <v>0</v>
      </c>
      <c r="BY946" s="1" t="s">
        <v>104</v>
      </c>
      <c r="BZ946" s="1" t="s">
        <v>104</v>
      </c>
      <c r="CA946" s="1" t="s">
        <v>104</v>
      </c>
      <c r="CB946" s="1" t="s">
        <v>104</v>
      </c>
      <c r="CC946" s="1" t="s">
        <v>104</v>
      </c>
      <c r="CD946" s="1" t="s">
        <v>104</v>
      </c>
      <c r="CE946" s="1" t="s">
        <v>104</v>
      </c>
      <c r="CF946" s="1" t="s">
        <v>104</v>
      </c>
      <c r="CG946" s="1" t="s">
        <v>104</v>
      </c>
      <c r="CH946" s="1">
        <v>3</v>
      </c>
      <c r="CJ946" s="1">
        <v>0</v>
      </c>
      <c r="CK946" s="1">
        <v>0</v>
      </c>
      <c r="CL946" s="1">
        <v>0</v>
      </c>
      <c r="CM946" s="1" t="s">
        <v>104</v>
      </c>
    </row>
    <row r="947" spans="1:91" ht="14.25" customHeight="1" x14ac:dyDescent="0.3">
      <c r="A947" s="1" t="s">
        <v>5908</v>
      </c>
      <c r="B947" s="1" t="s">
        <v>216</v>
      </c>
      <c r="E947" s="1" t="s">
        <v>5909</v>
      </c>
      <c r="F947" s="1" t="s">
        <v>318</v>
      </c>
      <c r="G947" s="1" t="s">
        <v>319</v>
      </c>
      <c r="H947" s="1">
        <v>1</v>
      </c>
      <c r="I947" s="1" t="s">
        <v>128</v>
      </c>
      <c r="L947" s="1" t="s">
        <v>320</v>
      </c>
      <c r="M947" s="1" t="s">
        <v>145</v>
      </c>
      <c r="N947" s="1">
        <v>0</v>
      </c>
      <c r="O947" s="1">
        <v>0</v>
      </c>
      <c r="P947" s="1" t="s">
        <v>100</v>
      </c>
      <c r="Q947" s="1" t="s">
        <v>184</v>
      </c>
      <c r="R947" s="1" t="s">
        <v>5910</v>
      </c>
      <c r="S947" s="1" t="s">
        <v>4201</v>
      </c>
      <c r="T947" s="1">
        <v>1</v>
      </c>
      <c r="U947" s="1">
        <v>1</v>
      </c>
      <c r="V947" s="1">
        <v>1</v>
      </c>
      <c r="W947" s="1">
        <v>0</v>
      </c>
      <c r="X947" s="1">
        <v>0</v>
      </c>
      <c r="Y947" s="1">
        <v>5</v>
      </c>
      <c r="Z947" s="1">
        <v>5</v>
      </c>
      <c r="AA947" s="1">
        <v>5</v>
      </c>
      <c r="AB947" s="1" t="s">
        <v>104</v>
      </c>
      <c r="AC947" s="1" t="s">
        <v>104</v>
      </c>
      <c r="AD947" s="1" t="s">
        <v>104</v>
      </c>
      <c r="AE947" s="1" t="s">
        <v>104</v>
      </c>
      <c r="AF947" s="1" t="s">
        <v>104</v>
      </c>
      <c r="AG947" s="1" t="s">
        <v>104</v>
      </c>
      <c r="AH947" s="1" t="s">
        <v>104</v>
      </c>
      <c r="AI947" s="1" t="s">
        <v>104</v>
      </c>
      <c r="AJ947" s="1">
        <v>5</v>
      </c>
      <c r="AK947" s="1" t="s">
        <v>104</v>
      </c>
      <c r="AL947" s="1" t="s">
        <v>104</v>
      </c>
      <c r="AM947" s="1" t="s">
        <v>104</v>
      </c>
      <c r="AO947" s="1">
        <v>5</v>
      </c>
      <c r="AQ947" s="1" t="s">
        <v>5911</v>
      </c>
      <c r="AR947" s="1">
        <v>0</v>
      </c>
      <c r="AS947" s="1">
        <v>0</v>
      </c>
      <c r="AT947" s="1">
        <v>0</v>
      </c>
      <c r="AU947" s="1">
        <v>0</v>
      </c>
      <c r="AV947" s="1">
        <v>0</v>
      </c>
      <c r="AW947" s="1">
        <v>0</v>
      </c>
      <c r="AX947" s="1">
        <v>0</v>
      </c>
      <c r="AY947" s="1">
        <v>0</v>
      </c>
      <c r="AZ947" s="1">
        <v>0</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2" t="str">
        <f>HYPERLINK("http://www.d20pfsrd.com/magic/all-spells/a/astral-projection","Astral Projection, Lesser")</f>
        <v>Astral Projection, Lesser</v>
      </c>
      <c r="BR947" s="1">
        <v>989</v>
      </c>
      <c r="BS947" s="1">
        <v>1000</v>
      </c>
      <c r="BX947" s="1">
        <v>0</v>
      </c>
      <c r="BY947" s="1" t="s">
        <v>104</v>
      </c>
      <c r="BZ947" s="1" t="s">
        <v>104</v>
      </c>
      <c r="CA947" s="1">
        <v>5</v>
      </c>
      <c r="CB947" s="1" t="s">
        <v>104</v>
      </c>
      <c r="CC947" s="1" t="s">
        <v>104</v>
      </c>
      <c r="CD947" s="1" t="s">
        <v>104</v>
      </c>
      <c r="CE947" s="1" t="s">
        <v>104</v>
      </c>
      <c r="CF947" s="1" t="s">
        <v>104</v>
      </c>
      <c r="CG947" s="1" t="s">
        <v>104</v>
      </c>
      <c r="CH947" s="1" t="s">
        <v>104</v>
      </c>
      <c r="CJ947" s="1">
        <v>0</v>
      </c>
      <c r="CK947" s="1">
        <v>0</v>
      </c>
      <c r="CL947" s="1">
        <v>0</v>
      </c>
      <c r="CM947" s="1" t="s">
        <v>104</v>
      </c>
    </row>
    <row r="948" spans="1:91" ht="14.25" customHeight="1" x14ac:dyDescent="0.3">
      <c r="A948" s="1" t="s">
        <v>5912</v>
      </c>
      <c r="B948" s="1" t="s">
        <v>137</v>
      </c>
      <c r="E948" s="1" t="s">
        <v>281</v>
      </c>
      <c r="F948" s="1" t="s">
        <v>95</v>
      </c>
      <c r="G948" s="1" t="s">
        <v>116</v>
      </c>
      <c r="H948" s="1">
        <v>0</v>
      </c>
      <c r="I948" s="1" t="s">
        <v>117</v>
      </c>
      <c r="L948" s="1" t="s">
        <v>643</v>
      </c>
      <c r="M948" s="1" t="s">
        <v>2330</v>
      </c>
      <c r="N948" s="1">
        <v>0</v>
      </c>
      <c r="O948" s="1">
        <v>0</v>
      </c>
      <c r="P948" s="1" t="s">
        <v>183</v>
      </c>
      <c r="Q948" s="1" t="s">
        <v>184</v>
      </c>
      <c r="R948" s="1" t="s">
        <v>5913</v>
      </c>
      <c r="S948" s="1" t="s">
        <v>4201</v>
      </c>
      <c r="T948" s="1">
        <v>1</v>
      </c>
      <c r="U948" s="1">
        <v>1</v>
      </c>
      <c r="V948" s="1">
        <v>0</v>
      </c>
      <c r="W948" s="1">
        <v>0</v>
      </c>
      <c r="X948" s="1">
        <v>0</v>
      </c>
      <c r="Y948" s="1" t="s">
        <v>104</v>
      </c>
      <c r="Z948" s="1" t="s">
        <v>104</v>
      </c>
      <c r="AA948" s="1" t="s">
        <v>104</v>
      </c>
      <c r="AB948" s="1">
        <v>4</v>
      </c>
      <c r="AC948" s="1" t="s">
        <v>104</v>
      </c>
      <c r="AD948" s="1" t="s">
        <v>104</v>
      </c>
      <c r="AE948" s="1" t="s">
        <v>104</v>
      </c>
      <c r="AF948" s="1" t="s">
        <v>104</v>
      </c>
      <c r="AG948" s="1" t="s">
        <v>104</v>
      </c>
      <c r="AH948" s="1" t="s">
        <v>104</v>
      </c>
      <c r="AI948" s="1" t="s">
        <v>104</v>
      </c>
      <c r="AJ948" s="1" t="s">
        <v>104</v>
      </c>
      <c r="AK948" s="1" t="s">
        <v>104</v>
      </c>
      <c r="AL948" s="1" t="s">
        <v>104</v>
      </c>
      <c r="AM948" s="1" t="s">
        <v>104</v>
      </c>
      <c r="AO948" s="1">
        <v>4</v>
      </c>
      <c r="AQ948" s="1" t="s">
        <v>5914</v>
      </c>
      <c r="AR948" s="1">
        <v>0</v>
      </c>
      <c r="AS948" s="1">
        <v>0</v>
      </c>
      <c r="AT948" s="1">
        <v>0</v>
      </c>
      <c r="AU948" s="1">
        <v>0</v>
      </c>
      <c r="AV948" s="1">
        <v>0</v>
      </c>
      <c r="AW948" s="1">
        <v>0</v>
      </c>
      <c r="AX948" s="1">
        <v>0</v>
      </c>
      <c r="AY948" s="1">
        <v>0</v>
      </c>
      <c r="AZ948" s="1">
        <v>0</v>
      </c>
      <c r="BA948" s="1">
        <v>0</v>
      </c>
      <c r="BB948" s="1">
        <v>0</v>
      </c>
      <c r="BC948" s="1">
        <v>0</v>
      </c>
      <c r="BD948" s="1">
        <v>0</v>
      </c>
      <c r="BE948" s="1">
        <v>0</v>
      </c>
      <c r="BF948" s="1">
        <v>0</v>
      </c>
      <c r="BG948" s="1">
        <v>0</v>
      </c>
      <c r="BH948" s="1">
        <v>0</v>
      </c>
      <c r="BI948" s="1">
        <v>0</v>
      </c>
      <c r="BJ948" s="1">
        <v>0</v>
      </c>
      <c r="BK948" s="1">
        <v>0</v>
      </c>
      <c r="BL948" s="1">
        <v>0</v>
      </c>
      <c r="BM948" s="1">
        <v>0</v>
      </c>
      <c r="BN948" s="1">
        <v>0</v>
      </c>
      <c r="BO948" s="1">
        <v>0</v>
      </c>
      <c r="BP948" s="1">
        <v>0</v>
      </c>
      <c r="BQ948" s="2" t="str">
        <f>HYPERLINK("http://www.d20pfsrd.com/magic/all-spells/a/atavism","Atavism")</f>
        <v>Atavism</v>
      </c>
      <c r="BR948" s="1">
        <v>990</v>
      </c>
      <c r="BS948" s="1" t="s">
        <v>104</v>
      </c>
      <c r="BX948" s="1">
        <v>0</v>
      </c>
      <c r="BY948" s="1" t="s">
        <v>104</v>
      </c>
      <c r="BZ948" s="1" t="s">
        <v>104</v>
      </c>
      <c r="CA948" s="1" t="s">
        <v>104</v>
      </c>
      <c r="CB948" s="1" t="s">
        <v>104</v>
      </c>
      <c r="CC948" s="1" t="s">
        <v>104</v>
      </c>
      <c r="CD948" s="1" t="s">
        <v>104</v>
      </c>
      <c r="CE948" s="1" t="s">
        <v>104</v>
      </c>
      <c r="CF948" s="1" t="s">
        <v>104</v>
      </c>
      <c r="CG948" s="1" t="s">
        <v>104</v>
      </c>
      <c r="CH948" s="1">
        <v>4</v>
      </c>
      <c r="CJ948" s="1">
        <v>0</v>
      </c>
      <c r="CK948" s="1">
        <v>0</v>
      </c>
      <c r="CL948" s="1">
        <v>0</v>
      </c>
      <c r="CM948" s="1" t="s">
        <v>104</v>
      </c>
    </row>
    <row r="949" spans="1:91" ht="14.25" customHeight="1" x14ac:dyDescent="0.3">
      <c r="A949" s="1" t="s">
        <v>5915</v>
      </c>
      <c r="B949" s="1" t="s">
        <v>137</v>
      </c>
      <c r="E949" s="1" t="s">
        <v>837</v>
      </c>
      <c r="F949" s="1" t="s">
        <v>95</v>
      </c>
      <c r="G949" s="1" t="s">
        <v>116</v>
      </c>
      <c r="H949" s="1">
        <v>0</v>
      </c>
      <c r="I949" s="1" t="s">
        <v>117</v>
      </c>
      <c r="L949" s="1" t="s">
        <v>5916</v>
      </c>
      <c r="M949" s="1" t="s">
        <v>2330</v>
      </c>
      <c r="N949" s="1">
        <v>0</v>
      </c>
      <c r="O949" s="1">
        <v>0</v>
      </c>
      <c r="P949" s="1" t="s">
        <v>183</v>
      </c>
      <c r="Q949" s="1" t="s">
        <v>184</v>
      </c>
      <c r="R949" s="1" t="s">
        <v>5917</v>
      </c>
      <c r="S949" s="1" t="s">
        <v>4201</v>
      </c>
      <c r="T949" s="1">
        <v>1</v>
      </c>
      <c r="U949" s="1">
        <v>1</v>
      </c>
      <c r="V949" s="1">
        <v>0</v>
      </c>
      <c r="W949" s="1">
        <v>0</v>
      </c>
      <c r="X949" s="1">
        <v>0</v>
      </c>
      <c r="Y949" s="1" t="s">
        <v>104</v>
      </c>
      <c r="Z949" s="1" t="s">
        <v>104</v>
      </c>
      <c r="AA949" s="1" t="s">
        <v>104</v>
      </c>
      <c r="AB949" s="1">
        <v>8</v>
      </c>
      <c r="AC949" s="1" t="s">
        <v>104</v>
      </c>
      <c r="AD949" s="1" t="s">
        <v>104</v>
      </c>
      <c r="AE949" s="1" t="s">
        <v>104</v>
      </c>
      <c r="AF949" s="1" t="s">
        <v>104</v>
      </c>
      <c r="AG949" s="1" t="s">
        <v>104</v>
      </c>
      <c r="AH949" s="1" t="s">
        <v>104</v>
      </c>
      <c r="AI949" s="1" t="s">
        <v>104</v>
      </c>
      <c r="AJ949" s="1" t="s">
        <v>104</v>
      </c>
      <c r="AK949" s="1" t="s">
        <v>104</v>
      </c>
      <c r="AL949" s="1" t="s">
        <v>104</v>
      </c>
      <c r="AM949" s="1" t="s">
        <v>104</v>
      </c>
      <c r="AO949" s="1">
        <v>8</v>
      </c>
      <c r="AQ949" s="1" t="s">
        <v>5918</v>
      </c>
      <c r="AR949" s="1">
        <v>0</v>
      </c>
      <c r="AS949" s="1">
        <v>0</v>
      </c>
      <c r="AT949" s="1">
        <v>0</v>
      </c>
      <c r="AU949" s="1">
        <v>0</v>
      </c>
      <c r="AV949" s="1">
        <v>0</v>
      </c>
      <c r="AW949" s="1">
        <v>0</v>
      </c>
      <c r="AX949" s="1">
        <v>0</v>
      </c>
      <c r="AY949" s="1">
        <v>0</v>
      </c>
      <c r="AZ949" s="1">
        <v>0</v>
      </c>
      <c r="BA949" s="1">
        <v>0</v>
      </c>
      <c r="BB949" s="1">
        <v>0</v>
      </c>
      <c r="BC949" s="1">
        <v>0</v>
      </c>
      <c r="BD949" s="1">
        <v>0</v>
      </c>
      <c r="BE949" s="1">
        <v>0</v>
      </c>
      <c r="BF949" s="1">
        <v>0</v>
      </c>
      <c r="BG949" s="1">
        <v>0</v>
      </c>
      <c r="BH949" s="1">
        <v>0</v>
      </c>
      <c r="BI949" s="1">
        <v>0</v>
      </c>
      <c r="BJ949" s="1">
        <v>0</v>
      </c>
      <c r="BK949" s="1">
        <v>0</v>
      </c>
      <c r="BL949" s="1">
        <v>0</v>
      </c>
      <c r="BM949" s="1">
        <v>0</v>
      </c>
      <c r="BN949" s="1">
        <v>0</v>
      </c>
      <c r="BO949" s="1">
        <v>0</v>
      </c>
      <c r="BP949" s="1">
        <v>0</v>
      </c>
      <c r="BQ949" s="2" t="str">
        <f>HYPERLINK("http://www.d20pfsrd.com/magic/all-spells/a/atavism","Atavism, Mass")</f>
        <v>Atavism, Mass</v>
      </c>
      <c r="BR949" s="1">
        <v>991</v>
      </c>
      <c r="BS949" s="1" t="s">
        <v>104</v>
      </c>
      <c r="BX949" s="1">
        <v>0</v>
      </c>
      <c r="BY949" s="1" t="s">
        <v>104</v>
      </c>
      <c r="BZ949" s="1" t="s">
        <v>104</v>
      </c>
      <c r="CA949" s="1" t="s">
        <v>104</v>
      </c>
      <c r="CB949" s="1" t="s">
        <v>104</v>
      </c>
      <c r="CC949" s="1" t="s">
        <v>104</v>
      </c>
      <c r="CD949" s="1" t="s">
        <v>104</v>
      </c>
      <c r="CE949" s="1" t="s">
        <v>104</v>
      </c>
      <c r="CF949" s="1" t="s">
        <v>104</v>
      </c>
      <c r="CG949" s="1" t="s">
        <v>104</v>
      </c>
      <c r="CH949" s="1" t="s">
        <v>104</v>
      </c>
      <c r="CJ949" s="1">
        <v>0</v>
      </c>
      <c r="CK949" s="1">
        <v>0</v>
      </c>
      <c r="CL949" s="1">
        <v>0</v>
      </c>
      <c r="CM949" s="1" t="s">
        <v>104</v>
      </c>
    </row>
    <row r="950" spans="1:91" ht="14.25" customHeight="1" x14ac:dyDescent="0.3">
      <c r="A950" s="1" t="s">
        <v>5919</v>
      </c>
      <c r="B950" s="1" t="s">
        <v>216</v>
      </c>
      <c r="D950" s="1" t="s">
        <v>599</v>
      </c>
      <c r="E950" s="1" t="s">
        <v>5920</v>
      </c>
      <c r="F950" s="1" t="s">
        <v>95</v>
      </c>
      <c r="G950" s="1" t="s">
        <v>5921</v>
      </c>
      <c r="H950" s="1">
        <v>0</v>
      </c>
      <c r="I950" s="1" t="s">
        <v>157</v>
      </c>
      <c r="J950" s="1" t="s">
        <v>5922</v>
      </c>
      <c r="M950" s="1" t="s">
        <v>5923</v>
      </c>
      <c r="N950" s="1">
        <v>0</v>
      </c>
      <c r="O950" s="1">
        <v>0</v>
      </c>
      <c r="P950" s="1" t="s">
        <v>211</v>
      </c>
      <c r="Q950" s="1" t="s">
        <v>184</v>
      </c>
      <c r="R950" s="1" t="s">
        <v>5924</v>
      </c>
      <c r="S950" s="1" t="s">
        <v>4201</v>
      </c>
      <c r="T950" s="1">
        <v>1</v>
      </c>
      <c r="U950" s="1">
        <v>1</v>
      </c>
      <c r="V950" s="1">
        <v>1</v>
      </c>
      <c r="W950" s="1">
        <v>0</v>
      </c>
      <c r="X950" s="1">
        <v>1</v>
      </c>
      <c r="Y950" s="1" t="s">
        <v>104</v>
      </c>
      <c r="Z950" s="1" t="s">
        <v>104</v>
      </c>
      <c r="AA950" s="1">
        <v>4</v>
      </c>
      <c r="AB950" s="1" t="s">
        <v>104</v>
      </c>
      <c r="AC950" s="1" t="s">
        <v>104</v>
      </c>
      <c r="AD950" s="1" t="s">
        <v>104</v>
      </c>
      <c r="AE950" s="1" t="s">
        <v>104</v>
      </c>
      <c r="AF950" s="1" t="s">
        <v>104</v>
      </c>
      <c r="AG950" s="1" t="s">
        <v>104</v>
      </c>
      <c r="AH950" s="1" t="s">
        <v>104</v>
      </c>
      <c r="AI950" s="1" t="s">
        <v>104</v>
      </c>
      <c r="AJ950" s="1">
        <v>4</v>
      </c>
      <c r="AK950" s="1" t="s">
        <v>104</v>
      </c>
      <c r="AL950" s="1" t="s">
        <v>104</v>
      </c>
      <c r="AM950" s="1" t="s">
        <v>104</v>
      </c>
      <c r="AO950" s="1">
        <v>4</v>
      </c>
      <c r="AQ950" s="1" t="s">
        <v>5925</v>
      </c>
      <c r="AR950" s="1">
        <v>0</v>
      </c>
      <c r="AS950" s="1">
        <v>0</v>
      </c>
      <c r="AT950" s="1">
        <v>0</v>
      </c>
      <c r="AU950" s="1">
        <v>0</v>
      </c>
      <c r="AV950" s="1">
        <v>0</v>
      </c>
      <c r="AW950" s="1">
        <v>0</v>
      </c>
      <c r="AX950" s="1">
        <v>0</v>
      </c>
      <c r="AY950" s="1">
        <v>0</v>
      </c>
      <c r="AZ950" s="1">
        <v>0</v>
      </c>
      <c r="BA950" s="1">
        <v>0</v>
      </c>
      <c r="BB950" s="1">
        <v>1</v>
      </c>
      <c r="BC950" s="1">
        <v>0</v>
      </c>
      <c r="BD950" s="1">
        <v>1</v>
      </c>
      <c r="BE950" s="1">
        <v>0</v>
      </c>
      <c r="BF950" s="1">
        <v>0</v>
      </c>
      <c r="BG950" s="1">
        <v>0</v>
      </c>
      <c r="BH950" s="1">
        <v>0</v>
      </c>
      <c r="BI950" s="1">
        <v>0</v>
      </c>
      <c r="BJ950" s="1">
        <v>0</v>
      </c>
      <c r="BK950" s="1">
        <v>1</v>
      </c>
      <c r="BL950" s="1">
        <v>0</v>
      </c>
      <c r="BM950" s="1">
        <v>0</v>
      </c>
      <c r="BN950" s="1">
        <v>0</v>
      </c>
      <c r="BO950" s="1">
        <v>0</v>
      </c>
      <c r="BP950" s="1">
        <v>0</v>
      </c>
      <c r="BQ950" s="2" t="str">
        <f>HYPERLINK("http://www.d20pfsrd.com/magic/all-spells/a/aura-of-doom","Aura of Doom")</f>
        <v>Aura of Doom</v>
      </c>
      <c r="BR950" s="1">
        <v>992</v>
      </c>
      <c r="BS950" s="1" t="s">
        <v>104</v>
      </c>
      <c r="BX950" s="1">
        <v>0</v>
      </c>
      <c r="BY950" s="1" t="s">
        <v>104</v>
      </c>
      <c r="BZ950" s="1" t="s">
        <v>104</v>
      </c>
      <c r="CA950" s="1">
        <v>4</v>
      </c>
      <c r="CB950" s="1" t="s">
        <v>104</v>
      </c>
      <c r="CC950" s="1" t="s">
        <v>104</v>
      </c>
      <c r="CD950" s="1" t="s">
        <v>104</v>
      </c>
      <c r="CE950" s="1">
        <v>4</v>
      </c>
      <c r="CF950" s="1" t="s">
        <v>104</v>
      </c>
      <c r="CG950" s="1" t="s">
        <v>104</v>
      </c>
      <c r="CH950" s="1" t="s">
        <v>104</v>
      </c>
      <c r="CJ950" s="1">
        <v>0</v>
      </c>
      <c r="CK950" s="1">
        <v>0</v>
      </c>
      <c r="CL950" s="1">
        <v>0</v>
      </c>
      <c r="CM950" s="1" t="s">
        <v>104</v>
      </c>
    </row>
    <row r="951" spans="1:91" ht="14.25" customHeight="1" x14ac:dyDescent="0.3">
      <c r="A951" s="1" t="s">
        <v>5926</v>
      </c>
      <c r="B951" s="1" t="s">
        <v>137</v>
      </c>
      <c r="E951" s="1" t="s">
        <v>5927</v>
      </c>
      <c r="F951" s="1" t="s">
        <v>95</v>
      </c>
      <c r="G951" s="1" t="s">
        <v>116</v>
      </c>
      <c r="H951" s="1">
        <v>0</v>
      </c>
      <c r="I951" s="1" t="s">
        <v>117</v>
      </c>
      <c r="L951" s="1" t="s">
        <v>5928</v>
      </c>
      <c r="M951" s="1" t="s">
        <v>210</v>
      </c>
      <c r="N951" s="1">
        <v>0</v>
      </c>
      <c r="O951" s="1">
        <v>0</v>
      </c>
      <c r="P951" s="1" t="s">
        <v>375</v>
      </c>
      <c r="Q951" s="1" t="s">
        <v>131</v>
      </c>
      <c r="R951" s="1" t="s">
        <v>5929</v>
      </c>
      <c r="S951" s="1" t="s">
        <v>4201</v>
      </c>
      <c r="T951" s="1">
        <v>1</v>
      </c>
      <c r="U951" s="1">
        <v>1</v>
      </c>
      <c r="V951" s="1">
        <v>0</v>
      </c>
      <c r="W951" s="1">
        <v>0</v>
      </c>
      <c r="X951" s="1">
        <v>0</v>
      </c>
      <c r="Y951" s="1">
        <v>2</v>
      </c>
      <c r="Z951" s="1">
        <v>2</v>
      </c>
      <c r="AA951" s="1">
        <v>3</v>
      </c>
      <c r="AB951" s="1">
        <v>3</v>
      </c>
      <c r="AC951" s="1">
        <v>2</v>
      </c>
      <c r="AD951" s="1" t="s">
        <v>104</v>
      </c>
      <c r="AE951" s="1" t="s">
        <v>104</v>
      </c>
      <c r="AF951" s="1" t="s">
        <v>104</v>
      </c>
      <c r="AG951" s="1" t="s">
        <v>104</v>
      </c>
      <c r="AH951" s="1" t="s">
        <v>104</v>
      </c>
      <c r="AI951" s="1" t="s">
        <v>104</v>
      </c>
      <c r="AJ951" s="1">
        <v>3</v>
      </c>
      <c r="AK951" s="1" t="s">
        <v>104</v>
      </c>
      <c r="AL951" s="1" t="s">
        <v>104</v>
      </c>
      <c r="AM951" s="1" t="s">
        <v>104</v>
      </c>
      <c r="AO951" s="1">
        <v>2</v>
      </c>
      <c r="AQ951" s="1" t="s">
        <v>5930</v>
      </c>
      <c r="AR951" s="1">
        <v>0</v>
      </c>
      <c r="AS951" s="1">
        <v>0</v>
      </c>
      <c r="AT951" s="1">
        <v>0</v>
      </c>
      <c r="AU951" s="1">
        <v>0</v>
      </c>
      <c r="AV951" s="1">
        <v>0</v>
      </c>
      <c r="AW951" s="1">
        <v>0</v>
      </c>
      <c r="AX951" s="1">
        <v>0</v>
      </c>
      <c r="AY951" s="1">
        <v>0</v>
      </c>
      <c r="AZ951" s="1">
        <v>0</v>
      </c>
      <c r="BA951" s="1">
        <v>0</v>
      </c>
      <c r="BB951" s="1">
        <v>0</v>
      </c>
      <c r="BC951" s="1">
        <v>0</v>
      </c>
      <c r="BD951" s="1">
        <v>0</v>
      </c>
      <c r="BE951" s="1">
        <v>0</v>
      </c>
      <c r="BF951" s="1">
        <v>0</v>
      </c>
      <c r="BG951" s="1">
        <v>0</v>
      </c>
      <c r="BH951" s="1">
        <v>0</v>
      </c>
      <c r="BI951" s="1">
        <v>0</v>
      </c>
      <c r="BJ951" s="1">
        <v>0</v>
      </c>
      <c r="BK951" s="1">
        <v>0</v>
      </c>
      <c r="BL951" s="1">
        <v>0</v>
      </c>
      <c r="BM951" s="1">
        <v>0</v>
      </c>
      <c r="BN951" s="1">
        <v>0</v>
      </c>
      <c r="BO951" s="1">
        <v>0</v>
      </c>
      <c r="BP951" s="1">
        <v>0</v>
      </c>
      <c r="BQ951" s="2" t="str">
        <f>HYPERLINK("http://www.d20pfsrd.com/magic/all-spells/b/badger-s-ferocity","Badger's Ferocity")</f>
        <v>Badger's Ferocity</v>
      </c>
      <c r="BR951" s="1">
        <v>993</v>
      </c>
      <c r="BS951" s="1" t="s">
        <v>104</v>
      </c>
      <c r="BX951" s="1">
        <v>0</v>
      </c>
      <c r="BY951" s="1" t="s">
        <v>104</v>
      </c>
      <c r="BZ951" s="1" t="s">
        <v>104</v>
      </c>
      <c r="CA951" s="1" t="s">
        <v>104</v>
      </c>
      <c r="CB951" s="1" t="s">
        <v>104</v>
      </c>
      <c r="CC951" s="1" t="s">
        <v>104</v>
      </c>
      <c r="CD951" s="1">
        <v>2</v>
      </c>
      <c r="CE951" s="1" t="s">
        <v>104</v>
      </c>
      <c r="CF951" s="1" t="s">
        <v>104</v>
      </c>
      <c r="CG951" s="1" t="s">
        <v>104</v>
      </c>
      <c r="CH951" s="1">
        <v>2</v>
      </c>
      <c r="CJ951" s="1">
        <v>0</v>
      </c>
      <c r="CK951" s="1">
        <v>0</v>
      </c>
      <c r="CL951" s="1">
        <v>0</v>
      </c>
      <c r="CM951" s="1" t="s">
        <v>104</v>
      </c>
    </row>
    <row r="952" spans="1:91" ht="14.25" customHeight="1" x14ac:dyDescent="0.3">
      <c r="A952" s="1" t="s">
        <v>5931</v>
      </c>
      <c r="B952" s="1" t="s">
        <v>172</v>
      </c>
      <c r="D952" s="1" t="s">
        <v>125</v>
      </c>
      <c r="E952" s="1" t="s">
        <v>5932</v>
      </c>
      <c r="F952" s="1" t="s">
        <v>95</v>
      </c>
      <c r="G952" s="1" t="s">
        <v>116</v>
      </c>
      <c r="H952" s="1">
        <v>0</v>
      </c>
      <c r="I952" s="1" t="s">
        <v>5933</v>
      </c>
      <c r="L952" s="1" t="s">
        <v>5934</v>
      </c>
      <c r="M952" s="1" t="s">
        <v>2330</v>
      </c>
      <c r="N952" s="1">
        <v>0</v>
      </c>
      <c r="O952" s="1">
        <v>0</v>
      </c>
      <c r="P952" s="1" t="s">
        <v>375</v>
      </c>
      <c r="Q952" s="1" t="s">
        <v>131</v>
      </c>
      <c r="R952" s="1" t="s">
        <v>5935</v>
      </c>
      <c r="S952" s="1" t="s">
        <v>4201</v>
      </c>
      <c r="T952" s="1">
        <v>1</v>
      </c>
      <c r="U952" s="1">
        <v>1</v>
      </c>
      <c r="V952" s="1">
        <v>0</v>
      </c>
      <c r="W952" s="1">
        <v>0</v>
      </c>
      <c r="X952" s="1">
        <v>0</v>
      </c>
      <c r="Y952" s="1">
        <v>6</v>
      </c>
      <c r="Z952" s="1">
        <v>6</v>
      </c>
      <c r="AA952" s="1" t="s">
        <v>104</v>
      </c>
      <c r="AB952" s="1" t="s">
        <v>104</v>
      </c>
      <c r="AC952" s="1" t="s">
        <v>104</v>
      </c>
      <c r="AD952" s="1" t="s">
        <v>104</v>
      </c>
      <c r="AE952" s="1" t="s">
        <v>104</v>
      </c>
      <c r="AF952" s="1" t="s">
        <v>104</v>
      </c>
      <c r="AG952" s="1" t="s">
        <v>104</v>
      </c>
      <c r="AH952" s="1" t="s">
        <v>104</v>
      </c>
      <c r="AI952" s="1">
        <v>4</v>
      </c>
      <c r="AJ952" s="1" t="s">
        <v>104</v>
      </c>
      <c r="AK952" s="1" t="s">
        <v>104</v>
      </c>
      <c r="AL952" s="1" t="s">
        <v>104</v>
      </c>
      <c r="AM952" s="1" t="s">
        <v>104</v>
      </c>
      <c r="AO952" s="1">
        <v>6</v>
      </c>
      <c r="AP952" s="1" t="s">
        <v>5936</v>
      </c>
      <c r="AQ952" s="1" t="s">
        <v>5937</v>
      </c>
      <c r="AR952" s="1">
        <v>0</v>
      </c>
      <c r="AS952" s="1">
        <v>0</v>
      </c>
      <c r="AT952" s="1">
        <v>0</v>
      </c>
      <c r="AU952" s="1">
        <v>0</v>
      </c>
      <c r="AV952" s="1">
        <v>0</v>
      </c>
      <c r="AW952" s="1">
        <v>0</v>
      </c>
      <c r="AX952" s="1">
        <v>0</v>
      </c>
      <c r="AY952" s="1">
        <v>0</v>
      </c>
      <c r="AZ952" s="1">
        <v>0</v>
      </c>
      <c r="BA952" s="1">
        <v>0</v>
      </c>
      <c r="BB952" s="1">
        <v>0</v>
      </c>
      <c r="BC952" s="1">
        <v>0</v>
      </c>
      <c r="BD952" s="1">
        <v>0</v>
      </c>
      <c r="BE952" s="1">
        <v>0</v>
      </c>
      <c r="BF952" s="1">
        <v>0</v>
      </c>
      <c r="BG952" s="1">
        <v>0</v>
      </c>
      <c r="BH952" s="1">
        <v>0</v>
      </c>
      <c r="BI952" s="1">
        <v>0</v>
      </c>
      <c r="BJ952" s="1">
        <v>0</v>
      </c>
      <c r="BK952" s="1">
        <v>1</v>
      </c>
      <c r="BL952" s="1">
        <v>0</v>
      </c>
      <c r="BM952" s="1">
        <v>0</v>
      </c>
      <c r="BN952" s="1">
        <v>0</v>
      </c>
      <c r="BO952" s="1">
        <v>0</v>
      </c>
      <c r="BP952" s="1">
        <v>0</v>
      </c>
      <c r="BQ952" s="2" t="str">
        <f>HYPERLINK("http://www.d20pfsrd.com/magic/all-spells/b/battlemind-link","Battlemind Link")</f>
        <v>Battlemind Link</v>
      </c>
      <c r="BR952" s="1">
        <v>994</v>
      </c>
      <c r="BS952" s="1" t="s">
        <v>104</v>
      </c>
      <c r="BX952" s="1">
        <v>0</v>
      </c>
      <c r="BY952" s="1" t="s">
        <v>104</v>
      </c>
      <c r="BZ952" s="1" t="s">
        <v>104</v>
      </c>
      <c r="CA952" s="1">
        <v>6</v>
      </c>
      <c r="CB952" s="1">
        <v>4</v>
      </c>
      <c r="CC952" s="1">
        <v>4</v>
      </c>
      <c r="CD952" s="1">
        <v>5</v>
      </c>
      <c r="CE952" s="1" t="s">
        <v>104</v>
      </c>
      <c r="CF952" s="1" t="s">
        <v>104</v>
      </c>
      <c r="CG952" s="1" t="s">
        <v>104</v>
      </c>
      <c r="CH952" s="1" t="s">
        <v>104</v>
      </c>
      <c r="CJ952" s="1">
        <v>0</v>
      </c>
      <c r="CK952" s="1">
        <v>0</v>
      </c>
      <c r="CL952" s="1">
        <v>0</v>
      </c>
      <c r="CM952" s="1" t="s">
        <v>104</v>
      </c>
    </row>
    <row r="953" spans="1:91" ht="14.25" customHeight="1" x14ac:dyDescent="0.3">
      <c r="A953" s="1" t="s">
        <v>5938</v>
      </c>
      <c r="B953" s="1" t="s">
        <v>137</v>
      </c>
      <c r="D953" s="1" t="s">
        <v>5939</v>
      </c>
      <c r="E953" s="1" t="s">
        <v>5940</v>
      </c>
      <c r="F953" s="1" t="s">
        <v>95</v>
      </c>
      <c r="G953" s="1" t="s">
        <v>127</v>
      </c>
      <c r="H953" s="1">
        <v>0</v>
      </c>
      <c r="I953" s="1" t="s">
        <v>128</v>
      </c>
      <c r="L953" s="1" t="s">
        <v>5941</v>
      </c>
      <c r="M953" s="1" t="s">
        <v>5942</v>
      </c>
      <c r="N953" s="1">
        <v>0</v>
      </c>
      <c r="O953" s="1">
        <v>0</v>
      </c>
      <c r="P953" s="1" t="s">
        <v>131</v>
      </c>
      <c r="Q953" s="1" t="s">
        <v>131</v>
      </c>
      <c r="R953" s="1" t="s">
        <v>5943</v>
      </c>
      <c r="S953" s="1" t="s">
        <v>4201</v>
      </c>
      <c r="T953" s="1">
        <v>1</v>
      </c>
      <c r="U953" s="1">
        <v>1</v>
      </c>
      <c r="V953" s="1">
        <v>0</v>
      </c>
      <c r="W953" s="1">
        <v>0</v>
      </c>
      <c r="X953" s="1">
        <v>1</v>
      </c>
      <c r="Y953" s="1" t="s">
        <v>104</v>
      </c>
      <c r="Z953" s="1" t="s">
        <v>104</v>
      </c>
      <c r="AA953" s="1">
        <v>7</v>
      </c>
      <c r="AB953" s="1" t="s">
        <v>104</v>
      </c>
      <c r="AC953" s="1" t="s">
        <v>104</v>
      </c>
      <c r="AD953" s="1" t="s">
        <v>104</v>
      </c>
      <c r="AE953" s="1">
        <v>4</v>
      </c>
      <c r="AF953" s="1" t="s">
        <v>104</v>
      </c>
      <c r="AG953" s="1" t="s">
        <v>104</v>
      </c>
      <c r="AH953" s="1" t="s">
        <v>104</v>
      </c>
      <c r="AI953" s="1" t="s">
        <v>104</v>
      </c>
      <c r="AJ953" s="1">
        <v>7</v>
      </c>
      <c r="AK953" s="1" t="s">
        <v>104</v>
      </c>
      <c r="AL953" s="1" t="s">
        <v>104</v>
      </c>
      <c r="AM953" s="1" t="s">
        <v>104</v>
      </c>
      <c r="AO953" s="1">
        <v>7</v>
      </c>
      <c r="AQ953" s="1" t="s">
        <v>5944</v>
      </c>
      <c r="AR953" s="1">
        <v>0</v>
      </c>
      <c r="AS953" s="1">
        <v>0</v>
      </c>
      <c r="AT953" s="1">
        <v>0</v>
      </c>
      <c r="AU953" s="1">
        <v>0</v>
      </c>
      <c r="AV953" s="1">
        <v>0</v>
      </c>
      <c r="AW953" s="1">
        <v>0</v>
      </c>
      <c r="AX953" s="1">
        <v>0</v>
      </c>
      <c r="AY953" s="1">
        <v>0</v>
      </c>
      <c r="AZ953" s="1">
        <v>0</v>
      </c>
      <c r="BA953" s="1">
        <v>0</v>
      </c>
      <c r="BB953" s="1">
        <v>0</v>
      </c>
      <c r="BC953" s="1">
        <v>0</v>
      </c>
      <c r="BD953" s="1">
        <v>0</v>
      </c>
      <c r="BE953" s="1">
        <v>0</v>
      </c>
      <c r="BF953" s="1">
        <v>0</v>
      </c>
      <c r="BG953" s="1">
        <v>1</v>
      </c>
      <c r="BH953" s="1">
        <v>0</v>
      </c>
      <c r="BI953" s="1">
        <v>0</v>
      </c>
      <c r="BJ953" s="1">
        <v>0</v>
      </c>
      <c r="BK953" s="1">
        <v>0</v>
      </c>
      <c r="BL953" s="1">
        <v>0</v>
      </c>
      <c r="BM953" s="1">
        <v>0</v>
      </c>
      <c r="BN953" s="1">
        <v>0</v>
      </c>
      <c r="BO953" s="1">
        <v>0</v>
      </c>
      <c r="BP953" s="1">
        <v>0</v>
      </c>
      <c r="BQ953" s="2" t="str">
        <f>HYPERLINK("http://www.d20pfsrd.com/magic/all-spells/b/bestow-grace-of-the-champion","Bestow Grace of the Champion")</f>
        <v>Bestow Grace of the Champion</v>
      </c>
      <c r="BR953" s="1">
        <v>995</v>
      </c>
      <c r="BS953" s="1" t="s">
        <v>104</v>
      </c>
      <c r="BU953" s="1" t="s">
        <v>5945</v>
      </c>
      <c r="BX953" s="1">
        <v>0</v>
      </c>
      <c r="BY953" s="1" t="s">
        <v>104</v>
      </c>
      <c r="BZ953" s="1" t="s">
        <v>104</v>
      </c>
      <c r="CA953" s="1" t="s">
        <v>104</v>
      </c>
      <c r="CB953" s="1" t="s">
        <v>104</v>
      </c>
      <c r="CC953" s="1" t="s">
        <v>104</v>
      </c>
      <c r="CD953" s="1" t="s">
        <v>104</v>
      </c>
      <c r="CE953" s="1" t="s">
        <v>104</v>
      </c>
      <c r="CF953" s="1" t="s">
        <v>104</v>
      </c>
      <c r="CG953" s="1" t="s">
        <v>104</v>
      </c>
      <c r="CH953" s="1" t="s">
        <v>104</v>
      </c>
      <c r="CJ953" s="1">
        <v>0</v>
      </c>
      <c r="CK953" s="1">
        <v>0</v>
      </c>
      <c r="CL953" s="1">
        <v>0</v>
      </c>
      <c r="CM953" s="1" t="s">
        <v>104</v>
      </c>
    </row>
    <row r="954" spans="1:91" ht="14.25" customHeight="1" x14ac:dyDescent="0.3">
      <c r="A954" s="1" t="s">
        <v>5946</v>
      </c>
      <c r="B954" s="1" t="s">
        <v>137</v>
      </c>
      <c r="D954" s="1" t="s">
        <v>58</v>
      </c>
      <c r="E954" s="1" t="s">
        <v>1936</v>
      </c>
      <c r="F954" s="1" t="s">
        <v>95</v>
      </c>
      <c r="G954" s="1" t="s">
        <v>116</v>
      </c>
      <c r="H954" s="1">
        <v>0</v>
      </c>
      <c r="I954" s="1" t="s">
        <v>128</v>
      </c>
      <c r="L954" s="1" t="s">
        <v>5947</v>
      </c>
      <c r="M954" s="1" t="s">
        <v>2330</v>
      </c>
      <c r="N954" s="1">
        <v>0</v>
      </c>
      <c r="O954" s="1">
        <v>0</v>
      </c>
      <c r="P954" s="1" t="s">
        <v>375</v>
      </c>
      <c r="Q954" s="1" t="s">
        <v>101</v>
      </c>
      <c r="R954" s="1" t="s">
        <v>5948</v>
      </c>
      <c r="S954" s="1" t="s">
        <v>4201</v>
      </c>
      <c r="T954" s="1">
        <v>1</v>
      </c>
      <c r="U954" s="1">
        <v>1</v>
      </c>
      <c r="V954" s="1">
        <v>0</v>
      </c>
      <c r="W954" s="1">
        <v>0</v>
      </c>
      <c r="X954" s="1">
        <v>0</v>
      </c>
      <c r="Y954" s="1" t="s">
        <v>104</v>
      </c>
      <c r="Z954" s="1" t="s">
        <v>104</v>
      </c>
      <c r="AA954" s="1" t="s">
        <v>104</v>
      </c>
      <c r="AB954" s="1" t="s">
        <v>104</v>
      </c>
      <c r="AC954" s="1" t="s">
        <v>104</v>
      </c>
      <c r="AD954" s="1" t="s">
        <v>104</v>
      </c>
      <c r="AE954" s="1">
        <v>3</v>
      </c>
      <c r="AF954" s="1" t="s">
        <v>104</v>
      </c>
      <c r="AG954" s="1" t="s">
        <v>104</v>
      </c>
      <c r="AH954" s="1" t="s">
        <v>104</v>
      </c>
      <c r="AI954" s="1" t="s">
        <v>104</v>
      </c>
      <c r="AJ954" s="1" t="s">
        <v>104</v>
      </c>
      <c r="AK954" s="1" t="s">
        <v>104</v>
      </c>
      <c r="AL954" s="1" t="s">
        <v>104</v>
      </c>
      <c r="AM954" s="1" t="s">
        <v>104</v>
      </c>
      <c r="AO954" s="1">
        <v>3</v>
      </c>
      <c r="AQ954" s="1" t="s">
        <v>5949</v>
      </c>
      <c r="AR954" s="1">
        <v>0</v>
      </c>
      <c r="AS954" s="1">
        <v>0</v>
      </c>
      <c r="AT954" s="1">
        <v>0</v>
      </c>
      <c r="AU954" s="1">
        <v>0</v>
      </c>
      <c r="AV954" s="1">
        <v>0</v>
      </c>
      <c r="AW954" s="1">
        <v>0</v>
      </c>
      <c r="AX954" s="1">
        <v>0</v>
      </c>
      <c r="AY954" s="1">
        <v>0</v>
      </c>
      <c r="AZ954" s="1">
        <v>0</v>
      </c>
      <c r="BA954" s="1">
        <v>0</v>
      </c>
      <c r="BB954" s="1">
        <v>0</v>
      </c>
      <c r="BC954" s="1">
        <v>0</v>
      </c>
      <c r="BD954" s="1">
        <v>0</v>
      </c>
      <c r="BE954" s="1">
        <v>0</v>
      </c>
      <c r="BF954" s="1">
        <v>0</v>
      </c>
      <c r="BG954" s="1">
        <v>1</v>
      </c>
      <c r="BH954" s="1">
        <v>0</v>
      </c>
      <c r="BI954" s="1">
        <v>0</v>
      </c>
      <c r="BJ954" s="1">
        <v>0</v>
      </c>
      <c r="BK954" s="1">
        <v>0</v>
      </c>
      <c r="BL954" s="1">
        <v>0</v>
      </c>
      <c r="BM954" s="1">
        <v>0</v>
      </c>
      <c r="BN954" s="1">
        <v>0</v>
      </c>
      <c r="BO954" s="1">
        <v>0</v>
      </c>
      <c r="BP954" s="1">
        <v>0</v>
      </c>
      <c r="BQ954" s="2" t="str">
        <f>HYPERLINK("http://www.d20pfsrd.com/magic/all-spells/b/blade-of-bright-victory","Blade of Bright Victory")</f>
        <v>Blade of Bright Victory</v>
      </c>
      <c r="BR954" s="1">
        <v>996</v>
      </c>
      <c r="BS954" s="1" t="s">
        <v>104</v>
      </c>
      <c r="BX954" s="1">
        <v>0</v>
      </c>
      <c r="BY954" s="1" t="s">
        <v>104</v>
      </c>
      <c r="BZ954" s="1" t="s">
        <v>104</v>
      </c>
      <c r="CA954" s="1" t="s">
        <v>104</v>
      </c>
      <c r="CB954" s="1" t="s">
        <v>104</v>
      </c>
      <c r="CC954" s="1" t="s">
        <v>104</v>
      </c>
      <c r="CD954" s="1" t="s">
        <v>104</v>
      </c>
      <c r="CE954" s="1" t="s">
        <v>104</v>
      </c>
      <c r="CF954" s="1" t="s">
        <v>104</v>
      </c>
      <c r="CG954" s="1" t="s">
        <v>104</v>
      </c>
      <c r="CH954" s="1" t="s">
        <v>104</v>
      </c>
      <c r="CJ954" s="1">
        <v>0</v>
      </c>
      <c r="CK954" s="1">
        <v>0</v>
      </c>
      <c r="CL954" s="1">
        <v>0</v>
      </c>
      <c r="CM954" s="1" t="s">
        <v>104</v>
      </c>
    </row>
    <row r="955" spans="1:91" ht="14.25" customHeight="1" x14ac:dyDescent="0.3">
      <c r="A955" s="1" t="s">
        <v>5950</v>
      </c>
      <c r="B955" s="1" t="s">
        <v>137</v>
      </c>
      <c r="D955" s="1" t="s">
        <v>54</v>
      </c>
      <c r="E955" s="1" t="s">
        <v>5951</v>
      </c>
      <c r="F955" s="1" t="s">
        <v>95</v>
      </c>
      <c r="G955" s="1" t="s">
        <v>116</v>
      </c>
      <c r="H955" s="1">
        <v>0</v>
      </c>
      <c r="I955" s="1" t="s">
        <v>128</v>
      </c>
      <c r="L955" s="1" t="s">
        <v>5952</v>
      </c>
      <c r="M955" s="1" t="s">
        <v>2330</v>
      </c>
      <c r="N955" s="1">
        <v>0</v>
      </c>
      <c r="O955" s="1">
        <v>0</v>
      </c>
      <c r="P955" s="1" t="s">
        <v>375</v>
      </c>
      <c r="Q955" s="1" t="s">
        <v>101</v>
      </c>
      <c r="R955" s="1" t="s">
        <v>5953</v>
      </c>
      <c r="S955" s="1" t="s">
        <v>4201</v>
      </c>
      <c r="T955" s="1">
        <v>1</v>
      </c>
      <c r="U955" s="1">
        <v>1</v>
      </c>
      <c r="V955" s="1">
        <v>0</v>
      </c>
      <c r="W955" s="1">
        <v>0</v>
      </c>
      <c r="X955" s="1">
        <v>0</v>
      </c>
      <c r="Y955" s="1" t="s">
        <v>104</v>
      </c>
      <c r="Z955" s="1" t="s">
        <v>104</v>
      </c>
      <c r="AA955" s="1" t="s">
        <v>104</v>
      </c>
      <c r="AB955" s="1" t="s">
        <v>104</v>
      </c>
      <c r="AC955" s="1" t="s">
        <v>104</v>
      </c>
      <c r="AD955" s="1" t="s">
        <v>104</v>
      </c>
      <c r="AE955" s="1" t="s">
        <v>104</v>
      </c>
      <c r="AF955" s="1" t="s">
        <v>104</v>
      </c>
      <c r="AG955" s="1" t="s">
        <v>104</v>
      </c>
      <c r="AH955" s="1" t="s">
        <v>104</v>
      </c>
      <c r="AI955" s="1" t="s">
        <v>104</v>
      </c>
      <c r="AJ955" s="1" t="s">
        <v>104</v>
      </c>
      <c r="AK955" s="1">
        <v>3</v>
      </c>
      <c r="AL955" s="1" t="s">
        <v>104</v>
      </c>
      <c r="AM955" s="1" t="s">
        <v>104</v>
      </c>
      <c r="AO955" s="1">
        <v>3</v>
      </c>
      <c r="AQ955" s="1" t="s">
        <v>5949</v>
      </c>
      <c r="AR955" s="1">
        <v>0</v>
      </c>
      <c r="AS955" s="1">
        <v>0</v>
      </c>
      <c r="AT955" s="1">
        <v>0</v>
      </c>
      <c r="AU955" s="1">
        <v>0</v>
      </c>
      <c r="AV955" s="1">
        <v>0</v>
      </c>
      <c r="AW955" s="1">
        <v>0</v>
      </c>
      <c r="AX955" s="1">
        <v>0</v>
      </c>
      <c r="AY955" s="1">
        <v>0</v>
      </c>
      <c r="AZ955" s="1">
        <v>0</v>
      </c>
      <c r="BA955" s="1">
        <v>0</v>
      </c>
      <c r="BB955" s="1">
        <v>0</v>
      </c>
      <c r="BC955" s="1">
        <v>1</v>
      </c>
      <c r="BD955" s="1">
        <v>0</v>
      </c>
      <c r="BE955" s="1">
        <v>0</v>
      </c>
      <c r="BF955" s="1">
        <v>0</v>
      </c>
      <c r="BG955" s="1">
        <v>0</v>
      </c>
      <c r="BH955" s="1">
        <v>0</v>
      </c>
      <c r="BI955" s="1">
        <v>0</v>
      </c>
      <c r="BJ955" s="1">
        <v>0</v>
      </c>
      <c r="BK955" s="1">
        <v>0</v>
      </c>
      <c r="BL955" s="1">
        <v>0</v>
      </c>
      <c r="BM955" s="1">
        <v>0</v>
      </c>
      <c r="BN955" s="1">
        <v>0</v>
      </c>
      <c r="BO955" s="1">
        <v>0</v>
      </c>
      <c r="BP955" s="1">
        <v>0</v>
      </c>
      <c r="BQ955" s="2" t="str">
        <f>HYPERLINK("http://www.d20pfsrd.com/magic/all-spells/b/blade-of-dark-triumph","Blade of Dark Triumph")</f>
        <v>Blade of Dark Triumph</v>
      </c>
      <c r="BR955" s="1">
        <v>997</v>
      </c>
      <c r="BS955" s="1" t="s">
        <v>104</v>
      </c>
      <c r="BX955" s="1">
        <v>0</v>
      </c>
      <c r="BY955" s="1" t="s">
        <v>104</v>
      </c>
      <c r="BZ955" s="1" t="s">
        <v>104</v>
      </c>
      <c r="CA955" s="1" t="s">
        <v>104</v>
      </c>
      <c r="CB955" s="1" t="s">
        <v>104</v>
      </c>
      <c r="CC955" s="1" t="s">
        <v>104</v>
      </c>
      <c r="CD955" s="1" t="s">
        <v>104</v>
      </c>
      <c r="CE955" s="1" t="s">
        <v>104</v>
      </c>
      <c r="CF955" s="1" t="s">
        <v>104</v>
      </c>
      <c r="CG955" s="1" t="s">
        <v>104</v>
      </c>
      <c r="CH955" s="1" t="s">
        <v>104</v>
      </c>
      <c r="CJ955" s="1">
        <v>0</v>
      </c>
      <c r="CK955" s="1">
        <v>0</v>
      </c>
      <c r="CL955" s="1">
        <v>0</v>
      </c>
      <c r="CM955" s="1" t="s">
        <v>104</v>
      </c>
    </row>
    <row r="956" spans="1:91" ht="14.25" customHeight="1" x14ac:dyDescent="0.3">
      <c r="A956" s="1" t="s">
        <v>5954</v>
      </c>
      <c r="B956" s="1" t="s">
        <v>137</v>
      </c>
      <c r="E956" s="1" t="s">
        <v>5955</v>
      </c>
      <c r="F956" s="1" t="s">
        <v>255</v>
      </c>
      <c r="G956" s="1" t="s">
        <v>116</v>
      </c>
      <c r="H956" s="1">
        <v>0</v>
      </c>
      <c r="I956" s="1" t="s">
        <v>117</v>
      </c>
      <c r="J956" s="1" t="s">
        <v>5956</v>
      </c>
      <c r="M956" s="1" t="s">
        <v>2330</v>
      </c>
      <c r="N956" s="1">
        <v>0</v>
      </c>
      <c r="O956" s="1">
        <v>0</v>
      </c>
      <c r="P956" s="1" t="s">
        <v>5957</v>
      </c>
      <c r="Q956" s="1" t="s">
        <v>131</v>
      </c>
      <c r="R956" s="1" t="s">
        <v>5958</v>
      </c>
      <c r="S956" s="1" t="s">
        <v>4201</v>
      </c>
      <c r="T956" s="1">
        <v>1</v>
      </c>
      <c r="U956" s="1">
        <v>1</v>
      </c>
      <c r="V956" s="1">
        <v>0</v>
      </c>
      <c r="W956" s="1">
        <v>0</v>
      </c>
      <c r="X956" s="1">
        <v>0</v>
      </c>
      <c r="Y956" s="1" t="s">
        <v>104</v>
      </c>
      <c r="Z956" s="1" t="s">
        <v>104</v>
      </c>
      <c r="AA956" s="1">
        <v>3</v>
      </c>
      <c r="AB956" s="1" t="s">
        <v>104</v>
      </c>
      <c r="AC956" s="1">
        <v>3</v>
      </c>
      <c r="AD956" s="1" t="s">
        <v>104</v>
      </c>
      <c r="AE956" s="1">
        <v>3</v>
      </c>
      <c r="AF956" s="1" t="s">
        <v>104</v>
      </c>
      <c r="AG956" s="1" t="s">
        <v>104</v>
      </c>
      <c r="AH956" s="1" t="s">
        <v>104</v>
      </c>
      <c r="AI956" s="1">
        <v>3</v>
      </c>
      <c r="AJ956" s="1">
        <v>3</v>
      </c>
      <c r="AK956" s="1" t="s">
        <v>104</v>
      </c>
      <c r="AL956" s="1" t="s">
        <v>104</v>
      </c>
      <c r="AM956" s="1" t="s">
        <v>104</v>
      </c>
      <c r="AO956" s="1">
        <v>3</v>
      </c>
      <c r="AQ956" s="1" t="s">
        <v>5959</v>
      </c>
      <c r="AR956" s="1">
        <v>0</v>
      </c>
      <c r="AS956" s="1">
        <v>0</v>
      </c>
      <c r="AT956" s="1">
        <v>0</v>
      </c>
      <c r="AU956" s="1">
        <v>0</v>
      </c>
      <c r="AV956" s="1">
        <v>0</v>
      </c>
      <c r="AW956" s="1">
        <v>0</v>
      </c>
      <c r="AX956" s="1">
        <v>0</v>
      </c>
      <c r="AY956" s="1">
        <v>0</v>
      </c>
      <c r="AZ956" s="1">
        <v>0</v>
      </c>
      <c r="BA956" s="1">
        <v>0</v>
      </c>
      <c r="BB956" s="1">
        <v>0</v>
      </c>
      <c r="BC956" s="1">
        <v>0</v>
      </c>
      <c r="BD956" s="1">
        <v>0</v>
      </c>
      <c r="BE956" s="1">
        <v>0</v>
      </c>
      <c r="BF956" s="1">
        <v>0</v>
      </c>
      <c r="BG956" s="1">
        <v>0</v>
      </c>
      <c r="BH956" s="1">
        <v>0</v>
      </c>
      <c r="BI956" s="1">
        <v>0</v>
      </c>
      <c r="BJ956" s="1">
        <v>0</v>
      </c>
      <c r="BK956" s="1">
        <v>0</v>
      </c>
      <c r="BL956" s="1">
        <v>0</v>
      </c>
      <c r="BM956" s="1">
        <v>0</v>
      </c>
      <c r="BN956" s="1">
        <v>0</v>
      </c>
      <c r="BO956" s="1">
        <v>0</v>
      </c>
      <c r="BP956" s="1">
        <v>0</v>
      </c>
      <c r="BQ956" s="2" t="str">
        <f>HYPERLINK("http://www.d20pfsrd.com/magic/all-spells/b/blessing-of-the-mole","Blessing of the Mole")</f>
        <v>Blessing of the Mole</v>
      </c>
      <c r="BR956" s="1">
        <v>998</v>
      </c>
      <c r="BS956" s="1" t="s">
        <v>104</v>
      </c>
      <c r="BX956" s="1">
        <v>0</v>
      </c>
      <c r="BY956" s="1" t="s">
        <v>104</v>
      </c>
      <c r="BZ956" s="1" t="s">
        <v>104</v>
      </c>
      <c r="CA956" s="1" t="s">
        <v>104</v>
      </c>
      <c r="CB956" s="1" t="s">
        <v>104</v>
      </c>
      <c r="CC956" s="1" t="s">
        <v>104</v>
      </c>
      <c r="CD956" s="1" t="s">
        <v>104</v>
      </c>
      <c r="CE956" s="1" t="s">
        <v>104</v>
      </c>
      <c r="CF956" s="1" t="s">
        <v>104</v>
      </c>
      <c r="CG956" s="1" t="s">
        <v>104</v>
      </c>
      <c r="CH956" s="1">
        <v>3</v>
      </c>
      <c r="CJ956" s="1">
        <v>0</v>
      </c>
      <c r="CK956" s="1">
        <v>0</v>
      </c>
      <c r="CL956" s="1">
        <v>0</v>
      </c>
      <c r="CM956" s="1" t="s">
        <v>104</v>
      </c>
    </row>
    <row r="957" spans="1:91" ht="14.25" customHeight="1" x14ac:dyDescent="0.3">
      <c r="A957" s="1" t="s">
        <v>5960</v>
      </c>
      <c r="B957" s="1" t="s">
        <v>434</v>
      </c>
      <c r="D957" s="1" t="s">
        <v>56</v>
      </c>
      <c r="E957" s="1" t="s">
        <v>4512</v>
      </c>
      <c r="F957" s="1" t="s">
        <v>255</v>
      </c>
      <c r="G957" s="1" t="s">
        <v>116</v>
      </c>
      <c r="H957" s="1">
        <v>0</v>
      </c>
      <c r="I957" s="1" t="s">
        <v>109</v>
      </c>
      <c r="L957" s="1" t="s">
        <v>1065</v>
      </c>
      <c r="M957" s="1" t="s">
        <v>119</v>
      </c>
      <c r="N957" s="1">
        <v>0</v>
      </c>
      <c r="O957" s="1">
        <v>0</v>
      </c>
      <c r="P957" s="1" t="s">
        <v>100</v>
      </c>
      <c r="Q957" s="1" t="s">
        <v>184</v>
      </c>
      <c r="R957" s="1" t="s">
        <v>5961</v>
      </c>
      <c r="S957" s="1" t="s">
        <v>4201</v>
      </c>
      <c r="T957" s="1">
        <v>1</v>
      </c>
      <c r="U957" s="1">
        <v>1</v>
      </c>
      <c r="V957" s="1">
        <v>0</v>
      </c>
      <c r="W957" s="1">
        <v>0</v>
      </c>
      <c r="X957" s="1">
        <v>0</v>
      </c>
      <c r="Y957" s="1" t="s">
        <v>104</v>
      </c>
      <c r="Z957" s="1" t="s">
        <v>104</v>
      </c>
      <c r="AA957" s="1">
        <v>4</v>
      </c>
      <c r="AB957" s="1" t="s">
        <v>104</v>
      </c>
      <c r="AC957" s="1" t="s">
        <v>104</v>
      </c>
      <c r="AD957" s="1" t="s">
        <v>104</v>
      </c>
      <c r="AE957" s="1" t="s">
        <v>104</v>
      </c>
      <c r="AF957" s="1" t="s">
        <v>104</v>
      </c>
      <c r="AG957" s="1" t="s">
        <v>104</v>
      </c>
      <c r="AH957" s="1" t="s">
        <v>104</v>
      </c>
      <c r="AI957" s="1" t="s">
        <v>104</v>
      </c>
      <c r="AJ957" s="1">
        <v>4</v>
      </c>
      <c r="AK957" s="1" t="s">
        <v>104</v>
      </c>
      <c r="AL957" s="1" t="s">
        <v>104</v>
      </c>
      <c r="AM957" s="1" t="s">
        <v>104</v>
      </c>
      <c r="AO957" s="1">
        <v>4</v>
      </c>
      <c r="AQ957" s="1" t="s">
        <v>5962</v>
      </c>
      <c r="AR957" s="1">
        <v>0</v>
      </c>
      <c r="AS957" s="1">
        <v>0</v>
      </c>
      <c r="AT957" s="1">
        <v>0</v>
      </c>
      <c r="AU957" s="1">
        <v>0</v>
      </c>
      <c r="AV957" s="1">
        <v>0</v>
      </c>
      <c r="AW957" s="1">
        <v>0</v>
      </c>
      <c r="AX957" s="1">
        <v>0</v>
      </c>
      <c r="AY957" s="1">
        <v>0</v>
      </c>
      <c r="AZ957" s="1">
        <v>0</v>
      </c>
      <c r="BA957" s="1">
        <v>0</v>
      </c>
      <c r="BB957" s="1">
        <v>0</v>
      </c>
      <c r="BC957" s="1">
        <v>0</v>
      </c>
      <c r="BD957" s="1">
        <v>0</v>
      </c>
      <c r="BE957" s="1">
        <v>1</v>
      </c>
      <c r="BF957" s="1">
        <v>0</v>
      </c>
      <c r="BG957" s="1">
        <v>0</v>
      </c>
      <c r="BH957" s="1">
        <v>0</v>
      </c>
      <c r="BI957" s="1">
        <v>0</v>
      </c>
      <c r="BJ957" s="1">
        <v>0</v>
      </c>
      <c r="BK957" s="1">
        <v>0</v>
      </c>
      <c r="BL957" s="1">
        <v>0</v>
      </c>
      <c r="BM957" s="1">
        <v>0</v>
      </c>
      <c r="BN957" s="1">
        <v>0</v>
      </c>
      <c r="BO957" s="1">
        <v>0</v>
      </c>
      <c r="BP957" s="1">
        <v>0</v>
      </c>
      <c r="BQ957" s="2" t="str">
        <f>HYPERLINK("http://www.d20pfsrd.com/magic/all-spells/b/blood-crow-strike","Blood Crow Strike")</f>
        <v>Blood Crow Strike</v>
      </c>
      <c r="BR957" s="1">
        <v>999</v>
      </c>
      <c r="BS957" s="1" t="s">
        <v>104</v>
      </c>
      <c r="BV957" s="1" t="s">
        <v>5963</v>
      </c>
      <c r="BX957" s="1">
        <v>1</v>
      </c>
      <c r="BY957" s="1" t="s">
        <v>104</v>
      </c>
      <c r="BZ957" s="1" t="s">
        <v>104</v>
      </c>
      <c r="CA957" s="1" t="s">
        <v>104</v>
      </c>
      <c r="CB957" s="1" t="s">
        <v>104</v>
      </c>
      <c r="CC957" s="1" t="s">
        <v>104</v>
      </c>
      <c r="CD957" s="1" t="s">
        <v>104</v>
      </c>
      <c r="CE957" s="1" t="s">
        <v>104</v>
      </c>
      <c r="CF957" s="1" t="s">
        <v>104</v>
      </c>
      <c r="CG957" s="1" t="s">
        <v>104</v>
      </c>
      <c r="CH957" s="1" t="s">
        <v>104</v>
      </c>
      <c r="CJ957" s="1">
        <v>0</v>
      </c>
      <c r="CK957" s="1">
        <v>0</v>
      </c>
      <c r="CL957" s="1">
        <v>0</v>
      </c>
      <c r="CM957" s="1" t="s">
        <v>104</v>
      </c>
    </row>
    <row r="958" spans="1:91" ht="14.25" customHeight="1" x14ac:dyDescent="0.3">
      <c r="A958" s="1" t="s">
        <v>5964</v>
      </c>
      <c r="B958" s="1" t="s">
        <v>92</v>
      </c>
      <c r="C958" s="1" t="s">
        <v>93</v>
      </c>
      <c r="D958" s="1" t="s">
        <v>64</v>
      </c>
      <c r="E958" s="1" t="s">
        <v>199</v>
      </c>
      <c r="F958" s="1" t="s">
        <v>95</v>
      </c>
      <c r="G958" s="1" t="s">
        <v>5965</v>
      </c>
      <c r="H958" s="1">
        <v>0</v>
      </c>
      <c r="I958" s="1" t="s">
        <v>5966</v>
      </c>
      <c r="J958" s="1" t="s">
        <v>5967</v>
      </c>
      <c r="M958" s="1" t="s">
        <v>2330</v>
      </c>
      <c r="N958" s="1">
        <v>0</v>
      </c>
      <c r="O958" s="1">
        <v>0</v>
      </c>
      <c r="P958" s="1" t="s">
        <v>4583</v>
      </c>
      <c r="Q958" s="1" t="s">
        <v>184</v>
      </c>
      <c r="R958" s="1" t="s">
        <v>5968</v>
      </c>
      <c r="S958" s="1" t="s">
        <v>4201</v>
      </c>
      <c r="T958" s="1">
        <v>1</v>
      </c>
      <c r="U958" s="1">
        <v>1</v>
      </c>
      <c r="V958" s="1">
        <v>1</v>
      </c>
      <c r="W958" s="1">
        <v>0</v>
      </c>
      <c r="X958" s="1">
        <v>0</v>
      </c>
      <c r="Y958" s="1" t="s">
        <v>104</v>
      </c>
      <c r="Z958" s="1" t="s">
        <v>104</v>
      </c>
      <c r="AA958" s="1" t="s">
        <v>104</v>
      </c>
      <c r="AB958" s="1">
        <v>8</v>
      </c>
      <c r="AC958" s="1" t="s">
        <v>104</v>
      </c>
      <c r="AD958" s="1" t="s">
        <v>104</v>
      </c>
      <c r="AE958" s="1" t="s">
        <v>104</v>
      </c>
      <c r="AF958" s="1" t="s">
        <v>104</v>
      </c>
      <c r="AG958" s="1" t="s">
        <v>104</v>
      </c>
      <c r="AH958" s="1" t="s">
        <v>104</v>
      </c>
      <c r="AI958" s="1" t="s">
        <v>104</v>
      </c>
      <c r="AJ958" s="1" t="s">
        <v>104</v>
      </c>
      <c r="AK958" s="1" t="s">
        <v>104</v>
      </c>
      <c r="AL958" s="1" t="s">
        <v>104</v>
      </c>
      <c r="AM958" s="1" t="s">
        <v>104</v>
      </c>
      <c r="AO958" s="1">
        <v>8</v>
      </c>
      <c r="AQ958" s="1" t="s">
        <v>5969</v>
      </c>
      <c r="AR958" s="1">
        <v>0</v>
      </c>
      <c r="AS958" s="1">
        <v>0</v>
      </c>
      <c r="AT958" s="1">
        <v>0</v>
      </c>
      <c r="AU958" s="1">
        <v>0</v>
      </c>
      <c r="AV958" s="1">
        <v>0</v>
      </c>
      <c r="AW958" s="1">
        <v>0</v>
      </c>
      <c r="AX958" s="1">
        <v>0</v>
      </c>
      <c r="AY958" s="1">
        <v>0</v>
      </c>
      <c r="AZ958" s="1">
        <v>0</v>
      </c>
      <c r="BA958" s="1">
        <v>0</v>
      </c>
      <c r="BB958" s="1">
        <v>0</v>
      </c>
      <c r="BC958" s="1">
        <v>0</v>
      </c>
      <c r="BD958" s="1">
        <v>0</v>
      </c>
      <c r="BE958" s="1">
        <v>0</v>
      </c>
      <c r="BF958" s="1">
        <v>0</v>
      </c>
      <c r="BG958" s="1">
        <v>0</v>
      </c>
      <c r="BH958" s="1">
        <v>0</v>
      </c>
      <c r="BI958" s="1">
        <v>0</v>
      </c>
      <c r="BJ958" s="1">
        <v>0</v>
      </c>
      <c r="BK958" s="1">
        <v>0</v>
      </c>
      <c r="BL958" s="1">
        <v>0</v>
      </c>
      <c r="BM958" s="1">
        <v>1</v>
      </c>
      <c r="BN958" s="1">
        <v>0</v>
      </c>
      <c r="BO958" s="1">
        <v>0</v>
      </c>
      <c r="BP958" s="1">
        <v>0</v>
      </c>
      <c r="BQ958" s="2" t="str">
        <f>HYPERLINK("http://www.d20pfsrd.com/magic/all-spells/b/blood-mist","Blood Mist")</f>
        <v>Blood Mist</v>
      </c>
      <c r="BR958" s="1">
        <v>1000</v>
      </c>
      <c r="BS958" s="1" t="s">
        <v>104</v>
      </c>
      <c r="BX958" s="1">
        <v>0</v>
      </c>
      <c r="BY958" s="1" t="s">
        <v>104</v>
      </c>
      <c r="BZ958" s="1">
        <v>8</v>
      </c>
      <c r="CA958" s="1" t="s">
        <v>104</v>
      </c>
      <c r="CB958" s="1" t="s">
        <v>104</v>
      </c>
      <c r="CC958" s="1" t="s">
        <v>104</v>
      </c>
      <c r="CD958" s="1" t="s">
        <v>104</v>
      </c>
      <c r="CE958" s="1" t="s">
        <v>104</v>
      </c>
      <c r="CF958" s="1" t="s">
        <v>104</v>
      </c>
      <c r="CG958" s="1" t="s">
        <v>104</v>
      </c>
      <c r="CH958" s="1" t="s">
        <v>104</v>
      </c>
      <c r="CJ958" s="1">
        <v>0</v>
      </c>
      <c r="CK958" s="1">
        <v>0</v>
      </c>
      <c r="CL958" s="1">
        <v>0</v>
      </c>
      <c r="CM958" s="1" t="s">
        <v>104</v>
      </c>
    </row>
    <row r="959" spans="1:91" ht="14.25" customHeight="1" x14ac:dyDescent="0.3">
      <c r="A959" s="1" t="s">
        <v>5970</v>
      </c>
      <c r="B959" s="1" t="s">
        <v>172</v>
      </c>
      <c r="D959" s="1" t="s">
        <v>54</v>
      </c>
      <c r="E959" s="1" t="s">
        <v>5971</v>
      </c>
      <c r="F959" s="1" t="s">
        <v>95</v>
      </c>
      <c r="G959" s="1" t="s">
        <v>116</v>
      </c>
      <c r="H959" s="1">
        <v>0</v>
      </c>
      <c r="I959" s="1" t="s">
        <v>128</v>
      </c>
      <c r="L959" s="1" t="s">
        <v>5972</v>
      </c>
      <c r="M959" s="1" t="s">
        <v>341</v>
      </c>
      <c r="N959" s="1">
        <v>0</v>
      </c>
      <c r="O959" s="1">
        <v>0</v>
      </c>
      <c r="P959" s="1" t="s">
        <v>100</v>
      </c>
      <c r="Q959" s="1" t="s">
        <v>101</v>
      </c>
      <c r="R959" s="1" t="s">
        <v>5973</v>
      </c>
      <c r="S959" s="1" t="s">
        <v>4201</v>
      </c>
      <c r="T959" s="1">
        <v>1</v>
      </c>
      <c r="U959" s="1">
        <v>1</v>
      </c>
      <c r="V959" s="1">
        <v>0</v>
      </c>
      <c r="W959" s="1">
        <v>0</v>
      </c>
      <c r="X959" s="1">
        <v>0</v>
      </c>
      <c r="Y959" s="1" t="s">
        <v>104</v>
      </c>
      <c r="Z959" s="1">
        <v>2</v>
      </c>
      <c r="AA959" s="1" t="s">
        <v>104</v>
      </c>
      <c r="AB959" s="1" t="s">
        <v>104</v>
      </c>
      <c r="AC959" s="1" t="s">
        <v>104</v>
      </c>
      <c r="AD959" s="1" t="s">
        <v>104</v>
      </c>
      <c r="AE959" s="1" t="s">
        <v>104</v>
      </c>
      <c r="AF959" s="1">
        <v>2</v>
      </c>
      <c r="AG959" s="1" t="s">
        <v>104</v>
      </c>
      <c r="AH959" s="1">
        <v>2</v>
      </c>
      <c r="AI959" s="1" t="s">
        <v>104</v>
      </c>
      <c r="AJ959" s="1" t="s">
        <v>104</v>
      </c>
      <c r="AK959" s="1" t="s">
        <v>104</v>
      </c>
      <c r="AL959" s="1">
        <v>2</v>
      </c>
      <c r="AM959" s="1" t="s">
        <v>104</v>
      </c>
      <c r="AO959" s="1">
        <v>2</v>
      </c>
      <c r="AQ959" s="1" t="s">
        <v>5974</v>
      </c>
      <c r="AR959" s="1">
        <v>0</v>
      </c>
      <c r="AS959" s="1">
        <v>0</v>
      </c>
      <c r="AT959" s="1">
        <v>0</v>
      </c>
      <c r="AU959" s="1">
        <v>0</v>
      </c>
      <c r="AV959" s="1">
        <v>0</v>
      </c>
      <c r="AW959" s="1">
        <v>0</v>
      </c>
      <c r="AX959" s="1">
        <v>0</v>
      </c>
      <c r="AY959" s="1">
        <v>0</v>
      </c>
      <c r="AZ959" s="1">
        <v>0</v>
      </c>
      <c r="BA959" s="1">
        <v>0</v>
      </c>
      <c r="BB959" s="1">
        <v>0</v>
      </c>
      <c r="BC959" s="1">
        <v>1</v>
      </c>
      <c r="BD959" s="1">
        <v>0</v>
      </c>
      <c r="BE959" s="1">
        <v>0</v>
      </c>
      <c r="BF959" s="1">
        <v>0</v>
      </c>
      <c r="BG959" s="1">
        <v>0</v>
      </c>
      <c r="BH959" s="1">
        <v>0</v>
      </c>
      <c r="BI959" s="1">
        <v>0</v>
      </c>
      <c r="BJ959" s="1">
        <v>0</v>
      </c>
      <c r="BK959" s="1">
        <v>0</v>
      </c>
      <c r="BL959" s="1">
        <v>0</v>
      </c>
      <c r="BM959" s="1">
        <v>0</v>
      </c>
      <c r="BN959" s="1">
        <v>0</v>
      </c>
      <c r="BO959" s="1">
        <v>0</v>
      </c>
      <c r="BP959" s="1">
        <v>0</v>
      </c>
      <c r="BQ959" s="2" t="str">
        <f>HYPERLINK("http://www.d20pfsrd.com/magic/all-spells/b/blood-transcription","Blood Transcription")</f>
        <v>Blood Transcription</v>
      </c>
      <c r="BR959" s="1">
        <v>1001</v>
      </c>
      <c r="BS959" s="1" t="s">
        <v>104</v>
      </c>
      <c r="BX959" s="1">
        <v>0</v>
      </c>
      <c r="BY959" s="1" t="s">
        <v>104</v>
      </c>
      <c r="BZ959" s="1" t="s">
        <v>104</v>
      </c>
      <c r="CA959" s="1" t="s">
        <v>104</v>
      </c>
      <c r="CB959" s="1" t="s">
        <v>104</v>
      </c>
      <c r="CC959" s="1" t="s">
        <v>104</v>
      </c>
      <c r="CD959" s="1" t="s">
        <v>104</v>
      </c>
      <c r="CE959" s="1" t="s">
        <v>104</v>
      </c>
      <c r="CF959" s="1" t="s">
        <v>104</v>
      </c>
      <c r="CG959" s="1" t="s">
        <v>104</v>
      </c>
      <c r="CH959" s="1" t="s">
        <v>104</v>
      </c>
      <c r="CJ959" s="1">
        <v>0</v>
      </c>
      <c r="CK959" s="1">
        <v>0</v>
      </c>
      <c r="CL959" s="1">
        <v>0</v>
      </c>
      <c r="CM959" s="1" t="s">
        <v>104</v>
      </c>
    </row>
    <row r="960" spans="1:91" ht="14.25" customHeight="1" x14ac:dyDescent="0.3">
      <c r="A960" s="1" t="s">
        <v>5975</v>
      </c>
      <c r="B960" s="1" t="s">
        <v>137</v>
      </c>
      <c r="E960" s="1" t="s">
        <v>5976</v>
      </c>
      <c r="F960" s="1" t="s">
        <v>95</v>
      </c>
      <c r="G960" s="1" t="s">
        <v>116</v>
      </c>
      <c r="H960" s="1">
        <v>0</v>
      </c>
      <c r="I960" s="1" t="s">
        <v>109</v>
      </c>
      <c r="L960" s="1" t="s">
        <v>5977</v>
      </c>
      <c r="M960" s="1" t="s">
        <v>5978</v>
      </c>
      <c r="N960" s="1">
        <v>1</v>
      </c>
      <c r="O960" s="1">
        <v>0</v>
      </c>
      <c r="P960" s="1" t="s">
        <v>4583</v>
      </c>
      <c r="Q960" s="1" t="s">
        <v>184</v>
      </c>
      <c r="R960" s="1" t="s">
        <v>5979</v>
      </c>
      <c r="S960" s="1" t="s">
        <v>4201</v>
      </c>
      <c r="T960" s="1">
        <v>1</v>
      </c>
      <c r="U960" s="1">
        <v>1</v>
      </c>
      <c r="V960" s="1">
        <v>0</v>
      </c>
      <c r="W960" s="1">
        <v>0</v>
      </c>
      <c r="X960" s="1">
        <v>0</v>
      </c>
      <c r="Y960" s="1">
        <v>2</v>
      </c>
      <c r="Z960" s="1">
        <v>2</v>
      </c>
      <c r="AA960" s="1">
        <v>2</v>
      </c>
      <c r="AB960" s="1" t="s">
        <v>104</v>
      </c>
      <c r="AC960" s="1" t="s">
        <v>104</v>
      </c>
      <c r="AD960" s="1">
        <v>2</v>
      </c>
      <c r="AE960" s="1" t="s">
        <v>104</v>
      </c>
      <c r="AF960" s="1" t="s">
        <v>104</v>
      </c>
      <c r="AG960" s="1" t="s">
        <v>104</v>
      </c>
      <c r="AH960" s="1">
        <v>2</v>
      </c>
      <c r="AI960" s="1" t="s">
        <v>104</v>
      </c>
      <c r="AJ960" s="1">
        <v>2</v>
      </c>
      <c r="AK960" s="1" t="s">
        <v>104</v>
      </c>
      <c r="AL960" s="1" t="s">
        <v>104</v>
      </c>
      <c r="AM960" s="1" t="s">
        <v>104</v>
      </c>
      <c r="AO960" s="1">
        <v>2</v>
      </c>
      <c r="AQ960" s="1" t="s">
        <v>5980</v>
      </c>
      <c r="AR960" s="1">
        <v>0</v>
      </c>
      <c r="AS960" s="1">
        <v>0</v>
      </c>
      <c r="AT960" s="1">
        <v>0</v>
      </c>
      <c r="AU960" s="1">
        <v>0</v>
      </c>
      <c r="AV960" s="1">
        <v>0</v>
      </c>
      <c r="AW960" s="1">
        <v>0</v>
      </c>
      <c r="AX960" s="1">
        <v>0</v>
      </c>
      <c r="AY960" s="1">
        <v>0</v>
      </c>
      <c r="AZ960" s="1">
        <v>0</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2" t="str">
        <f>HYPERLINK("http://www.d20pfsrd.com/magic/all-spells/b/boiling-blood","Boiling Blood")</f>
        <v>Boiling Blood</v>
      </c>
      <c r="BR960" s="1">
        <v>1002</v>
      </c>
      <c r="BS960" s="1" t="s">
        <v>104</v>
      </c>
      <c r="BV960" s="1" t="s">
        <v>5981</v>
      </c>
      <c r="BX960" s="1">
        <v>1</v>
      </c>
      <c r="BY960" s="1">
        <v>2</v>
      </c>
      <c r="BZ960" s="1" t="s">
        <v>104</v>
      </c>
      <c r="CA960" s="1">
        <v>2</v>
      </c>
      <c r="CB960" s="1" t="s">
        <v>104</v>
      </c>
      <c r="CC960" s="1" t="s">
        <v>104</v>
      </c>
      <c r="CD960" s="1" t="s">
        <v>104</v>
      </c>
      <c r="CE960" s="1" t="s">
        <v>104</v>
      </c>
      <c r="CF960" s="1" t="s">
        <v>104</v>
      </c>
      <c r="CG960" s="1" t="s">
        <v>104</v>
      </c>
      <c r="CH960" s="1" t="s">
        <v>104</v>
      </c>
      <c r="CJ960" s="1">
        <v>0</v>
      </c>
      <c r="CK960" s="1">
        <v>0</v>
      </c>
      <c r="CL960" s="1">
        <v>0</v>
      </c>
      <c r="CM960" s="1" t="s">
        <v>104</v>
      </c>
    </row>
    <row r="961" spans="1:91" ht="14.25" customHeight="1" x14ac:dyDescent="0.3">
      <c r="A961" s="1" t="s">
        <v>5982</v>
      </c>
      <c r="B961" s="1" t="s">
        <v>123</v>
      </c>
      <c r="C961" s="1" t="s">
        <v>124</v>
      </c>
      <c r="E961" s="1" t="s">
        <v>5983</v>
      </c>
      <c r="F961" s="1" t="s">
        <v>95</v>
      </c>
      <c r="G961" s="1" t="s">
        <v>116</v>
      </c>
      <c r="H961" s="1">
        <v>0</v>
      </c>
      <c r="I961" s="1" t="s">
        <v>117</v>
      </c>
      <c r="L961" s="1" t="s">
        <v>1296</v>
      </c>
      <c r="M961" s="1" t="s">
        <v>5984</v>
      </c>
      <c r="N961" s="1">
        <v>0</v>
      </c>
      <c r="O961" s="1">
        <v>0</v>
      </c>
      <c r="P961" s="1" t="s">
        <v>211</v>
      </c>
      <c r="Q961" s="1" t="s">
        <v>184</v>
      </c>
      <c r="R961" s="1" t="s">
        <v>5985</v>
      </c>
      <c r="S961" s="1" t="s">
        <v>4201</v>
      </c>
      <c r="T961" s="1">
        <v>1</v>
      </c>
      <c r="U961" s="1">
        <v>1</v>
      </c>
      <c r="V961" s="1">
        <v>0</v>
      </c>
      <c r="W961" s="1">
        <v>0</v>
      </c>
      <c r="X961" s="1">
        <v>0</v>
      </c>
      <c r="Y961" s="1">
        <v>1</v>
      </c>
      <c r="Z961" s="1">
        <v>1</v>
      </c>
      <c r="AA961" s="1" t="s">
        <v>104</v>
      </c>
      <c r="AB961" s="1" t="s">
        <v>104</v>
      </c>
      <c r="AC961" s="1" t="s">
        <v>104</v>
      </c>
      <c r="AD961" s="1" t="s">
        <v>104</v>
      </c>
      <c r="AE961" s="1" t="s">
        <v>104</v>
      </c>
      <c r="AF961" s="1" t="s">
        <v>104</v>
      </c>
      <c r="AG961" s="1" t="s">
        <v>104</v>
      </c>
      <c r="AH961" s="1">
        <v>1</v>
      </c>
      <c r="AI961" s="1" t="s">
        <v>104</v>
      </c>
      <c r="AJ961" s="1" t="s">
        <v>104</v>
      </c>
      <c r="AK961" s="1" t="s">
        <v>104</v>
      </c>
      <c r="AL961" s="1" t="s">
        <v>104</v>
      </c>
      <c r="AM961" s="1" t="s">
        <v>104</v>
      </c>
      <c r="AO961" s="1">
        <v>1</v>
      </c>
      <c r="AQ961" s="1" t="s">
        <v>5986</v>
      </c>
      <c r="AR961" s="1">
        <v>0</v>
      </c>
      <c r="AS961" s="1">
        <v>0</v>
      </c>
      <c r="AT961" s="1">
        <v>0</v>
      </c>
      <c r="AU961" s="1">
        <v>0</v>
      </c>
      <c r="AV961" s="1">
        <v>0</v>
      </c>
      <c r="AW961" s="1">
        <v>0</v>
      </c>
      <c r="AX961" s="1">
        <v>0</v>
      </c>
      <c r="AY961" s="1">
        <v>0</v>
      </c>
      <c r="AZ961" s="1">
        <v>0</v>
      </c>
      <c r="BA961" s="1">
        <v>0</v>
      </c>
      <c r="BB961" s="1">
        <v>0</v>
      </c>
      <c r="BC961" s="1">
        <v>0</v>
      </c>
      <c r="BD961" s="1">
        <v>0</v>
      </c>
      <c r="BE961" s="1">
        <v>0</v>
      </c>
      <c r="BF961" s="1">
        <v>0</v>
      </c>
      <c r="BG961" s="1">
        <v>0</v>
      </c>
      <c r="BH961" s="1">
        <v>0</v>
      </c>
      <c r="BI961" s="1">
        <v>0</v>
      </c>
      <c r="BJ961" s="1">
        <v>0</v>
      </c>
      <c r="BK961" s="1">
        <v>0</v>
      </c>
      <c r="BL961" s="1">
        <v>0</v>
      </c>
      <c r="BM961" s="1">
        <v>0</v>
      </c>
      <c r="BN961" s="1">
        <v>0</v>
      </c>
      <c r="BO961" s="1">
        <v>0</v>
      </c>
      <c r="BP961" s="1">
        <v>0</v>
      </c>
      <c r="BQ961" s="2" t="str">
        <f>HYPERLINK("http://www.d20pfsrd.com/magic/all-spells/b/bungle","Bungle")</f>
        <v>Bungle</v>
      </c>
      <c r="BR961" s="1">
        <v>1003</v>
      </c>
      <c r="BS961" s="1" t="s">
        <v>104</v>
      </c>
      <c r="BX961" s="1">
        <v>0</v>
      </c>
      <c r="BY961" s="1" t="s">
        <v>104</v>
      </c>
      <c r="BZ961" s="1" t="s">
        <v>104</v>
      </c>
      <c r="CA961" s="1">
        <v>1</v>
      </c>
      <c r="CB961" s="1" t="s">
        <v>104</v>
      </c>
      <c r="CC961" s="1">
        <v>1</v>
      </c>
      <c r="CD961" s="1" t="s">
        <v>104</v>
      </c>
      <c r="CE961" s="1" t="s">
        <v>104</v>
      </c>
      <c r="CF961" s="1" t="s">
        <v>104</v>
      </c>
      <c r="CG961" s="1" t="s">
        <v>104</v>
      </c>
      <c r="CH961" s="1" t="s">
        <v>104</v>
      </c>
      <c r="CJ961" s="1">
        <v>0</v>
      </c>
      <c r="CK961" s="1">
        <v>0</v>
      </c>
      <c r="CL961" s="1">
        <v>0</v>
      </c>
      <c r="CM961" s="1" t="s">
        <v>104</v>
      </c>
    </row>
    <row r="962" spans="1:91" ht="14.25" customHeight="1" x14ac:dyDescent="0.3">
      <c r="A962" s="1" t="s">
        <v>5987</v>
      </c>
      <c r="B962" s="1" t="s">
        <v>137</v>
      </c>
      <c r="E962" s="1" t="s">
        <v>5988</v>
      </c>
      <c r="F962" s="1" t="s">
        <v>95</v>
      </c>
      <c r="G962" s="1" t="s">
        <v>116</v>
      </c>
      <c r="H962" s="1">
        <v>0</v>
      </c>
      <c r="I962" s="1" t="s">
        <v>128</v>
      </c>
      <c r="L962" s="1" t="s">
        <v>374</v>
      </c>
      <c r="M962" s="1" t="s">
        <v>2330</v>
      </c>
      <c r="N962" s="1">
        <v>0</v>
      </c>
      <c r="O962" s="1">
        <v>0</v>
      </c>
      <c r="P962" s="1" t="s">
        <v>375</v>
      </c>
      <c r="Q962" s="1" t="s">
        <v>131</v>
      </c>
      <c r="R962" s="1" t="s">
        <v>5989</v>
      </c>
      <c r="S962" s="1" t="s">
        <v>4201</v>
      </c>
      <c r="T962" s="1">
        <v>1</v>
      </c>
      <c r="U962" s="1">
        <v>1</v>
      </c>
      <c r="V962" s="1">
        <v>0</v>
      </c>
      <c r="W962" s="1">
        <v>0</v>
      </c>
      <c r="X962" s="1">
        <v>0</v>
      </c>
      <c r="Y962" s="1">
        <v>3</v>
      </c>
      <c r="Z962" s="1">
        <v>3</v>
      </c>
      <c r="AA962" s="1" t="s">
        <v>104</v>
      </c>
      <c r="AB962" s="1">
        <v>3</v>
      </c>
      <c r="AC962" s="1">
        <v>3</v>
      </c>
      <c r="AD962" s="1" t="s">
        <v>104</v>
      </c>
      <c r="AE962" s="1" t="s">
        <v>104</v>
      </c>
      <c r="AF962" s="1">
        <v>3</v>
      </c>
      <c r="AG962" s="1" t="s">
        <v>104</v>
      </c>
      <c r="AH962" s="1" t="s">
        <v>104</v>
      </c>
      <c r="AI962" s="1" t="s">
        <v>104</v>
      </c>
      <c r="AJ962" s="1" t="s">
        <v>104</v>
      </c>
      <c r="AK962" s="1" t="s">
        <v>104</v>
      </c>
      <c r="AL962" s="1" t="s">
        <v>104</v>
      </c>
      <c r="AM962" s="1" t="s">
        <v>104</v>
      </c>
      <c r="AO962" s="1">
        <v>3</v>
      </c>
      <c r="AQ962" s="1" t="s">
        <v>5990</v>
      </c>
      <c r="AR962" s="1">
        <v>0</v>
      </c>
      <c r="AS962" s="1">
        <v>0</v>
      </c>
      <c r="AT962" s="1">
        <v>0</v>
      </c>
      <c r="AU962" s="1">
        <v>0</v>
      </c>
      <c r="AV962" s="1">
        <v>0</v>
      </c>
      <c r="AW962" s="1">
        <v>0</v>
      </c>
      <c r="AX962" s="1">
        <v>0</v>
      </c>
      <c r="AY962" s="1">
        <v>0</v>
      </c>
      <c r="AZ962" s="1">
        <v>0</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2" t="str">
        <f>HYPERLINK("http://www.d20pfsrd.com/magic/all-spells/b/burrow","Burrow")</f>
        <v>Burrow</v>
      </c>
      <c r="BR962" s="1">
        <v>1004</v>
      </c>
      <c r="BS962" s="1" t="s">
        <v>104</v>
      </c>
      <c r="BV962" s="1" t="s">
        <v>5991</v>
      </c>
      <c r="BW962" s="1" t="s">
        <v>5992</v>
      </c>
      <c r="BX962" s="1">
        <v>1</v>
      </c>
      <c r="BY962" s="1">
        <v>3</v>
      </c>
      <c r="BZ962" s="1" t="s">
        <v>104</v>
      </c>
      <c r="CA962" s="1" t="s">
        <v>104</v>
      </c>
      <c r="CB962" s="1" t="s">
        <v>104</v>
      </c>
      <c r="CC962" s="1" t="s">
        <v>104</v>
      </c>
      <c r="CD962" s="1" t="s">
        <v>104</v>
      </c>
      <c r="CE962" s="1" t="s">
        <v>104</v>
      </c>
      <c r="CF962" s="1" t="s">
        <v>104</v>
      </c>
      <c r="CG962" s="1" t="s">
        <v>104</v>
      </c>
      <c r="CH962" s="1">
        <v>3</v>
      </c>
      <c r="CJ962" s="1">
        <v>0</v>
      </c>
      <c r="CK962" s="1">
        <v>0</v>
      </c>
      <c r="CL962" s="1">
        <v>0</v>
      </c>
      <c r="CM962" s="1" t="s">
        <v>104</v>
      </c>
    </row>
    <row r="963" spans="1:91" ht="14.25" customHeight="1" x14ac:dyDescent="0.3">
      <c r="A963" s="1" t="s">
        <v>5993</v>
      </c>
      <c r="B963" s="1" t="s">
        <v>92</v>
      </c>
      <c r="D963" s="1" t="s">
        <v>43</v>
      </c>
      <c r="E963" s="1" t="s">
        <v>2967</v>
      </c>
      <c r="F963" s="1" t="s">
        <v>95</v>
      </c>
      <c r="G963" s="1" t="s">
        <v>116</v>
      </c>
      <c r="H963" s="1">
        <v>0</v>
      </c>
      <c r="I963" s="1" t="s">
        <v>117</v>
      </c>
      <c r="J963" s="1" t="s">
        <v>5994</v>
      </c>
      <c r="M963" s="1" t="s">
        <v>119</v>
      </c>
      <c r="N963" s="1">
        <v>0</v>
      </c>
      <c r="O963" s="1">
        <v>0</v>
      </c>
      <c r="P963" s="1" t="s">
        <v>550</v>
      </c>
      <c r="Q963" s="1" t="s">
        <v>184</v>
      </c>
      <c r="R963" s="1" t="s">
        <v>5995</v>
      </c>
      <c r="S963" s="1" t="s">
        <v>4201</v>
      </c>
      <c r="T963" s="1">
        <v>1</v>
      </c>
      <c r="U963" s="1">
        <v>1</v>
      </c>
      <c r="V963" s="1">
        <v>0</v>
      </c>
      <c r="W963" s="1">
        <v>0</v>
      </c>
      <c r="X963" s="1">
        <v>0</v>
      </c>
      <c r="Y963" s="1" t="s">
        <v>104</v>
      </c>
      <c r="Z963" s="1" t="s">
        <v>104</v>
      </c>
      <c r="AA963" s="1" t="s">
        <v>104</v>
      </c>
      <c r="AB963" s="1">
        <v>3</v>
      </c>
      <c r="AC963" s="1" t="s">
        <v>104</v>
      </c>
      <c r="AD963" s="1" t="s">
        <v>104</v>
      </c>
      <c r="AE963" s="1" t="s">
        <v>104</v>
      </c>
      <c r="AF963" s="1" t="s">
        <v>104</v>
      </c>
      <c r="AG963" s="1" t="s">
        <v>104</v>
      </c>
      <c r="AH963" s="1" t="s">
        <v>104</v>
      </c>
      <c r="AI963" s="1" t="s">
        <v>104</v>
      </c>
      <c r="AJ963" s="1" t="s">
        <v>104</v>
      </c>
      <c r="AK963" s="1" t="s">
        <v>104</v>
      </c>
      <c r="AL963" s="1" t="s">
        <v>104</v>
      </c>
      <c r="AM963" s="1" t="s">
        <v>104</v>
      </c>
      <c r="AO963" s="1">
        <v>3</v>
      </c>
      <c r="AQ963" s="1" t="s">
        <v>5996</v>
      </c>
      <c r="AR963" s="1">
        <v>1</v>
      </c>
      <c r="AS963" s="1">
        <v>0</v>
      </c>
      <c r="AT963" s="1">
        <v>0</v>
      </c>
      <c r="AU963" s="1">
        <v>0</v>
      </c>
      <c r="AV963" s="1">
        <v>0</v>
      </c>
      <c r="AW963" s="1">
        <v>0</v>
      </c>
      <c r="AX963" s="1">
        <v>0</v>
      </c>
      <c r="AY963" s="1">
        <v>0</v>
      </c>
      <c r="AZ963" s="1">
        <v>0</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2" t="str">
        <f>HYPERLINK("http://www.d20pfsrd.com/magic/all-spells/b/burst-of-nettles","Burst of Nettles")</f>
        <v>Burst of Nettles</v>
      </c>
      <c r="BR963" s="1">
        <v>1005</v>
      </c>
      <c r="BS963" s="1" t="s">
        <v>104</v>
      </c>
      <c r="BX963" s="1">
        <v>0</v>
      </c>
      <c r="BY963" s="1" t="s">
        <v>104</v>
      </c>
      <c r="BZ963" s="1" t="s">
        <v>104</v>
      </c>
      <c r="CA963" s="1" t="s">
        <v>104</v>
      </c>
      <c r="CB963" s="1" t="s">
        <v>104</v>
      </c>
      <c r="CC963" s="1" t="s">
        <v>104</v>
      </c>
      <c r="CD963" s="1" t="s">
        <v>104</v>
      </c>
      <c r="CE963" s="1" t="s">
        <v>104</v>
      </c>
      <c r="CF963" s="1" t="s">
        <v>104</v>
      </c>
      <c r="CG963" s="1" t="s">
        <v>104</v>
      </c>
      <c r="CH963" s="1">
        <v>3</v>
      </c>
      <c r="CJ963" s="1">
        <v>0</v>
      </c>
      <c r="CK963" s="1">
        <v>0</v>
      </c>
      <c r="CL963" s="1">
        <v>0</v>
      </c>
      <c r="CM963" s="1" t="s">
        <v>104</v>
      </c>
    </row>
    <row r="964" spans="1:91" ht="14.25" customHeight="1" x14ac:dyDescent="0.3">
      <c r="A964" s="1" t="s">
        <v>5997</v>
      </c>
      <c r="B964" s="1" t="s">
        <v>507</v>
      </c>
      <c r="C964" s="1" t="s">
        <v>508</v>
      </c>
      <c r="E964" s="1" t="s">
        <v>5403</v>
      </c>
      <c r="F964" s="1" t="s">
        <v>95</v>
      </c>
      <c r="G964" s="1" t="s">
        <v>116</v>
      </c>
      <c r="H964" s="1">
        <v>0</v>
      </c>
      <c r="I964" s="1" t="s">
        <v>117</v>
      </c>
      <c r="L964" s="1" t="s">
        <v>5998</v>
      </c>
      <c r="M964" s="1" t="s">
        <v>1457</v>
      </c>
      <c r="N964" s="1">
        <v>0</v>
      </c>
      <c r="O964" s="1">
        <v>0</v>
      </c>
      <c r="P964" s="1" t="s">
        <v>211</v>
      </c>
      <c r="Q964" s="1" t="s">
        <v>184</v>
      </c>
      <c r="R964" s="1" t="s">
        <v>5999</v>
      </c>
      <c r="S964" s="1" t="s">
        <v>4201</v>
      </c>
      <c r="T964" s="1">
        <v>1</v>
      </c>
      <c r="U964" s="1">
        <v>1</v>
      </c>
      <c r="V964" s="1">
        <v>0</v>
      </c>
      <c r="W964" s="1">
        <v>0</v>
      </c>
      <c r="X964" s="1">
        <v>0</v>
      </c>
      <c r="Y964" s="1" t="s">
        <v>104</v>
      </c>
      <c r="Z964" s="1" t="s">
        <v>104</v>
      </c>
      <c r="AA964" s="1" t="s">
        <v>104</v>
      </c>
      <c r="AB964" s="1" t="s">
        <v>104</v>
      </c>
      <c r="AC964" s="1" t="s">
        <v>104</v>
      </c>
      <c r="AD964" s="1" t="s">
        <v>104</v>
      </c>
      <c r="AE964" s="1" t="s">
        <v>104</v>
      </c>
      <c r="AF964" s="1" t="s">
        <v>104</v>
      </c>
      <c r="AG964" s="1" t="s">
        <v>104</v>
      </c>
      <c r="AH964" s="1">
        <v>3</v>
      </c>
      <c r="AI964" s="1" t="s">
        <v>104</v>
      </c>
      <c r="AJ964" s="1" t="s">
        <v>104</v>
      </c>
      <c r="AK964" s="1" t="s">
        <v>104</v>
      </c>
      <c r="AL964" s="1" t="s">
        <v>104</v>
      </c>
      <c r="AM964" s="1" t="s">
        <v>104</v>
      </c>
      <c r="AO964" s="1">
        <v>3</v>
      </c>
      <c r="AQ964" s="1" t="s">
        <v>6000</v>
      </c>
      <c r="AR964" s="1">
        <v>0</v>
      </c>
      <c r="AS964" s="1">
        <v>0</v>
      </c>
      <c r="AT964" s="1">
        <v>0</v>
      </c>
      <c r="AU964" s="1">
        <v>0</v>
      </c>
      <c r="AV964" s="1">
        <v>0</v>
      </c>
      <c r="AW964" s="1">
        <v>0</v>
      </c>
      <c r="AX964" s="1">
        <v>0</v>
      </c>
      <c r="AY964" s="1">
        <v>0</v>
      </c>
      <c r="AZ964" s="1">
        <v>0</v>
      </c>
      <c r="BA964" s="1">
        <v>0</v>
      </c>
      <c r="BB964" s="1">
        <v>0</v>
      </c>
      <c r="BC964" s="1">
        <v>0</v>
      </c>
      <c r="BD964" s="1">
        <v>0</v>
      </c>
      <c r="BE964" s="1">
        <v>0</v>
      </c>
      <c r="BF964" s="1">
        <v>0</v>
      </c>
      <c r="BG964" s="1">
        <v>0</v>
      </c>
      <c r="BH964" s="1">
        <v>0</v>
      </c>
      <c r="BI964" s="1">
        <v>0</v>
      </c>
      <c r="BJ964" s="1">
        <v>0</v>
      </c>
      <c r="BK964" s="1">
        <v>0</v>
      </c>
      <c r="BL964" s="1">
        <v>0</v>
      </c>
      <c r="BM964" s="1">
        <v>0</v>
      </c>
      <c r="BN964" s="1">
        <v>0</v>
      </c>
      <c r="BO964" s="1">
        <v>0</v>
      </c>
      <c r="BP964" s="1">
        <v>0</v>
      </c>
      <c r="BQ964" s="2" t="str">
        <f>HYPERLINK("http://www.d20pfsrd.com/magic/all-spells/c/cackling-skull","Cackling Skull")</f>
        <v>Cackling Skull</v>
      </c>
      <c r="BR964" s="1">
        <v>1006</v>
      </c>
      <c r="BS964" s="1" t="s">
        <v>104</v>
      </c>
      <c r="BX964" s="1">
        <v>0</v>
      </c>
      <c r="BY964" s="1" t="s">
        <v>104</v>
      </c>
      <c r="BZ964" s="1" t="s">
        <v>104</v>
      </c>
      <c r="CA964" s="1" t="s">
        <v>104</v>
      </c>
      <c r="CB964" s="1" t="s">
        <v>104</v>
      </c>
      <c r="CC964" s="1" t="s">
        <v>104</v>
      </c>
      <c r="CD964" s="1" t="s">
        <v>104</v>
      </c>
      <c r="CE964" s="1" t="s">
        <v>104</v>
      </c>
      <c r="CF964" s="1" t="s">
        <v>104</v>
      </c>
      <c r="CG964" s="1" t="s">
        <v>104</v>
      </c>
      <c r="CH964" s="1" t="s">
        <v>104</v>
      </c>
      <c r="CJ964" s="1">
        <v>0</v>
      </c>
      <c r="CK964" s="1">
        <v>0</v>
      </c>
      <c r="CL964" s="1">
        <v>0</v>
      </c>
      <c r="CM964" s="1" t="s">
        <v>104</v>
      </c>
    </row>
    <row r="965" spans="1:91" ht="14.25" customHeight="1" x14ac:dyDescent="0.3">
      <c r="A965" s="1" t="s">
        <v>6001</v>
      </c>
      <c r="B965" s="1" t="s">
        <v>92</v>
      </c>
      <c r="C965" s="1" t="s">
        <v>1160</v>
      </c>
      <c r="E965" s="1" t="s">
        <v>6002</v>
      </c>
      <c r="F965" s="1" t="s">
        <v>287</v>
      </c>
      <c r="G965" s="1" t="s">
        <v>6003</v>
      </c>
      <c r="H965" s="1">
        <v>1</v>
      </c>
      <c r="I965" s="1" t="s">
        <v>128</v>
      </c>
      <c r="L965" s="1" t="s">
        <v>6004</v>
      </c>
      <c r="M965" s="1" t="s">
        <v>1457</v>
      </c>
      <c r="N965" s="1">
        <v>0</v>
      </c>
      <c r="O965" s="1">
        <v>0</v>
      </c>
      <c r="P965" s="1" t="s">
        <v>100</v>
      </c>
      <c r="Q965" s="1" t="s">
        <v>101</v>
      </c>
      <c r="R965" s="1" t="s">
        <v>6005</v>
      </c>
      <c r="S965" s="1" t="s">
        <v>4201</v>
      </c>
      <c r="T965" s="1">
        <v>1</v>
      </c>
      <c r="U965" s="1">
        <v>1</v>
      </c>
      <c r="V965" s="1">
        <v>1</v>
      </c>
      <c r="W965" s="1">
        <v>0</v>
      </c>
      <c r="X965" s="1">
        <v>0</v>
      </c>
      <c r="Y965" s="1">
        <v>8</v>
      </c>
      <c r="Z965" s="1">
        <v>8</v>
      </c>
      <c r="AA965" s="1">
        <v>8</v>
      </c>
      <c r="AB965" s="1" t="s">
        <v>104</v>
      </c>
      <c r="AC965" s="1" t="s">
        <v>104</v>
      </c>
      <c r="AD965" s="1" t="s">
        <v>104</v>
      </c>
      <c r="AE965" s="1" t="s">
        <v>104</v>
      </c>
      <c r="AF965" s="1" t="s">
        <v>104</v>
      </c>
      <c r="AG965" s="1" t="s">
        <v>104</v>
      </c>
      <c r="AH965" s="1" t="s">
        <v>104</v>
      </c>
      <c r="AI965" s="1" t="s">
        <v>104</v>
      </c>
      <c r="AJ965" s="1">
        <v>8</v>
      </c>
      <c r="AK965" s="1" t="s">
        <v>104</v>
      </c>
      <c r="AL965" s="1" t="s">
        <v>104</v>
      </c>
      <c r="AM965" s="1" t="s">
        <v>104</v>
      </c>
      <c r="AO965" s="1">
        <v>8</v>
      </c>
      <c r="AQ965" s="1" t="s">
        <v>6006</v>
      </c>
      <c r="AR965" s="1">
        <v>0</v>
      </c>
      <c r="AS965" s="1">
        <v>0</v>
      </c>
      <c r="AT965" s="1">
        <v>0</v>
      </c>
      <c r="AU965" s="1">
        <v>0</v>
      </c>
      <c r="AV965" s="1">
        <v>0</v>
      </c>
      <c r="AW965" s="1">
        <v>0</v>
      </c>
      <c r="AX965" s="1">
        <v>0</v>
      </c>
      <c r="AY965" s="1">
        <v>0</v>
      </c>
      <c r="AZ965" s="1">
        <v>0</v>
      </c>
      <c r="BA965" s="1">
        <v>0</v>
      </c>
      <c r="BB965" s="1">
        <v>0</v>
      </c>
      <c r="BC965" s="1">
        <v>0</v>
      </c>
      <c r="BD965" s="1">
        <v>0</v>
      </c>
      <c r="BE965" s="1">
        <v>0</v>
      </c>
      <c r="BF965" s="1">
        <v>0</v>
      </c>
      <c r="BG965" s="1">
        <v>0</v>
      </c>
      <c r="BH965" s="1">
        <v>0</v>
      </c>
      <c r="BI965" s="1">
        <v>0</v>
      </c>
      <c r="BJ965" s="1">
        <v>0</v>
      </c>
      <c r="BK965" s="1">
        <v>0</v>
      </c>
      <c r="BL965" s="1">
        <v>0</v>
      </c>
      <c r="BM965" s="1">
        <v>0</v>
      </c>
      <c r="BN965" s="1">
        <v>0</v>
      </c>
      <c r="BO965" s="1">
        <v>0</v>
      </c>
      <c r="BP965" s="1">
        <v>0</v>
      </c>
      <c r="BQ965" s="2" t="str">
        <f>HYPERLINK("http://www.d20pfsrd.com/magic/all-spells/c/call-construct","Call Construct")</f>
        <v>Call Construct</v>
      </c>
      <c r="BR965" s="1">
        <v>1007</v>
      </c>
      <c r="BS965" s="1">
        <v>5000</v>
      </c>
      <c r="BX965" s="1">
        <v>0</v>
      </c>
      <c r="BY965" s="1" t="s">
        <v>104</v>
      </c>
      <c r="BZ965" s="1" t="s">
        <v>104</v>
      </c>
      <c r="CA965" s="1">
        <v>8</v>
      </c>
      <c r="CB965" s="1" t="s">
        <v>104</v>
      </c>
      <c r="CC965" s="1" t="s">
        <v>104</v>
      </c>
      <c r="CD965" s="1">
        <v>6</v>
      </c>
      <c r="CE965" s="1" t="s">
        <v>104</v>
      </c>
      <c r="CF965" s="1" t="s">
        <v>104</v>
      </c>
      <c r="CG965" s="1" t="s">
        <v>104</v>
      </c>
      <c r="CH965" s="1" t="s">
        <v>104</v>
      </c>
      <c r="CJ965" s="1">
        <v>0</v>
      </c>
      <c r="CK965" s="1">
        <v>0</v>
      </c>
      <c r="CL965" s="1">
        <v>0</v>
      </c>
      <c r="CM965" s="1" t="s">
        <v>104</v>
      </c>
    </row>
    <row r="966" spans="1:91" ht="14.25" customHeight="1" x14ac:dyDescent="0.3">
      <c r="A966" s="1" t="s">
        <v>6007</v>
      </c>
      <c r="B966" s="1" t="s">
        <v>92</v>
      </c>
      <c r="C966" s="1" t="s">
        <v>903</v>
      </c>
      <c r="E966" s="1" t="s">
        <v>6008</v>
      </c>
      <c r="F966" s="1" t="s">
        <v>95</v>
      </c>
      <c r="G966" s="1" t="s">
        <v>116</v>
      </c>
      <c r="H966" s="1">
        <v>0</v>
      </c>
      <c r="I966" s="1" t="s">
        <v>157</v>
      </c>
      <c r="L966" s="1" t="s">
        <v>158</v>
      </c>
      <c r="M966" s="1" t="s">
        <v>426</v>
      </c>
      <c r="N966" s="1">
        <v>1</v>
      </c>
      <c r="O966" s="1">
        <v>0</v>
      </c>
      <c r="R966" s="1" t="s">
        <v>6009</v>
      </c>
      <c r="S966" s="1" t="s">
        <v>4201</v>
      </c>
      <c r="T966" s="1">
        <v>1</v>
      </c>
      <c r="U966" s="1">
        <v>1</v>
      </c>
      <c r="V966" s="1">
        <v>0</v>
      </c>
      <c r="W966" s="1">
        <v>0</v>
      </c>
      <c r="X966" s="1">
        <v>0</v>
      </c>
      <c r="Y966" s="1" t="s">
        <v>104</v>
      </c>
      <c r="Z966" s="1" t="s">
        <v>104</v>
      </c>
      <c r="AA966" s="1" t="s">
        <v>104</v>
      </c>
      <c r="AB966" s="1">
        <v>4</v>
      </c>
      <c r="AC966" s="1" t="s">
        <v>104</v>
      </c>
      <c r="AD966" s="1" t="s">
        <v>104</v>
      </c>
      <c r="AE966" s="1" t="s">
        <v>104</v>
      </c>
      <c r="AF966" s="1" t="s">
        <v>104</v>
      </c>
      <c r="AG966" s="1" t="s">
        <v>104</v>
      </c>
      <c r="AH966" s="1">
        <v>4</v>
      </c>
      <c r="AI966" s="1" t="s">
        <v>104</v>
      </c>
      <c r="AJ966" s="1" t="s">
        <v>104</v>
      </c>
      <c r="AK966" s="1" t="s">
        <v>104</v>
      </c>
      <c r="AL966" s="1" t="s">
        <v>104</v>
      </c>
      <c r="AM966" s="1" t="s">
        <v>104</v>
      </c>
      <c r="AO966" s="1">
        <v>4</v>
      </c>
      <c r="AQ966" s="1" t="s">
        <v>6010</v>
      </c>
      <c r="AR966" s="1">
        <v>0</v>
      </c>
      <c r="AS966" s="1">
        <v>0</v>
      </c>
      <c r="AT966" s="1">
        <v>0</v>
      </c>
      <c r="AU966" s="1">
        <v>0</v>
      </c>
      <c r="AV966" s="1">
        <v>0</v>
      </c>
      <c r="AW966" s="1">
        <v>0</v>
      </c>
      <c r="AX966" s="1">
        <v>0</v>
      </c>
      <c r="AY966" s="1">
        <v>0</v>
      </c>
      <c r="AZ966" s="1">
        <v>0</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2" t="str">
        <f>HYPERLINK("http://www.d20pfsrd.com/magic/all-spells/c/cape-of-wasps","Cape of Wasps")</f>
        <v>Cape of Wasps</v>
      </c>
      <c r="BR966" s="1">
        <v>1008</v>
      </c>
      <c r="BS966" s="1" t="s">
        <v>104</v>
      </c>
      <c r="BV966" s="1" t="s">
        <v>6011</v>
      </c>
      <c r="BX966" s="1">
        <v>1</v>
      </c>
      <c r="BY966" s="1" t="s">
        <v>104</v>
      </c>
      <c r="BZ966" s="1" t="s">
        <v>104</v>
      </c>
      <c r="CA966" s="1" t="s">
        <v>104</v>
      </c>
      <c r="CB966" s="1" t="s">
        <v>104</v>
      </c>
      <c r="CC966" s="1" t="s">
        <v>104</v>
      </c>
      <c r="CD966" s="1" t="s">
        <v>104</v>
      </c>
      <c r="CE966" s="1" t="s">
        <v>104</v>
      </c>
      <c r="CF966" s="1" t="s">
        <v>104</v>
      </c>
      <c r="CG966" s="1" t="s">
        <v>104</v>
      </c>
      <c r="CH966" s="1">
        <v>4</v>
      </c>
      <c r="CJ966" s="1">
        <v>0</v>
      </c>
      <c r="CK966" s="1">
        <v>0</v>
      </c>
      <c r="CL966" s="1">
        <v>0</v>
      </c>
      <c r="CM966" s="1" t="s">
        <v>104</v>
      </c>
    </row>
    <row r="967" spans="1:91" ht="14.25" customHeight="1" x14ac:dyDescent="0.3">
      <c r="A967" s="1" t="s">
        <v>6012</v>
      </c>
      <c r="B967" s="1" t="s">
        <v>92</v>
      </c>
      <c r="C967" s="1" t="s">
        <v>93</v>
      </c>
      <c r="D967" s="1" t="s">
        <v>43</v>
      </c>
      <c r="E967" s="1" t="s">
        <v>843</v>
      </c>
      <c r="F967" s="1" t="s">
        <v>95</v>
      </c>
      <c r="G967" s="1" t="s">
        <v>116</v>
      </c>
      <c r="H967" s="1">
        <v>0</v>
      </c>
      <c r="I967" s="1" t="s">
        <v>914</v>
      </c>
      <c r="J967" s="1" t="s">
        <v>4454</v>
      </c>
      <c r="M967" s="1" t="s">
        <v>6013</v>
      </c>
      <c r="N967" s="1">
        <v>0</v>
      </c>
      <c r="O967" s="1">
        <v>0</v>
      </c>
      <c r="P967" s="1" t="s">
        <v>6014</v>
      </c>
      <c r="Q967" s="1" t="s">
        <v>101</v>
      </c>
      <c r="R967" s="1" t="s">
        <v>6015</v>
      </c>
      <c r="S967" s="1" t="s">
        <v>4201</v>
      </c>
      <c r="T967" s="1">
        <v>1</v>
      </c>
      <c r="U967" s="1">
        <v>1</v>
      </c>
      <c r="V967" s="1">
        <v>0</v>
      </c>
      <c r="W967" s="1">
        <v>0</v>
      </c>
      <c r="X967" s="1">
        <v>0</v>
      </c>
      <c r="Y967" s="1">
        <v>7</v>
      </c>
      <c r="Z967" s="1">
        <v>7</v>
      </c>
      <c r="AA967" s="1" t="s">
        <v>104</v>
      </c>
      <c r="AB967" s="1" t="s">
        <v>104</v>
      </c>
      <c r="AC967" s="1" t="s">
        <v>104</v>
      </c>
      <c r="AD967" s="1" t="s">
        <v>104</v>
      </c>
      <c r="AE967" s="1" t="s">
        <v>104</v>
      </c>
      <c r="AF967" s="1" t="s">
        <v>104</v>
      </c>
      <c r="AG967" s="1" t="s">
        <v>104</v>
      </c>
      <c r="AH967" s="1" t="s">
        <v>104</v>
      </c>
      <c r="AI967" s="1" t="s">
        <v>104</v>
      </c>
      <c r="AJ967" s="1" t="s">
        <v>104</v>
      </c>
      <c r="AK967" s="1" t="s">
        <v>104</v>
      </c>
      <c r="AL967" s="1" t="s">
        <v>104</v>
      </c>
      <c r="AM967" s="1" t="s">
        <v>104</v>
      </c>
      <c r="AO967" s="1">
        <v>7</v>
      </c>
      <c r="AQ967" s="1" t="s">
        <v>6016</v>
      </c>
      <c r="AR967" s="1">
        <v>1</v>
      </c>
      <c r="AS967" s="1">
        <v>0</v>
      </c>
      <c r="AT967" s="1">
        <v>0</v>
      </c>
      <c r="AU967" s="1">
        <v>0</v>
      </c>
      <c r="AV967" s="1">
        <v>0</v>
      </c>
      <c r="AW967" s="1">
        <v>0</v>
      </c>
      <c r="AX967" s="1">
        <v>0</v>
      </c>
      <c r="AY967" s="1">
        <v>0</v>
      </c>
      <c r="AZ967" s="1">
        <v>0</v>
      </c>
      <c r="BA967" s="1">
        <v>0</v>
      </c>
      <c r="BB967" s="1">
        <v>0</v>
      </c>
      <c r="BC967" s="1">
        <v>0</v>
      </c>
      <c r="BD967" s="1">
        <v>0</v>
      </c>
      <c r="BE967" s="1">
        <v>0</v>
      </c>
      <c r="BF967" s="1">
        <v>0</v>
      </c>
      <c r="BG967" s="1">
        <v>0</v>
      </c>
      <c r="BH967" s="1">
        <v>0</v>
      </c>
      <c r="BI967" s="1">
        <v>0</v>
      </c>
      <c r="BJ967" s="1">
        <v>0</v>
      </c>
      <c r="BK967" s="1">
        <v>0</v>
      </c>
      <c r="BL967" s="1">
        <v>0</v>
      </c>
      <c r="BM967" s="1">
        <v>0</v>
      </c>
      <c r="BN967" s="1">
        <v>0</v>
      </c>
      <c r="BO967" s="1">
        <v>0</v>
      </c>
      <c r="BP967" s="1">
        <v>0</v>
      </c>
      <c r="BQ967" s="2" t="str">
        <f>HYPERLINK("http://www.d20pfsrd.com/magic/all-spells/c/caustic-eruption","Caustic Eruption")</f>
        <v>Caustic Eruption</v>
      </c>
      <c r="BR967" s="1">
        <v>1009</v>
      </c>
      <c r="BS967" s="1" t="s">
        <v>104</v>
      </c>
      <c r="BX967" s="1">
        <v>0</v>
      </c>
      <c r="BY967" s="1" t="s">
        <v>104</v>
      </c>
      <c r="BZ967" s="1" t="s">
        <v>104</v>
      </c>
      <c r="CA967" s="1" t="s">
        <v>104</v>
      </c>
      <c r="CB967" s="1" t="s">
        <v>104</v>
      </c>
      <c r="CC967" s="1" t="s">
        <v>104</v>
      </c>
      <c r="CD967" s="1" t="s">
        <v>104</v>
      </c>
      <c r="CE967" s="1" t="s">
        <v>104</v>
      </c>
      <c r="CF967" s="1" t="s">
        <v>104</v>
      </c>
      <c r="CG967" s="1" t="s">
        <v>104</v>
      </c>
      <c r="CH967" s="1" t="s">
        <v>104</v>
      </c>
      <c r="CJ967" s="1">
        <v>0</v>
      </c>
      <c r="CK967" s="1">
        <v>0</v>
      </c>
      <c r="CL967" s="1">
        <v>0</v>
      </c>
      <c r="CM967" s="1" t="s">
        <v>104</v>
      </c>
    </row>
    <row r="968" spans="1:91" ht="14.25" customHeight="1" x14ac:dyDescent="0.3">
      <c r="A968" s="1" t="s">
        <v>6017</v>
      </c>
      <c r="B968" s="1" t="s">
        <v>434</v>
      </c>
      <c r="E968" s="1" t="s">
        <v>5344</v>
      </c>
      <c r="F968" s="1" t="s">
        <v>95</v>
      </c>
      <c r="G968" s="1" t="s">
        <v>116</v>
      </c>
      <c r="H968" s="1">
        <v>0</v>
      </c>
      <c r="I968" s="1" t="s">
        <v>548</v>
      </c>
      <c r="J968" s="1" t="s">
        <v>549</v>
      </c>
      <c r="M968" s="1" t="s">
        <v>119</v>
      </c>
      <c r="N968" s="1">
        <v>0</v>
      </c>
      <c r="O968" s="1">
        <v>0</v>
      </c>
      <c r="P968" s="1" t="s">
        <v>1605</v>
      </c>
      <c r="Q968" s="1" t="s">
        <v>101</v>
      </c>
      <c r="R968" s="1" t="s">
        <v>6018</v>
      </c>
      <c r="S968" s="1" t="s">
        <v>4201</v>
      </c>
      <c r="T968" s="1">
        <v>1</v>
      </c>
      <c r="U968" s="1">
        <v>1</v>
      </c>
      <c r="V968" s="1">
        <v>0</v>
      </c>
      <c r="W968" s="1">
        <v>0</v>
      </c>
      <c r="X968" s="1">
        <v>0</v>
      </c>
      <c r="Y968" s="1" t="s">
        <v>104</v>
      </c>
      <c r="Z968" s="1" t="s">
        <v>104</v>
      </c>
      <c r="AA968" s="1" t="s">
        <v>104</v>
      </c>
      <c r="AB968" s="1" t="s">
        <v>104</v>
      </c>
      <c r="AC968" s="1" t="s">
        <v>104</v>
      </c>
      <c r="AD968" s="1">
        <v>1</v>
      </c>
      <c r="AE968" s="1" t="s">
        <v>104</v>
      </c>
      <c r="AF968" s="1" t="s">
        <v>104</v>
      </c>
      <c r="AG968" s="1" t="s">
        <v>104</v>
      </c>
      <c r="AH968" s="1" t="s">
        <v>104</v>
      </c>
      <c r="AI968" s="1" t="s">
        <v>104</v>
      </c>
      <c r="AJ968" s="1" t="s">
        <v>104</v>
      </c>
      <c r="AK968" s="1" t="s">
        <v>104</v>
      </c>
      <c r="AL968" s="1" t="s">
        <v>104</v>
      </c>
      <c r="AM968" s="1" t="s">
        <v>104</v>
      </c>
      <c r="AO968" s="1">
        <v>1</v>
      </c>
      <c r="AQ968" s="1" t="s">
        <v>6019</v>
      </c>
      <c r="AR968" s="1">
        <v>0</v>
      </c>
      <c r="AS968" s="1">
        <v>0</v>
      </c>
      <c r="AT968" s="1">
        <v>0</v>
      </c>
      <c r="AU968" s="1">
        <v>0</v>
      </c>
      <c r="AV968" s="1">
        <v>0</v>
      </c>
      <c r="AW968" s="1">
        <v>0</v>
      </c>
      <c r="AX968" s="1">
        <v>0</v>
      </c>
      <c r="AY968" s="1">
        <v>0</v>
      </c>
      <c r="AZ968" s="1">
        <v>0</v>
      </c>
      <c r="BA968" s="1">
        <v>0</v>
      </c>
      <c r="BB968" s="1">
        <v>0</v>
      </c>
      <c r="BC968" s="1">
        <v>0</v>
      </c>
      <c r="BD968" s="1">
        <v>0</v>
      </c>
      <c r="BE968" s="1">
        <v>0</v>
      </c>
      <c r="BF968" s="1">
        <v>0</v>
      </c>
      <c r="BG968" s="1">
        <v>0</v>
      </c>
      <c r="BH968" s="1">
        <v>0</v>
      </c>
      <c r="BI968" s="1">
        <v>0</v>
      </c>
      <c r="BJ968" s="1">
        <v>0</v>
      </c>
      <c r="BK968" s="1">
        <v>0</v>
      </c>
      <c r="BL968" s="1">
        <v>0</v>
      </c>
      <c r="BM968" s="1">
        <v>0</v>
      </c>
      <c r="BN968" s="1">
        <v>0</v>
      </c>
      <c r="BO968" s="1">
        <v>0</v>
      </c>
      <c r="BP968" s="1">
        <v>0</v>
      </c>
      <c r="BQ968" s="2" t="str">
        <f>HYPERLINK("http://www.d20pfsrd.com/magic/all-spells/c/chord-of-shards","Chord of Shards")</f>
        <v>Chord of Shards</v>
      </c>
      <c r="BR968" s="1">
        <v>1010</v>
      </c>
      <c r="BS968" s="1" t="s">
        <v>104</v>
      </c>
      <c r="BV968" s="1" t="s">
        <v>6020</v>
      </c>
      <c r="BX968" s="1">
        <v>1</v>
      </c>
      <c r="BY968" s="1" t="s">
        <v>104</v>
      </c>
      <c r="BZ968" s="1" t="s">
        <v>104</v>
      </c>
      <c r="CA968" s="1" t="s">
        <v>104</v>
      </c>
      <c r="CB968" s="1" t="s">
        <v>104</v>
      </c>
      <c r="CC968" s="1" t="s">
        <v>104</v>
      </c>
      <c r="CD968" s="1" t="s">
        <v>104</v>
      </c>
      <c r="CE968" s="1" t="s">
        <v>104</v>
      </c>
      <c r="CF968" s="1" t="s">
        <v>104</v>
      </c>
      <c r="CG968" s="1" t="s">
        <v>104</v>
      </c>
      <c r="CH968" s="1" t="s">
        <v>104</v>
      </c>
      <c r="CJ968" s="1">
        <v>0</v>
      </c>
      <c r="CK968" s="1">
        <v>0</v>
      </c>
      <c r="CL968" s="1">
        <v>0</v>
      </c>
      <c r="CM968" s="1" t="s">
        <v>104</v>
      </c>
    </row>
    <row r="969" spans="1:91" ht="14.25" customHeight="1" x14ac:dyDescent="0.3">
      <c r="A969" s="1" t="s">
        <v>6021</v>
      </c>
      <c r="B969" s="1" t="s">
        <v>162</v>
      </c>
      <c r="E969" s="1" t="s">
        <v>6022</v>
      </c>
      <c r="F969" s="1" t="s">
        <v>95</v>
      </c>
      <c r="G969" s="1" t="s">
        <v>6023</v>
      </c>
      <c r="H969" s="1">
        <v>1</v>
      </c>
      <c r="I969" s="1" t="s">
        <v>109</v>
      </c>
      <c r="K969" s="1" t="s">
        <v>3407</v>
      </c>
      <c r="M969" s="1" t="s">
        <v>426</v>
      </c>
      <c r="N969" s="1">
        <v>1</v>
      </c>
      <c r="O969" s="1">
        <v>0</v>
      </c>
      <c r="P969" s="1" t="s">
        <v>375</v>
      </c>
      <c r="Q969" s="1" t="s">
        <v>131</v>
      </c>
      <c r="R969" s="1" t="s">
        <v>6024</v>
      </c>
      <c r="S969" s="1" t="s">
        <v>4201</v>
      </c>
      <c r="T969" s="1">
        <v>1</v>
      </c>
      <c r="U969" s="1">
        <v>1</v>
      </c>
      <c r="V969" s="1">
        <v>0</v>
      </c>
      <c r="W969" s="1">
        <v>0</v>
      </c>
      <c r="X969" s="1">
        <v>0</v>
      </c>
      <c r="Y969" s="1">
        <v>7</v>
      </c>
      <c r="Z969" s="1">
        <v>7</v>
      </c>
      <c r="AA969" s="1">
        <v>7</v>
      </c>
      <c r="AB969" s="1" t="s">
        <v>104</v>
      </c>
      <c r="AC969" s="1" t="s">
        <v>104</v>
      </c>
      <c r="AD969" s="1" t="s">
        <v>104</v>
      </c>
      <c r="AE969" s="1" t="s">
        <v>104</v>
      </c>
      <c r="AF969" s="1" t="s">
        <v>104</v>
      </c>
      <c r="AG969" s="1" t="s">
        <v>104</v>
      </c>
      <c r="AH969" s="1" t="s">
        <v>104</v>
      </c>
      <c r="AI969" s="1" t="s">
        <v>104</v>
      </c>
      <c r="AJ969" s="1">
        <v>7</v>
      </c>
      <c r="AK969" s="1" t="s">
        <v>104</v>
      </c>
      <c r="AL969" s="1" t="s">
        <v>104</v>
      </c>
      <c r="AM969" s="1" t="s">
        <v>104</v>
      </c>
      <c r="AO969" s="1">
        <v>7</v>
      </c>
      <c r="AP969" s="1" t="s">
        <v>6025</v>
      </c>
      <c r="AQ969" s="1" t="s">
        <v>6026</v>
      </c>
      <c r="AR969" s="1">
        <v>0</v>
      </c>
      <c r="AS969" s="1">
        <v>0</v>
      </c>
      <c r="AT969" s="1">
        <v>0</v>
      </c>
      <c r="AU969" s="1">
        <v>0</v>
      </c>
      <c r="AV969" s="1">
        <v>0</v>
      </c>
      <c r="AW969" s="1">
        <v>0</v>
      </c>
      <c r="AX969" s="1">
        <v>0</v>
      </c>
      <c r="AY969" s="1">
        <v>0</v>
      </c>
      <c r="AZ969" s="1">
        <v>0</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2" t="str">
        <f>HYPERLINK("http://www.d20pfsrd.com/magic/all-spells/c/circle-of-clarity","Circle of Clarity")</f>
        <v>Circle of Clarity</v>
      </c>
      <c r="BR969" s="1">
        <v>1011</v>
      </c>
      <c r="BS969" s="1">
        <v>100</v>
      </c>
      <c r="BU969" s="1" t="s">
        <v>6027</v>
      </c>
      <c r="BX969" s="1">
        <v>0</v>
      </c>
      <c r="BY969" s="1" t="s">
        <v>104</v>
      </c>
      <c r="BZ969" s="1">
        <v>8</v>
      </c>
      <c r="CA969" s="1">
        <v>7</v>
      </c>
      <c r="CB969" s="1" t="s">
        <v>104</v>
      </c>
      <c r="CC969" s="1" t="s">
        <v>104</v>
      </c>
      <c r="CD969" s="1" t="s">
        <v>104</v>
      </c>
      <c r="CE969" s="1" t="s">
        <v>104</v>
      </c>
      <c r="CF969" s="1" t="s">
        <v>104</v>
      </c>
      <c r="CG969" s="1" t="s">
        <v>104</v>
      </c>
      <c r="CH969" s="1" t="s">
        <v>104</v>
      </c>
      <c r="CJ969" s="1">
        <v>0</v>
      </c>
      <c r="CK969" s="1">
        <v>0</v>
      </c>
      <c r="CL969" s="1">
        <v>0</v>
      </c>
      <c r="CM969" s="1" t="s">
        <v>104</v>
      </c>
    </row>
    <row r="970" spans="1:91" ht="14.25" customHeight="1" x14ac:dyDescent="0.3">
      <c r="A970" s="1" t="s">
        <v>6028</v>
      </c>
      <c r="B970" s="1" t="s">
        <v>434</v>
      </c>
      <c r="D970" s="1" t="s">
        <v>46</v>
      </c>
      <c r="E970" s="1" t="s">
        <v>6029</v>
      </c>
      <c r="F970" s="1" t="s">
        <v>4934</v>
      </c>
      <c r="G970" s="1" t="s">
        <v>116</v>
      </c>
      <c r="H970" s="1">
        <v>0</v>
      </c>
      <c r="I970" s="1" t="s">
        <v>914</v>
      </c>
      <c r="J970" s="1" t="s">
        <v>6030</v>
      </c>
      <c r="M970" s="1" t="s">
        <v>119</v>
      </c>
      <c r="N970" s="1">
        <v>0</v>
      </c>
      <c r="O970" s="1">
        <v>0</v>
      </c>
      <c r="P970" s="1" t="s">
        <v>550</v>
      </c>
      <c r="Q970" s="1" t="s">
        <v>184</v>
      </c>
      <c r="R970" s="1" t="s">
        <v>6031</v>
      </c>
      <c r="S970" s="1" t="s">
        <v>4201</v>
      </c>
      <c r="T970" s="1">
        <v>1</v>
      </c>
      <c r="U970" s="1">
        <v>1</v>
      </c>
      <c r="V970" s="1">
        <v>0</v>
      </c>
      <c r="W970" s="1">
        <v>0</v>
      </c>
      <c r="X970" s="1">
        <v>0</v>
      </c>
      <c r="Y970" s="1">
        <v>6</v>
      </c>
      <c r="Z970" s="1">
        <v>6</v>
      </c>
      <c r="AA970" s="1">
        <v>6</v>
      </c>
      <c r="AB970" s="1" t="s">
        <v>104</v>
      </c>
      <c r="AC970" s="1" t="s">
        <v>104</v>
      </c>
      <c r="AD970" s="1" t="s">
        <v>104</v>
      </c>
      <c r="AE970" s="1" t="s">
        <v>104</v>
      </c>
      <c r="AF970" s="1" t="s">
        <v>104</v>
      </c>
      <c r="AG970" s="1" t="s">
        <v>104</v>
      </c>
      <c r="AH970" s="1" t="s">
        <v>104</v>
      </c>
      <c r="AI970" s="1" t="s">
        <v>104</v>
      </c>
      <c r="AJ970" s="1">
        <v>6</v>
      </c>
      <c r="AK970" s="1" t="s">
        <v>104</v>
      </c>
      <c r="AL970" s="1" t="s">
        <v>104</v>
      </c>
      <c r="AM970" s="1" t="s">
        <v>104</v>
      </c>
      <c r="AO970" s="1">
        <v>6</v>
      </c>
      <c r="AQ970" s="1" t="s">
        <v>6032</v>
      </c>
      <c r="AR970" s="1">
        <v>0</v>
      </c>
      <c r="AS970" s="1">
        <v>0</v>
      </c>
      <c r="AT970" s="1">
        <v>0</v>
      </c>
      <c r="AU970" s="1">
        <v>1</v>
      </c>
      <c r="AV970" s="1">
        <v>0</v>
      </c>
      <c r="AW970" s="1">
        <v>0</v>
      </c>
      <c r="AX970" s="1">
        <v>0</v>
      </c>
      <c r="AY970" s="1">
        <v>0</v>
      </c>
      <c r="AZ970" s="1">
        <v>0</v>
      </c>
      <c r="BA970" s="1">
        <v>0</v>
      </c>
      <c r="BB970" s="1">
        <v>0</v>
      </c>
      <c r="BC970" s="1">
        <v>0</v>
      </c>
      <c r="BD970" s="1">
        <v>0</v>
      </c>
      <c r="BE970" s="1">
        <v>0</v>
      </c>
      <c r="BF970" s="1">
        <v>0</v>
      </c>
      <c r="BG970" s="1">
        <v>0</v>
      </c>
      <c r="BH970" s="1">
        <v>0</v>
      </c>
      <c r="BI970" s="1">
        <v>0</v>
      </c>
      <c r="BJ970" s="1">
        <v>0</v>
      </c>
      <c r="BK970" s="1">
        <v>0</v>
      </c>
      <c r="BL970" s="1">
        <v>0</v>
      </c>
      <c r="BM970" s="1">
        <v>0</v>
      </c>
      <c r="BN970" s="1">
        <v>0</v>
      </c>
      <c r="BO970" s="1">
        <v>0</v>
      </c>
      <c r="BP970" s="1">
        <v>0</v>
      </c>
      <c r="BQ970" s="2" t="str">
        <f>HYPERLINK("http://www.d20pfsrd.com/magic/all-spells/c/cold-ice-strike","Cold Ice Strike")</f>
        <v>Cold Ice Strike</v>
      </c>
      <c r="BR970" s="1">
        <v>1012</v>
      </c>
      <c r="BS970" s="1" t="s">
        <v>104</v>
      </c>
      <c r="BX970" s="1">
        <v>0</v>
      </c>
      <c r="BY970" s="1" t="s">
        <v>104</v>
      </c>
      <c r="BZ970" s="1" t="s">
        <v>104</v>
      </c>
      <c r="CA970" s="1" t="s">
        <v>104</v>
      </c>
      <c r="CB970" s="1" t="s">
        <v>104</v>
      </c>
      <c r="CC970" s="1" t="s">
        <v>104</v>
      </c>
      <c r="CD970" s="1">
        <v>6</v>
      </c>
      <c r="CE970" s="1" t="s">
        <v>104</v>
      </c>
      <c r="CF970" s="1" t="s">
        <v>104</v>
      </c>
      <c r="CG970" s="1" t="s">
        <v>104</v>
      </c>
      <c r="CH970" s="1" t="s">
        <v>104</v>
      </c>
      <c r="CJ970" s="1">
        <v>0</v>
      </c>
      <c r="CK970" s="1">
        <v>0</v>
      </c>
      <c r="CL970" s="1">
        <v>0</v>
      </c>
      <c r="CM970" s="1" t="s">
        <v>104</v>
      </c>
    </row>
    <row r="971" spans="1:91" ht="14.25" customHeight="1" x14ac:dyDescent="0.3">
      <c r="A971" s="1" t="s">
        <v>6033</v>
      </c>
      <c r="B971" s="1" t="s">
        <v>123</v>
      </c>
      <c r="C971" s="1" t="s">
        <v>124</v>
      </c>
      <c r="D971" s="1" t="s">
        <v>6034</v>
      </c>
      <c r="E971" s="1" t="s">
        <v>6035</v>
      </c>
      <c r="F971" s="1" t="s">
        <v>95</v>
      </c>
      <c r="G971" s="1" t="s">
        <v>116</v>
      </c>
      <c r="H971" s="1">
        <v>0</v>
      </c>
      <c r="I971" s="1" t="s">
        <v>117</v>
      </c>
      <c r="L971" s="1" t="s">
        <v>1065</v>
      </c>
      <c r="M971" s="1" t="s">
        <v>111</v>
      </c>
      <c r="N971" s="1">
        <v>0</v>
      </c>
      <c r="O971" s="1">
        <v>0</v>
      </c>
      <c r="P971" s="1" t="s">
        <v>211</v>
      </c>
      <c r="Q971" s="1" t="s">
        <v>184</v>
      </c>
      <c r="R971" s="1" t="s">
        <v>6036</v>
      </c>
      <c r="S971" s="1" t="s">
        <v>4201</v>
      </c>
      <c r="T971" s="1">
        <v>1</v>
      </c>
      <c r="U971" s="1">
        <v>1</v>
      </c>
      <c r="V971" s="1">
        <v>0</v>
      </c>
      <c r="W971" s="1">
        <v>0</v>
      </c>
      <c r="X971" s="1">
        <v>0</v>
      </c>
      <c r="Y971" s="1">
        <v>2</v>
      </c>
      <c r="Z971" s="1">
        <v>2</v>
      </c>
      <c r="AA971" s="1">
        <v>2</v>
      </c>
      <c r="AB971" s="1" t="s">
        <v>104</v>
      </c>
      <c r="AC971" s="1" t="s">
        <v>104</v>
      </c>
      <c r="AD971" s="1">
        <v>2</v>
      </c>
      <c r="AE971" s="1" t="s">
        <v>104</v>
      </c>
      <c r="AF971" s="1" t="s">
        <v>104</v>
      </c>
      <c r="AG971" s="1" t="s">
        <v>104</v>
      </c>
      <c r="AH971" s="1" t="s">
        <v>104</v>
      </c>
      <c r="AI971" s="1" t="s">
        <v>104</v>
      </c>
      <c r="AJ971" s="1">
        <v>2</v>
      </c>
      <c r="AK971" s="1" t="s">
        <v>104</v>
      </c>
      <c r="AL971" s="1" t="s">
        <v>104</v>
      </c>
      <c r="AM971" s="1" t="s">
        <v>104</v>
      </c>
      <c r="AO971" s="1">
        <v>2</v>
      </c>
      <c r="AQ971" s="1" t="s">
        <v>6037</v>
      </c>
      <c r="AR971" s="1">
        <v>0</v>
      </c>
      <c r="AS971" s="1">
        <v>0</v>
      </c>
      <c r="AT971" s="1">
        <v>0</v>
      </c>
      <c r="AU971" s="1">
        <v>0</v>
      </c>
      <c r="AV971" s="1">
        <v>0</v>
      </c>
      <c r="AW971" s="1">
        <v>0</v>
      </c>
      <c r="AX971" s="1">
        <v>0</v>
      </c>
      <c r="AY971" s="1">
        <v>0</v>
      </c>
      <c r="AZ971" s="1">
        <v>0</v>
      </c>
      <c r="BA971" s="1">
        <v>0</v>
      </c>
      <c r="BB971" s="1">
        <v>1</v>
      </c>
      <c r="BC971" s="1">
        <v>0</v>
      </c>
      <c r="BD971" s="1">
        <v>0</v>
      </c>
      <c r="BE971" s="1">
        <v>0</v>
      </c>
      <c r="BF971" s="1">
        <v>0</v>
      </c>
      <c r="BG971" s="1">
        <v>0</v>
      </c>
      <c r="BH971" s="1">
        <v>0</v>
      </c>
      <c r="BI971" s="1">
        <v>0</v>
      </c>
      <c r="BJ971" s="1">
        <v>0</v>
      </c>
      <c r="BK971" s="1">
        <v>1</v>
      </c>
      <c r="BL971" s="1">
        <v>0</v>
      </c>
      <c r="BM971" s="1">
        <v>0</v>
      </c>
      <c r="BN971" s="1">
        <v>0</v>
      </c>
      <c r="BO971" s="1">
        <v>0</v>
      </c>
      <c r="BP971" s="1">
        <v>0</v>
      </c>
      <c r="BQ971" s="2" t="str">
        <f>HYPERLINK("http://www.d20pfsrd.com/magic/all-spells/c/compassionate-ally","Compassionate Ally")</f>
        <v>Compassionate Ally</v>
      </c>
      <c r="BR971" s="1">
        <v>1013</v>
      </c>
      <c r="BS971" s="1" t="s">
        <v>104</v>
      </c>
      <c r="BX971" s="1">
        <v>0</v>
      </c>
      <c r="BY971" s="1" t="s">
        <v>104</v>
      </c>
      <c r="BZ971" s="1" t="s">
        <v>104</v>
      </c>
      <c r="CA971" s="1">
        <v>2</v>
      </c>
      <c r="CB971" s="1">
        <v>2</v>
      </c>
      <c r="CC971" s="1">
        <v>2</v>
      </c>
      <c r="CD971" s="1" t="s">
        <v>104</v>
      </c>
      <c r="CE971" s="1" t="s">
        <v>104</v>
      </c>
      <c r="CF971" s="1" t="s">
        <v>104</v>
      </c>
      <c r="CG971" s="1" t="s">
        <v>104</v>
      </c>
      <c r="CH971" s="1" t="s">
        <v>104</v>
      </c>
      <c r="CJ971" s="1">
        <v>0</v>
      </c>
      <c r="CK971" s="1">
        <v>0</v>
      </c>
      <c r="CL971" s="1">
        <v>0</v>
      </c>
      <c r="CM971" s="1" t="s">
        <v>104</v>
      </c>
    </row>
    <row r="972" spans="1:91" ht="14.25" customHeight="1" x14ac:dyDescent="0.3">
      <c r="A972" s="1" t="s">
        <v>6038</v>
      </c>
      <c r="B972" s="1" t="s">
        <v>92</v>
      </c>
      <c r="C972" s="1" t="s">
        <v>903</v>
      </c>
      <c r="D972" s="1" t="s">
        <v>43</v>
      </c>
      <c r="E972" s="1" t="s">
        <v>6039</v>
      </c>
      <c r="F972" s="1" t="s">
        <v>255</v>
      </c>
      <c r="G972" s="1" t="s">
        <v>6040</v>
      </c>
      <c r="H972" s="1">
        <v>1</v>
      </c>
      <c r="I972" s="1" t="s">
        <v>6041</v>
      </c>
      <c r="K972" s="1" t="s">
        <v>6042</v>
      </c>
      <c r="M972" s="1" t="s">
        <v>426</v>
      </c>
      <c r="N972" s="1">
        <v>1</v>
      </c>
      <c r="O972" s="1">
        <v>0</v>
      </c>
      <c r="P972" s="1" t="s">
        <v>100</v>
      </c>
      <c r="Q972" s="1" t="s">
        <v>101</v>
      </c>
      <c r="R972" s="1" t="s">
        <v>6043</v>
      </c>
      <c r="S972" s="1" t="s">
        <v>4201</v>
      </c>
      <c r="T972" s="1">
        <v>1</v>
      </c>
      <c r="U972" s="1">
        <v>1</v>
      </c>
      <c r="V972" s="1">
        <v>1</v>
      </c>
      <c r="W972" s="1">
        <v>0</v>
      </c>
      <c r="X972" s="1">
        <v>0</v>
      </c>
      <c r="Y972" s="1">
        <v>6</v>
      </c>
      <c r="Z972" s="1">
        <v>6</v>
      </c>
      <c r="AA972" s="1" t="s">
        <v>104</v>
      </c>
      <c r="AB972" s="1" t="s">
        <v>104</v>
      </c>
      <c r="AC972" s="1" t="s">
        <v>104</v>
      </c>
      <c r="AD972" s="1" t="s">
        <v>104</v>
      </c>
      <c r="AE972" s="1" t="s">
        <v>104</v>
      </c>
      <c r="AF972" s="1" t="s">
        <v>104</v>
      </c>
      <c r="AG972" s="1">
        <v>5</v>
      </c>
      <c r="AH972" s="1" t="s">
        <v>104</v>
      </c>
      <c r="AI972" s="1" t="s">
        <v>104</v>
      </c>
      <c r="AJ972" s="1" t="s">
        <v>104</v>
      </c>
      <c r="AK972" s="1" t="s">
        <v>104</v>
      </c>
      <c r="AL972" s="1" t="s">
        <v>104</v>
      </c>
      <c r="AM972" s="1" t="s">
        <v>104</v>
      </c>
      <c r="AO972" s="1">
        <v>6</v>
      </c>
      <c r="AQ972" s="1" t="s">
        <v>6044</v>
      </c>
      <c r="AR972" s="1">
        <v>1</v>
      </c>
      <c r="AS972" s="1">
        <v>0</v>
      </c>
      <c r="AT972" s="1">
        <v>0</v>
      </c>
      <c r="AU972" s="1">
        <v>0</v>
      </c>
      <c r="AV972" s="1">
        <v>0</v>
      </c>
      <c r="AW972" s="1">
        <v>0</v>
      </c>
      <c r="AX972" s="1">
        <v>0</v>
      </c>
      <c r="AY972" s="1">
        <v>0</v>
      </c>
      <c r="AZ972" s="1">
        <v>0</v>
      </c>
      <c r="BA972" s="1">
        <v>0</v>
      </c>
      <c r="BB972" s="1">
        <v>0</v>
      </c>
      <c r="BC972" s="1">
        <v>0</v>
      </c>
      <c r="BD972" s="1">
        <v>0</v>
      </c>
      <c r="BE972" s="1">
        <v>0</v>
      </c>
      <c r="BF972" s="1">
        <v>0</v>
      </c>
      <c r="BG972" s="1">
        <v>0</v>
      </c>
      <c r="BH972" s="1">
        <v>0</v>
      </c>
      <c r="BI972" s="1">
        <v>0</v>
      </c>
      <c r="BJ972" s="1">
        <v>0</v>
      </c>
      <c r="BK972" s="1">
        <v>0</v>
      </c>
      <c r="BL972" s="1">
        <v>0</v>
      </c>
      <c r="BM972" s="1">
        <v>0</v>
      </c>
      <c r="BN972" s="1">
        <v>0</v>
      </c>
      <c r="BO972" s="1">
        <v>0</v>
      </c>
      <c r="BP972" s="1">
        <v>0</v>
      </c>
      <c r="BQ972" s="2" t="str">
        <f>HYPERLINK("http://www.d20pfsrd.com/magic/all-spells/c/conjure-black-pudding","Conjure Black Pudding")</f>
        <v>Conjure Black Pudding</v>
      </c>
      <c r="BR972" s="1">
        <v>1014</v>
      </c>
      <c r="BS972" s="1">
        <v>10</v>
      </c>
      <c r="BV972" s="1" t="s">
        <v>802</v>
      </c>
      <c r="BW972" s="1" t="s">
        <v>803</v>
      </c>
      <c r="BX972" s="1">
        <v>1</v>
      </c>
      <c r="BY972" s="1" t="s">
        <v>104</v>
      </c>
      <c r="BZ972" s="1" t="s">
        <v>104</v>
      </c>
      <c r="CA972" s="1">
        <v>6</v>
      </c>
      <c r="CB972" s="1" t="s">
        <v>104</v>
      </c>
      <c r="CC972" s="1" t="s">
        <v>104</v>
      </c>
      <c r="CD972" s="1" t="s">
        <v>104</v>
      </c>
      <c r="CE972" s="1" t="s">
        <v>104</v>
      </c>
      <c r="CF972" s="1" t="s">
        <v>104</v>
      </c>
      <c r="CG972" s="1" t="s">
        <v>104</v>
      </c>
      <c r="CH972" s="1" t="s">
        <v>104</v>
      </c>
      <c r="CJ972" s="1">
        <v>0</v>
      </c>
      <c r="CK972" s="1">
        <v>0</v>
      </c>
      <c r="CL972" s="1">
        <v>0</v>
      </c>
      <c r="CM972" s="1">
        <v>5</v>
      </c>
    </row>
    <row r="973" spans="1:91" ht="14.25" customHeight="1" x14ac:dyDescent="0.3">
      <c r="A973" s="1" t="s">
        <v>6045</v>
      </c>
      <c r="B973" s="1" t="s">
        <v>216</v>
      </c>
      <c r="D973" s="1" t="s">
        <v>6046</v>
      </c>
      <c r="E973" s="1" t="s">
        <v>6047</v>
      </c>
      <c r="F973" s="1" t="s">
        <v>95</v>
      </c>
      <c r="G973" s="1" t="s">
        <v>116</v>
      </c>
      <c r="H973" s="1">
        <v>0</v>
      </c>
      <c r="I973" s="1" t="s">
        <v>117</v>
      </c>
      <c r="L973" s="1" t="s">
        <v>417</v>
      </c>
      <c r="M973" s="1" t="s">
        <v>119</v>
      </c>
      <c r="N973" s="1">
        <v>0</v>
      </c>
      <c r="O973" s="1">
        <v>0</v>
      </c>
      <c r="P973" s="1" t="s">
        <v>183</v>
      </c>
      <c r="Q973" s="1" t="s">
        <v>184</v>
      </c>
      <c r="R973" s="1" t="s">
        <v>6048</v>
      </c>
      <c r="S973" s="1" t="s">
        <v>4201</v>
      </c>
      <c r="T973" s="1">
        <v>1</v>
      </c>
      <c r="U973" s="1">
        <v>1</v>
      </c>
      <c r="V973" s="1">
        <v>0</v>
      </c>
      <c r="W973" s="1">
        <v>0</v>
      </c>
      <c r="X973" s="1">
        <v>0</v>
      </c>
      <c r="Y973" s="1">
        <v>6</v>
      </c>
      <c r="Z973" s="1">
        <v>6</v>
      </c>
      <c r="AA973" s="1">
        <v>5</v>
      </c>
      <c r="AB973" s="1">
        <v>5</v>
      </c>
      <c r="AC973" s="1" t="s">
        <v>104</v>
      </c>
      <c r="AD973" s="1" t="s">
        <v>104</v>
      </c>
      <c r="AE973" s="1" t="s">
        <v>104</v>
      </c>
      <c r="AF973" s="1" t="s">
        <v>104</v>
      </c>
      <c r="AG973" s="1" t="s">
        <v>104</v>
      </c>
      <c r="AH973" s="1">
        <v>5</v>
      </c>
      <c r="AI973" s="1" t="s">
        <v>104</v>
      </c>
      <c r="AJ973" s="1">
        <v>5</v>
      </c>
      <c r="AK973" s="1" t="s">
        <v>104</v>
      </c>
      <c r="AL973" s="1" t="s">
        <v>104</v>
      </c>
      <c r="AM973" s="1" t="s">
        <v>104</v>
      </c>
      <c r="AO973" s="1">
        <v>6</v>
      </c>
      <c r="AQ973" s="1" t="s">
        <v>6049</v>
      </c>
      <c r="AR973" s="1">
        <v>0</v>
      </c>
      <c r="AS973" s="1">
        <v>0</v>
      </c>
      <c r="AT973" s="1">
        <v>0</v>
      </c>
      <c r="AU973" s="1">
        <v>0</v>
      </c>
      <c r="AV973" s="1">
        <v>0</v>
      </c>
      <c r="AW973" s="1">
        <v>0</v>
      </c>
      <c r="AX973" s="1">
        <v>0</v>
      </c>
      <c r="AY973" s="1">
        <v>1</v>
      </c>
      <c r="AZ973" s="1">
        <v>0</v>
      </c>
      <c r="BA973" s="1">
        <v>0</v>
      </c>
      <c r="BB973" s="1">
        <v>0</v>
      </c>
      <c r="BC973" s="1">
        <v>1</v>
      </c>
      <c r="BD973" s="1">
        <v>0</v>
      </c>
      <c r="BE973" s="1">
        <v>0</v>
      </c>
      <c r="BF973" s="1">
        <v>0</v>
      </c>
      <c r="BG973" s="1">
        <v>0</v>
      </c>
      <c r="BH973" s="1">
        <v>0</v>
      </c>
      <c r="BI973" s="1">
        <v>0</v>
      </c>
      <c r="BJ973" s="1">
        <v>0</v>
      </c>
      <c r="BK973" s="1">
        <v>0</v>
      </c>
      <c r="BL973" s="1">
        <v>0</v>
      </c>
      <c r="BM973" s="1">
        <v>0</v>
      </c>
      <c r="BN973" s="1">
        <v>0</v>
      </c>
      <c r="BO973" s="1">
        <v>0</v>
      </c>
      <c r="BP973" s="1">
        <v>0</v>
      </c>
      <c r="BQ973" s="2" t="str">
        <f>HYPERLINK("http://www.d20pfsrd.com/magic/all-spells/c/contagion","Contagion, Greater")</f>
        <v>Contagion, Greater</v>
      </c>
      <c r="BR973" s="1">
        <v>1015</v>
      </c>
      <c r="BS973" s="1" t="s">
        <v>104</v>
      </c>
      <c r="BX973" s="1">
        <v>0</v>
      </c>
      <c r="BY973" s="1" t="s">
        <v>104</v>
      </c>
      <c r="BZ973" s="1" t="s">
        <v>104</v>
      </c>
      <c r="CA973" s="1" t="s">
        <v>104</v>
      </c>
      <c r="CB973" s="1" t="s">
        <v>104</v>
      </c>
      <c r="CC973" s="1" t="s">
        <v>104</v>
      </c>
      <c r="CD973" s="1" t="s">
        <v>104</v>
      </c>
      <c r="CE973" s="1" t="s">
        <v>104</v>
      </c>
      <c r="CF973" s="1" t="s">
        <v>104</v>
      </c>
      <c r="CG973" s="1" t="s">
        <v>104</v>
      </c>
      <c r="CH973" s="1">
        <v>5</v>
      </c>
      <c r="CJ973" s="1">
        <v>0</v>
      </c>
      <c r="CK973" s="1">
        <v>0</v>
      </c>
      <c r="CL973" s="1">
        <v>0</v>
      </c>
      <c r="CM973" s="1" t="s">
        <v>104</v>
      </c>
    </row>
    <row r="974" spans="1:91" ht="14.25" customHeight="1" x14ac:dyDescent="0.3">
      <c r="A974" s="1" t="s">
        <v>6050</v>
      </c>
      <c r="B974" s="1" t="s">
        <v>137</v>
      </c>
      <c r="E974" s="1" t="s">
        <v>6051</v>
      </c>
      <c r="F974" s="1" t="s">
        <v>95</v>
      </c>
      <c r="G974" s="1" t="s">
        <v>116</v>
      </c>
      <c r="H974" s="1">
        <v>0</v>
      </c>
      <c r="I974" s="1" t="s">
        <v>117</v>
      </c>
      <c r="L974" s="1" t="s">
        <v>6052</v>
      </c>
      <c r="M974" s="1" t="s">
        <v>210</v>
      </c>
      <c r="N974" s="1">
        <v>0</v>
      </c>
      <c r="O974" s="1">
        <v>0</v>
      </c>
      <c r="P974" s="1" t="s">
        <v>6053</v>
      </c>
      <c r="Q974" s="1" t="s">
        <v>101</v>
      </c>
      <c r="R974" s="1" t="s">
        <v>6054</v>
      </c>
      <c r="S974" s="1" t="s">
        <v>4201</v>
      </c>
      <c r="T974" s="1">
        <v>1</v>
      </c>
      <c r="U974" s="1">
        <v>1</v>
      </c>
      <c r="V974" s="1">
        <v>0</v>
      </c>
      <c r="W974" s="1">
        <v>0</v>
      </c>
      <c r="X974" s="1">
        <v>0</v>
      </c>
      <c r="Y974" s="1">
        <v>7</v>
      </c>
      <c r="Z974" s="1">
        <v>7</v>
      </c>
      <c r="AA974" s="1" t="s">
        <v>104</v>
      </c>
      <c r="AB974" s="1" t="s">
        <v>104</v>
      </c>
      <c r="AC974" s="1" t="s">
        <v>104</v>
      </c>
      <c r="AD974" s="1" t="s">
        <v>104</v>
      </c>
      <c r="AE974" s="1" t="s">
        <v>104</v>
      </c>
      <c r="AF974" s="1" t="s">
        <v>104</v>
      </c>
      <c r="AG974" s="1" t="s">
        <v>104</v>
      </c>
      <c r="AH974" s="1" t="s">
        <v>104</v>
      </c>
      <c r="AI974" s="1" t="s">
        <v>104</v>
      </c>
      <c r="AJ974" s="1" t="s">
        <v>104</v>
      </c>
      <c r="AK974" s="1" t="s">
        <v>104</v>
      </c>
      <c r="AL974" s="1" t="s">
        <v>104</v>
      </c>
      <c r="AM974" s="1" t="s">
        <v>104</v>
      </c>
      <c r="AO974" s="1">
        <v>7</v>
      </c>
      <c r="AQ974" s="1" t="s">
        <v>6055</v>
      </c>
      <c r="AR974" s="1">
        <v>0</v>
      </c>
      <c r="AS974" s="1">
        <v>0</v>
      </c>
      <c r="AT974" s="1">
        <v>0</v>
      </c>
      <c r="AU974" s="1">
        <v>0</v>
      </c>
      <c r="AV974" s="1">
        <v>0</v>
      </c>
      <c r="AW974" s="1">
        <v>0</v>
      </c>
      <c r="AX974" s="1">
        <v>0</v>
      </c>
      <c r="AY974" s="1">
        <v>0</v>
      </c>
      <c r="AZ974" s="1">
        <v>0</v>
      </c>
      <c r="BA974" s="1">
        <v>0</v>
      </c>
      <c r="BB974" s="1">
        <v>0</v>
      </c>
      <c r="BC974" s="1">
        <v>0</v>
      </c>
      <c r="BD974" s="1">
        <v>0</v>
      </c>
      <c r="BE974" s="1">
        <v>0</v>
      </c>
      <c r="BF974" s="1">
        <v>0</v>
      </c>
      <c r="BG974" s="1">
        <v>0</v>
      </c>
      <c r="BH974" s="1">
        <v>0</v>
      </c>
      <c r="BI974" s="1">
        <v>0</v>
      </c>
      <c r="BJ974" s="1">
        <v>0</v>
      </c>
      <c r="BK974" s="1">
        <v>0</v>
      </c>
      <c r="BL974" s="1">
        <v>0</v>
      </c>
      <c r="BM974" s="1">
        <v>0</v>
      </c>
      <c r="BN974" s="1">
        <v>0</v>
      </c>
      <c r="BO974" s="1">
        <v>0</v>
      </c>
      <c r="BP974" s="1">
        <v>0</v>
      </c>
      <c r="BQ974" s="2" t="str">
        <f>HYPERLINK("http://www.d20pfsrd.com/magic/all-spells/c/control-construct","Control Construct")</f>
        <v>Control Construct</v>
      </c>
      <c r="BR974" s="1">
        <v>1016</v>
      </c>
      <c r="BS974" s="1" t="s">
        <v>104</v>
      </c>
      <c r="BX974" s="1">
        <v>0</v>
      </c>
      <c r="BY974" s="1" t="s">
        <v>104</v>
      </c>
      <c r="BZ974" s="1" t="s">
        <v>104</v>
      </c>
      <c r="CA974" s="1" t="s">
        <v>104</v>
      </c>
      <c r="CB974" s="1" t="s">
        <v>104</v>
      </c>
      <c r="CC974" s="1" t="s">
        <v>104</v>
      </c>
      <c r="CD974" s="1">
        <v>6</v>
      </c>
      <c r="CE974" s="1" t="s">
        <v>104</v>
      </c>
      <c r="CF974" s="1" t="s">
        <v>104</v>
      </c>
      <c r="CG974" s="1" t="s">
        <v>104</v>
      </c>
      <c r="CH974" s="1" t="s">
        <v>104</v>
      </c>
      <c r="CJ974" s="1">
        <v>0</v>
      </c>
      <c r="CK974" s="1">
        <v>0</v>
      </c>
      <c r="CL974" s="1">
        <v>0</v>
      </c>
      <c r="CM974" s="1" t="s">
        <v>104</v>
      </c>
    </row>
    <row r="975" spans="1:91" ht="14.25" customHeight="1" x14ac:dyDescent="0.3">
      <c r="A975" s="1" t="s">
        <v>6056</v>
      </c>
      <c r="B975" s="1" t="s">
        <v>123</v>
      </c>
      <c r="C975" s="1" t="s">
        <v>124</v>
      </c>
      <c r="D975" s="1" t="s">
        <v>125</v>
      </c>
      <c r="E975" s="1" t="s">
        <v>6057</v>
      </c>
      <c r="F975" s="1" t="s">
        <v>95</v>
      </c>
      <c r="G975" s="1" t="s">
        <v>116</v>
      </c>
      <c r="H975" s="1">
        <v>0</v>
      </c>
      <c r="I975" s="1" t="s">
        <v>117</v>
      </c>
      <c r="L975" s="1" t="s">
        <v>3656</v>
      </c>
      <c r="M975" s="1" t="s">
        <v>111</v>
      </c>
      <c r="N975" s="1">
        <v>0</v>
      </c>
      <c r="O975" s="1">
        <v>0</v>
      </c>
      <c r="P975" s="1" t="s">
        <v>211</v>
      </c>
      <c r="Q975" s="1" t="s">
        <v>184</v>
      </c>
      <c r="R975" s="1" t="s">
        <v>6058</v>
      </c>
      <c r="S975" s="1" t="s">
        <v>4201</v>
      </c>
      <c r="T975" s="1">
        <v>1</v>
      </c>
      <c r="U975" s="1">
        <v>1</v>
      </c>
      <c r="V975" s="1">
        <v>0</v>
      </c>
      <c r="W975" s="1">
        <v>0</v>
      </c>
      <c r="X975" s="1">
        <v>0</v>
      </c>
      <c r="Y975" s="1">
        <v>4</v>
      </c>
      <c r="Z975" s="1">
        <v>4</v>
      </c>
      <c r="AA975" s="1">
        <v>4</v>
      </c>
      <c r="AB975" s="1" t="s">
        <v>104</v>
      </c>
      <c r="AC975" s="1" t="s">
        <v>104</v>
      </c>
      <c r="AD975" s="1">
        <v>3</v>
      </c>
      <c r="AE975" s="1" t="s">
        <v>104</v>
      </c>
      <c r="AF975" s="1" t="s">
        <v>104</v>
      </c>
      <c r="AG975" s="1">
        <v>3</v>
      </c>
      <c r="AH975" s="1" t="s">
        <v>104</v>
      </c>
      <c r="AI975" s="1" t="s">
        <v>104</v>
      </c>
      <c r="AJ975" s="1">
        <v>4</v>
      </c>
      <c r="AK975" s="1" t="s">
        <v>104</v>
      </c>
      <c r="AL975" s="1" t="s">
        <v>104</v>
      </c>
      <c r="AM975" s="1" t="s">
        <v>104</v>
      </c>
      <c r="AO975" s="1">
        <v>4</v>
      </c>
      <c r="AQ975" s="1" t="s">
        <v>6059</v>
      </c>
      <c r="AR975" s="1">
        <v>0</v>
      </c>
      <c r="AS975" s="1">
        <v>0</v>
      </c>
      <c r="AT975" s="1">
        <v>0</v>
      </c>
      <c r="AU975" s="1">
        <v>0</v>
      </c>
      <c r="AV975" s="1">
        <v>0</v>
      </c>
      <c r="AW975" s="1">
        <v>0</v>
      </c>
      <c r="AX975" s="1">
        <v>0</v>
      </c>
      <c r="AY975" s="1">
        <v>0</v>
      </c>
      <c r="AZ975" s="1">
        <v>0</v>
      </c>
      <c r="BA975" s="1">
        <v>0</v>
      </c>
      <c r="BB975" s="1">
        <v>0</v>
      </c>
      <c r="BC975" s="1">
        <v>0</v>
      </c>
      <c r="BD975" s="1">
        <v>0</v>
      </c>
      <c r="BE975" s="1">
        <v>0</v>
      </c>
      <c r="BF975" s="1">
        <v>0</v>
      </c>
      <c r="BG975" s="1">
        <v>0</v>
      </c>
      <c r="BH975" s="1">
        <v>0</v>
      </c>
      <c r="BI975" s="1">
        <v>0</v>
      </c>
      <c r="BJ975" s="1">
        <v>0</v>
      </c>
      <c r="BK975" s="1">
        <v>1</v>
      </c>
      <c r="BL975" s="1">
        <v>0</v>
      </c>
      <c r="BM975" s="1">
        <v>0</v>
      </c>
      <c r="BN975" s="1">
        <v>0</v>
      </c>
      <c r="BO975" s="1">
        <v>0</v>
      </c>
      <c r="BP975" s="1">
        <v>0</v>
      </c>
      <c r="BQ975" s="2" t="str">
        <f>HYPERLINK("http://www.d20pfsrd.com/magic/all-spells/c/control-summoned-creature","Control Summoned Creature")</f>
        <v>Control Summoned Creature</v>
      </c>
      <c r="BR975" s="1">
        <v>1017</v>
      </c>
      <c r="BS975" s="1" t="s">
        <v>104</v>
      </c>
      <c r="BU975" s="1" t="s">
        <v>6060</v>
      </c>
      <c r="BX975" s="1">
        <v>0</v>
      </c>
      <c r="BY975" s="1" t="s">
        <v>104</v>
      </c>
      <c r="BZ975" s="1" t="s">
        <v>104</v>
      </c>
      <c r="CA975" s="1">
        <v>4</v>
      </c>
      <c r="CB975" s="1" t="s">
        <v>104</v>
      </c>
      <c r="CC975" s="1">
        <v>3</v>
      </c>
      <c r="CD975" s="1">
        <v>3</v>
      </c>
      <c r="CE975" s="1" t="s">
        <v>104</v>
      </c>
      <c r="CF975" s="1" t="s">
        <v>104</v>
      </c>
      <c r="CG975" s="1" t="s">
        <v>104</v>
      </c>
      <c r="CH975" s="1" t="s">
        <v>104</v>
      </c>
      <c r="CJ975" s="1">
        <v>0</v>
      </c>
      <c r="CK975" s="1">
        <v>0</v>
      </c>
      <c r="CL975" s="1">
        <v>0</v>
      </c>
      <c r="CM975" s="1">
        <v>3</v>
      </c>
    </row>
    <row r="976" spans="1:91" ht="14.25" customHeight="1" x14ac:dyDescent="0.3">
      <c r="A976" s="1" t="s">
        <v>6061</v>
      </c>
      <c r="B976" s="1" t="s">
        <v>92</v>
      </c>
      <c r="C976" s="1" t="s">
        <v>93</v>
      </c>
      <c r="D976" s="1" t="s">
        <v>43</v>
      </c>
      <c r="E976" s="1" t="s">
        <v>5840</v>
      </c>
      <c r="F976" s="1" t="s">
        <v>95</v>
      </c>
      <c r="G976" s="1" t="s">
        <v>116</v>
      </c>
      <c r="H976" s="1">
        <v>0</v>
      </c>
      <c r="I976" s="1" t="s">
        <v>128</v>
      </c>
      <c r="L976" s="1" t="s">
        <v>374</v>
      </c>
      <c r="M976" s="1" t="s">
        <v>1519</v>
      </c>
      <c r="N976" s="1">
        <v>0</v>
      </c>
      <c r="O976" s="1">
        <v>0</v>
      </c>
      <c r="P976" s="1" t="s">
        <v>100</v>
      </c>
      <c r="Q976" s="1" t="s">
        <v>184</v>
      </c>
      <c r="R976" s="1" t="s">
        <v>6062</v>
      </c>
      <c r="S976" s="1" t="s">
        <v>4201</v>
      </c>
      <c r="T976" s="1">
        <v>1</v>
      </c>
      <c r="U976" s="1">
        <v>1</v>
      </c>
      <c r="V976" s="1">
        <v>0</v>
      </c>
      <c r="W976" s="1">
        <v>0</v>
      </c>
      <c r="X976" s="1">
        <v>0</v>
      </c>
      <c r="Y976" s="1">
        <v>5</v>
      </c>
      <c r="Z976" s="1">
        <v>5</v>
      </c>
      <c r="AA976" s="1" t="s">
        <v>104</v>
      </c>
      <c r="AB976" s="1" t="s">
        <v>104</v>
      </c>
      <c r="AC976" s="1" t="s">
        <v>104</v>
      </c>
      <c r="AD976" s="1" t="s">
        <v>104</v>
      </c>
      <c r="AE976" s="1" t="s">
        <v>104</v>
      </c>
      <c r="AF976" s="1" t="s">
        <v>104</v>
      </c>
      <c r="AG976" s="1" t="s">
        <v>104</v>
      </c>
      <c r="AH976" s="1" t="s">
        <v>104</v>
      </c>
      <c r="AI976" s="1" t="s">
        <v>104</v>
      </c>
      <c r="AJ976" s="1" t="s">
        <v>104</v>
      </c>
      <c r="AK976" s="1" t="s">
        <v>104</v>
      </c>
      <c r="AL976" s="1">
        <v>5</v>
      </c>
      <c r="AM976" s="1" t="s">
        <v>104</v>
      </c>
      <c r="AO976" s="1">
        <v>5</v>
      </c>
      <c r="AP976" s="1" t="s">
        <v>6063</v>
      </c>
      <c r="AQ976" s="1" t="s">
        <v>6064</v>
      </c>
      <c r="AR976" s="1">
        <v>1</v>
      </c>
      <c r="AS976" s="1">
        <v>0</v>
      </c>
      <c r="AT976" s="1">
        <v>0</v>
      </c>
      <c r="AU976" s="1">
        <v>0</v>
      </c>
      <c r="AV976" s="1">
        <v>0</v>
      </c>
      <c r="AW976" s="1">
        <v>0</v>
      </c>
      <c r="AX976" s="1">
        <v>0</v>
      </c>
      <c r="AY976" s="1">
        <v>0</v>
      </c>
      <c r="AZ976" s="1">
        <v>0</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2" t="str">
        <f>HYPERLINK("http://www.d20pfsrd.com/magic/all-spells/c/corrosive-consumption","Corrosive Consumption")</f>
        <v>Corrosive Consumption</v>
      </c>
      <c r="BR976" s="1">
        <v>1018</v>
      </c>
      <c r="BS976" s="1" t="s">
        <v>104</v>
      </c>
      <c r="BX976" s="1">
        <v>0</v>
      </c>
      <c r="BY976" s="1" t="s">
        <v>104</v>
      </c>
      <c r="BZ976" s="1" t="s">
        <v>104</v>
      </c>
      <c r="CA976" s="1" t="s">
        <v>104</v>
      </c>
      <c r="CB976" s="1" t="s">
        <v>104</v>
      </c>
      <c r="CC976" s="1" t="s">
        <v>104</v>
      </c>
      <c r="CD976" s="1" t="s">
        <v>104</v>
      </c>
      <c r="CE976" s="1" t="s">
        <v>104</v>
      </c>
      <c r="CF976" s="1" t="s">
        <v>104</v>
      </c>
      <c r="CG976" s="1" t="s">
        <v>104</v>
      </c>
      <c r="CH976" s="1" t="s">
        <v>104</v>
      </c>
      <c r="CJ976" s="1">
        <v>0</v>
      </c>
      <c r="CK976" s="1">
        <v>0</v>
      </c>
      <c r="CL976" s="1">
        <v>0</v>
      </c>
      <c r="CM976" s="1" t="s">
        <v>104</v>
      </c>
    </row>
    <row r="977" spans="1:91" ht="14.25" customHeight="1" x14ac:dyDescent="0.3">
      <c r="A977" s="1" t="s">
        <v>6065</v>
      </c>
      <c r="B977" s="1" t="s">
        <v>92</v>
      </c>
      <c r="C977" s="1" t="s">
        <v>93</v>
      </c>
      <c r="D977" s="1" t="s">
        <v>43</v>
      </c>
      <c r="E977" s="1" t="s">
        <v>6066</v>
      </c>
      <c r="F977" s="1" t="s">
        <v>95</v>
      </c>
      <c r="G977" s="1" t="s">
        <v>116</v>
      </c>
      <c r="H977" s="1">
        <v>0</v>
      </c>
      <c r="I977" s="1" t="s">
        <v>128</v>
      </c>
      <c r="L977" s="1" t="s">
        <v>2630</v>
      </c>
      <c r="M977" s="1" t="s">
        <v>119</v>
      </c>
      <c r="N977" s="1">
        <v>0</v>
      </c>
      <c r="O977" s="1">
        <v>0</v>
      </c>
      <c r="P977" s="1" t="s">
        <v>100</v>
      </c>
      <c r="Q977" s="1" t="s">
        <v>184</v>
      </c>
      <c r="R977" s="1" t="s">
        <v>6067</v>
      </c>
      <c r="S977" s="1" t="s">
        <v>4201</v>
      </c>
      <c r="T977" s="1">
        <v>1</v>
      </c>
      <c r="U977" s="1">
        <v>1</v>
      </c>
      <c r="V977" s="1">
        <v>0</v>
      </c>
      <c r="W977" s="1">
        <v>0</v>
      </c>
      <c r="X977" s="1">
        <v>0</v>
      </c>
      <c r="Y977" s="1">
        <v>1</v>
      </c>
      <c r="Z977" s="1">
        <v>1</v>
      </c>
      <c r="AA977" s="1" t="s">
        <v>104</v>
      </c>
      <c r="AB977" s="1" t="s">
        <v>104</v>
      </c>
      <c r="AC977" s="1" t="s">
        <v>104</v>
      </c>
      <c r="AD977" s="1" t="s">
        <v>104</v>
      </c>
      <c r="AE977" s="1" t="s">
        <v>104</v>
      </c>
      <c r="AF977" s="1" t="s">
        <v>104</v>
      </c>
      <c r="AG977" s="1">
        <v>1</v>
      </c>
      <c r="AH977" s="1" t="s">
        <v>104</v>
      </c>
      <c r="AI977" s="1" t="s">
        <v>104</v>
      </c>
      <c r="AJ977" s="1" t="s">
        <v>104</v>
      </c>
      <c r="AK977" s="1" t="s">
        <v>104</v>
      </c>
      <c r="AL977" s="1">
        <v>1</v>
      </c>
      <c r="AM977" s="1" t="s">
        <v>104</v>
      </c>
      <c r="AO977" s="1">
        <v>1</v>
      </c>
      <c r="AQ977" s="1" t="s">
        <v>6068</v>
      </c>
      <c r="AR977" s="1">
        <v>1</v>
      </c>
      <c r="AS977" s="1">
        <v>0</v>
      </c>
      <c r="AT977" s="1">
        <v>0</v>
      </c>
      <c r="AU977" s="1">
        <v>0</v>
      </c>
      <c r="AV977" s="1">
        <v>0</v>
      </c>
      <c r="AW977" s="1">
        <v>0</v>
      </c>
      <c r="AX977" s="1">
        <v>0</v>
      </c>
      <c r="AY977" s="1">
        <v>0</v>
      </c>
      <c r="AZ977" s="1">
        <v>0</v>
      </c>
      <c r="BA977" s="1">
        <v>0</v>
      </c>
      <c r="BB977" s="1">
        <v>0</v>
      </c>
      <c r="BC977" s="1">
        <v>0</v>
      </c>
      <c r="BD977" s="1">
        <v>0</v>
      </c>
      <c r="BE977" s="1">
        <v>0</v>
      </c>
      <c r="BF977" s="1">
        <v>0</v>
      </c>
      <c r="BG977" s="1">
        <v>0</v>
      </c>
      <c r="BH977" s="1">
        <v>0</v>
      </c>
      <c r="BI977" s="1">
        <v>0</v>
      </c>
      <c r="BJ977" s="1">
        <v>0</v>
      </c>
      <c r="BK977" s="1">
        <v>0</v>
      </c>
      <c r="BL977" s="1">
        <v>0</v>
      </c>
      <c r="BM977" s="1">
        <v>0</v>
      </c>
      <c r="BN977" s="1">
        <v>0</v>
      </c>
      <c r="BO977" s="1">
        <v>0</v>
      </c>
      <c r="BP977" s="1">
        <v>0</v>
      </c>
      <c r="BQ977" s="2" t="str">
        <f>HYPERLINK("http://www.d20pfsrd.com/magic/all-spells/c/corrosive-touch","Corrosive Touch")</f>
        <v>Corrosive Touch</v>
      </c>
      <c r="BR977" s="1">
        <v>1019</v>
      </c>
      <c r="BS977" s="1" t="s">
        <v>104</v>
      </c>
      <c r="BX977" s="1">
        <v>0</v>
      </c>
      <c r="BY977" s="1">
        <v>1</v>
      </c>
      <c r="BZ977" s="1" t="s">
        <v>104</v>
      </c>
      <c r="CA977" s="1" t="s">
        <v>104</v>
      </c>
      <c r="CB977" s="1" t="s">
        <v>104</v>
      </c>
      <c r="CC977" s="1" t="s">
        <v>104</v>
      </c>
      <c r="CD977" s="1" t="s">
        <v>104</v>
      </c>
      <c r="CE977" s="1" t="s">
        <v>104</v>
      </c>
      <c r="CF977" s="1" t="s">
        <v>104</v>
      </c>
      <c r="CG977" s="1" t="s">
        <v>104</v>
      </c>
      <c r="CH977" s="1" t="s">
        <v>104</v>
      </c>
      <c r="CJ977" s="1">
        <v>0</v>
      </c>
      <c r="CK977" s="1">
        <v>0</v>
      </c>
      <c r="CL977" s="1">
        <v>0</v>
      </c>
      <c r="CM977" s="1">
        <v>1</v>
      </c>
    </row>
    <row r="978" spans="1:91" ht="14.25" customHeight="1" x14ac:dyDescent="0.3">
      <c r="A978" s="1" t="s">
        <v>6069</v>
      </c>
      <c r="B978" s="1" t="s">
        <v>137</v>
      </c>
      <c r="E978" s="1" t="s">
        <v>6070</v>
      </c>
      <c r="F978" s="1" t="s">
        <v>95</v>
      </c>
      <c r="G978" s="1" t="s">
        <v>116</v>
      </c>
      <c r="H978" s="1">
        <v>0</v>
      </c>
      <c r="I978" s="1" t="s">
        <v>128</v>
      </c>
      <c r="L978" s="1" t="s">
        <v>374</v>
      </c>
      <c r="M978" s="1" t="s">
        <v>201</v>
      </c>
      <c r="N978" s="1">
        <v>0</v>
      </c>
      <c r="O978" s="1">
        <v>0</v>
      </c>
      <c r="P978" s="1" t="s">
        <v>375</v>
      </c>
      <c r="Q978" s="1" t="s">
        <v>131</v>
      </c>
      <c r="R978" s="1" t="s">
        <v>6071</v>
      </c>
      <c r="S978" s="1" t="s">
        <v>4201</v>
      </c>
      <c r="T978" s="1">
        <v>1</v>
      </c>
      <c r="U978" s="1">
        <v>1</v>
      </c>
      <c r="V978" s="1">
        <v>0</v>
      </c>
      <c r="W978" s="1">
        <v>0</v>
      </c>
      <c r="X978" s="1">
        <v>0</v>
      </c>
      <c r="Y978" s="1">
        <v>3</v>
      </c>
      <c r="Z978" s="1">
        <v>3</v>
      </c>
      <c r="AA978" s="1" t="s">
        <v>104</v>
      </c>
      <c r="AB978" s="1" t="s">
        <v>104</v>
      </c>
      <c r="AC978" s="1" t="s">
        <v>104</v>
      </c>
      <c r="AD978" s="1" t="s">
        <v>104</v>
      </c>
      <c r="AE978" s="1" t="s">
        <v>104</v>
      </c>
      <c r="AF978" s="1">
        <v>3</v>
      </c>
      <c r="AG978" s="1" t="s">
        <v>104</v>
      </c>
      <c r="AH978" s="1">
        <v>3</v>
      </c>
      <c r="AI978" s="1">
        <v>3</v>
      </c>
      <c r="AJ978" s="1" t="s">
        <v>104</v>
      </c>
      <c r="AK978" s="1" t="s">
        <v>104</v>
      </c>
      <c r="AL978" s="1" t="s">
        <v>104</v>
      </c>
      <c r="AM978" s="1" t="s">
        <v>104</v>
      </c>
      <c r="AO978" s="1">
        <v>3</v>
      </c>
      <c r="AQ978" s="1" t="s">
        <v>6072</v>
      </c>
      <c r="AR978" s="1">
        <v>0</v>
      </c>
      <c r="AS978" s="1">
        <v>0</v>
      </c>
      <c r="AT978" s="1">
        <v>0</v>
      </c>
      <c r="AU978" s="1">
        <v>0</v>
      </c>
      <c r="AV978" s="1">
        <v>0</v>
      </c>
      <c r="AW978" s="1">
        <v>0</v>
      </c>
      <c r="AX978" s="1">
        <v>0</v>
      </c>
      <c r="AY978" s="1">
        <v>0</v>
      </c>
      <c r="AZ978" s="1">
        <v>0</v>
      </c>
      <c r="BA978" s="1">
        <v>0</v>
      </c>
      <c r="BB978" s="1">
        <v>0</v>
      </c>
      <c r="BC978" s="1">
        <v>0</v>
      </c>
      <c r="BD978" s="1">
        <v>0</v>
      </c>
      <c r="BE978" s="1">
        <v>0</v>
      </c>
      <c r="BF978" s="1">
        <v>0</v>
      </c>
      <c r="BG978" s="1">
        <v>0</v>
      </c>
      <c r="BH978" s="1">
        <v>0</v>
      </c>
      <c r="BI978" s="1">
        <v>0</v>
      </c>
      <c r="BJ978" s="1">
        <v>0</v>
      </c>
      <c r="BK978" s="1">
        <v>0</v>
      </c>
      <c r="BL978" s="1">
        <v>0</v>
      </c>
      <c r="BM978" s="1">
        <v>0</v>
      </c>
      <c r="BN978" s="1">
        <v>0</v>
      </c>
      <c r="BO978" s="1">
        <v>0</v>
      </c>
      <c r="BP978" s="1">
        <v>0</v>
      </c>
      <c r="BQ978" s="2" t="str">
        <f>HYPERLINK("http://www.d20pfsrd.com/magic/all-spells/c/countless-eyes","Countless Eyes")</f>
        <v>Countless Eyes</v>
      </c>
      <c r="BR978" s="1">
        <v>1020</v>
      </c>
      <c r="BS978" s="1" t="s">
        <v>104</v>
      </c>
      <c r="BX978" s="1">
        <v>0</v>
      </c>
      <c r="BY978" s="1">
        <v>3</v>
      </c>
      <c r="BZ978" s="1" t="s">
        <v>104</v>
      </c>
      <c r="CA978" s="1">
        <v>3</v>
      </c>
      <c r="CB978" s="1" t="s">
        <v>104</v>
      </c>
      <c r="CC978" s="1" t="s">
        <v>104</v>
      </c>
      <c r="CD978" s="1">
        <v>3</v>
      </c>
      <c r="CE978" s="1" t="s">
        <v>104</v>
      </c>
      <c r="CF978" s="1" t="s">
        <v>104</v>
      </c>
      <c r="CG978" s="1" t="s">
        <v>104</v>
      </c>
      <c r="CH978" s="1" t="s">
        <v>104</v>
      </c>
      <c r="CJ978" s="1">
        <v>0</v>
      </c>
      <c r="CK978" s="1">
        <v>0</v>
      </c>
      <c r="CL978" s="1">
        <v>0</v>
      </c>
      <c r="CM978" s="1" t="s">
        <v>104</v>
      </c>
    </row>
    <row r="979" spans="1:91" ht="14.25" customHeight="1" x14ac:dyDescent="0.3">
      <c r="A979" s="1" t="s">
        <v>6073</v>
      </c>
      <c r="B979" s="1" t="s">
        <v>92</v>
      </c>
      <c r="C979" s="1" t="s">
        <v>93</v>
      </c>
      <c r="E979" s="1" t="s">
        <v>6074</v>
      </c>
      <c r="F979" s="1" t="s">
        <v>6075</v>
      </c>
      <c r="G979" s="1" t="s">
        <v>6076</v>
      </c>
      <c r="H979" s="1">
        <v>1</v>
      </c>
      <c r="I979" s="1" t="s">
        <v>705</v>
      </c>
      <c r="K979" s="1" t="s">
        <v>6077</v>
      </c>
      <c r="M979" s="1" t="s">
        <v>6078</v>
      </c>
      <c r="N979" s="1">
        <v>0</v>
      </c>
      <c r="O979" s="1">
        <v>0</v>
      </c>
      <c r="P979" s="1" t="s">
        <v>100</v>
      </c>
      <c r="Q979" s="1" t="s">
        <v>101</v>
      </c>
      <c r="R979" s="1" t="s">
        <v>6079</v>
      </c>
      <c r="S979" s="1" t="s">
        <v>4201</v>
      </c>
      <c r="T979" s="1">
        <v>1</v>
      </c>
      <c r="U979" s="1">
        <v>1</v>
      </c>
      <c r="V979" s="1">
        <v>0</v>
      </c>
      <c r="W979" s="1">
        <v>0</v>
      </c>
      <c r="X979" s="1">
        <v>0</v>
      </c>
      <c r="Y979" s="1">
        <v>8</v>
      </c>
      <c r="Z979" s="1">
        <v>8</v>
      </c>
      <c r="AA979" s="1">
        <v>8</v>
      </c>
      <c r="AB979" s="1" t="s">
        <v>104</v>
      </c>
      <c r="AC979" s="1" t="s">
        <v>104</v>
      </c>
      <c r="AD979" s="1" t="s">
        <v>104</v>
      </c>
      <c r="AE979" s="1" t="s">
        <v>104</v>
      </c>
      <c r="AF979" s="1" t="s">
        <v>104</v>
      </c>
      <c r="AG979" s="1">
        <v>6</v>
      </c>
      <c r="AH979" s="1">
        <v>8</v>
      </c>
      <c r="AI979" s="1" t="s">
        <v>104</v>
      </c>
      <c r="AJ979" s="1">
        <v>8</v>
      </c>
      <c r="AK979" s="1" t="s">
        <v>104</v>
      </c>
      <c r="AL979" s="1" t="s">
        <v>104</v>
      </c>
      <c r="AM979" s="1" t="s">
        <v>104</v>
      </c>
      <c r="AO979" s="1">
        <v>8</v>
      </c>
      <c r="AP979" s="1" t="s">
        <v>6080</v>
      </c>
      <c r="AQ979" s="1" t="s">
        <v>6081</v>
      </c>
      <c r="AR979" s="1">
        <v>0</v>
      </c>
      <c r="AS979" s="1">
        <v>0</v>
      </c>
      <c r="AT979" s="1">
        <v>0</v>
      </c>
      <c r="AU979" s="1">
        <v>0</v>
      </c>
      <c r="AV979" s="1">
        <v>0</v>
      </c>
      <c r="AW979" s="1">
        <v>0</v>
      </c>
      <c r="AX979" s="1">
        <v>0</v>
      </c>
      <c r="AY979" s="1">
        <v>0</v>
      </c>
      <c r="AZ979" s="1">
        <v>0</v>
      </c>
      <c r="BA979" s="1">
        <v>0</v>
      </c>
      <c r="BB979" s="1">
        <v>0</v>
      </c>
      <c r="BC979" s="1">
        <v>0</v>
      </c>
      <c r="BD979" s="1">
        <v>0</v>
      </c>
      <c r="BE979" s="1">
        <v>0</v>
      </c>
      <c r="BF979" s="1">
        <v>0</v>
      </c>
      <c r="BG979" s="1">
        <v>0</v>
      </c>
      <c r="BH979" s="1">
        <v>0</v>
      </c>
      <c r="BI979" s="1">
        <v>0</v>
      </c>
      <c r="BJ979" s="1">
        <v>0</v>
      </c>
      <c r="BK979" s="1">
        <v>0</v>
      </c>
      <c r="BL979" s="1">
        <v>0</v>
      </c>
      <c r="BM979" s="1">
        <v>0</v>
      </c>
      <c r="BN979" s="1">
        <v>0</v>
      </c>
      <c r="BO979" s="1">
        <v>0</v>
      </c>
      <c r="BP979" s="1">
        <v>0</v>
      </c>
      <c r="BQ979" s="2" t="str">
        <f>HYPERLINK("http://www.d20pfsrd.com/magic/all-spells/c/create-demiplane","Create Demiplane")</f>
        <v>Create Demiplane</v>
      </c>
      <c r="BR979" s="1">
        <v>1021</v>
      </c>
      <c r="BS979" s="1">
        <v>500</v>
      </c>
      <c r="BT979" s="1" t="s">
        <v>6082</v>
      </c>
      <c r="BX979" s="1">
        <v>0</v>
      </c>
      <c r="BY979" s="1" t="s">
        <v>104</v>
      </c>
      <c r="BZ979" s="1" t="s">
        <v>104</v>
      </c>
      <c r="CA979" s="1">
        <v>8</v>
      </c>
      <c r="CB979" s="1" t="s">
        <v>104</v>
      </c>
      <c r="CC979" s="1" t="s">
        <v>104</v>
      </c>
      <c r="CD979" s="1">
        <v>6</v>
      </c>
      <c r="CE979" s="1" t="s">
        <v>104</v>
      </c>
      <c r="CF979" s="1" t="s">
        <v>104</v>
      </c>
      <c r="CG979" s="1" t="s">
        <v>104</v>
      </c>
      <c r="CH979" s="1" t="s">
        <v>104</v>
      </c>
      <c r="CJ979" s="1">
        <v>0</v>
      </c>
      <c r="CK979" s="1">
        <v>0</v>
      </c>
      <c r="CL979" s="1">
        <v>0</v>
      </c>
      <c r="CM979" s="1">
        <v>6</v>
      </c>
    </row>
    <row r="980" spans="1:91" ht="14.25" customHeight="1" x14ac:dyDescent="0.3">
      <c r="A980" s="1" t="s">
        <v>6083</v>
      </c>
      <c r="B980" s="1" t="s">
        <v>92</v>
      </c>
      <c r="C980" s="1" t="s">
        <v>93</v>
      </c>
      <c r="E980" s="1" t="s">
        <v>6084</v>
      </c>
      <c r="F980" s="1" t="s">
        <v>6085</v>
      </c>
      <c r="G980" s="1" t="s">
        <v>6076</v>
      </c>
      <c r="H980" s="1">
        <v>1</v>
      </c>
      <c r="I980" s="1" t="s">
        <v>705</v>
      </c>
      <c r="K980" s="1" t="s">
        <v>6086</v>
      </c>
      <c r="M980" s="1" t="s">
        <v>194</v>
      </c>
      <c r="N980" s="1">
        <v>0</v>
      </c>
      <c r="O980" s="1">
        <v>0</v>
      </c>
      <c r="P980" s="1" t="s">
        <v>100</v>
      </c>
      <c r="Q980" s="1" t="s">
        <v>101</v>
      </c>
      <c r="R980" s="1" t="s">
        <v>6087</v>
      </c>
      <c r="S980" s="1" t="s">
        <v>4201</v>
      </c>
      <c r="T980" s="1">
        <v>1</v>
      </c>
      <c r="U980" s="1">
        <v>1</v>
      </c>
      <c r="V980" s="1">
        <v>0</v>
      </c>
      <c r="W980" s="1">
        <v>0</v>
      </c>
      <c r="X980" s="1">
        <v>0</v>
      </c>
      <c r="Y980" s="1">
        <v>7</v>
      </c>
      <c r="Z980" s="1">
        <v>7</v>
      </c>
      <c r="AA980" s="1">
        <v>7</v>
      </c>
      <c r="AB980" s="1" t="s">
        <v>104</v>
      </c>
      <c r="AC980" s="1" t="s">
        <v>104</v>
      </c>
      <c r="AD980" s="1" t="s">
        <v>104</v>
      </c>
      <c r="AE980" s="1" t="s">
        <v>104</v>
      </c>
      <c r="AF980" s="1" t="s">
        <v>104</v>
      </c>
      <c r="AG980" s="1">
        <v>5</v>
      </c>
      <c r="AH980" s="1">
        <v>7</v>
      </c>
      <c r="AI980" s="1" t="s">
        <v>104</v>
      </c>
      <c r="AJ980" s="1">
        <v>7</v>
      </c>
      <c r="AK980" s="1" t="s">
        <v>104</v>
      </c>
      <c r="AL980" s="1" t="s">
        <v>104</v>
      </c>
      <c r="AM980" s="1" t="s">
        <v>104</v>
      </c>
      <c r="AO980" s="1">
        <v>7</v>
      </c>
      <c r="AQ980" s="1" t="s">
        <v>6088</v>
      </c>
      <c r="AR980" s="1">
        <v>0</v>
      </c>
      <c r="AS980" s="1">
        <v>0</v>
      </c>
      <c r="AT980" s="1">
        <v>0</v>
      </c>
      <c r="AU980" s="1">
        <v>0</v>
      </c>
      <c r="AV980" s="1">
        <v>0</v>
      </c>
      <c r="AW980" s="1">
        <v>0</v>
      </c>
      <c r="AX980" s="1">
        <v>0</v>
      </c>
      <c r="AY980" s="1">
        <v>0</v>
      </c>
      <c r="AZ980" s="1">
        <v>0</v>
      </c>
      <c r="BA980" s="1">
        <v>0</v>
      </c>
      <c r="BB980" s="1">
        <v>0</v>
      </c>
      <c r="BC980" s="1">
        <v>0</v>
      </c>
      <c r="BD980" s="1">
        <v>0</v>
      </c>
      <c r="BE980" s="1">
        <v>0</v>
      </c>
      <c r="BF980" s="1">
        <v>0</v>
      </c>
      <c r="BG980" s="1">
        <v>0</v>
      </c>
      <c r="BH980" s="1">
        <v>0</v>
      </c>
      <c r="BI980" s="1">
        <v>0</v>
      </c>
      <c r="BJ980" s="1">
        <v>0</v>
      </c>
      <c r="BK980" s="1">
        <v>0</v>
      </c>
      <c r="BL980" s="1">
        <v>0</v>
      </c>
      <c r="BM980" s="1">
        <v>0</v>
      </c>
      <c r="BN980" s="1">
        <v>0</v>
      </c>
      <c r="BO980" s="1">
        <v>0</v>
      </c>
      <c r="BP980" s="1">
        <v>0</v>
      </c>
      <c r="BQ980" s="2" t="str">
        <f>HYPERLINK("http://www.d20pfsrd.com/magic/all-spells/c/create-demiplane","Create Demiplane, Lesser")</f>
        <v>Create Demiplane, Lesser</v>
      </c>
      <c r="BR980" s="1">
        <v>1022</v>
      </c>
      <c r="BS980" s="1">
        <v>500</v>
      </c>
      <c r="BX980" s="1">
        <v>0</v>
      </c>
      <c r="BY980" s="1" t="s">
        <v>104</v>
      </c>
      <c r="BZ980" s="1" t="s">
        <v>104</v>
      </c>
      <c r="CA980" s="1">
        <v>7</v>
      </c>
      <c r="CB980" s="1" t="s">
        <v>104</v>
      </c>
      <c r="CC980" s="1" t="s">
        <v>104</v>
      </c>
      <c r="CD980" s="1">
        <v>5</v>
      </c>
      <c r="CE980" s="1" t="s">
        <v>104</v>
      </c>
      <c r="CF980" s="1" t="s">
        <v>104</v>
      </c>
      <c r="CG980" s="1" t="s">
        <v>104</v>
      </c>
      <c r="CH980" s="1" t="s">
        <v>104</v>
      </c>
      <c r="CJ980" s="1">
        <v>0</v>
      </c>
      <c r="CK980" s="1">
        <v>0</v>
      </c>
      <c r="CL980" s="1">
        <v>0</v>
      </c>
      <c r="CM980" s="1">
        <v>6</v>
      </c>
    </row>
    <row r="981" spans="1:91" ht="14.25" customHeight="1" x14ac:dyDescent="0.3">
      <c r="A981" s="1" t="s">
        <v>6089</v>
      </c>
      <c r="B981" s="1" t="s">
        <v>92</v>
      </c>
      <c r="C981" s="1" t="s">
        <v>93</v>
      </c>
      <c r="E981" s="1" t="s">
        <v>317</v>
      </c>
      <c r="F981" s="1" t="s">
        <v>6090</v>
      </c>
      <c r="G981" s="1" t="s">
        <v>6076</v>
      </c>
      <c r="H981" s="1">
        <v>1</v>
      </c>
      <c r="I981" s="1" t="s">
        <v>705</v>
      </c>
      <c r="K981" s="1" t="s">
        <v>6091</v>
      </c>
      <c r="M981" s="1" t="s">
        <v>6078</v>
      </c>
      <c r="N981" s="1">
        <v>0</v>
      </c>
      <c r="O981" s="1">
        <v>0</v>
      </c>
      <c r="P981" s="1" t="s">
        <v>100</v>
      </c>
      <c r="Q981" s="1" t="s">
        <v>101</v>
      </c>
      <c r="R981" s="1" t="s">
        <v>6092</v>
      </c>
      <c r="S981" s="1" t="s">
        <v>4201</v>
      </c>
      <c r="T981" s="1">
        <v>1</v>
      </c>
      <c r="U981" s="1">
        <v>1</v>
      </c>
      <c r="V981" s="1">
        <v>0</v>
      </c>
      <c r="W981" s="1">
        <v>0</v>
      </c>
      <c r="X981" s="1">
        <v>0</v>
      </c>
      <c r="Y981" s="1">
        <v>9</v>
      </c>
      <c r="Z981" s="1">
        <v>9</v>
      </c>
      <c r="AA981" s="1">
        <v>9</v>
      </c>
      <c r="AB981" s="1" t="s">
        <v>104</v>
      </c>
      <c r="AC981" s="1" t="s">
        <v>104</v>
      </c>
      <c r="AD981" s="1" t="s">
        <v>104</v>
      </c>
      <c r="AE981" s="1" t="s">
        <v>104</v>
      </c>
      <c r="AF981" s="1" t="s">
        <v>104</v>
      </c>
      <c r="AG981" s="1" t="s">
        <v>104</v>
      </c>
      <c r="AH981" s="1">
        <v>9</v>
      </c>
      <c r="AI981" s="1" t="s">
        <v>104</v>
      </c>
      <c r="AJ981" s="1">
        <v>9</v>
      </c>
      <c r="AK981" s="1" t="s">
        <v>104</v>
      </c>
      <c r="AL981" s="1" t="s">
        <v>104</v>
      </c>
      <c r="AM981" s="1" t="s">
        <v>104</v>
      </c>
      <c r="AO981" s="1">
        <v>9</v>
      </c>
      <c r="AP981" s="1" t="s">
        <v>6093</v>
      </c>
      <c r="AQ981" s="1" t="s">
        <v>6094</v>
      </c>
      <c r="AR981" s="1">
        <v>0</v>
      </c>
      <c r="AS981" s="1">
        <v>0</v>
      </c>
      <c r="AT981" s="1">
        <v>0</v>
      </c>
      <c r="AU981" s="1">
        <v>0</v>
      </c>
      <c r="AV981" s="1">
        <v>0</v>
      </c>
      <c r="AW981" s="1">
        <v>0</v>
      </c>
      <c r="AX981" s="1">
        <v>0</v>
      </c>
      <c r="AY981" s="1">
        <v>0</v>
      </c>
      <c r="AZ981" s="1">
        <v>0</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2" t="str">
        <f>HYPERLINK("http://www.d20pfsrd.com/magic/all-spells/c/create-demiplane","Create Demiplane, Greater")</f>
        <v>Create Demiplane, Greater</v>
      </c>
      <c r="BR981" s="1">
        <v>1023</v>
      </c>
      <c r="BS981" s="1">
        <v>500</v>
      </c>
      <c r="BX981" s="1">
        <v>0</v>
      </c>
      <c r="BY981" s="1" t="s">
        <v>104</v>
      </c>
      <c r="BZ981" s="1" t="s">
        <v>104</v>
      </c>
      <c r="CA981" s="1">
        <v>9</v>
      </c>
      <c r="CB981" s="1" t="s">
        <v>104</v>
      </c>
      <c r="CC981" s="1" t="s">
        <v>104</v>
      </c>
      <c r="CD981" s="1" t="s">
        <v>104</v>
      </c>
      <c r="CE981" s="1" t="s">
        <v>104</v>
      </c>
      <c r="CF981" s="1" t="s">
        <v>104</v>
      </c>
      <c r="CG981" s="1" t="s">
        <v>104</v>
      </c>
      <c r="CH981" s="1" t="s">
        <v>104</v>
      </c>
      <c r="CJ981" s="1">
        <v>0</v>
      </c>
      <c r="CK981" s="1">
        <v>0</v>
      </c>
      <c r="CL981" s="1">
        <v>0</v>
      </c>
      <c r="CM981" s="1" t="s">
        <v>104</v>
      </c>
    </row>
    <row r="982" spans="1:91" ht="14.25" customHeight="1" x14ac:dyDescent="0.3">
      <c r="A982" s="1" t="s">
        <v>6095</v>
      </c>
      <c r="B982" s="1" t="s">
        <v>216</v>
      </c>
      <c r="D982" s="1" t="s">
        <v>47</v>
      </c>
      <c r="E982" s="1" t="s">
        <v>6096</v>
      </c>
      <c r="F982" s="1" t="s">
        <v>95</v>
      </c>
      <c r="G982" s="1" t="s">
        <v>116</v>
      </c>
      <c r="H982" s="1">
        <v>0</v>
      </c>
      <c r="I982" s="1" t="s">
        <v>117</v>
      </c>
      <c r="L982" s="1" t="s">
        <v>1065</v>
      </c>
      <c r="M982" s="1" t="s">
        <v>298</v>
      </c>
      <c r="N982" s="1">
        <v>0</v>
      </c>
      <c r="O982" s="1">
        <v>0</v>
      </c>
      <c r="P982" s="1" t="s">
        <v>211</v>
      </c>
      <c r="Q982" s="1" t="s">
        <v>184</v>
      </c>
      <c r="R982" s="1" t="s">
        <v>6097</v>
      </c>
      <c r="S982" s="1" t="s">
        <v>4201</v>
      </c>
      <c r="T982" s="1">
        <v>1</v>
      </c>
      <c r="U982" s="1">
        <v>1</v>
      </c>
      <c r="V982" s="1">
        <v>0</v>
      </c>
      <c r="W982" s="1">
        <v>0</v>
      </c>
      <c r="X982" s="1">
        <v>0</v>
      </c>
      <c r="Y982" s="1">
        <v>6</v>
      </c>
      <c r="Z982" s="1">
        <v>6</v>
      </c>
      <c r="AA982" s="1">
        <v>5</v>
      </c>
      <c r="AB982" s="1" t="s">
        <v>104</v>
      </c>
      <c r="AC982" s="1" t="s">
        <v>104</v>
      </c>
      <c r="AD982" s="1" t="s">
        <v>104</v>
      </c>
      <c r="AE982" s="1" t="s">
        <v>104</v>
      </c>
      <c r="AF982" s="1" t="s">
        <v>104</v>
      </c>
      <c r="AG982" s="1" t="s">
        <v>104</v>
      </c>
      <c r="AH982" s="1">
        <v>5</v>
      </c>
      <c r="AI982" s="1" t="s">
        <v>104</v>
      </c>
      <c r="AJ982" s="1">
        <v>5</v>
      </c>
      <c r="AK982" s="1" t="s">
        <v>104</v>
      </c>
      <c r="AL982" s="1" t="s">
        <v>104</v>
      </c>
      <c r="AM982" s="1" t="s">
        <v>104</v>
      </c>
      <c r="AO982" s="1">
        <v>6</v>
      </c>
      <c r="AQ982" s="1" t="s">
        <v>6098</v>
      </c>
      <c r="AR982" s="1">
        <v>0</v>
      </c>
      <c r="AS982" s="1">
        <v>0</v>
      </c>
      <c r="AT982" s="1">
        <v>0</v>
      </c>
      <c r="AU982" s="1">
        <v>0</v>
      </c>
      <c r="AV982" s="1">
        <v>1</v>
      </c>
      <c r="AW982" s="1">
        <v>0</v>
      </c>
      <c r="AX982" s="1">
        <v>0</v>
      </c>
      <c r="AY982" s="1">
        <v>0</v>
      </c>
      <c r="AZ982" s="1">
        <v>0</v>
      </c>
      <c r="BA982" s="1">
        <v>0</v>
      </c>
      <c r="BB982" s="1">
        <v>0</v>
      </c>
      <c r="BC982" s="1">
        <v>0</v>
      </c>
      <c r="BD982" s="1">
        <v>0</v>
      </c>
      <c r="BE982" s="1">
        <v>0</v>
      </c>
      <c r="BF982" s="1">
        <v>0</v>
      </c>
      <c r="BG982" s="1">
        <v>0</v>
      </c>
      <c r="BH982" s="1">
        <v>0</v>
      </c>
      <c r="BI982" s="1">
        <v>0</v>
      </c>
      <c r="BJ982" s="1">
        <v>0</v>
      </c>
      <c r="BK982" s="1">
        <v>0</v>
      </c>
      <c r="BL982" s="1">
        <v>0</v>
      </c>
      <c r="BM982" s="1">
        <v>0</v>
      </c>
      <c r="BN982" s="1">
        <v>0</v>
      </c>
      <c r="BO982" s="1">
        <v>0</v>
      </c>
      <c r="BP982" s="1">
        <v>0</v>
      </c>
      <c r="BQ982" s="2" t="str">
        <f>HYPERLINK("http://www.d20pfsrd.com/magic/all-spells/c/curse","Curse, Major")</f>
        <v>Curse, Major</v>
      </c>
      <c r="BR982" s="1">
        <v>1024</v>
      </c>
      <c r="BS982" s="1" t="s">
        <v>104</v>
      </c>
      <c r="BX982" s="1">
        <v>0</v>
      </c>
      <c r="BY982" s="1" t="s">
        <v>104</v>
      </c>
      <c r="BZ982" s="1">
        <v>5</v>
      </c>
      <c r="CA982" s="1">
        <v>6</v>
      </c>
      <c r="CB982" s="1" t="s">
        <v>104</v>
      </c>
      <c r="CC982" s="1">
        <v>4</v>
      </c>
      <c r="CD982" s="1">
        <v>5</v>
      </c>
      <c r="CE982" s="1">
        <v>5</v>
      </c>
      <c r="CF982" s="1" t="s">
        <v>104</v>
      </c>
      <c r="CG982" s="1" t="s">
        <v>104</v>
      </c>
      <c r="CH982" s="1" t="s">
        <v>104</v>
      </c>
      <c r="CJ982" s="1">
        <v>0</v>
      </c>
      <c r="CK982" s="1">
        <v>0</v>
      </c>
      <c r="CL982" s="1">
        <v>0</v>
      </c>
      <c r="CM982" s="1" t="s">
        <v>104</v>
      </c>
    </row>
    <row r="983" spans="1:91" ht="14.25" customHeight="1" x14ac:dyDescent="0.3">
      <c r="A983" s="1" t="s">
        <v>6099</v>
      </c>
      <c r="B983" s="1" t="s">
        <v>123</v>
      </c>
      <c r="C983" s="1" t="s">
        <v>124</v>
      </c>
      <c r="D983" s="1" t="s">
        <v>6100</v>
      </c>
      <c r="E983" s="1" t="s">
        <v>6101</v>
      </c>
      <c r="F983" s="1" t="s">
        <v>95</v>
      </c>
      <c r="G983" s="1" t="s">
        <v>116</v>
      </c>
      <c r="H983" s="1">
        <v>0</v>
      </c>
      <c r="I983" s="1" t="s">
        <v>117</v>
      </c>
      <c r="L983" s="1" t="s">
        <v>1065</v>
      </c>
      <c r="M983" s="1" t="s">
        <v>298</v>
      </c>
      <c r="N983" s="1">
        <v>0</v>
      </c>
      <c r="O983" s="1">
        <v>0</v>
      </c>
      <c r="P983" s="1" t="s">
        <v>211</v>
      </c>
      <c r="Q983" s="1" t="s">
        <v>184</v>
      </c>
      <c r="R983" s="1" t="s">
        <v>6102</v>
      </c>
      <c r="S983" s="1" t="s">
        <v>4201</v>
      </c>
      <c r="T983" s="1">
        <v>1</v>
      </c>
      <c r="U983" s="1">
        <v>1</v>
      </c>
      <c r="V983" s="1">
        <v>0</v>
      </c>
      <c r="W983" s="1">
        <v>0</v>
      </c>
      <c r="X983" s="1">
        <v>0</v>
      </c>
      <c r="Y983" s="1">
        <v>5</v>
      </c>
      <c r="Z983" s="1">
        <v>5</v>
      </c>
      <c r="AA983" s="1" t="s">
        <v>104</v>
      </c>
      <c r="AB983" s="1" t="s">
        <v>104</v>
      </c>
      <c r="AC983" s="1" t="s">
        <v>104</v>
      </c>
      <c r="AD983" s="1">
        <v>3</v>
      </c>
      <c r="AE983" s="1" t="s">
        <v>104</v>
      </c>
      <c r="AF983" s="1" t="s">
        <v>104</v>
      </c>
      <c r="AG983" s="1" t="s">
        <v>104</v>
      </c>
      <c r="AH983" s="1">
        <v>5</v>
      </c>
      <c r="AI983" s="1" t="s">
        <v>104</v>
      </c>
      <c r="AJ983" s="1" t="s">
        <v>104</v>
      </c>
      <c r="AK983" s="1" t="s">
        <v>104</v>
      </c>
      <c r="AL983" s="1" t="s">
        <v>104</v>
      </c>
      <c r="AM983" s="1" t="s">
        <v>104</v>
      </c>
      <c r="AO983" s="1">
        <v>5</v>
      </c>
      <c r="AQ983" s="1" t="s">
        <v>6103</v>
      </c>
      <c r="AR983" s="1">
        <v>0</v>
      </c>
      <c r="AS983" s="1">
        <v>0</v>
      </c>
      <c r="AT983" s="1">
        <v>0</v>
      </c>
      <c r="AU983" s="1">
        <v>0</v>
      </c>
      <c r="AV983" s="1">
        <v>1</v>
      </c>
      <c r="AW983" s="1">
        <v>0</v>
      </c>
      <c r="AX983" s="1">
        <v>0</v>
      </c>
      <c r="AY983" s="1">
        <v>0</v>
      </c>
      <c r="AZ983" s="1">
        <v>0</v>
      </c>
      <c r="BA983" s="1">
        <v>0</v>
      </c>
      <c r="BB983" s="1">
        <v>1</v>
      </c>
      <c r="BC983" s="1">
        <v>0</v>
      </c>
      <c r="BD983" s="1">
        <v>0</v>
      </c>
      <c r="BE983" s="1">
        <v>0</v>
      </c>
      <c r="BF983" s="1">
        <v>0</v>
      </c>
      <c r="BG983" s="1">
        <v>0</v>
      </c>
      <c r="BH983" s="1">
        <v>0</v>
      </c>
      <c r="BI983" s="1">
        <v>0</v>
      </c>
      <c r="BJ983" s="1">
        <v>0</v>
      </c>
      <c r="BK983" s="1">
        <v>1</v>
      </c>
      <c r="BL983" s="1">
        <v>0</v>
      </c>
      <c r="BM983" s="1">
        <v>0</v>
      </c>
      <c r="BN983" s="1">
        <v>0</v>
      </c>
      <c r="BO983" s="1">
        <v>0</v>
      </c>
      <c r="BP983" s="1">
        <v>0</v>
      </c>
      <c r="BQ983" s="2" t="str">
        <f>HYPERLINK("http://www.d20pfsrd.com/magic/all-spells/c/curse-of-disgust","Curse of Disgust")</f>
        <v>Curse of Disgust</v>
      </c>
      <c r="BR983" s="1">
        <v>1025</v>
      </c>
      <c r="BS983" s="1" t="s">
        <v>104</v>
      </c>
      <c r="BX983" s="1">
        <v>0</v>
      </c>
      <c r="BY983" s="1" t="s">
        <v>104</v>
      </c>
      <c r="BZ983" s="1" t="s">
        <v>104</v>
      </c>
      <c r="CA983" s="1">
        <v>6</v>
      </c>
      <c r="CB983" s="1" t="s">
        <v>104</v>
      </c>
      <c r="CC983" s="1">
        <v>3</v>
      </c>
      <c r="CD983" s="1">
        <v>4</v>
      </c>
      <c r="CE983" s="1" t="s">
        <v>104</v>
      </c>
      <c r="CF983" s="1" t="s">
        <v>104</v>
      </c>
      <c r="CG983" s="1" t="s">
        <v>104</v>
      </c>
      <c r="CH983" s="1" t="s">
        <v>104</v>
      </c>
      <c r="CJ983" s="1">
        <v>0</v>
      </c>
      <c r="CK983" s="1">
        <v>0</v>
      </c>
      <c r="CL983" s="1">
        <v>0</v>
      </c>
      <c r="CM983" s="1" t="s">
        <v>104</v>
      </c>
    </row>
    <row r="984" spans="1:91" ht="14.25" customHeight="1" x14ac:dyDescent="0.3">
      <c r="A984" s="1" t="s">
        <v>6104</v>
      </c>
      <c r="B984" s="1" t="s">
        <v>162</v>
      </c>
      <c r="D984" s="1" t="s">
        <v>47</v>
      </c>
      <c r="E984" s="1" t="s">
        <v>6105</v>
      </c>
      <c r="F984" s="1" t="s">
        <v>255</v>
      </c>
      <c r="G984" s="1" t="s">
        <v>6106</v>
      </c>
      <c r="H984" s="1">
        <v>1</v>
      </c>
      <c r="I984" s="1" t="s">
        <v>109</v>
      </c>
      <c r="L984" s="1" t="s">
        <v>1065</v>
      </c>
      <c r="M984" s="1" t="s">
        <v>5923</v>
      </c>
      <c r="N984" s="1">
        <v>0</v>
      </c>
      <c r="O984" s="1">
        <v>0</v>
      </c>
      <c r="P984" s="1" t="s">
        <v>211</v>
      </c>
      <c r="Q984" s="1" t="s">
        <v>101</v>
      </c>
      <c r="R984" s="1" t="s">
        <v>6107</v>
      </c>
      <c r="S984" s="1" t="s">
        <v>4201</v>
      </c>
      <c r="T984" s="1">
        <v>1</v>
      </c>
      <c r="U984" s="1">
        <v>1</v>
      </c>
      <c r="V984" s="1">
        <v>1</v>
      </c>
      <c r="W984" s="1">
        <v>0</v>
      </c>
      <c r="X984" s="1">
        <v>0</v>
      </c>
      <c r="Y984" s="1">
        <v>4</v>
      </c>
      <c r="Z984" s="1">
        <v>4</v>
      </c>
      <c r="AA984" s="1">
        <v>5</v>
      </c>
      <c r="AB984" s="1" t="s">
        <v>104</v>
      </c>
      <c r="AC984" s="1" t="s">
        <v>104</v>
      </c>
      <c r="AD984" s="1" t="s">
        <v>104</v>
      </c>
      <c r="AE984" s="1" t="s">
        <v>104</v>
      </c>
      <c r="AF984" s="1" t="s">
        <v>104</v>
      </c>
      <c r="AG984" s="1" t="s">
        <v>104</v>
      </c>
      <c r="AH984" s="1">
        <v>4</v>
      </c>
      <c r="AI984" s="1">
        <v>4</v>
      </c>
      <c r="AJ984" s="1">
        <v>5</v>
      </c>
      <c r="AK984" s="1" t="s">
        <v>104</v>
      </c>
      <c r="AL984" s="1" t="s">
        <v>104</v>
      </c>
      <c r="AM984" s="1" t="s">
        <v>104</v>
      </c>
      <c r="AO984" s="1">
        <v>4</v>
      </c>
      <c r="AQ984" s="1" t="s">
        <v>6108</v>
      </c>
      <c r="AR984" s="1">
        <v>0</v>
      </c>
      <c r="AS984" s="1">
        <v>0</v>
      </c>
      <c r="AT984" s="1">
        <v>0</v>
      </c>
      <c r="AU984" s="1">
        <v>0</v>
      </c>
      <c r="AV984" s="1">
        <v>1</v>
      </c>
      <c r="AW984" s="1">
        <v>0</v>
      </c>
      <c r="AX984" s="1">
        <v>0</v>
      </c>
      <c r="AY984" s="1">
        <v>0</v>
      </c>
      <c r="AZ984" s="1">
        <v>0</v>
      </c>
      <c r="BA984" s="1">
        <v>0</v>
      </c>
      <c r="BB984" s="1">
        <v>0</v>
      </c>
      <c r="BC984" s="1">
        <v>0</v>
      </c>
      <c r="BD984" s="1">
        <v>0</v>
      </c>
      <c r="BE984" s="1">
        <v>0</v>
      </c>
      <c r="BF984" s="1">
        <v>0</v>
      </c>
      <c r="BG984" s="1">
        <v>0</v>
      </c>
      <c r="BH984" s="1">
        <v>0</v>
      </c>
      <c r="BI984" s="1">
        <v>0</v>
      </c>
      <c r="BJ984" s="1">
        <v>0</v>
      </c>
      <c r="BK984" s="1">
        <v>0</v>
      </c>
      <c r="BL984" s="1">
        <v>0</v>
      </c>
      <c r="BM984" s="1">
        <v>0</v>
      </c>
      <c r="BN984" s="1">
        <v>0</v>
      </c>
      <c r="BO984" s="1">
        <v>0</v>
      </c>
      <c r="BP984" s="1">
        <v>0</v>
      </c>
      <c r="BQ984" s="2" t="str">
        <f>HYPERLINK("http://www.d20pfsrd.com/magic/all-spells/c/curse-of-magic-negation","Curse of Magic Negation")</f>
        <v>Curse of Magic Negation</v>
      </c>
      <c r="BR984" s="1">
        <v>1026</v>
      </c>
      <c r="BS984" s="1">
        <v>250</v>
      </c>
      <c r="BX984" s="1">
        <v>0</v>
      </c>
      <c r="BY984" s="1" t="s">
        <v>104</v>
      </c>
      <c r="BZ984" s="1" t="s">
        <v>104</v>
      </c>
      <c r="CA984" s="1">
        <v>4</v>
      </c>
      <c r="CB984" s="1" t="s">
        <v>104</v>
      </c>
      <c r="CC984" s="1">
        <v>3</v>
      </c>
      <c r="CD984" s="1">
        <v>4</v>
      </c>
      <c r="CE984" s="1" t="s">
        <v>104</v>
      </c>
      <c r="CF984" s="1" t="s">
        <v>104</v>
      </c>
      <c r="CG984" s="1" t="s">
        <v>104</v>
      </c>
      <c r="CH984" s="1" t="s">
        <v>104</v>
      </c>
      <c r="CJ984" s="1">
        <v>0</v>
      </c>
      <c r="CK984" s="1">
        <v>0</v>
      </c>
      <c r="CL984" s="1">
        <v>0</v>
      </c>
      <c r="CM984" s="1" t="s">
        <v>104</v>
      </c>
    </row>
    <row r="985" spans="1:91" ht="14.25" customHeight="1" x14ac:dyDescent="0.3">
      <c r="A985" s="1" t="s">
        <v>6109</v>
      </c>
      <c r="B985" s="1" t="s">
        <v>216</v>
      </c>
      <c r="D985" s="1" t="s">
        <v>6110</v>
      </c>
      <c r="E985" s="1" t="s">
        <v>6111</v>
      </c>
      <c r="F985" s="1" t="s">
        <v>287</v>
      </c>
      <c r="G985" s="1" t="s">
        <v>6112</v>
      </c>
      <c r="H985" s="1">
        <v>1</v>
      </c>
      <c r="I985" s="1" t="s">
        <v>128</v>
      </c>
      <c r="J985" s="1" t="s">
        <v>6113</v>
      </c>
      <c r="M985" s="1" t="s">
        <v>298</v>
      </c>
      <c r="N985" s="1">
        <v>0</v>
      </c>
      <c r="O985" s="1">
        <v>0</v>
      </c>
      <c r="P985" s="1" t="s">
        <v>6053</v>
      </c>
      <c r="Q985" s="1" t="s">
        <v>101</v>
      </c>
      <c r="R985" s="1" t="s">
        <v>6114</v>
      </c>
      <c r="S985" s="1" t="s">
        <v>4201</v>
      </c>
      <c r="T985" s="1">
        <v>1</v>
      </c>
      <c r="U985" s="1">
        <v>1</v>
      </c>
      <c r="V985" s="1">
        <v>1</v>
      </c>
      <c r="W985" s="1">
        <v>0</v>
      </c>
      <c r="X985" s="1">
        <v>1</v>
      </c>
      <c r="Y985" s="1">
        <v>9</v>
      </c>
      <c r="Z985" s="1">
        <v>9</v>
      </c>
      <c r="AA985" s="1">
        <v>9</v>
      </c>
      <c r="AB985" s="1" t="s">
        <v>104</v>
      </c>
      <c r="AC985" s="1" t="s">
        <v>104</v>
      </c>
      <c r="AD985" s="1" t="s">
        <v>104</v>
      </c>
      <c r="AE985" s="1" t="s">
        <v>104</v>
      </c>
      <c r="AF985" s="1" t="s">
        <v>104</v>
      </c>
      <c r="AG985" s="1" t="s">
        <v>104</v>
      </c>
      <c r="AH985" s="1">
        <v>9</v>
      </c>
      <c r="AI985" s="1" t="s">
        <v>104</v>
      </c>
      <c r="AJ985" s="1">
        <v>9</v>
      </c>
      <c r="AK985" s="1" t="s">
        <v>104</v>
      </c>
      <c r="AL985" s="1" t="s">
        <v>104</v>
      </c>
      <c r="AM985" s="1" t="s">
        <v>104</v>
      </c>
      <c r="AO985" s="1">
        <v>9</v>
      </c>
      <c r="AQ985" s="1" t="s">
        <v>6115</v>
      </c>
      <c r="AR985" s="1">
        <v>0</v>
      </c>
      <c r="AS985" s="1">
        <v>0</v>
      </c>
      <c r="AT985" s="1">
        <v>0</v>
      </c>
      <c r="AU985" s="1">
        <v>0</v>
      </c>
      <c r="AV985" s="1">
        <v>1</v>
      </c>
      <c r="AW985" s="1">
        <v>0</v>
      </c>
      <c r="AX985" s="1">
        <v>0</v>
      </c>
      <c r="AY985" s="1">
        <v>0</v>
      </c>
      <c r="AZ985" s="1">
        <v>0</v>
      </c>
      <c r="BA985" s="1">
        <v>0</v>
      </c>
      <c r="BB985" s="1">
        <v>0</v>
      </c>
      <c r="BC985" s="1">
        <v>1</v>
      </c>
      <c r="BD985" s="1">
        <v>0</v>
      </c>
      <c r="BE985" s="1">
        <v>0</v>
      </c>
      <c r="BF985" s="1">
        <v>0</v>
      </c>
      <c r="BG985" s="1">
        <v>0</v>
      </c>
      <c r="BH985" s="1">
        <v>0</v>
      </c>
      <c r="BI985" s="1">
        <v>0</v>
      </c>
      <c r="BJ985" s="1">
        <v>0</v>
      </c>
      <c r="BK985" s="1">
        <v>0</v>
      </c>
      <c r="BL985" s="1">
        <v>0</v>
      </c>
      <c r="BM985" s="1">
        <v>0</v>
      </c>
      <c r="BN985" s="1">
        <v>0</v>
      </c>
      <c r="BO985" s="1">
        <v>0</v>
      </c>
      <c r="BP985" s="1">
        <v>0</v>
      </c>
      <c r="BQ985" s="2" t="str">
        <f>HYPERLINK("http://www.d20pfsrd.com/magic/all-spells/c/cursed-earth","Cursed Earth")</f>
        <v>Cursed Earth</v>
      </c>
      <c r="BR985" s="1">
        <v>1027</v>
      </c>
      <c r="BS985" s="1">
        <v>10000</v>
      </c>
      <c r="BX985" s="1">
        <v>0</v>
      </c>
      <c r="BY985" s="1" t="s">
        <v>104</v>
      </c>
      <c r="BZ985" s="1" t="s">
        <v>104</v>
      </c>
      <c r="CA985" s="1" t="s">
        <v>104</v>
      </c>
      <c r="CB985" s="1" t="s">
        <v>104</v>
      </c>
      <c r="CC985" s="1" t="s">
        <v>104</v>
      </c>
      <c r="CD985" s="1" t="s">
        <v>104</v>
      </c>
      <c r="CE985" s="1" t="s">
        <v>104</v>
      </c>
      <c r="CF985" s="1" t="s">
        <v>104</v>
      </c>
      <c r="CG985" s="1" t="s">
        <v>104</v>
      </c>
      <c r="CH985" s="1" t="s">
        <v>104</v>
      </c>
      <c r="CJ985" s="1">
        <v>0</v>
      </c>
      <c r="CK985" s="1">
        <v>0</v>
      </c>
      <c r="CL985" s="1">
        <v>0</v>
      </c>
      <c r="CM985" s="1" t="s">
        <v>104</v>
      </c>
    </row>
    <row r="986" spans="1:91" ht="14.25" customHeight="1" x14ac:dyDescent="0.3">
      <c r="A986" s="1" t="s">
        <v>6116</v>
      </c>
      <c r="B986" s="1" t="s">
        <v>92</v>
      </c>
      <c r="C986" s="1" t="s">
        <v>93</v>
      </c>
      <c r="D986" s="1" t="s">
        <v>57</v>
      </c>
      <c r="E986" s="1" t="s">
        <v>6117</v>
      </c>
      <c r="F986" s="1" t="s">
        <v>95</v>
      </c>
      <c r="G986" s="1" t="s">
        <v>6118</v>
      </c>
      <c r="H986" s="1">
        <v>0</v>
      </c>
      <c r="I986" s="1" t="s">
        <v>128</v>
      </c>
      <c r="L986" s="1" t="s">
        <v>374</v>
      </c>
      <c r="M986" s="1" t="s">
        <v>6119</v>
      </c>
      <c r="N986" s="1">
        <v>1</v>
      </c>
      <c r="O986" s="1">
        <v>0</v>
      </c>
      <c r="P986" s="1" t="s">
        <v>375</v>
      </c>
      <c r="Q986" s="1" t="s">
        <v>184</v>
      </c>
      <c r="R986" s="1" t="s">
        <v>6120</v>
      </c>
      <c r="S986" s="1" t="s">
        <v>4201</v>
      </c>
      <c r="T986" s="1">
        <v>1</v>
      </c>
      <c r="U986" s="1">
        <v>1</v>
      </c>
      <c r="V986" s="1">
        <v>0</v>
      </c>
      <c r="W986" s="1">
        <v>0</v>
      </c>
      <c r="X986" s="1">
        <v>0</v>
      </c>
      <c r="Y986" s="1">
        <v>2</v>
      </c>
      <c r="Z986" s="1">
        <v>2</v>
      </c>
      <c r="AA986" s="1" t="s">
        <v>104</v>
      </c>
      <c r="AB986" s="1" t="s">
        <v>104</v>
      </c>
      <c r="AC986" s="1" t="s">
        <v>104</v>
      </c>
      <c r="AD986" s="1" t="s">
        <v>104</v>
      </c>
      <c r="AE986" s="1" t="s">
        <v>104</v>
      </c>
      <c r="AF986" s="1" t="s">
        <v>104</v>
      </c>
      <c r="AG986" s="1">
        <v>2</v>
      </c>
      <c r="AH986" s="1" t="s">
        <v>104</v>
      </c>
      <c r="AI986" s="1" t="s">
        <v>104</v>
      </c>
      <c r="AJ986" s="1" t="s">
        <v>104</v>
      </c>
      <c r="AK986" s="1" t="s">
        <v>104</v>
      </c>
      <c r="AL986" s="1" t="s">
        <v>104</v>
      </c>
      <c r="AM986" s="1" t="s">
        <v>104</v>
      </c>
      <c r="AO986" s="1">
        <v>2</v>
      </c>
      <c r="AQ986" s="1" t="s">
        <v>6121</v>
      </c>
      <c r="AR986" s="1">
        <v>0</v>
      </c>
      <c r="AS986" s="1">
        <v>0</v>
      </c>
      <c r="AT986" s="1">
        <v>0</v>
      </c>
      <c r="AU986" s="1">
        <v>0</v>
      </c>
      <c r="AV986" s="1">
        <v>0</v>
      </c>
      <c r="AW986" s="1">
        <v>0</v>
      </c>
      <c r="AX986" s="1">
        <v>0</v>
      </c>
      <c r="AY986" s="1">
        <v>0</v>
      </c>
      <c r="AZ986" s="1">
        <v>0</v>
      </c>
      <c r="BA986" s="1">
        <v>0</v>
      </c>
      <c r="BB986" s="1">
        <v>0</v>
      </c>
      <c r="BC986" s="1">
        <v>0</v>
      </c>
      <c r="BD986" s="1">
        <v>0</v>
      </c>
      <c r="BE986" s="1">
        <v>0</v>
      </c>
      <c r="BF986" s="1">
        <v>1</v>
      </c>
      <c r="BG986" s="1">
        <v>0</v>
      </c>
      <c r="BH986" s="1">
        <v>0</v>
      </c>
      <c r="BI986" s="1">
        <v>0</v>
      </c>
      <c r="BJ986" s="1">
        <v>0</v>
      </c>
      <c r="BK986" s="1">
        <v>0</v>
      </c>
      <c r="BL986" s="1">
        <v>0</v>
      </c>
      <c r="BM986" s="1">
        <v>0</v>
      </c>
      <c r="BN986" s="1">
        <v>0</v>
      </c>
      <c r="BO986" s="1">
        <v>0</v>
      </c>
      <c r="BP986" s="1">
        <v>0</v>
      </c>
      <c r="BQ986" s="2" t="str">
        <f>HYPERLINK("http://www.d20pfsrd.com/magic/all-spells/c/cushioning-bands","Cushioning Bands")</f>
        <v>Cushioning Bands</v>
      </c>
      <c r="BR986" s="1">
        <v>1028</v>
      </c>
      <c r="BS986" s="1" t="s">
        <v>104</v>
      </c>
      <c r="BX986" s="1">
        <v>0</v>
      </c>
      <c r="BY986" s="1" t="s">
        <v>104</v>
      </c>
      <c r="BZ986" s="1" t="s">
        <v>104</v>
      </c>
      <c r="CA986" s="1">
        <v>2</v>
      </c>
      <c r="CB986" s="1" t="s">
        <v>104</v>
      </c>
      <c r="CC986" s="1" t="s">
        <v>104</v>
      </c>
      <c r="CD986" s="1" t="s">
        <v>104</v>
      </c>
      <c r="CE986" s="1" t="s">
        <v>104</v>
      </c>
      <c r="CF986" s="1" t="s">
        <v>104</v>
      </c>
      <c r="CG986" s="1" t="s">
        <v>104</v>
      </c>
      <c r="CH986" s="1" t="s">
        <v>104</v>
      </c>
      <c r="CJ986" s="1">
        <v>0</v>
      </c>
      <c r="CK986" s="1">
        <v>0</v>
      </c>
      <c r="CL986" s="1">
        <v>0</v>
      </c>
      <c r="CM986" s="1">
        <v>2</v>
      </c>
    </row>
    <row r="987" spans="1:91" ht="14.25" customHeight="1" x14ac:dyDescent="0.3">
      <c r="A987" s="1" t="s">
        <v>6122</v>
      </c>
      <c r="B987" s="1" t="s">
        <v>137</v>
      </c>
      <c r="E987" s="1" t="s">
        <v>4785</v>
      </c>
      <c r="F987" s="1" t="s">
        <v>95</v>
      </c>
      <c r="G987" s="1" t="s">
        <v>237</v>
      </c>
      <c r="H987" s="1">
        <v>0</v>
      </c>
      <c r="I987" s="1" t="s">
        <v>157</v>
      </c>
      <c r="L987" s="1" t="s">
        <v>158</v>
      </c>
      <c r="M987" s="1" t="s">
        <v>111</v>
      </c>
      <c r="N987" s="1">
        <v>0</v>
      </c>
      <c r="O987" s="1">
        <v>0</v>
      </c>
      <c r="R987" s="1" t="s">
        <v>6123</v>
      </c>
      <c r="S987" s="1" t="s">
        <v>4201</v>
      </c>
      <c r="T987" s="1">
        <v>1</v>
      </c>
      <c r="U987" s="1">
        <v>0</v>
      </c>
      <c r="V987" s="1">
        <v>0</v>
      </c>
      <c r="W987" s="1">
        <v>0</v>
      </c>
      <c r="X987" s="1">
        <v>0</v>
      </c>
      <c r="Y987" s="1" t="s">
        <v>104</v>
      </c>
      <c r="Z987" s="1" t="s">
        <v>104</v>
      </c>
      <c r="AA987" s="1" t="s">
        <v>104</v>
      </c>
      <c r="AB987" s="1" t="s">
        <v>104</v>
      </c>
      <c r="AC987" s="1" t="s">
        <v>104</v>
      </c>
      <c r="AD987" s="1">
        <v>4</v>
      </c>
      <c r="AE987" s="1" t="s">
        <v>104</v>
      </c>
      <c r="AF987" s="1" t="s">
        <v>104</v>
      </c>
      <c r="AG987" s="1" t="s">
        <v>104</v>
      </c>
      <c r="AH987" s="1" t="s">
        <v>104</v>
      </c>
      <c r="AI987" s="1" t="s">
        <v>104</v>
      </c>
      <c r="AJ987" s="1" t="s">
        <v>104</v>
      </c>
      <c r="AK987" s="1" t="s">
        <v>104</v>
      </c>
      <c r="AL987" s="1" t="s">
        <v>104</v>
      </c>
      <c r="AM987" s="1" t="s">
        <v>104</v>
      </c>
      <c r="AO987" s="1">
        <v>4</v>
      </c>
      <c r="AP987" s="1" t="s">
        <v>6124</v>
      </c>
      <c r="AQ987" s="1" t="s">
        <v>6125</v>
      </c>
      <c r="AR987" s="1">
        <v>0</v>
      </c>
      <c r="AS987" s="1">
        <v>0</v>
      </c>
      <c r="AT987" s="1">
        <v>0</v>
      </c>
      <c r="AU987" s="1">
        <v>0</v>
      </c>
      <c r="AV987" s="1">
        <v>0</v>
      </c>
      <c r="AW987" s="1">
        <v>0</v>
      </c>
      <c r="AX987" s="1">
        <v>0</v>
      </c>
      <c r="AY987" s="1">
        <v>0</v>
      </c>
      <c r="AZ987" s="1">
        <v>0</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2" t="str">
        <f>HYPERLINK("http://www.d20pfsrd.com/magic/all-spells/d/dance-of-a-hundred-cuts","Dance of a Hundred Cuts")</f>
        <v>Dance of a Hundred Cuts</v>
      </c>
      <c r="BR987" s="1">
        <v>1029</v>
      </c>
      <c r="BS987" s="1" t="s">
        <v>104</v>
      </c>
      <c r="BX987" s="1">
        <v>0</v>
      </c>
      <c r="BY987" s="1" t="s">
        <v>104</v>
      </c>
      <c r="BZ987" s="1" t="s">
        <v>104</v>
      </c>
      <c r="CA987" s="1" t="s">
        <v>104</v>
      </c>
      <c r="CB987" s="1" t="s">
        <v>104</v>
      </c>
      <c r="CC987" s="1" t="s">
        <v>104</v>
      </c>
      <c r="CD987" s="1" t="s">
        <v>104</v>
      </c>
      <c r="CE987" s="1" t="s">
        <v>104</v>
      </c>
      <c r="CF987" s="1" t="s">
        <v>104</v>
      </c>
      <c r="CG987" s="1" t="s">
        <v>104</v>
      </c>
      <c r="CH987" s="1" t="s">
        <v>104</v>
      </c>
      <c r="CJ987" s="1">
        <v>0</v>
      </c>
      <c r="CK987" s="1">
        <v>0</v>
      </c>
      <c r="CL987" s="1">
        <v>0</v>
      </c>
      <c r="CM987" s="1" t="s">
        <v>104</v>
      </c>
    </row>
    <row r="988" spans="1:91" ht="14.25" customHeight="1" x14ac:dyDescent="0.3">
      <c r="A988" s="1" t="s">
        <v>6126</v>
      </c>
      <c r="B988" s="1" t="s">
        <v>137</v>
      </c>
      <c r="E988" s="1" t="s">
        <v>3789</v>
      </c>
      <c r="F988" s="1" t="s">
        <v>95</v>
      </c>
      <c r="G988" s="1" t="s">
        <v>237</v>
      </c>
      <c r="H988" s="1">
        <v>0</v>
      </c>
      <c r="I988" s="1" t="s">
        <v>157</v>
      </c>
      <c r="L988" s="1" t="s">
        <v>158</v>
      </c>
      <c r="M988" s="1" t="s">
        <v>111</v>
      </c>
      <c r="N988" s="1">
        <v>0</v>
      </c>
      <c r="O988" s="1">
        <v>0</v>
      </c>
      <c r="R988" s="1" t="s">
        <v>6127</v>
      </c>
      <c r="S988" s="1" t="s">
        <v>4201</v>
      </c>
      <c r="T988" s="1">
        <v>1</v>
      </c>
      <c r="U988" s="1">
        <v>0</v>
      </c>
      <c r="V988" s="1">
        <v>0</v>
      </c>
      <c r="W988" s="1">
        <v>0</v>
      </c>
      <c r="X988" s="1">
        <v>0</v>
      </c>
      <c r="Y988" s="1" t="s">
        <v>104</v>
      </c>
      <c r="Z988" s="1" t="s">
        <v>104</v>
      </c>
      <c r="AA988" s="1" t="s">
        <v>104</v>
      </c>
      <c r="AB988" s="1" t="s">
        <v>104</v>
      </c>
      <c r="AC988" s="1" t="s">
        <v>104</v>
      </c>
      <c r="AD988" s="1">
        <v>6</v>
      </c>
      <c r="AE988" s="1" t="s">
        <v>104</v>
      </c>
      <c r="AF988" s="1" t="s">
        <v>104</v>
      </c>
      <c r="AG988" s="1" t="s">
        <v>104</v>
      </c>
      <c r="AH988" s="1" t="s">
        <v>104</v>
      </c>
      <c r="AI988" s="1" t="s">
        <v>104</v>
      </c>
      <c r="AJ988" s="1" t="s">
        <v>104</v>
      </c>
      <c r="AK988" s="1" t="s">
        <v>104</v>
      </c>
      <c r="AL988" s="1" t="s">
        <v>104</v>
      </c>
      <c r="AM988" s="1" t="s">
        <v>104</v>
      </c>
      <c r="AO988" s="1">
        <v>6</v>
      </c>
      <c r="AP988" s="1" t="s">
        <v>6128</v>
      </c>
      <c r="AQ988" s="1" t="s">
        <v>6129</v>
      </c>
      <c r="AR988" s="1">
        <v>0</v>
      </c>
      <c r="AS988" s="1">
        <v>0</v>
      </c>
      <c r="AT988" s="1">
        <v>0</v>
      </c>
      <c r="AU988" s="1">
        <v>0</v>
      </c>
      <c r="AV988" s="1">
        <v>0</v>
      </c>
      <c r="AW988" s="1">
        <v>0</v>
      </c>
      <c r="AX988" s="1">
        <v>0</v>
      </c>
      <c r="AY988" s="1">
        <v>0</v>
      </c>
      <c r="AZ988" s="1">
        <v>0</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2" t="str">
        <f>HYPERLINK("http://www.d20pfsrd.com/magic/all-spells/d/dance-of-a-thousand-cuts","Dance of a Thousand Cuts")</f>
        <v>Dance of a Thousand Cuts</v>
      </c>
      <c r="BR988" s="1">
        <v>1030</v>
      </c>
      <c r="BS988" s="1" t="s">
        <v>104</v>
      </c>
      <c r="BX988" s="1">
        <v>0</v>
      </c>
      <c r="BY988" s="1" t="s">
        <v>104</v>
      </c>
      <c r="BZ988" s="1" t="s">
        <v>104</v>
      </c>
      <c r="CA988" s="1" t="s">
        <v>104</v>
      </c>
      <c r="CB988" s="1" t="s">
        <v>104</v>
      </c>
      <c r="CC988" s="1" t="s">
        <v>104</v>
      </c>
      <c r="CD988" s="1" t="s">
        <v>104</v>
      </c>
      <c r="CE988" s="1" t="s">
        <v>104</v>
      </c>
      <c r="CF988" s="1" t="s">
        <v>104</v>
      </c>
      <c r="CG988" s="1" t="s">
        <v>104</v>
      </c>
      <c r="CH988" s="1" t="s">
        <v>104</v>
      </c>
      <c r="CJ988" s="1">
        <v>0</v>
      </c>
      <c r="CK988" s="1">
        <v>0</v>
      </c>
      <c r="CL988" s="1">
        <v>0</v>
      </c>
      <c r="CM988" s="1" t="s">
        <v>104</v>
      </c>
    </row>
    <row r="989" spans="1:91" ht="14.25" customHeight="1" x14ac:dyDescent="0.3">
      <c r="A989" s="1" t="s">
        <v>6130</v>
      </c>
      <c r="B989" s="1" t="s">
        <v>137</v>
      </c>
      <c r="E989" s="1" t="s">
        <v>6131</v>
      </c>
      <c r="F989" s="1" t="s">
        <v>95</v>
      </c>
      <c r="G989" s="1" t="s">
        <v>990</v>
      </c>
      <c r="H989" s="1">
        <v>0</v>
      </c>
      <c r="I989" s="1" t="s">
        <v>128</v>
      </c>
      <c r="L989" s="1" t="s">
        <v>374</v>
      </c>
      <c r="M989" s="1" t="s">
        <v>201</v>
      </c>
      <c r="N989" s="1">
        <v>0</v>
      </c>
      <c r="O989" s="1">
        <v>0</v>
      </c>
      <c r="P989" s="1" t="s">
        <v>375</v>
      </c>
      <c r="Q989" s="1" t="s">
        <v>131</v>
      </c>
      <c r="R989" s="1" t="s">
        <v>6132</v>
      </c>
      <c r="S989" s="1" t="s">
        <v>4201</v>
      </c>
      <c r="T989" s="1">
        <v>1</v>
      </c>
      <c r="U989" s="1">
        <v>1</v>
      </c>
      <c r="V989" s="1">
        <v>1</v>
      </c>
      <c r="W989" s="1">
        <v>0</v>
      </c>
      <c r="X989" s="1">
        <v>0</v>
      </c>
      <c r="Y989" s="1">
        <v>4</v>
      </c>
      <c r="Z989" s="1">
        <v>4</v>
      </c>
      <c r="AA989" s="1" t="s">
        <v>104</v>
      </c>
      <c r="AB989" s="1" t="s">
        <v>104</v>
      </c>
      <c r="AC989" s="1">
        <v>4</v>
      </c>
      <c r="AD989" s="1" t="s">
        <v>104</v>
      </c>
      <c r="AE989" s="1" t="s">
        <v>104</v>
      </c>
      <c r="AF989" s="1">
        <v>4</v>
      </c>
      <c r="AG989" s="1" t="s">
        <v>104</v>
      </c>
      <c r="AH989" s="1" t="s">
        <v>104</v>
      </c>
      <c r="AI989" s="1" t="s">
        <v>104</v>
      </c>
      <c r="AJ989" s="1" t="s">
        <v>104</v>
      </c>
      <c r="AK989" s="1">
        <v>4</v>
      </c>
      <c r="AL989" s="1" t="s">
        <v>104</v>
      </c>
      <c r="AM989" s="1" t="s">
        <v>104</v>
      </c>
      <c r="AO989" s="1">
        <v>4</v>
      </c>
      <c r="AQ989" s="1" t="s">
        <v>6133</v>
      </c>
      <c r="AR989" s="1">
        <v>0</v>
      </c>
      <c r="AS989" s="1">
        <v>0</v>
      </c>
      <c r="AT989" s="1">
        <v>0</v>
      </c>
      <c r="AU989" s="1">
        <v>0</v>
      </c>
      <c r="AV989" s="1">
        <v>0</v>
      </c>
      <c r="AW989" s="1">
        <v>0</v>
      </c>
      <c r="AX989" s="1">
        <v>0</v>
      </c>
      <c r="AY989" s="1">
        <v>0</v>
      </c>
      <c r="AZ989" s="1">
        <v>0</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2" t="str">
        <f>HYPERLINK("http://www.d20pfsrd.com/magic/all-spells/d/darkvision","Darkvision, Greater")</f>
        <v>Darkvision, Greater</v>
      </c>
      <c r="BR989" s="1">
        <v>1031</v>
      </c>
      <c r="BS989" s="1" t="s">
        <v>104</v>
      </c>
      <c r="BX989" s="1">
        <v>0</v>
      </c>
      <c r="BY989" s="1" t="s">
        <v>104</v>
      </c>
      <c r="BZ989" s="1" t="s">
        <v>104</v>
      </c>
      <c r="CA989" s="1">
        <v>4</v>
      </c>
      <c r="CB989" s="1">
        <v>4</v>
      </c>
      <c r="CC989" s="1" t="s">
        <v>104</v>
      </c>
      <c r="CD989" s="1">
        <v>4</v>
      </c>
      <c r="CE989" s="1" t="s">
        <v>104</v>
      </c>
      <c r="CF989" s="1" t="s">
        <v>104</v>
      </c>
      <c r="CG989" s="1" t="s">
        <v>104</v>
      </c>
      <c r="CH989" s="1">
        <v>4</v>
      </c>
      <c r="CJ989" s="1">
        <v>0</v>
      </c>
      <c r="CK989" s="1">
        <v>0</v>
      </c>
      <c r="CL989" s="1">
        <v>0</v>
      </c>
      <c r="CM989" s="1" t="s">
        <v>104</v>
      </c>
    </row>
    <row r="990" spans="1:91" ht="14.25" customHeight="1" x14ac:dyDescent="0.3">
      <c r="A990" s="1" t="s">
        <v>6134</v>
      </c>
      <c r="B990" s="1" t="s">
        <v>123</v>
      </c>
      <c r="C990" s="1" t="s">
        <v>124</v>
      </c>
      <c r="D990" s="1" t="s">
        <v>125</v>
      </c>
      <c r="E990" s="1" t="s">
        <v>6135</v>
      </c>
      <c r="F990" s="1" t="s">
        <v>95</v>
      </c>
      <c r="G990" s="1" t="s">
        <v>116</v>
      </c>
      <c r="H990" s="1">
        <v>0</v>
      </c>
      <c r="I990" s="1" t="s">
        <v>109</v>
      </c>
      <c r="L990" s="1" t="s">
        <v>6136</v>
      </c>
      <c r="M990" s="1" t="s">
        <v>255</v>
      </c>
      <c r="N990" s="1">
        <v>0</v>
      </c>
      <c r="O990" s="1">
        <v>0</v>
      </c>
      <c r="P990" s="1" t="s">
        <v>211</v>
      </c>
      <c r="Q990" s="1" t="s">
        <v>184</v>
      </c>
      <c r="R990" s="1" t="s">
        <v>6137</v>
      </c>
      <c r="S990" s="1" t="s">
        <v>4201</v>
      </c>
      <c r="T990" s="1">
        <v>1</v>
      </c>
      <c r="U990" s="1">
        <v>1</v>
      </c>
      <c r="V990" s="1">
        <v>0</v>
      </c>
      <c r="W990" s="1">
        <v>0</v>
      </c>
      <c r="X990" s="1">
        <v>0</v>
      </c>
      <c r="Y990" s="1">
        <v>4</v>
      </c>
      <c r="Z990" s="1">
        <v>4</v>
      </c>
      <c r="AA990" s="1" t="s">
        <v>104</v>
      </c>
      <c r="AB990" s="1" t="s">
        <v>104</v>
      </c>
      <c r="AC990" s="1" t="s">
        <v>104</v>
      </c>
      <c r="AD990" s="1">
        <v>4</v>
      </c>
      <c r="AE990" s="1" t="s">
        <v>104</v>
      </c>
      <c r="AF990" s="1" t="s">
        <v>104</v>
      </c>
      <c r="AG990" s="1">
        <v>4</v>
      </c>
      <c r="AH990" s="1">
        <v>4</v>
      </c>
      <c r="AI990" s="1">
        <v>4</v>
      </c>
      <c r="AJ990" s="1" t="s">
        <v>104</v>
      </c>
      <c r="AK990" s="1" t="s">
        <v>104</v>
      </c>
      <c r="AL990" s="1" t="s">
        <v>104</v>
      </c>
      <c r="AM990" s="1" t="s">
        <v>104</v>
      </c>
      <c r="AO990" s="1">
        <v>4</v>
      </c>
      <c r="AQ990" s="1" t="s">
        <v>6138</v>
      </c>
      <c r="AR990" s="1">
        <v>0</v>
      </c>
      <c r="AS990" s="1">
        <v>0</v>
      </c>
      <c r="AT990" s="1">
        <v>0</v>
      </c>
      <c r="AU990" s="1">
        <v>0</v>
      </c>
      <c r="AV990" s="1">
        <v>0</v>
      </c>
      <c r="AW990" s="1">
        <v>0</v>
      </c>
      <c r="AX990" s="1">
        <v>0</v>
      </c>
      <c r="AY990" s="1">
        <v>0</v>
      </c>
      <c r="AZ990" s="1">
        <v>0</v>
      </c>
      <c r="BA990" s="1">
        <v>0</v>
      </c>
      <c r="BB990" s="1">
        <v>0</v>
      </c>
      <c r="BC990" s="1">
        <v>0</v>
      </c>
      <c r="BD990" s="1">
        <v>0</v>
      </c>
      <c r="BE990" s="1">
        <v>0</v>
      </c>
      <c r="BF990" s="1">
        <v>0</v>
      </c>
      <c r="BG990" s="1">
        <v>0</v>
      </c>
      <c r="BH990" s="1">
        <v>0</v>
      </c>
      <c r="BI990" s="1">
        <v>0</v>
      </c>
      <c r="BJ990" s="1">
        <v>0</v>
      </c>
      <c r="BK990" s="1">
        <v>1</v>
      </c>
      <c r="BL990" s="1">
        <v>0</v>
      </c>
      <c r="BM990" s="1">
        <v>0</v>
      </c>
      <c r="BN990" s="1">
        <v>0</v>
      </c>
      <c r="BO990" s="1">
        <v>0</v>
      </c>
      <c r="BP990" s="1">
        <v>0</v>
      </c>
      <c r="BQ990" s="2" t="str">
        <f>HYPERLINK("http://www.d20pfsrd.com/magic/all-spells/d/daze","Daze, Mass")</f>
        <v>Daze, Mass</v>
      </c>
      <c r="BR990" s="1">
        <v>1032</v>
      </c>
      <c r="BS990" s="1" t="s">
        <v>104</v>
      </c>
      <c r="BX990" s="1">
        <v>0</v>
      </c>
      <c r="BY990" s="1" t="s">
        <v>104</v>
      </c>
      <c r="BZ990" s="1" t="s">
        <v>104</v>
      </c>
      <c r="CA990" s="1">
        <v>3</v>
      </c>
      <c r="CB990" s="1">
        <v>3</v>
      </c>
      <c r="CC990" s="1">
        <v>4</v>
      </c>
      <c r="CD990" s="1">
        <v>4</v>
      </c>
      <c r="CE990" s="1" t="s">
        <v>104</v>
      </c>
      <c r="CF990" s="1" t="s">
        <v>104</v>
      </c>
      <c r="CG990" s="1" t="s">
        <v>104</v>
      </c>
      <c r="CH990" s="1" t="s">
        <v>104</v>
      </c>
      <c r="CJ990" s="1">
        <v>0</v>
      </c>
      <c r="CK990" s="1">
        <v>0</v>
      </c>
      <c r="CL990" s="1">
        <v>0</v>
      </c>
      <c r="CM990" s="1">
        <v>4</v>
      </c>
    </row>
    <row r="991" spans="1:91" ht="14.25" customHeight="1" x14ac:dyDescent="0.3">
      <c r="A991" s="1" t="s">
        <v>6139</v>
      </c>
      <c r="B991" s="1" t="s">
        <v>216</v>
      </c>
      <c r="E991" s="1" t="s">
        <v>6140</v>
      </c>
      <c r="F991" s="1" t="s">
        <v>95</v>
      </c>
      <c r="G991" s="1" t="s">
        <v>6141</v>
      </c>
      <c r="H991" s="1">
        <v>0</v>
      </c>
      <c r="I991" s="1" t="s">
        <v>128</v>
      </c>
      <c r="L991" s="1" t="s">
        <v>6142</v>
      </c>
      <c r="M991" s="1" t="s">
        <v>6143</v>
      </c>
      <c r="N991" s="1">
        <v>0</v>
      </c>
      <c r="O991" s="1">
        <v>0</v>
      </c>
      <c r="P991" s="1" t="s">
        <v>4401</v>
      </c>
      <c r="Q991" s="1" t="s">
        <v>472</v>
      </c>
      <c r="R991" s="1" t="s">
        <v>6144</v>
      </c>
      <c r="S991" s="1" t="s">
        <v>4201</v>
      </c>
      <c r="T991" s="1">
        <v>1</v>
      </c>
      <c r="U991" s="1">
        <v>1</v>
      </c>
      <c r="V991" s="1">
        <v>1</v>
      </c>
      <c r="W991" s="1">
        <v>0</v>
      </c>
      <c r="X991" s="1">
        <v>0</v>
      </c>
      <c r="Y991" s="1">
        <v>1</v>
      </c>
      <c r="Z991" s="1">
        <v>1</v>
      </c>
      <c r="AA991" s="1">
        <v>1</v>
      </c>
      <c r="AB991" s="1">
        <v>1</v>
      </c>
      <c r="AC991" s="1" t="s">
        <v>104</v>
      </c>
      <c r="AD991" s="1" t="s">
        <v>104</v>
      </c>
      <c r="AE991" s="1" t="s">
        <v>104</v>
      </c>
      <c r="AF991" s="1" t="s">
        <v>104</v>
      </c>
      <c r="AG991" s="1" t="s">
        <v>104</v>
      </c>
      <c r="AH991" s="1">
        <v>1</v>
      </c>
      <c r="AI991" s="1" t="s">
        <v>104</v>
      </c>
      <c r="AJ991" s="1">
        <v>1</v>
      </c>
      <c r="AK991" s="1" t="s">
        <v>104</v>
      </c>
      <c r="AL991" s="1" t="s">
        <v>104</v>
      </c>
      <c r="AM991" s="1" t="s">
        <v>104</v>
      </c>
      <c r="AO991" s="1">
        <v>1</v>
      </c>
      <c r="AQ991" s="1" t="s">
        <v>6145</v>
      </c>
      <c r="AR991" s="1">
        <v>0</v>
      </c>
      <c r="AS991" s="1">
        <v>0</v>
      </c>
      <c r="AT991" s="1">
        <v>0</v>
      </c>
      <c r="AU991" s="1">
        <v>0</v>
      </c>
      <c r="AV991" s="1">
        <v>0</v>
      </c>
      <c r="AW991" s="1">
        <v>0</v>
      </c>
      <c r="AX991" s="1">
        <v>0</v>
      </c>
      <c r="AY991" s="1">
        <v>0</v>
      </c>
      <c r="AZ991" s="1">
        <v>0</v>
      </c>
      <c r="BA991" s="1">
        <v>0</v>
      </c>
      <c r="BB991" s="1">
        <v>0</v>
      </c>
      <c r="BC991" s="1">
        <v>0</v>
      </c>
      <c r="BD991" s="1">
        <v>0</v>
      </c>
      <c r="BE991" s="1">
        <v>0</v>
      </c>
      <c r="BF991" s="1">
        <v>0</v>
      </c>
      <c r="BG991" s="1">
        <v>0</v>
      </c>
      <c r="BH991" s="1">
        <v>0</v>
      </c>
      <c r="BI991" s="1">
        <v>0</v>
      </c>
      <c r="BJ991" s="1">
        <v>0</v>
      </c>
      <c r="BK991" s="1">
        <v>0</v>
      </c>
      <c r="BL991" s="1">
        <v>0</v>
      </c>
      <c r="BM991" s="1">
        <v>0</v>
      </c>
      <c r="BN991" s="1">
        <v>0</v>
      </c>
      <c r="BO991" s="1">
        <v>0</v>
      </c>
      <c r="BP991" s="1">
        <v>0</v>
      </c>
      <c r="BQ991" s="2" t="str">
        <f>HYPERLINK("http://www.d20pfsrd.com/magic/all-spells/d/decompose-corpse","Decompose Corpse")</f>
        <v>Decompose Corpse</v>
      </c>
      <c r="BR991" s="1">
        <v>1033</v>
      </c>
      <c r="BS991" s="1" t="s">
        <v>104</v>
      </c>
      <c r="BX991" s="1">
        <v>0</v>
      </c>
      <c r="BY991" s="1" t="s">
        <v>104</v>
      </c>
      <c r="BZ991" s="1" t="s">
        <v>104</v>
      </c>
      <c r="CA991" s="1">
        <v>1</v>
      </c>
      <c r="CB991" s="1">
        <v>1</v>
      </c>
      <c r="CC991" s="1" t="s">
        <v>104</v>
      </c>
      <c r="CD991" s="1">
        <v>1</v>
      </c>
      <c r="CE991" s="1">
        <v>1</v>
      </c>
      <c r="CF991" s="1" t="s">
        <v>104</v>
      </c>
      <c r="CG991" s="1" t="s">
        <v>104</v>
      </c>
      <c r="CH991" s="1">
        <v>1</v>
      </c>
      <c r="CJ991" s="1">
        <v>0</v>
      </c>
      <c r="CK991" s="1">
        <v>0</v>
      </c>
      <c r="CL991" s="1">
        <v>0</v>
      </c>
      <c r="CM991" s="1" t="s">
        <v>104</v>
      </c>
    </row>
    <row r="992" spans="1:91" ht="14.25" customHeight="1" x14ac:dyDescent="0.3">
      <c r="A992" s="1" t="s">
        <v>6146</v>
      </c>
      <c r="B992" s="1" t="s">
        <v>434</v>
      </c>
      <c r="D992" s="1" t="s">
        <v>52</v>
      </c>
      <c r="E992" s="1" t="s">
        <v>6147</v>
      </c>
      <c r="F992" s="1" t="s">
        <v>95</v>
      </c>
      <c r="G992" s="1" t="s">
        <v>6148</v>
      </c>
      <c r="H992" s="1">
        <v>0</v>
      </c>
      <c r="I992" s="1" t="s">
        <v>157</v>
      </c>
      <c r="L992" s="1" t="s">
        <v>158</v>
      </c>
      <c r="M992" s="1" t="s">
        <v>6149</v>
      </c>
      <c r="N992" s="1">
        <v>0</v>
      </c>
      <c r="O992" s="1">
        <v>0</v>
      </c>
      <c r="R992" s="1" t="s">
        <v>6150</v>
      </c>
      <c r="S992" s="1" t="s">
        <v>4201</v>
      </c>
      <c r="T992" s="1">
        <v>1</v>
      </c>
      <c r="U992" s="1">
        <v>1</v>
      </c>
      <c r="V992" s="1">
        <v>1</v>
      </c>
      <c r="W992" s="1">
        <v>0</v>
      </c>
      <c r="X992" s="1">
        <v>0</v>
      </c>
      <c r="Y992" s="1">
        <v>2</v>
      </c>
      <c r="Z992" s="1">
        <v>2</v>
      </c>
      <c r="AA992" s="1" t="s">
        <v>104</v>
      </c>
      <c r="AB992" s="1" t="s">
        <v>104</v>
      </c>
      <c r="AC992" s="1" t="s">
        <v>104</v>
      </c>
      <c r="AD992" s="1" t="s">
        <v>104</v>
      </c>
      <c r="AE992" s="1" t="s">
        <v>104</v>
      </c>
      <c r="AF992" s="1">
        <v>2</v>
      </c>
      <c r="AG992" s="1" t="s">
        <v>104</v>
      </c>
      <c r="AH992" s="1" t="s">
        <v>104</v>
      </c>
      <c r="AI992" s="1" t="s">
        <v>104</v>
      </c>
      <c r="AJ992" s="1" t="s">
        <v>104</v>
      </c>
      <c r="AK992" s="1" t="s">
        <v>104</v>
      </c>
      <c r="AL992" s="1">
        <v>2</v>
      </c>
      <c r="AM992" s="1" t="s">
        <v>104</v>
      </c>
      <c r="AO992" s="1">
        <v>2</v>
      </c>
      <c r="AQ992" s="1" t="s">
        <v>6151</v>
      </c>
      <c r="AR992" s="1">
        <v>0</v>
      </c>
      <c r="AS992" s="1">
        <v>0</v>
      </c>
      <c r="AT992" s="1">
        <v>0</v>
      </c>
      <c r="AU992" s="1">
        <v>0</v>
      </c>
      <c r="AV992" s="1">
        <v>0</v>
      </c>
      <c r="AW992" s="1">
        <v>0</v>
      </c>
      <c r="AX992" s="1">
        <v>0</v>
      </c>
      <c r="AY992" s="1">
        <v>0</v>
      </c>
      <c r="AZ992" s="1">
        <v>0</v>
      </c>
      <c r="BA992" s="1">
        <v>1</v>
      </c>
      <c r="BB992" s="1">
        <v>0</v>
      </c>
      <c r="BC992" s="1">
        <v>0</v>
      </c>
      <c r="BD992" s="1">
        <v>0</v>
      </c>
      <c r="BE992" s="1">
        <v>0</v>
      </c>
      <c r="BF992" s="1">
        <v>0</v>
      </c>
      <c r="BG992" s="1">
        <v>0</v>
      </c>
      <c r="BH992" s="1">
        <v>0</v>
      </c>
      <c r="BI992" s="1">
        <v>0</v>
      </c>
      <c r="BJ992" s="1">
        <v>0</v>
      </c>
      <c r="BK992" s="1">
        <v>0</v>
      </c>
      <c r="BL992" s="1">
        <v>0</v>
      </c>
      <c r="BM992" s="1">
        <v>0</v>
      </c>
      <c r="BN992" s="1">
        <v>0</v>
      </c>
      <c r="BO992" s="1">
        <v>0</v>
      </c>
      <c r="BP992" s="1">
        <v>0</v>
      </c>
      <c r="BQ992" s="2" t="str">
        <f>HYPERLINK("http://www.d20pfsrd.com/magic/all-spells/d/defensive-shock","Defensive Shock")</f>
        <v>Defensive Shock</v>
      </c>
      <c r="BR992" s="1">
        <v>1034</v>
      </c>
      <c r="BS992" s="1" t="s">
        <v>104</v>
      </c>
      <c r="BT992" s="1" t="s">
        <v>6152</v>
      </c>
      <c r="BX992" s="1">
        <v>0</v>
      </c>
      <c r="BY992" s="1">
        <v>2</v>
      </c>
      <c r="BZ992" s="1" t="s">
        <v>104</v>
      </c>
      <c r="CA992" s="1" t="s">
        <v>104</v>
      </c>
      <c r="CB992" s="1" t="s">
        <v>104</v>
      </c>
      <c r="CC992" s="1" t="s">
        <v>104</v>
      </c>
      <c r="CD992" s="1">
        <v>2</v>
      </c>
      <c r="CE992" s="1" t="s">
        <v>104</v>
      </c>
      <c r="CF992" s="1" t="s">
        <v>104</v>
      </c>
      <c r="CG992" s="1" t="s">
        <v>104</v>
      </c>
      <c r="CH992" s="1" t="s">
        <v>104</v>
      </c>
      <c r="CJ992" s="1">
        <v>0</v>
      </c>
      <c r="CK992" s="1">
        <v>0</v>
      </c>
      <c r="CL992" s="1">
        <v>0</v>
      </c>
      <c r="CM992" s="1" t="s">
        <v>104</v>
      </c>
    </row>
    <row r="993" spans="1:91" ht="14.25" customHeight="1" x14ac:dyDescent="0.3">
      <c r="A993" s="1" t="s">
        <v>6153</v>
      </c>
      <c r="B993" s="1" t="s">
        <v>123</v>
      </c>
      <c r="D993" s="1" t="s">
        <v>53</v>
      </c>
      <c r="E993" s="1" t="s">
        <v>6154</v>
      </c>
      <c r="F993" s="1" t="s">
        <v>95</v>
      </c>
      <c r="G993" s="1" t="s">
        <v>116</v>
      </c>
      <c r="H993" s="1">
        <v>0</v>
      </c>
      <c r="I993" s="1" t="s">
        <v>117</v>
      </c>
      <c r="L993" s="1" t="s">
        <v>1065</v>
      </c>
      <c r="M993" s="1" t="s">
        <v>201</v>
      </c>
      <c r="N993" s="1">
        <v>0</v>
      </c>
      <c r="O993" s="1">
        <v>0</v>
      </c>
      <c r="P993" s="1" t="s">
        <v>211</v>
      </c>
      <c r="Q993" s="1" t="s">
        <v>184</v>
      </c>
      <c r="R993" s="1" t="s">
        <v>6155</v>
      </c>
      <c r="S993" s="1" t="s">
        <v>4201</v>
      </c>
      <c r="T993" s="1">
        <v>1</v>
      </c>
      <c r="U993" s="1">
        <v>1</v>
      </c>
      <c r="V993" s="1">
        <v>0</v>
      </c>
      <c r="W993" s="1">
        <v>0</v>
      </c>
      <c r="X993" s="1">
        <v>0</v>
      </c>
      <c r="Y993" s="1">
        <v>2</v>
      </c>
      <c r="Z993" s="1">
        <v>2</v>
      </c>
      <c r="AA993" s="1">
        <v>2</v>
      </c>
      <c r="AB993" s="1" t="s">
        <v>104</v>
      </c>
      <c r="AC993" s="1" t="s">
        <v>104</v>
      </c>
      <c r="AD993" s="1">
        <v>2</v>
      </c>
      <c r="AE993" s="1" t="s">
        <v>104</v>
      </c>
      <c r="AF993" s="1" t="s">
        <v>104</v>
      </c>
      <c r="AG993" s="1" t="s">
        <v>104</v>
      </c>
      <c r="AH993" s="1">
        <v>2</v>
      </c>
      <c r="AI993" s="1">
        <v>2</v>
      </c>
      <c r="AJ993" s="1">
        <v>2</v>
      </c>
      <c r="AK993" s="1" t="s">
        <v>104</v>
      </c>
      <c r="AL993" s="1" t="s">
        <v>104</v>
      </c>
      <c r="AM993" s="1" t="s">
        <v>104</v>
      </c>
      <c r="AO993" s="1">
        <v>2</v>
      </c>
      <c r="AP993" s="1" t="s">
        <v>6156</v>
      </c>
      <c r="AQ993" s="1" t="s">
        <v>6157</v>
      </c>
      <c r="AR993" s="1">
        <v>0</v>
      </c>
      <c r="AS993" s="1">
        <v>0</v>
      </c>
      <c r="AT993" s="1">
        <v>0</v>
      </c>
      <c r="AU993" s="1">
        <v>0</v>
      </c>
      <c r="AV993" s="1">
        <v>0</v>
      </c>
      <c r="AW993" s="1">
        <v>0</v>
      </c>
      <c r="AX993" s="1">
        <v>0</v>
      </c>
      <c r="AY993" s="1">
        <v>0</v>
      </c>
      <c r="AZ993" s="1">
        <v>0</v>
      </c>
      <c r="BA993" s="1">
        <v>0</v>
      </c>
      <c r="BB993" s="1">
        <v>1</v>
      </c>
      <c r="BC993" s="1">
        <v>0</v>
      </c>
      <c r="BD993" s="1">
        <v>0</v>
      </c>
      <c r="BE993" s="1">
        <v>0</v>
      </c>
      <c r="BF993" s="1">
        <v>0</v>
      </c>
      <c r="BG993" s="1">
        <v>0</v>
      </c>
      <c r="BH993" s="1">
        <v>0</v>
      </c>
      <c r="BI993" s="1">
        <v>0</v>
      </c>
      <c r="BJ993" s="1">
        <v>0</v>
      </c>
      <c r="BK993" s="1">
        <v>0</v>
      </c>
      <c r="BL993" s="1">
        <v>0</v>
      </c>
      <c r="BM993" s="1">
        <v>0</v>
      </c>
      <c r="BN993" s="1">
        <v>0</v>
      </c>
      <c r="BO993" s="1">
        <v>0</v>
      </c>
      <c r="BP993" s="1">
        <v>0</v>
      </c>
      <c r="BQ993" s="2" t="str">
        <f>HYPERLINK("http://www.d20pfsrd.com/magic/all-spells/d/delay-pain","Delay Pain")</f>
        <v>Delay Pain</v>
      </c>
      <c r="BR993" s="1">
        <v>1035</v>
      </c>
      <c r="BS993" s="1" t="s">
        <v>104</v>
      </c>
      <c r="BX993" s="1">
        <v>0</v>
      </c>
      <c r="BY993" s="1">
        <v>2</v>
      </c>
      <c r="BZ993" s="1" t="s">
        <v>104</v>
      </c>
      <c r="CA993" s="1">
        <v>2</v>
      </c>
      <c r="CB993" s="1" t="s">
        <v>104</v>
      </c>
      <c r="CC993" s="1">
        <v>2</v>
      </c>
      <c r="CD993" s="1" t="s">
        <v>104</v>
      </c>
      <c r="CE993" s="1" t="s">
        <v>104</v>
      </c>
      <c r="CF993" s="1" t="s">
        <v>104</v>
      </c>
      <c r="CG993" s="1" t="s">
        <v>104</v>
      </c>
      <c r="CH993" s="1" t="s">
        <v>104</v>
      </c>
      <c r="CJ993" s="1">
        <v>0</v>
      </c>
      <c r="CK993" s="1">
        <v>0</v>
      </c>
      <c r="CL993" s="1">
        <v>0</v>
      </c>
      <c r="CM993" s="1" t="s">
        <v>104</v>
      </c>
    </row>
    <row r="994" spans="1:91" ht="14.25" customHeight="1" x14ac:dyDescent="0.3">
      <c r="A994" s="1" t="s">
        <v>6158</v>
      </c>
      <c r="B994" s="1" t="s">
        <v>123</v>
      </c>
      <c r="C994" s="1" t="s">
        <v>124</v>
      </c>
      <c r="D994" s="1" t="s">
        <v>6034</v>
      </c>
      <c r="E994" s="1" t="s">
        <v>6159</v>
      </c>
      <c r="F994" s="1" t="s">
        <v>95</v>
      </c>
      <c r="G994" s="1" t="s">
        <v>116</v>
      </c>
      <c r="H994" s="1">
        <v>0</v>
      </c>
      <c r="I994" s="1" t="s">
        <v>117</v>
      </c>
      <c r="L994" s="1" t="s">
        <v>1065</v>
      </c>
      <c r="M994" s="1" t="s">
        <v>191</v>
      </c>
      <c r="N994" s="1">
        <v>0</v>
      </c>
      <c r="O994" s="1">
        <v>0</v>
      </c>
      <c r="P994" s="1" t="s">
        <v>211</v>
      </c>
      <c r="Q994" s="1" t="s">
        <v>184</v>
      </c>
      <c r="R994" s="1" t="s">
        <v>6160</v>
      </c>
      <c r="S994" s="1" t="s">
        <v>4201</v>
      </c>
      <c r="T994" s="1">
        <v>1</v>
      </c>
      <c r="U994" s="1">
        <v>1</v>
      </c>
      <c r="V994" s="1">
        <v>0</v>
      </c>
      <c r="W994" s="1">
        <v>0</v>
      </c>
      <c r="X994" s="1">
        <v>0</v>
      </c>
      <c r="Y994" s="1">
        <v>1</v>
      </c>
      <c r="Z994" s="1">
        <v>1</v>
      </c>
      <c r="AA994" s="1" t="s">
        <v>104</v>
      </c>
      <c r="AB994" s="1" t="s">
        <v>104</v>
      </c>
      <c r="AC994" s="1" t="s">
        <v>104</v>
      </c>
      <c r="AD994" s="1">
        <v>1</v>
      </c>
      <c r="AE994" s="1" t="s">
        <v>104</v>
      </c>
      <c r="AF994" s="1" t="s">
        <v>104</v>
      </c>
      <c r="AG994" s="1" t="s">
        <v>104</v>
      </c>
      <c r="AH994" s="1">
        <v>1</v>
      </c>
      <c r="AI994" s="1" t="s">
        <v>104</v>
      </c>
      <c r="AJ994" s="1" t="s">
        <v>104</v>
      </c>
      <c r="AK994" s="1" t="s">
        <v>104</v>
      </c>
      <c r="AL994" s="1" t="s">
        <v>104</v>
      </c>
      <c r="AM994" s="1" t="s">
        <v>104</v>
      </c>
      <c r="AO994" s="1">
        <v>1</v>
      </c>
      <c r="AQ994" s="1" t="s">
        <v>6161</v>
      </c>
      <c r="AR994" s="1">
        <v>0</v>
      </c>
      <c r="AS994" s="1">
        <v>0</v>
      </c>
      <c r="AT994" s="1">
        <v>0</v>
      </c>
      <c r="AU994" s="1">
        <v>0</v>
      </c>
      <c r="AV994" s="1">
        <v>0</v>
      </c>
      <c r="AW994" s="1">
        <v>0</v>
      </c>
      <c r="AX994" s="1">
        <v>0</v>
      </c>
      <c r="AY994" s="1">
        <v>0</v>
      </c>
      <c r="AZ994" s="1">
        <v>0</v>
      </c>
      <c r="BA994" s="1">
        <v>0</v>
      </c>
      <c r="BB994" s="1">
        <v>1</v>
      </c>
      <c r="BC994" s="1">
        <v>0</v>
      </c>
      <c r="BD994" s="1">
        <v>0</v>
      </c>
      <c r="BE994" s="1">
        <v>0</v>
      </c>
      <c r="BF994" s="1">
        <v>0</v>
      </c>
      <c r="BG994" s="1">
        <v>0</v>
      </c>
      <c r="BH994" s="1">
        <v>0</v>
      </c>
      <c r="BI994" s="1">
        <v>0</v>
      </c>
      <c r="BJ994" s="1">
        <v>0</v>
      </c>
      <c r="BK994" s="1">
        <v>1</v>
      </c>
      <c r="BL994" s="1">
        <v>0</v>
      </c>
      <c r="BM994" s="1">
        <v>0</v>
      </c>
      <c r="BN994" s="1">
        <v>0</v>
      </c>
      <c r="BO994" s="1">
        <v>0</v>
      </c>
      <c r="BP994" s="1">
        <v>0</v>
      </c>
      <c r="BQ994" s="2" t="str">
        <f>HYPERLINK("http://www.d20pfsrd.com/magic/all-spells/d/delusional-pride","Delusional Pride")</f>
        <v>Delusional Pride</v>
      </c>
      <c r="BR994" s="1">
        <v>1036</v>
      </c>
      <c r="BS994" s="1" t="s">
        <v>104</v>
      </c>
      <c r="BX994" s="1">
        <v>0</v>
      </c>
      <c r="BY994" s="1" t="s">
        <v>104</v>
      </c>
      <c r="BZ994" s="1" t="s">
        <v>104</v>
      </c>
      <c r="CA994" s="1">
        <v>1</v>
      </c>
      <c r="CB994" s="1">
        <v>1</v>
      </c>
      <c r="CC994" s="1">
        <v>1</v>
      </c>
      <c r="CD994" s="1" t="s">
        <v>104</v>
      </c>
      <c r="CE994" s="1" t="s">
        <v>104</v>
      </c>
      <c r="CF994" s="1" t="s">
        <v>104</v>
      </c>
      <c r="CG994" s="1" t="s">
        <v>104</v>
      </c>
      <c r="CH994" s="1" t="s">
        <v>104</v>
      </c>
      <c r="CJ994" s="1">
        <v>0</v>
      </c>
      <c r="CK994" s="1">
        <v>0</v>
      </c>
      <c r="CL994" s="1">
        <v>0</v>
      </c>
      <c r="CM994" s="1" t="s">
        <v>104</v>
      </c>
    </row>
    <row r="995" spans="1:91" ht="14.25" customHeight="1" x14ac:dyDescent="0.3">
      <c r="A995" s="1" t="s">
        <v>6162</v>
      </c>
      <c r="B995" s="1" t="s">
        <v>172</v>
      </c>
      <c r="E995" s="1" t="s">
        <v>6163</v>
      </c>
      <c r="F995" s="1" t="s">
        <v>95</v>
      </c>
      <c r="G995" s="1" t="s">
        <v>116</v>
      </c>
      <c r="H995" s="1">
        <v>0</v>
      </c>
      <c r="I995" s="1" t="s">
        <v>117</v>
      </c>
      <c r="J995" s="1" t="s">
        <v>1106</v>
      </c>
      <c r="L995" s="1" t="s">
        <v>1106</v>
      </c>
      <c r="M995" s="1" t="s">
        <v>119</v>
      </c>
      <c r="N995" s="1">
        <v>0</v>
      </c>
      <c r="O995" s="1">
        <v>0</v>
      </c>
      <c r="P995" s="1" t="s">
        <v>100</v>
      </c>
      <c r="Q995" s="1" t="s">
        <v>101</v>
      </c>
      <c r="R995" s="1" t="s">
        <v>6164</v>
      </c>
      <c r="S995" s="1" t="s">
        <v>4201</v>
      </c>
      <c r="T995" s="1">
        <v>1</v>
      </c>
      <c r="U995" s="1">
        <v>1</v>
      </c>
      <c r="V995" s="1">
        <v>0</v>
      </c>
      <c r="W995" s="1">
        <v>0</v>
      </c>
      <c r="X995" s="1">
        <v>0</v>
      </c>
      <c r="Y995" s="1" t="s">
        <v>104</v>
      </c>
      <c r="Z995" s="1" t="s">
        <v>104</v>
      </c>
      <c r="AA995" s="1">
        <v>1</v>
      </c>
      <c r="AB995" s="1">
        <v>1</v>
      </c>
      <c r="AC995" s="1">
        <v>1</v>
      </c>
      <c r="AD995" s="1" t="s">
        <v>104</v>
      </c>
      <c r="AE995" s="1">
        <v>1</v>
      </c>
      <c r="AF995" s="1" t="s">
        <v>104</v>
      </c>
      <c r="AG995" s="1" t="s">
        <v>104</v>
      </c>
      <c r="AH995" s="1">
        <v>1</v>
      </c>
      <c r="AI995" s="1" t="s">
        <v>104</v>
      </c>
      <c r="AJ995" s="1">
        <v>1</v>
      </c>
      <c r="AK995" s="1" t="s">
        <v>104</v>
      </c>
      <c r="AL995" s="1" t="s">
        <v>104</v>
      </c>
      <c r="AM995" s="1" t="s">
        <v>104</v>
      </c>
      <c r="AO995" s="1">
        <v>1</v>
      </c>
      <c r="AQ995" s="1" t="s">
        <v>6165</v>
      </c>
      <c r="AR995" s="1">
        <v>0</v>
      </c>
      <c r="AS995" s="1">
        <v>0</v>
      </c>
      <c r="AT995" s="1">
        <v>0</v>
      </c>
      <c r="AU995" s="1">
        <v>0</v>
      </c>
      <c r="AV995" s="1">
        <v>0</v>
      </c>
      <c r="AW995" s="1">
        <v>0</v>
      </c>
      <c r="AX995" s="1">
        <v>0</v>
      </c>
      <c r="AY995" s="1">
        <v>0</v>
      </c>
      <c r="AZ995" s="1">
        <v>0</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2" t="str">
        <f>HYPERLINK("http://www.d20pfsrd.com/magic/all-spells/d/diagnose-disease","Diagnose Disease")</f>
        <v>Diagnose Disease</v>
      </c>
      <c r="BR995" s="1">
        <v>1037</v>
      </c>
      <c r="BS995" s="1" t="s">
        <v>104</v>
      </c>
      <c r="BX995" s="1">
        <v>0</v>
      </c>
      <c r="BY995" s="1" t="s">
        <v>104</v>
      </c>
      <c r="BZ995" s="1" t="s">
        <v>104</v>
      </c>
      <c r="CA995" s="1">
        <v>1</v>
      </c>
      <c r="CB995" s="1" t="s">
        <v>104</v>
      </c>
      <c r="CC995" s="1">
        <v>1</v>
      </c>
      <c r="CD995" s="1">
        <v>1</v>
      </c>
      <c r="CE995" s="1" t="s">
        <v>104</v>
      </c>
      <c r="CF995" s="1" t="s">
        <v>104</v>
      </c>
      <c r="CG995" s="1" t="s">
        <v>104</v>
      </c>
      <c r="CH995" s="1">
        <v>1</v>
      </c>
      <c r="CJ995" s="1">
        <v>0</v>
      </c>
      <c r="CK995" s="1">
        <v>0</v>
      </c>
      <c r="CL995" s="1">
        <v>0</v>
      </c>
      <c r="CM995" s="1" t="s">
        <v>104</v>
      </c>
    </row>
    <row r="996" spans="1:91" ht="14.25" customHeight="1" x14ac:dyDescent="0.3">
      <c r="A996" s="1" t="s">
        <v>6166</v>
      </c>
      <c r="B996" s="1" t="s">
        <v>137</v>
      </c>
      <c r="D996" s="1" t="s">
        <v>47</v>
      </c>
      <c r="E996" s="1" t="s">
        <v>6167</v>
      </c>
      <c r="F996" s="1" t="s">
        <v>95</v>
      </c>
      <c r="G996" s="1" t="s">
        <v>116</v>
      </c>
      <c r="H996" s="1">
        <v>0</v>
      </c>
      <c r="I996" s="1" t="s">
        <v>128</v>
      </c>
      <c r="L996" s="1" t="s">
        <v>374</v>
      </c>
      <c r="M996" s="1" t="s">
        <v>194</v>
      </c>
      <c r="N996" s="1">
        <v>0</v>
      </c>
      <c r="O996" s="1">
        <v>0</v>
      </c>
      <c r="P996" s="1" t="s">
        <v>211</v>
      </c>
      <c r="Q996" s="1" t="s">
        <v>184</v>
      </c>
      <c r="R996" s="1" t="s">
        <v>6168</v>
      </c>
      <c r="S996" s="1" t="s">
        <v>4201</v>
      </c>
      <c r="T996" s="1">
        <v>1</v>
      </c>
      <c r="U996" s="1">
        <v>1</v>
      </c>
      <c r="V996" s="1">
        <v>0</v>
      </c>
      <c r="W996" s="1">
        <v>0</v>
      </c>
      <c r="X996" s="1">
        <v>0</v>
      </c>
      <c r="Y996" s="1">
        <v>2</v>
      </c>
      <c r="Z996" s="1">
        <v>2</v>
      </c>
      <c r="AA996" s="1">
        <v>2</v>
      </c>
      <c r="AB996" s="1" t="s">
        <v>104</v>
      </c>
      <c r="AC996" s="1" t="s">
        <v>104</v>
      </c>
      <c r="AD996" s="1" t="s">
        <v>104</v>
      </c>
      <c r="AE996" s="1" t="s">
        <v>104</v>
      </c>
      <c r="AF996" s="1" t="s">
        <v>104</v>
      </c>
      <c r="AG996" s="1" t="s">
        <v>104</v>
      </c>
      <c r="AH996" s="1">
        <v>2</v>
      </c>
      <c r="AI996" s="1" t="s">
        <v>104</v>
      </c>
      <c r="AJ996" s="1">
        <v>2</v>
      </c>
      <c r="AK996" s="1" t="s">
        <v>104</v>
      </c>
      <c r="AL996" s="1" t="s">
        <v>104</v>
      </c>
      <c r="AM996" s="1" t="s">
        <v>104</v>
      </c>
      <c r="AO996" s="1">
        <v>2</v>
      </c>
      <c r="AQ996" s="1" t="s">
        <v>6169</v>
      </c>
      <c r="AR996" s="1">
        <v>0</v>
      </c>
      <c r="AS996" s="1">
        <v>0</v>
      </c>
      <c r="AT996" s="1">
        <v>0</v>
      </c>
      <c r="AU996" s="1">
        <v>0</v>
      </c>
      <c r="AV996" s="1">
        <v>1</v>
      </c>
      <c r="AW996" s="1">
        <v>0</v>
      </c>
      <c r="AX996" s="1">
        <v>0</v>
      </c>
      <c r="AY996" s="1">
        <v>0</v>
      </c>
      <c r="AZ996" s="1">
        <v>0</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2" t="str">
        <f>HYPERLINK("http://www.d20pfsrd.com/magic/all-spells/d/disfiguring-touch","Disfiguring Touch")</f>
        <v>Disfiguring Touch</v>
      </c>
      <c r="BR996" s="1">
        <v>1038</v>
      </c>
      <c r="BS996" s="1" t="s">
        <v>104</v>
      </c>
      <c r="BV996" s="1" t="s">
        <v>6170</v>
      </c>
      <c r="BW996" s="1" t="s">
        <v>6171</v>
      </c>
      <c r="BX996" s="1">
        <v>1</v>
      </c>
      <c r="BY996" s="1">
        <v>2</v>
      </c>
      <c r="BZ996" s="1" t="s">
        <v>104</v>
      </c>
      <c r="CA996" s="1">
        <v>2</v>
      </c>
      <c r="CB996" s="1" t="s">
        <v>104</v>
      </c>
      <c r="CC996" s="1">
        <v>2</v>
      </c>
      <c r="CD996" s="1">
        <v>2</v>
      </c>
      <c r="CE996" s="1">
        <v>2</v>
      </c>
      <c r="CF996" s="1" t="s">
        <v>104</v>
      </c>
      <c r="CG996" s="1" t="s">
        <v>104</v>
      </c>
      <c r="CH996" s="1" t="s">
        <v>104</v>
      </c>
      <c r="CJ996" s="1">
        <v>0</v>
      </c>
      <c r="CK996" s="1">
        <v>0</v>
      </c>
      <c r="CL996" s="1">
        <v>0</v>
      </c>
      <c r="CM996" s="1" t="s">
        <v>104</v>
      </c>
    </row>
    <row r="997" spans="1:91" ht="14.25" customHeight="1" x14ac:dyDescent="0.3">
      <c r="A997" s="1" t="s">
        <v>6172</v>
      </c>
      <c r="B997" s="1" t="s">
        <v>507</v>
      </c>
      <c r="C997" s="1" t="s">
        <v>508</v>
      </c>
      <c r="E997" s="1" t="s">
        <v>6173</v>
      </c>
      <c r="F997" s="1" t="s">
        <v>95</v>
      </c>
      <c r="G997" s="1" t="s">
        <v>116</v>
      </c>
      <c r="H997" s="1">
        <v>0</v>
      </c>
      <c r="I997" s="1" t="s">
        <v>128</v>
      </c>
      <c r="L997" s="1" t="s">
        <v>374</v>
      </c>
      <c r="M997" s="1" t="s">
        <v>6174</v>
      </c>
      <c r="N997" s="1">
        <v>1</v>
      </c>
      <c r="O997" s="1">
        <v>0</v>
      </c>
      <c r="R997" s="1" t="s">
        <v>6175</v>
      </c>
      <c r="S997" s="1" t="s">
        <v>4201</v>
      </c>
      <c r="T997" s="1">
        <v>1</v>
      </c>
      <c r="U997" s="1">
        <v>1</v>
      </c>
      <c r="V997" s="1">
        <v>0</v>
      </c>
      <c r="W997" s="1">
        <v>0</v>
      </c>
      <c r="X997" s="1">
        <v>0</v>
      </c>
      <c r="Y997" s="1">
        <v>2</v>
      </c>
      <c r="Z997" s="1">
        <v>2</v>
      </c>
      <c r="AA997" s="1" t="s">
        <v>104</v>
      </c>
      <c r="AB997" s="1" t="s">
        <v>104</v>
      </c>
      <c r="AC997" s="1" t="s">
        <v>104</v>
      </c>
      <c r="AD997" s="1">
        <v>2</v>
      </c>
      <c r="AE997" s="1" t="s">
        <v>104</v>
      </c>
      <c r="AF997" s="1" t="s">
        <v>104</v>
      </c>
      <c r="AG997" s="1" t="s">
        <v>104</v>
      </c>
      <c r="AH997" s="1" t="s">
        <v>104</v>
      </c>
      <c r="AI997" s="1">
        <v>2</v>
      </c>
      <c r="AJ997" s="1" t="s">
        <v>104</v>
      </c>
      <c r="AK997" s="1" t="s">
        <v>104</v>
      </c>
      <c r="AL997" s="1" t="s">
        <v>104</v>
      </c>
      <c r="AM997" s="1" t="s">
        <v>104</v>
      </c>
      <c r="AO997" s="1">
        <v>2</v>
      </c>
      <c r="AQ997" s="1" t="s">
        <v>6176</v>
      </c>
      <c r="AR997" s="1">
        <v>0</v>
      </c>
      <c r="AS997" s="1">
        <v>0</v>
      </c>
      <c r="AT997" s="1">
        <v>0</v>
      </c>
      <c r="AU997" s="1">
        <v>0</v>
      </c>
      <c r="AV997" s="1">
        <v>0</v>
      </c>
      <c r="AW997" s="1">
        <v>0</v>
      </c>
      <c r="AX997" s="1">
        <v>0</v>
      </c>
      <c r="AY997" s="1">
        <v>0</v>
      </c>
      <c r="AZ997" s="1">
        <v>0</v>
      </c>
      <c r="BA997" s="1">
        <v>0</v>
      </c>
      <c r="BB997" s="1">
        <v>0</v>
      </c>
      <c r="BC997" s="1">
        <v>0</v>
      </c>
      <c r="BD997" s="1">
        <v>0</v>
      </c>
      <c r="BE997" s="1">
        <v>0</v>
      </c>
      <c r="BF997" s="1">
        <v>0</v>
      </c>
      <c r="BG997" s="1">
        <v>0</v>
      </c>
      <c r="BH997" s="1">
        <v>0</v>
      </c>
      <c r="BI997" s="1">
        <v>0</v>
      </c>
      <c r="BJ997" s="1">
        <v>0</v>
      </c>
      <c r="BK997" s="1">
        <v>0</v>
      </c>
      <c r="BL997" s="1">
        <v>0</v>
      </c>
      <c r="BM997" s="1">
        <v>0</v>
      </c>
      <c r="BN997" s="1">
        <v>0</v>
      </c>
      <c r="BO997" s="1">
        <v>0</v>
      </c>
      <c r="BP997" s="1">
        <v>0</v>
      </c>
      <c r="BQ997" s="2" t="str">
        <f>HYPERLINK("http://www.d20pfsrd.com/magic/all-spells/d/disguise-other","Disguise Other")</f>
        <v>Disguise Other</v>
      </c>
      <c r="BR997" s="1">
        <v>1039</v>
      </c>
      <c r="BS997" s="1" t="s">
        <v>104</v>
      </c>
      <c r="BX997" s="1">
        <v>0</v>
      </c>
      <c r="BY997" s="1" t="s">
        <v>104</v>
      </c>
      <c r="BZ997" s="1" t="s">
        <v>104</v>
      </c>
      <c r="CA997" s="1">
        <v>2</v>
      </c>
      <c r="CB997" s="1">
        <v>2</v>
      </c>
      <c r="CC997" s="1" t="s">
        <v>104</v>
      </c>
      <c r="CD997" s="1">
        <v>2</v>
      </c>
      <c r="CE997" s="1" t="s">
        <v>104</v>
      </c>
      <c r="CF997" s="1" t="s">
        <v>104</v>
      </c>
      <c r="CG997" s="1" t="s">
        <v>104</v>
      </c>
      <c r="CH997" s="1" t="s">
        <v>104</v>
      </c>
      <c r="CJ997" s="1">
        <v>0</v>
      </c>
      <c r="CK997" s="1">
        <v>0</v>
      </c>
      <c r="CL997" s="1">
        <v>0</v>
      </c>
      <c r="CM997" s="1" t="s">
        <v>104</v>
      </c>
    </row>
    <row r="998" spans="1:91" ht="14.25" customHeight="1" x14ac:dyDescent="0.3">
      <c r="A998" s="1" t="s">
        <v>6177</v>
      </c>
      <c r="B998" s="1" t="s">
        <v>434</v>
      </c>
      <c r="D998" s="1" t="s">
        <v>66</v>
      </c>
      <c r="E998" s="1" t="s">
        <v>6178</v>
      </c>
      <c r="F998" s="1" t="s">
        <v>95</v>
      </c>
      <c r="G998" s="1" t="s">
        <v>116</v>
      </c>
      <c r="H998" s="1">
        <v>0</v>
      </c>
      <c r="I998" s="1" t="s">
        <v>109</v>
      </c>
      <c r="J998" s="1" t="s">
        <v>5441</v>
      </c>
      <c r="M998" s="1" t="s">
        <v>426</v>
      </c>
      <c r="N998" s="1">
        <v>1</v>
      </c>
      <c r="O998" s="1">
        <v>0</v>
      </c>
      <c r="P998" s="1" t="s">
        <v>100</v>
      </c>
      <c r="Q998" s="1" t="s">
        <v>184</v>
      </c>
      <c r="R998" s="1" t="s">
        <v>6179</v>
      </c>
      <c r="S998" s="1" t="s">
        <v>4201</v>
      </c>
      <c r="T998" s="1">
        <v>1</v>
      </c>
      <c r="U998" s="1">
        <v>1</v>
      </c>
      <c r="V998" s="1">
        <v>0</v>
      </c>
      <c r="W998" s="1">
        <v>0</v>
      </c>
      <c r="X998" s="1">
        <v>0</v>
      </c>
      <c r="Y998" s="1">
        <v>3</v>
      </c>
      <c r="Z998" s="1">
        <v>3</v>
      </c>
      <c r="AA998" s="1" t="s">
        <v>104</v>
      </c>
      <c r="AB998" s="1" t="s">
        <v>104</v>
      </c>
      <c r="AC998" s="1" t="s">
        <v>104</v>
      </c>
      <c r="AD998" s="1">
        <v>2</v>
      </c>
      <c r="AE998" s="1" t="s">
        <v>104</v>
      </c>
      <c r="AF998" s="1" t="s">
        <v>104</v>
      </c>
      <c r="AG998" s="1" t="s">
        <v>104</v>
      </c>
      <c r="AH998" s="1" t="s">
        <v>104</v>
      </c>
      <c r="AI998" s="1" t="s">
        <v>104</v>
      </c>
      <c r="AJ998" s="1" t="s">
        <v>104</v>
      </c>
      <c r="AK998" s="1" t="s">
        <v>104</v>
      </c>
      <c r="AL998" s="1" t="s">
        <v>104</v>
      </c>
      <c r="AM998" s="1" t="s">
        <v>104</v>
      </c>
      <c r="AO998" s="1">
        <v>3</v>
      </c>
      <c r="AQ998" s="1" t="s">
        <v>6180</v>
      </c>
      <c r="AR998" s="1">
        <v>0</v>
      </c>
      <c r="AS998" s="1">
        <v>0</v>
      </c>
      <c r="AT998" s="1">
        <v>0</v>
      </c>
      <c r="AU998" s="1">
        <v>0</v>
      </c>
      <c r="AV998" s="1">
        <v>0</v>
      </c>
      <c r="AW998" s="1">
        <v>0</v>
      </c>
      <c r="AX998" s="1">
        <v>0</v>
      </c>
      <c r="AY998" s="1">
        <v>0</v>
      </c>
      <c r="AZ998" s="1">
        <v>0</v>
      </c>
      <c r="BA998" s="1">
        <v>0</v>
      </c>
      <c r="BB998" s="1">
        <v>0</v>
      </c>
      <c r="BC998" s="1">
        <v>0</v>
      </c>
      <c r="BD998" s="1">
        <v>0</v>
      </c>
      <c r="BE998" s="1">
        <v>0</v>
      </c>
      <c r="BF998" s="1">
        <v>0</v>
      </c>
      <c r="BG998" s="1">
        <v>0</v>
      </c>
      <c r="BH998" s="1">
        <v>0</v>
      </c>
      <c r="BI998" s="1">
        <v>0</v>
      </c>
      <c r="BJ998" s="1">
        <v>0</v>
      </c>
      <c r="BK998" s="1">
        <v>0</v>
      </c>
      <c r="BL998" s="1">
        <v>0</v>
      </c>
      <c r="BM998" s="1">
        <v>0</v>
      </c>
      <c r="BN998" s="1">
        <v>0</v>
      </c>
      <c r="BO998" s="1">
        <v>1</v>
      </c>
      <c r="BP998" s="1">
        <v>0</v>
      </c>
      <c r="BQ998" s="2" t="str">
        <f>HYPERLINK("http://www.d20pfsrd.com/magic/all-spells/d/distracting-cacophony","Distracting Cacophony")</f>
        <v>Distracting Cacophony</v>
      </c>
      <c r="BR998" s="1">
        <v>1040</v>
      </c>
      <c r="BS998" s="1" t="s">
        <v>104</v>
      </c>
      <c r="BU998" s="1" t="s">
        <v>5261</v>
      </c>
      <c r="BX998" s="1">
        <v>0</v>
      </c>
      <c r="BY998" s="1" t="s">
        <v>104</v>
      </c>
      <c r="BZ998" s="1" t="s">
        <v>104</v>
      </c>
      <c r="CA998" s="1">
        <v>3</v>
      </c>
      <c r="CB998" s="1" t="s">
        <v>104</v>
      </c>
      <c r="CC998" s="1" t="s">
        <v>104</v>
      </c>
      <c r="CD998" s="1" t="s">
        <v>104</v>
      </c>
      <c r="CE998" s="1" t="s">
        <v>104</v>
      </c>
      <c r="CF998" s="1" t="s">
        <v>104</v>
      </c>
      <c r="CG998" s="1" t="s">
        <v>104</v>
      </c>
      <c r="CH998" s="1" t="s">
        <v>104</v>
      </c>
      <c r="CJ998" s="1">
        <v>0</v>
      </c>
      <c r="CK998" s="1">
        <v>0</v>
      </c>
      <c r="CL998" s="1">
        <v>0</v>
      </c>
      <c r="CM998" s="1" t="s">
        <v>104</v>
      </c>
    </row>
    <row r="999" spans="1:91" ht="14.25" customHeight="1" x14ac:dyDescent="0.3">
      <c r="A999" s="1" t="s">
        <v>6181</v>
      </c>
      <c r="B999" s="1" t="s">
        <v>434</v>
      </c>
      <c r="D999" s="1" t="s">
        <v>66</v>
      </c>
      <c r="E999" s="1" t="s">
        <v>6182</v>
      </c>
      <c r="F999" s="1" t="s">
        <v>255</v>
      </c>
      <c r="G999" s="1" t="s">
        <v>116</v>
      </c>
      <c r="H999" s="1">
        <v>0</v>
      </c>
      <c r="I999" s="1" t="s">
        <v>117</v>
      </c>
      <c r="L999" s="1" t="s">
        <v>6183</v>
      </c>
      <c r="M999" s="1" t="s">
        <v>111</v>
      </c>
      <c r="N999" s="1">
        <v>0</v>
      </c>
      <c r="O999" s="1">
        <v>0</v>
      </c>
      <c r="P999" s="1" t="s">
        <v>183</v>
      </c>
      <c r="Q999" s="1" t="s">
        <v>184</v>
      </c>
      <c r="R999" s="1" t="s">
        <v>6184</v>
      </c>
      <c r="S999" s="1" t="s">
        <v>4201</v>
      </c>
      <c r="T999" s="1">
        <v>1</v>
      </c>
      <c r="U999" s="1">
        <v>1</v>
      </c>
      <c r="V999" s="1">
        <v>0</v>
      </c>
      <c r="W999" s="1">
        <v>0</v>
      </c>
      <c r="X999" s="1">
        <v>0</v>
      </c>
      <c r="Y999" s="1" t="s">
        <v>104</v>
      </c>
      <c r="Z999" s="1" t="s">
        <v>104</v>
      </c>
      <c r="AA999" s="1" t="s">
        <v>104</v>
      </c>
      <c r="AB999" s="1" t="s">
        <v>104</v>
      </c>
      <c r="AC999" s="1" t="s">
        <v>104</v>
      </c>
      <c r="AD999" s="1">
        <v>2</v>
      </c>
      <c r="AE999" s="1" t="s">
        <v>104</v>
      </c>
      <c r="AF999" s="1" t="s">
        <v>104</v>
      </c>
      <c r="AG999" s="1" t="s">
        <v>104</v>
      </c>
      <c r="AH999" s="1" t="s">
        <v>104</v>
      </c>
      <c r="AI999" s="1">
        <v>2</v>
      </c>
      <c r="AJ999" s="1" t="s">
        <v>104</v>
      </c>
      <c r="AK999" s="1" t="s">
        <v>104</v>
      </c>
      <c r="AL999" s="1" t="s">
        <v>104</v>
      </c>
      <c r="AM999" s="1" t="s">
        <v>104</v>
      </c>
      <c r="AO999" s="1">
        <v>2</v>
      </c>
      <c r="AQ999" s="1" t="s">
        <v>6185</v>
      </c>
      <c r="AR999" s="1">
        <v>0</v>
      </c>
      <c r="AS999" s="1">
        <v>0</v>
      </c>
      <c r="AT999" s="1">
        <v>0</v>
      </c>
      <c r="AU999" s="1">
        <v>0</v>
      </c>
      <c r="AV999" s="1">
        <v>0</v>
      </c>
      <c r="AW999" s="1">
        <v>0</v>
      </c>
      <c r="AX999" s="1">
        <v>0</v>
      </c>
      <c r="AY999" s="1">
        <v>0</v>
      </c>
      <c r="AZ999" s="1">
        <v>0</v>
      </c>
      <c r="BA999" s="1">
        <v>0</v>
      </c>
      <c r="BB999" s="1">
        <v>0</v>
      </c>
      <c r="BC999" s="1">
        <v>0</v>
      </c>
      <c r="BD999" s="1">
        <v>0</v>
      </c>
      <c r="BE999" s="1">
        <v>0</v>
      </c>
      <c r="BF999" s="1">
        <v>0</v>
      </c>
      <c r="BG999" s="1">
        <v>0</v>
      </c>
      <c r="BH999" s="1">
        <v>0</v>
      </c>
      <c r="BI999" s="1">
        <v>0</v>
      </c>
      <c r="BJ999" s="1">
        <v>0</v>
      </c>
      <c r="BK999" s="1">
        <v>0</v>
      </c>
      <c r="BL999" s="1">
        <v>0</v>
      </c>
      <c r="BM999" s="1">
        <v>0</v>
      </c>
      <c r="BN999" s="1">
        <v>0</v>
      </c>
      <c r="BO999" s="1">
        <v>1</v>
      </c>
      <c r="BP999" s="1">
        <v>0</v>
      </c>
      <c r="BQ999" s="2" t="str">
        <f>HYPERLINK("http://www.d20pfsrd.com/magic/all-spells/d/distressing-tone","Distressing Tone")</f>
        <v>Distressing Tone</v>
      </c>
      <c r="BR999" s="1">
        <v>1041</v>
      </c>
      <c r="BS999" s="1" t="s">
        <v>104</v>
      </c>
      <c r="BX999" s="1">
        <v>0</v>
      </c>
      <c r="BY999" s="1" t="s">
        <v>104</v>
      </c>
      <c r="BZ999" s="1" t="s">
        <v>104</v>
      </c>
      <c r="CA999" s="1" t="s">
        <v>104</v>
      </c>
      <c r="CB999" s="1" t="s">
        <v>104</v>
      </c>
      <c r="CC999" s="1" t="s">
        <v>104</v>
      </c>
      <c r="CD999" s="1" t="s">
        <v>104</v>
      </c>
      <c r="CE999" s="1" t="s">
        <v>104</v>
      </c>
      <c r="CF999" s="1" t="s">
        <v>104</v>
      </c>
      <c r="CG999" s="1" t="s">
        <v>104</v>
      </c>
      <c r="CH999" s="1" t="s">
        <v>104</v>
      </c>
      <c r="CJ999" s="1">
        <v>0</v>
      </c>
      <c r="CK999" s="1">
        <v>0</v>
      </c>
      <c r="CL999" s="1">
        <v>0</v>
      </c>
      <c r="CM999" s="1" t="s">
        <v>104</v>
      </c>
    </row>
    <row r="1000" spans="1:91" ht="14.25" customHeight="1" x14ac:dyDescent="0.3">
      <c r="A1000" s="1" t="s">
        <v>6186</v>
      </c>
      <c r="B1000" s="1" t="s">
        <v>137</v>
      </c>
      <c r="E1000" s="1" t="s">
        <v>6187</v>
      </c>
      <c r="F1000" s="1" t="s">
        <v>95</v>
      </c>
      <c r="G1000" s="1" t="s">
        <v>116</v>
      </c>
      <c r="H1000" s="1">
        <v>0</v>
      </c>
      <c r="I1000" s="1" t="s">
        <v>157</v>
      </c>
      <c r="L1000" s="1" t="s">
        <v>158</v>
      </c>
      <c r="M1000" s="1" t="s">
        <v>6188</v>
      </c>
      <c r="N1000" s="1">
        <v>0</v>
      </c>
      <c r="O1000" s="1">
        <v>0</v>
      </c>
      <c r="R1000" s="1" t="s">
        <v>6189</v>
      </c>
      <c r="S1000" s="1" t="s">
        <v>4201</v>
      </c>
      <c r="T1000" s="1">
        <v>1</v>
      </c>
      <c r="U1000" s="1">
        <v>1</v>
      </c>
      <c r="V1000" s="1">
        <v>0</v>
      </c>
      <c r="W1000" s="1">
        <v>0</v>
      </c>
      <c r="X1000" s="1">
        <v>0</v>
      </c>
      <c r="Y1000" s="1" t="s">
        <v>104</v>
      </c>
      <c r="Z1000" s="1" t="s">
        <v>104</v>
      </c>
      <c r="AA1000" s="1" t="s">
        <v>104</v>
      </c>
      <c r="AB1000" s="1" t="s">
        <v>104</v>
      </c>
      <c r="AC1000" s="1" t="s">
        <v>104</v>
      </c>
      <c r="AD1000" s="1" t="s">
        <v>104</v>
      </c>
      <c r="AE1000" s="1" t="s">
        <v>104</v>
      </c>
      <c r="AF1000" s="1" t="s">
        <v>104</v>
      </c>
      <c r="AG1000" s="1" t="s">
        <v>104</v>
      </c>
      <c r="AH1000" s="1" t="s">
        <v>104</v>
      </c>
      <c r="AI1000" s="1">
        <v>5</v>
      </c>
      <c r="AJ1000" s="1" t="s">
        <v>104</v>
      </c>
      <c r="AK1000" s="1" t="s">
        <v>104</v>
      </c>
      <c r="AL1000" s="1" t="s">
        <v>104</v>
      </c>
      <c r="AM1000" s="1" t="s">
        <v>104</v>
      </c>
      <c r="AO1000" s="1">
        <v>5</v>
      </c>
      <c r="AQ1000" s="1" t="s">
        <v>6190</v>
      </c>
      <c r="AR1000" s="1">
        <v>0</v>
      </c>
      <c r="AS1000" s="1">
        <v>0</v>
      </c>
      <c r="AT1000" s="1">
        <v>0</v>
      </c>
      <c r="AU1000" s="1">
        <v>0</v>
      </c>
      <c r="AV1000" s="1">
        <v>0</v>
      </c>
      <c r="AW1000" s="1">
        <v>0</v>
      </c>
      <c r="AX1000" s="1">
        <v>0</v>
      </c>
      <c r="AY1000" s="1">
        <v>0</v>
      </c>
      <c r="AZ1000" s="1">
        <v>0</v>
      </c>
      <c r="BA1000" s="1">
        <v>0</v>
      </c>
      <c r="BB1000" s="1">
        <v>0</v>
      </c>
      <c r="BC1000" s="1">
        <v>0</v>
      </c>
      <c r="BD1000" s="1">
        <v>0</v>
      </c>
      <c r="BE1000" s="1">
        <v>0</v>
      </c>
      <c r="BF1000" s="1">
        <v>0</v>
      </c>
      <c r="BG1000" s="1">
        <v>0</v>
      </c>
      <c r="BH1000" s="1">
        <v>0</v>
      </c>
      <c r="BI1000" s="1">
        <v>0</v>
      </c>
      <c r="BJ1000" s="1">
        <v>0</v>
      </c>
      <c r="BK1000" s="1">
        <v>0</v>
      </c>
      <c r="BL1000" s="1">
        <v>0</v>
      </c>
      <c r="BM1000" s="1">
        <v>0</v>
      </c>
      <c r="BN1000" s="1">
        <v>0</v>
      </c>
      <c r="BO1000" s="1">
        <v>0</v>
      </c>
      <c r="BP1000" s="1">
        <v>0</v>
      </c>
      <c r="BQ1000" s="2" t="str">
        <f>HYPERLINK("http://www.d20pfsrd.com/magic/all-spells/d/divine-pursuit","Divine Pursuit")</f>
        <v>Divine Pursuit</v>
      </c>
      <c r="BR1000" s="1">
        <v>1042</v>
      </c>
      <c r="BS1000" s="1" t="s">
        <v>104</v>
      </c>
      <c r="BV1000" s="1" t="s">
        <v>6191</v>
      </c>
      <c r="BX1000" s="1">
        <v>1</v>
      </c>
      <c r="BY1000" s="1" t="s">
        <v>104</v>
      </c>
      <c r="BZ1000" s="1" t="s">
        <v>104</v>
      </c>
      <c r="CA1000" s="1" t="s">
        <v>104</v>
      </c>
      <c r="CB1000" s="1" t="s">
        <v>104</v>
      </c>
      <c r="CC1000" s="1" t="s">
        <v>104</v>
      </c>
      <c r="CD1000" s="1" t="s">
        <v>104</v>
      </c>
      <c r="CE1000" s="1" t="s">
        <v>104</v>
      </c>
      <c r="CF1000" s="1" t="s">
        <v>104</v>
      </c>
      <c r="CG1000" s="1" t="s">
        <v>104</v>
      </c>
      <c r="CH1000" s="1" t="s">
        <v>104</v>
      </c>
      <c r="CJ1000" s="1">
        <v>0</v>
      </c>
      <c r="CK1000" s="1">
        <v>0</v>
      </c>
      <c r="CL1000" s="1">
        <v>0</v>
      </c>
      <c r="CM1000" s="1" t="s">
        <v>104</v>
      </c>
    </row>
    <row r="1001" spans="1:91" ht="14.25" customHeight="1" x14ac:dyDescent="0.3">
      <c r="A1001" s="1" t="s">
        <v>6192</v>
      </c>
      <c r="B1001" s="1" t="s">
        <v>434</v>
      </c>
      <c r="D1001" s="1" t="s">
        <v>54</v>
      </c>
      <c r="E1001" s="1" t="s">
        <v>6193</v>
      </c>
      <c r="F1001" s="1" t="s">
        <v>95</v>
      </c>
      <c r="G1001" s="1" t="s">
        <v>127</v>
      </c>
      <c r="H1001" s="1">
        <v>0</v>
      </c>
      <c r="I1001" s="1" t="s">
        <v>117</v>
      </c>
      <c r="K1001" s="1" t="s">
        <v>6194</v>
      </c>
      <c r="M1001" s="1" t="s">
        <v>6195</v>
      </c>
      <c r="N1001" s="1">
        <v>0</v>
      </c>
      <c r="O1001" s="1">
        <v>0</v>
      </c>
      <c r="P1001" s="1" t="s">
        <v>5901</v>
      </c>
      <c r="Q1001" s="1" t="s">
        <v>184</v>
      </c>
      <c r="R1001" s="1" t="s">
        <v>6196</v>
      </c>
      <c r="S1001" s="1" t="s">
        <v>4201</v>
      </c>
      <c r="T1001" s="1">
        <v>1</v>
      </c>
      <c r="U1001" s="1">
        <v>1</v>
      </c>
      <c r="V1001" s="1">
        <v>0</v>
      </c>
      <c r="W1001" s="1">
        <v>0</v>
      </c>
      <c r="X1001" s="1">
        <v>1</v>
      </c>
      <c r="Y1001" s="1" t="s">
        <v>104</v>
      </c>
      <c r="Z1001" s="1" t="s">
        <v>104</v>
      </c>
      <c r="AA1001" s="1">
        <v>2</v>
      </c>
      <c r="AB1001" s="1" t="s">
        <v>104</v>
      </c>
      <c r="AC1001" s="1" t="s">
        <v>104</v>
      </c>
      <c r="AD1001" s="1" t="s">
        <v>104</v>
      </c>
      <c r="AE1001" s="1" t="s">
        <v>104</v>
      </c>
      <c r="AF1001" s="1" t="s">
        <v>104</v>
      </c>
      <c r="AG1001" s="1" t="s">
        <v>104</v>
      </c>
      <c r="AH1001" s="1" t="s">
        <v>104</v>
      </c>
      <c r="AI1001" s="1" t="s">
        <v>104</v>
      </c>
      <c r="AJ1001" s="1">
        <v>2</v>
      </c>
      <c r="AK1001" s="1" t="s">
        <v>104</v>
      </c>
      <c r="AL1001" s="1" t="s">
        <v>104</v>
      </c>
      <c r="AM1001" s="1" t="s">
        <v>104</v>
      </c>
      <c r="AO1001" s="1">
        <v>2</v>
      </c>
      <c r="AQ1001" s="1" t="s">
        <v>6197</v>
      </c>
      <c r="AR1001" s="1">
        <v>0</v>
      </c>
      <c r="AS1001" s="1">
        <v>0</v>
      </c>
      <c r="AT1001" s="1">
        <v>0</v>
      </c>
      <c r="AU1001" s="1">
        <v>0</v>
      </c>
      <c r="AV1001" s="1">
        <v>0</v>
      </c>
      <c r="AW1001" s="1">
        <v>0</v>
      </c>
      <c r="AX1001" s="1">
        <v>0</v>
      </c>
      <c r="AY1001" s="1">
        <v>0</v>
      </c>
      <c r="AZ1001" s="1">
        <v>0</v>
      </c>
      <c r="BA1001" s="1">
        <v>0</v>
      </c>
      <c r="BB1001" s="1">
        <v>0</v>
      </c>
      <c r="BC1001" s="1">
        <v>1</v>
      </c>
      <c r="BD1001" s="1">
        <v>0</v>
      </c>
      <c r="BE1001" s="1">
        <v>0</v>
      </c>
      <c r="BF1001" s="1">
        <v>0</v>
      </c>
      <c r="BG1001" s="1">
        <v>0</v>
      </c>
      <c r="BH1001" s="1">
        <v>0</v>
      </c>
      <c r="BI1001" s="1">
        <v>0</v>
      </c>
      <c r="BJ1001" s="1">
        <v>0</v>
      </c>
      <c r="BK1001" s="1">
        <v>0</v>
      </c>
      <c r="BL1001" s="1">
        <v>0</v>
      </c>
      <c r="BM1001" s="1">
        <v>0</v>
      </c>
      <c r="BN1001" s="1">
        <v>0</v>
      </c>
      <c r="BO1001" s="1">
        <v>0</v>
      </c>
      <c r="BP1001" s="1">
        <v>0</v>
      </c>
      <c r="BQ1001" s="2" t="str">
        <f>HYPERLINK("http://www.d20pfsrd.com/magic/all-spells/d/dread-bolt","Dread Bolt")</f>
        <v>Dread Bolt</v>
      </c>
      <c r="BR1001" s="1">
        <v>1043</v>
      </c>
      <c r="BS1001" s="1" t="s">
        <v>104</v>
      </c>
      <c r="BX1001" s="1">
        <v>0</v>
      </c>
      <c r="BY1001" s="1" t="s">
        <v>104</v>
      </c>
      <c r="BZ1001" s="1" t="s">
        <v>104</v>
      </c>
      <c r="CA1001" s="1" t="s">
        <v>104</v>
      </c>
      <c r="CB1001" s="1" t="s">
        <v>104</v>
      </c>
      <c r="CC1001" s="1" t="s">
        <v>104</v>
      </c>
      <c r="CD1001" s="1" t="s">
        <v>104</v>
      </c>
      <c r="CE1001" s="1" t="s">
        <v>104</v>
      </c>
      <c r="CF1001" s="1" t="s">
        <v>104</v>
      </c>
      <c r="CG1001" s="1" t="s">
        <v>104</v>
      </c>
      <c r="CH1001" s="1" t="s">
        <v>104</v>
      </c>
      <c r="CJ1001" s="1">
        <v>0</v>
      </c>
      <c r="CK1001" s="1">
        <v>0</v>
      </c>
      <c r="CL1001" s="1">
        <v>0</v>
      </c>
      <c r="CM1001" s="1" t="s">
        <v>104</v>
      </c>
    </row>
    <row r="1002" spans="1:91" ht="14.25" customHeight="1" x14ac:dyDescent="0.3">
      <c r="A1002" s="1" t="s">
        <v>6198</v>
      </c>
      <c r="B1002" s="1" t="s">
        <v>92</v>
      </c>
      <c r="C1002" s="1" t="s">
        <v>903</v>
      </c>
      <c r="D1002" s="1" t="s">
        <v>58</v>
      </c>
      <c r="E1002" s="1" t="s">
        <v>6199</v>
      </c>
      <c r="F1002" s="1" t="s">
        <v>255</v>
      </c>
      <c r="G1002" s="1" t="s">
        <v>127</v>
      </c>
      <c r="H1002" s="1">
        <v>0</v>
      </c>
      <c r="I1002" s="1" t="s">
        <v>97</v>
      </c>
      <c r="K1002" s="1" t="s">
        <v>6200</v>
      </c>
      <c r="M1002" s="1" t="s">
        <v>201</v>
      </c>
      <c r="N1002" s="1">
        <v>0</v>
      </c>
      <c r="O1002" s="1">
        <v>0</v>
      </c>
      <c r="P1002" s="1" t="s">
        <v>100</v>
      </c>
      <c r="Q1002" s="1" t="s">
        <v>101</v>
      </c>
      <c r="R1002" s="1" t="s">
        <v>6201</v>
      </c>
      <c r="S1002" s="1" t="s">
        <v>4201</v>
      </c>
      <c r="T1002" s="1">
        <v>1</v>
      </c>
      <c r="U1002" s="1">
        <v>1</v>
      </c>
      <c r="V1002" s="1">
        <v>0</v>
      </c>
      <c r="W1002" s="1">
        <v>0</v>
      </c>
      <c r="X1002" s="1">
        <v>1</v>
      </c>
      <c r="Y1002" s="1" t="s">
        <v>104</v>
      </c>
      <c r="Z1002" s="1" t="s">
        <v>104</v>
      </c>
      <c r="AA1002" s="1" t="s">
        <v>104</v>
      </c>
      <c r="AB1002" s="1">
        <v>6</v>
      </c>
      <c r="AC1002" s="1" t="s">
        <v>104</v>
      </c>
      <c r="AD1002" s="1" t="s">
        <v>104</v>
      </c>
      <c r="AE1002" s="1" t="s">
        <v>104</v>
      </c>
      <c r="AF1002" s="1" t="s">
        <v>104</v>
      </c>
      <c r="AG1002" s="1">
        <v>6</v>
      </c>
      <c r="AH1002" s="1" t="s">
        <v>104</v>
      </c>
      <c r="AI1002" s="1" t="s">
        <v>104</v>
      </c>
      <c r="AJ1002" s="1" t="s">
        <v>104</v>
      </c>
      <c r="AK1002" s="1" t="s">
        <v>104</v>
      </c>
      <c r="AL1002" s="1" t="s">
        <v>104</v>
      </c>
      <c r="AM1002" s="1" t="s">
        <v>104</v>
      </c>
      <c r="AO1002" s="1">
        <v>6</v>
      </c>
      <c r="AQ1002" s="1" t="s">
        <v>6202</v>
      </c>
      <c r="AR1002" s="1">
        <v>0</v>
      </c>
      <c r="AS1002" s="1">
        <v>0</v>
      </c>
      <c r="AT1002" s="1">
        <v>0</v>
      </c>
      <c r="AU1002" s="1">
        <v>0</v>
      </c>
      <c r="AV1002" s="1">
        <v>0</v>
      </c>
      <c r="AW1002" s="1">
        <v>0</v>
      </c>
      <c r="AX1002" s="1">
        <v>0</v>
      </c>
      <c r="AY1002" s="1">
        <v>0</v>
      </c>
      <c r="AZ1002" s="1">
        <v>0</v>
      </c>
      <c r="BA1002" s="1">
        <v>0</v>
      </c>
      <c r="BB1002" s="1">
        <v>0</v>
      </c>
      <c r="BC1002" s="1">
        <v>0</v>
      </c>
      <c r="BD1002" s="1">
        <v>0</v>
      </c>
      <c r="BE1002" s="1">
        <v>0</v>
      </c>
      <c r="BF1002" s="1">
        <v>0</v>
      </c>
      <c r="BG1002" s="1">
        <v>1</v>
      </c>
      <c r="BH1002" s="1">
        <v>0</v>
      </c>
      <c r="BI1002" s="1">
        <v>0</v>
      </c>
      <c r="BJ1002" s="1">
        <v>0</v>
      </c>
      <c r="BK1002" s="1">
        <v>0</v>
      </c>
      <c r="BL1002" s="1">
        <v>0</v>
      </c>
      <c r="BM1002" s="1">
        <v>0</v>
      </c>
      <c r="BN1002" s="1">
        <v>0</v>
      </c>
      <c r="BO1002" s="1">
        <v>0</v>
      </c>
      <c r="BP1002" s="1">
        <v>0</v>
      </c>
      <c r="BQ1002" s="2" t="str">
        <f>HYPERLINK("http://www.d20pfsrd.com/magic/all-spells/e/eagle-aerie","Eagle Aerie")</f>
        <v>Eagle Aerie</v>
      </c>
      <c r="BR1002" s="1">
        <v>1044</v>
      </c>
      <c r="BS1002" s="1" t="s">
        <v>104</v>
      </c>
      <c r="BX1002" s="1">
        <v>0</v>
      </c>
      <c r="BY1002" s="1" t="s">
        <v>104</v>
      </c>
      <c r="BZ1002" s="1" t="s">
        <v>104</v>
      </c>
      <c r="CA1002" s="1" t="s">
        <v>104</v>
      </c>
      <c r="CB1002" s="1" t="s">
        <v>104</v>
      </c>
      <c r="CC1002" s="1" t="s">
        <v>104</v>
      </c>
      <c r="CD1002" s="1" t="s">
        <v>104</v>
      </c>
      <c r="CE1002" s="1" t="s">
        <v>104</v>
      </c>
      <c r="CF1002" s="1" t="s">
        <v>104</v>
      </c>
      <c r="CG1002" s="1" t="s">
        <v>104</v>
      </c>
      <c r="CH1002" s="1">
        <v>6</v>
      </c>
      <c r="CJ1002" s="1">
        <v>0</v>
      </c>
      <c r="CK1002" s="1">
        <v>0</v>
      </c>
      <c r="CL1002" s="1">
        <v>0</v>
      </c>
      <c r="CM1002" s="1">
        <v>6</v>
      </c>
    </row>
    <row r="1003" spans="1:91" ht="14.25" customHeight="1" x14ac:dyDescent="0.3">
      <c r="A1003" s="1" t="s">
        <v>6203</v>
      </c>
      <c r="B1003" s="1" t="s">
        <v>434</v>
      </c>
      <c r="D1003" s="1" t="s">
        <v>66</v>
      </c>
      <c r="E1003" s="1" t="s">
        <v>6204</v>
      </c>
      <c r="F1003" s="1" t="s">
        <v>95</v>
      </c>
      <c r="G1003" s="1" t="s">
        <v>116</v>
      </c>
      <c r="H1003" s="1">
        <v>0</v>
      </c>
      <c r="I1003" s="1" t="s">
        <v>117</v>
      </c>
      <c r="L1003" s="1" t="s">
        <v>1065</v>
      </c>
      <c r="M1003" s="1" t="s">
        <v>723</v>
      </c>
      <c r="N1003" s="1">
        <v>0</v>
      </c>
      <c r="O1003" s="1">
        <v>0</v>
      </c>
      <c r="P1003" s="1" t="s">
        <v>6205</v>
      </c>
      <c r="Q1003" s="1" t="s">
        <v>184</v>
      </c>
      <c r="R1003" s="1" t="s">
        <v>6206</v>
      </c>
      <c r="S1003" s="1" t="s">
        <v>4201</v>
      </c>
      <c r="T1003" s="1">
        <v>1</v>
      </c>
      <c r="U1003" s="1">
        <v>1</v>
      </c>
      <c r="V1003" s="1">
        <v>0</v>
      </c>
      <c r="W1003" s="1">
        <v>0</v>
      </c>
      <c r="X1003" s="1">
        <v>0</v>
      </c>
      <c r="Y1003" s="1">
        <v>1</v>
      </c>
      <c r="Z1003" s="1">
        <v>1</v>
      </c>
      <c r="AA1003" s="1" t="s">
        <v>104</v>
      </c>
      <c r="AB1003" s="1" t="s">
        <v>104</v>
      </c>
      <c r="AC1003" s="1" t="s">
        <v>104</v>
      </c>
      <c r="AD1003" s="1">
        <v>1</v>
      </c>
      <c r="AE1003" s="1" t="s">
        <v>104</v>
      </c>
      <c r="AF1003" s="1" t="s">
        <v>104</v>
      </c>
      <c r="AG1003" s="1" t="s">
        <v>104</v>
      </c>
      <c r="AH1003" s="1">
        <v>1</v>
      </c>
      <c r="AI1003" s="1">
        <v>1</v>
      </c>
      <c r="AJ1003" s="1" t="s">
        <v>104</v>
      </c>
      <c r="AK1003" s="1" t="s">
        <v>104</v>
      </c>
      <c r="AL1003" s="1" t="s">
        <v>104</v>
      </c>
      <c r="AM1003" s="1" t="s">
        <v>104</v>
      </c>
      <c r="AO1003" s="1">
        <v>1</v>
      </c>
      <c r="AQ1003" s="1" t="s">
        <v>6207</v>
      </c>
      <c r="AR1003" s="1">
        <v>0</v>
      </c>
      <c r="AS1003" s="1">
        <v>0</v>
      </c>
      <c r="AT1003" s="1">
        <v>0</v>
      </c>
      <c r="AU1003" s="1">
        <v>0</v>
      </c>
      <c r="AV1003" s="1">
        <v>0</v>
      </c>
      <c r="AW1003" s="1">
        <v>0</v>
      </c>
      <c r="AX1003" s="1">
        <v>0</v>
      </c>
      <c r="AY1003" s="1">
        <v>0</v>
      </c>
      <c r="AZ1003" s="1">
        <v>0</v>
      </c>
      <c r="BA1003" s="1">
        <v>0</v>
      </c>
      <c r="BB1003" s="1">
        <v>0</v>
      </c>
      <c r="BC1003" s="1">
        <v>0</v>
      </c>
      <c r="BD1003" s="1">
        <v>0</v>
      </c>
      <c r="BE1003" s="1">
        <v>0</v>
      </c>
      <c r="BF1003" s="1">
        <v>0</v>
      </c>
      <c r="BG1003" s="1">
        <v>0</v>
      </c>
      <c r="BH1003" s="1">
        <v>0</v>
      </c>
      <c r="BI1003" s="1">
        <v>0</v>
      </c>
      <c r="BJ1003" s="1">
        <v>0</v>
      </c>
      <c r="BK1003" s="1">
        <v>0</v>
      </c>
      <c r="BL1003" s="1">
        <v>0</v>
      </c>
      <c r="BM1003" s="1">
        <v>0</v>
      </c>
      <c r="BN1003" s="1">
        <v>0</v>
      </c>
      <c r="BO1003" s="1">
        <v>1</v>
      </c>
      <c r="BP1003" s="1">
        <v>0</v>
      </c>
      <c r="BQ1003" s="2" t="str">
        <f>HYPERLINK("http://www.d20pfsrd.com/magic/all-spells/e/ear-piercing-scream","Ear-Piercing Scream")</f>
        <v>Ear-Piercing Scream</v>
      </c>
      <c r="BR1003" s="1">
        <v>1045</v>
      </c>
      <c r="BS1003" s="1" t="s">
        <v>104</v>
      </c>
      <c r="BV1003" s="1" t="s">
        <v>6208</v>
      </c>
      <c r="BW1003" s="1" t="s">
        <v>6209</v>
      </c>
      <c r="BX1003" s="1">
        <v>1</v>
      </c>
      <c r="BY1003" s="1">
        <v>1</v>
      </c>
      <c r="BZ1003" s="1" t="s">
        <v>104</v>
      </c>
      <c r="CA1003" s="1">
        <v>1</v>
      </c>
      <c r="CB1003" s="1">
        <v>1</v>
      </c>
      <c r="CC1003" s="1" t="s">
        <v>104</v>
      </c>
      <c r="CD1003" s="1" t="s">
        <v>104</v>
      </c>
      <c r="CE1003" s="1" t="s">
        <v>104</v>
      </c>
      <c r="CF1003" s="1" t="s">
        <v>104</v>
      </c>
      <c r="CG1003" s="1" t="s">
        <v>104</v>
      </c>
      <c r="CH1003" s="1" t="s">
        <v>104</v>
      </c>
      <c r="CJ1003" s="1">
        <v>0</v>
      </c>
      <c r="CK1003" s="1">
        <v>0</v>
      </c>
      <c r="CL1003" s="1">
        <v>0</v>
      </c>
      <c r="CM1003" s="1" t="s">
        <v>104</v>
      </c>
    </row>
    <row r="1004" spans="1:91" ht="14.25" customHeight="1" x14ac:dyDescent="0.3">
      <c r="A1004" s="1" t="s">
        <v>6210</v>
      </c>
      <c r="B1004" s="1" t="s">
        <v>137</v>
      </c>
      <c r="D1004" s="1" t="s">
        <v>66</v>
      </c>
      <c r="E1004" s="1" t="s">
        <v>6211</v>
      </c>
      <c r="F1004" s="1" t="s">
        <v>95</v>
      </c>
      <c r="G1004" s="1" t="s">
        <v>237</v>
      </c>
      <c r="H1004" s="1">
        <v>0</v>
      </c>
      <c r="I1004" s="1" t="s">
        <v>157</v>
      </c>
      <c r="L1004" s="1" t="s">
        <v>158</v>
      </c>
      <c r="M1004" s="1" t="s">
        <v>4292</v>
      </c>
      <c r="N1004" s="1">
        <v>0</v>
      </c>
      <c r="O1004" s="1">
        <v>0</v>
      </c>
      <c r="R1004" s="1" t="s">
        <v>6212</v>
      </c>
      <c r="S1004" s="1" t="s">
        <v>4201</v>
      </c>
      <c r="T1004" s="1">
        <v>1</v>
      </c>
      <c r="U1004" s="1">
        <v>0</v>
      </c>
      <c r="V1004" s="1">
        <v>0</v>
      </c>
      <c r="W1004" s="1">
        <v>0</v>
      </c>
      <c r="X1004" s="1">
        <v>0</v>
      </c>
      <c r="Y1004" s="1">
        <v>5</v>
      </c>
      <c r="Z1004" s="1">
        <v>5</v>
      </c>
      <c r="AA1004" s="1" t="s">
        <v>104</v>
      </c>
      <c r="AB1004" s="1">
        <v>4</v>
      </c>
      <c r="AC1004" s="1" t="s">
        <v>104</v>
      </c>
      <c r="AD1004" s="1">
        <v>4</v>
      </c>
      <c r="AE1004" s="1" t="s">
        <v>104</v>
      </c>
      <c r="AF1004" s="1">
        <v>4</v>
      </c>
      <c r="AG1004" s="1" t="s">
        <v>104</v>
      </c>
      <c r="AH1004" s="1" t="s">
        <v>104</v>
      </c>
      <c r="AI1004" s="1" t="s">
        <v>104</v>
      </c>
      <c r="AJ1004" s="1" t="s">
        <v>104</v>
      </c>
      <c r="AK1004" s="1" t="s">
        <v>104</v>
      </c>
      <c r="AL1004" s="1" t="s">
        <v>104</v>
      </c>
      <c r="AM1004" s="1" t="s">
        <v>104</v>
      </c>
      <c r="AO1004" s="1">
        <v>5</v>
      </c>
      <c r="AQ1004" s="1" t="s">
        <v>6213</v>
      </c>
      <c r="AR1004" s="1">
        <v>0</v>
      </c>
      <c r="AS1004" s="1">
        <v>0</v>
      </c>
      <c r="AT1004" s="1">
        <v>0</v>
      </c>
      <c r="AU1004" s="1">
        <v>0</v>
      </c>
      <c r="AV1004" s="1">
        <v>0</v>
      </c>
      <c r="AW1004" s="1">
        <v>0</v>
      </c>
      <c r="AX1004" s="1">
        <v>0</v>
      </c>
      <c r="AY1004" s="1">
        <v>0</v>
      </c>
      <c r="AZ1004" s="1">
        <v>0</v>
      </c>
      <c r="BA1004" s="1">
        <v>0</v>
      </c>
      <c r="BB1004" s="1">
        <v>0</v>
      </c>
      <c r="BC1004" s="1">
        <v>0</v>
      </c>
      <c r="BD1004" s="1">
        <v>0</v>
      </c>
      <c r="BE1004" s="1">
        <v>0</v>
      </c>
      <c r="BF1004" s="1">
        <v>0</v>
      </c>
      <c r="BG1004" s="1">
        <v>0</v>
      </c>
      <c r="BH1004" s="1">
        <v>0</v>
      </c>
      <c r="BI1004" s="1">
        <v>0</v>
      </c>
      <c r="BJ1004" s="1">
        <v>0</v>
      </c>
      <c r="BK1004" s="1">
        <v>0</v>
      </c>
      <c r="BL1004" s="1">
        <v>0</v>
      </c>
      <c r="BM1004" s="1">
        <v>0</v>
      </c>
      <c r="BN1004" s="1">
        <v>0</v>
      </c>
      <c r="BO1004" s="1">
        <v>1</v>
      </c>
      <c r="BP1004" s="1">
        <v>0</v>
      </c>
      <c r="BQ1004" s="2" t="str">
        <f>HYPERLINK("http://www.d20pfsrd.com/magic/all-spells/e/echolocation","Echolocation")</f>
        <v>Echolocation</v>
      </c>
      <c r="BR1004" s="1">
        <v>1046</v>
      </c>
      <c r="BS1004" s="1" t="s">
        <v>104</v>
      </c>
      <c r="BT1004" s="1" t="s">
        <v>6214</v>
      </c>
      <c r="BX1004" s="1">
        <v>0</v>
      </c>
      <c r="BY1004" s="1" t="s">
        <v>104</v>
      </c>
      <c r="BZ1004" s="1" t="s">
        <v>104</v>
      </c>
      <c r="CA1004" s="1">
        <v>5</v>
      </c>
      <c r="CB1004" s="1" t="s">
        <v>104</v>
      </c>
      <c r="CC1004" s="1" t="s">
        <v>104</v>
      </c>
      <c r="CD1004" s="1">
        <v>4</v>
      </c>
      <c r="CE1004" s="1" t="s">
        <v>104</v>
      </c>
      <c r="CF1004" s="1" t="s">
        <v>104</v>
      </c>
      <c r="CG1004" s="1" t="s">
        <v>104</v>
      </c>
      <c r="CH1004" s="1">
        <v>4</v>
      </c>
      <c r="CJ1004" s="1">
        <v>0</v>
      </c>
      <c r="CK1004" s="1">
        <v>0</v>
      </c>
      <c r="CL1004" s="1">
        <v>0</v>
      </c>
      <c r="CM1004" s="1" t="s">
        <v>104</v>
      </c>
    </row>
    <row r="1005" spans="1:91" ht="14.25" customHeight="1" x14ac:dyDescent="0.3">
      <c r="A1005" s="1" t="s">
        <v>6215</v>
      </c>
      <c r="B1005" s="1" t="s">
        <v>216</v>
      </c>
      <c r="D1005" s="1" t="s">
        <v>6216</v>
      </c>
      <c r="E1005" s="1" t="s">
        <v>6217</v>
      </c>
      <c r="F1005" s="1" t="s">
        <v>6218</v>
      </c>
      <c r="G1005" s="1" t="s">
        <v>116</v>
      </c>
      <c r="H1005" s="1">
        <v>0</v>
      </c>
      <c r="I1005" s="1" t="s">
        <v>117</v>
      </c>
      <c r="L1005" s="1" t="s">
        <v>1065</v>
      </c>
      <c r="M1005" s="1" t="s">
        <v>119</v>
      </c>
      <c r="N1005" s="1">
        <v>0</v>
      </c>
      <c r="O1005" s="1">
        <v>0</v>
      </c>
      <c r="P1005" s="1" t="s">
        <v>183</v>
      </c>
      <c r="Q1005" s="1" t="s">
        <v>184</v>
      </c>
      <c r="R1005" s="1" t="s">
        <v>6219</v>
      </c>
      <c r="S1005" s="1" t="s">
        <v>4201</v>
      </c>
      <c r="T1005" s="1">
        <v>1</v>
      </c>
      <c r="U1005" s="1">
        <v>1</v>
      </c>
      <c r="V1005" s="1">
        <v>0</v>
      </c>
      <c r="W1005" s="1">
        <v>0</v>
      </c>
      <c r="X1005" s="1">
        <v>0</v>
      </c>
      <c r="Y1005" s="1">
        <v>3</v>
      </c>
      <c r="Z1005" s="1">
        <v>3</v>
      </c>
      <c r="AA1005" s="1" t="s">
        <v>104</v>
      </c>
      <c r="AB1005" s="1" t="s">
        <v>104</v>
      </c>
      <c r="AC1005" s="1" t="s">
        <v>104</v>
      </c>
      <c r="AD1005" s="1" t="s">
        <v>104</v>
      </c>
      <c r="AE1005" s="1" t="s">
        <v>104</v>
      </c>
      <c r="AF1005" s="1" t="s">
        <v>104</v>
      </c>
      <c r="AG1005" s="1" t="s">
        <v>104</v>
      </c>
      <c r="AH1005" s="1">
        <v>3</v>
      </c>
      <c r="AI1005" s="1">
        <v>3</v>
      </c>
      <c r="AJ1005" s="1" t="s">
        <v>104</v>
      </c>
      <c r="AK1005" s="1" t="s">
        <v>104</v>
      </c>
      <c r="AL1005" s="1" t="s">
        <v>104</v>
      </c>
      <c r="AM1005" s="1" t="s">
        <v>104</v>
      </c>
      <c r="AO1005" s="1">
        <v>3</v>
      </c>
      <c r="AQ1005" s="1" t="s">
        <v>6220</v>
      </c>
      <c r="AR1005" s="1">
        <v>0</v>
      </c>
      <c r="AS1005" s="1">
        <v>0</v>
      </c>
      <c r="AT1005" s="1">
        <v>0</v>
      </c>
      <c r="AU1005" s="1">
        <v>0</v>
      </c>
      <c r="AV1005" s="1">
        <v>1</v>
      </c>
      <c r="AW1005" s="1">
        <v>0</v>
      </c>
      <c r="AX1005" s="1">
        <v>0</v>
      </c>
      <c r="AY1005" s="1">
        <v>1</v>
      </c>
      <c r="AZ1005" s="1">
        <v>0</v>
      </c>
      <c r="BA1005" s="1">
        <v>0</v>
      </c>
      <c r="BB1005" s="1">
        <v>0</v>
      </c>
      <c r="BC1005" s="1">
        <v>1</v>
      </c>
      <c r="BD1005" s="1">
        <v>0</v>
      </c>
      <c r="BE1005" s="1">
        <v>0</v>
      </c>
      <c r="BF1005" s="1">
        <v>0</v>
      </c>
      <c r="BG1005" s="1">
        <v>0</v>
      </c>
      <c r="BH1005" s="1">
        <v>0</v>
      </c>
      <c r="BI1005" s="1">
        <v>0</v>
      </c>
      <c r="BJ1005" s="1">
        <v>0</v>
      </c>
      <c r="BK1005" s="1">
        <v>0</v>
      </c>
      <c r="BL1005" s="1">
        <v>0</v>
      </c>
      <c r="BM1005" s="1">
        <v>0</v>
      </c>
      <c r="BN1005" s="1">
        <v>0</v>
      </c>
      <c r="BO1005" s="1">
        <v>0</v>
      </c>
      <c r="BP1005" s="1">
        <v>0</v>
      </c>
      <c r="BQ1005" s="2" t="str">
        <f>HYPERLINK("http://www.d20pfsrd.com/magic/all-spells/e/eldritch-fever","Eldritch Fever")</f>
        <v>Eldritch Fever</v>
      </c>
      <c r="BR1005" s="1">
        <v>1047</v>
      </c>
      <c r="BS1005" s="1" t="s">
        <v>104</v>
      </c>
      <c r="BX1005" s="1">
        <v>0</v>
      </c>
      <c r="BY1005" s="1" t="s">
        <v>104</v>
      </c>
      <c r="BZ1005" s="1" t="s">
        <v>104</v>
      </c>
      <c r="CA1005" s="1">
        <v>3</v>
      </c>
      <c r="CB1005" s="1" t="s">
        <v>104</v>
      </c>
      <c r="CC1005" s="1" t="s">
        <v>104</v>
      </c>
      <c r="CD1005" s="1" t="s">
        <v>104</v>
      </c>
      <c r="CE1005" s="1" t="s">
        <v>104</v>
      </c>
      <c r="CF1005" s="1" t="s">
        <v>104</v>
      </c>
      <c r="CG1005" s="1" t="s">
        <v>104</v>
      </c>
      <c r="CH1005" s="1" t="s">
        <v>104</v>
      </c>
      <c r="CJ1005" s="1">
        <v>0</v>
      </c>
      <c r="CK1005" s="1">
        <v>0</v>
      </c>
      <c r="CL1005" s="1">
        <v>0</v>
      </c>
      <c r="CM1005" s="1" t="s">
        <v>104</v>
      </c>
    </row>
    <row r="1006" spans="1:91" ht="14.25" customHeight="1" x14ac:dyDescent="0.3">
      <c r="A1006" s="1" t="s">
        <v>6221</v>
      </c>
      <c r="B1006" s="1" t="s">
        <v>123</v>
      </c>
      <c r="C1006" s="1" t="s">
        <v>124</v>
      </c>
      <c r="D1006" s="1" t="s">
        <v>6034</v>
      </c>
      <c r="E1006" s="1" t="s">
        <v>6222</v>
      </c>
      <c r="F1006" s="1" t="s">
        <v>95</v>
      </c>
      <c r="G1006" s="1" t="s">
        <v>116</v>
      </c>
      <c r="H1006" s="1">
        <v>0</v>
      </c>
      <c r="I1006" s="1" t="s">
        <v>109</v>
      </c>
      <c r="L1006" s="1" t="s">
        <v>541</v>
      </c>
      <c r="M1006" s="1" t="s">
        <v>111</v>
      </c>
      <c r="N1006" s="1">
        <v>0</v>
      </c>
      <c r="O1006" s="1">
        <v>0</v>
      </c>
      <c r="P1006" s="1" t="s">
        <v>211</v>
      </c>
      <c r="Q1006" s="1" t="s">
        <v>184</v>
      </c>
      <c r="R1006" s="1" t="s">
        <v>6223</v>
      </c>
      <c r="S1006" s="1" t="s">
        <v>4201</v>
      </c>
      <c r="T1006" s="1">
        <v>1</v>
      </c>
      <c r="U1006" s="1">
        <v>1</v>
      </c>
      <c r="V1006" s="1">
        <v>0</v>
      </c>
      <c r="W1006" s="1">
        <v>0</v>
      </c>
      <c r="X1006" s="1">
        <v>0</v>
      </c>
      <c r="Y1006" s="1">
        <v>6</v>
      </c>
      <c r="Z1006" s="1">
        <v>6</v>
      </c>
      <c r="AA1006" s="1" t="s">
        <v>104</v>
      </c>
      <c r="AB1006" s="1" t="s">
        <v>104</v>
      </c>
      <c r="AC1006" s="1" t="s">
        <v>104</v>
      </c>
      <c r="AD1006" s="1">
        <v>4</v>
      </c>
      <c r="AE1006" s="1" t="s">
        <v>104</v>
      </c>
      <c r="AF1006" s="1" t="s">
        <v>104</v>
      </c>
      <c r="AG1006" s="1" t="s">
        <v>104</v>
      </c>
      <c r="AH1006" s="1" t="s">
        <v>104</v>
      </c>
      <c r="AI1006" s="1" t="s">
        <v>104</v>
      </c>
      <c r="AJ1006" s="1" t="s">
        <v>104</v>
      </c>
      <c r="AK1006" s="1" t="s">
        <v>104</v>
      </c>
      <c r="AL1006" s="1" t="s">
        <v>104</v>
      </c>
      <c r="AM1006" s="1" t="s">
        <v>104</v>
      </c>
      <c r="AO1006" s="1">
        <v>6</v>
      </c>
      <c r="AQ1006" s="1" t="s">
        <v>6224</v>
      </c>
      <c r="AR1006" s="1">
        <v>0</v>
      </c>
      <c r="AS1006" s="1">
        <v>0</v>
      </c>
      <c r="AT1006" s="1">
        <v>0</v>
      </c>
      <c r="AU1006" s="1">
        <v>0</v>
      </c>
      <c r="AV1006" s="1">
        <v>0</v>
      </c>
      <c r="AW1006" s="1">
        <v>0</v>
      </c>
      <c r="AX1006" s="1">
        <v>0</v>
      </c>
      <c r="AY1006" s="1">
        <v>0</v>
      </c>
      <c r="AZ1006" s="1">
        <v>0</v>
      </c>
      <c r="BA1006" s="1">
        <v>0</v>
      </c>
      <c r="BB1006" s="1">
        <v>1</v>
      </c>
      <c r="BC1006" s="1">
        <v>0</v>
      </c>
      <c r="BD1006" s="1">
        <v>0</v>
      </c>
      <c r="BE1006" s="1">
        <v>0</v>
      </c>
      <c r="BF1006" s="1">
        <v>0</v>
      </c>
      <c r="BG1006" s="1">
        <v>0</v>
      </c>
      <c r="BH1006" s="1">
        <v>0</v>
      </c>
      <c r="BI1006" s="1">
        <v>0</v>
      </c>
      <c r="BJ1006" s="1">
        <v>0</v>
      </c>
      <c r="BK1006" s="1">
        <v>1</v>
      </c>
      <c r="BL1006" s="1">
        <v>0</v>
      </c>
      <c r="BM1006" s="1">
        <v>0</v>
      </c>
      <c r="BN1006" s="1">
        <v>0</v>
      </c>
      <c r="BO1006" s="1">
        <v>0</v>
      </c>
      <c r="BP1006" s="1">
        <v>0</v>
      </c>
      <c r="BQ1006" s="2" t="str">
        <f>HYPERLINK("http://www.d20pfsrd.com/magic/all-spells/e/envious-urge","Envious Urge")</f>
        <v>Envious Urge</v>
      </c>
      <c r="BR1006" s="1">
        <v>1048</v>
      </c>
      <c r="BS1006" s="1" t="s">
        <v>104</v>
      </c>
      <c r="BU1006" s="1" t="s">
        <v>6225</v>
      </c>
      <c r="BX1006" s="1">
        <v>0</v>
      </c>
      <c r="BY1006" s="1" t="s">
        <v>104</v>
      </c>
      <c r="BZ1006" s="1" t="s">
        <v>104</v>
      </c>
      <c r="CA1006" s="1">
        <v>6</v>
      </c>
      <c r="CB1006" s="1" t="s">
        <v>104</v>
      </c>
      <c r="CC1006" s="1">
        <v>4</v>
      </c>
      <c r="CD1006" s="1" t="s">
        <v>104</v>
      </c>
      <c r="CE1006" s="1" t="s">
        <v>104</v>
      </c>
      <c r="CF1006" s="1" t="s">
        <v>104</v>
      </c>
      <c r="CG1006" s="1" t="s">
        <v>104</v>
      </c>
      <c r="CH1006" s="1" t="s">
        <v>104</v>
      </c>
      <c r="CJ1006" s="1">
        <v>0</v>
      </c>
      <c r="CK1006" s="1">
        <v>0</v>
      </c>
      <c r="CL1006" s="1">
        <v>0</v>
      </c>
      <c r="CM1006" s="1" t="s">
        <v>104</v>
      </c>
    </row>
    <row r="1007" spans="1:91" ht="14.25" customHeight="1" x14ac:dyDescent="0.3">
      <c r="A1007" s="1" t="s">
        <v>6226</v>
      </c>
      <c r="B1007" s="1" t="s">
        <v>216</v>
      </c>
      <c r="D1007" s="1" t="s">
        <v>6046</v>
      </c>
      <c r="E1007" s="1" t="s">
        <v>6227</v>
      </c>
      <c r="F1007" s="1" t="s">
        <v>95</v>
      </c>
      <c r="G1007" s="1" t="s">
        <v>116</v>
      </c>
      <c r="H1007" s="1">
        <v>0</v>
      </c>
      <c r="I1007" s="1" t="s">
        <v>117</v>
      </c>
      <c r="L1007" s="1" t="s">
        <v>6228</v>
      </c>
      <c r="M1007" s="1" t="s">
        <v>119</v>
      </c>
      <c r="N1007" s="1">
        <v>0</v>
      </c>
      <c r="O1007" s="1">
        <v>0</v>
      </c>
      <c r="P1007" s="1" t="s">
        <v>183</v>
      </c>
      <c r="Q1007" s="1" t="s">
        <v>184</v>
      </c>
      <c r="R1007" s="1" t="s">
        <v>6229</v>
      </c>
      <c r="S1007" s="1" t="s">
        <v>4201</v>
      </c>
      <c r="T1007" s="1">
        <v>1</v>
      </c>
      <c r="U1007" s="1">
        <v>1</v>
      </c>
      <c r="V1007" s="1">
        <v>0</v>
      </c>
      <c r="W1007" s="1">
        <v>0</v>
      </c>
      <c r="X1007" s="1">
        <v>0</v>
      </c>
      <c r="Y1007" s="1">
        <v>7</v>
      </c>
      <c r="Z1007" s="1">
        <v>7</v>
      </c>
      <c r="AA1007" s="1">
        <v>6</v>
      </c>
      <c r="AB1007" s="1">
        <v>6</v>
      </c>
      <c r="AC1007" s="1" t="s">
        <v>104</v>
      </c>
      <c r="AD1007" s="1" t="s">
        <v>104</v>
      </c>
      <c r="AE1007" s="1" t="s">
        <v>104</v>
      </c>
      <c r="AF1007" s="1" t="s">
        <v>104</v>
      </c>
      <c r="AG1007" s="1" t="s">
        <v>104</v>
      </c>
      <c r="AH1007" s="1">
        <v>6</v>
      </c>
      <c r="AI1007" s="1" t="s">
        <v>104</v>
      </c>
      <c r="AJ1007" s="1">
        <v>6</v>
      </c>
      <c r="AK1007" s="1" t="s">
        <v>104</v>
      </c>
      <c r="AL1007" s="1" t="s">
        <v>104</v>
      </c>
      <c r="AM1007" s="1" t="s">
        <v>104</v>
      </c>
      <c r="AO1007" s="1">
        <v>7</v>
      </c>
      <c r="AQ1007" s="1" t="s">
        <v>6230</v>
      </c>
      <c r="AR1007" s="1">
        <v>0</v>
      </c>
      <c r="AS1007" s="1">
        <v>0</v>
      </c>
      <c r="AT1007" s="1">
        <v>0</v>
      </c>
      <c r="AU1007" s="1">
        <v>0</v>
      </c>
      <c r="AV1007" s="1">
        <v>0</v>
      </c>
      <c r="AW1007" s="1">
        <v>0</v>
      </c>
      <c r="AX1007" s="1">
        <v>0</v>
      </c>
      <c r="AY1007" s="1">
        <v>1</v>
      </c>
      <c r="AZ1007" s="1">
        <v>0</v>
      </c>
      <c r="BA1007" s="1">
        <v>0</v>
      </c>
      <c r="BB1007" s="1">
        <v>0</v>
      </c>
      <c r="BC1007" s="1">
        <v>1</v>
      </c>
      <c r="BD1007" s="1">
        <v>0</v>
      </c>
      <c r="BE1007" s="1">
        <v>0</v>
      </c>
      <c r="BF1007" s="1">
        <v>0</v>
      </c>
      <c r="BG1007" s="1">
        <v>0</v>
      </c>
      <c r="BH1007" s="1">
        <v>0</v>
      </c>
      <c r="BI1007" s="1">
        <v>0</v>
      </c>
      <c r="BJ1007" s="1">
        <v>0</v>
      </c>
      <c r="BK1007" s="1">
        <v>0</v>
      </c>
      <c r="BL1007" s="1">
        <v>0</v>
      </c>
      <c r="BM1007" s="1">
        <v>0</v>
      </c>
      <c r="BN1007" s="1">
        <v>0</v>
      </c>
      <c r="BO1007" s="1">
        <v>0</v>
      </c>
      <c r="BP1007" s="1">
        <v>0</v>
      </c>
      <c r="BQ1007" s="2" t="str">
        <f>HYPERLINK("http://www.d20pfsrd.com/magic/all-spells/e/epidemic","Epidemic")</f>
        <v>Epidemic</v>
      </c>
      <c r="BR1007" s="1">
        <v>1049</v>
      </c>
      <c r="BS1007" s="1" t="s">
        <v>104</v>
      </c>
      <c r="BX1007" s="1">
        <v>0</v>
      </c>
      <c r="BY1007" s="1" t="s">
        <v>104</v>
      </c>
      <c r="BZ1007" s="1" t="s">
        <v>104</v>
      </c>
      <c r="CA1007" s="1" t="s">
        <v>104</v>
      </c>
      <c r="CB1007" s="1" t="s">
        <v>104</v>
      </c>
      <c r="CC1007" s="1" t="s">
        <v>104</v>
      </c>
      <c r="CD1007" s="1" t="s">
        <v>104</v>
      </c>
      <c r="CE1007" s="1" t="s">
        <v>104</v>
      </c>
      <c r="CF1007" s="1" t="s">
        <v>104</v>
      </c>
      <c r="CG1007" s="1" t="s">
        <v>104</v>
      </c>
      <c r="CH1007" s="1">
        <v>6</v>
      </c>
      <c r="CJ1007" s="1">
        <v>0</v>
      </c>
      <c r="CK1007" s="1">
        <v>0</v>
      </c>
      <c r="CL1007" s="1">
        <v>0</v>
      </c>
      <c r="CM1007" s="1" t="s">
        <v>104</v>
      </c>
    </row>
    <row r="1008" spans="1:91" ht="14.25" customHeight="1" x14ac:dyDescent="0.3">
      <c r="A1008" s="1" t="s">
        <v>6231</v>
      </c>
      <c r="B1008" s="1" t="s">
        <v>137</v>
      </c>
      <c r="D1008" s="1" t="s">
        <v>43</v>
      </c>
      <c r="E1008" s="1" t="s">
        <v>6232</v>
      </c>
      <c r="F1008" s="1" t="s">
        <v>95</v>
      </c>
      <c r="G1008" s="1" t="s">
        <v>116</v>
      </c>
      <c r="H1008" s="1">
        <v>0</v>
      </c>
      <c r="I1008" s="1" t="s">
        <v>157</v>
      </c>
      <c r="L1008" s="1" t="s">
        <v>158</v>
      </c>
      <c r="M1008" s="1" t="s">
        <v>4641</v>
      </c>
      <c r="N1008" s="1">
        <v>1</v>
      </c>
      <c r="O1008" s="1">
        <v>0</v>
      </c>
      <c r="P1008" s="1" t="s">
        <v>6205</v>
      </c>
      <c r="Q1008" s="1" t="s">
        <v>184</v>
      </c>
      <c r="R1008" s="1" t="s">
        <v>6233</v>
      </c>
      <c r="S1008" s="1" t="s">
        <v>4201</v>
      </c>
      <c r="T1008" s="1">
        <v>1</v>
      </c>
      <c r="U1008" s="1">
        <v>1</v>
      </c>
      <c r="V1008" s="1">
        <v>0</v>
      </c>
      <c r="W1008" s="1">
        <v>0</v>
      </c>
      <c r="X1008" s="1">
        <v>0</v>
      </c>
      <c r="Y1008" s="1">
        <v>3</v>
      </c>
      <c r="Z1008" s="1">
        <v>3</v>
      </c>
      <c r="AA1008" s="1" t="s">
        <v>104</v>
      </c>
      <c r="AB1008" s="1" t="s">
        <v>104</v>
      </c>
      <c r="AC1008" s="1" t="s">
        <v>104</v>
      </c>
      <c r="AD1008" s="1" t="s">
        <v>104</v>
      </c>
      <c r="AE1008" s="1" t="s">
        <v>104</v>
      </c>
      <c r="AF1008" s="1">
        <v>3</v>
      </c>
      <c r="AG1008" s="1" t="s">
        <v>104</v>
      </c>
      <c r="AH1008" s="1">
        <v>3</v>
      </c>
      <c r="AI1008" s="1" t="s">
        <v>104</v>
      </c>
      <c r="AJ1008" s="1" t="s">
        <v>104</v>
      </c>
      <c r="AK1008" s="1" t="s">
        <v>104</v>
      </c>
      <c r="AL1008" s="1" t="s">
        <v>104</v>
      </c>
      <c r="AM1008" s="1" t="s">
        <v>104</v>
      </c>
      <c r="AO1008" s="1">
        <v>3</v>
      </c>
      <c r="AQ1008" s="1" t="s">
        <v>6234</v>
      </c>
      <c r="AR1008" s="1">
        <v>1</v>
      </c>
      <c r="AS1008" s="1">
        <v>0</v>
      </c>
      <c r="AT1008" s="1">
        <v>0</v>
      </c>
      <c r="AU1008" s="1">
        <v>0</v>
      </c>
      <c r="AV1008" s="1">
        <v>0</v>
      </c>
      <c r="AW1008" s="1">
        <v>0</v>
      </c>
      <c r="AX1008" s="1">
        <v>0</v>
      </c>
      <c r="AY1008" s="1">
        <v>0</v>
      </c>
      <c r="AZ1008" s="1">
        <v>0</v>
      </c>
      <c r="BA1008" s="1">
        <v>0</v>
      </c>
      <c r="BB1008" s="1">
        <v>0</v>
      </c>
      <c r="BC1008" s="1">
        <v>0</v>
      </c>
      <c r="BD1008" s="1">
        <v>0</v>
      </c>
      <c r="BE1008" s="1">
        <v>0</v>
      </c>
      <c r="BF1008" s="1">
        <v>0</v>
      </c>
      <c r="BG1008" s="1">
        <v>0</v>
      </c>
      <c r="BH1008" s="1">
        <v>0</v>
      </c>
      <c r="BI1008" s="1">
        <v>0</v>
      </c>
      <c r="BJ1008" s="1">
        <v>0</v>
      </c>
      <c r="BK1008" s="1">
        <v>0</v>
      </c>
      <c r="BL1008" s="1">
        <v>0</v>
      </c>
      <c r="BM1008" s="1">
        <v>0</v>
      </c>
      <c r="BN1008" s="1">
        <v>0</v>
      </c>
      <c r="BO1008" s="1">
        <v>0</v>
      </c>
      <c r="BP1008" s="1">
        <v>0</v>
      </c>
      <c r="BQ1008" s="2" t="str">
        <f>HYPERLINK("http://www.d20pfsrd.com/magic/all-spells/e/eruptive-pustules","Eruptive Pustules")</f>
        <v>Eruptive Pustules</v>
      </c>
      <c r="BR1008" s="1">
        <v>1050</v>
      </c>
      <c r="BS1008" s="1" t="s">
        <v>104</v>
      </c>
      <c r="BX1008" s="1">
        <v>0</v>
      </c>
      <c r="BY1008" s="1">
        <v>3</v>
      </c>
      <c r="BZ1008" s="1" t="s">
        <v>104</v>
      </c>
      <c r="CA1008" s="1" t="s">
        <v>104</v>
      </c>
      <c r="CB1008" s="1" t="s">
        <v>104</v>
      </c>
      <c r="CC1008" s="1" t="s">
        <v>104</v>
      </c>
      <c r="CD1008" s="1" t="s">
        <v>104</v>
      </c>
      <c r="CE1008" s="1" t="s">
        <v>104</v>
      </c>
      <c r="CF1008" s="1" t="s">
        <v>104</v>
      </c>
      <c r="CG1008" s="1" t="s">
        <v>104</v>
      </c>
      <c r="CH1008" s="1" t="s">
        <v>104</v>
      </c>
      <c r="CJ1008" s="1">
        <v>0</v>
      </c>
      <c r="CK1008" s="1">
        <v>0</v>
      </c>
      <c r="CL1008" s="1">
        <v>0</v>
      </c>
      <c r="CM1008" s="1" t="s">
        <v>104</v>
      </c>
    </row>
    <row r="1009" spans="1:91" ht="14.25" customHeight="1" x14ac:dyDescent="0.3">
      <c r="A1009" s="1" t="s">
        <v>6235</v>
      </c>
      <c r="B1009" s="1" t="s">
        <v>137</v>
      </c>
      <c r="C1009" s="1" t="s">
        <v>154</v>
      </c>
      <c r="D1009" s="1" t="s">
        <v>3767</v>
      </c>
      <c r="E1009" s="1" t="s">
        <v>6236</v>
      </c>
      <c r="F1009" s="1" t="s">
        <v>95</v>
      </c>
      <c r="G1009" s="1" t="s">
        <v>116</v>
      </c>
      <c r="H1009" s="1">
        <v>0</v>
      </c>
      <c r="I1009" s="1" t="s">
        <v>128</v>
      </c>
      <c r="L1009" s="1" t="s">
        <v>374</v>
      </c>
      <c r="M1009" s="1" t="s">
        <v>111</v>
      </c>
      <c r="N1009" s="1">
        <v>0</v>
      </c>
      <c r="O1009" s="1">
        <v>0</v>
      </c>
      <c r="P1009" s="1" t="s">
        <v>6205</v>
      </c>
      <c r="Q1009" s="1" t="s">
        <v>184</v>
      </c>
      <c r="R1009" s="1" t="s">
        <v>6237</v>
      </c>
      <c r="S1009" s="1" t="s">
        <v>4201</v>
      </c>
      <c r="T1009" s="1">
        <v>1</v>
      </c>
      <c r="U1009" s="1">
        <v>1</v>
      </c>
      <c r="V1009" s="1">
        <v>0</v>
      </c>
      <c r="W1009" s="1">
        <v>0</v>
      </c>
      <c r="X1009" s="1">
        <v>0</v>
      </c>
      <c r="Y1009" s="1">
        <v>3</v>
      </c>
      <c r="Z1009" s="1">
        <v>3</v>
      </c>
      <c r="AA1009" s="1" t="s">
        <v>104</v>
      </c>
      <c r="AB1009" s="1" t="s">
        <v>104</v>
      </c>
      <c r="AC1009" s="1" t="s">
        <v>104</v>
      </c>
      <c r="AD1009" s="1" t="s">
        <v>104</v>
      </c>
      <c r="AE1009" s="1" t="s">
        <v>104</v>
      </c>
      <c r="AF1009" s="1" t="s">
        <v>104</v>
      </c>
      <c r="AG1009" s="1" t="s">
        <v>104</v>
      </c>
      <c r="AH1009" s="1">
        <v>3</v>
      </c>
      <c r="AI1009" s="1" t="s">
        <v>104</v>
      </c>
      <c r="AJ1009" s="1" t="s">
        <v>104</v>
      </c>
      <c r="AK1009" s="1" t="s">
        <v>104</v>
      </c>
      <c r="AL1009" s="1" t="s">
        <v>104</v>
      </c>
      <c r="AM1009" s="1" t="s">
        <v>104</v>
      </c>
      <c r="AO1009" s="1">
        <v>3</v>
      </c>
      <c r="AQ1009" s="1" t="s">
        <v>6238</v>
      </c>
      <c r="AR1009" s="1">
        <v>0</v>
      </c>
      <c r="AS1009" s="1">
        <v>0</v>
      </c>
      <c r="AT1009" s="1">
        <v>0</v>
      </c>
      <c r="AU1009" s="1">
        <v>0</v>
      </c>
      <c r="AV1009" s="1">
        <v>0</v>
      </c>
      <c r="AW1009" s="1">
        <v>0</v>
      </c>
      <c r="AX1009" s="1">
        <v>0</v>
      </c>
      <c r="AY1009" s="1">
        <v>0</v>
      </c>
      <c r="AZ1009" s="1">
        <v>0</v>
      </c>
      <c r="BA1009" s="1">
        <v>0</v>
      </c>
      <c r="BB1009" s="1">
        <v>0</v>
      </c>
      <c r="BC1009" s="1">
        <v>1</v>
      </c>
      <c r="BD1009" s="1">
        <v>0</v>
      </c>
      <c r="BE1009" s="1">
        <v>0</v>
      </c>
      <c r="BF1009" s="1">
        <v>0</v>
      </c>
      <c r="BG1009" s="1">
        <v>0</v>
      </c>
      <c r="BH1009" s="1">
        <v>0</v>
      </c>
      <c r="BI1009" s="1">
        <v>0</v>
      </c>
      <c r="BJ1009" s="1">
        <v>0</v>
      </c>
      <c r="BK1009" s="1">
        <v>0</v>
      </c>
      <c r="BL1009" s="1">
        <v>1</v>
      </c>
      <c r="BM1009" s="1">
        <v>0</v>
      </c>
      <c r="BN1009" s="1">
        <v>0</v>
      </c>
      <c r="BO1009" s="1">
        <v>0</v>
      </c>
      <c r="BP1009" s="1">
        <v>0</v>
      </c>
      <c r="BQ1009" s="2" t="str">
        <f>HYPERLINK("http://www.d20pfsrd.com/magic/all-spells/e/excruciating-deformation","Excruciating Deformation")</f>
        <v>Excruciating Deformation</v>
      </c>
      <c r="BR1009" s="1">
        <v>1051</v>
      </c>
      <c r="BS1009" s="1" t="s">
        <v>104</v>
      </c>
      <c r="BX1009" s="1">
        <v>0</v>
      </c>
      <c r="BY1009" s="1">
        <v>3</v>
      </c>
      <c r="BZ1009" s="1" t="s">
        <v>104</v>
      </c>
      <c r="CA1009" s="1">
        <v>3</v>
      </c>
      <c r="CB1009" s="1" t="s">
        <v>104</v>
      </c>
      <c r="CC1009" s="1" t="s">
        <v>104</v>
      </c>
      <c r="CD1009" s="1" t="s">
        <v>104</v>
      </c>
      <c r="CE1009" s="1" t="s">
        <v>104</v>
      </c>
      <c r="CF1009" s="1" t="s">
        <v>104</v>
      </c>
      <c r="CG1009" s="1" t="s">
        <v>104</v>
      </c>
      <c r="CH1009" s="1" t="s">
        <v>104</v>
      </c>
      <c r="CJ1009" s="1">
        <v>0</v>
      </c>
      <c r="CK1009" s="1">
        <v>0</v>
      </c>
      <c r="CL1009" s="1">
        <v>0</v>
      </c>
      <c r="CM1009" s="1" t="s">
        <v>104</v>
      </c>
    </row>
    <row r="1010" spans="1:91" ht="14.25" customHeight="1" x14ac:dyDescent="0.3">
      <c r="A1010" s="1" t="s">
        <v>6239</v>
      </c>
      <c r="B1010" s="1" t="s">
        <v>507</v>
      </c>
      <c r="C1010" s="1" t="s">
        <v>65</v>
      </c>
      <c r="D1010" s="1" t="s">
        <v>65</v>
      </c>
      <c r="E1010" s="1" t="s">
        <v>1846</v>
      </c>
      <c r="F1010" s="1" t="s">
        <v>95</v>
      </c>
      <c r="G1010" s="1" t="s">
        <v>116</v>
      </c>
      <c r="H1010" s="1">
        <v>0</v>
      </c>
      <c r="I1010" s="1" t="s">
        <v>157</v>
      </c>
      <c r="K1010" s="1" t="s">
        <v>6240</v>
      </c>
      <c r="M1010" s="1" t="s">
        <v>426</v>
      </c>
      <c r="N1010" s="1">
        <v>1</v>
      </c>
      <c r="O1010" s="1">
        <v>0</v>
      </c>
      <c r="P1010" s="1" t="s">
        <v>100</v>
      </c>
      <c r="Q1010" s="1" t="s">
        <v>101</v>
      </c>
      <c r="R1010" s="1" t="s">
        <v>6241</v>
      </c>
      <c r="S1010" s="1" t="s">
        <v>4201</v>
      </c>
      <c r="T1010" s="1">
        <v>1</v>
      </c>
      <c r="U1010" s="1">
        <v>1</v>
      </c>
      <c r="V1010" s="1">
        <v>0</v>
      </c>
      <c r="W1010" s="1">
        <v>0</v>
      </c>
      <c r="X1010" s="1">
        <v>0</v>
      </c>
      <c r="Y1010" s="1" t="s">
        <v>104</v>
      </c>
      <c r="Z1010" s="1" t="s">
        <v>104</v>
      </c>
      <c r="AA1010" s="1" t="s">
        <v>104</v>
      </c>
      <c r="AB1010" s="1" t="s">
        <v>104</v>
      </c>
      <c r="AC1010" s="1" t="s">
        <v>104</v>
      </c>
      <c r="AD1010" s="1">
        <v>3</v>
      </c>
      <c r="AE1010" s="1" t="s">
        <v>104</v>
      </c>
      <c r="AF1010" s="1" t="s">
        <v>104</v>
      </c>
      <c r="AG1010" s="1" t="s">
        <v>104</v>
      </c>
      <c r="AH1010" s="1" t="s">
        <v>104</v>
      </c>
      <c r="AI1010" s="1" t="s">
        <v>104</v>
      </c>
      <c r="AJ1010" s="1" t="s">
        <v>104</v>
      </c>
      <c r="AK1010" s="1" t="s">
        <v>104</v>
      </c>
      <c r="AL1010" s="1" t="s">
        <v>104</v>
      </c>
      <c r="AM1010" s="1" t="s">
        <v>104</v>
      </c>
      <c r="AO1010" s="1">
        <v>3</v>
      </c>
      <c r="AQ1010" s="1" t="s">
        <v>6242</v>
      </c>
      <c r="AR1010" s="1">
        <v>0</v>
      </c>
      <c r="AS1010" s="1">
        <v>0</v>
      </c>
      <c r="AT1010" s="1">
        <v>0</v>
      </c>
      <c r="AU1010" s="1">
        <v>0</v>
      </c>
      <c r="AV1010" s="1">
        <v>0</v>
      </c>
      <c r="AW1010" s="1">
        <v>0</v>
      </c>
      <c r="AX1010" s="1">
        <v>0</v>
      </c>
      <c r="AY1010" s="1">
        <v>0</v>
      </c>
      <c r="AZ1010" s="1">
        <v>0</v>
      </c>
      <c r="BA1010" s="1">
        <v>0</v>
      </c>
      <c r="BB1010" s="1">
        <v>0</v>
      </c>
      <c r="BC1010" s="1">
        <v>0</v>
      </c>
      <c r="BD1010" s="1">
        <v>0</v>
      </c>
      <c r="BE1010" s="1">
        <v>0</v>
      </c>
      <c r="BF1010" s="1">
        <v>0</v>
      </c>
      <c r="BG1010" s="1">
        <v>0</v>
      </c>
      <c r="BH1010" s="1">
        <v>0</v>
      </c>
      <c r="BI1010" s="1">
        <v>0</v>
      </c>
      <c r="BJ1010" s="1">
        <v>0</v>
      </c>
      <c r="BK1010" s="1">
        <v>0</v>
      </c>
      <c r="BL1010" s="1">
        <v>0</v>
      </c>
      <c r="BM1010" s="1">
        <v>0</v>
      </c>
      <c r="BN1010" s="1">
        <v>1</v>
      </c>
      <c r="BO1010" s="1">
        <v>0</v>
      </c>
      <c r="BP1010" s="1">
        <v>0</v>
      </c>
      <c r="BQ1010" s="2" t="str">
        <f>HYPERLINK("http://www.d20pfsrd.com/magic/all-spells/e/exquisite-accompaniment","Exquisite Accompaniment")</f>
        <v>Exquisite Accompaniment</v>
      </c>
      <c r="BR1010" s="1">
        <v>1052</v>
      </c>
      <c r="BS1010" s="1" t="s">
        <v>104</v>
      </c>
      <c r="BX1010" s="1">
        <v>0</v>
      </c>
      <c r="BY1010" s="1" t="s">
        <v>104</v>
      </c>
      <c r="BZ1010" s="1" t="s">
        <v>104</v>
      </c>
      <c r="CA1010" s="1" t="s">
        <v>104</v>
      </c>
      <c r="CB1010" s="1" t="s">
        <v>104</v>
      </c>
      <c r="CC1010" s="1" t="s">
        <v>104</v>
      </c>
      <c r="CD1010" s="1" t="s">
        <v>104</v>
      </c>
      <c r="CE1010" s="1" t="s">
        <v>104</v>
      </c>
      <c r="CF1010" s="1" t="s">
        <v>104</v>
      </c>
      <c r="CG1010" s="1" t="s">
        <v>104</v>
      </c>
      <c r="CH1010" s="1" t="s">
        <v>104</v>
      </c>
      <c r="CJ1010" s="1">
        <v>0</v>
      </c>
      <c r="CK1010" s="1">
        <v>0</v>
      </c>
      <c r="CL1010" s="1">
        <v>0</v>
      </c>
      <c r="CM1010" s="1" t="s">
        <v>104</v>
      </c>
    </row>
    <row r="1011" spans="1:91" ht="14.25" customHeight="1" x14ac:dyDescent="0.3">
      <c r="A1011" s="1" t="s">
        <v>6243</v>
      </c>
      <c r="B1011" s="1" t="s">
        <v>216</v>
      </c>
      <c r="E1011" s="1" t="s">
        <v>6244</v>
      </c>
      <c r="F1011" s="1" t="s">
        <v>95</v>
      </c>
      <c r="G1011" s="1" t="s">
        <v>1488</v>
      </c>
      <c r="H1011" s="1">
        <v>0</v>
      </c>
      <c r="I1011" s="1" t="s">
        <v>157</v>
      </c>
      <c r="L1011" s="1" t="s">
        <v>158</v>
      </c>
      <c r="M1011" s="1" t="s">
        <v>1489</v>
      </c>
      <c r="N1011" s="1">
        <v>0</v>
      </c>
      <c r="O1011" s="1">
        <v>0</v>
      </c>
      <c r="R1011" s="1" t="s">
        <v>6245</v>
      </c>
      <c r="S1011" s="1" t="s">
        <v>4201</v>
      </c>
      <c r="T1011" s="1">
        <v>1</v>
      </c>
      <c r="U1011" s="1">
        <v>1</v>
      </c>
      <c r="V1011" s="1">
        <v>1</v>
      </c>
      <c r="W1011" s="1">
        <v>0</v>
      </c>
      <c r="X1011" s="1">
        <v>0</v>
      </c>
      <c r="Y1011" s="1">
        <v>4</v>
      </c>
      <c r="Z1011" s="1">
        <v>4</v>
      </c>
      <c r="AA1011" s="1" t="s">
        <v>104</v>
      </c>
      <c r="AB1011" s="1" t="s">
        <v>104</v>
      </c>
      <c r="AC1011" s="1" t="s">
        <v>104</v>
      </c>
      <c r="AD1011" s="1" t="s">
        <v>104</v>
      </c>
      <c r="AE1011" s="1" t="s">
        <v>104</v>
      </c>
      <c r="AF1011" s="1">
        <v>4</v>
      </c>
      <c r="AG1011" s="1" t="s">
        <v>104</v>
      </c>
      <c r="AH1011" s="1">
        <v>4</v>
      </c>
      <c r="AI1011" s="1" t="s">
        <v>104</v>
      </c>
      <c r="AJ1011" s="1" t="s">
        <v>104</v>
      </c>
      <c r="AK1011" s="1" t="s">
        <v>104</v>
      </c>
      <c r="AL1011" s="1" t="s">
        <v>104</v>
      </c>
      <c r="AM1011" s="1" t="s">
        <v>104</v>
      </c>
      <c r="AO1011" s="1">
        <v>4</v>
      </c>
      <c r="AQ1011" s="1" t="s">
        <v>6246</v>
      </c>
      <c r="AR1011" s="1">
        <v>0</v>
      </c>
      <c r="AS1011" s="1">
        <v>0</v>
      </c>
      <c r="AT1011" s="1">
        <v>0</v>
      </c>
      <c r="AU1011" s="1">
        <v>0</v>
      </c>
      <c r="AV1011" s="1">
        <v>0</v>
      </c>
      <c r="AW1011" s="1">
        <v>0</v>
      </c>
      <c r="AX1011" s="1">
        <v>0</v>
      </c>
      <c r="AY1011" s="1">
        <v>0</v>
      </c>
      <c r="AZ1011" s="1">
        <v>0</v>
      </c>
      <c r="BA1011" s="1">
        <v>0</v>
      </c>
      <c r="BB1011" s="1">
        <v>0</v>
      </c>
      <c r="BC1011" s="1">
        <v>0</v>
      </c>
      <c r="BD1011" s="1">
        <v>0</v>
      </c>
      <c r="BE1011" s="1">
        <v>0</v>
      </c>
      <c r="BF1011" s="1">
        <v>0</v>
      </c>
      <c r="BG1011" s="1">
        <v>0</v>
      </c>
      <c r="BH1011" s="1">
        <v>0</v>
      </c>
      <c r="BI1011" s="1">
        <v>0</v>
      </c>
      <c r="BJ1011" s="1">
        <v>0</v>
      </c>
      <c r="BK1011" s="1">
        <v>0</v>
      </c>
      <c r="BL1011" s="1">
        <v>0</v>
      </c>
      <c r="BM1011" s="1">
        <v>0</v>
      </c>
      <c r="BN1011" s="1">
        <v>0</v>
      </c>
      <c r="BO1011" s="1">
        <v>0</v>
      </c>
      <c r="BP1011" s="1">
        <v>0</v>
      </c>
      <c r="BQ1011" s="2" t="str">
        <f>HYPERLINK("http://www.d20pfsrd.com/magic/all-spells/f/false-life","False Life, Greater")</f>
        <v>False Life, Greater</v>
      </c>
      <c r="BR1011" s="1">
        <v>1053</v>
      </c>
      <c r="BS1011" s="1" t="s">
        <v>104</v>
      </c>
      <c r="BX1011" s="1">
        <v>0</v>
      </c>
      <c r="BY1011" s="1">
        <v>4</v>
      </c>
      <c r="BZ1011" s="1">
        <v>4</v>
      </c>
      <c r="CA1011" s="1">
        <v>4</v>
      </c>
      <c r="CB1011" s="1">
        <v>3</v>
      </c>
      <c r="CC1011" s="1">
        <v>3</v>
      </c>
      <c r="CD1011" s="1">
        <v>4</v>
      </c>
      <c r="CE1011" s="1">
        <v>4</v>
      </c>
      <c r="CF1011" s="1" t="s">
        <v>104</v>
      </c>
      <c r="CG1011" s="1" t="s">
        <v>104</v>
      </c>
      <c r="CH1011" s="1" t="s">
        <v>104</v>
      </c>
      <c r="CJ1011" s="1">
        <v>0</v>
      </c>
      <c r="CK1011" s="1">
        <v>0</v>
      </c>
      <c r="CL1011" s="1">
        <v>0</v>
      </c>
      <c r="CM1011" s="1" t="s">
        <v>104</v>
      </c>
    </row>
    <row r="1012" spans="1:91" ht="14.25" customHeight="1" x14ac:dyDescent="0.3">
      <c r="A1012" s="1" t="s">
        <v>6247</v>
      </c>
      <c r="B1012" s="1" t="s">
        <v>216</v>
      </c>
      <c r="E1012" s="1" t="s">
        <v>6248</v>
      </c>
      <c r="F1012" s="1" t="s">
        <v>95</v>
      </c>
      <c r="G1012" s="1" t="s">
        <v>116</v>
      </c>
      <c r="H1012" s="1">
        <v>0</v>
      </c>
      <c r="I1012" s="1" t="s">
        <v>109</v>
      </c>
      <c r="L1012" s="1" t="s">
        <v>5436</v>
      </c>
      <c r="M1012" s="1" t="s">
        <v>2406</v>
      </c>
      <c r="N1012" s="1">
        <v>0</v>
      </c>
      <c r="O1012" s="1">
        <v>0</v>
      </c>
      <c r="P1012" s="1" t="s">
        <v>375</v>
      </c>
      <c r="Q1012" s="1" t="s">
        <v>184</v>
      </c>
      <c r="R1012" s="1" t="s">
        <v>6249</v>
      </c>
      <c r="S1012" s="1" t="s">
        <v>4201</v>
      </c>
      <c r="T1012" s="1">
        <v>1</v>
      </c>
      <c r="U1012" s="1">
        <v>1</v>
      </c>
      <c r="V1012" s="1">
        <v>0</v>
      </c>
      <c r="W1012" s="1">
        <v>0</v>
      </c>
      <c r="X1012" s="1">
        <v>0</v>
      </c>
      <c r="Y1012" s="1">
        <v>4</v>
      </c>
      <c r="Z1012" s="1">
        <v>4</v>
      </c>
      <c r="AA1012" s="1" t="s">
        <v>104</v>
      </c>
      <c r="AB1012" s="1" t="s">
        <v>104</v>
      </c>
      <c r="AC1012" s="1" t="s">
        <v>104</v>
      </c>
      <c r="AD1012" s="1" t="s">
        <v>104</v>
      </c>
      <c r="AE1012" s="1" t="s">
        <v>104</v>
      </c>
      <c r="AF1012" s="1" t="s">
        <v>104</v>
      </c>
      <c r="AG1012" s="1" t="s">
        <v>104</v>
      </c>
      <c r="AH1012" s="1">
        <v>4</v>
      </c>
      <c r="AI1012" s="1" t="s">
        <v>104</v>
      </c>
      <c r="AJ1012" s="1" t="s">
        <v>104</v>
      </c>
      <c r="AK1012" s="1" t="s">
        <v>104</v>
      </c>
      <c r="AL1012" s="1" t="s">
        <v>104</v>
      </c>
      <c r="AM1012" s="1" t="s">
        <v>104</v>
      </c>
      <c r="AO1012" s="1">
        <v>4</v>
      </c>
      <c r="AQ1012" s="1" t="s">
        <v>6250</v>
      </c>
      <c r="AR1012" s="1">
        <v>0</v>
      </c>
      <c r="AS1012" s="1">
        <v>0</v>
      </c>
      <c r="AT1012" s="1">
        <v>0</v>
      </c>
      <c r="AU1012" s="1">
        <v>0</v>
      </c>
      <c r="AV1012" s="1">
        <v>0</v>
      </c>
      <c r="AW1012" s="1">
        <v>0</v>
      </c>
      <c r="AX1012" s="1">
        <v>0</v>
      </c>
      <c r="AY1012" s="1">
        <v>0</v>
      </c>
      <c r="AZ1012" s="1">
        <v>0</v>
      </c>
      <c r="BA1012" s="1">
        <v>0</v>
      </c>
      <c r="BB1012" s="1">
        <v>0</v>
      </c>
      <c r="BC1012" s="1">
        <v>0</v>
      </c>
      <c r="BD1012" s="1">
        <v>0</v>
      </c>
      <c r="BE1012" s="1">
        <v>0</v>
      </c>
      <c r="BF1012" s="1">
        <v>0</v>
      </c>
      <c r="BG1012" s="1">
        <v>0</v>
      </c>
      <c r="BH1012" s="1">
        <v>0</v>
      </c>
      <c r="BI1012" s="1">
        <v>0</v>
      </c>
      <c r="BJ1012" s="1">
        <v>0</v>
      </c>
      <c r="BK1012" s="1">
        <v>0</v>
      </c>
      <c r="BL1012" s="1">
        <v>0</v>
      </c>
      <c r="BM1012" s="1">
        <v>0</v>
      </c>
      <c r="BN1012" s="1">
        <v>0</v>
      </c>
      <c r="BO1012" s="1">
        <v>0</v>
      </c>
      <c r="BP1012" s="1">
        <v>0</v>
      </c>
      <c r="BQ1012" s="2" t="str">
        <f>HYPERLINK("http://www.d20pfsrd.com/magic/all-spells/f/familiar-melding","Familiar Melding")</f>
        <v>Familiar Melding</v>
      </c>
      <c r="BR1012" s="1">
        <v>1054</v>
      </c>
      <c r="BS1012" s="1" t="s">
        <v>104</v>
      </c>
      <c r="BX1012" s="1">
        <v>0</v>
      </c>
      <c r="BY1012" s="1" t="s">
        <v>104</v>
      </c>
      <c r="BZ1012" s="1">
        <v>4</v>
      </c>
      <c r="CA1012" s="1" t="s">
        <v>104</v>
      </c>
      <c r="CB1012" s="1" t="s">
        <v>104</v>
      </c>
      <c r="CC1012" s="1" t="s">
        <v>104</v>
      </c>
      <c r="CD1012" s="1" t="s">
        <v>104</v>
      </c>
      <c r="CE1012" s="1" t="s">
        <v>104</v>
      </c>
      <c r="CF1012" s="1" t="s">
        <v>104</v>
      </c>
      <c r="CG1012" s="1" t="s">
        <v>104</v>
      </c>
      <c r="CH1012" s="1" t="s">
        <v>104</v>
      </c>
      <c r="CJ1012" s="1">
        <v>0</v>
      </c>
      <c r="CK1012" s="1">
        <v>0</v>
      </c>
      <c r="CL1012" s="1">
        <v>0</v>
      </c>
      <c r="CM1012" s="1" t="s">
        <v>104</v>
      </c>
    </row>
    <row r="1013" spans="1:91" ht="14.25" customHeight="1" x14ac:dyDescent="0.3">
      <c r="A1013" s="1" t="s">
        <v>6251</v>
      </c>
      <c r="B1013" s="1" t="s">
        <v>137</v>
      </c>
      <c r="D1013" s="1" t="s">
        <v>44</v>
      </c>
      <c r="E1013" s="1" t="s">
        <v>6252</v>
      </c>
      <c r="F1013" s="1" t="s">
        <v>95</v>
      </c>
      <c r="G1013" s="1" t="s">
        <v>116</v>
      </c>
      <c r="H1013" s="1">
        <v>0</v>
      </c>
      <c r="L1013" s="1" t="s">
        <v>6253</v>
      </c>
      <c r="M1013" s="1" t="s">
        <v>4641</v>
      </c>
      <c r="N1013" s="1">
        <v>1</v>
      </c>
      <c r="O1013" s="1">
        <v>0</v>
      </c>
      <c r="P1013" s="1" t="s">
        <v>6053</v>
      </c>
      <c r="Q1013" s="1" t="s">
        <v>184</v>
      </c>
      <c r="R1013" s="1" t="s">
        <v>6254</v>
      </c>
      <c r="S1013" s="1" t="s">
        <v>4201</v>
      </c>
      <c r="T1013" s="1">
        <v>1</v>
      </c>
      <c r="U1013" s="1">
        <v>1</v>
      </c>
      <c r="V1013" s="1">
        <v>0</v>
      </c>
      <c r="W1013" s="1">
        <v>0</v>
      </c>
      <c r="X1013" s="1">
        <v>0</v>
      </c>
      <c r="Y1013" s="1">
        <v>5</v>
      </c>
      <c r="Z1013" s="1">
        <v>5</v>
      </c>
      <c r="AA1013" s="1">
        <v>5</v>
      </c>
      <c r="AB1013" s="1">
        <v>5</v>
      </c>
      <c r="AC1013" s="1">
        <v>3</v>
      </c>
      <c r="AD1013" s="1" t="s">
        <v>104</v>
      </c>
      <c r="AE1013" s="1" t="s">
        <v>104</v>
      </c>
      <c r="AF1013" s="1" t="s">
        <v>104</v>
      </c>
      <c r="AG1013" s="1" t="s">
        <v>104</v>
      </c>
      <c r="AH1013" s="1" t="s">
        <v>104</v>
      </c>
      <c r="AI1013" s="1" t="s">
        <v>104</v>
      </c>
      <c r="AJ1013" s="1">
        <v>5</v>
      </c>
      <c r="AK1013" s="1" t="s">
        <v>104</v>
      </c>
      <c r="AL1013" s="1" t="s">
        <v>104</v>
      </c>
      <c r="AM1013" s="1" t="s">
        <v>104</v>
      </c>
      <c r="AO1013" s="1">
        <v>5</v>
      </c>
      <c r="AQ1013" s="1" t="s">
        <v>6255</v>
      </c>
      <c r="AR1013" s="1">
        <v>0</v>
      </c>
      <c r="AS1013" s="1">
        <v>1</v>
      </c>
      <c r="AT1013" s="1">
        <v>0</v>
      </c>
      <c r="AU1013" s="1">
        <v>0</v>
      </c>
      <c r="AV1013" s="1">
        <v>0</v>
      </c>
      <c r="AW1013" s="1">
        <v>0</v>
      </c>
      <c r="AX1013" s="1">
        <v>0</v>
      </c>
      <c r="AY1013" s="1">
        <v>0</v>
      </c>
      <c r="AZ1013" s="1">
        <v>0</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2" t="str">
        <f>HYPERLINK("http://www.d20pfsrd.com/magic/all-spells/f/fickle-winds","Fickle Winds")</f>
        <v>Fickle Winds</v>
      </c>
      <c r="BR1013" s="1">
        <v>1055</v>
      </c>
      <c r="BS1013" s="1" t="s">
        <v>104</v>
      </c>
      <c r="BX1013" s="1">
        <v>0</v>
      </c>
      <c r="BY1013" s="1" t="s">
        <v>104</v>
      </c>
      <c r="BZ1013" s="1" t="s">
        <v>104</v>
      </c>
      <c r="CA1013" s="1" t="s">
        <v>104</v>
      </c>
      <c r="CB1013" s="1" t="s">
        <v>104</v>
      </c>
      <c r="CC1013" s="1" t="s">
        <v>104</v>
      </c>
      <c r="CD1013" s="1" t="s">
        <v>104</v>
      </c>
      <c r="CE1013" s="1">
        <v>5</v>
      </c>
      <c r="CF1013" s="1" t="s">
        <v>104</v>
      </c>
      <c r="CG1013" s="1" t="s">
        <v>104</v>
      </c>
      <c r="CH1013" s="1">
        <v>3</v>
      </c>
      <c r="CJ1013" s="1">
        <v>0</v>
      </c>
      <c r="CK1013" s="1">
        <v>0</v>
      </c>
      <c r="CL1013" s="1">
        <v>0</v>
      </c>
      <c r="CM1013" s="1" t="s">
        <v>104</v>
      </c>
    </row>
    <row r="1014" spans="1:91" ht="14.25" customHeight="1" x14ac:dyDescent="0.3">
      <c r="A1014" s="1" t="s">
        <v>6256</v>
      </c>
      <c r="B1014" s="1" t="s">
        <v>92</v>
      </c>
      <c r="C1014" s="1" t="s">
        <v>903</v>
      </c>
      <c r="D1014" s="1" t="s">
        <v>54</v>
      </c>
      <c r="E1014" s="1" t="s">
        <v>6257</v>
      </c>
      <c r="F1014" s="1" t="s">
        <v>95</v>
      </c>
      <c r="G1014" s="1" t="s">
        <v>116</v>
      </c>
      <c r="H1014" s="1">
        <v>0</v>
      </c>
      <c r="I1014" s="1" t="s">
        <v>128</v>
      </c>
      <c r="L1014" s="1" t="s">
        <v>374</v>
      </c>
      <c r="M1014" s="1" t="s">
        <v>426</v>
      </c>
      <c r="N1014" s="1">
        <v>1</v>
      </c>
      <c r="O1014" s="1">
        <v>0</v>
      </c>
      <c r="P1014" s="1" t="s">
        <v>6205</v>
      </c>
      <c r="Q1014" s="1" t="s">
        <v>184</v>
      </c>
      <c r="R1014" s="1" t="s">
        <v>6258</v>
      </c>
      <c r="S1014" s="1" t="s">
        <v>4201</v>
      </c>
      <c r="T1014" s="1">
        <v>1</v>
      </c>
      <c r="U1014" s="1">
        <v>1</v>
      </c>
      <c r="V1014" s="1">
        <v>0</v>
      </c>
      <c r="W1014" s="1">
        <v>0</v>
      </c>
      <c r="X1014" s="1">
        <v>0</v>
      </c>
      <c r="Y1014" s="1">
        <v>4</v>
      </c>
      <c r="Z1014" s="1">
        <v>4</v>
      </c>
      <c r="AA1014" s="1">
        <v>4</v>
      </c>
      <c r="AB1014" s="1" t="s">
        <v>104</v>
      </c>
      <c r="AC1014" s="1" t="s">
        <v>104</v>
      </c>
      <c r="AD1014" s="1" t="s">
        <v>104</v>
      </c>
      <c r="AE1014" s="1" t="s">
        <v>104</v>
      </c>
      <c r="AF1014" s="1" t="s">
        <v>104</v>
      </c>
      <c r="AG1014" s="1" t="s">
        <v>104</v>
      </c>
      <c r="AH1014" s="1">
        <v>4</v>
      </c>
      <c r="AI1014" s="1">
        <v>4</v>
      </c>
      <c r="AJ1014" s="1">
        <v>4</v>
      </c>
      <c r="AK1014" s="1" t="s">
        <v>104</v>
      </c>
      <c r="AL1014" s="1" t="s">
        <v>104</v>
      </c>
      <c r="AM1014" s="1" t="s">
        <v>104</v>
      </c>
      <c r="AO1014" s="1">
        <v>4</v>
      </c>
      <c r="AQ1014" s="1" t="s">
        <v>6259</v>
      </c>
      <c r="AR1014" s="1">
        <v>0</v>
      </c>
      <c r="AS1014" s="1">
        <v>0</v>
      </c>
      <c r="AT1014" s="1">
        <v>0</v>
      </c>
      <c r="AU1014" s="1">
        <v>0</v>
      </c>
      <c r="AV1014" s="1">
        <v>0</v>
      </c>
      <c r="AW1014" s="1">
        <v>0</v>
      </c>
      <c r="AX1014" s="1">
        <v>0</v>
      </c>
      <c r="AY1014" s="1">
        <v>0</v>
      </c>
      <c r="AZ1014" s="1">
        <v>0</v>
      </c>
      <c r="BA1014" s="1">
        <v>0</v>
      </c>
      <c r="BB1014" s="1">
        <v>0</v>
      </c>
      <c r="BC1014" s="1">
        <v>1</v>
      </c>
      <c r="BD1014" s="1">
        <v>0</v>
      </c>
      <c r="BE1014" s="1">
        <v>0</v>
      </c>
      <c r="BF1014" s="1">
        <v>0</v>
      </c>
      <c r="BG1014" s="1">
        <v>0</v>
      </c>
      <c r="BH1014" s="1">
        <v>0</v>
      </c>
      <c r="BI1014" s="1">
        <v>0</v>
      </c>
      <c r="BJ1014" s="1">
        <v>0</v>
      </c>
      <c r="BK1014" s="1">
        <v>0</v>
      </c>
      <c r="BL1014" s="1">
        <v>0</v>
      </c>
      <c r="BM1014" s="1">
        <v>0</v>
      </c>
      <c r="BN1014" s="1">
        <v>0</v>
      </c>
      <c r="BO1014" s="1">
        <v>0</v>
      </c>
      <c r="BP1014" s="1">
        <v>0</v>
      </c>
      <c r="BQ1014" s="1" t="s">
        <v>104</v>
      </c>
      <c r="BR1014" s="1">
        <v>1056</v>
      </c>
      <c r="BS1014" s="1" t="s">
        <v>104</v>
      </c>
      <c r="BX1014" s="1">
        <v>0</v>
      </c>
      <c r="BY1014" s="1" t="s">
        <v>104</v>
      </c>
      <c r="BZ1014" s="1" t="s">
        <v>104</v>
      </c>
      <c r="CA1014" s="1">
        <v>4</v>
      </c>
      <c r="CB1014" s="1" t="s">
        <v>104</v>
      </c>
      <c r="CC1014" s="1" t="s">
        <v>104</v>
      </c>
      <c r="CD1014" s="1" t="s">
        <v>104</v>
      </c>
      <c r="CE1014" s="1" t="s">
        <v>104</v>
      </c>
      <c r="CF1014" s="1" t="s">
        <v>104</v>
      </c>
      <c r="CG1014" s="1" t="s">
        <v>104</v>
      </c>
      <c r="CH1014" s="1" t="s">
        <v>104</v>
      </c>
      <c r="CJ1014" s="1">
        <v>0</v>
      </c>
      <c r="CK1014" s="1">
        <v>0</v>
      </c>
      <c r="CL1014" s="1">
        <v>0</v>
      </c>
      <c r="CM1014" s="1" t="s">
        <v>104</v>
      </c>
    </row>
    <row r="1015" spans="1:91" ht="14.25" customHeight="1" x14ac:dyDescent="0.3">
      <c r="A1015" s="1" t="s">
        <v>6260</v>
      </c>
      <c r="B1015" s="1" t="s">
        <v>123</v>
      </c>
      <c r="C1015" s="1" t="s">
        <v>124</v>
      </c>
      <c r="D1015" s="1" t="s">
        <v>728</v>
      </c>
      <c r="E1015" s="1" t="s">
        <v>6261</v>
      </c>
      <c r="F1015" s="1" t="s">
        <v>95</v>
      </c>
      <c r="G1015" s="1" t="s">
        <v>237</v>
      </c>
      <c r="H1015" s="1">
        <v>0</v>
      </c>
      <c r="I1015" s="1" t="s">
        <v>6262</v>
      </c>
      <c r="L1015" s="1" t="s">
        <v>1065</v>
      </c>
      <c r="M1015" s="1" t="s">
        <v>255</v>
      </c>
      <c r="N1015" s="1">
        <v>0</v>
      </c>
      <c r="O1015" s="1">
        <v>0</v>
      </c>
      <c r="P1015" s="1" t="s">
        <v>211</v>
      </c>
      <c r="Q1015" s="1" t="s">
        <v>184</v>
      </c>
      <c r="R1015" s="1" t="s">
        <v>6263</v>
      </c>
      <c r="S1015" s="1" t="s">
        <v>4201</v>
      </c>
      <c r="T1015" s="1">
        <v>1</v>
      </c>
      <c r="U1015" s="1">
        <v>0</v>
      </c>
      <c r="V1015" s="1">
        <v>0</v>
      </c>
      <c r="W1015" s="1">
        <v>0</v>
      </c>
      <c r="X1015" s="1">
        <v>0</v>
      </c>
      <c r="Y1015" s="1" t="s">
        <v>104</v>
      </c>
      <c r="Z1015" s="1" t="s">
        <v>104</v>
      </c>
      <c r="AA1015" s="1">
        <v>1</v>
      </c>
      <c r="AB1015" s="1" t="s">
        <v>104</v>
      </c>
      <c r="AC1015" s="1" t="s">
        <v>104</v>
      </c>
      <c r="AD1015" s="1" t="s">
        <v>104</v>
      </c>
      <c r="AE1015" s="1" t="s">
        <v>104</v>
      </c>
      <c r="AF1015" s="1" t="s">
        <v>104</v>
      </c>
      <c r="AG1015" s="1" t="s">
        <v>104</v>
      </c>
      <c r="AH1015" s="1" t="s">
        <v>104</v>
      </c>
      <c r="AI1015" s="1">
        <v>1</v>
      </c>
      <c r="AJ1015" s="1">
        <v>1</v>
      </c>
      <c r="AK1015" s="1" t="s">
        <v>104</v>
      </c>
      <c r="AL1015" s="1" t="s">
        <v>104</v>
      </c>
      <c r="AM1015" s="1" t="s">
        <v>104</v>
      </c>
      <c r="AO1015" s="1">
        <v>1</v>
      </c>
      <c r="AP1015" s="1" t="s">
        <v>6264</v>
      </c>
      <c r="AQ1015" s="1" t="s">
        <v>6265</v>
      </c>
      <c r="AR1015" s="1">
        <v>0</v>
      </c>
      <c r="AS1015" s="1">
        <v>0</v>
      </c>
      <c r="AT1015" s="1">
        <v>0</v>
      </c>
      <c r="AU1015" s="1">
        <v>0</v>
      </c>
      <c r="AV1015" s="1">
        <v>0</v>
      </c>
      <c r="AW1015" s="1">
        <v>0</v>
      </c>
      <c r="AX1015" s="1">
        <v>0</v>
      </c>
      <c r="AY1015" s="1">
        <v>0</v>
      </c>
      <c r="AZ1015" s="1">
        <v>0</v>
      </c>
      <c r="BA1015" s="1">
        <v>0</v>
      </c>
      <c r="BB1015" s="1">
        <v>0</v>
      </c>
      <c r="BC1015" s="1">
        <v>0</v>
      </c>
      <c r="BD1015" s="1">
        <v>0</v>
      </c>
      <c r="BE1015" s="1">
        <v>0</v>
      </c>
      <c r="BF1015" s="1">
        <v>0</v>
      </c>
      <c r="BG1015" s="1">
        <v>0</v>
      </c>
      <c r="BH1015" s="1">
        <v>1</v>
      </c>
      <c r="BI1015" s="1">
        <v>0</v>
      </c>
      <c r="BJ1015" s="1">
        <v>0</v>
      </c>
      <c r="BK1015" s="1">
        <v>1</v>
      </c>
      <c r="BL1015" s="1">
        <v>0</v>
      </c>
      <c r="BM1015" s="1">
        <v>0</v>
      </c>
      <c r="BN1015" s="1">
        <v>0</v>
      </c>
      <c r="BO1015" s="1">
        <v>0</v>
      </c>
      <c r="BP1015" s="1">
        <v>0</v>
      </c>
      <c r="BQ1015" s="2" t="str">
        <f>HYPERLINK("http://www.d20pfsrd.com/magic/all-spells/f/forbid-action","Forbid Action")</f>
        <v>Forbid Action</v>
      </c>
      <c r="BR1015" s="1">
        <v>1057</v>
      </c>
      <c r="BS1015" s="1" t="s">
        <v>104</v>
      </c>
      <c r="BX1015" s="1">
        <v>0</v>
      </c>
      <c r="BY1015" s="1" t="s">
        <v>104</v>
      </c>
      <c r="BZ1015" s="1" t="s">
        <v>104</v>
      </c>
      <c r="CA1015" s="1">
        <v>1</v>
      </c>
      <c r="CB1015" s="1" t="s">
        <v>104</v>
      </c>
      <c r="CC1015" s="1">
        <v>1</v>
      </c>
      <c r="CD1015" s="1">
        <v>1</v>
      </c>
      <c r="CE1015" s="1" t="s">
        <v>104</v>
      </c>
      <c r="CF1015" s="1" t="s">
        <v>104</v>
      </c>
      <c r="CG1015" s="1" t="s">
        <v>104</v>
      </c>
      <c r="CH1015" s="1" t="s">
        <v>104</v>
      </c>
      <c r="CJ1015" s="1">
        <v>0</v>
      </c>
      <c r="CK1015" s="1">
        <v>0</v>
      </c>
      <c r="CL1015" s="1">
        <v>0</v>
      </c>
      <c r="CM1015" s="1" t="s">
        <v>104</v>
      </c>
    </row>
    <row r="1016" spans="1:91" ht="14.25" customHeight="1" x14ac:dyDescent="0.3">
      <c r="A1016" s="1" t="s">
        <v>6266</v>
      </c>
      <c r="B1016" s="1" t="s">
        <v>123</v>
      </c>
      <c r="C1016" s="1" t="s">
        <v>124</v>
      </c>
      <c r="D1016" s="1" t="s">
        <v>728</v>
      </c>
      <c r="E1016" s="1" t="s">
        <v>6267</v>
      </c>
      <c r="F1016" s="1" t="s">
        <v>95</v>
      </c>
      <c r="G1016" s="1" t="s">
        <v>237</v>
      </c>
      <c r="H1016" s="1">
        <v>0</v>
      </c>
      <c r="I1016" s="1" t="s">
        <v>6262</v>
      </c>
      <c r="L1016" s="1" t="s">
        <v>541</v>
      </c>
      <c r="M1016" s="1" t="s">
        <v>111</v>
      </c>
      <c r="N1016" s="1">
        <v>0</v>
      </c>
      <c r="O1016" s="1">
        <v>0</v>
      </c>
      <c r="P1016" s="1" t="s">
        <v>211</v>
      </c>
      <c r="Q1016" s="1" t="s">
        <v>184</v>
      </c>
      <c r="R1016" s="1" t="s">
        <v>6268</v>
      </c>
      <c r="S1016" s="1" t="s">
        <v>4201</v>
      </c>
      <c r="T1016" s="1">
        <v>1</v>
      </c>
      <c r="U1016" s="1">
        <v>0</v>
      </c>
      <c r="V1016" s="1">
        <v>0</v>
      </c>
      <c r="W1016" s="1">
        <v>0</v>
      </c>
      <c r="X1016" s="1">
        <v>0</v>
      </c>
      <c r="Y1016" s="1" t="s">
        <v>104</v>
      </c>
      <c r="Z1016" s="1" t="s">
        <v>104</v>
      </c>
      <c r="AA1016" s="1">
        <v>5</v>
      </c>
      <c r="AB1016" s="1" t="s">
        <v>104</v>
      </c>
      <c r="AC1016" s="1" t="s">
        <v>104</v>
      </c>
      <c r="AD1016" s="1" t="s">
        <v>104</v>
      </c>
      <c r="AE1016" s="1" t="s">
        <v>104</v>
      </c>
      <c r="AF1016" s="1" t="s">
        <v>104</v>
      </c>
      <c r="AG1016" s="1" t="s">
        <v>104</v>
      </c>
      <c r="AH1016" s="1" t="s">
        <v>104</v>
      </c>
      <c r="AI1016" s="1">
        <v>5</v>
      </c>
      <c r="AJ1016" s="1">
        <v>5</v>
      </c>
      <c r="AK1016" s="1" t="s">
        <v>104</v>
      </c>
      <c r="AL1016" s="1" t="s">
        <v>104</v>
      </c>
      <c r="AM1016" s="1" t="s">
        <v>104</v>
      </c>
      <c r="AO1016" s="1">
        <v>5</v>
      </c>
      <c r="AP1016" s="1" t="s">
        <v>6269</v>
      </c>
      <c r="AQ1016" s="1" t="s">
        <v>6270</v>
      </c>
      <c r="AR1016" s="1">
        <v>0</v>
      </c>
      <c r="AS1016" s="1">
        <v>0</v>
      </c>
      <c r="AT1016" s="1">
        <v>0</v>
      </c>
      <c r="AU1016" s="1">
        <v>0</v>
      </c>
      <c r="AV1016" s="1">
        <v>0</v>
      </c>
      <c r="AW1016" s="1">
        <v>0</v>
      </c>
      <c r="AX1016" s="1">
        <v>0</v>
      </c>
      <c r="AY1016" s="1">
        <v>0</v>
      </c>
      <c r="AZ1016" s="1">
        <v>0</v>
      </c>
      <c r="BA1016" s="1">
        <v>0</v>
      </c>
      <c r="BB1016" s="1">
        <v>0</v>
      </c>
      <c r="BC1016" s="1">
        <v>0</v>
      </c>
      <c r="BD1016" s="1">
        <v>0</v>
      </c>
      <c r="BE1016" s="1">
        <v>0</v>
      </c>
      <c r="BF1016" s="1">
        <v>0</v>
      </c>
      <c r="BG1016" s="1">
        <v>0</v>
      </c>
      <c r="BH1016" s="1">
        <v>1</v>
      </c>
      <c r="BI1016" s="1">
        <v>0</v>
      </c>
      <c r="BJ1016" s="1">
        <v>0</v>
      </c>
      <c r="BK1016" s="1">
        <v>1</v>
      </c>
      <c r="BL1016" s="1">
        <v>0</v>
      </c>
      <c r="BM1016" s="1">
        <v>0</v>
      </c>
      <c r="BN1016" s="1">
        <v>0</v>
      </c>
      <c r="BO1016" s="1">
        <v>0</v>
      </c>
      <c r="BP1016" s="1">
        <v>0</v>
      </c>
      <c r="BQ1016" s="2" t="str">
        <f>HYPERLINK("http://www.d20pfsrd.com/magic/all-spells/f/forbid-action","Forbid Action, Greater")</f>
        <v>Forbid Action, Greater</v>
      </c>
      <c r="BR1016" s="1">
        <v>1058</v>
      </c>
      <c r="BS1016" s="1" t="s">
        <v>104</v>
      </c>
      <c r="BX1016" s="1">
        <v>0</v>
      </c>
      <c r="BY1016" s="1" t="s">
        <v>104</v>
      </c>
      <c r="BZ1016" s="1" t="s">
        <v>104</v>
      </c>
      <c r="CA1016" s="1">
        <v>5</v>
      </c>
      <c r="CB1016" s="1" t="s">
        <v>104</v>
      </c>
      <c r="CC1016" s="1">
        <v>4</v>
      </c>
      <c r="CD1016" s="1">
        <v>5</v>
      </c>
      <c r="CE1016" s="1" t="s">
        <v>104</v>
      </c>
      <c r="CF1016" s="1" t="s">
        <v>104</v>
      </c>
      <c r="CG1016" s="1" t="s">
        <v>104</v>
      </c>
      <c r="CH1016" s="1" t="s">
        <v>104</v>
      </c>
      <c r="CJ1016" s="1">
        <v>0</v>
      </c>
      <c r="CK1016" s="1">
        <v>0</v>
      </c>
      <c r="CL1016" s="1">
        <v>0</v>
      </c>
      <c r="CM1016" s="1" t="s">
        <v>104</v>
      </c>
    </row>
    <row r="1017" spans="1:91" ht="14.25" customHeight="1" x14ac:dyDescent="0.3">
      <c r="A1017" s="1" t="s">
        <v>6271</v>
      </c>
      <c r="B1017" s="1" t="s">
        <v>434</v>
      </c>
      <c r="D1017" s="1" t="s">
        <v>57</v>
      </c>
      <c r="E1017" s="1" t="s">
        <v>6272</v>
      </c>
      <c r="F1017" s="1" t="s">
        <v>95</v>
      </c>
      <c r="G1017" s="1" t="s">
        <v>116</v>
      </c>
      <c r="H1017" s="1">
        <v>0</v>
      </c>
      <c r="I1017" s="1" t="s">
        <v>6273</v>
      </c>
      <c r="L1017" s="1" t="s">
        <v>6274</v>
      </c>
      <c r="M1017" s="1" t="s">
        <v>119</v>
      </c>
      <c r="N1017" s="1">
        <v>0</v>
      </c>
      <c r="O1017" s="1">
        <v>0</v>
      </c>
      <c r="P1017" s="1" t="s">
        <v>100</v>
      </c>
      <c r="Q1017" s="1" t="s">
        <v>184</v>
      </c>
      <c r="R1017" s="1" t="s">
        <v>6275</v>
      </c>
      <c r="S1017" s="1" t="s">
        <v>4201</v>
      </c>
      <c r="T1017" s="1">
        <v>1</v>
      </c>
      <c r="U1017" s="1">
        <v>1</v>
      </c>
      <c r="V1017" s="1">
        <v>0</v>
      </c>
      <c r="W1017" s="1">
        <v>0</v>
      </c>
      <c r="X1017" s="1">
        <v>0</v>
      </c>
      <c r="Y1017" s="1" t="s">
        <v>104</v>
      </c>
      <c r="Z1017" s="1" t="s">
        <v>104</v>
      </c>
      <c r="AA1017" s="1" t="s">
        <v>104</v>
      </c>
      <c r="AB1017" s="1" t="s">
        <v>104</v>
      </c>
      <c r="AC1017" s="1" t="s">
        <v>104</v>
      </c>
      <c r="AD1017" s="1" t="s">
        <v>104</v>
      </c>
      <c r="AE1017" s="1" t="s">
        <v>104</v>
      </c>
      <c r="AF1017" s="1" t="s">
        <v>104</v>
      </c>
      <c r="AG1017" s="1" t="s">
        <v>104</v>
      </c>
      <c r="AH1017" s="1" t="s">
        <v>104</v>
      </c>
      <c r="AI1017" s="1" t="s">
        <v>104</v>
      </c>
      <c r="AJ1017" s="1" t="s">
        <v>104</v>
      </c>
      <c r="AK1017" s="1" t="s">
        <v>104</v>
      </c>
      <c r="AL1017" s="1">
        <v>3</v>
      </c>
      <c r="AM1017" s="1" t="s">
        <v>104</v>
      </c>
      <c r="AO1017" s="1">
        <v>3</v>
      </c>
      <c r="AQ1017" s="1" t="s">
        <v>6276</v>
      </c>
      <c r="AR1017" s="1">
        <v>0</v>
      </c>
      <c r="AS1017" s="1">
        <v>0</v>
      </c>
      <c r="AT1017" s="1">
        <v>0</v>
      </c>
      <c r="AU1017" s="1">
        <v>0</v>
      </c>
      <c r="AV1017" s="1">
        <v>0</v>
      </c>
      <c r="AW1017" s="1">
        <v>0</v>
      </c>
      <c r="AX1017" s="1">
        <v>0</v>
      </c>
      <c r="AY1017" s="1">
        <v>0</v>
      </c>
      <c r="AZ1017" s="1">
        <v>0</v>
      </c>
      <c r="BA1017" s="1">
        <v>0</v>
      </c>
      <c r="BB1017" s="1">
        <v>0</v>
      </c>
      <c r="BC1017" s="1">
        <v>0</v>
      </c>
      <c r="BD1017" s="1">
        <v>0</v>
      </c>
      <c r="BE1017" s="1">
        <v>0</v>
      </c>
      <c r="BF1017" s="1">
        <v>1</v>
      </c>
      <c r="BG1017" s="1">
        <v>0</v>
      </c>
      <c r="BH1017" s="1">
        <v>0</v>
      </c>
      <c r="BI1017" s="1">
        <v>0</v>
      </c>
      <c r="BJ1017" s="1">
        <v>0</v>
      </c>
      <c r="BK1017" s="1">
        <v>0</v>
      </c>
      <c r="BL1017" s="1">
        <v>0</v>
      </c>
      <c r="BM1017" s="1">
        <v>0</v>
      </c>
      <c r="BN1017" s="1">
        <v>0</v>
      </c>
      <c r="BO1017" s="1">
        <v>0</v>
      </c>
      <c r="BP1017" s="1">
        <v>0</v>
      </c>
      <c r="BQ1017" s="2" t="str">
        <f>HYPERLINK("http://www.d20pfsrd.com/magic/all-spells/f/force-hook-charge","Force Hook Charge")</f>
        <v>Force Hook Charge</v>
      </c>
      <c r="BR1017" s="1">
        <v>1059</v>
      </c>
      <c r="BS1017" s="1" t="s">
        <v>104</v>
      </c>
      <c r="BX1017" s="1">
        <v>0</v>
      </c>
      <c r="BY1017" s="1">
        <v>3</v>
      </c>
      <c r="BZ1017" s="1" t="s">
        <v>104</v>
      </c>
      <c r="CA1017" s="1">
        <v>4</v>
      </c>
      <c r="CB1017" s="1" t="s">
        <v>104</v>
      </c>
      <c r="CC1017" s="1" t="s">
        <v>104</v>
      </c>
      <c r="CD1017" s="1" t="s">
        <v>104</v>
      </c>
      <c r="CE1017" s="1" t="s">
        <v>104</v>
      </c>
      <c r="CF1017" s="1" t="s">
        <v>104</v>
      </c>
      <c r="CG1017" s="1" t="s">
        <v>104</v>
      </c>
      <c r="CH1017" s="1" t="s">
        <v>104</v>
      </c>
      <c r="CJ1017" s="1">
        <v>0</v>
      </c>
      <c r="CK1017" s="1">
        <v>0</v>
      </c>
      <c r="CL1017" s="1">
        <v>0</v>
      </c>
      <c r="CM1017" s="1" t="s">
        <v>104</v>
      </c>
    </row>
    <row r="1018" spans="1:91" ht="14.25" customHeight="1" x14ac:dyDescent="0.3">
      <c r="A1018" s="1" t="s">
        <v>6277</v>
      </c>
      <c r="B1018" s="1" t="s">
        <v>434</v>
      </c>
      <c r="D1018" s="1" t="s">
        <v>57</v>
      </c>
      <c r="E1018" s="1" t="s">
        <v>6278</v>
      </c>
      <c r="F1018" s="1" t="s">
        <v>95</v>
      </c>
      <c r="G1018" s="1" t="s">
        <v>116</v>
      </c>
      <c r="H1018" s="1">
        <v>0</v>
      </c>
      <c r="I1018" s="1" t="s">
        <v>128</v>
      </c>
      <c r="L1018" s="1" t="s">
        <v>374</v>
      </c>
      <c r="M1018" s="1" t="s">
        <v>119</v>
      </c>
      <c r="N1018" s="1">
        <v>0</v>
      </c>
      <c r="O1018" s="1">
        <v>0</v>
      </c>
      <c r="P1018" s="1" t="s">
        <v>1080</v>
      </c>
      <c r="Q1018" s="1" t="s">
        <v>184</v>
      </c>
      <c r="R1018" s="1" t="s">
        <v>6279</v>
      </c>
      <c r="S1018" s="1" t="s">
        <v>4201</v>
      </c>
      <c r="T1018" s="1">
        <v>1</v>
      </c>
      <c r="U1018" s="1">
        <v>1</v>
      </c>
      <c r="V1018" s="1">
        <v>0</v>
      </c>
      <c r="W1018" s="1">
        <v>0</v>
      </c>
      <c r="X1018" s="1">
        <v>0</v>
      </c>
      <c r="Y1018" s="1">
        <v>3</v>
      </c>
      <c r="Z1018" s="1">
        <v>3</v>
      </c>
      <c r="AA1018" s="1" t="s">
        <v>104</v>
      </c>
      <c r="AB1018" s="1" t="s">
        <v>104</v>
      </c>
      <c r="AC1018" s="1" t="s">
        <v>104</v>
      </c>
      <c r="AD1018" s="1" t="s">
        <v>104</v>
      </c>
      <c r="AE1018" s="1" t="s">
        <v>104</v>
      </c>
      <c r="AF1018" s="1" t="s">
        <v>104</v>
      </c>
      <c r="AG1018" s="1" t="s">
        <v>104</v>
      </c>
      <c r="AH1018" s="1" t="s">
        <v>104</v>
      </c>
      <c r="AI1018" s="1" t="s">
        <v>104</v>
      </c>
      <c r="AJ1018" s="1" t="s">
        <v>104</v>
      </c>
      <c r="AK1018" s="1" t="s">
        <v>104</v>
      </c>
      <c r="AL1018" s="1">
        <v>3</v>
      </c>
      <c r="AM1018" s="1" t="s">
        <v>104</v>
      </c>
      <c r="AO1018" s="1">
        <v>3</v>
      </c>
      <c r="AP1018" s="1" t="s">
        <v>6280</v>
      </c>
      <c r="AQ1018" s="1" t="s">
        <v>6281</v>
      </c>
      <c r="AR1018" s="1">
        <v>0</v>
      </c>
      <c r="AS1018" s="1">
        <v>0</v>
      </c>
      <c r="AT1018" s="1">
        <v>0</v>
      </c>
      <c r="AU1018" s="1">
        <v>0</v>
      </c>
      <c r="AV1018" s="1">
        <v>0</v>
      </c>
      <c r="AW1018" s="1">
        <v>0</v>
      </c>
      <c r="AX1018" s="1">
        <v>0</v>
      </c>
      <c r="AY1018" s="1">
        <v>0</v>
      </c>
      <c r="AZ1018" s="1">
        <v>0</v>
      </c>
      <c r="BA1018" s="1">
        <v>0</v>
      </c>
      <c r="BB1018" s="1">
        <v>0</v>
      </c>
      <c r="BC1018" s="1">
        <v>0</v>
      </c>
      <c r="BD1018" s="1">
        <v>0</v>
      </c>
      <c r="BE1018" s="1">
        <v>0</v>
      </c>
      <c r="BF1018" s="1">
        <v>1</v>
      </c>
      <c r="BG1018" s="1">
        <v>0</v>
      </c>
      <c r="BH1018" s="1">
        <v>0</v>
      </c>
      <c r="BI1018" s="1">
        <v>0</v>
      </c>
      <c r="BJ1018" s="1">
        <v>0</v>
      </c>
      <c r="BK1018" s="1">
        <v>0</v>
      </c>
      <c r="BL1018" s="1">
        <v>0</v>
      </c>
      <c r="BM1018" s="1">
        <v>0</v>
      </c>
      <c r="BN1018" s="1">
        <v>0</v>
      </c>
      <c r="BO1018" s="1">
        <v>0</v>
      </c>
      <c r="BP1018" s="1">
        <v>0</v>
      </c>
      <c r="BQ1018" s="2" t="str">
        <f>HYPERLINK("http://www.d20pfsrd.com/magic/all-spells/f/force-punch","Force Punch")</f>
        <v>Force Punch</v>
      </c>
      <c r="BR1018" s="1">
        <v>1060</v>
      </c>
      <c r="BS1018" s="1" t="s">
        <v>104</v>
      </c>
      <c r="BX1018" s="1">
        <v>0</v>
      </c>
      <c r="BY1018" s="1">
        <v>3</v>
      </c>
      <c r="BZ1018" s="1" t="s">
        <v>104</v>
      </c>
      <c r="CA1018" s="1">
        <v>3</v>
      </c>
      <c r="CB1018" s="1" t="s">
        <v>104</v>
      </c>
      <c r="CC1018" s="1" t="s">
        <v>104</v>
      </c>
      <c r="CD1018" s="1" t="s">
        <v>104</v>
      </c>
      <c r="CE1018" s="1">
        <v>3</v>
      </c>
      <c r="CF1018" s="1" t="s">
        <v>104</v>
      </c>
      <c r="CG1018" s="1" t="s">
        <v>104</v>
      </c>
      <c r="CH1018" s="1" t="s">
        <v>104</v>
      </c>
      <c r="CJ1018" s="1">
        <v>0</v>
      </c>
      <c r="CK1018" s="1">
        <v>0</v>
      </c>
      <c r="CL1018" s="1">
        <v>0</v>
      </c>
      <c r="CM1018" s="1" t="s">
        <v>104</v>
      </c>
    </row>
    <row r="1019" spans="1:91" ht="14.25" customHeight="1" x14ac:dyDescent="0.3">
      <c r="A1019" s="1" t="s">
        <v>6282</v>
      </c>
      <c r="B1019" s="1" t="s">
        <v>137</v>
      </c>
      <c r="D1019" s="1" t="s">
        <v>66</v>
      </c>
      <c r="E1019" s="1" t="s">
        <v>6283</v>
      </c>
      <c r="F1019" s="1" t="s">
        <v>95</v>
      </c>
      <c r="G1019" s="1" t="s">
        <v>1802</v>
      </c>
      <c r="H1019" s="1">
        <v>0</v>
      </c>
      <c r="I1019" s="1" t="s">
        <v>109</v>
      </c>
      <c r="L1019" s="1" t="s">
        <v>1065</v>
      </c>
      <c r="M1019" s="1" t="s">
        <v>111</v>
      </c>
      <c r="N1019" s="1">
        <v>0</v>
      </c>
      <c r="O1019" s="1">
        <v>0</v>
      </c>
      <c r="P1019" s="1" t="s">
        <v>211</v>
      </c>
      <c r="Q1019" s="1" t="s">
        <v>184</v>
      </c>
      <c r="R1019" s="1" t="s">
        <v>6284</v>
      </c>
      <c r="S1019" s="1" t="s">
        <v>4201</v>
      </c>
      <c r="T1019" s="1">
        <v>0</v>
      </c>
      <c r="U1019" s="1">
        <v>1</v>
      </c>
      <c r="V1019" s="1">
        <v>0</v>
      </c>
      <c r="W1019" s="1">
        <v>0</v>
      </c>
      <c r="X1019" s="1">
        <v>0</v>
      </c>
      <c r="Y1019" s="1">
        <v>1</v>
      </c>
      <c r="Z1019" s="1">
        <v>1</v>
      </c>
      <c r="AA1019" s="1" t="s">
        <v>104</v>
      </c>
      <c r="AB1019" s="1" t="s">
        <v>104</v>
      </c>
      <c r="AC1019" s="1" t="s">
        <v>104</v>
      </c>
      <c r="AD1019" s="1">
        <v>1</v>
      </c>
      <c r="AE1019" s="1" t="s">
        <v>104</v>
      </c>
      <c r="AF1019" s="1" t="s">
        <v>104</v>
      </c>
      <c r="AG1019" s="1" t="s">
        <v>104</v>
      </c>
      <c r="AH1019" s="1">
        <v>1</v>
      </c>
      <c r="AI1019" s="1">
        <v>1</v>
      </c>
      <c r="AJ1019" s="1" t="s">
        <v>104</v>
      </c>
      <c r="AK1019" s="1" t="s">
        <v>104</v>
      </c>
      <c r="AL1019" s="1" t="s">
        <v>104</v>
      </c>
      <c r="AM1019" s="1" t="s">
        <v>104</v>
      </c>
      <c r="AO1019" s="1">
        <v>1</v>
      </c>
      <c r="AQ1019" s="1" t="s">
        <v>6285</v>
      </c>
      <c r="AR1019" s="1">
        <v>0</v>
      </c>
      <c r="AS1019" s="1">
        <v>0</v>
      </c>
      <c r="AT1019" s="1">
        <v>0</v>
      </c>
      <c r="AU1019" s="1">
        <v>0</v>
      </c>
      <c r="AV1019" s="1">
        <v>0</v>
      </c>
      <c r="AW1019" s="1">
        <v>0</v>
      </c>
      <c r="AX1019" s="1">
        <v>0</v>
      </c>
      <c r="AY1019" s="1">
        <v>0</v>
      </c>
      <c r="AZ1019" s="1">
        <v>0</v>
      </c>
      <c r="BA1019" s="1">
        <v>0</v>
      </c>
      <c r="BB1019" s="1">
        <v>0</v>
      </c>
      <c r="BC1019" s="1">
        <v>0</v>
      </c>
      <c r="BD1019" s="1">
        <v>0</v>
      </c>
      <c r="BE1019" s="1">
        <v>0</v>
      </c>
      <c r="BF1019" s="1">
        <v>0</v>
      </c>
      <c r="BG1019" s="1">
        <v>0</v>
      </c>
      <c r="BH1019" s="1">
        <v>0</v>
      </c>
      <c r="BI1019" s="1">
        <v>0</v>
      </c>
      <c r="BJ1019" s="1">
        <v>0</v>
      </c>
      <c r="BK1019" s="1">
        <v>0</v>
      </c>
      <c r="BL1019" s="1">
        <v>0</v>
      </c>
      <c r="BM1019" s="1">
        <v>0</v>
      </c>
      <c r="BN1019" s="1">
        <v>0</v>
      </c>
      <c r="BO1019" s="1">
        <v>1</v>
      </c>
      <c r="BP1019" s="1">
        <v>0</v>
      </c>
      <c r="BQ1019" s="2" t="str">
        <f>HYPERLINK("http://www.d20pfsrd.com/magic/all-spells/f/forced-quiet","Forced Quiet")</f>
        <v>Forced Quiet</v>
      </c>
      <c r="BR1019" s="1">
        <v>1061</v>
      </c>
      <c r="BS1019" s="1" t="s">
        <v>104</v>
      </c>
      <c r="BX1019" s="1">
        <v>0</v>
      </c>
      <c r="BY1019" s="1" t="s">
        <v>104</v>
      </c>
      <c r="BZ1019" s="1" t="s">
        <v>104</v>
      </c>
      <c r="CA1019" s="1">
        <v>1</v>
      </c>
      <c r="CB1019" s="1" t="s">
        <v>104</v>
      </c>
      <c r="CC1019" s="1">
        <v>1</v>
      </c>
      <c r="CD1019" s="1" t="s">
        <v>104</v>
      </c>
      <c r="CE1019" s="1" t="s">
        <v>104</v>
      </c>
      <c r="CF1019" s="1" t="s">
        <v>104</v>
      </c>
      <c r="CG1019" s="1" t="s">
        <v>104</v>
      </c>
      <c r="CH1019" s="1" t="s">
        <v>104</v>
      </c>
      <c r="CJ1019" s="1">
        <v>0</v>
      </c>
      <c r="CK1019" s="1">
        <v>0</v>
      </c>
      <c r="CL1019" s="1">
        <v>0</v>
      </c>
      <c r="CM1019" s="1" t="s">
        <v>104</v>
      </c>
    </row>
    <row r="1020" spans="1:91" ht="14.25" customHeight="1" x14ac:dyDescent="0.3">
      <c r="A1020" s="1" t="s">
        <v>6286</v>
      </c>
      <c r="B1020" s="1" t="s">
        <v>434</v>
      </c>
      <c r="D1020" s="1" t="s">
        <v>46</v>
      </c>
      <c r="E1020" s="1" t="s">
        <v>6287</v>
      </c>
      <c r="F1020" s="1" t="s">
        <v>95</v>
      </c>
      <c r="G1020" s="1" t="s">
        <v>116</v>
      </c>
      <c r="H1020" s="1">
        <v>0</v>
      </c>
      <c r="I1020" s="1" t="s">
        <v>128</v>
      </c>
      <c r="L1020" s="1" t="s">
        <v>374</v>
      </c>
      <c r="M1020" s="1" t="s">
        <v>119</v>
      </c>
      <c r="N1020" s="1">
        <v>0</v>
      </c>
      <c r="O1020" s="1">
        <v>0</v>
      </c>
      <c r="P1020" s="1" t="s">
        <v>100</v>
      </c>
      <c r="Q1020" s="1" t="s">
        <v>184</v>
      </c>
      <c r="R1020" s="1" t="s">
        <v>6288</v>
      </c>
      <c r="S1020" s="1" t="s">
        <v>4201</v>
      </c>
      <c r="T1020" s="1">
        <v>1</v>
      </c>
      <c r="U1020" s="1">
        <v>1</v>
      </c>
      <c r="V1020" s="1">
        <v>0</v>
      </c>
      <c r="W1020" s="1">
        <v>0</v>
      </c>
      <c r="X1020" s="1">
        <v>0</v>
      </c>
      <c r="Y1020" s="1">
        <v>2</v>
      </c>
      <c r="Z1020" s="1">
        <v>2</v>
      </c>
      <c r="AA1020" s="1" t="s">
        <v>104</v>
      </c>
      <c r="AB1020" s="1">
        <v>2</v>
      </c>
      <c r="AC1020" s="1" t="s">
        <v>104</v>
      </c>
      <c r="AD1020" s="1" t="s">
        <v>104</v>
      </c>
      <c r="AE1020" s="1" t="s">
        <v>104</v>
      </c>
      <c r="AF1020" s="1" t="s">
        <v>104</v>
      </c>
      <c r="AG1020" s="1" t="s">
        <v>104</v>
      </c>
      <c r="AH1020" s="1" t="s">
        <v>104</v>
      </c>
      <c r="AI1020" s="1" t="s">
        <v>104</v>
      </c>
      <c r="AJ1020" s="1" t="s">
        <v>104</v>
      </c>
      <c r="AK1020" s="1" t="s">
        <v>104</v>
      </c>
      <c r="AL1020" s="1">
        <v>2</v>
      </c>
      <c r="AM1020" s="1" t="s">
        <v>104</v>
      </c>
      <c r="AO1020" s="1">
        <v>2</v>
      </c>
      <c r="AQ1020" s="1" t="s">
        <v>6289</v>
      </c>
      <c r="AR1020" s="1">
        <v>0</v>
      </c>
      <c r="AS1020" s="1">
        <v>0</v>
      </c>
      <c r="AT1020" s="1">
        <v>0</v>
      </c>
      <c r="AU1020" s="1">
        <v>1</v>
      </c>
      <c r="AV1020" s="1">
        <v>0</v>
      </c>
      <c r="AW1020" s="1">
        <v>0</v>
      </c>
      <c r="AX1020" s="1">
        <v>0</v>
      </c>
      <c r="AY1020" s="1">
        <v>0</v>
      </c>
      <c r="AZ1020" s="1">
        <v>0</v>
      </c>
      <c r="BA1020" s="1">
        <v>0</v>
      </c>
      <c r="BB1020" s="1">
        <v>0</v>
      </c>
      <c r="BC1020" s="1">
        <v>0</v>
      </c>
      <c r="BD1020" s="1">
        <v>0</v>
      </c>
      <c r="BE1020" s="1">
        <v>0</v>
      </c>
      <c r="BF1020" s="1">
        <v>0</v>
      </c>
      <c r="BG1020" s="1">
        <v>0</v>
      </c>
      <c r="BH1020" s="1">
        <v>0</v>
      </c>
      <c r="BI1020" s="1">
        <v>0</v>
      </c>
      <c r="BJ1020" s="1">
        <v>0</v>
      </c>
      <c r="BK1020" s="1">
        <v>0</v>
      </c>
      <c r="BL1020" s="1">
        <v>0</v>
      </c>
      <c r="BM1020" s="1">
        <v>0</v>
      </c>
      <c r="BN1020" s="1">
        <v>0</v>
      </c>
      <c r="BO1020" s="1">
        <v>0</v>
      </c>
      <c r="BP1020" s="1">
        <v>0</v>
      </c>
      <c r="BQ1020" s="2" t="str">
        <f>HYPERLINK("http://www.d20pfsrd.com/magic/all-spells/f/frigid-touch","Frigid Touch")</f>
        <v>Frigid Touch</v>
      </c>
      <c r="BR1020" s="1">
        <v>1062</v>
      </c>
      <c r="BS1020" s="1" t="s">
        <v>104</v>
      </c>
      <c r="BX1020" s="1">
        <v>0</v>
      </c>
      <c r="BY1020" s="1">
        <v>2</v>
      </c>
      <c r="BZ1020" s="1" t="s">
        <v>104</v>
      </c>
      <c r="CA1020" s="1" t="s">
        <v>104</v>
      </c>
      <c r="CB1020" s="1" t="s">
        <v>104</v>
      </c>
      <c r="CC1020" s="1" t="s">
        <v>104</v>
      </c>
      <c r="CD1020" s="1" t="s">
        <v>104</v>
      </c>
      <c r="CE1020" s="1" t="s">
        <v>104</v>
      </c>
      <c r="CF1020" s="1" t="s">
        <v>104</v>
      </c>
      <c r="CG1020" s="1" t="s">
        <v>104</v>
      </c>
      <c r="CH1020" s="1">
        <v>2</v>
      </c>
      <c r="CJ1020" s="1">
        <v>0</v>
      </c>
      <c r="CK1020" s="1">
        <v>0</v>
      </c>
      <c r="CL1020" s="1">
        <v>0</v>
      </c>
      <c r="CM1020" s="1" t="s">
        <v>104</v>
      </c>
    </row>
    <row r="1021" spans="1:91" ht="14.25" customHeight="1" x14ac:dyDescent="0.3">
      <c r="A1021" s="1" t="s">
        <v>6290</v>
      </c>
      <c r="B1021" s="1" t="s">
        <v>137</v>
      </c>
      <c r="D1021" s="1" t="s">
        <v>46</v>
      </c>
      <c r="E1021" s="1" t="s">
        <v>6291</v>
      </c>
      <c r="F1021" s="1" t="s">
        <v>95</v>
      </c>
      <c r="G1021" s="1" t="s">
        <v>116</v>
      </c>
      <c r="H1021" s="1">
        <v>0</v>
      </c>
      <c r="I1021" s="1" t="s">
        <v>128</v>
      </c>
      <c r="L1021" s="1" t="s">
        <v>374</v>
      </c>
      <c r="M1021" s="1" t="s">
        <v>119</v>
      </c>
      <c r="N1021" s="1">
        <v>0</v>
      </c>
      <c r="O1021" s="1">
        <v>0</v>
      </c>
      <c r="P1021" s="1" t="s">
        <v>100</v>
      </c>
      <c r="Q1021" s="1" t="s">
        <v>184</v>
      </c>
      <c r="R1021" s="1" t="s">
        <v>6292</v>
      </c>
      <c r="S1021" s="1" t="s">
        <v>4201</v>
      </c>
      <c r="T1021" s="1">
        <v>1</v>
      </c>
      <c r="U1021" s="1">
        <v>1</v>
      </c>
      <c r="V1021" s="1">
        <v>0</v>
      </c>
      <c r="W1021" s="1">
        <v>0</v>
      </c>
      <c r="X1021" s="1">
        <v>0</v>
      </c>
      <c r="Y1021" s="1" t="s">
        <v>104</v>
      </c>
      <c r="Z1021" s="1" t="s">
        <v>104</v>
      </c>
      <c r="AA1021" s="1" t="s">
        <v>104</v>
      </c>
      <c r="AB1021" s="1">
        <v>1</v>
      </c>
      <c r="AC1021" s="1" t="s">
        <v>104</v>
      </c>
      <c r="AD1021" s="1" t="s">
        <v>104</v>
      </c>
      <c r="AE1021" s="1" t="s">
        <v>104</v>
      </c>
      <c r="AF1021" s="1" t="s">
        <v>104</v>
      </c>
      <c r="AG1021" s="1" t="s">
        <v>104</v>
      </c>
      <c r="AH1021" s="1">
        <v>1</v>
      </c>
      <c r="AI1021" s="1" t="s">
        <v>104</v>
      </c>
      <c r="AJ1021" s="1" t="s">
        <v>104</v>
      </c>
      <c r="AK1021" s="1" t="s">
        <v>104</v>
      </c>
      <c r="AL1021" s="1">
        <v>1</v>
      </c>
      <c r="AM1021" s="1" t="s">
        <v>104</v>
      </c>
      <c r="AO1021" s="1">
        <v>1</v>
      </c>
      <c r="AQ1021" s="1" t="s">
        <v>6293</v>
      </c>
      <c r="AR1021" s="1">
        <v>0</v>
      </c>
      <c r="AS1021" s="1">
        <v>0</v>
      </c>
      <c r="AT1021" s="1">
        <v>0</v>
      </c>
      <c r="AU1021" s="1">
        <v>1</v>
      </c>
      <c r="AV1021" s="1">
        <v>0</v>
      </c>
      <c r="AW1021" s="1">
        <v>0</v>
      </c>
      <c r="AX1021" s="1">
        <v>0</v>
      </c>
      <c r="AY1021" s="1">
        <v>0</v>
      </c>
      <c r="AZ1021" s="1">
        <v>0</v>
      </c>
      <c r="BA1021" s="1">
        <v>0</v>
      </c>
      <c r="BB1021" s="1">
        <v>0</v>
      </c>
      <c r="BC1021" s="1">
        <v>0</v>
      </c>
      <c r="BD1021" s="1">
        <v>0</v>
      </c>
      <c r="BE1021" s="1">
        <v>0</v>
      </c>
      <c r="BF1021" s="1">
        <v>0</v>
      </c>
      <c r="BG1021" s="1">
        <v>0</v>
      </c>
      <c r="BH1021" s="1">
        <v>0</v>
      </c>
      <c r="BI1021" s="1">
        <v>0</v>
      </c>
      <c r="BJ1021" s="1">
        <v>0</v>
      </c>
      <c r="BK1021" s="1">
        <v>0</v>
      </c>
      <c r="BL1021" s="1">
        <v>0</v>
      </c>
      <c r="BM1021" s="1">
        <v>0</v>
      </c>
      <c r="BN1021" s="1">
        <v>0</v>
      </c>
      <c r="BO1021" s="1">
        <v>0</v>
      </c>
      <c r="BP1021" s="1">
        <v>0</v>
      </c>
      <c r="BQ1021" s="2" t="str">
        <f>HYPERLINK("http://www.d20pfsrd.com/magic/all-spells/f/frostbite","Frostbite")</f>
        <v>Frostbite</v>
      </c>
      <c r="BR1021" s="1">
        <v>1063</v>
      </c>
      <c r="BS1021" s="1" t="s">
        <v>104</v>
      </c>
      <c r="BX1021" s="1">
        <v>0</v>
      </c>
      <c r="BY1021" s="1">
        <v>1</v>
      </c>
      <c r="BZ1021" s="1">
        <v>1</v>
      </c>
      <c r="CA1021" s="1" t="s">
        <v>104</v>
      </c>
      <c r="CB1021" s="1" t="s">
        <v>104</v>
      </c>
      <c r="CC1021" s="1" t="s">
        <v>104</v>
      </c>
      <c r="CD1021" s="1" t="s">
        <v>104</v>
      </c>
      <c r="CE1021" s="1" t="s">
        <v>104</v>
      </c>
      <c r="CF1021" s="1" t="s">
        <v>104</v>
      </c>
      <c r="CG1021" s="1" t="s">
        <v>104</v>
      </c>
      <c r="CH1021" s="1">
        <v>1</v>
      </c>
      <c r="CJ1021" s="1">
        <v>0</v>
      </c>
      <c r="CK1021" s="1">
        <v>0</v>
      </c>
      <c r="CL1021" s="1">
        <v>0</v>
      </c>
      <c r="CM1021" s="1" t="s">
        <v>104</v>
      </c>
    </row>
    <row r="1022" spans="1:91" ht="14.25" customHeight="1" x14ac:dyDescent="0.3">
      <c r="A1022" s="1" t="s">
        <v>6294</v>
      </c>
      <c r="B1022" s="1" t="s">
        <v>123</v>
      </c>
      <c r="C1022" s="1" t="s">
        <v>124</v>
      </c>
      <c r="D1022" s="1" t="s">
        <v>125</v>
      </c>
      <c r="E1022" s="1" t="s">
        <v>4496</v>
      </c>
      <c r="F1022" s="1" t="s">
        <v>95</v>
      </c>
      <c r="G1022" s="1" t="s">
        <v>116</v>
      </c>
      <c r="H1022" s="1">
        <v>0</v>
      </c>
      <c r="I1022" s="1" t="s">
        <v>6262</v>
      </c>
      <c r="L1022" s="1" t="s">
        <v>1065</v>
      </c>
      <c r="M1022" s="1" t="s">
        <v>6295</v>
      </c>
      <c r="N1022" s="1">
        <v>0</v>
      </c>
      <c r="O1022" s="1">
        <v>0</v>
      </c>
      <c r="P1022" s="1" t="s">
        <v>211</v>
      </c>
      <c r="Q1022" s="1" t="s">
        <v>184</v>
      </c>
      <c r="R1022" s="1" t="s">
        <v>6296</v>
      </c>
      <c r="S1022" s="1" t="s">
        <v>4201</v>
      </c>
      <c r="T1022" s="1">
        <v>1</v>
      </c>
      <c r="U1022" s="1">
        <v>1</v>
      </c>
      <c r="V1022" s="1">
        <v>0</v>
      </c>
      <c r="W1022" s="1">
        <v>0</v>
      </c>
      <c r="X1022" s="1">
        <v>0</v>
      </c>
      <c r="Y1022" s="1" t="s">
        <v>104</v>
      </c>
      <c r="Z1022" s="1" t="s">
        <v>104</v>
      </c>
      <c r="AA1022" s="1" t="s">
        <v>104</v>
      </c>
      <c r="AB1022" s="1" t="s">
        <v>104</v>
      </c>
      <c r="AC1022" s="1" t="s">
        <v>104</v>
      </c>
      <c r="AD1022" s="1">
        <v>1</v>
      </c>
      <c r="AE1022" s="1" t="s">
        <v>104</v>
      </c>
      <c r="AF1022" s="1" t="s">
        <v>104</v>
      </c>
      <c r="AG1022" s="1" t="s">
        <v>104</v>
      </c>
      <c r="AH1022" s="1">
        <v>1</v>
      </c>
      <c r="AI1022" s="1" t="s">
        <v>104</v>
      </c>
      <c r="AJ1022" s="1" t="s">
        <v>104</v>
      </c>
      <c r="AK1022" s="1" t="s">
        <v>104</v>
      </c>
      <c r="AL1022" s="1" t="s">
        <v>104</v>
      </c>
      <c r="AM1022" s="1" t="s">
        <v>104</v>
      </c>
      <c r="AO1022" s="1">
        <v>1</v>
      </c>
      <c r="AQ1022" s="1" t="s">
        <v>6297</v>
      </c>
      <c r="AR1022" s="1">
        <v>0</v>
      </c>
      <c r="AS1022" s="1">
        <v>0</v>
      </c>
      <c r="AT1022" s="1">
        <v>0</v>
      </c>
      <c r="AU1022" s="1">
        <v>0</v>
      </c>
      <c r="AV1022" s="1">
        <v>0</v>
      </c>
      <c r="AW1022" s="1">
        <v>0</v>
      </c>
      <c r="AX1022" s="1">
        <v>0</v>
      </c>
      <c r="AY1022" s="1">
        <v>0</v>
      </c>
      <c r="AZ1022" s="1">
        <v>0</v>
      </c>
      <c r="BA1022" s="1">
        <v>0</v>
      </c>
      <c r="BB1022" s="1">
        <v>0</v>
      </c>
      <c r="BC1022" s="1">
        <v>0</v>
      </c>
      <c r="BD1022" s="1">
        <v>0</v>
      </c>
      <c r="BE1022" s="1">
        <v>0</v>
      </c>
      <c r="BF1022" s="1">
        <v>0</v>
      </c>
      <c r="BG1022" s="1">
        <v>0</v>
      </c>
      <c r="BH1022" s="1">
        <v>0</v>
      </c>
      <c r="BI1022" s="1">
        <v>0</v>
      </c>
      <c r="BJ1022" s="1">
        <v>0</v>
      </c>
      <c r="BK1022" s="1">
        <v>1</v>
      </c>
      <c r="BL1022" s="1">
        <v>0</v>
      </c>
      <c r="BM1022" s="1">
        <v>0</v>
      </c>
      <c r="BN1022" s="1">
        <v>0</v>
      </c>
      <c r="BO1022" s="1">
        <v>0</v>
      </c>
      <c r="BP1022" s="1">
        <v>0</v>
      </c>
      <c r="BQ1022" s="2" t="str">
        <f>HYPERLINK("http://www.d20pfsrd.com/magic/all-spells/f/fumbletongue","Fumbletongue")</f>
        <v>Fumbletongue</v>
      </c>
      <c r="BR1022" s="1">
        <v>1064</v>
      </c>
      <c r="BS1022" s="1" t="s">
        <v>104</v>
      </c>
      <c r="BX1022" s="1">
        <v>0</v>
      </c>
      <c r="BY1022" s="1" t="s">
        <v>104</v>
      </c>
      <c r="BZ1022" s="1" t="s">
        <v>104</v>
      </c>
      <c r="CA1022" s="1">
        <v>1</v>
      </c>
      <c r="CB1022" s="1" t="s">
        <v>104</v>
      </c>
      <c r="CC1022" s="1">
        <v>1</v>
      </c>
      <c r="CD1022" s="1" t="s">
        <v>104</v>
      </c>
      <c r="CE1022" s="1" t="s">
        <v>104</v>
      </c>
      <c r="CF1022" s="1" t="s">
        <v>104</v>
      </c>
      <c r="CG1022" s="1" t="s">
        <v>104</v>
      </c>
      <c r="CH1022" s="1" t="s">
        <v>104</v>
      </c>
      <c r="CJ1022" s="1">
        <v>0</v>
      </c>
      <c r="CK1022" s="1">
        <v>0</v>
      </c>
      <c r="CL1022" s="1">
        <v>0</v>
      </c>
      <c r="CM1022" s="1" t="s">
        <v>104</v>
      </c>
    </row>
    <row r="1023" spans="1:91" ht="14.25" customHeight="1" x14ac:dyDescent="0.3">
      <c r="A1023" s="1" t="s">
        <v>6298</v>
      </c>
      <c r="B1023" s="1" t="s">
        <v>216</v>
      </c>
      <c r="D1023" s="1" t="s">
        <v>50</v>
      </c>
      <c r="E1023" s="1" t="s">
        <v>2967</v>
      </c>
      <c r="F1023" s="1" t="s">
        <v>95</v>
      </c>
      <c r="G1023" s="1" t="s">
        <v>116</v>
      </c>
      <c r="H1023" s="1">
        <v>0</v>
      </c>
      <c r="I1023" s="1" t="s">
        <v>128</v>
      </c>
      <c r="L1023" s="1" t="s">
        <v>374</v>
      </c>
      <c r="M1023" s="1" t="s">
        <v>6299</v>
      </c>
      <c r="N1023" s="1">
        <v>0</v>
      </c>
      <c r="O1023" s="1">
        <v>0</v>
      </c>
      <c r="P1023" s="1" t="s">
        <v>183</v>
      </c>
      <c r="Q1023" s="1" t="s">
        <v>184</v>
      </c>
      <c r="R1023" s="1" t="s">
        <v>6300</v>
      </c>
      <c r="S1023" s="1" t="s">
        <v>4201</v>
      </c>
      <c r="T1023" s="1">
        <v>1</v>
      </c>
      <c r="U1023" s="1">
        <v>1</v>
      </c>
      <c r="V1023" s="1">
        <v>0</v>
      </c>
      <c r="W1023" s="1">
        <v>0</v>
      </c>
      <c r="X1023" s="1">
        <v>0</v>
      </c>
      <c r="Y1023" s="1" t="s">
        <v>104</v>
      </c>
      <c r="Z1023" s="1" t="s">
        <v>104</v>
      </c>
      <c r="AA1023" s="1" t="s">
        <v>104</v>
      </c>
      <c r="AB1023" s="1">
        <v>3</v>
      </c>
      <c r="AC1023" s="1" t="s">
        <v>104</v>
      </c>
      <c r="AD1023" s="1" t="s">
        <v>104</v>
      </c>
      <c r="AE1023" s="1" t="s">
        <v>104</v>
      </c>
      <c r="AF1023" s="1" t="s">
        <v>104</v>
      </c>
      <c r="AG1023" s="1" t="s">
        <v>104</v>
      </c>
      <c r="AH1023" s="1" t="s">
        <v>104</v>
      </c>
      <c r="AI1023" s="1" t="s">
        <v>104</v>
      </c>
      <c r="AJ1023" s="1" t="s">
        <v>104</v>
      </c>
      <c r="AK1023" s="1" t="s">
        <v>104</v>
      </c>
      <c r="AL1023" s="1" t="s">
        <v>104</v>
      </c>
      <c r="AM1023" s="1" t="s">
        <v>104</v>
      </c>
      <c r="AO1023" s="1">
        <v>3</v>
      </c>
      <c r="AQ1023" s="1" t="s">
        <v>6301</v>
      </c>
      <c r="AR1023" s="1">
        <v>0</v>
      </c>
      <c r="AS1023" s="1">
        <v>0</v>
      </c>
      <c r="AT1023" s="1">
        <v>0</v>
      </c>
      <c r="AU1023" s="1">
        <v>0</v>
      </c>
      <c r="AV1023" s="1">
        <v>0</v>
      </c>
      <c r="AW1023" s="1">
        <v>0</v>
      </c>
      <c r="AX1023" s="1">
        <v>0</v>
      </c>
      <c r="AY1023" s="1">
        <v>1</v>
      </c>
      <c r="AZ1023" s="1">
        <v>0</v>
      </c>
      <c r="BA1023" s="1">
        <v>0</v>
      </c>
      <c r="BB1023" s="1">
        <v>0</v>
      </c>
      <c r="BC1023" s="1">
        <v>0</v>
      </c>
      <c r="BD1023" s="1">
        <v>0</v>
      </c>
      <c r="BE1023" s="1">
        <v>0</v>
      </c>
      <c r="BF1023" s="1">
        <v>0</v>
      </c>
      <c r="BG1023" s="1">
        <v>0</v>
      </c>
      <c r="BH1023" s="1">
        <v>0</v>
      </c>
      <c r="BI1023" s="1">
        <v>0</v>
      </c>
      <c r="BJ1023" s="1">
        <v>0</v>
      </c>
      <c r="BK1023" s="1">
        <v>0</v>
      </c>
      <c r="BL1023" s="1">
        <v>0</v>
      </c>
      <c r="BM1023" s="1">
        <v>0</v>
      </c>
      <c r="BN1023" s="1">
        <v>0</v>
      </c>
      <c r="BO1023" s="1">
        <v>0</v>
      </c>
      <c r="BP1023" s="1">
        <v>0</v>
      </c>
      <c r="BQ1023" s="2" t="str">
        <f>HYPERLINK("http://www.d20pfsrd.com/magic/all-spells/f/fungal-infestation","Fungal Infestation")</f>
        <v>Fungal Infestation</v>
      </c>
      <c r="BR1023" s="1">
        <v>1065</v>
      </c>
      <c r="BS1023" s="1" t="s">
        <v>104</v>
      </c>
      <c r="BX1023" s="1">
        <v>0</v>
      </c>
      <c r="BY1023" s="1" t="s">
        <v>104</v>
      </c>
      <c r="BZ1023" s="1" t="s">
        <v>104</v>
      </c>
      <c r="CA1023" s="1" t="s">
        <v>104</v>
      </c>
      <c r="CB1023" s="1" t="s">
        <v>104</v>
      </c>
      <c r="CC1023" s="1" t="s">
        <v>104</v>
      </c>
      <c r="CD1023" s="1" t="s">
        <v>104</v>
      </c>
      <c r="CE1023" s="1" t="s">
        <v>104</v>
      </c>
      <c r="CF1023" s="1" t="s">
        <v>104</v>
      </c>
      <c r="CG1023" s="1" t="s">
        <v>104</v>
      </c>
      <c r="CH1023" s="1">
        <v>3</v>
      </c>
      <c r="CJ1023" s="1">
        <v>0</v>
      </c>
      <c r="CK1023" s="1">
        <v>0</v>
      </c>
      <c r="CL1023" s="1">
        <v>0</v>
      </c>
      <c r="CM1023" s="1" t="s">
        <v>104</v>
      </c>
    </row>
    <row r="1024" spans="1:91" ht="14.25" customHeight="1" x14ac:dyDescent="0.3">
      <c r="A1024" s="1" t="s">
        <v>6302</v>
      </c>
      <c r="B1024" s="1" t="s">
        <v>507</v>
      </c>
      <c r="C1024" s="1" t="s">
        <v>508</v>
      </c>
      <c r="E1024" s="1" t="s">
        <v>6303</v>
      </c>
      <c r="F1024" s="1" t="s">
        <v>95</v>
      </c>
      <c r="G1024" s="1" t="s">
        <v>116</v>
      </c>
      <c r="H1024" s="1">
        <v>0</v>
      </c>
      <c r="I1024" s="1" t="s">
        <v>157</v>
      </c>
      <c r="L1024" s="1" t="s">
        <v>158</v>
      </c>
      <c r="M1024" s="1" t="s">
        <v>6174</v>
      </c>
      <c r="N1024" s="1">
        <v>1</v>
      </c>
      <c r="O1024" s="1">
        <v>0</v>
      </c>
      <c r="R1024" s="1" t="s">
        <v>6304</v>
      </c>
      <c r="S1024" s="1" t="s">
        <v>4201</v>
      </c>
      <c r="T1024" s="1">
        <v>1</v>
      </c>
      <c r="U1024" s="1">
        <v>1</v>
      </c>
      <c r="V1024" s="1">
        <v>0</v>
      </c>
      <c r="W1024" s="1">
        <v>0</v>
      </c>
      <c r="X1024" s="1">
        <v>0</v>
      </c>
      <c r="Y1024" s="1">
        <v>2</v>
      </c>
      <c r="Z1024" s="1">
        <v>2</v>
      </c>
      <c r="AA1024" s="1" t="s">
        <v>104</v>
      </c>
      <c r="AB1024" s="1" t="s">
        <v>104</v>
      </c>
      <c r="AC1024" s="1" t="s">
        <v>104</v>
      </c>
      <c r="AD1024" s="1">
        <v>2</v>
      </c>
      <c r="AE1024" s="1" t="s">
        <v>104</v>
      </c>
      <c r="AF1024" s="1">
        <v>2</v>
      </c>
      <c r="AG1024" s="1" t="s">
        <v>104</v>
      </c>
      <c r="AH1024" s="1">
        <v>2</v>
      </c>
      <c r="AI1024" s="1">
        <v>2</v>
      </c>
      <c r="AJ1024" s="1" t="s">
        <v>104</v>
      </c>
      <c r="AK1024" s="1" t="s">
        <v>104</v>
      </c>
      <c r="AL1024" s="1" t="s">
        <v>104</v>
      </c>
      <c r="AM1024" s="1" t="s">
        <v>104</v>
      </c>
      <c r="AO1024" s="1">
        <v>2</v>
      </c>
      <c r="AQ1024" s="1" t="s">
        <v>6305</v>
      </c>
      <c r="AR1024" s="1">
        <v>0</v>
      </c>
      <c r="AS1024" s="1">
        <v>0</v>
      </c>
      <c r="AT1024" s="1">
        <v>0</v>
      </c>
      <c r="AU1024" s="1">
        <v>0</v>
      </c>
      <c r="AV1024" s="1">
        <v>0</v>
      </c>
      <c r="AW1024" s="1">
        <v>0</v>
      </c>
      <c r="AX1024" s="1">
        <v>0</v>
      </c>
      <c r="AY1024" s="1">
        <v>0</v>
      </c>
      <c r="AZ1024" s="1">
        <v>0</v>
      </c>
      <c r="BA1024" s="1">
        <v>0</v>
      </c>
      <c r="BB1024" s="1">
        <v>0</v>
      </c>
      <c r="BC1024" s="1">
        <v>0</v>
      </c>
      <c r="BD1024" s="1">
        <v>0</v>
      </c>
      <c r="BE1024" s="1">
        <v>0</v>
      </c>
      <c r="BF1024" s="1">
        <v>0</v>
      </c>
      <c r="BG1024" s="1">
        <v>0</v>
      </c>
      <c r="BH1024" s="1">
        <v>0</v>
      </c>
      <c r="BI1024" s="1">
        <v>0</v>
      </c>
      <c r="BJ1024" s="1">
        <v>0</v>
      </c>
      <c r="BK1024" s="1">
        <v>0</v>
      </c>
      <c r="BL1024" s="1">
        <v>0</v>
      </c>
      <c r="BM1024" s="1">
        <v>0</v>
      </c>
      <c r="BN1024" s="1">
        <v>0</v>
      </c>
      <c r="BO1024" s="1">
        <v>0</v>
      </c>
      <c r="BP1024" s="1">
        <v>0</v>
      </c>
      <c r="BQ1024" s="2" t="str">
        <f>HYPERLINK("http://www.d20pfsrd.com/magic/all-spells/g/ghostly-disguise","Ghostly Disguise")</f>
        <v>Ghostly Disguise</v>
      </c>
      <c r="BR1024" s="1">
        <v>1066</v>
      </c>
      <c r="BS1024" s="1" t="s">
        <v>104</v>
      </c>
      <c r="BX1024" s="1">
        <v>0</v>
      </c>
      <c r="BY1024" s="1" t="s">
        <v>104</v>
      </c>
      <c r="BZ1024" s="1" t="s">
        <v>104</v>
      </c>
      <c r="CA1024" s="1">
        <v>2</v>
      </c>
      <c r="CB1024" s="1">
        <v>2</v>
      </c>
      <c r="CC1024" s="1">
        <v>2</v>
      </c>
      <c r="CD1024" s="1">
        <v>2</v>
      </c>
      <c r="CE1024" s="1" t="s">
        <v>104</v>
      </c>
      <c r="CF1024" s="1" t="s">
        <v>104</v>
      </c>
      <c r="CG1024" s="1" t="s">
        <v>104</v>
      </c>
      <c r="CH1024" s="1" t="s">
        <v>104</v>
      </c>
      <c r="CJ1024" s="1">
        <v>0</v>
      </c>
      <c r="CK1024" s="1">
        <v>0</v>
      </c>
      <c r="CL1024" s="1">
        <v>0</v>
      </c>
      <c r="CM1024" s="1" t="s">
        <v>104</v>
      </c>
    </row>
    <row r="1025" spans="1:91" ht="14.25" customHeight="1" x14ac:dyDescent="0.3">
      <c r="A1025" s="1" t="s">
        <v>6306</v>
      </c>
      <c r="B1025" s="1" t="s">
        <v>216</v>
      </c>
      <c r="D1025" s="1" t="s">
        <v>6307</v>
      </c>
      <c r="E1025" s="1" t="s">
        <v>1801</v>
      </c>
      <c r="F1025" s="1" t="s">
        <v>95</v>
      </c>
      <c r="G1025" s="1" t="s">
        <v>116</v>
      </c>
      <c r="H1025" s="1">
        <v>0</v>
      </c>
      <c r="I1025" s="1" t="s">
        <v>117</v>
      </c>
      <c r="J1025" s="1" t="s">
        <v>5210</v>
      </c>
      <c r="M1025" s="1" t="s">
        <v>2537</v>
      </c>
      <c r="N1025" s="1">
        <v>0</v>
      </c>
      <c r="O1025" s="1">
        <v>0</v>
      </c>
      <c r="P1025" s="1" t="s">
        <v>211</v>
      </c>
      <c r="Q1025" s="1" t="s">
        <v>184</v>
      </c>
      <c r="R1025" s="1" t="s">
        <v>6308</v>
      </c>
      <c r="S1025" s="1" t="s">
        <v>4201</v>
      </c>
      <c r="T1025" s="1">
        <v>1</v>
      </c>
      <c r="U1025" s="1">
        <v>1</v>
      </c>
      <c r="V1025" s="1">
        <v>0</v>
      </c>
      <c r="W1025" s="1">
        <v>0</v>
      </c>
      <c r="X1025" s="1">
        <v>0</v>
      </c>
      <c r="Y1025" s="1" t="s">
        <v>104</v>
      </c>
      <c r="Z1025" s="1" t="s">
        <v>104</v>
      </c>
      <c r="AA1025" s="1" t="s">
        <v>104</v>
      </c>
      <c r="AB1025" s="1" t="s">
        <v>104</v>
      </c>
      <c r="AC1025" s="1" t="s">
        <v>104</v>
      </c>
      <c r="AD1025" s="1">
        <v>3</v>
      </c>
      <c r="AE1025" s="1" t="s">
        <v>104</v>
      </c>
      <c r="AF1025" s="1" t="s">
        <v>104</v>
      </c>
      <c r="AG1025" s="1" t="s">
        <v>104</v>
      </c>
      <c r="AH1025" s="1" t="s">
        <v>104</v>
      </c>
      <c r="AI1025" s="1" t="s">
        <v>104</v>
      </c>
      <c r="AJ1025" s="1" t="s">
        <v>104</v>
      </c>
      <c r="AK1025" s="1" t="s">
        <v>104</v>
      </c>
      <c r="AL1025" s="1" t="s">
        <v>104</v>
      </c>
      <c r="AM1025" s="1" t="s">
        <v>104</v>
      </c>
      <c r="AO1025" s="1">
        <v>3</v>
      </c>
      <c r="AQ1025" s="1" t="s">
        <v>6309</v>
      </c>
      <c r="AR1025" s="1">
        <v>0</v>
      </c>
      <c r="AS1025" s="1">
        <v>0</v>
      </c>
      <c r="AT1025" s="1">
        <v>0</v>
      </c>
      <c r="AU1025" s="1">
        <v>0</v>
      </c>
      <c r="AV1025" s="1">
        <v>0</v>
      </c>
      <c r="AW1025" s="1">
        <v>0</v>
      </c>
      <c r="AX1025" s="1">
        <v>0</v>
      </c>
      <c r="AY1025" s="1">
        <v>0</v>
      </c>
      <c r="AZ1025" s="1">
        <v>0</v>
      </c>
      <c r="BA1025" s="1">
        <v>0</v>
      </c>
      <c r="BB1025" s="1">
        <v>0</v>
      </c>
      <c r="BC1025" s="1">
        <v>0</v>
      </c>
      <c r="BD1025" s="1">
        <v>0</v>
      </c>
      <c r="BE1025" s="1">
        <v>0</v>
      </c>
      <c r="BF1025" s="1">
        <v>0</v>
      </c>
      <c r="BG1025" s="1">
        <v>0</v>
      </c>
      <c r="BH1025" s="1">
        <v>0</v>
      </c>
      <c r="BI1025" s="1">
        <v>0</v>
      </c>
      <c r="BJ1025" s="1">
        <v>0</v>
      </c>
      <c r="BK1025" s="1">
        <v>1</v>
      </c>
      <c r="BL1025" s="1">
        <v>1</v>
      </c>
      <c r="BM1025" s="1">
        <v>0</v>
      </c>
      <c r="BN1025" s="1">
        <v>0</v>
      </c>
      <c r="BO1025" s="1">
        <v>0</v>
      </c>
      <c r="BP1025" s="1">
        <v>0</v>
      </c>
      <c r="BQ1025" s="2" t="str">
        <f>HYPERLINK("http://www.d20pfsrd.com/magic/all-spells/h/haunting-choir","Haunting Choir")</f>
        <v>Haunting Choir</v>
      </c>
      <c r="BR1025" s="1">
        <v>1067</v>
      </c>
      <c r="BS1025" s="1" t="s">
        <v>104</v>
      </c>
      <c r="BX1025" s="1">
        <v>0</v>
      </c>
      <c r="BY1025" s="1" t="s">
        <v>104</v>
      </c>
      <c r="BZ1025" s="1" t="s">
        <v>104</v>
      </c>
      <c r="CA1025" s="1" t="s">
        <v>104</v>
      </c>
      <c r="CB1025" s="1" t="s">
        <v>104</v>
      </c>
      <c r="CC1025" s="1">
        <v>3</v>
      </c>
      <c r="CD1025" s="1" t="s">
        <v>104</v>
      </c>
      <c r="CE1025" s="1" t="s">
        <v>104</v>
      </c>
      <c r="CF1025" s="1" t="s">
        <v>104</v>
      </c>
      <c r="CG1025" s="1" t="s">
        <v>104</v>
      </c>
      <c r="CH1025" s="1" t="s">
        <v>104</v>
      </c>
      <c r="CJ1025" s="1">
        <v>0</v>
      </c>
      <c r="CK1025" s="1">
        <v>0</v>
      </c>
      <c r="CL1025" s="1">
        <v>0</v>
      </c>
      <c r="CM1025" s="1" t="s">
        <v>104</v>
      </c>
    </row>
    <row r="1026" spans="1:91" ht="14.25" customHeight="1" x14ac:dyDescent="0.3">
      <c r="A1026" s="1" t="s">
        <v>6310</v>
      </c>
      <c r="B1026" s="1" t="s">
        <v>507</v>
      </c>
      <c r="C1026" s="1" t="s">
        <v>1767</v>
      </c>
      <c r="D1026" s="1" t="s">
        <v>6311</v>
      </c>
      <c r="E1026" s="1" t="s">
        <v>6312</v>
      </c>
      <c r="F1026" s="1" t="s">
        <v>95</v>
      </c>
      <c r="G1026" s="1" t="s">
        <v>116</v>
      </c>
      <c r="H1026" s="1">
        <v>0</v>
      </c>
      <c r="I1026" s="1" t="s">
        <v>697</v>
      </c>
      <c r="K1026" s="1" t="s">
        <v>711</v>
      </c>
      <c r="M1026" s="1" t="s">
        <v>4641</v>
      </c>
      <c r="N1026" s="1">
        <v>1</v>
      </c>
      <c r="O1026" s="1">
        <v>0</v>
      </c>
      <c r="P1026" s="1" t="s">
        <v>5901</v>
      </c>
      <c r="Q1026" s="1" t="s">
        <v>101</v>
      </c>
      <c r="R1026" s="1" t="s">
        <v>6313</v>
      </c>
      <c r="S1026" s="1" t="s">
        <v>4201</v>
      </c>
      <c r="T1026" s="1">
        <v>1</v>
      </c>
      <c r="U1026" s="1">
        <v>1</v>
      </c>
      <c r="V1026" s="1">
        <v>0</v>
      </c>
      <c r="W1026" s="1">
        <v>0</v>
      </c>
      <c r="X1026" s="1">
        <v>0</v>
      </c>
      <c r="Y1026" s="1">
        <v>2</v>
      </c>
      <c r="Z1026" s="1">
        <v>2</v>
      </c>
      <c r="AA1026" s="1" t="s">
        <v>104</v>
      </c>
      <c r="AB1026" s="1" t="s">
        <v>104</v>
      </c>
      <c r="AC1026" s="1" t="s">
        <v>104</v>
      </c>
      <c r="AD1026" s="1">
        <v>2</v>
      </c>
      <c r="AE1026" s="1" t="s">
        <v>104</v>
      </c>
      <c r="AF1026" s="1" t="s">
        <v>104</v>
      </c>
      <c r="AG1026" s="1" t="s">
        <v>104</v>
      </c>
      <c r="AH1026" s="1">
        <v>2</v>
      </c>
      <c r="AI1026" s="1" t="s">
        <v>104</v>
      </c>
      <c r="AJ1026" s="1" t="s">
        <v>104</v>
      </c>
      <c r="AK1026" s="1" t="s">
        <v>104</v>
      </c>
      <c r="AL1026" s="1" t="s">
        <v>104</v>
      </c>
      <c r="AM1026" s="1" t="s">
        <v>104</v>
      </c>
      <c r="AO1026" s="1">
        <v>2</v>
      </c>
      <c r="AQ1026" s="1" t="s">
        <v>6314</v>
      </c>
      <c r="AR1026" s="1">
        <v>0</v>
      </c>
      <c r="AS1026" s="1">
        <v>0</v>
      </c>
      <c r="AT1026" s="1">
        <v>0</v>
      </c>
      <c r="AU1026" s="1">
        <v>0</v>
      </c>
      <c r="AV1026" s="1">
        <v>0</v>
      </c>
      <c r="AW1026" s="1">
        <v>0</v>
      </c>
      <c r="AX1026" s="1">
        <v>0</v>
      </c>
      <c r="AY1026" s="1">
        <v>0</v>
      </c>
      <c r="AZ1026" s="1">
        <v>0</v>
      </c>
      <c r="BA1026" s="1">
        <v>0</v>
      </c>
      <c r="BB1026" s="1">
        <v>0</v>
      </c>
      <c r="BC1026" s="1">
        <v>0</v>
      </c>
      <c r="BD1026" s="1">
        <v>1</v>
      </c>
      <c r="BE1026" s="1">
        <v>0</v>
      </c>
      <c r="BF1026" s="1">
        <v>0</v>
      </c>
      <c r="BG1026" s="1">
        <v>0</v>
      </c>
      <c r="BH1026" s="1">
        <v>0</v>
      </c>
      <c r="BI1026" s="1">
        <v>0</v>
      </c>
      <c r="BJ1026" s="1">
        <v>0</v>
      </c>
      <c r="BK1026" s="1">
        <v>0</v>
      </c>
      <c r="BL1026" s="1">
        <v>0</v>
      </c>
      <c r="BM1026" s="1">
        <v>0</v>
      </c>
      <c r="BN1026" s="1">
        <v>1</v>
      </c>
      <c r="BO1026" s="1">
        <v>0</v>
      </c>
      <c r="BP1026" s="1">
        <v>0</v>
      </c>
      <c r="BQ1026" s="2" t="str">
        <f>HYPERLINK("http://www.d20pfsrd.com/magic/all-spells/h/haunting-mists","Haunting Mists")</f>
        <v>Haunting Mists</v>
      </c>
      <c r="BR1026" s="1">
        <v>1068</v>
      </c>
      <c r="BS1026" s="1" t="s">
        <v>104</v>
      </c>
      <c r="BX1026" s="1">
        <v>0</v>
      </c>
      <c r="BY1026" s="1" t="s">
        <v>104</v>
      </c>
      <c r="BZ1026" s="1" t="s">
        <v>104</v>
      </c>
      <c r="CA1026" s="1">
        <v>2</v>
      </c>
      <c r="CB1026" s="1" t="s">
        <v>104</v>
      </c>
      <c r="CC1026" s="1">
        <v>2</v>
      </c>
      <c r="CD1026" s="1" t="s">
        <v>104</v>
      </c>
      <c r="CE1026" s="1" t="s">
        <v>104</v>
      </c>
      <c r="CF1026" s="1" t="s">
        <v>104</v>
      </c>
      <c r="CG1026" s="1" t="s">
        <v>104</v>
      </c>
      <c r="CH1026" s="1" t="s">
        <v>104</v>
      </c>
      <c r="CJ1026" s="1">
        <v>0</v>
      </c>
      <c r="CK1026" s="1">
        <v>0</v>
      </c>
      <c r="CL1026" s="1">
        <v>0</v>
      </c>
      <c r="CM1026" s="1" t="s">
        <v>104</v>
      </c>
    </row>
    <row r="1027" spans="1:91" ht="14.25" customHeight="1" x14ac:dyDescent="0.3">
      <c r="A1027" s="1" t="s">
        <v>6315</v>
      </c>
      <c r="B1027" s="1" t="s">
        <v>162</v>
      </c>
      <c r="E1027" s="1" t="s">
        <v>6316</v>
      </c>
      <c r="F1027" s="1" t="s">
        <v>95</v>
      </c>
      <c r="G1027" s="1" t="s">
        <v>116</v>
      </c>
      <c r="H1027" s="1">
        <v>0</v>
      </c>
      <c r="I1027" s="1" t="s">
        <v>128</v>
      </c>
      <c r="L1027" s="1" t="s">
        <v>374</v>
      </c>
      <c r="M1027" s="1" t="s">
        <v>201</v>
      </c>
      <c r="N1027" s="1">
        <v>0</v>
      </c>
      <c r="O1027" s="1">
        <v>0</v>
      </c>
      <c r="P1027" s="1" t="s">
        <v>375</v>
      </c>
      <c r="Q1027" s="1" t="s">
        <v>131</v>
      </c>
      <c r="R1027" s="1" t="s">
        <v>6317</v>
      </c>
      <c r="S1027" s="1" t="s">
        <v>4201</v>
      </c>
      <c r="T1027" s="1">
        <v>1</v>
      </c>
      <c r="U1027" s="1">
        <v>1</v>
      </c>
      <c r="V1027" s="1">
        <v>0</v>
      </c>
      <c r="W1027" s="1">
        <v>0</v>
      </c>
      <c r="X1027" s="1">
        <v>0</v>
      </c>
      <c r="Y1027" s="1" t="s">
        <v>104</v>
      </c>
      <c r="Z1027" s="1" t="s">
        <v>104</v>
      </c>
      <c r="AA1027" s="1" t="s">
        <v>104</v>
      </c>
      <c r="AB1027" s="1" t="s">
        <v>104</v>
      </c>
      <c r="AC1027" s="1" t="s">
        <v>104</v>
      </c>
      <c r="AD1027" s="1" t="s">
        <v>104</v>
      </c>
      <c r="AE1027" s="1" t="s">
        <v>104</v>
      </c>
      <c r="AF1027" s="1" t="s">
        <v>104</v>
      </c>
      <c r="AG1027" s="1" t="s">
        <v>104</v>
      </c>
      <c r="AH1027" s="1">
        <v>1</v>
      </c>
      <c r="AI1027" s="1">
        <v>1</v>
      </c>
      <c r="AJ1027" s="1" t="s">
        <v>104</v>
      </c>
      <c r="AK1027" s="1" t="s">
        <v>104</v>
      </c>
      <c r="AL1027" s="1" t="s">
        <v>104</v>
      </c>
      <c r="AM1027" s="1" t="s">
        <v>104</v>
      </c>
      <c r="AO1027" s="1">
        <v>1</v>
      </c>
      <c r="AQ1027" s="1" t="s">
        <v>6318</v>
      </c>
      <c r="AR1027" s="1">
        <v>0</v>
      </c>
      <c r="AS1027" s="1">
        <v>0</v>
      </c>
      <c r="AT1027" s="1">
        <v>0</v>
      </c>
      <c r="AU1027" s="1">
        <v>0</v>
      </c>
      <c r="AV1027" s="1">
        <v>0</v>
      </c>
      <c r="AW1027" s="1">
        <v>0</v>
      </c>
      <c r="AX1027" s="1">
        <v>0</v>
      </c>
      <c r="AY1027" s="1">
        <v>0</v>
      </c>
      <c r="AZ1027" s="1">
        <v>0</v>
      </c>
      <c r="BA1027" s="1">
        <v>0</v>
      </c>
      <c r="BB1027" s="1">
        <v>0</v>
      </c>
      <c r="BC1027" s="1">
        <v>0</v>
      </c>
      <c r="BD1027" s="1">
        <v>0</v>
      </c>
      <c r="BE1027" s="1">
        <v>0</v>
      </c>
      <c r="BF1027" s="1">
        <v>0</v>
      </c>
      <c r="BG1027" s="1">
        <v>0</v>
      </c>
      <c r="BH1027" s="1">
        <v>0</v>
      </c>
      <c r="BI1027" s="1">
        <v>0</v>
      </c>
      <c r="BJ1027" s="1">
        <v>0</v>
      </c>
      <c r="BK1027" s="1">
        <v>0</v>
      </c>
      <c r="BL1027" s="1">
        <v>0</v>
      </c>
      <c r="BM1027" s="1">
        <v>0</v>
      </c>
      <c r="BN1027" s="1">
        <v>0</v>
      </c>
      <c r="BO1027" s="1">
        <v>0</v>
      </c>
      <c r="BP1027" s="1">
        <v>0</v>
      </c>
      <c r="BQ1027" s="2" t="str">
        <f>HYPERLINK("http://www.d20pfsrd.com/magic/all-spells/h/hex-ward","Hex Ward")</f>
        <v>Hex Ward</v>
      </c>
      <c r="BR1027" s="1">
        <v>1069</v>
      </c>
      <c r="BS1027" s="1" t="s">
        <v>104</v>
      </c>
      <c r="BV1027" s="1" t="s">
        <v>6319</v>
      </c>
      <c r="BW1027" s="1" t="s">
        <v>6320</v>
      </c>
      <c r="BX1027" s="1">
        <v>1</v>
      </c>
      <c r="BY1027" s="1" t="s">
        <v>104</v>
      </c>
      <c r="BZ1027" s="1">
        <v>1</v>
      </c>
      <c r="CA1027" s="1" t="s">
        <v>104</v>
      </c>
      <c r="CB1027" s="1" t="s">
        <v>104</v>
      </c>
      <c r="CC1027" s="1" t="s">
        <v>104</v>
      </c>
      <c r="CD1027" s="1">
        <v>1</v>
      </c>
      <c r="CE1027" s="1" t="s">
        <v>104</v>
      </c>
      <c r="CF1027" s="1" t="s">
        <v>104</v>
      </c>
      <c r="CG1027" s="1" t="s">
        <v>104</v>
      </c>
      <c r="CH1027" s="1" t="s">
        <v>104</v>
      </c>
      <c r="CJ1027" s="1">
        <v>0</v>
      </c>
      <c r="CK1027" s="1">
        <v>0</v>
      </c>
      <c r="CL1027" s="1">
        <v>0</v>
      </c>
      <c r="CM1027" s="1" t="s">
        <v>104</v>
      </c>
    </row>
    <row r="1028" spans="1:91" ht="14.25" customHeight="1" x14ac:dyDescent="0.3">
      <c r="A1028" s="1" t="s">
        <v>6321</v>
      </c>
      <c r="B1028" s="1" t="s">
        <v>137</v>
      </c>
      <c r="D1028" s="1" t="s">
        <v>6322</v>
      </c>
      <c r="E1028" s="1" t="s">
        <v>4272</v>
      </c>
      <c r="F1028" s="1" t="s">
        <v>95</v>
      </c>
      <c r="G1028" s="1" t="s">
        <v>6323</v>
      </c>
      <c r="H1028" s="1">
        <v>1</v>
      </c>
      <c r="I1028" s="1" t="s">
        <v>109</v>
      </c>
      <c r="K1028" s="1" t="s">
        <v>6324</v>
      </c>
      <c r="M1028" s="1" t="s">
        <v>6325</v>
      </c>
      <c r="N1028" s="1">
        <v>0</v>
      </c>
      <c r="O1028" s="1">
        <v>0</v>
      </c>
      <c r="P1028" s="1" t="s">
        <v>6326</v>
      </c>
      <c r="Q1028" s="1" t="s">
        <v>184</v>
      </c>
      <c r="R1028" s="1" t="s">
        <v>6327</v>
      </c>
      <c r="S1028" s="1" t="s">
        <v>4201</v>
      </c>
      <c r="T1028" s="1">
        <v>1</v>
      </c>
      <c r="U1028" s="1">
        <v>1</v>
      </c>
      <c r="V1028" s="1">
        <v>1</v>
      </c>
      <c r="W1028" s="1">
        <v>0</v>
      </c>
      <c r="X1028" s="1">
        <v>0</v>
      </c>
      <c r="Y1028" s="1" t="s">
        <v>104</v>
      </c>
      <c r="Z1028" s="1" t="s">
        <v>104</v>
      </c>
      <c r="AA1028" s="1">
        <v>5</v>
      </c>
      <c r="AB1028" s="1" t="s">
        <v>104</v>
      </c>
      <c r="AC1028" s="1" t="s">
        <v>104</v>
      </c>
      <c r="AD1028" s="1" t="s">
        <v>104</v>
      </c>
      <c r="AE1028" s="1" t="s">
        <v>104</v>
      </c>
      <c r="AF1028" s="1" t="s">
        <v>104</v>
      </c>
      <c r="AG1028" s="1" t="s">
        <v>104</v>
      </c>
      <c r="AH1028" s="1" t="s">
        <v>104</v>
      </c>
      <c r="AI1028" s="1" t="s">
        <v>104</v>
      </c>
      <c r="AJ1028" s="1">
        <v>5</v>
      </c>
      <c r="AK1028" s="1" t="s">
        <v>104</v>
      </c>
      <c r="AL1028" s="1" t="s">
        <v>104</v>
      </c>
      <c r="AM1028" s="1" t="s">
        <v>104</v>
      </c>
      <c r="AO1028" s="1">
        <v>5</v>
      </c>
      <c r="AQ1028" s="1" t="s">
        <v>6328</v>
      </c>
      <c r="AR1028" s="1">
        <v>0</v>
      </c>
      <c r="AS1028" s="1">
        <v>0</v>
      </c>
      <c r="AT1028" s="1">
        <v>0</v>
      </c>
      <c r="AU1028" s="1">
        <v>1</v>
      </c>
      <c r="AV1028" s="1">
        <v>0</v>
      </c>
      <c r="AW1028" s="1">
        <v>0</v>
      </c>
      <c r="AX1028" s="1">
        <v>0</v>
      </c>
      <c r="AY1028" s="1">
        <v>0</v>
      </c>
      <c r="AZ1028" s="1">
        <v>0</v>
      </c>
      <c r="BA1028" s="1">
        <v>0</v>
      </c>
      <c r="BB1028" s="1">
        <v>0</v>
      </c>
      <c r="BC1028" s="1">
        <v>0</v>
      </c>
      <c r="BD1028" s="1">
        <v>0</v>
      </c>
      <c r="BE1028" s="1">
        <v>0</v>
      </c>
      <c r="BF1028" s="1">
        <v>0</v>
      </c>
      <c r="BG1028" s="1">
        <v>1</v>
      </c>
      <c r="BH1028" s="1">
        <v>0</v>
      </c>
      <c r="BI1028" s="1">
        <v>0</v>
      </c>
      <c r="BJ1028" s="1">
        <v>0</v>
      </c>
      <c r="BK1028" s="1">
        <v>0</v>
      </c>
      <c r="BL1028" s="1">
        <v>0</v>
      </c>
      <c r="BM1028" s="1">
        <v>0</v>
      </c>
      <c r="BN1028" s="1">
        <v>0</v>
      </c>
      <c r="BO1028" s="1">
        <v>0</v>
      </c>
      <c r="BP1028" s="1">
        <v>1</v>
      </c>
      <c r="BQ1028" s="2" t="str">
        <f>HYPERLINK("http://www.d20pfsrd.com/magic/all-spells/h/holy-ice","Holy Ice")</f>
        <v>Holy Ice</v>
      </c>
      <c r="BR1028" s="1">
        <v>1070</v>
      </c>
      <c r="BS1028" s="1">
        <v>25</v>
      </c>
      <c r="BX1028" s="1">
        <v>0</v>
      </c>
      <c r="BY1028" s="1" t="s">
        <v>104</v>
      </c>
      <c r="BZ1028" s="1" t="s">
        <v>104</v>
      </c>
      <c r="CA1028" s="1" t="s">
        <v>104</v>
      </c>
      <c r="CB1028" s="1" t="s">
        <v>104</v>
      </c>
      <c r="CC1028" s="1" t="s">
        <v>104</v>
      </c>
      <c r="CD1028" s="1" t="s">
        <v>104</v>
      </c>
      <c r="CE1028" s="1" t="s">
        <v>104</v>
      </c>
      <c r="CF1028" s="1" t="s">
        <v>104</v>
      </c>
      <c r="CG1028" s="1" t="s">
        <v>104</v>
      </c>
      <c r="CH1028" s="1" t="s">
        <v>104</v>
      </c>
      <c r="CJ1028" s="1">
        <v>0</v>
      </c>
      <c r="CK1028" s="1">
        <v>0</v>
      </c>
      <c r="CL1028" s="1">
        <v>0</v>
      </c>
      <c r="CM1028" s="1" t="s">
        <v>104</v>
      </c>
    </row>
    <row r="1029" spans="1:91" ht="14.25" customHeight="1" x14ac:dyDescent="0.3">
      <c r="A1029" s="1" t="s">
        <v>6329</v>
      </c>
      <c r="B1029" s="1" t="s">
        <v>162</v>
      </c>
      <c r="E1029" s="1" t="s">
        <v>4471</v>
      </c>
      <c r="F1029" s="1" t="s">
        <v>95</v>
      </c>
      <c r="G1029" s="1" t="s">
        <v>116</v>
      </c>
      <c r="H1029" s="1">
        <v>0</v>
      </c>
      <c r="I1029" s="1" t="s">
        <v>157</v>
      </c>
      <c r="L1029" s="1" t="s">
        <v>158</v>
      </c>
      <c r="M1029" s="1" t="s">
        <v>4292</v>
      </c>
      <c r="N1029" s="1">
        <v>0</v>
      </c>
      <c r="O1029" s="1">
        <v>0</v>
      </c>
      <c r="P1029" s="1" t="s">
        <v>100</v>
      </c>
      <c r="Q1029" s="1" t="s">
        <v>101</v>
      </c>
      <c r="R1029" s="1" t="s">
        <v>6330</v>
      </c>
      <c r="S1029" s="1" t="s">
        <v>4201</v>
      </c>
      <c r="T1029" s="1">
        <v>1</v>
      </c>
      <c r="U1029" s="1">
        <v>1</v>
      </c>
      <c r="V1029" s="1">
        <v>0</v>
      </c>
      <c r="W1029" s="1">
        <v>0</v>
      </c>
      <c r="X1029" s="1">
        <v>0</v>
      </c>
      <c r="Y1029" s="1" t="s">
        <v>104</v>
      </c>
      <c r="Z1029" s="1" t="s">
        <v>104</v>
      </c>
      <c r="AA1029" s="1" t="s">
        <v>104</v>
      </c>
      <c r="AB1029" s="1" t="s">
        <v>104</v>
      </c>
      <c r="AC1029" s="1" t="s">
        <v>104</v>
      </c>
      <c r="AD1029" s="1" t="s">
        <v>104</v>
      </c>
      <c r="AE1029" s="1">
        <v>2</v>
      </c>
      <c r="AF1029" s="1" t="s">
        <v>104</v>
      </c>
      <c r="AG1029" s="1" t="s">
        <v>104</v>
      </c>
      <c r="AH1029" s="1" t="s">
        <v>104</v>
      </c>
      <c r="AI1029" s="1" t="s">
        <v>104</v>
      </c>
      <c r="AJ1029" s="1" t="s">
        <v>104</v>
      </c>
      <c r="AK1029" s="1" t="s">
        <v>104</v>
      </c>
      <c r="AL1029" s="1" t="s">
        <v>104</v>
      </c>
      <c r="AM1029" s="1" t="s">
        <v>104</v>
      </c>
      <c r="AO1029" s="1">
        <v>2</v>
      </c>
      <c r="AQ1029" s="1" t="s">
        <v>6331</v>
      </c>
      <c r="AR1029" s="1">
        <v>0</v>
      </c>
      <c r="AS1029" s="1">
        <v>0</v>
      </c>
      <c r="AT1029" s="1">
        <v>0</v>
      </c>
      <c r="AU1029" s="1">
        <v>0</v>
      </c>
      <c r="AV1029" s="1">
        <v>0</v>
      </c>
      <c r="AW1029" s="1">
        <v>0</v>
      </c>
      <c r="AX1029" s="1">
        <v>0</v>
      </c>
      <c r="AY1029" s="1">
        <v>0</v>
      </c>
      <c r="AZ1029" s="1">
        <v>0</v>
      </c>
      <c r="BA1029" s="1">
        <v>0</v>
      </c>
      <c r="BB1029" s="1">
        <v>0</v>
      </c>
      <c r="BC1029" s="1">
        <v>0</v>
      </c>
      <c r="BD1029" s="1">
        <v>0</v>
      </c>
      <c r="BE1029" s="1">
        <v>0</v>
      </c>
      <c r="BF1029" s="1">
        <v>0</v>
      </c>
      <c r="BG1029" s="1">
        <v>0</v>
      </c>
      <c r="BH1029" s="1">
        <v>0</v>
      </c>
      <c r="BI1029" s="1">
        <v>0</v>
      </c>
      <c r="BJ1029" s="1">
        <v>0</v>
      </c>
      <c r="BK1029" s="1">
        <v>0</v>
      </c>
      <c r="BL1029" s="1">
        <v>0</v>
      </c>
      <c r="BM1029" s="1">
        <v>0</v>
      </c>
      <c r="BN1029" s="1">
        <v>0</v>
      </c>
      <c r="BO1029" s="1">
        <v>0</v>
      </c>
      <c r="BP1029" s="1">
        <v>0</v>
      </c>
      <c r="BQ1029" s="2" t="str">
        <f>HYPERLINK("http://www.d20pfsrd.com/magic/all-spells/h/holy-shield","Holy Shield")</f>
        <v>Holy Shield</v>
      </c>
      <c r="BR1029" s="1">
        <v>1071</v>
      </c>
      <c r="BS1029" s="1" t="s">
        <v>104</v>
      </c>
      <c r="BX1029" s="1">
        <v>0</v>
      </c>
      <c r="BY1029" s="1" t="s">
        <v>104</v>
      </c>
      <c r="BZ1029" s="1" t="s">
        <v>104</v>
      </c>
      <c r="CA1029" s="1" t="s">
        <v>104</v>
      </c>
      <c r="CB1029" s="1" t="s">
        <v>104</v>
      </c>
      <c r="CC1029" s="1" t="s">
        <v>104</v>
      </c>
      <c r="CD1029" s="1" t="s">
        <v>104</v>
      </c>
      <c r="CE1029" s="1" t="s">
        <v>104</v>
      </c>
      <c r="CF1029" s="1" t="s">
        <v>104</v>
      </c>
      <c r="CG1029" s="1" t="s">
        <v>104</v>
      </c>
      <c r="CH1029" s="1" t="s">
        <v>104</v>
      </c>
      <c r="CJ1029" s="1">
        <v>0</v>
      </c>
      <c r="CK1029" s="1">
        <v>0</v>
      </c>
      <c r="CL1029" s="1">
        <v>0</v>
      </c>
      <c r="CM1029" s="1" t="s">
        <v>104</v>
      </c>
    </row>
    <row r="1030" spans="1:91" ht="14.25" customHeight="1" x14ac:dyDescent="0.3">
      <c r="A1030" s="1" t="s">
        <v>6332</v>
      </c>
      <c r="B1030" s="1" t="s">
        <v>434</v>
      </c>
      <c r="D1030" s="1" t="s">
        <v>66</v>
      </c>
      <c r="E1030" s="1" t="s">
        <v>6333</v>
      </c>
      <c r="F1030" s="1" t="s">
        <v>95</v>
      </c>
      <c r="G1030" s="1" t="s">
        <v>1802</v>
      </c>
      <c r="H1030" s="1">
        <v>0</v>
      </c>
      <c r="I1030" s="1" t="s">
        <v>157</v>
      </c>
      <c r="K1030" s="1" t="s">
        <v>6334</v>
      </c>
      <c r="M1030" s="1" t="s">
        <v>255</v>
      </c>
      <c r="N1030" s="1">
        <v>0</v>
      </c>
      <c r="O1030" s="1">
        <v>0</v>
      </c>
      <c r="P1030" s="1" t="s">
        <v>100</v>
      </c>
      <c r="Q1030" s="1" t="s">
        <v>101</v>
      </c>
      <c r="R1030" s="1" t="s">
        <v>6335</v>
      </c>
      <c r="S1030" s="1" t="s">
        <v>4201</v>
      </c>
      <c r="T1030" s="1">
        <v>0</v>
      </c>
      <c r="U1030" s="1">
        <v>1</v>
      </c>
      <c r="V1030" s="1">
        <v>0</v>
      </c>
      <c r="W1030" s="1">
        <v>0</v>
      </c>
      <c r="X1030" s="1">
        <v>0</v>
      </c>
      <c r="Y1030" s="1" t="s">
        <v>104</v>
      </c>
      <c r="Z1030" s="1" t="s">
        <v>104</v>
      </c>
      <c r="AA1030" s="1" t="s">
        <v>104</v>
      </c>
      <c r="AB1030" s="1" t="s">
        <v>104</v>
      </c>
      <c r="AC1030" s="1">
        <v>1</v>
      </c>
      <c r="AD1030" s="1">
        <v>1</v>
      </c>
      <c r="AE1030" s="1">
        <v>1</v>
      </c>
      <c r="AF1030" s="1" t="s">
        <v>104</v>
      </c>
      <c r="AG1030" s="1" t="s">
        <v>104</v>
      </c>
      <c r="AH1030" s="1" t="s">
        <v>104</v>
      </c>
      <c r="AI1030" s="1">
        <v>1</v>
      </c>
      <c r="AJ1030" s="1" t="s">
        <v>104</v>
      </c>
      <c r="AK1030" s="1" t="s">
        <v>104</v>
      </c>
      <c r="AL1030" s="1" t="s">
        <v>104</v>
      </c>
      <c r="AM1030" s="1" t="s">
        <v>104</v>
      </c>
      <c r="AO1030" s="1">
        <v>1</v>
      </c>
      <c r="AQ1030" s="1" t="s">
        <v>6336</v>
      </c>
      <c r="AR1030" s="1">
        <v>0</v>
      </c>
      <c r="AS1030" s="1">
        <v>0</v>
      </c>
      <c r="AT1030" s="1">
        <v>0</v>
      </c>
      <c r="AU1030" s="1">
        <v>0</v>
      </c>
      <c r="AV1030" s="1">
        <v>0</v>
      </c>
      <c r="AW1030" s="1">
        <v>0</v>
      </c>
      <c r="AX1030" s="1">
        <v>0</v>
      </c>
      <c r="AY1030" s="1">
        <v>0</v>
      </c>
      <c r="AZ1030" s="1">
        <v>0</v>
      </c>
      <c r="BA1030" s="1">
        <v>0</v>
      </c>
      <c r="BB1030" s="1">
        <v>0</v>
      </c>
      <c r="BC1030" s="1">
        <v>0</v>
      </c>
      <c r="BD1030" s="1">
        <v>0</v>
      </c>
      <c r="BE1030" s="1">
        <v>0</v>
      </c>
      <c r="BF1030" s="1">
        <v>0</v>
      </c>
      <c r="BG1030" s="1">
        <v>0</v>
      </c>
      <c r="BH1030" s="1">
        <v>0</v>
      </c>
      <c r="BI1030" s="1">
        <v>0</v>
      </c>
      <c r="BJ1030" s="1">
        <v>0</v>
      </c>
      <c r="BK1030" s="1">
        <v>0</v>
      </c>
      <c r="BL1030" s="1">
        <v>0</v>
      </c>
      <c r="BM1030" s="1">
        <v>0</v>
      </c>
      <c r="BN1030" s="1">
        <v>0</v>
      </c>
      <c r="BO1030" s="1">
        <v>1</v>
      </c>
      <c r="BP1030" s="1">
        <v>0</v>
      </c>
      <c r="BQ1030" s="2" t="str">
        <f>HYPERLINK("http://www.d20pfsrd.com/magic/all-spells/h/horn-of-pursuit","Horn of Pursuit")</f>
        <v>Horn of Pursuit</v>
      </c>
      <c r="BR1030" s="1">
        <v>1072</v>
      </c>
      <c r="BS1030" s="1" t="s">
        <v>104</v>
      </c>
      <c r="BX1030" s="1">
        <v>0</v>
      </c>
      <c r="BY1030" s="1" t="s">
        <v>104</v>
      </c>
      <c r="BZ1030" s="1" t="s">
        <v>104</v>
      </c>
      <c r="CA1030" s="1" t="s">
        <v>104</v>
      </c>
      <c r="CB1030" s="1" t="s">
        <v>104</v>
      </c>
      <c r="CC1030" s="1" t="s">
        <v>104</v>
      </c>
      <c r="CD1030" s="1" t="s">
        <v>104</v>
      </c>
      <c r="CE1030" s="1" t="s">
        <v>104</v>
      </c>
      <c r="CF1030" s="1" t="s">
        <v>104</v>
      </c>
      <c r="CG1030" s="1" t="s">
        <v>104</v>
      </c>
      <c r="CH1030" s="1">
        <v>1</v>
      </c>
      <c r="CJ1030" s="1">
        <v>0</v>
      </c>
      <c r="CK1030" s="1">
        <v>0</v>
      </c>
      <c r="CL1030" s="1">
        <v>0</v>
      </c>
      <c r="CM1030" s="1" t="s">
        <v>104</v>
      </c>
    </row>
    <row r="1031" spans="1:91" ht="14.25" customHeight="1" x14ac:dyDescent="0.3">
      <c r="A1031" s="1" t="s">
        <v>6337</v>
      </c>
      <c r="B1031" s="1" t="s">
        <v>216</v>
      </c>
      <c r="D1031" s="1" t="s">
        <v>6338</v>
      </c>
      <c r="E1031" s="1" t="s">
        <v>6339</v>
      </c>
      <c r="F1031" s="1" t="s">
        <v>95</v>
      </c>
      <c r="G1031" s="1" t="s">
        <v>6340</v>
      </c>
      <c r="H1031" s="1">
        <v>0</v>
      </c>
      <c r="I1031" s="1" t="s">
        <v>117</v>
      </c>
      <c r="L1031" s="1" t="s">
        <v>5242</v>
      </c>
      <c r="M1031" s="1" t="s">
        <v>111</v>
      </c>
      <c r="N1031" s="1">
        <v>0</v>
      </c>
      <c r="O1031" s="1">
        <v>0</v>
      </c>
      <c r="P1031" s="1" t="s">
        <v>183</v>
      </c>
      <c r="Q1031" s="1" t="s">
        <v>184</v>
      </c>
      <c r="R1031" s="1" t="s">
        <v>6341</v>
      </c>
      <c r="S1031" s="1" t="s">
        <v>4201</v>
      </c>
      <c r="T1031" s="1">
        <v>1</v>
      </c>
      <c r="U1031" s="1">
        <v>1</v>
      </c>
      <c r="V1031" s="1">
        <v>1</v>
      </c>
      <c r="W1031" s="1">
        <v>0</v>
      </c>
      <c r="X1031" s="1">
        <v>0</v>
      </c>
      <c r="Y1031" s="1">
        <v>3</v>
      </c>
      <c r="Z1031" s="1">
        <v>3</v>
      </c>
      <c r="AA1031" s="1" t="s">
        <v>104</v>
      </c>
      <c r="AB1031" s="1" t="s">
        <v>104</v>
      </c>
      <c r="AC1031" s="1" t="s">
        <v>104</v>
      </c>
      <c r="AD1031" s="1" t="s">
        <v>104</v>
      </c>
      <c r="AE1031" s="1" t="s">
        <v>104</v>
      </c>
      <c r="AF1031" s="1" t="s">
        <v>104</v>
      </c>
      <c r="AG1031" s="1" t="s">
        <v>104</v>
      </c>
      <c r="AH1031" s="1">
        <v>3</v>
      </c>
      <c r="AI1031" s="1">
        <v>2</v>
      </c>
      <c r="AJ1031" s="1" t="s">
        <v>104</v>
      </c>
      <c r="AK1031" s="1" t="s">
        <v>104</v>
      </c>
      <c r="AL1031" s="1" t="s">
        <v>104</v>
      </c>
      <c r="AM1031" s="1" t="s">
        <v>104</v>
      </c>
      <c r="AO1031" s="1">
        <v>3</v>
      </c>
      <c r="AQ1031" s="1" t="s">
        <v>6342</v>
      </c>
      <c r="AR1031" s="1">
        <v>0</v>
      </c>
      <c r="AS1031" s="1">
        <v>0</v>
      </c>
      <c r="AT1031" s="1">
        <v>0</v>
      </c>
      <c r="AU1031" s="1">
        <v>0</v>
      </c>
      <c r="AV1031" s="1">
        <v>0</v>
      </c>
      <c r="AW1031" s="1">
        <v>0</v>
      </c>
      <c r="AX1031" s="1">
        <v>1</v>
      </c>
      <c r="AY1031" s="1">
        <v>0</v>
      </c>
      <c r="AZ1031" s="1">
        <v>0</v>
      </c>
      <c r="BA1031" s="1">
        <v>0</v>
      </c>
      <c r="BB1031" s="1">
        <v>0</v>
      </c>
      <c r="BC1031" s="1">
        <v>0</v>
      </c>
      <c r="BD1031" s="1">
        <v>0</v>
      </c>
      <c r="BE1031" s="1">
        <v>0</v>
      </c>
      <c r="BF1031" s="1">
        <v>0</v>
      </c>
      <c r="BG1031" s="1">
        <v>0</v>
      </c>
      <c r="BH1031" s="1">
        <v>0</v>
      </c>
      <c r="BI1031" s="1">
        <v>0</v>
      </c>
      <c r="BJ1031" s="1">
        <v>0</v>
      </c>
      <c r="BK1031" s="1">
        <v>0</v>
      </c>
      <c r="BL1031" s="1">
        <v>1</v>
      </c>
      <c r="BM1031" s="1">
        <v>0</v>
      </c>
      <c r="BN1031" s="1">
        <v>0</v>
      </c>
      <c r="BO1031" s="1">
        <v>0</v>
      </c>
      <c r="BP1031" s="1">
        <v>0</v>
      </c>
      <c r="BQ1031" s="2" t="str">
        <f>HYPERLINK("http://www.d20pfsrd.com/magic/all-spells/h/howling-agony","Howling Agony")</f>
        <v>Howling Agony</v>
      </c>
      <c r="BR1031" s="1">
        <v>1073</v>
      </c>
      <c r="BS1031" s="1" t="s">
        <v>104</v>
      </c>
      <c r="BX1031" s="1">
        <v>0</v>
      </c>
      <c r="BY1031" s="1">
        <v>3</v>
      </c>
      <c r="BZ1031" s="1" t="s">
        <v>104</v>
      </c>
      <c r="CA1031" s="1">
        <v>2</v>
      </c>
      <c r="CB1031" s="1" t="s">
        <v>104</v>
      </c>
      <c r="CC1031" s="1">
        <v>2</v>
      </c>
      <c r="CD1031" s="1" t="s">
        <v>104</v>
      </c>
      <c r="CE1031" s="1">
        <v>3</v>
      </c>
      <c r="CF1031" s="1" t="s">
        <v>104</v>
      </c>
      <c r="CG1031" s="1" t="s">
        <v>104</v>
      </c>
      <c r="CH1031" s="1" t="s">
        <v>104</v>
      </c>
      <c r="CJ1031" s="1">
        <v>0</v>
      </c>
      <c r="CK1031" s="1">
        <v>0</v>
      </c>
      <c r="CL1031" s="1">
        <v>0</v>
      </c>
      <c r="CM1031" s="1" t="s">
        <v>104</v>
      </c>
    </row>
    <row r="1032" spans="1:91" ht="14.25" customHeight="1" x14ac:dyDescent="0.3">
      <c r="A1032" s="1" t="s">
        <v>6343</v>
      </c>
      <c r="B1032" s="1" t="s">
        <v>137</v>
      </c>
      <c r="D1032" s="1" t="s">
        <v>46</v>
      </c>
      <c r="E1032" s="1" t="s">
        <v>6344</v>
      </c>
      <c r="F1032" s="1" t="s">
        <v>95</v>
      </c>
      <c r="G1032" s="1" t="s">
        <v>116</v>
      </c>
      <c r="H1032" s="1">
        <v>0</v>
      </c>
      <c r="I1032" s="1" t="s">
        <v>157</v>
      </c>
      <c r="L1032" s="1" t="s">
        <v>158</v>
      </c>
      <c r="M1032" s="1" t="s">
        <v>4641</v>
      </c>
      <c r="N1032" s="1">
        <v>1</v>
      </c>
      <c r="O1032" s="1">
        <v>0</v>
      </c>
      <c r="R1032" s="1" t="s">
        <v>6345</v>
      </c>
      <c r="S1032" s="1" t="s">
        <v>4201</v>
      </c>
      <c r="T1032" s="1">
        <v>1</v>
      </c>
      <c r="U1032" s="1">
        <v>1</v>
      </c>
      <c r="V1032" s="1">
        <v>0</v>
      </c>
      <c r="W1032" s="1">
        <v>0</v>
      </c>
      <c r="X1032" s="1">
        <v>0</v>
      </c>
      <c r="Y1032" s="1">
        <v>7</v>
      </c>
      <c r="Z1032" s="1">
        <v>7</v>
      </c>
      <c r="AA1032" s="1" t="s">
        <v>104</v>
      </c>
      <c r="AB1032" s="1" t="s">
        <v>104</v>
      </c>
      <c r="AC1032" s="1" t="s">
        <v>104</v>
      </c>
      <c r="AD1032" s="1" t="s">
        <v>104</v>
      </c>
      <c r="AE1032" s="1" t="s">
        <v>104</v>
      </c>
      <c r="AF1032" s="1" t="s">
        <v>104</v>
      </c>
      <c r="AG1032" s="1" t="s">
        <v>104</v>
      </c>
      <c r="AH1032" s="1">
        <v>7</v>
      </c>
      <c r="AI1032" s="1" t="s">
        <v>104</v>
      </c>
      <c r="AJ1032" s="1" t="s">
        <v>104</v>
      </c>
      <c r="AK1032" s="1" t="s">
        <v>104</v>
      </c>
      <c r="AL1032" s="1" t="s">
        <v>104</v>
      </c>
      <c r="AM1032" s="1" t="s">
        <v>104</v>
      </c>
      <c r="AO1032" s="1">
        <v>7</v>
      </c>
      <c r="AQ1032" s="1" t="s">
        <v>6346</v>
      </c>
      <c r="AR1032" s="1">
        <v>0</v>
      </c>
      <c r="AS1032" s="1">
        <v>0</v>
      </c>
      <c r="AT1032" s="1">
        <v>0</v>
      </c>
      <c r="AU1032" s="1">
        <v>1</v>
      </c>
      <c r="AV1032" s="1">
        <v>0</v>
      </c>
      <c r="AW1032" s="1">
        <v>0</v>
      </c>
      <c r="AX1032" s="1">
        <v>0</v>
      </c>
      <c r="AY1032" s="1">
        <v>0</v>
      </c>
      <c r="AZ1032" s="1">
        <v>0</v>
      </c>
      <c r="BA1032" s="1">
        <v>0</v>
      </c>
      <c r="BB1032" s="1">
        <v>0</v>
      </c>
      <c r="BC1032" s="1">
        <v>0</v>
      </c>
      <c r="BD1032" s="1">
        <v>0</v>
      </c>
      <c r="BE1032" s="1">
        <v>0</v>
      </c>
      <c r="BF1032" s="1">
        <v>0</v>
      </c>
      <c r="BG1032" s="1">
        <v>0</v>
      </c>
      <c r="BH1032" s="1">
        <v>0</v>
      </c>
      <c r="BI1032" s="1">
        <v>0</v>
      </c>
      <c r="BJ1032" s="1">
        <v>0</v>
      </c>
      <c r="BK1032" s="1">
        <v>0</v>
      </c>
      <c r="BL1032" s="1">
        <v>0</v>
      </c>
      <c r="BM1032" s="1">
        <v>0</v>
      </c>
      <c r="BN1032" s="1">
        <v>0</v>
      </c>
      <c r="BO1032" s="1">
        <v>0</v>
      </c>
      <c r="BP1032" s="1">
        <v>0</v>
      </c>
      <c r="BQ1032" s="2" t="str">
        <f>HYPERLINK("http://www.d20pfsrd.com/magic/all-spells/i/ice-body","Ice Body")</f>
        <v>Ice Body</v>
      </c>
      <c r="BR1032" s="1">
        <v>1074</v>
      </c>
      <c r="BS1032" s="1" t="s">
        <v>104</v>
      </c>
      <c r="BX1032" s="1">
        <v>0</v>
      </c>
      <c r="BY1032" s="1" t="s">
        <v>104</v>
      </c>
      <c r="BZ1032" s="1">
        <v>7</v>
      </c>
      <c r="CA1032" s="1" t="s">
        <v>104</v>
      </c>
      <c r="CB1032" s="1" t="s">
        <v>104</v>
      </c>
      <c r="CC1032" s="1" t="s">
        <v>104</v>
      </c>
      <c r="CD1032" s="1" t="s">
        <v>104</v>
      </c>
      <c r="CE1032" s="1" t="s">
        <v>104</v>
      </c>
      <c r="CF1032" s="1" t="s">
        <v>104</v>
      </c>
      <c r="CG1032" s="1" t="s">
        <v>104</v>
      </c>
      <c r="CH1032" s="1" t="s">
        <v>104</v>
      </c>
      <c r="CJ1032" s="1">
        <v>0</v>
      </c>
      <c r="CK1032" s="1">
        <v>0</v>
      </c>
      <c r="CL1032" s="1">
        <v>0</v>
      </c>
      <c r="CM1032" s="1" t="s">
        <v>104</v>
      </c>
    </row>
    <row r="1033" spans="1:91" ht="14.25" customHeight="1" x14ac:dyDescent="0.3">
      <c r="A1033" s="1" t="s">
        <v>6347</v>
      </c>
      <c r="B1033" s="1" t="s">
        <v>92</v>
      </c>
      <c r="C1033" s="1" t="s">
        <v>1160</v>
      </c>
      <c r="D1033" s="1" t="s">
        <v>46</v>
      </c>
      <c r="E1033" s="1" t="s">
        <v>6348</v>
      </c>
      <c r="F1033" s="1" t="s">
        <v>95</v>
      </c>
      <c r="G1033" s="1" t="s">
        <v>237</v>
      </c>
      <c r="H1033" s="1">
        <v>0</v>
      </c>
      <c r="I1033" s="1" t="s">
        <v>97</v>
      </c>
      <c r="L1033" s="1" t="s">
        <v>1065</v>
      </c>
      <c r="M1033" s="1" t="s">
        <v>6349</v>
      </c>
      <c r="N1033" s="1">
        <v>0</v>
      </c>
      <c r="O1033" s="1">
        <v>0</v>
      </c>
      <c r="P1033" s="1" t="s">
        <v>211</v>
      </c>
      <c r="Q1033" s="1" t="s">
        <v>184</v>
      </c>
      <c r="R1033" s="1" t="s">
        <v>6350</v>
      </c>
      <c r="S1033" s="1" t="s">
        <v>4201</v>
      </c>
      <c r="T1033" s="1">
        <v>1</v>
      </c>
      <c r="U1033" s="1">
        <v>0</v>
      </c>
      <c r="V1033" s="1">
        <v>0</v>
      </c>
      <c r="W1033" s="1">
        <v>0</v>
      </c>
      <c r="X1033" s="1">
        <v>0</v>
      </c>
      <c r="Y1033" s="1">
        <v>6</v>
      </c>
      <c r="Z1033" s="1">
        <v>6</v>
      </c>
      <c r="AA1033" s="1" t="s">
        <v>104</v>
      </c>
      <c r="AB1033" s="1" t="s">
        <v>104</v>
      </c>
      <c r="AC1033" s="1" t="s">
        <v>104</v>
      </c>
      <c r="AD1033" s="1" t="s">
        <v>104</v>
      </c>
      <c r="AE1033" s="1" t="s">
        <v>104</v>
      </c>
      <c r="AF1033" s="1" t="s">
        <v>104</v>
      </c>
      <c r="AG1033" s="1">
        <v>5</v>
      </c>
      <c r="AH1033" s="1">
        <v>6</v>
      </c>
      <c r="AI1033" s="1" t="s">
        <v>104</v>
      </c>
      <c r="AJ1033" s="1" t="s">
        <v>104</v>
      </c>
      <c r="AK1033" s="1" t="s">
        <v>104</v>
      </c>
      <c r="AL1033" s="1" t="s">
        <v>104</v>
      </c>
      <c r="AM1033" s="1" t="s">
        <v>104</v>
      </c>
      <c r="AO1033" s="1">
        <v>6</v>
      </c>
      <c r="AQ1033" s="1" t="s">
        <v>6351</v>
      </c>
      <c r="AR1033" s="1">
        <v>0</v>
      </c>
      <c r="AS1033" s="1">
        <v>0</v>
      </c>
      <c r="AT1033" s="1">
        <v>0</v>
      </c>
      <c r="AU1033" s="1">
        <v>1</v>
      </c>
      <c r="AV1033" s="1">
        <v>0</v>
      </c>
      <c r="AW1033" s="1">
        <v>0</v>
      </c>
      <c r="AX1033" s="1">
        <v>0</v>
      </c>
      <c r="AY1033" s="1">
        <v>0</v>
      </c>
      <c r="AZ1033" s="1">
        <v>0</v>
      </c>
      <c r="BA1033" s="1">
        <v>0</v>
      </c>
      <c r="BB1033" s="1">
        <v>0</v>
      </c>
      <c r="BC1033" s="1">
        <v>0</v>
      </c>
      <c r="BD1033" s="1">
        <v>0</v>
      </c>
      <c r="BE1033" s="1">
        <v>0</v>
      </c>
      <c r="BF1033" s="1">
        <v>0</v>
      </c>
      <c r="BG1033" s="1">
        <v>0</v>
      </c>
      <c r="BH1033" s="1">
        <v>0</v>
      </c>
      <c r="BI1033" s="1">
        <v>0</v>
      </c>
      <c r="BJ1033" s="1">
        <v>0</v>
      </c>
      <c r="BK1033" s="1">
        <v>0</v>
      </c>
      <c r="BL1033" s="1">
        <v>0</v>
      </c>
      <c r="BM1033" s="1">
        <v>0</v>
      </c>
      <c r="BN1033" s="1">
        <v>0</v>
      </c>
      <c r="BO1033" s="1">
        <v>0</v>
      </c>
      <c r="BP1033" s="1">
        <v>0</v>
      </c>
      <c r="BQ1033" s="2" t="str">
        <f>HYPERLINK("http://www.d20pfsrd.com/magic/all-spells/i/ice-crystal-teleport","Ice Crystal Teleport")</f>
        <v>Ice Crystal Teleport</v>
      </c>
      <c r="BR1033" s="1">
        <v>1075</v>
      </c>
      <c r="BS1033" s="1" t="s">
        <v>104</v>
      </c>
      <c r="BX1033" s="1">
        <v>0</v>
      </c>
      <c r="BY1033" s="1" t="s">
        <v>104</v>
      </c>
      <c r="BZ1033" s="1" t="s">
        <v>104</v>
      </c>
      <c r="CA1033" s="1" t="s">
        <v>104</v>
      </c>
      <c r="CB1033" s="1" t="s">
        <v>104</v>
      </c>
      <c r="CC1033" s="1" t="s">
        <v>104</v>
      </c>
      <c r="CD1033" s="1" t="s">
        <v>104</v>
      </c>
      <c r="CE1033" s="1" t="s">
        <v>104</v>
      </c>
      <c r="CF1033" s="1" t="s">
        <v>104</v>
      </c>
      <c r="CG1033" s="1" t="s">
        <v>104</v>
      </c>
      <c r="CH1033" s="1" t="s">
        <v>104</v>
      </c>
      <c r="CJ1033" s="1">
        <v>0</v>
      </c>
      <c r="CK1033" s="1">
        <v>0</v>
      </c>
      <c r="CL1033" s="1">
        <v>0</v>
      </c>
      <c r="CM1033" s="1">
        <v>6</v>
      </c>
    </row>
    <row r="1034" spans="1:91" ht="14.25" customHeight="1" x14ac:dyDescent="0.3">
      <c r="A1034" s="1" t="s">
        <v>6352</v>
      </c>
      <c r="B1034" s="1" t="s">
        <v>92</v>
      </c>
      <c r="C1034" s="1" t="s">
        <v>93</v>
      </c>
      <c r="D1034" s="1" t="s">
        <v>46</v>
      </c>
      <c r="E1034" s="1" t="s">
        <v>6353</v>
      </c>
      <c r="F1034" s="1" t="s">
        <v>95</v>
      </c>
      <c r="G1034" s="1" t="s">
        <v>116</v>
      </c>
      <c r="H1034" s="1">
        <v>0</v>
      </c>
      <c r="I1034" s="1" t="s">
        <v>705</v>
      </c>
      <c r="K1034" s="1" t="s">
        <v>6354</v>
      </c>
      <c r="M1034" s="1" t="s">
        <v>2330</v>
      </c>
      <c r="N1034" s="1">
        <v>0</v>
      </c>
      <c r="O1034" s="1">
        <v>0</v>
      </c>
      <c r="P1034" s="1" t="s">
        <v>100</v>
      </c>
      <c r="Q1034" s="1" t="s">
        <v>101</v>
      </c>
      <c r="R1034" s="1" t="s">
        <v>6355</v>
      </c>
      <c r="S1034" s="1" t="s">
        <v>4201</v>
      </c>
      <c r="T1034" s="1">
        <v>1</v>
      </c>
      <c r="U1034" s="1">
        <v>1</v>
      </c>
      <c r="V1034" s="1">
        <v>0</v>
      </c>
      <c r="W1034" s="1">
        <v>0</v>
      </c>
      <c r="X1034" s="1">
        <v>0</v>
      </c>
      <c r="Y1034" s="1">
        <v>1</v>
      </c>
      <c r="Z1034" s="1">
        <v>1</v>
      </c>
      <c r="AA1034" s="1" t="s">
        <v>104</v>
      </c>
      <c r="AB1034" s="1" t="s">
        <v>104</v>
      </c>
      <c r="AC1034" s="1" t="s">
        <v>104</v>
      </c>
      <c r="AD1034" s="1" t="s">
        <v>104</v>
      </c>
      <c r="AE1034" s="1" t="s">
        <v>104</v>
      </c>
      <c r="AF1034" s="1" t="s">
        <v>104</v>
      </c>
      <c r="AG1034" s="1">
        <v>1</v>
      </c>
      <c r="AH1034" s="1">
        <v>1</v>
      </c>
      <c r="AI1034" s="1" t="s">
        <v>104</v>
      </c>
      <c r="AJ1034" s="1" t="s">
        <v>104</v>
      </c>
      <c r="AK1034" s="1" t="s">
        <v>104</v>
      </c>
      <c r="AL1034" s="1" t="s">
        <v>104</v>
      </c>
      <c r="AM1034" s="1" t="s">
        <v>104</v>
      </c>
      <c r="AO1034" s="1">
        <v>1</v>
      </c>
      <c r="AQ1034" s="1" t="s">
        <v>6356</v>
      </c>
      <c r="AR1034" s="1">
        <v>0</v>
      </c>
      <c r="AS1034" s="1">
        <v>0</v>
      </c>
      <c r="AT1034" s="1">
        <v>0</v>
      </c>
      <c r="AU1034" s="1">
        <v>1</v>
      </c>
      <c r="AV1034" s="1">
        <v>0</v>
      </c>
      <c r="AW1034" s="1">
        <v>0</v>
      </c>
      <c r="AX1034" s="1">
        <v>0</v>
      </c>
      <c r="AY1034" s="1">
        <v>0</v>
      </c>
      <c r="AZ1034" s="1">
        <v>0</v>
      </c>
      <c r="BA1034" s="1">
        <v>0</v>
      </c>
      <c r="BB1034" s="1">
        <v>0</v>
      </c>
      <c r="BC1034" s="1">
        <v>0</v>
      </c>
      <c r="BD1034" s="1">
        <v>0</v>
      </c>
      <c r="BE1034" s="1">
        <v>0</v>
      </c>
      <c r="BF1034" s="1">
        <v>0</v>
      </c>
      <c r="BG1034" s="1">
        <v>0</v>
      </c>
      <c r="BH1034" s="1">
        <v>0</v>
      </c>
      <c r="BI1034" s="1">
        <v>0</v>
      </c>
      <c r="BJ1034" s="1">
        <v>0</v>
      </c>
      <c r="BK1034" s="1">
        <v>0</v>
      </c>
      <c r="BL1034" s="1">
        <v>0</v>
      </c>
      <c r="BM1034" s="1">
        <v>0</v>
      </c>
      <c r="BN1034" s="1">
        <v>0</v>
      </c>
      <c r="BO1034" s="1">
        <v>0</v>
      </c>
      <c r="BP1034" s="1">
        <v>0</v>
      </c>
      <c r="BQ1034" s="2" t="str">
        <f>HYPERLINK("http://www.d20pfsrd.com/magic/all-spells/i/icicle-dagger","Icicle Dagger")</f>
        <v>Icicle Dagger</v>
      </c>
      <c r="BR1034" s="1">
        <v>1076</v>
      </c>
      <c r="BS1034" s="1" t="s">
        <v>104</v>
      </c>
      <c r="BX1034" s="1">
        <v>0</v>
      </c>
      <c r="BY1034" s="1">
        <v>1</v>
      </c>
      <c r="BZ1034" s="1" t="s">
        <v>104</v>
      </c>
      <c r="CA1034" s="1" t="s">
        <v>104</v>
      </c>
      <c r="CB1034" s="1" t="s">
        <v>104</v>
      </c>
      <c r="CC1034" s="1" t="s">
        <v>104</v>
      </c>
      <c r="CD1034" s="1">
        <v>1</v>
      </c>
      <c r="CE1034" s="1" t="s">
        <v>104</v>
      </c>
      <c r="CF1034" s="1" t="s">
        <v>104</v>
      </c>
      <c r="CG1034" s="1" t="s">
        <v>104</v>
      </c>
      <c r="CH1034" s="1" t="s">
        <v>104</v>
      </c>
      <c r="CJ1034" s="1">
        <v>0</v>
      </c>
      <c r="CK1034" s="1">
        <v>0</v>
      </c>
      <c r="CL1034" s="1">
        <v>0</v>
      </c>
      <c r="CM1034" s="1">
        <v>1</v>
      </c>
    </row>
    <row r="1035" spans="1:91" ht="14.25" customHeight="1" x14ac:dyDescent="0.3">
      <c r="A1035" s="1" t="s">
        <v>6357</v>
      </c>
      <c r="B1035" s="1" t="s">
        <v>434</v>
      </c>
      <c r="D1035" s="1" t="s">
        <v>46</v>
      </c>
      <c r="E1035" s="1" t="s">
        <v>6358</v>
      </c>
      <c r="F1035" s="1" t="s">
        <v>95</v>
      </c>
      <c r="G1035" s="1" t="s">
        <v>116</v>
      </c>
      <c r="H1035" s="1">
        <v>0</v>
      </c>
      <c r="I1035" s="1" t="s">
        <v>6359</v>
      </c>
      <c r="L1035" s="1" t="s">
        <v>1065</v>
      </c>
      <c r="M1035" s="1" t="s">
        <v>6188</v>
      </c>
      <c r="N1035" s="1">
        <v>0</v>
      </c>
      <c r="O1035" s="1">
        <v>0</v>
      </c>
      <c r="P1035" s="1" t="s">
        <v>3552</v>
      </c>
      <c r="Q1035" s="1" t="s">
        <v>184</v>
      </c>
      <c r="R1035" s="1" t="s">
        <v>6360</v>
      </c>
      <c r="S1035" s="1" t="s">
        <v>4201</v>
      </c>
      <c r="T1035" s="1">
        <v>1</v>
      </c>
      <c r="U1035" s="1">
        <v>1</v>
      </c>
      <c r="V1035" s="1">
        <v>0</v>
      </c>
      <c r="W1035" s="1">
        <v>0</v>
      </c>
      <c r="X1035" s="1">
        <v>0</v>
      </c>
      <c r="Y1035" s="1">
        <v>5</v>
      </c>
      <c r="Z1035" s="1">
        <v>5</v>
      </c>
      <c r="AA1035" s="1" t="s">
        <v>104</v>
      </c>
      <c r="AB1035" s="1" t="s">
        <v>104</v>
      </c>
      <c r="AC1035" s="1" t="s">
        <v>104</v>
      </c>
      <c r="AD1035" s="1" t="s">
        <v>104</v>
      </c>
      <c r="AE1035" s="1" t="s">
        <v>104</v>
      </c>
      <c r="AF1035" s="1" t="s">
        <v>104</v>
      </c>
      <c r="AG1035" s="1" t="s">
        <v>104</v>
      </c>
      <c r="AH1035" s="1" t="s">
        <v>104</v>
      </c>
      <c r="AI1035" s="1" t="s">
        <v>104</v>
      </c>
      <c r="AJ1035" s="1" t="s">
        <v>104</v>
      </c>
      <c r="AK1035" s="1" t="s">
        <v>104</v>
      </c>
      <c r="AL1035" s="1" t="s">
        <v>104</v>
      </c>
      <c r="AM1035" s="1" t="s">
        <v>104</v>
      </c>
      <c r="AO1035" s="1">
        <v>5</v>
      </c>
      <c r="AQ1035" s="1" t="s">
        <v>6361</v>
      </c>
      <c r="AR1035" s="1">
        <v>0</v>
      </c>
      <c r="AS1035" s="1">
        <v>0</v>
      </c>
      <c r="AT1035" s="1">
        <v>0</v>
      </c>
      <c r="AU1035" s="1">
        <v>1</v>
      </c>
      <c r="AV1035" s="1">
        <v>0</v>
      </c>
      <c r="AW1035" s="1">
        <v>0</v>
      </c>
      <c r="AX1035" s="1">
        <v>0</v>
      </c>
      <c r="AY1035" s="1">
        <v>0</v>
      </c>
      <c r="AZ1035" s="1">
        <v>0</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2" t="str">
        <f>HYPERLINK("http://www.d20pfsrd.com/magic/all-spells/i/icy-prison","Icy Prison")</f>
        <v>Icy Prison</v>
      </c>
      <c r="BR1035" s="1">
        <v>1077</v>
      </c>
      <c r="BS1035" s="1" t="s">
        <v>104</v>
      </c>
      <c r="BX1035" s="1">
        <v>0</v>
      </c>
      <c r="BY1035" s="1" t="s">
        <v>104</v>
      </c>
      <c r="BZ1035" s="1" t="s">
        <v>104</v>
      </c>
      <c r="CA1035" s="1" t="s">
        <v>104</v>
      </c>
      <c r="CB1035" s="1" t="s">
        <v>104</v>
      </c>
      <c r="CC1035" s="1" t="s">
        <v>104</v>
      </c>
      <c r="CD1035" s="1" t="s">
        <v>104</v>
      </c>
      <c r="CE1035" s="1" t="s">
        <v>104</v>
      </c>
      <c r="CF1035" s="1" t="s">
        <v>104</v>
      </c>
      <c r="CG1035" s="1" t="s">
        <v>104</v>
      </c>
      <c r="CH1035" s="1" t="s">
        <v>104</v>
      </c>
      <c r="CJ1035" s="1">
        <v>0</v>
      </c>
      <c r="CK1035" s="1">
        <v>0</v>
      </c>
      <c r="CL1035" s="1">
        <v>0</v>
      </c>
      <c r="CM1035" s="1" t="s">
        <v>104</v>
      </c>
    </row>
    <row r="1036" spans="1:91" ht="14.25" customHeight="1" x14ac:dyDescent="0.3">
      <c r="A1036" s="1" t="s">
        <v>6362</v>
      </c>
      <c r="B1036" s="1" t="s">
        <v>434</v>
      </c>
      <c r="D1036" s="1" t="s">
        <v>46</v>
      </c>
      <c r="E1036" s="1" t="s">
        <v>2513</v>
      </c>
      <c r="F1036" s="1" t="s">
        <v>95</v>
      </c>
      <c r="G1036" s="1" t="s">
        <v>116</v>
      </c>
      <c r="H1036" s="1">
        <v>0</v>
      </c>
      <c r="I1036" s="1" t="s">
        <v>6359</v>
      </c>
      <c r="L1036" s="1" t="s">
        <v>6363</v>
      </c>
      <c r="M1036" s="1" t="s">
        <v>6188</v>
      </c>
      <c r="N1036" s="1">
        <v>0</v>
      </c>
      <c r="O1036" s="1">
        <v>0</v>
      </c>
      <c r="P1036" s="1" t="s">
        <v>3552</v>
      </c>
      <c r="Q1036" s="1" t="s">
        <v>184</v>
      </c>
      <c r="R1036" s="1" t="s">
        <v>6364</v>
      </c>
      <c r="S1036" s="1" t="s">
        <v>4201</v>
      </c>
      <c r="T1036" s="1">
        <v>1</v>
      </c>
      <c r="U1036" s="1">
        <v>1</v>
      </c>
      <c r="V1036" s="1">
        <v>0</v>
      </c>
      <c r="W1036" s="1">
        <v>0</v>
      </c>
      <c r="X1036" s="1">
        <v>0</v>
      </c>
      <c r="Y1036" s="1">
        <v>9</v>
      </c>
      <c r="Z1036" s="1">
        <v>9</v>
      </c>
      <c r="AA1036" s="1" t="s">
        <v>104</v>
      </c>
      <c r="AB1036" s="1" t="s">
        <v>104</v>
      </c>
      <c r="AC1036" s="1" t="s">
        <v>104</v>
      </c>
      <c r="AD1036" s="1" t="s">
        <v>104</v>
      </c>
      <c r="AE1036" s="1" t="s">
        <v>104</v>
      </c>
      <c r="AF1036" s="1" t="s">
        <v>104</v>
      </c>
      <c r="AG1036" s="1" t="s">
        <v>104</v>
      </c>
      <c r="AH1036" s="1" t="s">
        <v>104</v>
      </c>
      <c r="AI1036" s="1" t="s">
        <v>104</v>
      </c>
      <c r="AJ1036" s="1" t="s">
        <v>104</v>
      </c>
      <c r="AK1036" s="1" t="s">
        <v>104</v>
      </c>
      <c r="AL1036" s="1" t="s">
        <v>104</v>
      </c>
      <c r="AM1036" s="1" t="s">
        <v>104</v>
      </c>
      <c r="AO1036" s="1">
        <v>9</v>
      </c>
      <c r="AQ1036" s="1" t="s">
        <v>6365</v>
      </c>
      <c r="AR1036" s="1">
        <v>0</v>
      </c>
      <c r="AS1036" s="1">
        <v>0</v>
      </c>
      <c r="AT1036" s="1">
        <v>0</v>
      </c>
      <c r="AU1036" s="1">
        <v>1</v>
      </c>
      <c r="AV1036" s="1">
        <v>0</v>
      </c>
      <c r="AW1036" s="1">
        <v>0</v>
      </c>
      <c r="AX1036" s="1">
        <v>0</v>
      </c>
      <c r="AY1036" s="1">
        <v>0</v>
      </c>
      <c r="AZ1036" s="1">
        <v>0</v>
      </c>
      <c r="BA1036" s="1">
        <v>0</v>
      </c>
      <c r="BB1036" s="1">
        <v>0</v>
      </c>
      <c r="BC1036" s="1">
        <v>0</v>
      </c>
      <c r="BD1036" s="1">
        <v>0</v>
      </c>
      <c r="BE1036" s="1">
        <v>0</v>
      </c>
      <c r="BF1036" s="1">
        <v>0</v>
      </c>
      <c r="BG1036" s="1">
        <v>0</v>
      </c>
      <c r="BH1036" s="1">
        <v>0</v>
      </c>
      <c r="BI1036" s="1">
        <v>0</v>
      </c>
      <c r="BJ1036" s="1">
        <v>0</v>
      </c>
      <c r="BK1036" s="1">
        <v>0</v>
      </c>
      <c r="BL1036" s="1">
        <v>0</v>
      </c>
      <c r="BM1036" s="1">
        <v>0</v>
      </c>
      <c r="BN1036" s="1">
        <v>0</v>
      </c>
      <c r="BO1036" s="1">
        <v>0</v>
      </c>
      <c r="BP1036" s="1">
        <v>0</v>
      </c>
      <c r="BQ1036" s="2" t="str">
        <f>HYPERLINK("http://www.d20pfsrd.com/magic/all-spells/i/icy-prison","Icy Prison, Mass")</f>
        <v>Icy Prison, Mass</v>
      </c>
      <c r="BR1036" s="1">
        <v>1078</v>
      </c>
      <c r="BS1036" s="1" t="s">
        <v>104</v>
      </c>
      <c r="BX1036" s="1">
        <v>0</v>
      </c>
      <c r="BY1036" s="1" t="s">
        <v>104</v>
      </c>
      <c r="BZ1036" s="1" t="s">
        <v>104</v>
      </c>
      <c r="CA1036" s="1" t="s">
        <v>104</v>
      </c>
      <c r="CB1036" s="1" t="s">
        <v>104</v>
      </c>
      <c r="CC1036" s="1" t="s">
        <v>104</v>
      </c>
      <c r="CD1036" s="1" t="s">
        <v>104</v>
      </c>
      <c r="CE1036" s="1" t="s">
        <v>104</v>
      </c>
      <c r="CF1036" s="1" t="s">
        <v>104</v>
      </c>
      <c r="CG1036" s="1" t="s">
        <v>104</v>
      </c>
      <c r="CH1036" s="1" t="s">
        <v>104</v>
      </c>
      <c r="CJ1036" s="1">
        <v>0</v>
      </c>
      <c r="CK1036" s="1">
        <v>0</v>
      </c>
      <c r="CL1036" s="1">
        <v>0</v>
      </c>
      <c r="CM1036" s="1" t="s">
        <v>104</v>
      </c>
    </row>
    <row r="1037" spans="1:91" ht="14.25" customHeight="1" x14ac:dyDescent="0.3">
      <c r="A1037" s="1" t="s">
        <v>6366</v>
      </c>
      <c r="B1037" s="1" t="s">
        <v>137</v>
      </c>
      <c r="E1037" s="1" t="s">
        <v>6193</v>
      </c>
      <c r="F1037" s="1" t="s">
        <v>95</v>
      </c>
      <c r="G1037" s="1" t="s">
        <v>127</v>
      </c>
      <c r="H1037" s="1">
        <v>0</v>
      </c>
      <c r="I1037" s="1" t="s">
        <v>117</v>
      </c>
      <c r="L1037" s="1" t="s">
        <v>1065</v>
      </c>
      <c r="M1037" s="1" t="s">
        <v>2330</v>
      </c>
      <c r="N1037" s="1">
        <v>0</v>
      </c>
      <c r="O1037" s="1">
        <v>0</v>
      </c>
      <c r="P1037" s="1" t="s">
        <v>1902</v>
      </c>
      <c r="Q1037" s="1" t="s">
        <v>184</v>
      </c>
      <c r="R1037" s="1" t="s">
        <v>6367</v>
      </c>
      <c r="S1037" s="1" t="s">
        <v>4201</v>
      </c>
      <c r="T1037" s="1">
        <v>1</v>
      </c>
      <c r="U1037" s="1">
        <v>1</v>
      </c>
      <c r="V1037" s="1">
        <v>0</v>
      </c>
      <c r="W1037" s="1">
        <v>0</v>
      </c>
      <c r="X1037" s="1">
        <v>1</v>
      </c>
      <c r="Y1037" s="1" t="s">
        <v>104</v>
      </c>
      <c r="Z1037" s="1" t="s">
        <v>104</v>
      </c>
      <c r="AA1037" s="1">
        <v>2</v>
      </c>
      <c r="AB1037" s="1" t="s">
        <v>104</v>
      </c>
      <c r="AC1037" s="1" t="s">
        <v>104</v>
      </c>
      <c r="AD1037" s="1" t="s">
        <v>104</v>
      </c>
      <c r="AE1037" s="1" t="s">
        <v>104</v>
      </c>
      <c r="AF1037" s="1" t="s">
        <v>104</v>
      </c>
      <c r="AG1037" s="1" t="s">
        <v>104</v>
      </c>
      <c r="AH1037" s="1" t="s">
        <v>104</v>
      </c>
      <c r="AI1037" s="1" t="s">
        <v>104</v>
      </c>
      <c r="AJ1037" s="1">
        <v>2</v>
      </c>
      <c r="AK1037" s="1" t="s">
        <v>104</v>
      </c>
      <c r="AL1037" s="1" t="s">
        <v>104</v>
      </c>
      <c r="AM1037" s="1" t="s">
        <v>104</v>
      </c>
      <c r="AO1037" s="1">
        <v>2</v>
      </c>
      <c r="AQ1037" s="1" t="s">
        <v>6368</v>
      </c>
      <c r="AR1037" s="1">
        <v>0</v>
      </c>
      <c r="AS1037" s="1">
        <v>0</v>
      </c>
      <c r="AT1037" s="1">
        <v>0</v>
      </c>
      <c r="AU1037" s="1">
        <v>0</v>
      </c>
      <c r="AV1037" s="1">
        <v>0</v>
      </c>
      <c r="AW1037" s="1">
        <v>0</v>
      </c>
      <c r="AX1037" s="1">
        <v>0</v>
      </c>
      <c r="AY1037" s="1">
        <v>0</v>
      </c>
      <c r="AZ1037" s="1">
        <v>0</v>
      </c>
      <c r="BA1037" s="1">
        <v>0</v>
      </c>
      <c r="BB1037" s="1">
        <v>0</v>
      </c>
      <c r="BC1037" s="1">
        <v>0</v>
      </c>
      <c r="BD1037" s="1">
        <v>0</v>
      </c>
      <c r="BE1037" s="1">
        <v>0</v>
      </c>
      <c r="BF1037" s="1">
        <v>0</v>
      </c>
      <c r="BG1037" s="1">
        <v>0</v>
      </c>
      <c r="BH1037" s="1">
        <v>0</v>
      </c>
      <c r="BI1037" s="1">
        <v>0</v>
      </c>
      <c r="BJ1037" s="1">
        <v>0</v>
      </c>
      <c r="BK1037" s="1">
        <v>0</v>
      </c>
      <c r="BL1037" s="1">
        <v>0</v>
      </c>
      <c r="BM1037" s="1">
        <v>0</v>
      </c>
      <c r="BN1037" s="1">
        <v>0</v>
      </c>
      <c r="BO1037" s="1">
        <v>0</v>
      </c>
      <c r="BP1037" s="1">
        <v>0</v>
      </c>
      <c r="BQ1037" s="2" t="str">
        <f>HYPERLINK("http://www.d20pfsrd.com/magic/all-spells/i/imbue-with-aura","Imbue with Aura")</f>
        <v>Imbue with Aura</v>
      </c>
      <c r="BR1037" s="1">
        <v>1079</v>
      </c>
      <c r="BS1037" s="1" t="s">
        <v>104</v>
      </c>
      <c r="BX1037" s="1">
        <v>0</v>
      </c>
      <c r="BY1037" s="1" t="s">
        <v>104</v>
      </c>
      <c r="BZ1037" s="1" t="s">
        <v>104</v>
      </c>
      <c r="CA1037" s="1" t="s">
        <v>104</v>
      </c>
      <c r="CB1037" s="1" t="s">
        <v>104</v>
      </c>
      <c r="CC1037" s="1" t="s">
        <v>104</v>
      </c>
      <c r="CD1037" s="1" t="s">
        <v>104</v>
      </c>
      <c r="CE1037" s="1" t="s">
        <v>104</v>
      </c>
      <c r="CF1037" s="1" t="s">
        <v>104</v>
      </c>
      <c r="CG1037" s="1" t="s">
        <v>104</v>
      </c>
      <c r="CH1037" s="1" t="s">
        <v>104</v>
      </c>
      <c r="CJ1037" s="1">
        <v>0</v>
      </c>
      <c r="CK1037" s="1">
        <v>0</v>
      </c>
      <c r="CL1037" s="1">
        <v>0</v>
      </c>
      <c r="CM1037" s="1" t="s">
        <v>104</v>
      </c>
    </row>
    <row r="1038" spans="1:91" ht="14.25" customHeight="1" x14ac:dyDescent="0.3">
      <c r="A1038" s="1" t="s">
        <v>6369</v>
      </c>
      <c r="B1038" s="1" t="s">
        <v>92</v>
      </c>
      <c r="C1038" s="1" t="s">
        <v>1160</v>
      </c>
      <c r="E1038" s="1" t="s">
        <v>1738</v>
      </c>
      <c r="F1038" s="1" t="s">
        <v>95</v>
      </c>
      <c r="G1038" s="1" t="s">
        <v>237</v>
      </c>
      <c r="H1038" s="1">
        <v>0</v>
      </c>
      <c r="I1038" s="1" t="s">
        <v>3825</v>
      </c>
      <c r="L1038" s="1" t="s">
        <v>1162</v>
      </c>
      <c r="M1038" s="1" t="s">
        <v>119</v>
      </c>
      <c r="N1038" s="1">
        <v>0</v>
      </c>
      <c r="O1038" s="1">
        <v>0</v>
      </c>
      <c r="P1038" s="1" t="s">
        <v>1163</v>
      </c>
      <c r="Q1038" s="1" t="s">
        <v>1164</v>
      </c>
      <c r="R1038" s="1" t="s">
        <v>6370</v>
      </c>
      <c r="S1038" s="1" t="s">
        <v>4201</v>
      </c>
      <c r="T1038" s="1">
        <v>1</v>
      </c>
      <c r="U1038" s="1">
        <v>0</v>
      </c>
      <c r="V1038" s="1">
        <v>0</v>
      </c>
      <c r="W1038" s="1">
        <v>0</v>
      </c>
      <c r="X1038" s="1">
        <v>0</v>
      </c>
      <c r="Y1038" s="1">
        <v>9</v>
      </c>
      <c r="Z1038" s="1">
        <v>9</v>
      </c>
      <c r="AA1038" s="1">
        <v>9</v>
      </c>
      <c r="AB1038" s="1" t="s">
        <v>104</v>
      </c>
      <c r="AC1038" s="1" t="s">
        <v>104</v>
      </c>
      <c r="AD1038" s="1" t="s">
        <v>104</v>
      </c>
      <c r="AE1038" s="1" t="s">
        <v>104</v>
      </c>
      <c r="AF1038" s="1" t="s">
        <v>104</v>
      </c>
      <c r="AG1038" s="1" t="s">
        <v>104</v>
      </c>
      <c r="AH1038" s="1" t="s">
        <v>104</v>
      </c>
      <c r="AI1038" s="1" t="s">
        <v>104</v>
      </c>
      <c r="AJ1038" s="1">
        <v>9</v>
      </c>
      <c r="AK1038" s="1" t="s">
        <v>104</v>
      </c>
      <c r="AL1038" s="1" t="s">
        <v>104</v>
      </c>
      <c r="AM1038" s="1" t="s">
        <v>104</v>
      </c>
      <c r="AO1038" s="1">
        <v>9</v>
      </c>
      <c r="AP1038" s="1" t="s">
        <v>6371</v>
      </c>
      <c r="AQ1038" s="1" t="s">
        <v>6372</v>
      </c>
      <c r="AR1038" s="1">
        <v>0</v>
      </c>
      <c r="AS1038" s="1">
        <v>0</v>
      </c>
      <c r="AT1038" s="1">
        <v>0</v>
      </c>
      <c r="AU1038" s="1">
        <v>0</v>
      </c>
      <c r="AV1038" s="1">
        <v>0</v>
      </c>
      <c r="AW1038" s="1">
        <v>0</v>
      </c>
      <c r="AX1038" s="1">
        <v>0</v>
      </c>
      <c r="AY1038" s="1">
        <v>0</v>
      </c>
      <c r="AZ1038" s="1">
        <v>0</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2" t="str">
        <f>HYPERLINK("http://www.d20pfsrd.com/magic/all-spells/i/interplanetary-teleport","Interplanetary Teleport")</f>
        <v>Interplanetary Teleport</v>
      </c>
      <c r="BR1038" s="1">
        <v>1080</v>
      </c>
      <c r="BS1038" s="1" t="s">
        <v>104</v>
      </c>
      <c r="BX1038" s="1">
        <v>0</v>
      </c>
      <c r="BY1038" s="1" t="s">
        <v>104</v>
      </c>
      <c r="BZ1038" s="1" t="s">
        <v>104</v>
      </c>
      <c r="CA1038" s="1">
        <v>9</v>
      </c>
      <c r="CB1038" s="1" t="s">
        <v>104</v>
      </c>
      <c r="CC1038" s="1" t="s">
        <v>104</v>
      </c>
      <c r="CD1038" s="1" t="s">
        <v>104</v>
      </c>
      <c r="CE1038" s="1" t="s">
        <v>104</v>
      </c>
      <c r="CF1038" s="1" t="s">
        <v>104</v>
      </c>
      <c r="CG1038" s="1" t="s">
        <v>104</v>
      </c>
      <c r="CH1038" s="1" t="s">
        <v>104</v>
      </c>
      <c r="CJ1038" s="1">
        <v>0</v>
      </c>
      <c r="CK1038" s="1">
        <v>0</v>
      </c>
      <c r="CL1038" s="1">
        <v>0</v>
      </c>
      <c r="CM1038" s="1" t="s">
        <v>104</v>
      </c>
    </row>
    <row r="1039" spans="1:91" ht="14.25" customHeight="1" x14ac:dyDescent="0.3">
      <c r="A1039" s="1" t="s">
        <v>6373</v>
      </c>
      <c r="B1039" s="1" t="s">
        <v>216</v>
      </c>
      <c r="D1039" s="1" t="s">
        <v>3767</v>
      </c>
      <c r="E1039" s="1" t="s">
        <v>6374</v>
      </c>
      <c r="F1039" s="1" t="s">
        <v>255</v>
      </c>
      <c r="G1039" s="1" t="s">
        <v>116</v>
      </c>
      <c r="H1039" s="1">
        <v>0</v>
      </c>
      <c r="I1039" s="1" t="s">
        <v>128</v>
      </c>
      <c r="L1039" s="1" t="s">
        <v>129</v>
      </c>
      <c r="M1039" s="1" t="s">
        <v>2330</v>
      </c>
      <c r="N1039" s="1">
        <v>0</v>
      </c>
      <c r="O1039" s="1">
        <v>0</v>
      </c>
      <c r="P1039" s="1" t="s">
        <v>183</v>
      </c>
      <c r="Q1039" s="1" t="s">
        <v>184</v>
      </c>
      <c r="R1039" s="1" t="s">
        <v>6375</v>
      </c>
      <c r="S1039" s="1" t="s">
        <v>4201</v>
      </c>
      <c r="T1039" s="1">
        <v>1</v>
      </c>
      <c r="U1039" s="1">
        <v>1</v>
      </c>
      <c r="V1039" s="1">
        <v>0</v>
      </c>
      <c r="W1039" s="1">
        <v>0</v>
      </c>
      <c r="X1039" s="1">
        <v>0</v>
      </c>
      <c r="Y1039" s="1">
        <v>1</v>
      </c>
      <c r="Z1039" s="1">
        <v>1</v>
      </c>
      <c r="AA1039" s="1" t="s">
        <v>104</v>
      </c>
      <c r="AB1039" s="1" t="s">
        <v>104</v>
      </c>
      <c r="AC1039" s="1" t="s">
        <v>104</v>
      </c>
      <c r="AD1039" s="1" t="s">
        <v>104</v>
      </c>
      <c r="AE1039" s="1" t="s">
        <v>104</v>
      </c>
      <c r="AF1039" s="1" t="s">
        <v>104</v>
      </c>
      <c r="AG1039" s="1" t="s">
        <v>104</v>
      </c>
      <c r="AH1039" s="1">
        <v>1</v>
      </c>
      <c r="AI1039" s="1">
        <v>1</v>
      </c>
      <c r="AJ1039" s="1" t="s">
        <v>104</v>
      </c>
      <c r="AK1039" s="1" t="s">
        <v>104</v>
      </c>
      <c r="AL1039" s="1" t="s">
        <v>104</v>
      </c>
      <c r="AM1039" s="1" t="s">
        <v>104</v>
      </c>
      <c r="AO1039" s="1">
        <v>1</v>
      </c>
      <c r="AQ1039" s="1" t="s">
        <v>6376</v>
      </c>
      <c r="AR1039" s="1">
        <v>0</v>
      </c>
      <c r="AS1039" s="1">
        <v>0</v>
      </c>
      <c r="AT1039" s="1">
        <v>0</v>
      </c>
      <c r="AU1039" s="1">
        <v>0</v>
      </c>
      <c r="AV1039" s="1">
        <v>0</v>
      </c>
      <c r="AW1039" s="1">
        <v>0</v>
      </c>
      <c r="AX1039" s="1">
        <v>0</v>
      </c>
      <c r="AY1039" s="1">
        <v>0</v>
      </c>
      <c r="AZ1039" s="1">
        <v>0</v>
      </c>
      <c r="BA1039" s="1">
        <v>0</v>
      </c>
      <c r="BB1039" s="1">
        <v>0</v>
      </c>
      <c r="BC1039" s="1">
        <v>1</v>
      </c>
      <c r="BD1039" s="1">
        <v>0</v>
      </c>
      <c r="BE1039" s="1">
        <v>0</v>
      </c>
      <c r="BF1039" s="1">
        <v>0</v>
      </c>
      <c r="BG1039" s="1">
        <v>0</v>
      </c>
      <c r="BH1039" s="1">
        <v>0</v>
      </c>
      <c r="BI1039" s="1">
        <v>0</v>
      </c>
      <c r="BJ1039" s="1">
        <v>0</v>
      </c>
      <c r="BK1039" s="1">
        <v>0</v>
      </c>
      <c r="BL1039" s="1">
        <v>1</v>
      </c>
      <c r="BM1039" s="1">
        <v>0</v>
      </c>
      <c r="BN1039" s="1">
        <v>0</v>
      </c>
      <c r="BO1039" s="1">
        <v>0</v>
      </c>
      <c r="BP1039" s="1">
        <v>0</v>
      </c>
      <c r="BQ1039" s="2" t="str">
        <f>HYPERLINK("http://www.d20pfsrd.com/magic/all-spells/i/interrogation","Interrogation")</f>
        <v>Interrogation</v>
      </c>
      <c r="BR1039" s="1">
        <v>1081</v>
      </c>
      <c r="BS1039" s="1" t="s">
        <v>104</v>
      </c>
      <c r="BX1039" s="1">
        <v>0</v>
      </c>
      <c r="BY1039" s="1" t="s">
        <v>104</v>
      </c>
      <c r="BZ1039" s="1" t="s">
        <v>104</v>
      </c>
      <c r="CA1039" s="1">
        <v>1</v>
      </c>
      <c r="CB1039" s="1" t="s">
        <v>104</v>
      </c>
      <c r="CC1039" s="1">
        <v>1</v>
      </c>
      <c r="CD1039" s="1" t="s">
        <v>104</v>
      </c>
      <c r="CE1039" s="1" t="s">
        <v>104</v>
      </c>
      <c r="CF1039" s="1" t="s">
        <v>104</v>
      </c>
      <c r="CG1039" s="1" t="s">
        <v>104</v>
      </c>
      <c r="CH1039" s="1" t="s">
        <v>104</v>
      </c>
      <c r="CJ1039" s="1">
        <v>0</v>
      </c>
      <c r="CK1039" s="1">
        <v>0</v>
      </c>
      <c r="CL1039" s="1">
        <v>0</v>
      </c>
      <c r="CM1039" s="1" t="s">
        <v>104</v>
      </c>
    </row>
    <row r="1040" spans="1:91" ht="14.25" customHeight="1" x14ac:dyDescent="0.3">
      <c r="A1040" s="1" t="s">
        <v>6377</v>
      </c>
      <c r="B1040" s="1" t="s">
        <v>216</v>
      </c>
      <c r="D1040" s="1" t="s">
        <v>3767</v>
      </c>
      <c r="E1040" s="1" t="s">
        <v>6378</v>
      </c>
      <c r="F1040" s="1" t="s">
        <v>255</v>
      </c>
      <c r="G1040" s="1" t="s">
        <v>116</v>
      </c>
      <c r="H1040" s="1">
        <v>0</v>
      </c>
      <c r="I1040" s="1" t="s">
        <v>128</v>
      </c>
      <c r="L1040" s="1" t="s">
        <v>129</v>
      </c>
      <c r="M1040" s="1" t="s">
        <v>2330</v>
      </c>
      <c r="N1040" s="1">
        <v>0</v>
      </c>
      <c r="O1040" s="1">
        <v>0</v>
      </c>
      <c r="P1040" s="1" t="s">
        <v>183</v>
      </c>
      <c r="Q1040" s="1" t="s">
        <v>184</v>
      </c>
      <c r="R1040" s="1" t="s">
        <v>6379</v>
      </c>
      <c r="S1040" s="1" t="s">
        <v>4201</v>
      </c>
      <c r="T1040" s="1">
        <v>1</v>
      </c>
      <c r="U1040" s="1">
        <v>1</v>
      </c>
      <c r="V1040" s="1">
        <v>0</v>
      </c>
      <c r="W1040" s="1">
        <v>0</v>
      </c>
      <c r="X1040" s="1">
        <v>0</v>
      </c>
      <c r="Y1040" s="1" t="s">
        <v>104</v>
      </c>
      <c r="Z1040" s="1" t="s">
        <v>104</v>
      </c>
      <c r="AA1040" s="1" t="s">
        <v>104</v>
      </c>
      <c r="AB1040" s="1" t="s">
        <v>104</v>
      </c>
      <c r="AC1040" s="1" t="s">
        <v>104</v>
      </c>
      <c r="AD1040" s="1" t="s">
        <v>104</v>
      </c>
      <c r="AE1040" s="1" t="s">
        <v>104</v>
      </c>
      <c r="AF1040" s="1" t="s">
        <v>104</v>
      </c>
      <c r="AG1040" s="1" t="s">
        <v>104</v>
      </c>
      <c r="AH1040" s="1" t="s">
        <v>104</v>
      </c>
      <c r="AI1040" s="1">
        <v>4</v>
      </c>
      <c r="AJ1040" s="1" t="s">
        <v>104</v>
      </c>
      <c r="AK1040" s="1" t="s">
        <v>104</v>
      </c>
      <c r="AL1040" s="1" t="s">
        <v>104</v>
      </c>
      <c r="AM1040" s="1" t="s">
        <v>104</v>
      </c>
      <c r="AO1040" s="1">
        <v>4</v>
      </c>
      <c r="AQ1040" s="1" t="s">
        <v>6380</v>
      </c>
      <c r="AR1040" s="1">
        <v>0</v>
      </c>
      <c r="AS1040" s="1">
        <v>0</v>
      </c>
      <c r="AT1040" s="1">
        <v>0</v>
      </c>
      <c r="AU1040" s="1">
        <v>0</v>
      </c>
      <c r="AV1040" s="1">
        <v>0</v>
      </c>
      <c r="AW1040" s="1">
        <v>0</v>
      </c>
      <c r="AX1040" s="1">
        <v>0</v>
      </c>
      <c r="AY1040" s="1">
        <v>0</v>
      </c>
      <c r="AZ1040" s="1">
        <v>0</v>
      </c>
      <c r="BA1040" s="1">
        <v>0</v>
      </c>
      <c r="BB1040" s="1">
        <v>0</v>
      </c>
      <c r="BC1040" s="1">
        <v>1</v>
      </c>
      <c r="BD1040" s="1">
        <v>0</v>
      </c>
      <c r="BE1040" s="1">
        <v>0</v>
      </c>
      <c r="BF1040" s="1">
        <v>0</v>
      </c>
      <c r="BG1040" s="1">
        <v>0</v>
      </c>
      <c r="BH1040" s="1">
        <v>0</v>
      </c>
      <c r="BI1040" s="1">
        <v>0</v>
      </c>
      <c r="BJ1040" s="1">
        <v>0</v>
      </c>
      <c r="BK1040" s="1">
        <v>0</v>
      </c>
      <c r="BL1040" s="1">
        <v>1</v>
      </c>
      <c r="BM1040" s="1">
        <v>0</v>
      </c>
      <c r="BN1040" s="1">
        <v>0</v>
      </c>
      <c r="BO1040" s="1">
        <v>0</v>
      </c>
      <c r="BP1040" s="1">
        <v>0</v>
      </c>
      <c r="BQ1040" s="2" t="str">
        <f>HYPERLINK("http://www.d20pfsrd.com/magic/all-spells/i/interrogation","Interrogation, Greater")</f>
        <v>Interrogation, Greater</v>
      </c>
      <c r="BR1040" s="1">
        <v>1082</v>
      </c>
      <c r="BS1040" s="1" t="s">
        <v>104</v>
      </c>
      <c r="BX1040" s="1">
        <v>0</v>
      </c>
      <c r="BY1040" s="1" t="s">
        <v>104</v>
      </c>
      <c r="BZ1040" s="1" t="s">
        <v>104</v>
      </c>
      <c r="CA1040" s="1">
        <v>4</v>
      </c>
      <c r="CB1040" s="1" t="s">
        <v>104</v>
      </c>
      <c r="CC1040" s="1" t="s">
        <v>104</v>
      </c>
      <c r="CD1040" s="1" t="s">
        <v>104</v>
      </c>
      <c r="CE1040" s="1" t="s">
        <v>104</v>
      </c>
      <c r="CF1040" s="1" t="s">
        <v>104</v>
      </c>
      <c r="CG1040" s="1" t="s">
        <v>104</v>
      </c>
      <c r="CH1040" s="1" t="s">
        <v>104</v>
      </c>
      <c r="CJ1040" s="1">
        <v>0</v>
      </c>
      <c r="CK1040" s="1">
        <v>0</v>
      </c>
      <c r="CL1040" s="1">
        <v>0</v>
      </c>
      <c r="CM1040" s="1" t="s">
        <v>104</v>
      </c>
    </row>
    <row r="1041" spans="1:91" ht="14.25" customHeight="1" x14ac:dyDescent="0.3">
      <c r="A1041" s="1" t="s">
        <v>6381</v>
      </c>
      <c r="B1041" s="1" t="s">
        <v>92</v>
      </c>
      <c r="C1041" s="1" t="s">
        <v>523</v>
      </c>
      <c r="D1041" s="1" t="s">
        <v>53</v>
      </c>
      <c r="E1041" s="1" t="s">
        <v>6382</v>
      </c>
      <c r="F1041" s="1" t="s">
        <v>95</v>
      </c>
      <c r="G1041" s="1" t="s">
        <v>116</v>
      </c>
      <c r="H1041" s="1">
        <v>0</v>
      </c>
      <c r="I1041" s="1" t="s">
        <v>776</v>
      </c>
      <c r="J1041" s="1" t="s">
        <v>6383</v>
      </c>
      <c r="M1041" s="1" t="s">
        <v>119</v>
      </c>
      <c r="N1041" s="1">
        <v>0</v>
      </c>
      <c r="O1041" s="1">
        <v>0</v>
      </c>
      <c r="P1041" s="1" t="s">
        <v>101</v>
      </c>
      <c r="Q1041" s="1" t="s">
        <v>184</v>
      </c>
      <c r="R1041" s="1" t="s">
        <v>6384</v>
      </c>
      <c r="S1041" s="1" t="s">
        <v>4201</v>
      </c>
      <c r="T1041" s="1">
        <v>1</v>
      </c>
      <c r="U1041" s="1">
        <v>1</v>
      </c>
      <c r="V1041" s="1">
        <v>0</v>
      </c>
      <c r="W1041" s="1">
        <v>0</v>
      </c>
      <c r="X1041" s="1">
        <v>0</v>
      </c>
      <c r="Y1041" s="1">
        <v>7</v>
      </c>
      <c r="Z1041" s="1">
        <v>7</v>
      </c>
      <c r="AA1041" s="1">
        <v>6</v>
      </c>
      <c r="AB1041" s="1" t="s">
        <v>104</v>
      </c>
      <c r="AC1041" s="1" t="s">
        <v>104</v>
      </c>
      <c r="AD1041" s="1">
        <v>5</v>
      </c>
      <c r="AE1041" s="1" t="s">
        <v>104</v>
      </c>
      <c r="AF1041" s="1" t="s">
        <v>104</v>
      </c>
      <c r="AG1041" s="1" t="s">
        <v>104</v>
      </c>
      <c r="AH1041" s="1" t="s">
        <v>104</v>
      </c>
      <c r="AI1041" s="1" t="s">
        <v>104</v>
      </c>
      <c r="AJ1041" s="1">
        <v>6</v>
      </c>
      <c r="AK1041" s="1" t="s">
        <v>104</v>
      </c>
      <c r="AL1041" s="1" t="s">
        <v>104</v>
      </c>
      <c r="AM1041" s="1" t="s">
        <v>104</v>
      </c>
      <c r="AO1041" s="1">
        <v>7</v>
      </c>
      <c r="AQ1041" s="1" t="s">
        <v>6385</v>
      </c>
      <c r="AR1041" s="1">
        <v>0</v>
      </c>
      <c r="AS1041" s="1">
        <v>0</v>
      </c>
      <c r="AT1041" s="1">
        <v>0</v>
      </c>
      <c r="AU1041" s="1">
        <v>0</v>
      </c>
      <c r="AV1041" s="1">
        <v>0</v>
      </c>
      <c r="AW1041" s="1">
        <v>0</v>
      </c>
      <c r="AX1041" s="1">
        <v>0</v>
      </c>
      <c r="AY1041" s="1">
        <v>0</v>
      </c>
      <c r="AZ1041" s="1">
        <v>0</v>
      </c>
      <c r="BA1041" s="1">
        <v>0</v>
      </c>
      <c r="BB1041" s="1">
        <v>1</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2" t="str">
        <f>HYPERLINK("http://www.d20pfsrd.com/magic/all-spells/j/joyful-rapture","Joyful Rapture")</f>
        <v>Joyful Rapture</v>
      </c>
      <c r="BR1041" s="1">
        <v>1083</v>
      </c>
      <c r="BS1041" s="1" t="s">
        <v>104</v>
      </c>
      <c r="BT1041" s="1" t="s">
        <v>6386</v>
      </c>
      <c r="BX1041" s="1">
        <v>0</v>
      </c>
      <c r="BY1041" s="1" t="s">
        <v>104</v>
      </c>
      <c r="BZ1041" s="1" t="s">
        <v>104</v>
      </c>
      <c r="CA1041" s="1">
        <v>6</v>
      </c>
      <c r="CB1041" s="1" t="s">
        <v>104</v>
      </c>
      <c r="CC1041" s="1">
        <v>5</v>
      </c>
      <c r="CD1041" s="1" t="s">
        <v>104</v>
      </c>
      <c r="CE1041" s="1" t="s">
        <v>104</v>
      </c>
      <c r="CF1041" s="1" t="s">
        <v>104</v>
      </c>
      <c r="CG1041" s="1" t="s">
        <v>104</v>
      </c>
      <c r="CH1041" s="1" t="s">
        <v>104</v>
      </c>
      <c r="CJ1041" s="1">
        <v>0</v>
      </c>
      <c r="CK1041" s="1">
        <v>0</v>
      </c>
      <c r="CL1041" s="1">
        <v>0</v>
      </c>
      <c r="CM1041" s="1" t="s">
        <v>104</v>
      </c>
    </row>
    <row r="1042" spans="1:91" ht="14.25" customHeight="1" x14ac:dyDescent="0.3">
      <c r="A1042" s="1" t="s">
        <v>6387</v>
      </c>
      <c r="B1042" s="1" t="s">
        <v>92</v>
      </c>
      <c r="E1042" s="1" t="s">
        <v>6388</v>
      </c>
      <c r="F1042" s="1" t="s">
        <v>95</v>
      </c>
      <c r="G1042" s="1" t="s">
        <v>1802</v>
      </c>
      <c r="H1042" s="1">
        <v>0</v>
      </c>
      <c r="I1042" s="1" t="s">
        <v>128</v>
      </c>
      <c r="L1042" s="1" t="s">
        <v>6389</v>
      </c>
      <c r="M1042" s="1" t="s">
        <v>119</v>
      </c>
      <c r="N1042" s="1">
        <v>0</v>
      </c>
      <c r="O1042" s="1">
        <v>0</v>
      </c>
      <c r="P1042" s="1" t="s">
        <v>6390</v>
      </c>
      <c r="Q1042" s="1" t="s">
        <v>472</v>
      </c>
      <c r="R1042" s="1" t="s">
        <v>6391</v>
      </c>
      <c r="S1042" s="1" t="s">
        <v>4201</v>
      </c>
      <c r="T1042" s="1">
        <v>0</v>
      </c>
      <c r="U1042" s="1">
        <v>1</v>
      </c>
      <c r="V1042" s="1">
        <v>0</v>
      </c>
      <c r="W1042" s="1">
        <v>0</v>
      </c>
      <c r="X1042" s="1">
        <v>0</v>
      </c>
      <c r="Y1042" s="1">
        <v>1</v>
      </c>
      <c r="Z1042" s="1">
        <v>1</v>
      </c>
      <c r="AA1042" s="1" t="s">
        <v>104</v>
      </c>
      <c r="AB1042" s="1" t="s">
        <v>104</v>
      </c>
      <c r="AC1042" s="1" t="s">
        <v>104</v>
      </c>
      <c r="AD1042" s="1">
        <v>1</v>
      </c>
      <c r="AE1042" s="1" t="s">
        <v>104</v>
      </c>
      <c r="AF1042" s="1" t="s">
        <v>104</v>
      </c>
      <c r="AG1042" s="1" t="s">
        <v>104</v>
      </c>
      <c r="AH1042" s="1">
        <v>1</v>
      </c>
      <c r="AI1042" s="1" t="s">
        <v>104</v>
      </c>
      <c r="AJ1042" s="1" t="s">
        <v>104</v>
      </c>
      <c r="AK1042" s="1" t="s">
        <v>104</v>
      </c>
      <c r="AL1042" s="1" t="s">
        <v>104</v>
      </c>
      <c r="AM1042" s="1" t="s">
        <v>104</v>
      </c>
      <c r="AO1042" s="1">
        <v>1</v>
      </c>
      <c r="AQ1042" s="1" t="s">
        <v>6392</v>
      </c>
      <c r="AR1042" s="1">
        <v>0</v>
      </c>
      <c r="AS1042" s="1">
        <v>0</v>
      </c>
      <c r="AT1042" s="1">
        <v>0</v>
      </c>
      <c r="AU1042" s="1">
        <v>0</v>
      </c>
      <c r="AV1042" s="1">
        <v>0</v>
      </c>
      <c r="AW1042" s="1">
        <v>0</v>
      </c>
      <c r="AX1042" s="1">
        <v>0</v>
      </c>
      <c r="AY1042" s="1">
        <v>0</v>
      </c>
      <c r="AZ1042" s="1">
        <v>0</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2" t="str">
        <f>HYPERLINK("http://www.d20pfsrd.com/magic/all-spells/k/ki-arrow","Ki Arrow")</f>
        <v>Ki Arrow</v>
      </c>
      <c r="BR1042" s="1">
        <v>1084</v>
      </c>
      <c r="BS1042" s="1" t="s">
        <v>104</v>
      </c>
      <c r="BX1042" s="1">
        <v>0</v>
      </c>
      <c r="BY1042" s="1" t="s">
        <v>104</v>
      </c>
      <c r="BZ1042" s="1" t="s">
        <v>104</v>
      </c>
      <c r="CA1042" s="1">
        <v>1</v>
      </c>
      <c r="CB1042" s="1" t="s">
        <v>104</v>
      </c>
      <c r="CC1042" s="1" t="s">
        <v>104</v>
      </c>
      <c r="CD1042" s="1" t="s">
        <v>104</v>
      </c>
      <c r="CE1042" s="1" t="s">
        <v>104</v>
      </c>
      <c r="CF1042" s="1" t="s">
        <v>104</v>
      </c>
      <c r="CG1042" s="1" t="s">
        <v>104</v>
      </c>
      <c r="CH1042" s="1" t="s">
        <v>104</v>
      </c>
      <c r="CJ1042" s="1">
        <v>0</v>
      </c>
      <c r="CK1042" s="1">
        <v>0</v>
      </c>
      <c r="CL1042" s="1">
        <v>0</v>
      </c>
      <c r="CM1042" s="1" t="s">
        <v>104</v>
      </c>
    </row>
    <row r="1043" spans="1:91" ht="14.25" customHeight="1" x14ac:dyDescent="0.3">
      <c r="A1043" s="1" t="s">
        <v>6393</v>
      </c>
      <c r="B1043" s="1" t="s">
        <v>216</v>
      </c>
      <c r="D1043" s="1" t="s">
        <v>54</v>
      </c>
      <c r="E1043" s="1" t="s">
        <v>6394</v>
      </c>
      <c r="F1043" s="1" t="s">
        <v>95</v>
      </c>
      <c r="G1043" s="1" t="s">
        <v>116</v>
      </c>
      <c r="H1043" s="1">
        <v>0</v>
      </c>
      <c r="I1043" s="1" t="s">
        <v>157</v>
      </c>
      <c r="L1043" s="1" t="s">
        <v>158</v>
      </c>
      <c r="M1043" s="1" t="s">
        <v>4641</v>
      </c>
      <c r="N1043" s="1">
        <v>1</v>
      </c>
      <c r="O1043" s="1">
        <v>0</v>
      </c>
      <c r="R1043" s="1" t="s">
        <v>6395</v>
      </c>
      <c r="S1043" s="1" t="s">
        <v>4201</v>
      </c>
      <c r="T1043" s="1">
        <v>1</v>
      </c>
      <c r="U1043" s="1">
        <v>1</v>
      </c>
      <c r="V1043" s="1">
        <v>0</v>
      </c>
      <c r="W1043" s="1">
        <v>0</v>
      </c>
      <c r="X1043" s="1">
        <v>0</v>
      </c>
      <c r="Y1043" s="1">
        <v>3</v>
      </c>
      <c r="Z1043" s="1">
        <v>3</v>
      </c>
      <c r="AA1043" s="1">
        <v>3</v>
      </c>
      <c r="AB1043" s="1" t="s">
        <v>104</v>
      </c>
      <c r="AC1043" s="1" t="s">
        <v>104</v>
      </c>
      <c r="AD1043" s="1" t="s">
        <v>104</v>
      </c>
      <c r="AE1043" s="1" t="s">
        <v>104</v>
      </c>
      <c r="AF1043" s="1" t="s">
        <v>104</v>
      </c>
      <c r="AG1043" s="1" t="s">
        <v>104</v>
      </c>
      <c r="AH1043" s="1">
        <v>3</v>
      </c>
      <c r="AI1043" s="1" t="s">
        <v>104</v>
      </c>
      <c r="AJ1043" s="1">
        <v>3</v>
      </c>
      <c r="AK1043" s="1" t="s">
        <v>104</v>
      </c>
      <c r="AL1043" s="1" t="s">
        <v>104</v>
      </c>
      <c r="AM1043" s="1" t="s">
        <v>104</v>
      </c>
      <c r="AO1043" s="1">
        <v>3</v>
      </c>
      <c r="AQ1043" s="1" t="s">
        <v>6396</v>
      </c>
      <c r="AR1043" s="1">
        <v>0</v>
      </c>
      <c r="AS1043" s="1">
        <v>0</v>
      </c>
      <c r="AT1043" s="1">
        <v>0</v>
      </c>
      <c r="AU1043" s="1">
        <v>0</v>
      </c>
      <c r="AV1043" s="1">
        <v>0</v>
      </c>
      <c r="AW1043" s="1">
        <v>0</v>
      </c>
      <c r="AX1043" s="1">
        <v>0</v>
      </c>
      <c r="AY1043" s="1">
        <v>0</v>
      </c>
      <c r="AZ1043" s="1">
        <v>0</v>
      </c>
      <c r="BA1043" s="1">
        <v>0</v>
      </c>
      <c r="BB1043" s="1">
        <v>0</v>
      </c>
      <c r="BC1043" s="1">
        <v>1</v>
      </c>
      <c r="BD1043" s="1">
        <v>0</v>
      </c>
      <c r="BE1043" s="1">
        <v>0</v>
      </c>
      <c r="BF1043" s="1">
        <v>0</v>
      </c>
      <c r="BG1043" s="1">
        <v>0</v>
      </c>
      <c r="BH1043" s="1">
        <v>0</v>
      </c>
      <c r="BI1043" s="1">
        <v>0</v>
      </c>
      <c r="BJ1043" s="1">
        <v>0</v>
      </c>
      <c r="BK1043" s="1">
        <v>0</v>
      </c>
      <c r="BL1043" s="1">
        <v>0</v>
      </c>
      <c r="BM1043" s="1">
        <v>0</v>
      </c>
      <c r="BN1043" s="1">
        <v>0</v>
      </c>
      <c r="BO1043" s="1">
        <v>0</v>
      </c>
      <c r="BP1043" s="1">
        <v>0</v>
      </c>
      <c r="BQ1043" s="2" t="str">
        <f>HYPERLINK("http://www.d20pfsrd.com/magic/all-spells/k/ki-leech","Ki Leech")</f>
        <v>Ki Leech</v>
      </c>
      <c r="BR1043" s="1">
        <v>1085</v>
      </c>
      <c r="BS1043" s="1" t="s">
        <v>104</v>
      </c>
      <c r="BX1043" s="1">
        <v>0</v>
      </c>
      <c r="BY1043" s="1" t="s">
        <v>104</v>
      </c>
      <c r="BZ1043" s="1" t="s">
        <v>104</v>
      </c>
      <c r="CA1043" s="1">
        <v>3</v>
      </c>
      <c r="CB1043" s="1" t="s">
        <v>104</v>
      </c>
      <c r="CC1043" s="1" t="s">
        <v>104</v>
      </c>
      <c r="CD1043" s="1" t="s">
        <v>104</v>
      </c>
      <c r="CE1043" s="1" t="s">
        <v>104</v>
      </c>
      <c r="CF1043" s="1" t="s">
        <v>104</v>
      </c>
      <c r="CG1043" s="1" t="s">
        <v>104</v>
      </c>
      <c r="CH1043" s="1" t="s">
        <v>104</v>
      </c>
      <c r="CJ1043" s="1">
        <v>0</v>
      </c>
      <c r="CK1043" s="1">
        <v>0</v>
      </c>
      <c r="CL1043" s="1">
        <v>0</v>
      </c>
      <c r="CM1043" s="1" t="s">
        <v>104</v>
      </c>
    </row>
    <row r="1044" spans="1:91" ht="14.25" customHeight="1" x14ac:dyDescent="0.3">
      <c r="A1044" s="1" t="s">
        <v>6397</v>
      </c>
      <c r="B1044" s="1" t="s">
        <v>434</v>
      </c>
      <c r="D1044" s="1" t="s">
        <v>66</v>
      </c>
      <c r="E1044" s="1" t="s">
        <v>6398</v>
      </c>
      <c r="F1044" s="1" t="s">
        <v>95</v>
      </c>
      <c r="G1044" s="1" t="s">
        <v>116</v>
      </c>
      <c r="H1044" s="1">
        <v>0</v>
      </c>
      <c r="I1044" s="1" t="s">
        <v>6399</v>
      </c>
      <c r="L1044" s="1" t="s">
        <v>417</v>
      </c>
      <c r="M1044" s="1" t="s">
        <v>119</v>
      </c>
      <c r="N1044" s="1">
        <v>0</v>
      </c>
      <c r="O1044" s="1">
        <v>0</v>
      </c>
      <c r="P1044" s="1" t="s">
        <v>6205</v>
      </c>
      <c r="Q1044" s="1" t="s">
        <v>184</v>
      </c>
      <c r="R1044" s="1" t="s">
        <v>6400</v>
      </c>
      <c r="S1044" s="1" t="s">
        <v>4201</v>
      </c>
      <c r="T1044" s="1">
        <v>1</v>
      </c>
      <c r="U1044" s="1">
        <v>1</v>
      </c>
      <c r="V1044" s="1">
        <v>0</v>
      </c>
      <c r="W1044" s="1">
        <v>0</v>
      </c>
      <c r="X1044" s="1">
        <v>0</v>
      </c>
      <c r="Y1044" s="1">
        <v>7</v>
      </c>
      <c r="Z1044" s="1">
        <v>7</v>
      </c>
      <c r="AA1044" s="1" t="s">
        <v>104</v>
      </c>
      <c r="AB1044" s="1" t="s">
        <v>104</v>
      </c>
      <c r="AC1044" s="1" t="s">
        <v>104</v>
      </c>
      <c r="AD1044" s="1">
        <v>5</v>
      </c>
      <c r="AE1044" s="1" t="s">
        <v>104</v>
      </c>
      <c r="AF1044" s="1" t="s">
        <v>104</v>
      </c>
      <c r="AG1044" s="1" t="s">
        <v>104</v>
      </c>
      <c r="AH1044" s="1" t="s">
        <v>104</v>
      </c>
      <c r="AI1044" s="1" t="s">
        <v>104</v>
      </c>
      <c r="AJ1044" s="1" t="s">
        <v>104</v>
      </c>
      <c r="AK1044" s="1" t="s">
        <v>104</v>
      </c>
      <c r="AL1044" s="1" t="s">
        <v>104</v>
      </c>
      <c r="AM1044" s="1" t="s">
        <v>104</v>
      </c>
      <c r="AO1044" s="1">
        <v>7</v>
      </c>
      <c r="AQ1044" s="1" t="s">
        <v>6401</v>
      </c>
      <c r="AR1044" s="1">
        <v>0</v>
      </c>
      <c r="AS1044" s="1">
        <v>0</v>
      </c>
      <c r="AT1044" s="1">
        <v>0</v>
      </c>
      <c r="AU1044" s="1">
        <v>0</v>
      </c>
      <c r="AV1044" s="1">
        <v>0</v>
      </c>
      <c r="AW1044" s="1">
        <v>0</v>
      </c>
      <c r="AX1044" s="1">
        <v>0</v>
      </c>
      <c r="AY1044" s="1">
        <v>0</v>
      </c>
      <c r="AZ1044" s="1">
        <v>0</v>
      </c>
      <c r="BA1044" s="1">
        <v>0</v>
      </c>
      <c r="BB1044" s="1">
        <v>0</v>
      </c>
      <c r="BC1044" s="1">
        <v>0</v>
      </c>
      <c r="BD1044" s="1">
        <v>0</v>
      </c>
      <c r="BE1044" s="1">
        <v>0</v>
      </c>
      <c r="BF1044" s="1">
        <v>0</v>
      </c>
      <c r="BG1044" s="1">
        <v>0</v>
      </c>
      <c r="BH1044" s="1">
        <v>0</v>
      </c>
      <c r="BI1044" s="1">
        <v>0</v>
      </c>
      <c r="BJ1044" s="1">
        <v>0</v>
      </c>
      <c r="BK1044" s="1">
        <v>0</v>
      </c>
      <c r="BL1044" s="1">
        <v>0</v>
      </c>
      <c r="BM1044" s="1">
        <v>0</v>
      </c>
      <c r="BN1044" s="1">
        <v>0</v>
      </c>
      <c r="BO1044" s="1">
        <v>1</v>
      </c>
      <c r="BP1044" s="1">
        <v>0</v>
      </c>
      <c r="BQ1044" s="2" t="str">
        <f>HYPERLINK("http://www.d20pfsrd.com/magic/all-spells/k/ki-shout","Ki Shout")</f>
        <v>Ki Shout</v>
      </c>
      <c r="BR1044" s="1">
        <v>1086</v>
      </c>
      <c r="BS1044" s="1" t="s">
        <v>104</v>
      </c>
      <c r="BX1044" s="1">
        <v>0</v>
      </c>
      <c r="BY1044" s="1" t="s">
        <v>104</v>
      </c>
      <c r="BZ1044" s="1" t="s">
        <v>104</v>
      </c>
      <c r="CA1044" s="1">
        <v>7</v>
      </c>
      <c r="CB1044" s="1" t="s">
        <v>104</v>
      </c>
      <c r="CC1044" s="1" t="s">
        <v>104</v>
      </c>
      <c r="CD1044" s="1" t="s">
        <v>104</v>
      </c>
      <c r="CE1044" s="1" t="s">
        <v>104</v>
      </c>
      <c r="CF1044" s="1" t="s">
        <v>104</v>
      </c>
      <c r="CG1044" s="1" t="s">
        <v>104</v>
      </c>
      <c r="CH1044" s="1" t="s">
        <v>104</v>
      </c>
      <c r="CJ1044" s="1">
        <v>0</v>
      </c>
      <c r="CK1044" s="1">
        <v>0</v>
      </c>
      <c r="CL1044" s="1">
        <v>0</v>
      </c>
      <c r="CM1044" s="1" t="s">
        <v>104</v>
      </c>
    </row>
    <row r="1045" spans="1:91" ht="14.25" customHeight="1" x14ac:dyDescent="0.3">
      <c r="A1045" s="1" t="s">
        <v>6402</v>
      </c>
      <c r="B1045" s="1" t="s">
        <v>172</v>
      </c>
      <c r="E1045" s="1" t="s">
        <v>6403</v>
      </c>
      <c r="F1045" s="1" t="s">
        <v>191</v>
      </c>
      <c r="G1045" s="1" t="s">
        <v>6404</v>
      </c>
      <c r="H1045" s="1">
        <v>0</v>
      </c>
      <c r="I1045" s="1" t="s">
        <v>157</v>
      </c>
      <c r="L1045" s="1" t="s">
        <v>158</v>
      </c>
      <c r="M1045" s="1" t="s">
        <v>119</v>
      </c>
      <c r="N1045" s="1">
        <v>0</v>
      </c>
      <c r="O1045" s="1">
        <v>0</v>
      </c>
      <c r="P1045" s="1" t="s">
        <v>100</v>
      </c>
      <c r="Q1045" s="1" t="s">
        <v>101</v>
      </c>
      <c r="R1045" s="1" t="s">
        <v>6405</v>
      </c>
      <c r="S1045" s="1" t="s">
        <v>4201</v>
      </c>
      <c r="T1045" s="1">
        <v>1</v>
      </c>
      <c r="U1045" s="1">
        <v>1</v>
      </c>
      <c r="V1045" s="1">
        <v>0</v>
      </c>
      <c r="W1045" s="1">
        <v>0</v>
      </c>
      <c r="X1045" s="1">
        <v>1</v>
      </c>
      <c r="Y1045" s="1" t="s">
        <v>104</v>
      </c>
      <c r="Z1045" s="1" t="s">
        <v>104</v>
      </c>
      <c r="AA1045" s="1">
        <v>1</v>
      </c>
      <c r="AB1045" s="1" t="s">
        <v>104</v>
      </c>
      <c r="AC1045" s="1">
        <v>1</v>
      </c>
      <c r="AD1045" s="1" t="s">
        <v>104</v>
      </c>
      <c r="AE1045" s="1">
        <v>1</v>
      </c>
      <c r="AF1045" s="1" t="s">
        <v>104</v>
      </c>
      <c r="AG1045" s="1" t="s">
        <v>104</v>
      </c>
      <c r="AH1045" s="1" t="s">
        <v>104</v>
      </c>
      <c r="AI1045" s="1">
        <v>1</v>
      </c>
      <c r="AJ1045" s="1">
        <v>1</v>
      </c>
      <c r="AK1045" s="1" t="s">
        <v>104</v>
      </c>
      <c r="AL1045" s="1" t="s">
        <v>104</v>
      </c>
      <c r="AM1045" s="1" t="s">
        <v>104</v>
      </c>
      <c r="AO1045" s="1">
        <v>1</v>
      </c>
      <c r="AP1045" s="1" t="s">
        <v>6406</v>
      </c>
      <c r="AQ1045" s="1" t="s">
        <v>6407</v>
      </c>
      <c r="AR1045" s="1">
        <v>0</v>
      </c>
      <c r="AS1045" s="1">
        <v>0</v>
      </c>
      <c r="AT1045" s="1">
        <v>0</v>
      </c>
      <c r="AU1045" s="1">
        <v>0</v>
      </c>
      <c r="AV1045" s="1">
        <v>0</v>
      </c>
      <c r="AW1045" s="1">
        <v>0</v>
      </c>
      <c r="AX1045" s="1">
        <v>0</v>
      </c>
      <c r="AY1045" s="1">
        <v>0</v>
      </c>
      <c r="AZ1045" s="1">
        <v>0</v>
      </c>
      <c r="BA1045" s="1">
        <v>0</v>
      </c>
      <c r="BB1045" s="1">
        <v>0</v>
      </c>
      <c r="BC1045" s="1">
        <v>0</v>
      </c>
      <c r="BD1045" s="1">
        <v>0</v>
      </c>
      <c r="BE1045" s="1">
        <v>0</v>
      </c>
      <c r="BF1045" s="1">
        <v>0</v>
      </c>
      <c r="BG1045" s="1">
        <v>0</v>
      </c>
      <c r="BH1045" s="1">
        <v>0</v>
      </c>
      <c r="BI1045" s="1">
        <v>0</v>
      </c>
      <c r="BJ1045" s="1">
        <v>0</v>
      </c>
      <c r="BK1045" s="1">
        <v>0</v>
      </c>
      <c r="BL1045" s="1">
        <v>0</v>
      </c>
      <c r="BM1045" s="1">
        <v>0</v>
      </c>
      <c r="BN1045" s="1">
        <v>0</v>
      </c>
      <c r="BO1045" s="1">
        <v>0</v>
      </c>
      <c r="BP1045" s="1">
        <v>0</v>
      </c>
      <c r="BQ1045" s="2" t="str">
        <f>HYPERLINK("http://www.d20pfsrd.com/magic/all-spells/k/know-the-enemy","Know the Enemy")</f>
        <v>Know the Enemy</v>
      </c>
      <c r="BR1045" s="1">
        <v>1087</v>
      </c>
      <c r="BS1045" s="1" t="s">
        <v>104</v>
      </c>
      <c r="BV1045" s="1" t="s">
        <v>6408</v>
      </c>
      <c r="BX1045" s="1">
        <v>1</v>
      </c>
      <c r="BY1045" s="1" t="s">
        <v>104</v>
      </c>
      <c r="BZ1045" s="1" t="s">
        <v>104</v>
      </c>
      <c r="CA1045" s="1" t="s">
        <v>104</v>
      </c>
      <c r="CB1045" s="1" t="s">
        <v>104</v>
      </c>
      <c r="CC1045" s="1" t="s">
        <v>104</v>
      </c>
      <c r="CD1045" s="1" t="s">
        <v>104</v>
      </c>
      <c r="CE1045" s="1" t="s">
        <v>104</v>
      </c>
      <c r="CF1045" s="1" t="s">
        <v>104</v>
      </c>
      <c r="CG1045" s="1" t="s">
        <v>104</v>
      </c>
      <c r="CH1045" s="1">
        <v>1</v>
      </c>
      <c r="CJ1045" s="1">
        <v>0</v>
      </c>
      <c r="CK1045" s="1">
        <v>0</v>
      </c>
      <c r="CL1045" s="1">
        <v>0</v>
      </c>
      <c r="CM1045" s="1" t="s">
        <v>104</v>
      </c>
    </row>
    <row r="1046" spans="1:91" ht="14.25" customHeight="1" x14ac:dyDescent="0.3">
      <c r="A1046" s="1" t="s">
        <v>6409</v>
      </c>
      <c r="B1046" s="1" t="s">
        <v>434</v>
      </c>
      <c r="D1046" s="1" t="s">
        <v>57</v>
      </c>
      <c r="E1046" s="1" t="s">
        <v>6410</v>
      </c>
      <c r="F1046" s="1" t="s">
        <v>95</v>
      </c>
      <c r="G1046" s="1" t="s">
        <v>116</v>
      </c>
      <c r="H1046" s="1">
        <v>0</v>
      </c>
      <c r="I1046" s="1" t="s">
        <v>6411</v>
      </c>
      <c r="L1046" s="1" t="s">
        <v>1065</v>
      </c>
      <c r="M1046" s="1" t="s">
        <v>2330</v>
      </c>
      <c r="N1046" s="1">
        <v>0</v>
      </c>
      <c r="O1046" s="1">
        <v>0</v>
      </c>
      <c r="P1046" s="1" t="s">
        <v>1605</v>
      </c>
      <c r="Q1046" s="1" t="s">
        <v>184</v>
      </c>
      <c r="R1046" s="1" t="s">
        <v>6412</v>
      </c>
      <c r="S1046" s="1" t="s">
        <v>4201</v>
      </c>
      <c r="T1046" s="1">
        <v>1</v>
      </c>
      <c r="U1046" s="1">
        <v>1</v>
      </c>
      <c r="V1046" s="1">
        <v>0</v>
      </c>
      <c r="W1046" s="1">
        <v>0</v>
      </c>
      <c r="X1046" s="1">
        <v>0</v>
      </c>
      <c r="Y1046" s="1">
        <v>6</v>
      </c>
      <c r="Z1046" s="1">
        <v>6</v>
      </c>
      <c r="AA1046" s="1" t="s">
        <v>104</v>
      </c>
      <c r="AB1046" s="1" t="s">
        <v>104</v>
      </c>
      <c r="AC1046" s="1" t="s">
        <v>104</v>
      </c>
      <c r="AD1046" s="1" t="s">
        <v>104</v>
      </c>
      <c r="AE1046" s="1" t="s">
        <v>104</v>
      </c>
      <c r="AF1046" s="1" t="s">
        <v>104</v>
      </c>
      <c r="AG1046" s="1" t="s">
        <v>104</v>
      </c>
      <c r="AH1046" s="1" t="s">
        <v>104</v>
      </c>
      <c r="AI1046" s="1">
        <v>4</v>
      </c>
      <c r="AJ1046" s="1" t="s">
        <v>104</v>
      </c>
      <c r="AK1046" s="1" t="s">
        <v>104</v>
      </c>
      <c r="AL1046" s="1" t="s">
        <v>104</v>
      </c>
      <c r="AM1046" s="1" t="s">
        <v>104</v>
      </c>
      <c r="AO1046" s="1">
        <v>6</v>
      </c>
      <c r="AQ1046" s="1" t="s">
        <v>6413</v>
      </c>
      <c r="AR1046" s="1">
        <v>0</v>
      </c>
      <c r="AS1046" s="1">
        <v>0</v>
      </c>
      <c r="AT1046" s="1">
        <v>0</v>
      </c>
      <c r="AU1046" s="1">
        <v>0</v>
      </c>
      <c r="AV1046" s="1">
        <v>0</v>
      </c>
      <c r="AW1046" s="1">
        <v>0</v>
      </c>
      <c r="AX1046" s="1">
        <v>0</v>
      </c>
      <c r="AY1046" s="1">
        <v>0</v>
      </c>
      <c r="AZ1046" s="1">
        <v>0</v>
      </c>
      <c r="BA1046" s="1">
        <v>0</v>
      </c>
      <c r="BB1046" s="1">
        <v>0</v>
      </c>
      <c r="BC1046" s="1">
        <v>0</v>
      </c>
      <c r="BD1046" s="1">
        <v>0</v>
      </c>
      <c r="BE1046" s="1">
        <v>0</v>
      </c>
      <c r="BF1046" s="1">
        <v>1</v>
      </c>
      <c r="BG1046" s="1">
        <v>0</v>
      </c>
      <c r="BH1046" s="1">
        <v>0</v>
      </c>
      <c r="BI1046" s="1">
        <v>0</v>
      </c>
      <c r="BJ1046" s="1">
        <v>0</v>
      </c>
      <c r="BK1046" s="1">
        <v>0</v>
      </c>
      <c r="BL1046" s="1">
        <v>0</v>
      </c>
      <c r="BM1046" s="1">
        <v>0</v>
      </c>
      <c r="BN1046" s="1">
        <v>0</v>
      </c>
      <c r="BO1046" s="1">
        <v>0</v>
      </c>
      <c r="BP1046" s="1">
        <v>0</v>
      </c>
      <c r="BQ1046" s="2" t="str">
        <f>HYPERLINK("http://www.d20pfsrd.com/magic/all-spells/l/leashed-shackles","Leashed Shackles")</f>
        <v>Leashed Shackles</v>
      </c>
      <c r="BR1046" s="1">
        <v>1088</v>
      </c>
      <c r="BS1046" s="1" t="s">
        <v>104</v>
      </c>
      <c r="BX1046" s="1">
        <v>0</v>
      </c>
      <c r="BY1046" s="1" t="s">
        <v>104</v>
      </c>
      <c r="BZ1046" s="1" t="s">
        <v>104</v>
      </c>
      <c r="CA1046" s="1">
        <v>6</v>
      </c>
      <c r="CB1046" s="1" t="s">
        <v>104</v>
      </c>
      <c r="CC1046" s="1" t="s">
        <v>104</v>
      </c>
      <c r="CD1046" s="1" t="s">
        <v>104</v>
      </c>
      <c r="CE1046" s="1">
        <v>6</v>
      </c>
      <c r="CF1046" s="1" t="s">
        <v>104</v>
      </c>
      <c r="CG1046" s="1" t="s">
        <v>104</v>
      </c>
      <c r="CH1046" s="1" t="s">
        <v>104</v>
      </c>
      <c r="CJ1046" s="1">
        <v>0</v>
      </c>
      <c r="CK1046" s="1">
        <v>0</v>
      </c>
      <c r="CL1046" s="1">
        <v>0</v>
      </c>
      <c r="CM1046" s="1" t="s">
        <v>104</v>
      </c>
    </row>
    <row r="1047" spans="1:91" ht="14.25" customHeight="1" x14ac:dyDescent="0.3">
      <c r="A1047" s="1" t="s">
        <v>6414</v>
      </c>
      <c r="B1047" s="1" t="s">
        <v>172</v>
      </c>
      <c r="E1047" s="1" t="s">
        <v>4590</v>
      </c>
      <c r="F1047" s="1" t="s">
        <v>95</v>
      </c>
      <c r="G1047" s="1" t="s">
        <v>4639</v>
      </c>
      <c r="H1047" s="1">
        <v>0</v>
      </c>
      <c r="I1047" s="1" t="s">
        <v>128</v>
      </c>
      <c r="L1047" s="1" t="s">
        <v>6415</v>
      </c>
      <c r="M1047" s="1" t="s">
        <v>111</v>
      </c>
      <c r="N1047" s="1">
        <v>0</v>
      </c>
      <c r="O1047" s="1">
        <v>0</v>
      </c>
      <c r="P1047" s="1" t="s">
        <v>375</v>
      </c>
      <c r="Q1047" s="1" t="s">
        <v>131</v>
      </c>
      <c r="R1047" s="1" t="s">
        <v>6416</v>
      </c>
      <c r="S1047" s="1" t="s">
        <v>4201</v>
      </c>
      <c r="T1047" s="1">
        <v>1</v>
      </c>
      <c r="U1047" s="1">
        <v>0</v>
      </c>
      <c r="V1047" s="1">
        <v>0</v>
      </c>
      <c r="W1047" s="1">
        <v>0</v>
      </c>
      <c r="X1047" s="1">
        <v>1</v>
      </c>
      <c r="Y1047" s="1" t="s">
        <v>104</v>
      </c>
      <c r="Z1047" s="1" t="s">
        <v>104</v>
      </c>
      <c r="AA1047" s="1" t="s">
        <v>104</v>
      </c>
      <c r="AB1047" s="1" t="s">
        <v>104</v>
      </c>
      <c r="AC1047" s="1" t="s">
        <v>104</v>
      </c>
      <c r="AD1047" s="1" t="s">
        <v>104</v>
      </c>
      <c r="AE1047" s="1" t="s">
        <v>104</v>
      </c>
      <c r="AF1047" s="1" t="s">
        <v>104</v>
      </c>
      <c r="AG1047" s="1" t="s">
        <v>104</v>
      </c>
      <c r="AH1047" s="1" t="s">
        <v>104</v>
      </c>
      <c r="AI1047" s="1">
        <v>1</v>
      </c>
      <c r="AJ1047" s="1" t="s">
        <v>104</v>
      </c>
      <c r="AK1047" s="1" t="s">
        <v>104</v>
      </c>
      <c r="AL1047" s="1" t="s">
        <v>104</v>
      </c>
      <c r="AM1047" s="1" t="s">
        <v>104</v>
      </c>
      <c r="AO1047" s="1">
        <v>1</v>
      </c>
      <c r="AQ1047" s="1" t="s">
        <v>6417</v>
      </c>
      <c r="AR1047" s="1">
        <v>0</v>
      </c>
      <c r="AS1047" s="1">
        <v>0</v>
      </c>
      <c r="AT1047" s="1">
        <v>0</v>
      </c>
      <c r="AU1047" s="1">
        <v>0</v>
      </c>
      <c r="AV1047" s="1">
        <v>0</v>
      </c>
      <c r="AW1047" s="1">
        <v>0</v>
      </c>
      <c r="AX1047" s="1">
        <v>0</v>
      </c>
      <c r="AY1047" s="1">
        <v>0</v>
      </c>
      <c r="AZ1047" s="1">
        <v>0</v>
      </c>
      <c r="BA1047" s="1">
        <v>0</v>
      </c>
      <c r="BB1047" s="1">
        <v>0</v>
      </c>
      <c r="BC1047" s="1">
        <v>0</v>
      </c>
      <c r="BD1047" s="1">
        <v>0</v>
      </c>
      <c r="BE1047" s="1">
        <v>0</v>
      </c>
      <c r="BF1047" s="1">
        <v>0</v>
      </c>
      <c r="BG1047" s="1">
        <v>0</v>
      </c>
      <c r="BH1047" s="1">
        <v>0</v>
      </c>
      <c r="BI1047" s="1">
        <v>0</v>
      </c>
      <c r="BJ1047" s="1">
        <v>0</v>
      </c>
      <c r="BK1047" s="1">
        <v>0</v>
      </c>
      <c r="BL1047" s="1">
        <v>0</v>
      </c>
      <c r="BM1047" s="1">
        <v>0</v>
      </c>
      <c r="BN1047" s="1">
        <v>0</v>
      </c>
      <c r="BO1047" s="1">
        <v>0</v>
      </c>
      <c r="BP1047" s="1">
        <v>0</v>
      </c>
      <c r="BQ1047" s="2" t="str">
        <f>HYPERLINK("http://www.d20pfsrd.com/magic/all-spells/l/lend-judgment","Lend Judgment")</f>
        <v>Lend Judgment</v>
      </c>
      <c r="BR1047" s="1">
        <v>1089</v>
      </c>
      <c r="BS1047" s="1" t="s">
        <v>104</v>
      </c>
      <c r="BX1047" s="1">
        <v>0</v>
      </c>
      <c r="BY1047" s="1" t="s">
        <v>104</v>
      </c>
      <c r="BZ1047" s="1" t="s">
        <v>104</v>
      </c>
      <c r="CA1047" s="1" t="s">
        <v>104</v>
      </c>
      <c r="CB1047" s="1" t="s">
        <v>104</v>
      </c>
      <c r="CC1047" s="1" t="s">
        <v>104</v>
      </c>
      <c r="CD1047" s="1" t="s">
        <v>104</v>
      </c>
      <c r="CE1047" s="1" t="s">
        <v>104</v>
      </c>
      <c r="CF1047" s="1" t="s">
        <v>104</v>
      </c>
      <c r="CG1047" s="1" t="s">
        <v>104</v>
      </c>
      <c r="CH1047" s="1" t="s">
        <v>104</v>
      </c>
      <c r="CJ1047" s="1">
        <v>0</v>
      </c>
      <c r="CK1047" s="1">
        <v>0</v>
      </c>
      <c r="CL1047" s="1">
        <v>0</v>
      </c>
      <c r="CM1047" s="1" t="s">
        <v>104</v>
      </c>
    </row>
    <row r="1048" spans="1:91" ht="14.25" customHeight="1" x14ac:dyDescent="0.3">
      <c r="A1048" s="1" t="s">
        <v>6418</v>
      </c>
      <c r="B1048" s="1" t="s">
        <v>172</v>
      </c>
      <c r="E1048" s="1" t="s">
        <v>6187</v>
      </c>
      <c r="F1048" s="1" t="s">
        <v>95</v>
      </c>
      <c r="G1048" s="1" t="s">
        <v>4639</v>
      </c>
      <c r="H1048" s="1">
        <v>0</v>
      </c>
      <c r="I1048" s="1" t="s">
        <v>128</v>
      </c>
      <c r="L1048" s="1" t="s">
        <v>6415</v>
      </c>
      <c r="M1048" s="1" t="s">
        <v>111</v>
      </c>
      <c r="N1048" s="1">
        <v>0</v>
      </c>
      <c r="O1048" s="1">
        <v>0</v>
      </c>
      <c r="P1048" s="1" t="s">
        <v>375</v>
      </c>
      <c r="Q1048" s="1" t="s">
        <v>131</v>
      </c>
      <c r="R1048" s="1" t="s">
        <v>6419</v>
      </c>
      <c r="S1048" s="1" t="s">
        <v>4201</v>
      </c>
      <c r="T1048" s="1">
        <v>1</v>
      </c>
      <c r="U1048" s="1">
        <v>0</v>
      </c>
      <c r="V1048" s="1">
        <v>0</v>
      </c>
      <c r="W1048" s="1">
        <v>0</v>
      </c>
      <c r="X1048" s="1">
        <v>1</v>
      </c>
      <c r="Y1048" s="1" t="s">
        <v>104</v>
      </c>
      <c r="Z1048" s="1" t="s">
        <v>104</v>
      </c>
      <c r="AA1048" s="1" t="s">
        <v>104</v>
      </c>
      <c r="AB1048" s="1" t="s">
        <v>104</v>
      </c>
      <c r="AC1048" s="1" t="s">
        <v>104</v>
      </c>
      <c r="AD1048" s="1" t="s">
        <v>104</v>
      </c>
      <c r="AE1048" s="1" t="s">
        <v>104</v>
      </c>
      <c r="AF1048" s="1" t="s">
        <v>104</v>
      </c>
      <c r="AG1048" s="1" t="s">
        <v>104</v>
      </c>
      <c r="AH1048" s="1" t="s">
        <v>104</v>
      </c>
      <c r="AI1048" s="1">
        <v>5</v>
      </c>
      <c r="AJ1048" s="1" t="s">
        <v>104</v>
      </c>
      <c r="AK1048" s="1" t="s">
        <v>104</v>
      </c>
      <c r="AL1048" s="1" t="s">
        <v>104</v>
      </c>
      <c r="AM1048" s="1" t="s">
        <v>104</v>
      </c>
      <c r="AO1048" s="1">
        <v>5</v>
      </c>
      <c r="AQ1048" s="1" t="s">
        <v>6420</v>
      </c>
      <c r="AR1048" s="1">
        <v>0</v>
      </c>
      <c r="AS1048" s="1">
        <v>0</v>
      </c>
      <c r="AT1048" s="1">
        <v>0</v>
      </c>
      <c r="AU1048" s="1">
        <v>0</v>
      </c>
      <c r="AV1048" s="1">
        <v>0</v>
      </c>
      <c r="AW1048" s="1">
        <v>0</v>
      </c>
      <c r="AX1048" s="1">
        <v>0</v>
      </c>
      <c r="AY1048" s="1">
        <v>0</v>
      </c>
      <c r="AZ1048" s="1">
        <v>0</v>
      </c>
      <c r="BA1048" s="1">
        <v>0</v>
      </c>
      <c r="BB1048" s="1">
        <v>0</v>
      </c>
      <c r="BC1048" s="1">
        <v>0</v>
      </c>
      <c r="BD1048" s="1">
        <v>0</v>
      </c>
      <c r="BE1048" s="1">
        <v>0</v>
      </c>
      <c r="BF1048" s="1">
        <v>0</v>
      </c>
      <c r="BG1048" s="1">
        <v>0</v>
      </c>
      <c r="BH1048" s="1">
        <v>0</v>
      </c>
      <c r="BI1048" s="1">
        <v>0</v>
      </c>
      <c r="BJ1048" s="1">
        <v>0</v>
      </c>
      <c r="BK1048" s="1">
        <v>0</v>
      </c>
      <c r="BL1048" s="1">
        <v>0</v>
      </c>
      <c r="BM1048" s="1">
        <v>0</v>
      </c>
      <c r="BN1048" s="1">
        <v>0</v>
      </c>
      <c r="BO1048" s="1">
        <v>0</v>
      </c>
      <c r="BP1048" s="1">
        <v>0</v>
      </c>
      <c r="BQ1048" s="2" t="str">
        <f>HYPERLINK("http://www.d20pfsrd.com/magic/all-spells/l/lend-judgment","Lend Judgment, Greater")</f>
        <v>Lend Judgment, Greater</v>
      </c>
      <c r="BR1048" s="1">
        <v>1090</v>
      </c>
      <c r="BS1048" s="1" t="s">
        <v>104</v>
      </c>
      <c r="BX1048" s="1">
        <v>0</v>
      </c>
      <c r="BY1048" s="1" t="s">
        <v>104</v>
      </c>
      <c r="BZ1048" s="1" t="s">
        <v>104</v>
      </c>
      <c r="CA1048" s="1" t="s">
        <v>104</v>
      </c>
      <c r="CB1048" s="1" t="s">
        <v>104</v>
      </c>
      <c r="CC1048" s="1" t="s">
        <v>104</v>
      </c>
      <c r="CD1048" s="1" t="s">
        <v>104</v>
      </c>
      <c r="CE1048" s="1" t="s">
        <v>104</v>
      </c>
      <c r="CF1048" s="1" t="s">
        <v>104</v>
      </c>
      <c r="CG1048" s="1" t="s">
        <v>104</v>
      </c>
      <c r="CH1048" s="1" t="s">
        <v>104</v>
      </c>
      <c r="CJ1048" s="1">
        <v>0</v>
      </c>
      <c r="CK1048" s="1">
        <v>0</v>
      </c>
      <c r="CL1048" s="1">
        <v>0</v>
      </c>
      <c r="CM1048" s="1" t="s">
        <v>104</v>
      </c>
    </row>
    <row r="1049" spans="1:91" ht="14.25" customHeight="1" x14ac:dyDescent="0.3">
      <c r="A1049" s="1" t="s">
        <v>6421</v>
      </c>
      <c r="B1049" s="1" t="s">
        <v>434</v>
      </c>
      <c r="D1049" s="1" t="s">
        <v>52</v>
      </c>
      <c r="E1049" s="1" t="s">
        <v>6358</v>
      </c>
      <c r="F1049" s="1" t="s">
        <v>95</v>
      </c>
      <c r="G1049" s="1" t="s">
        <v>6422</v>
      </c>
      <c r="H1049" s="1">
        <v>0</v>
      </c>
      <c r="I1049" s="1" t="s">
        <v>97</v>
      </c>
      <c r="L1049" s="1" t="s">
        <v>6423</v>
      </c>
      <c r="M1049" s="1" t="s">
        <v>119</v>
      </c>
      <c r="N1049" s="1">
        <v>0</v>
      </c>
      <c r="O1049" s="1">
        <v>0</v>
      </c>
      <c r="P1049" s="1" t="s">
        <v>550</v>
      </c>
      <c r="Q1049" s="1" t="s">
        <v>6424</v>
      </c>
      <c r="R1049" s="1" t="s">
        <v>6425</v>
      </c>
      <c r="S1049" s="1" t="s">
        <v>4201</v>
      </c>
      <c r="T1049" s="1">
        <v>1</v>
      </c>
      <c r="U1049" s="1">
        <v>1</v>
      </c>
      <c r="V1049" s="1">
        <v>1</v>
      </c>
      <c r="W1049" s="1">
        <v>0</v>
      </c>
      <c r="X1049" s="1">
        <v>0</v>
      </c>
      <c r="Y1049" s="1">
        <v>5</v>
      </c>
      <c r="Z1049" s="1">
        <v>5</v>
      </c>
      <c r="AA1049" s="1" t="s">
        <v>104</v>
      </c>
      <c r="AB1049" s="1" t="s">
        <v>104</v>
      </c>
      <c r="AC1049" s="1" t="s">
        <v>104</v>
      </c>
      <c r="AD1049" s="1" t="s">
        <v>104</v>
      </c>
      <c r="AE1049" s="1" t="s">
        <v>104</v>
      </c>
      <c r="AF1049" s="1" t="s">
        <v>104</v>
      </c>
      <c r="AG1049" s="1" t="s">
        <v>104</v>
      </c>
      <c r="AH1049" s="1" t="s">
        <v>104</v>
      </c>
      <c r="AI1049" s="1" t="s">
        <v>104</v>
      </c>
      <c r="AJ1049" s="1" t="s">
        <v>104</v>
      </c>
      <c r="AK1049" s="1" t="s">
        <v>104</v>
      </c>
      <c r="AL1049" s="1" t="s">
        <v>104</v>
      </c>
      <c r="AM1049" s="1" t="s">
        <v>104</v>
      </c>
      <c r="AO1049" s="1">
        <v>5</v>
      </c>
      <c r="AQ1049" s="1" t="s">
        <v>6426</v>
      </c>
      <c r="AR1049" s="1">
        <v>0</v>
      </c>
      <c r="AS1049" s="1">
        <v>0</v>
      </c>
      <c r="AT1049" s="1">
        <v>0</v>
      </c>
      <c r="AU1049" s="1">
        <v>0</v>
      </c>
      <c r="AV1049" s="1">
        <v>0</v>
      </c>
      <c r="AW1049" s="1">
        <v>0</v>
      </c>
      <c r="AX1049" s="1">
        <v>0</v>
      </c>
      <c r="AY1049" s="1">
        <v>0</v>
      </c>
      <c r="AZ1049" s="1">
        <v>0</v>
      </c>
      <c r="BA1049" s="1">
        <v>1</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2" t="str">
        <f>HYPERLINK("http://www.d20pfsrd.com/magic/all-spells/l/lightning-arc","Lightning Arc")</f>
        <v>Lightning Arc</v>
      </c>
      <c r="BR1049" s="1">
        <v>1091</v>
      </c>
      <c r="BS1049" s="1" t="s">
        <v>104</v>
      </c>
      <c r="BV1049" s="1" t="s">
        <v>6427</v>
      </c>
      <c r="BW1049" s="1" t="s">
        <v>6428</v>
      </c>
      <c r="BX1049" s="1">
        <v>1</v>
      </c>
      <c r="BY1049" s="1" t="s">
        <v>104</v>
      </c>
      <c r="BZ1049" s="1" t="s">
        <v>104</v>
      </c>
      <c r="CA1049" s="1" t="s">
        <v>104</v>
      </c>
      <c r="CB1049" s="1" t="s">
        <v>104</v>
      </c>
      <c r="CC1049" s="1" t="s">
        <v>104</v>
      </c>
      <c r="CD1049" s="1" t="s">
        <v>104</v>
      </c>
      <c r="CE1049" s="1" t="s">
        <v>104</v>
      </c>
      <c r="CF1049" s="1" t="s">
        <v>104</v>
      </c>
      <c r="CG1049" s="1" t="s">
        <v>104</v>
      </c>
      <c r="CH1049" s="1" t="s">
        <v>104</v>
      </c>
      <c r="CJ1049" s="1">
        <v>0</v>
      </c>
      <c r="CK1049" s="1">
        <v>0</v>
      </c>
      <c r="CL1049" s="1">
        <v>0</v>
      </c>
      <c r="CM1049" s="1" t="s">
        <v>104</v>
      </c>
    </row>
    <row r="1050" spans="1:91" ht="14.25" customHeight="1" x14ac:dyDescent="0.3">
      <c r="A1050" s="1" t="s">
        <v>6429</v>
      </c>
      <c r="B1050" s="1" t="s">
        <v>507</v>
      </c>
      <c r="C1050" s="1" t="s">
        <v>720</v>
      </c>
      <c r="D1050" s="1" t="s">
        <v>125</v>
      </c>
      <c r="E1050" s="1" t="s">
        <v>6430</v>
      </c>
      <c r="F1050" s="1" t="s">
        <v>95</v>
      </c>
      <c r="G1050" s="1" t="s">
        <v>6431</v>
      </c>
      <c r="H1050" s="1">
        <v>0</v>
      </c>
      <c r="I1050" s="1" t="s">
        <v>117</v>
      </c>
      <c r="K1050" s="1" t="s">
        <v>6432</v>
      </c>
      <c r="M1050" s="1" t="s">
        <v>5978</v>
      </c>
      <c r="N1050" s="1">
        <v>1</v>
      </c>
      <c r="O1050" s="1">
        <v>0</v>
      </c>
      <c r="P1050" s="1" t="s">
        <v>211</v>
      </c>
      <c r="Q1050" s="1" t="s">
        <v>184</v>
      </c>
      <c r="R1050" s="1" t="s">
        <v>6433</v>
      </c>
      <c r="S1050" s="1" t="s">
        <v>4201</v>
      </c>
      <c r="T1050" s="1">
        <v>1</v>
      </c>
      <c r="U1050" s="1">
        <v>1</v>
      </c>
      <c r="V1050" s="1">
        <v>1</v>
      </c>
      <c r="W1050" s="1">
        <v>0</v>
      </c>
      <c r="X1050" s="1">
        <v>0</v>
      </c>
      <c r="Y1050" s="1">
        <v>3</v>
      </c>
      <c r="Z1050" s="1">
        <v>3</v>
      </c>
      <c r="AA1050" s="1" t="s">
        <v>104</v>
      </c>
      <c r="AB1050" s="1" t="s">
        <v>104</v>
      </c>
      <c r="AC1050" s="1" t="s">
        <v>104</v>
      </c>
      <c r="AD1050" s="1" t="s">
        <v>104</v>
      </c>
      <c r="AE1050" s="1" t="s">
        <v>104</v>
      </c>
      <c r="AF1050" s="1" t="s">
        <v>104</v>
      </c>
      <c r="AG1050" s="1" t="s">
        <v>104</v>
      </c>
      <c r="AH1050" s="1">
        <v>3</v>
      </c>
      <c r="AI1050" s="1" t="s">
        <v>104</v>
      </c>
      <c r="AJ1050" s="1" t="s">
        <v>104</v>
      </c>
      <c r="AK1050" s="1" t="s">
        <v>104</v>
      </c>
      <c r="AL1050" s="1" t="s">
        <v>104</v>
      </c>
      <c r="AM1050" s="1" t="s">
        <v>104</v>
      </c>
      <c r="AO1050" s="1">
        <v>3</v>
      </c>
      <c r="AQ1050" s="1" t="s">
        <v>6434</v>
      </c>
      <c r="AR1050" s="1">
        <v>0</v>
      </c>
      <c r="AS1050" s="1">
        <v>0</v>
      </c>
      <c r="AT1050" s="1">
        <v>0</v>
      </c>
      <c r="AU1050" s="1">
        <v>0</v>
      </c>
      <c r="AV1050" s="1">
        <v>0</v>
      </c>
      <c r="AW1050" s="1">
        <v>0</v>
      </c>
      <c r="AX1050" s="1">
        <v>0</v>
      </c>
      <c r="AY1050" s="1">
        <v>0</v>
      </c>
      <c r="AZ1050" s="1">
        <v>0</v>
      </c>
      <c r="BA1050" s="1">
        <v>0</v>
      </c>
      <c r="BB1050" s="1">
        <v>0</v>
      </c>
      <c r="BC1050" s="1">
        <v>0</v>
      </c>
      <c r="BD1050" s="1">
        <v>0</v>
      </c>
      <c r="BE1050" s="1">
        <v>0</v>
      </c>
      <c r="BF1050" s="1">
        <v>0</v>
      </c>
      <c r="BG1050" s="1">
        <v>0</v>
      </c>
      <c r="BH1050" s="1">
        <v>0</v>
      </c>
      <c r="BI1050" s="1">
        <v>0</v>
      </c>
      <c r="BJ1050" s="1">
        <v>0</v>
      </c>
      <c r="BK1050" s="1">
        <v>1</v>
      </c>
      <c r="BL1050" s="1">
        <v>0</v>
      </c>
      <c r="BM1050" s="1">
        <v>0</v>
      </c>
      <c r="BN1050" s="1">
        <v>0</v>
      </c>
      <c r="BO1050" s="1">
        <v>0</v>
      </c>
      <c r="BP1050" s="1">
        <v>0</v>
      </c>
      <c r="BQ1050" s="2" t="str">
        <f>HYPERLINK("http://www.d20pfsrd.com/magic/all-spells/l/loathsome-veil","Loathsome Veil")</f>
        <v>Loathsome Veil</v>
      </c>
      <c r="BR1050" s="1">
        <v>1092</v>
      </c>
      <c r="BS1050" s="1" t="s">
        <v>104</v>
      </c>
      <c r="BX1050" s="1">
        <v>0</v>
      </c>
      <c r="BY1050" s="1" t="s">
        <v>104</v>
      </c>
      <c r="BZ1050" s="1" t="s">
        <v>104</v>
      </c>
      <c r="CA1050" s="1">
        <v>3</v>
      </c>
      <c r="CB1050" s="1" t="s">
        <v>104</v>
      </c>
      <c r="CC1050" s="1">
        <v>3</v>
      </c>
      <c r="CD1050" s="1" t="s">
        <v>104</v>
      </c>
      <c r="CE1050" s="1" t="s">
        <v>104</v>
      </c>
      <c r="CF1050" s="1" t="s">
        <v>104</v>
      </c>
      <c r="CG1050" s="1" t="s">
        <v>104</v>
      </c>
      <c r="CH1050" s="1" t="s">
        <v>104</v>
      </c>
      <c r="CJ1050" s="1">
        <v>0</v>
      </c>
      <c r="CK1050" s="1">
        <v>0</v>
      </c>
      <c r="CL1050" s="1">
        <v>0</v>
      </c>
      <c r="CM1050" s="1" t="s">
        <v>104</v>
      </c>
    </row>
    <row r="1051" spans="1:91" ht="14.25" customHeight="1" x14ac:dyDescent="0.3">
      <c r="A1051" s="1" t="s">
        <v>6435</v>
      </c>
      <c r="B1051" s="1" t="s">
        <v>507</v>
      </c>
      <c r="C1051" s="1" t="s">
        <v>65</v>
      </c>
      <c r="D1051" s="1" t="s">
        <v>6436</v>
      </c>
      <c r="E1051" s="1" t="s">
        <v>6437</v>
      </c>
      <c r="F1051" s="1" t="s">
        <v>95</v>
      </c>
      <c r="G1051" s="1" t="s">
        <v>116</v>
      </c>
      <c r="H1051" s="1">
        <v>0</v>
      </c>
      <c r="I1051" s="1" t="s">
        <v>97</v>
      </c>
      <c r="J1051" s="1" t="s">
        <v>6438</v>
      </c>
      <c r="M1051" s="1" t="s">
        <v>5923</v>
      </c>
      <c r="N1051" s="1">
        <v>0</v>
      </c>
      <c r="O1051" s="1">
        <v>0</v>
      </c>
      <c r="P1051" s="1" t="s">
        <v>6439</v>
      </c>
      <c r="Q1051" s="1" t="s">
        <v>101</v>
      </c>
      <c r="R1051" s="1" t="s">
        <v>6440</v>
      </c>
      <c r="S1051" s="1" t="s">
        <v>4201</v>
      </c>
      <c r="T1051" s="1">
        <v>1</v>
      </c>
      <c r="U1051" s="1">
        <v>1</v>
      </c>
      <c r="V1051" s="1">
        <v>0</v>
      </c>
      <c r="W1051" s="1">
        <v>0</v>
      </c>
      <c r="X1051" s="1">
        <v>0</v>
      </c>
      <c r="Y1051" s="1">
        <v>7</v>
      </c>
      <c r="Z1051" s="1">
        <v>7</v>
      </c>
      <c r="AA1051" s="1">
        <v>7</v>
      </c>
      <c r="AB1051" s="1" t="s">
        <v>104</v>
      </c>
      <c r="AC1051" s="1" t="s">
        <v>104</v>
      </c>
      <c r="AD1051" s="1" t="s">
        <v>104</v>
      </c>
      <c r="AE1051" s="1" t="s">
        <v>104</v>
      </c>
      <c r="AF1051" s="1" t="s">
        <v>104</v>
      </c>
      <c r="AG1051" s="1" t="s">
        <v>104</v>
      </c>
      <c r="AH1051" s="1">
        <v>7</v>
      </c>
      <c r="AI1051" s="1" t="s">
        <v>104</v>
      </c>
      <c r="AJ1051" s="1">
        <v>7</v>
      </c>
      <c r="AK1051" s="1" t="s">
        <v>104</v>
      </c>
      <c r="AL1051" s="1" t="s">
        <v>104</v>
      </c>
      <c r="AM1051" s="1" t="s">
        <v>104</v>
      </c>
      <c r="AO1051" s="1">
        <v>7</v>
      </c>
      <c r="AQ1051" s="1" t="s">
        <v>6441</v>
      </c>
      <c r="AR1051" s="1">
        <v>0</v>
      </c>
      <c r="AS1051" s="1">
        <v>0</v>
      </c>
      <c r="AT1051" s="1">
        <v>0</v>
      </c>
      <c r="AU1051" s="1">
        <v>0</v>
      </c>
      <c r="AV1051" s="1">
        <v>0</v>
      </c>
      <c r="AW1051" s="1">
        <v>1</v>
      </c>
      <c r="AX1051" s="1">
        <v>0</v>
      </c>
      <c r="AY1051" s="1">
        <v>0</v>
      </c>
      <c r="AZ1051" s="1">
        <v>0</v>
      </c>
      <c r="BA1051" s="1">
        <v>0</v>
      </c>
      <c r="BB1051" s="1">
        <v>0</v>
      </c>
      <c r="BC1051" s="1">
        <v>0</v>
      </c>
      <c r="BD1051" s="1">
        <v>0</v>
      </c>
      <c r="BE1051" s="1">
        <v>0</v>
      </c>
      <c r="BF1051" s="1">
        <v>0</v>
      </c>
      <c r="BG1051" s="1">
        <v>0</v>
      </c>
      <c r="BH1051" s="1">
        <v>0</v>
      </c>
      <c r="BI1051" s="1">
        <v>0</v>
      </c>
      <c r="BJ1051" s="1">
        <v>0</v>
      </c>
      <c r="BK1051" s="1">
        <v>0</v>
      </c>
      <c r="BL1051" s="1">
        <v>0</v>
      </c>
      <c r="BM1051" s="1">
        <v>0</v>
      </c>
      <c r="BN1051" s="1">
        <v>1</v>
      </c>
      <c r="BO1051" s="1">
        <v>0</v>
      </c>
      <c r="BP1051" s="1">
        <v>0</v>
      </c>
      <c r="BQ1051" s="2" t="str">
        <f>HYPERLINK("http://www.d20pfsrd.com/magic/all-spells/l/lunar-veil","Lunar Veil")</f>
        <v>Lunar Veil</v>
      </c>
      <c r="BR1051" s="1">
        <v>1093</v>
      </c>
      <c r="BS1051" s="1" t="s">
        <v>104</v>
      </c>
      <c r="BU1051" s="1" t="s">
        <v>6442</v>
      </c>
      <c r="BX1051" s="1">
        <v>0</v>
      </c>
      <c r="BY1051" s="1" t="s">
        <v>104</v>
      </c>
      <c r="BZ1051" s="1" t="s">
        <v>104</v>
      </c>
      <c r="CA1051" s="1">
        <v>7</v>
      </c>
      <c r="CB1051" s="1" t="s">
        <v>104</v>
      </c>
      <c r="CC1051" s="1" t="s">
        <v>104</v>
      </c>
      <c r="CD1051" s="1" t="s">
        <v>104</v>
      </c>
      <c r="CE1051" s="1" t="s">
        <v>104</v>
      </c>
      <c r="CF1051" s="1" t="s">
        <v>104</v>
      </c>
      <c r="CG1051" s="1" t="s">
        <v>104</v>
      </c>
      <c r="CH1051" s="1" t="s">
        <v>104</v>
      </c>
      <c r="CJ1051" s="1">
        <v>0</v>
      </c>
      <c r="CK1051" s="1">
        <v>0</v>
      </c>
      <c r="CL1051" s="1">
        <v>0</v>
      </c>
      <c r="CM1051" s="1" t="s">
        <v>104</v>
      </c>
    </row>
    <row r="1052" spans="1:91" ht="14.25" customHeight="1" x14ac:dyDescent="0.3">
      <c r="A1052" s="1" t="s">
        <v>6443</v>
      </c>
      <c r="B1052" s="1" t="s">
        <v>507</v>
      </c>
      <c r="C1052" s="1" t="s">
        <v>1308</v>
      </c>
      <c r="E1052" s="1" t="s">
        <v>6312</v>
      </c>
      <c r="F1052" s="1" t="s">
        <v>95</v>
      </c>
      <c r="G1052" s="1" t="s">
        <v>116</v>
      </c>
      <c r="H1052" s="1">
        <v>0</v>
      </c>
      <c r="I1052" s="1" t="s">
        <v>6444</v>
      </c>
      <c r="L1052" s="1" t="s">
        <v>637</v>
      </c>
      <c r="M1052" s="1" t="s">
        <v>6445</v>
      </c>
      <c r="N1052" s="1">
        <v>0</v>
      </c>
      <c r="O1052" s="1">
        <v>0</v>
      </c>
      <c r="P1052" s="1" t="s">
        <v>211</v>
      </c>
      <c r="Q1052" s="1" t="s">
        <v>184</v>
      </c>
      <c r="R1052" s="1" t="s">
        <v>6446</v>
      </c>
      <c r="S1052" s="1" t="s">
        <v>4201</v>
      </c>
      <c r="T1052" s="1">
        <v>1</v>
      </c>
      <c r="U1052" s="1">
        <v>1</v>
      </c>
      <c r="V1052" s="1">
        <v>0</v>
      </c>
      <c r="W1052" s="1">
        <v>0</v>
      </c>
      <c r="X1052" s="1">
        <v>0</v>
      </c>
      <c r="Y1052" s="1">
        <v>2</v>
      </c>
      <c r="Z1052" s="1">
        <v>2</v>
      </c>
      <c r="AA1052" s="1" t="s">
        <v>104</v>
      </c>
      <c r="AB1052" s="1" t="s">
        <v>104</v>
      </c>
      <c r="AC1052" s="1" t="s">
        <v>104</v>
      </c>
      <c r="AD1052" s="1">
        <v>2</v>
      </c>
      <c r="AE1052" s="1" t="s">
        <v>104</v>
      </c>
      <c r="AF1052" s="1" t="s">
        <v>104</v>
      </c>
      <c r="AG1052" s="1" t="s">
        <v>104</v>
      </c>
      <c r="AH1052" s="1">
        <v>2</v>
      </c>
      <c r="AI1052" s="1" t="s">
        <v>104</v>
      </c>
      <c r="AJ1052" s="1" t="s">
        <v>104</v>
      </c>
      <c r="AK1052" s="1" t="s">
        <v>104</v>
      </c>
      <c r="AL1052" s="1" t="s">
        <v>104</v>
      </c>
      <c r="AM1052" s="1" t="s">
        <v>104</v>
      </c>
      <c r="AO1052" s="1">
        <v>2</v>
      </c>
      <c r="AQ1052" s="1" t="s">
        <v>6447</v>
      </c>
      <c r="AR1052" s="1">
        <v>0</v>
      </c>
      <c r="AS1052" s="1">
        <v>0</v>
      </c>
      <c r="AT1052" s="1">
        <v>0</v>
      </c>
      <c r="AU1052" s="1">
        <v>0</v>
      </c>
      <c r="AV1052" s="1">
        <v>0</v>
      </c>
      <c r="AW1052" s="1">
        <v>0</v>
      </c>
      <c r="AX1052" s="1">
        <v>0</v>
      </c>
      <c r="AY1052" s="1">
        <v>0</v>
      </c>
      <c r="AZ1052" s="1">
        <v>0</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2" t="str">
        <f>HYPERLINK("http://www.d20pfsrd.com/magic/all-spells/m/mad-hallucination","Mad Hallucination")</f>
        <v>Mad Hallucination</v>
      </c>
      <c r="BR1052" s="1">
        <v>1094</v>
      </c>
      <c r="BS1052" s="1" t="s">
        <v>104</v>
      </c>
      <c r="BX1052" s="1">
        <v>0</v>
      </c>
      <c r="BY1052" s="1" t="s">
        <v>104</v>
      </c>
      <c r="BZ1052" s="1" t="s">
        <v>104</v>
      </c>
      <c r="CA1052" s="1">
        <v>2</v>
      </c>
      <c r="CB1052" s="1" t="s">
        <v>104</v>
      </c>
      <c r="CC1052" s="1">
        <v>2</v>
      </c>
      <c r="CD1052" s="1" t="s">
        <v>104</v>
      </c>
      <c r="CE1052" s="1" t="s">
        <v>104</v>
      </c>
      <c r="CF1052" s="1" t="s">
        <v>104</v>
      </c>
      <c r="CG1052" s="1" t="s">
        <v>104</v>
      </c>
      <c r="CH1052" s="1" t="s">
        <v>104</v>
      </c>
      <c r="CJ1052" s="1">
        <v>0</v>
      </c>
      <c r="CK1052" s="1">
        <v>0</v>
      </c>
      <c r="CL1052" s="1">
        <v>0</v>
      </c>
      <c r="CM1052" s="1" t="s">
        <v>104</v>
      </c>
    </row>
    <row r="1053" spans="1:91" ht="14.25" customHeight="1" x14ac:dyDescent="0.3">
      <c r="A1053" s="1" t="s">
        <v>6448</v>
      </c>
      <c r="B1053" s="1" t="s">
        <v>92</v>
      </c>
      <c r="C1053" s="1" t="s">
        <v>903</v>
      </c>
      <c r="E1053" s="1" t="s">
        <v>6449</v>
      </c>
      <c r="F1053" s="1" t="s">
        <v>255</v>
      </c>
      <c r="G1053" s="1" t="s">
        <v>127</v>
      </c>
      <c r="H1053" s="1">
        <v>0</v>
      </c>
      <c r="I1053" s="1" t="s">
        <v>117</v>
      </c>
      <c r="K1053" s="1" t="s">
        <v>6450</v>
      </c>
      <c r="M1053" s="1" t="s">
        <v>111</v>
      </c>
      <c r="N1053" s="1">
        <v>0</v>
      </c>
      <c r="O1053" s="1">
        <v>0</v>
      </c>
      <c r="P1053" s="1" t="s">
        <v>100</v>
      </c>
      <c r="Q1053" s="1" t="s">
        <v>101</v>
      </c>
      <c r="R1053" s="1" t="s">
        <v>6451</v>
      </c>
      <c r="S1053" s="1" t="s">
        <v>4201</v>
      </c>
      <c r="T1053" s="1">
        <v>1</v>
      </c>
      <c r="U1053" s="1">
        <v>1</v>
      </c>
      <c r="V1053" s="1">
        <v>0</v>
      </c>
      <c r="W1053" s="1">
        <v>0</v>
      </c>
      <c r="X1053" s="1">
        <v>1</v>
      </c>
      <c r="Y1053" s="1">
        <v>3</v>
      </c>
      <c r="Z1053" s="1">
        <v>3</v>
      </c>
      <c r="AA1053" s="1" t="s">
        <v>104</v>
      </c>
      <c r="AB1053" s="1">
        <v>3</v>
      </c>
      <c r="AC1053" s="1" t="s">
        <v>104</v>
      </c>
      <c r="AD1053" s="1">
        <v>3</v>
      </c>
      <c r="AE1053" s="1" t="s">
        <v>104</v>
      </c>
      <c r="AF1053" s="1" t="s">
        <v>104</v>
      </c>
      <c r="AG1053" s="1">
        <v>3</v>
      </c>
      <c r="AH1053" s="1" t="s">
        <v>104</v>
      </c>
      <c r="AI1053" s="1" t="s">
        <v>104</v>
      </c>
      <c r="AJ1053" s="1" t="s">
        <v>104</v>
      </c>
      <c r="AK1053" s="1" t="s">
        <v>104</v>
      </c>
      <c r="AL1053" s="1" t="s">
        <v>104</v>
      </c>
      <c r="AM1053" s="1" t="s">
        <v>104</v>
      </c>
      <c r="AO1053" s="1">
        <v>3</v>
      </c>
      <c r="AQ1053" s="1" t="s">
        <v>6452</v>
      </c>
      <c r="AR1053" s="1">
        <v>0</v>
      </c>
      <c r="AS1053" s="1">
        <v>0</v>
      </c>
      <c r="AT1053" s="1">
        <v>0</v>
      </c>
      <c r="AU1053" s="1">
        <v>0</v>
      </c>
      <c r="AV1053" s="1">
        <v>0</v>
      </c>
      <c r="AW1053" s="1">
        <v>0</v>
      </c>
      <c r="AX1053" s="1">
        <v>0</v>
      </c>
      <c r="AY1053" s="1">
        <v>0</v>
      </c>
      <c r="AZ1053" s="1">
        <v>0</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2" t="str">
        <f>HYPERLINK("http://www.d20pfsrd.com/magic/all-spells/m/mad-monkeys","Mad Monkeys")</f>
        <v>Mad Monkeys</v>
      </c>
      <c r="BR1053" s="1">
        <v>1095</v>
      </c>
      <c r="BS1053" s="1" t="s">
        <v>104</v>
      </c>
      <c r="BX1053" s="1">
        <v>0</v>
      </c>
      <c r="BY1053" s="1" t="s">
        <v>104</v>
      </c>
      <c r="BZ1053" s="1" t="s">
        <v>104</v>
      </c>
      <c r="CA1053" s="1" t="s">
        <v>104</v>
      </c>
      <c r="CB1053" s="1" t="s">
        <v>104</v>
      </c>
      <c r="CC1053" s="1" t="s">
        <v>104</v>
      </c>
      <c r="CD1053" s="1" t="s">
        <v>104</v>
      </c>
      <c r="CE1053" s="1" t="s">
        <v>104</v>
      </c>
      <c r="CF1053" s="1" t="s">
        <v>104</v>
      </c>
      <c r="CG1053" s="1" t="s">
        <v>104</v>
      </c>
      <c r="CH1053" s="1">
        <v>3</v>
      </c>
      <c r="CJ1053" s="1">
        <v>0</v>
      </c>
      <c r="CK1053" s="1">
        <v>0</v>
      </c>
      <c r="CL1053" s="1">
        <v>0</v>
      </c>
      <c r="CM1053" s="1">
        <v>3</v>
      </c>
    </row>
    <row r="1054" spans="1:91" ht="14.25" customHeight="1" x14ac:dyDescent="0.3">
      <c r="A1054" s="1" t="s">
        <v>6453</v>
      </c>
      <c r="B1054" s="1" t="s">
        <v>137</v>
      </c>
      <c r="E1054" s="1" t="s">
        <v>6454</v>
      </c>
      <c r="F1054" s="1" t="s">
        <v>95</v>
      </c>
      <c r="G1054" s="1" t="s">
        <v>116</v>
      </c>
      <c r="H1054" s="1">
        <v>0</v>
      </c>
      <c r="I1054" s="1" t="s">
        <v>117</v>
      </c>
      <c r="J1054" s="1" t="s">
        <v>6052</v>
      </c>
      <c r="M1054" s="1" t="s">
        <v>426</v>
      </c>
      <c r="N1054" s="1">
        <v>1</v>
      </c>
      <c r="O1054" s="1">
        <v>0</v>
      </c>
      <c r="P1054" s="1" t="s">
        <v>183</v>
      </c>
      <c r="Q1054" s="1" t="s">
        <v>184</v>
      </c>
      <c r="R1054" s="1" t="s">
        <v>6455</v>
      </c>
      <c r="S1054" s="1" t="s">
        <v>4201</v>
      </c>
      <c r="T1054" s="1">
        <v>1</v>
      </c>
      <c r="U1054" s="1">
        <v>1</v>
      </c>
      <c r="V1054" s="1">
        <v>0</v>
      </c>
      <c r="W1054" s="1">
        <v>0</v>
      </c>
      <c r="X1054" s="1">
        <v>0</v>
      </c>
      <c r="Y1054" s="1">
        <v>4</v>
      </c>
      <c r="Z1054" s="1">
        <v>4</v>
      </c>
      <c r="AA1054" s="1" t="s">
        <v>104</v>
      </c>
      <c r="AB1054" s="1" t="s">
        <v>104</v>
      </c>
      <c r="AC1054" s="1" t="s">
        <v>104</v>
      </c>
      <c r="AD1054" s="1" t="s">
        <v>104</v>
      </c>
      <c r="AE1054" s="1" t="s">
        <v>104</v>
      </c>
      <c r="AF1054" s="1" t="s">
        <v>104</v>
      </c>
      <c r="AG1054" s="1" t="s">
        <v>104</v>
      </c>
      <c r="AH1054" s="1" t="s">
        <v>104</v>
      </c>
      <c r="AI1054" s="1" t="s">
        <v>104</v>
      </c>
      <c r="AJ1054" s="1" t="s">
        <v>104</v>
      </c>
      <c r="AK1054" s="1" t="s">
        <v>104</v>
      </c>
      <c r="AL1054" s="1" t="s">
        <v>104</v>
      </c>
      <c r="AM1054" s="1" t="s">
        <v>104</v>
      </c>
      <c r="AO1054" s="1">
        <v>4</v>
      </c>
      <c r="AQ1054" s="1" t="s">
        <v>6456</v>
      </c>
      <c r="AR1054" s="1">
        <v>0</v>
      </c>
      <c r="AS1054" s="1">
        <v>0</v>
      </c>
      <c r="AT1054" s="1">
        <v>0</v>
      </c>
      <c r="AU1054" s="1">
        <v>0</v>
      </c>
      <c r="AV1054" s="1">
        <v>0</v>
      </c>
      <c r="AW1054" s="1">
        <v>0</v>
      </c>
      <c r="AX1054" s="1">
        <v>0</v>
      </c>
      <c r="AY1054" s="1">
        <v>0</v>
      </c>
      <c r="AZ1054" s="1">
        <v>0</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2" t="str">
        <f>HYPERLINK("http://www.d20pfsrd.com/magic/all-spells/m/malfunction","Malfunction")</f>
        <v>Malfunction</v>
      </c>
      <c r="BR1054" s="1">
        <v>1096</v>
      </c>
      <c r="BS1054" s="1" t="s">
        <v>104</v>
      </c>
      <c r="BX1054" s="1">
        <v>0</v>
      </c>
      <c r="BY1054" s="1" t="s">
        <v>104</v>
      </c>
      <c r="BZ1054" s="1" t="s">
        <v>104</v>
      </c>
      <c r="CA1054" s="1" t="s">
        <v>104</v>
      </c>
      <c r="CB1054" s="1" t="s">
        <v>104</v>
      </c>
      <c r="CC1054" s="1" t="s">
        <v>104</v>
      </c>
      <c r="CD1054" s="1">
        <v>4</v>
      </c>
      <c r="CE1054" s="1" t="s">
        <v>104</v>
      </c>
      <c r="CF1054" s="1" t="s">
        <v>104</v>
      </c>
      <c r="CG1054" s="1" t="s">
        <v>104</v>
      </c>
      <c r="CH1054" s="1" t="s">
        <v>104</v>
      </c>
      <c r="CJ1054" s="1">
        <v>0</v>
      </c>
      <c r="CK1054" s="1">
        <v>0</v>
      </c>
      <c r="CL1054" s="1">
        <v>0</v>
      </c>
      <c r="CM1054" s="1" t="s">
        <v>104</v>
      </c>
    </row>
    <row r="1055" spans="1:91" ht="14.25" customHeight="1" x14ac:dyDescent="0.3">
      <c r="A1055" s="1" t="s">
        <v>6457</v>
      </c>
      <c r="B1055" s="1" t="s">
        <v>123</v>
      </c>
      <c r="C1055" s="1" t="s">
        <v>124</v>
      </c>
      <c r="D1055" s="1" t="s">
        <v>6034</v>
      </c>
      <c r="E1055" s="1" t="s">
        <v>6458</v>
      </c>
      <c r="F1055" s="1" t="s">
        <v>95</v>
      </c>
      <c r="G1055" s="1" t="s">
        <v>6459</v>
      </c>
      <c r="H1055" s="1">
        <v>1</v>
      </c>
      <c r="I1055" s="1" t="s">
        <v>117</v>
      </c>
      <c r="L1055" s="1" t="s">
        <v>1065</v>
      </c>
      <c r="M1055" s="1" t="s">
        <v>194</v>
      </c>
      <c r="N1055" s="1">
        <v>0</v>
      </c>
      <c r="O1055" s="1">
        <v>0</v>
      </c>
      <c r="P1055" s="1" t="s">
        <v>211</v>
      </c>
      <c r="Q1055" s="1" t="s">
        <v>184</v>
      </c>
      <c r="R1055" s="1" t="s">
        <v>6460</v>
      </c>
      <c r="S1055" s="1" t="s">
        <v>4201</v>
      </c>
      <c r="T1055" s="1">
        <v>1</v>
      </c>
      <c r="U1055" s="1">
        <v>1</v>
      </c>
      <c r="V1055" s="1">
        <v>1</v>
      </c>
      <c r="W1055" s="1">
        <v>0</v>
      </c>
      <c r="X1055" s="1">
        <v>0</v>
      </c>
      <c r="Y1055" s="1">
        <v>4</v>
      </c>
      <c r="Z1055" s="1">
        <v>4</v>
      </c>
      <c r="AA1055" s="1" t="s">
        <v>104</v>
      </c>
      <c r="AB1055" s="1" t="s">
        <v>104</v>
      </c>
      <c r="AC1055" s="1" t="s">
        <v>104</v>
      </c>
      <c r="AD1055" s="1">
        <v>3</v>
      </c>
      <c r="AE1055" s="1" t="s">
        <v>104</v>
      </c>
      <c r="AF1055" s="1" t="s">
        <v>104</v>
      </c>
      <c r="AG1055" s="1" t="s">
        <v>104</v>
      </c>
      <c r="AH1055" s="1" t="s">
        <v>104</v>
      </c>
      <c r="AI1055" s="1" t="s">
        <v>104</v>
      </c>
      <c r="AJ1055" s="1" t="s">
        <v>104</v>
      </c>
      <c r="AK1055" s="1" t="s">
        <v>104</v>
      </c>
      <c r="AL1055" s="1" t="s">
        <v>104</v>
      </c>
      <c r="AM1055" s="1" t="s">
        <v>104</v>
      </c>
      <c r="AO1055" s="1">
        <v>4</v>
      </c>
      <c r="AQ1055" s="1" t="s">
        <v>6461</v>
      </c>
      <c r="AR1055" s="1">
        <v>0</v>
      </c>
      <c r="AS1055" s="1">
        <v>0</v>
      </c>
      <c r="AT1055" s="1">
        <v>0</v>
      </c>
      <c r="AU1055" s="1">
        <v>0</v>
      </c>
      <c r="AV1055" s="1">
        <v>0</v>
      </c>
      <c r="AW1055" s="1">
        <v>0</v>
      </c>
      <c r="AX1055" s="1">
        <v>0</v>
      </c>
      <c r="AY1055" s="1">
        <v>0</v>
      </c>
      <c r="AZ1055" s="1">
        <v>0</v>
      </c>
      <c r="BA1055" s="1">
        <v>0</v>
      </c>
      <c r="BB1055" s="1">
        <v>1</v>
      </c>
      <c r="BC1055" s="1">
        <v>0</v>
      </c>
      <c r="BD1055" s="1">
        <v>0</v>
      </c>
      <c r="BE1055" s="1">
        <v>0</v>
      </c>
      <c r="BF1055" s="1">
        <v>0</v>
      </c>
      <c r="BG1055" s="1">
        <v>0</v>
      </c>
      <c r="BH1055" s="1">
        <v>0</v>
      </c>
      <c r="BI1055" s="1">
        <v>0</v>
      </c>
      <c r="BJ1055" s="1">
        <v>0</v>
      </c>
      <c r="BK1055" s="1">
        <v>1</v>
      </c>
      <c r="BL1055" s="1">
        <v>0</v>
      </c>
      <c r="BM1055" s="1">
        <v>0</v>
      </c>
      <c r="BN1055" s="1">
        <v>0</v>
      </c>
      <c r="BO1055" s="1">
        <v>0</v>
      </c>
      <c r="BP1055" s="1">
        <v>0</v>
      </c>
      <c r="BQ1055" s="2" t="str">
        <f>HYPERLINK("http://www.d20pfsrd.com/magic/all-spells/m/malicious-spite","Malicious Spite")</f>
        <v>Malicious Spite</v>
      </c>
      <c r="BR1055" s="1">
        <v>1097</v>
      </c>
      <c r="BS1055" s="1">
        <v>150</v>
      </c>
      <c r="BX1055" s="1">
        <v>0</v>
      </c>
      <c r="BY1055" s="1" t="s">
        <v>104</v>
      </c>
      <c r="BZ1055" s="1" t="s">
        <v>104</v>
      </c>
      <c r="CA1055" s="1">
        <v>4</v>
      </c>
      <c r="CB1055" s="1" t="s">
        <v>104</v>
      </c>
      <c r="CC1055" s="1">
        <v>3</v>
      </c>
      <c r="CD1055" s="1" t="s">
        <v>104</v>
      </c>
      <c r="CE1055" s="1" t="s">
        <v>104</v>
      </c>
      <c r="CF1055" s="1" t="s">
        <v>104</v>
      </c>
      <c r="CG1055" s="1" t="s">
        <v>104</v>
      </c>
      <c r="CH1055" s="1" t="s">
        <v>104</v>
      </c>
      <c r="CJ1055" s="1">
        <v>0</v>
      </c>
      <c r="CK1055" s="1">
        <v>0</v>
      </c>
      <c r="CL1055" s="1">
        <v>0</v>
      </c>
      <c r="CM1055" s="1" t="s">
        <v>104</v>
      </c>
    </row>
    <row r="1056" spans="1:91" ht="14.25" customHeight="1" x14ac:dyDescent="0.3">
      <c r="A1056" s="1" t="s">
        <v>6462</v>
      </c>
      <c r="B1056" s="1" t="s">
        <v>216</v>
      </c>
      <c r="E1056" s="1" t="s">
        <v>6463</v>
      </c>
      <c r="F1056" s="1" t="s">
        <v>95</v>
      </c>
      <c r="G1056" s="1" t="s">
        <v>6464</v>
      </c>
      <c r="H1056" s="1">
        <v>0</v>
      </c>
      <c r="I1056" s="1" t="s">
        <v>109</v>
      </c>
      <c r="L1056" s="1" t="s">
        <v>6465</v>
      </c>
      <c r="M1056" s="1" t="s">
        <v>6466</v>
      </c>
      <c r="N1056" s="1">
        <v>0</v>
      </c>
      <c r="O1056" s="1">
        <v>0</v>
      </c>
      <c r="P1056" s="1" t="s">
        <v>1902</v>
      </c>
      <c r="Q1056" s="1" t="s">
        <v>184</v>
      </c>
      <c r="R1056" s="1" t="s">
        <v>6467</v>
      </c>
      <c r="S1056" s="1" t="s">
        <v>4201</v>
      </c>
      <c r="T1056" s="1">
        <v>1</v>
      </c>
      <c r="U1056" s="1">
        <v>1</v>
      </c>
      <c r="V1056" s="1">
        <v>0</v>
      </c>
      <c r="W1056" s="1">
        <v>0</v>
      </c>
      <c r="X1056" s="1">
        <v>0</v>
      </c>
      <c r="Y1056" s="1">
        <v>3</v>
      </c>
      <c r="Z1056" s="1">
        <v>3</v>
      </c>
      <c r="AA1056" s="1" t="s">
        <v>104</v>
      </c>
      <c r="AB1056" s="1" t="s">
        <v>104</v>
      </c>
      <c r="AC1056" s="1" t="s">
        <v>104</v>
      </c>
      <c r="AD1056" s="1" t="s">
        <v>104</v>
      </c>
      <c r="AE1056" s="1" t="s">
        <v>104</v>
      </c>
      <c r="AF1056" s="1">
        <v>3</v>
      </c>
      <c r="AG1056" s="1">
        <v>3</v>
      </c>
      <c r="AH1056" s="1">
        <v>3</v>
      </c>
      <c r="AI1056" s="1" t="s">
        <v>104</v>
      </c>
      <c r="AJ1056" s="1" t="s">
        <v>104</v>
      </c>
      <c r="AK1056" s="1" t="s">
        <v>104</v>
      </c>
      <c r="AL1056" s="1" t="s">
        <v>104</v>
      </c>
      <c r="AM1056" s="1" t="s">
        <v>104</v>
      </c>
      <c r="AO1056" s="1">
        <v>3</v>
      </c>
      <c r="AQ1056" s="1" t="s">
        <v>6468</v>
      </c>
      <c r="AR1056" s="1">
        <v>0</v>
      </c>
      <c r="AS1056" s="1">
        <v>0</v>
      </c>
      <c r="AT1056" s="1">
        <v>0</v>
      </c>
      <c r="AU1056" s="1">
        <v>0</v>
      </c>
      <c r="AV1056" s="1">
        <v>0</v>
      </c>
      <c r="AW1056" s="1">
        <v>0</v>
      </c>
      <c r="AX1056" s="1">
        <v>0</v>
      </c>
      <c r="AY1056" s="1">
        <v>0</v>
      </c>
      <c r="AZ1056" s="1">
        <v>0</v>
      </c>
      <c r="BA1056" s="1">
        <v>0</v>
      </c>
      <c r="BB1056" s="1">
        <v>0</v>
      </c>
      <c r="BC1056" s="1">
        <v>0</v>
      </c>
      <c r="BD1056" s="1">
        <v>0</v>
      </c>
      <c r="BE1056" s="1">
        <v>0</v>
      </c>
      <c r="BF1056" s="1">
        <v>0</v>
      </c>
      <c r="BG1056" s="1">
        <v>0</v>
      </c>
      <c r="BH1056" s="1">
        <v>0</v>
      </c>
      <c r="BI1056" s="1">
        <v>0</v>
      </c>
      <c r="BJ1056" s="1">
        <v>0</v>
      </c>
      <c r="BK1056" s="1">
        <v>0</v>
      </c>
      <c r="BL1056" s="1">
        <v>0</v>
      </c>
      <c r="BM1056" s="1">
        <v>0</v>
      </c>
      <c r="BN1056" s="1">
        <v>0</v>
      </c>
      <c r="BO1056" s="1">
        <v>0</v>
      </c>
      <c r="BP1056" s="1">
        <v>0</v>
      </c>
      <c r="BQ1056" s="2" t="str">
        <f>HYPERLINK("http://www.d20pfsrd.com/magic/all-spells/m/marionette-possession","Marionette Possession")</f>
        <v>Marionette Possession</v>
      </c>
      <c r="BR1056" s="1">
        <v>1098</v>
      </c>
      <c r="BS1056" s="1" t="s">
        <v>104</v>
      </c>
      <c r="BX1056" s="1">
        <v>0</v>
      </c>
      <c r="BY1056" s="1" t="s">
        <v>104</v>
      </c>
      <c r="BZ1056" s="1" t="s">
        <v>104</v>
      </c>
      <c r="CA1056" s="1">
        <v>3</v>
      </c>
      <c r="CB1056" s="1" t="s">
        <v>104</v>
      </c>
      <c r="CC1056" s="1">
        <v>3</v>
      </c>
      <c r="CD1056" s="1" t="s">
        <v>104</v>
      </c>
      <c r="CE1056" s="1" t="s">
        <v>104</v>
      </c>
      <c r="CF1056" s="1" t="s">
        <v>104</v>
      </c>
      <c r="CG1056" s="1" t="s">
        <v>104</v>
      </c>
      <c r="CH1056" s="1" t="s">
        <v>104</v>
      </c>
      <c r="CJ1056" s="1">
        <v>0</v>
      </c>
      <c r="CK1056" s="1">
        <v>0</v>
      </c>
      <c r="CL1056" s="1">
        <v>0</v>
      </c>
      <c r="CM1056" s="1">
        <v>3</v>
      </c>
    </row>
    <row r="1057" spans="1:91" ht="14.25" customHeight="1" x14ac:dyDescent="0.3">
      <c r="A1057" s="1" t="s">
        <v>6469</v>
      </c>
      <c r="B1057" s="1" t="s">
        <v>137</v>
      </c>
      <c r="E1057" s="1" t="s">
        <v>6470</v>
      </c>
      <c r="F1057" s="1" t="s">
        <v>273</v>
      </c>
      <c r="G1057" s="1" t="s">
        <v>6471</v>
      </c>
      <c r="H1057" s="1">
        <v>0</v>
      </c>
      <c r="I1057" s="1" t="s">
        <v>128</v>
      </c>
      <c r="L1057" s="1" t="s">
        <v>6472</v>
      </c>
      <c r="M1057" s="1" t="s">
        <v>119</v>
      </c>
      <c r="N1057" s="1">
        <v>0</v>
      </c>
      <c r="O1057" s="1">
        <v>0</v>
      </c>
      <c r="P1057" s="1" t="s">
        <v>100</v>
      </c>
      <c r="Q1057" s="1" t="s">
        <v>101</v>
      </c>
      <c r="R1057" s="1" t="s">
        <v>6473</v>
      </c>
      <c r="S1057" s="1" t="s">
        <v>4201</v>
      </c>
      <c r="T1057" s="1">
        <v>1</v>
      </c>
      <c r="U1057" s="1">
        <v>1</v>
      </c>
      <c r="V1057" s="1">
        <v>1</v>
      </c>
      <c r="W1057" s="1">
        <v>0</v>
      </c>
      <c r="X1057" s="1">
        <v>0</v>
      </c>
      <c r="Y1057" s="1">
        <v>2</v>
      </c>
      <c r="Z1057" s="1">
        <v>2</v>
      </c>
      <c r="AA1057" s="1">
        <v>2</v>
      </c>
      <c r="AB1057" s="1">
        <v>2</v>
      </c>
      <c r="AC1057" s="1" t="s">
        <v>104</v>
      </c>
      <c r="AD1057" s="1">
        <v>2</v>
      </c>
      <c r="AE1057" s="1" t="s">
        <v>104</v>
      </c>
      <c r="AF1057" s="1" t="s">
        <v>104</v>
      </c>
      <c r="AG1057" s="1" t="s">
        <v>104</v>
      </c>
      <c r="AH1057" s="1">
        <v>2</v>
      </c>
      <c r="AI1057" s="1" t="s">
        <v>104</v>
      </c>
      <c r="AJ1057" s="1">
        <v>2</v>
      </c>
      <c r="AK1057" s="1" t="s">
        <v>104</v>
      </c>
      <c r="AL1057" s="1" t="s">
        <v>104</v>
      </c>
      <c r="AM1057" s="1" t="s">
        <v>104</v>
      </c>
      <c r="AO1057" s="1">
        <v>2</v>
      </c>
      <c r="AP1057" s="1" t="s">
        <v>6474</v>
      </c>
      <c r="AQ1057" s="1" t="s">
        <v>6475</v>
      </c>
      <c r="AR1057" s="1">
        <v>0</v>
      </c>
      <c r="AS1057" s="1">
        <v>0</v>
      </c>
      <c r="AT1057" s="1">
        <v>0</v>
      </c>
      <c r="AU1057" s="1">
        <v>0</v>
      </c>
      <c r="AV1057" s="1">
        <v>0</v>
      </c>
      <c r="AW1057" s="1">
        <v>0</v>
      </c>
      <c r="AX1057" s="1">
        <v>0</v>
      </c>
      <c r="AY1057" s="1">
        <v>0</v>
      </c>
      <c r="AZ1057" s="1">
        <v>0</v>
      </c>
      <c r="BA1057" s="1">
        <v>0</v>
      </c>
      <c r="BB1057" s="1">
        <v>0</v>
      </c>
      <c r="BC1057" s="1">
        <v>0</v>
      </c>
      <c r="BD1057" s="1">
        <v>0</v>
      </c>
      <c r="BE1057" s="1">
        <v>0</v>
      </c>
      <c r="BF1057" s="1">
        <v>0</v>
      </c>
      <c r="BG1057" s="1">
        <v>0</v>
      </c>
      <c r="BH1057" s="1">
        <v>0</v>
      </c>
      <c r="BI1057" s="1">
        <v>0</v>
      </c>
      <c r="BJ1057" s="1">
        <v>0</v>
      </c>
      <c r="BK1057" s="1">
        <v>0</v>
      </c>
      <c r="BL1057" s="1">
        <v>0</v>
      </c>
      <c r="BM1057" s="1">
        <v>0</v>
      </c>
      <c r="BN1057" s="1">
        <v>0</v>
      </c>
      <c r="BO1057" s="1">
        <v>0</v>
      </c>
      <c r="BP1057" s="1">
        <v>0</v>
      </c>
      <c r="BQ1057" s="2" t="str">
        <f>HYPERLINK("http://www.d20pfsrd.com/magic/all-spells/m/masterwork-transformation","Masterwork Transformation")</f>
        <v>Masterwork Transformation</v>
      </c>
      <c r="BR1057" s="1">
        <v>1099</v>
      </c>
      <c r="BS1057" s="1" t="s">
        <v>104</v>
      </c>
      <c r="BX1057" s="1">
        <v>0</v>
      </c>
      <c r="BY1057" s="1" t="s">
        <v>104</v>
      </c>
      <c r="BZ1057" s="1" t="s">
        <v>104</v>
      </c>
      <c r="CA1057" s="1" t="s">
        <v>104</v>
      </c>
      <c r="CB1057" s="1" t="s">
        <v>104</v>
      </c>
      <c r="CC1057" s="1" t="s">
        <v>104</v>
      </c>
      <c r="CD1057" s="1">
        <v>2</v>
      </c>
      <c r="CE1057" s="1" t="s">
        <v>104</v>
      </c>
      <c r="CF1057" s="1" t="s">
        <v>104</v>
      </c>
      <c r="CG1057" s="1" t="s">
        <v>104</v>
      </c>
      <c r="CH1057" s="1">
        <v>2</v>
      </c>
      <c r="CJ1057" s="1">
        <v>0</v>
      </c>
      <c r="CK1057" s="1">
        <v>0</v>
      </c>
      <c r="CL1057" s="1">
        <v>0</v>
      </c>
      <c r="CM1057" s="1" t="s">
        <v>104</v>
      </c>
    </row>
    <row r="1058" spans="1:91" ht="14.25" customHeight="1" x14ac:dyDescent="0.3">
      <c r="A1058" s="1" t="s">
        <v>6476</v>
      </c>
      <c r="B1058" s="1" t="s">
        <v>162</v>
      </c>
      <c r="D1058" s="1" t="s">
        <v>6034</v>
      </c>
      <c r="E1058" s="1" t="s">
        <v>6312</v>
      </c>
      <c r="F1058" s="1" t="s">
        <v>95</v>
      </c>
      <c r="G1058" s="1" t="s">
        <v>116</v>
      </c>
      <c r="H1058" s="1">
        <v>0</v>
      </c>
      <c r="I1058" s="1" t="s">
        <v>128</v>
      </c>
      <c r="L1058" s="1" t="s">
        <v>374</v>
      </c>
      <c r="M1058" s="1" t="s">
        <v>6477</v>
      </c>
      <c r="N1058" s="1">
        <v>0</v>
      </c>
      <c r="O1058" s="1">
        <v>0</v>
      </c>
      <c r="P1058" s="1" t="s">
        <v>1902</v>
      </c>
      <c r="Q1058" s="1" t="s">
        <v>184</v>
      </c>
      <c r="R1058" s="1" t="s">
        <v>6478</v>
      </c>
      <c r="S1058" s="1" t="s">
        <v>4201</v>
      </c>
      <c r="T1058" s="1">
        <v>1</v>
      </c>
      <c r="U1058" s="1">
        <v>1</v>
      </c>
      <c r="V1058" s="1">
        <v>0</v>
      </c>
      <c r="W1058" s="1">
        <v>0</v>
      </c>
      <c r="X1058" s="1">
        <v>0</v>
      </c>
      <c r="Y1058" s="1">
        <v>2</v>
      </c>
      <c r="Z1058" s="1">
        <v>2</v>
      </c>
      <c r="AA1058" s="1" t="s">
        <v>104</v>
      </c>
      <c r="AB1058" s="1" t="s">
        <v>104</v>
      </c>
      <c r="AC1058" s="1" t="s">
        <v>104</v>
      </c>
      <c r="AD1058" s="1">
        <v>2</v>
      </c>
      <c r="AE1058" s="1" t="s">
        <v>104</v>
      </c>
      <c r="AF1058" s="1" t="s">
        <v>104</v>
      </c>
      <c r="AG1058" s="1" t="s">
        <v>104</v>
      </c>
      <c r="AH1058" s="1">
        <v>2</v>
      </c>
      <c r="AI1058" s="1" t="s">
        <v>104</v>
      </c>
      <c r="AJ1058" s="1" t="s">
        <v>104</v>
      </c>
      <c r="AK1058" s="1" t="s">
        <v>104</v>
      </c>
      <c r="AL1058" s="1" t="s">
        <v>104</v>
      </c>
      <c r="AM1058" s="1" t="s">
        <v>104</v>
      </c>
      <c r="AO1058" s="1">
        <v>2</v>
      </c>
      <c r="AQ1058" s="1" t="s">
        <v>6479</v>
      </c>
      <c r="AR1058" s="1">
        <v>0</v>
      </c>
      <c r="AS1058" s="1">
        <v>0</v>
      </c>
      <c r="AT1058" s="1">
        <v>0</v>
      </c>
      <c r="AU1058" s="1">
        <v>0</v>
      </c>
      <c r="AV1058" s="1">
        <v>0</v>
      </c>
      <c r="AW1058" s="1">
        <v>0</v>
      </c>
      <c r="AX1058" s="1">
        <v>0</v>
      </c>
      <c r="AY1058" s="1">
        <v>0</v>
      </c>
      <c r="AZ1058" s="1">
        <v>0</v>
      </c>
      <c r="BA1058" s="1">
        <v>0</v>
      </c>
      <c r="BB1058" s="1">
        <v>1</v>
      </c>
      <c r="BC1058" s="1">
        <v>0</v>
      </c>
      <c r="BD1058" s="1">
        <v>0</v>
      </c>
      <c r="BE1058" s="1">
        <v>0</v>
      </c>
      <c r="BF1058" s="1">
        <v>0</v>
      </c>
      <c r="BG1058" s="1">
        <v>0</v>
      </c>
      <c r="BH1058" s="1">
        <v>0</v>
      </c>
      <c r="BI1058" s="1">
        <v>0</v>
      </c>
      <c r="BJ1058" s="1">
        <v>0</v>
      </c>
      <c r="BK1058" s="1">
        <v>1</v>
      </c>
      <c r="BL1058" s="1">
        <v>0</v>
      </c>
      <c r="BM1058" s="1">
        <v>0</v>
      </c>
      <c r="BN1058" s="1">
        <v>0</v>
      </c>
      <c r="BO1058" s="1">
        <v>0</v>
      </c>
      <c r="BP1058" s="1">
        <v>0</v>
      </c>
      <c r="BQ1058" s="2" t="str">
        <f>HYPERLINK("http://www.d20pfsrd.com/magic/all-spells/m/miserable-pity","Miserable Pity")</f>
        <v>Miserable Pity</v>
      </c>
      <c r="BR1058" s="1">
        <v>1100</v>
      </c>
      <c r="BS1058" s="1" t="s">
        <v>104</v>
      </c>
      <c r="BX1058" s="1">
        <v>0</v>
      </c>
      <c r="BY1058" s="1" t="s">
        <v>104</v>
      </c>
      <c r="BZ1058" s="1" t="s">
        <v>104</v>
      </c>
      <c r="CA1058" s="1">
        <v>2</v>
      </c>
      <c r="CB1058" s="1" t="s">
        <v>104</v>
      </c>
      <c r="CC1058" s="1">
        <v>2</v>
      </c>
      <c r="CD1058" s="1" t="s">
        <v>104</v>
      </c>
      <c r="CE1058" s="1" t="s">
        <v>104</v>
      </c>
      <c r="CF1058" s="1" t="s">
        <v>104</v>
      </c>
      <c r="CG1058" s="1" t="s">
        <v>104</v>
      </c>
      <c r="CH1058" s="1" t="s">
        <v>104</v>
      </c>
      <c r="CJ1058" s="1">
        <v>0</v>
      </c>
      <c r="CK1058" s="1">
        <v>0</v>
      </c>
      <c r="CL1058" s="1">
        <v>0</v>
      </c>
      <c r="CM1058" s="1" t="s">
        <v>104</v>
      </c>
    </row>
    <row r="1059" spans="1:91" ht="14.25" customHeight="1" x14ac:dyDescent="0.3">
      <c r="A1059" s="1" t="s">
        <v>6480</v>
      </c>
      <c r="B1059" s="1" t="s">
        <v>137</v>
      </c>
      <c r="C1059" s="1" t="s">
        <v>154</v>
      </c>
      <c r="E1059" s="1" t="s">
        <v>6481</v>
      </c>
      <c r="F1059" s="1" t="s">
        <v>95</v>
      </c>
      <c r="G1059" s="1" t="s">
        <v>156</v>
      </c>
      <c r="H1059" s="1">
        <v>0</v>
      </c>
      <c r="I1059" s="1" t="s">
        <v>157</v>
      </c>
      <c r="L1059" s="1" t="s">
        <v>158</v>
      </c>
      <c r="M1059" s="1" t="s">
        <v>4641</v>
      </c>
      <c r="N1059" s="1">
        <v>1</v>
      </c>
      <c r="O1059" s="1">
        <v>0</v>
      </c>
      <c r="R1059" s="1" t="s">
        <v>6482</v>
      </c>
      <c r="S1059" s="1" t="s">
        <v>4201</v>
      </c>
      <c r="T1059" s="1">
        <v>1</v>
      </c>
      <c r="U1059" s="1">
        <v>1</v>
      </c>
      <c r="V1059" s="1">
        <v>1</v>
      </c>
      <c r="W1059" s="1">
        <v>0</v>
      </c>
      <c r="X1059" s="1">
        <v>0</v>
      </c>
      <c r="Y1059" s="1">
        <v>3</v>
      </c>
      <c r="Z1059" s="1">
        <v>3</v>
      </c>
      <c r="AA1059" s="1" t="s">
        <v>104</v>
      </c>
      <c r="AB1059" s="1" t="s">
        <v>104</v>
      </c>
      <c r="AC1059" s="1" t="s">
        <v>104</v>
      </c>
      <c r="AD1059" s="1" t="s">
        <v>104</v>
      </c>
      <c r="AE1059" s="1" t="s">
        <v>104</v>
      </c>
      <c r="AF1059" s="1">
        <v>3</v>
      </c>
      <c r="AG1059" s="1" t="s">
        <v>104</v>
      </c>
      <c r="AH1059" s="1" t="s">
        <v>104</v>
      </c>
      <c r="AI1059" s="1" t="s">
        <v>104</v>
      </c>
      <c r="AJ1059" s="1" t="s">
        <v>104</v>
      </c>
      <c r="AK1059" s="1" t="s">
        <v>104</v>
      </c>
      <c r="AL1059" s="1">
        <v>3</v>
      </c>
      <c r="AM1059" s="1" t="s">
        <v>104</v>
      </c>
      <c r="AO1059" s="1">
        <v>3</v>
      </c>
      <c r="AQ1059" s="1" t="s">
        <v>6483</v>
      </c>
      <c r="AR1059" s="1">
        <v>0</v>
      </c>
      <c r="AS1059" s="1">
        <v>0</v>
      </c>
      <c r="AT1059" s="1">
        <v>0</v>
      </c>
      <c r="AU1059" s="1">
        <v>0</v>
      </c>
      <c r="AV1059" s="1">
        <v>0</v>
      </c>
      <c r="AW1059" s="1">
        <v>0</v>
      </c>
      <c r="AX1059" s="1">
        <v>0</v>
      </c>
      <c r="AY1059" s="1">
        <v>0</v>
      </c>
      <c r="AZ1059" s="1">
        <v>0</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2" t="str">
        <f>HYPERLINK("http://www.d20pfsrd.com/magic/all-spells/m/monstrous-physique-i","Monstrous Physique I")</f>
        <v>Monstrous Physique I</v>
      </c>
      <c r="BR1059" s="1">
        <v>1101</v>
      </c>
      <c r="BS1059" s="1" t="s">
        <v>104</v>
      </c>
      <c r="BV1059" s="1" t="s">
        <v>6484</v>
      </c>
      <c r="BW1059" s="1" t="s">
        <v>6485</v>
      </c>
      <c r="BX1059" s="1">
        <v>1</v>
      </c>
      <c r="BY1059" s="1">
        <v>3</v>
      </c>
      <c r="BZ1059" s="1" t="s">
        <v>104</v>
      </c>
      <c r="CA1059" s="1" t="s">
        <v>104</v>
      </c>
      <c r="CB1059" s="1" t="s">
        <v>104</v>
      </c>
      <c r="CC1059" s="1" t="s">
        <v>104</v>
      </c>
      <c r="CD1059" s="1" t="s">
        <v>104</v>
      </c>
      <c r="CE1059" s="1" t="s">
        <v>104</v>
      </c>
      <c r="CF1059" s="1" t="s">
        <v>104</v>
      </c>
      <c r="CG1059" s="1" t="s">
        <v>104</v>
      </c>
      <c r="CH1059" s="1" t="s">
        <v>104</v>
      </c>
      <c r="CJ1059" s="1">
        <v>0</v>
      </c>
      <c r="CK1059" s="1">
        <v>0</v>
      </c>
      <c r="CL1059" s="1">
        <v>0</v>
      </c>
      <c r="CM1059" s="1" t="s">
        <v>104</v>
      </c>
    </row>
    <row r="1060" spans="1:91" ht="14.25" customHeight="1" x14ac:dyDescent="0.3">
      <c r="A1060" s="1" t="s">
        <v>6486</v>
      </c>
      <c r="B1060" s="1" t="s">
        <v>137</v>
      </c>
      <c r="C1060" s="1" t="s">
        <v>154</v>
      </c>
      <c r="E1060" s="1" t="s">
        <v>6487</v>
      </c>
      <c r="F1060" s="1" t="s">
        <v>95</v>
      </c>
      <c r="G1060" s="1" t="s">
        <v>156</v>
      </c>
      <c r="H1060" s="1">
        <v>0</v>
      </c>
      <c r="I1060" s="1" t="s">
        <v>157</v>
      </c>
      <c r="L1060" s="1" t="s">
        <v>158</v>
      </c>
      <c r="M1060" s="1" t="s">
        <v>4641</v>
      </c>
      <c r="N1060" s="1">
        <v>1</v>
      </c>
      <c r="O1060" s="1">
        <v>0</v>
      </c>
      <c r="R1060" s="1" t="s">
        <v>6488</v>
      </c>
      <c r="S1060" s="1" t="s">
        <v>4201</v>
      </c>
      <c r="T1060" s="1">
        <v>1</v>
      </c>
      <c r="U1060" s="1">
        <v>1</v>
      </c>
      <c r="V1060" s="1">
        <v>1</v>
      </c>
      <c r="W1060" s="1">
        <v>0</v>
      </c>
      <c r="X1060" s="1">
        <v>0</v>
      </c>
      <c r="Y1060" s="1">
        <v>4</v>
      </c>
      <c r="Z1060" s="1">
        <v>4</v>
      </c>
      <c r="AA1060" s="1" t="s">
        <v>104</v>
      </c>
      <c r="AB1060" s="1" t="s">
        <v>104</v>
      </c>
      <c r="AC1060" s="1" t="s">
        <v>104</v>
      </c>
      <c r="AD1060" s="1" t="s">
        <v>104</v>
      </c>
      <c r="AE1060" s="1" t="s">
        <v>104</v>
      </c>
      <c r="AF1060" s="1">
        <v>4</v>
      </c>
      <c r="AG1060" s="1" t="s">
        <v>104</v>
      </c>
      <c r="AH1060" s="1" t="s">
        <v>104</v>
      </c>
      <c r="AI1060" s="1" t="s">
        <v>104</v>
      </c>
      <c r="AJ1060" s="1" t="s">
        <v>104</v>
      </c>
      <c r="AK1060" s="1" t="s">
        <v>104</v>
      </c>
      <c r="AL1060" s="1">
        <v>4</v>
      </c>
      <c r="AM1060" s="1" t="s">
        <v>104</v>
      </c>
      <c r="AO1060" s="1">
        <v>4</v>
      </c>
      <c r="AQ1060" s="1" t="s">
        <v>6489</v>
      </c>
      <c r="AR1060" s="1">
        <v>0</v>
      </c>
      <c r="AS1060" s="1">
        <v>0</v>
      </c>
      <c r="AT1060" s="1">
        <v>0</v>
      </c>
      <c r="AU1060" s="1">
        <v>0</v>
      </c>
      <c r="AV1060" s="1">
        <v>0</v>
      </c>
      <c r="AW1060" s="1">
        <v>0</v>
      </c>
      <c r="AX1060" s="1">
        <v>0</v>
      </c>
      <c r="AY1060" s="1">
        <v>0</v>
      </c>
      <c r="AZ1060" s="1">
        <v>0</v>
      </c>
      <c r="BA1060" s="1">
        <v>0</v>
      </c>
      <c r="BB1060" s="1">
        <v>0</v>
      </c>
      <c r="BC1060" s="1">
        <v>0</v>
      </c>
      <c r="BD1060" s="1">
        <v>0</v>
      </c>
      <c r="BE1060" s="1">
        <v>0</v>
      </c>
      <c r="BF1060" s="1">
        <v>0</v>
      </c>
      <c r="BG1060" s="1">
        <v>0</v>
      </c>
      <c r="BH1060" s="1">
        <v>0</v>
      </c>
      <c r="BI1060" s="1">
        <v>0</v>
      </c>
      <c r="BJ1060" s="1">
        <v>0</v>
      </c>
      <c r="BK1060" s="1">
        <v>0</v>
      </c>
      <c r="BL1060" s="1">
        <v>0</v>
      </c>
      <c r="BM1060" s="1">
        <v>0</v>
      </c>
      <c r="BN1060" s="1">
        <v>0</v>
      </c>
      <c r="BO1060" s="1">
        <v>0</v>
      </c>
      <c r="BP1060" s="1">
        <v>0</v>
      </c>
      <c r="BQ1060" s="2" t="str">
        <f>HYPERLINK("http://www.d20pfsrd.com/magic/all-spells/m/monstrous-physique-ii","Monstrous Physique II")</f>
        <v>Monstrous Physique II</v>
      </c>
      <c r="BR1060" s="1">
        <v>1102</v>
      </c>
      <c r="BS1060" s="1" t="s">
        <v>104</v>
      </c>
      <c r="BV1060" s="1" t="s">
        <v>6484</v>
      </c>
      <c r="BW1060" s="1" t="s">
        <v>6485</v>
      </c>
      <c r="BX1060" s="1">
        <v>1</v>
      </c>
      <c r="BY1060" s="1">
        <v>4</v>
      </c>
      <c r="BZ1060" s="1" t="s">
        <v>104</v>
      </c>
      <c r="CA1060" s="1" t="s">
        <v>104</v>
      </c>
      <c r="CB1060" s="1" t="s">
        <v>104</v>
      </c>
      <c r="CC1060" s="1" t="s">
        <v>104</v>
      </c>
      <c r="CD1060" s="1" t="s">
        <v>104</v>
      </c>
      <c r="CE1060" s="1" t="s">
        <v>104</v>
      </c>
      <c r="CF1060" s="1" t="s">
        <v>104</v>
      </c>
      <c r="CG1060" s="1" t="s">
        <v>104</v>
      </c>
      <c r="CH1060" s="1" t="s">
        <v>104</v>
      </c>
      <c r="CJ1060" s="1">
        <v>0</v>
      </c>
      <c r="CK1060" s="1">
        <v>0</v>
      </c>
      <c r="CL1060" s="1">
        <v>0</v>
      </c>
      <c r="CM1060" s="1" t="s">
        <v>104</v>
      </c>
    </row>
    <row r="1061" spans="1:91" ht="14.25" customHeight="1" x14ac:dyDescent="0.3">
      <c r="A1061" s="1" t="s">
        <v>6490</v>
      </c>
      <c r="B1061" s="1" t="s">
        <v>137</v>
      </c>
      <c r="C1061" s="1" t="s">
        <v>154</v>
      </c>
      <c r="E1061" s="1" t="s">
        <v>6491</v>
      </c>
      <c r="F1061" s="1" t="s">
        <v>95</v>
      </c>
      <c r="G1061" s="1" t="s">
        <v>156</v>
      </c>
      <c r="H1061" s="1">
        <v>0</v>
      </c>
      <c r="I1061" s="1" t="s">
        <v>157</v>
      </c>
      <c r="L1061" s="1" t="s">
        <v>158</v>
      </c>
      <c r="M1061" s="1" t="s">
        <v>4641</v>
      </c>
      <c r="N1061" s="1">
        <v>1</v>
      </c>
      <c r="O1061" s="1">
        <v>0</v>
      </c>
      <c r="R1061" s="1" t="s">
        <v>6492</v>
      </c>
      <c r="S1061" s="1" t="s">
        <v>4201</v>
      </c>
      <c r="T1061" s="1">
        <v>1</v>
      </c>
      <c r="U1061" s="1">
        <v>1</v>
      </c>
      <c r="V1061" s="1">
        <v>1</v>
      </c>
      <c r="W1061" s="1">
        <v>0</v>
      </c>
      <c r="X1061" s="1">
        <v>0</v>
      </c>
      <c r="Y1061" s="1">
        <v>5</v>
      </c>
      <c r="Z1061" s="1">
        <v>5</v>
      </c>
      <c r="AA1061" s="1" t="s">
        <v>104</v>
      </c>
      <c r="AB1061" s="1" t="s">
        <v>104</v>
      </c>
      <c r="AC1061" s="1" t="s">
        <v>104</v>
      </c>
      <c r="AD1061" s="1" t="s">
        <v>104</v>
      </c>
      <c r="AE1061" s="1" t="s">
        <v>104</v>
      </c>
      <c r="AF1061" s="1">
        <v>5</v>
      </c>
      <c r="AG1061" s="1" t="s">
        <v>104</v>
      </c>
      <c r="AH1061" s="1" t="s">
        <v>104</v>
      </c>
      <c r="AI1061" s="1" t="s">
        <v>104</v>
      </c>
      <c r="AJ1061" s="1" t="s">
        <v>104</v>
      </c>
      <c r="AK1061" s="1" t="s">
        <v>104</v>
      </c>
      <c r="AL1061" s="1">
        <v>5</v>
      </c>
      <c r="AM1061" s="1" t="s">
        <v>104</v>
      </c>
      <c r="AO1061" s="1">
        <v>5</v>
      </c>
      <c r="AQ1061" s="1" t="s">
        <v>6493</v>
      </c>
      <c r="AR1061" s="1">
        <v>0</v>
      </c>
      <c r="AS1061" s="1">
        <v>0</v>
      </c>
      <c r="AT1061" s="1">
        <v>0</v>
      </c>
      <c r="AU1061" s="1">
        <v>0</v>
      </c>
      <c r="AV1061" s="1">
        <v>0</v>
      </c>
      <c r="AW1061" s="1">
        <v>0</v>
      </c>
      <c r="AX1061" s="1">
        <v>0</v>
      </c>
      <c r="AY1061" s="1">
        <v>0</v>
      </c>
      <c r="AZ1061" s="1">
        <v>0</v>
      </c>
      <c r="BA1061" s="1">
        <v>0</v>
      </c>
      <c r="BB1061" s="1">
        <v>0</v>
      </c>
      <c r="BC1061" s="1">
        <v>0</v>
      </c>
      <c r="BD1061" s="1">
        <v>0</v>
      </c>
      <c r="BE1061" s="1">
        <v>0</v>
      </c>
      <c r="BF1061" s="1">
        <v>0</v>
      </c>
      <c r="BG1061" s="1">
        <v>0</v>
      </c>
      <c r="BH1061" s="1">
        <v>0</v>
      </c>
      <c r="BI1061" s="1">
        <v>0</v>
      </c>
      <c r="BJ1061" s="1">
        <v>0</v>
      </c>
      <c r="BK1061" s="1">
        <v>0</v>
      </c>
      <c r="BL1061" s="1">
        <v>0</v>
      </c>
      <c r="BM1061" s="1">
        <v>0</v>
      </c>
      <c r="BN1061" s="1">
        <v>0</v>
      </c>
      <c r="BO1061" s="1">
        <v>0</v>
      </c>
      <c r="BP1061" s="1">
        <v>0</v>
      </c>
      <c r="BQ1061" s="2" t="str">
        <f>HYPERLINK("http://www.d20pfsrd.com/magic/all-spells/m/monstrous-physique-iii","Monstrous Physique III")</f>
        <v>Monstrous Physique III</v>
      </c>
      <c r="BR1061" s="1">
        <v>1103</v>
      </c>
      <c r="BS1061" s="1" t="s">
        <v>104</v>
      </c>
      <c r="BV1061" s="1" t="s">
        <v>6484</v>
      </c>
      <c r="BW1061" s="1" t="s">
        <v>6485</v>
      </c>
      <c r="BX1061" s="1">
        <v>1</v>
      </c>
      <c r="BY1061" s="1" t="s">
        <v>104</v>
      </c>
      <c r="BZ1061" s="1" t="s">
        <v>104</v>
      </c>
      <c r="CA1061" s="1" t="s">
        <v>104</v>
      </c>
      <c r="CB1061" s="1" t="s">
        <v>104</v>
      </c>
      <c r="CC1061" s="1" t="s">
        <v>104</v>
      </c>
      <c r="CD1061" s="1" t="s">
        <v>104</v>
      </c>
      <c r="CE1061" s="1" t="s">
        <v>104</v>
      </c>
      <c r="CF1061" s="1" t="s">
        <v>104</v>
      </c>
      <c r="CG1061" s="1" t="s">
        <v>104</v>
      </c>
      <c r="CH1061" s="1" t="s">
        <v>104</v>
      </c>
      <c r="CJ1061" s="1">
        <v>0</v>
      </c>
      <c r="CK1061" s="1">
        <v>0</v>
      </c>
      <c r="CL1061" s="1">
        <v>0</v>
      </c>
      <c r="CM1061" s="1" t="s">
        <v>104</v>
      </c>
    </row>
    <row r="1062" spans="1:91" ht="14.25" customHeight="1" x14ac:dyDescent="0.3">
      <c r="A1062" s="1" t="s">
        <v>6494</v>
      </c>
      <c r="B1062" s="1" t="s">
        <v>137</v>
      </c>
      <c r="C1062" s="1" t="s">
        <v>154</v>
      </c>
      <c r="E1062" s="1" t="s">
        <v>6495</v>
      </c>
      <c r="F1062" s="1" t="s">
        <v>95</v>
      </c>
      <c r="G1062" s="1" t="s">
        <v>156</v>
      </c>
      <c r="H1062" s="1">
        <v>0</v>
      </c>
      <c r="I1062" s="1" t="s">
        <v>157</v>
      </c>
      <c r="L1062" s="1" t="s">
        <v>158</v>
      </c>
      <c r="M1062" s="1" t="s">
        <v>4641</v>
      </c>
      <c r="N1062" s="1">
        <v>1</v>
      </c>
      <c r="O1062" s="1">
        <v>0</v>
      </c>
      <c r="R1062" s="1" t="s">
        <v>6496</v>
      </c>
      <c r="S1062" s="1" t="s">
        <v>4201</v>
      </c>
      <c r="T1062" s="1">
        <v>1</v>
      </c>
      <c r="U1062" s="1">
        <v>1</v>
      </c>
      <c r="V1062" s="1">
        <v>1</v>
      </c>
      <c r="W1062" s="1">
        <v>0</v>
      </c>
      <c r="X1062" s="1">
        <v>0</v>
      </c>
      <c r="Y1062" s="1">
        <v>6</v>
      </c>
      <c r="Z1062" s="1">
        <v>6</v>
      </c>
      <c r="AA1062" s="1" t="s">
        <v>104</v>
      </c>
      <c r="AB1062" s="1" t="s">
        <v>104</v>
      </c>
      <c r="AC1062" s="1" t="s">
        <v>104</v>
      </c>
      <c r="AD1062" s="1" t="s">
        <v>104</v>
      </c>
      <c r="AE1062" s="1" t="s">
        <v>104</v>
      </c>
      <c r="AF1062" s="1">
        <v>6</v>
      </c>
      <c r="AG1062" s="1" t="s">
        <v>104</v>
      </c>
      <c r="AH1062" s="1" t="s">
        <v>104</v>
      </c>
      <c r="AI1062" s="1" t="s">
        <v>104</v>
      </c>
      <c r="AJ1062" s="1" t="s">
        <v>104</v>
      </c>
      <c r="AK1062" s="1" t="s">
        <v>104</v>
      </c>
      <c r="AL1062" s="1">
        <v>6</v>
      </c>
      <c r="AM1062" s="1" t="s">
        <v>104</v>
      </c>
      <c r="AO1062" s="1">
        <v>6</v>
      </c>
      <c r="AQ1062" s="1" t="s">
        <v>6497</v>
      </c>
      <c r="AR1062" s="1">
        <v>0</v>
      </c>
      <c r="AS1062" s="1">
        <v>0</v>
      </c>
      <c r="AT1062" s="1">
        <v>0</v>
      </c>
      <c r="AU1062" s="1">
        <v>0</v>
      </c>
      <c r="AV1062" s="1">
        <v>0</v>
      </c>
      <c r="AW1062" s="1">
        <v>0</v>
      </c>
      <c r="AX1062" s="1">
        <v>0</v>
      </c>
      <c r="AY1062" s="1">
        <v>0</v>
      </c>
      <c r="AZ1062" s="1">
        <v>0</v>
      </c>
      <c r="BA1062" s="1">
        <v>0</v>
      </c>
      <c r="BB1062" s="1">
        <v>0</v>
      </c>
      <c r="BC1062" s="1">
        <v>0</v>
      </c>
      <c r="BD1062" s="1">
        <v>0</v>
      </c>
      <c r="BE1062" s="1">
        <v>0</v>
      </c>
      <c r="BF1062" s="1">
        <v>0</v>
      </c>
      <c r="BG1062" s="1">
        <v>0</v>
      </c>
      <c r="BH1062" s="1">
        <v>0</v>
      </c>
      <c r="BI1062" s="1">
        <v>0</v>
      </c>
      <c r="BJ1062" s="1">
        <v>0</v>
      </c>
      <c r="BK1062" s="1">
        <v>0</v>
      </c>
      <c r="BL1062" s="1">
        <v>0</v>
      </c>
      <c r="BM1062" s="1">
        <v>0</v>
      </c>
      <c r="BN1062" s="1">
        <v>0</v>
      </c>
      <c r="BO1062" s="1">
        <v>0</v>
      </c>
      <c r="BP1062" s="1">
        <v>0</v>
      </c>
      <c r="BQ1062" s="2" t="str">
        <f>HYPERLINK("http://www.d20pfsrd.com/magic/all-spells/m/monstrous-physique-iv","Monstrous Physique IV")</f>
        <v>Monstrous Physique IV</v>
      </c>
      <c r="BR1062" s="1">
        <v>1104</v>
      </c>
      <c r="BS1062" s="1" t="s">
        <v>104</v>
      </c>
      <c r="BV1062" s="1" t="s">
        <v>6484</v>
      </c>
      <c r="BW1062" s="1" t="s">
        <v>6485</v>
      </c>
      <c r="BX1062" s="1">
        <v>1</v>
      </c>
      <c r="BY1062" s="1" t="s">
        <v>104</v>
      </c>
      <c r="BZ1062" s="1" t="s">
        <v>104</v>
      </c>
      <c r="CA1062" s="1" t="s">
        <v>104</v>
      </c>
      <c r="CB1062" s="1" t="s">
        <v>104</v>
      </c>
      <c r="CC1062" s="1" t="s">
        <v>104</v>
      </c>
      <c r="CD1062" s="1" t="s">
        <v>104</v>
      </c>
      <c r="CE1062" s="1" t="s">
        <v>104</v>
      </c>
      <c r="CF1062" s="1" t="s">
        <v>104</v>
      </c>
      <c r="CG1062" s="1" t="s">
        <v>104</v>
      </c>
      <c r="CH1062" s="1" t="s">
        <v>104</v>
      </c>
      <c r="CJ1062" s="1">
        <v>0</v>
      </c>
      <c r="CK1062" s="1">
        <v>0</v>
      </c>
      <c r="CL1062" s="1">
        <v>0</v>
      </c>
      <c r="CM1062" s="1" t="s">
        <v>104</v>
      </c>
    </row>
    <row r="1063" spans="1:91" ht="14.25" customHeight="1" x14ac:dyDescent="0.3">
      <c r="A1063" s="1" t="s">
        <v>6498</v>
      </c>
      <c r="B1063" s="1" t="s">
        <v>123</v>
      </c>
      <c r="C1063" s="1" t="s">
        <v>124</v>
      </c>
      <c r="D1063" s="1" t="s">
        <v>125</v>
      </c>
      <c r="E1063" s="1" t="s">
        <v>6499</v>
      </c>
      <c r="F1063" s="1" t="s">
        <v>95</v>
      </c>
      <c r="G1063" s="1" t="s">
        <v>237</v>
      </c>
      <c r="H1063" s="1">
        <v>0</v>
      </c>
      <c r="I1063" s="1" t="s">
        <v>117</v>
      </c>
      <c r="L1063" s="1" t="s">
        <v>417</v>
      </c>
      <c r="M1063" s="1" t="s">
        <v>255</v>
      </c>
      <c r="N1063" s="1">
        <v>0</v>
      </c>
      <c r="O1063" s="1">
        <v>0</v>
      </c>
      <c r="P1063" s="1" t="s">
        <v>211</v>
      </c>
      <c r="Q1063" s="1" t="s">
        <v>184</v>
      </c>
      <c r="R1063" s="1" t="s">
        <v>6500</v>
      </c>
      <c r="S1063" s="1" t="s">
        <v>4201</v>
      </c>
      <c r="T1063" s="1">
        <v>1</v>
      </c>
      <c r="U1063" s="1">
        <v>0</v>
      </c>
      <c r="V1063" s="1">
        <v>0</v>
      </c>
      <c r="W1063" s="1">
        <v>0</v>
      </c>
      <c r="X1063" s="1">
        <v>0</v>
      </c>
      <c r="Y1063" s="1" t="s">
        <v>104</v>
      </c>
      <c r="Z1063" s="1" t="s">
        <v>104</v>
      </c>
      <c r="AA1063" s="1">
        <v>1</v>
      </c>
      <c r="AB1063" s="1" t="s">
        <v>104</v>
      </c>
      <c r="AC1063" s="1" t="s">
        <v>104</v>
      </c>
      <c r="AD1063" s="1" t="s">
        <v>104</v>
      </c>
      <c r="AE1063" s="1" t="s">
        <v>104</v>
      </c>
      <c r="AF1063" s="1" t="s">
        <v>104</v>
      </c>
      <c r="AG1063" s="1" t="s">
        <v>104</v>
      </c>
      <c r="AH1063" s="1" t="s">
        <v>104</v>
      </c>
      <c r="AI1063" s="1" t="s">
        <v>104</v>
      </c>
      <c r="AJ1063" s="1">
        <v>1</v>
      </c>
      <c r="AK1063" s="1">
        <v>1</v>
      </c>
      <c r="AL1063" s="1" t="s">
        <v>104</v>
      </c>
      <c r="AM1063" s="1" t="s">
        <v>104</v>
      </c>
      <c r="AO1063" s="1">
        <v>1</v>
      </c>
      <c r="AP1063" s="1" t="s">
        <v>6501</v>
      </c>
      <c r="AQ1063" s="1" t="s">
        <v>6502</v>
      </c>
      <c r="AR1063" s="1">
        <v>0</v>
      </c>
      <c r="AS1063" s="1">
        <v>0</v>
      </c>
      <c r="AT1063" s="1">
        <v>0</v>
      </c>
      <c r="AU1063" s="1">
        <v>0</v>
      </c>
      <c r="AV1063" s="1">
        <v>0</v>
      </c>
      <c r="AW1063" s="1">
        <v>0</v>
      </c>
      <c r="AX1063" s="1">
        <v>0</v>
      </c>
      <c r="AY1063" s="1">
        <v>0</v>
      </c>
      <c r="AZ1063" s="1">
        <v>0</v>
      </c>
      <c r="BA1063" s="1">
        <v>0</v>
      </c>
      <c r="BB1063" s="1">
        <v>0</v>
      </c>
      <c r="BC1063" s="1">
        <v>0</v>
      </c>
      <c r="BD1063" s="1">
        <v>0</v>
      </c>
      <c r="BE1063" s="1">
        <v>0</v>
      </c>
      <c r="BF1063" s="1">
        <v>0</v>
      </c>
      <c r="BG1063" s="1">
        <v>0</v>
      </c>
      <c r="BH1063" s="1">
        <v>0</v>
      </c>
      <c r="BI1063" s="1">
        <v>0</v>
      </c>
      <c r="BJ1063" s="1">
        <v>0</v>
      </c>
      <c r="BK1063" s="1">
        <v>1</v>
      </c>
      <c r="BL1063" s="1">
        <v>0</v>
      </c>
      <c r="BM1063" s="1">
        <v>0</v>
      </c>
      <c r="BN1063" s="1">
        <v>0</v>
      </c>
      <c r="BO1063" s="1">
        <v>0</v>
      </c>
      <c r="BP1063" s="1">
        <v>0</v>
      </c>
      <c r="BQ1063" s="2" t="str">
        <f>HYPERLINK("http://www.d20pfsrd.com/magic/all-spells/m/murderous-command","Murderous Command")</f>
        <v>Murderous Command</v>
      </c>
      <c r="BR1063" s="1">
        <v>1105</v>
      </c>
      <c r="BS1063" s="1" t="s">
        <v>104</v>
      </c>
      <c r="BV1063" s="1" t="s">
        <v>6503</v>
      </c>
      <c r="BW1063" s="1" t="s">
        <v>6504</v>
      </c>
      <c r="BX1063" s="1">
        <v>1</v>
      </c>
      <c r="BY1063" s="1" t="s">
        <v>104</v>
      </c>
      <c r="BZ1063" s="1" t="s">
        <v>104</v>
      </c>
      <c r="CA1063" s="1">
        <v>1</v>
      </c>
      <c r="CB1063" s="1">
        <v>1</v>
      </c>
      <c r="CC1063" s="1">
        <v>1</v>
      </c>
      <c r="CD1063" s="1">
        <v>1</v>
      </c>
      <c r="CE1063" s="1" t="s">
        <v>104</v>
      </c>
      <c r="CF1063" s="1" t="s">
        <v>104</v>
      </c>
      <c r="CG1063" s="1" t="s">
        <v>104</v>
      </c>
      <c r="CH1063" s="1" t="s">
        <v>104</v>
      </c>
      <c r="CJ1063" s="1">
        <v>0</v>
      </c>
      <c r="CK1063" s="1">
        <v>0</v>
      </c>
      <c r="CL1063" s="1">
        <v>0</v>
      </c>
      <c r="CM1063" s="1" t="s">
        <v>104</v>
      </c>
    </row>
    <row r="1064" spans="1:91" ht="14.25" customHeight="1" x14ac:dyDescent="0.3">
      <c r="A1064" s="1" t="s">
        <v>6505</v>
      </c>
      <c r="B1064" s="1" t="s">
        <v>123</v>
      </c>
      <c r="C1064" s="1" t="s">
        <v>124</v>
      </c>
      <c r="D1064" s="1" t="s">
        <v>6034</v>
      </c>
      <c r="E1064" s="1" t="s">
        <v>6506</v>
      </c>
      <c r="F1064" s="1" t="s">
        <v>95</v>
      </c>
      <c r="G1064" s="1" t="s">
        <v>116</v>
      </c>
      <c r="H1064" s="1">
        <v>0</v>
      </c>
      <c r="I1064" s="1" t="s">
        <v>117</v>
      </c>
      <c r="L1064" s="1" t="s">
        <v>1065</v>
      </c>
      <c r="M1064" s="1" t="s">
        <v>6507</v>
      </c>
      <c r="N1064" s="1">
        <v>0</v>
      </c>
      <c r="O1064" s="1">
        <v>0</v>
      </c>
      <c r="P1064" s="1" t="s">
        <v>1902</v>
      </c>
      <c r="Q1064" s="1" t="s">
        <v>184</v>
      </c>
      <c r="R1064" s="1" t="s">
        <v>6508</v>
      </c>
      <c r="S1064" s="1" t="s">
        <v>4201</v>
      </c>
      <c r="T1064" s="1">
        <v>1</v>
      </c>
      <c r="U1064" s="1">
        <v>1</v>
      </c>
      <c r="V1064" s="1">
        <v>0</v>
      </c>
      <c r="W1064" s="1">
        <v>0</v>
      </c>
      <c r="X1064" s="1">
        <v>0</v>
      </c>
      <c r="Y1064" s="1">
        <v>2</v>
      </c>
      <c r="Z1064" s="1">
        <v>2</v>
      </c>
      <c r="AA1064" s="1" t="s">
        <v>104</v>
      </c>
      <c r="AB1064" s="1" t="s">
        <v>104</v>
      </c>
      <c r="AC1064" s="1" t="s">
        <v>104</v>
      </c>
      <c r="AD1064" s="1">
        <v>2</v>
      </c>
      <c r="AE1064" s="1" t="s">
        <v>104</v>
      </c>
      <c r="AF1064" s="1" t="s">
        <v>104</v>
      </c>
      <c r="AG1064" s="1" t="s">
        <v>104</v>
      </c>
      <c r="AH1064" s="1" t="s">
        <v>104</v>
      </c>
      <c r="AI1064" s="1" t="s">
        <v>104</v>
      </c>
      <c r="AJ1064" s="1" t="s">
        <v>104</v>
      </c>
      <c r="AK1064" s="1" t="s">
        <v>104</v>
      </c>
      <c r="AL1064" s="1" t="s">
        <v>104</v>
      </c>
      <c r="AM1064" s="1" t="s">
        <v>104</v>
      </c>
      <c r="AO1064" s="1">
        <v>2</v>
      </c>
      <c r="AQ1064" s="1" t="s">
        <v>6509</v>
      </c>
      <c r="AR1064" s="1">
        <v>0</v>
      </c>
      <c r="AS1064" s="1">
        <v>0</v>
      </c>
      <c r="AT1064" s="1">
        <v>0</v>
      </c>
      <c r="AU1064" s="1">
        <v>0</v>
      </c>
      <c r="AV1064" s="1">
        <v>0</v>
      </c>
      <c r="AW1064" s="1">
        <v>0</v>
      </c>
      <c r="AX1064" s="1">
        <v>0</v>
      </c>
      <c r="AY1064" s="1">
        <v>0</v>
      </c>
      <c r="AZ1064" s="1">
        <v>0</v>
      </c>
      <c r="BA1064" s="1">
        <v>0</v>
      </c>
      <c r="BB1064" s="1">
        <v>1</v>
      </c>
      <c r="BC1064" s="1">
        <v>0</v>
      </c>
      <c r="BD1064" s="1">
        <v>0</v>
      </c>
      <c r="BE1064" s="1">
        <v>0</v>
      </c>
      <c r="BF1064" s="1">
        <v>0</v>
      </c>
      <c r="BG1064" s="1">
        <v>0</v>
      </c>
      <c r="BH1064" s="1">
        <v>0</v>
      </c>
      <c r="BI1064" s="1">
        <v>0</v>
      </c>
      <c r="BJ1064" s="1">
        <v>0</v>
      </c>
      <c r="BK1064" s="1">
        <v>1</v>
      </c>
      <c r="BL1064" s="1">
        <v>0</v>
      </c>
      <c r="BM1064" s="1">
        <v>0</v>
      </c>
      <c r="BN1064" s="1">
        <v>0</v>
      </c>
      <c r="BO1064" s="1">
        <v>0</v>
      </c>
      <c r="BP1064" s="1">
        <v>0</v>
      </c>
      <c r="BQ1064" s="2" t="str">
        <f>HYPERLINK("http://www.d20pfsrd.com/magic/all-spells/o/oppressive-boredom","Oppressive Boredom")</f>
        <v>Oppressive Boredom</v>
      </c>
      <c r="BR1064" s="1">
        <v>1106</v>
      </c>
      <c r="BS1064" s="1" t="s">
        <v>104</v>
      </c>
      <c r="BX1064" s="1">
        <v>0</v>
      </c>
      <c r="BY1064" s="1" t="s">
        <v>104</v>
      </c>
      <c r="BZ1064" s="1" t="s">
        <v>104</v>
      </c>
      <c r="CA1064" s="1">
        <v>2</v>
      </c>
      <c r="CB1064" s="1">
        <v>2</v>
      </c>
      <c r="CC1064" s="1">
        <v>2</v>
      </c>
      <c r="CD1064" s="1" t="s">
        <v>104</v>
      </c>
      <c r="CE1064" s="1" t="s">
        <v>104</v>
      </c>
      <c r="CF1064" s="1" t="s">
        <v>104</v>
      </c>
      <c r="CG1064" s="1" t="s">
        <v>104</v>
      </c>
      <c r="CH1064" s="1" t="s">
        <v>104</v>
      </c>
      <c r="CJ1064" s="1">
        <v>0</v>
      </c>
      <c r="CK1064" s="1">
        <v>0</v>
      </c>
      <c r="CL1064" s="1">
        <v>0</v>
      </c>
      <c r="CM1064" s="1" t="s">
        <v>104</v>
      </c>
    </row>
    <row r="1065" spans="1:91" ht="14.25" customHeight="1" x14ac:dyDescent="0.3">
      <c r="A1065" s="1" t="s">
        <v>6510</v>
      </c>
      <c r="B1065" s="1" t="s">
        <v>137</v>
      </c>
      <c r="E1065" s="1" t="s">
        <v>6511</v>
      </c>
      <c r="F1065" s="1" t="s">
        <v>95</v>
      </c>
      <c r="G1065" s="1" t="s">
        <v>116</v>
      </c>
      <c r="H1065" s="1">
        <v>0</v>
      </c>
      <c r="I1065" s="1" t="s">
        <v>117</v>
      </c>
      <c r="L1065" s="1" t="s">
        <v>1065</v>
      </c>
      <c r="M1065" s="1" t="s">
        <v>2330</v>
      </c>
      <c r="N1065" s="1">
        <v>0</v>
      </c>
      <c r="O1065" s="1">
        <v>0</v>
      </c>
      <c r="P1065" s="1" t="s">
        <v>375</v>
      </c>
      <c r="Q1065" s="1" t="s">
        <v>131</v>
      </c>
      <c r="R1065" s="1" t="s">
        <v>6512</v>
      </c>
      <c r="S1065" s="1" t="s">
        <v>4201</v>
      </c>
      <c r="T1065" s="1">
        <v>1</v>
      </c>
      <c r="U1065" s="1">
        <v>1</v>
      </c>
      <c r="V1065" s="1">
        <v>0</v>
      </c>
      <c r="W1065" s="1">
        <v>0</v>
      </c>
      <c r="X1065" s="1">
        <v>0</v>
      </c>
      <c r="Y1065" s="1" t="s">
        <v>104</v>
      </c>
      <c r="Z1065" s="1" t="s">
        <v>104</v>
      </c>
      <c r="AA1065" s="1" t="s">
        <v>104</v>
      </c>
      <c r="AB1065" s="1" t="s">
        <v>104</v>
      </c>
      <c r="AC1065" s="1" t="s">
        <v>104</v>
      </c>
      <c r="AD1065" s="1" t="s">
        <v>104</v>
      </c>
      <c r="AE1065" s="1" t="s">
        <v>104</v>
      </c>
      <c r="AF1065" s="1" t="s">
        <v>104</v>
      </c>
      <c r="AG1065" s="1" t="s">
        <v>104</v>
      </c>
      <c r="AH1065" s="1" t="s">
        <v>104</v>
      </c>
      <c r="AI1065" s="1" t="s">
        <v>104</v>
      </c>
      <c r="AJ1065" s="1">
        <v>4</v>
      </c>
      <c r="AK1065" s="1" t="s">
        <v>104</v>
      </c>
      <c r="AL1065" s="1" t="s">
        <v>104</v>
      </c>
      <c r="AM1065" s="1" t="s">
        <v>104</v>
      </c>
      <c r="AO1065" s="1">
        <v>4</v>
      </c>
      <c r="AQ1065" s="1" t="s">
        <v>6513</v>
      </c>
      <c r="AR1065" s="1">
        <v>0</v>
      </c>
      <c r="AS1065" s="1">
        <v>0</v>
      </c>
      <c r="AT1065" s="1">
        <v>0</v>
      </c>
      <c r="AU1065" s="1">
        <v>0</v>
      </c>
      <c r="AV1065" s="1">
        <v>0</v>
      </c>
      <c r="AW1065" s="1">
        <v>0</v>
      </c>
      <c r="AX1065" s="1">
        <v>0</v>
      </c>
      <c r="AY1065" s="1">
        <v>0</v>
      </c>
      <c r="AZ1065" s="1">
        <v>0</v>
      </c>
      <c r="BA1065" s="1">
        <v>0</v>
      </c>
      <c r="BB1065" s="1">
        <v>0</v>
      </c>
      <c r="BC1065" s="1">
        <v>0</v>
      </c>
      <c r="BD1065" s="1">
        <v>0</v>
      </c>
      <c r="BE1065" s="1">
        <v>0</v>
      </c>
      <c r="BF1065" s="1">
        <v>0</v>
      </c>
      <c r="BG1065" s="1">
        <v>0</v>
      </c>
      <c r="BH1065" s="1">
        <v>0</v>
      </c>
      <c r="BI1065" s="1">
        <v>0</v>
      </c>
      <c r="BJ1065" s="1">
        <v>0</v>
      </c>
      <c r="BK1065" s="1">
        <v>0</v>
      </c>
      <c r="BL1065" s="1">
        <v>0</v>
      </c>
      <c r="BM1065" s="1">
        <v>0</v>
      </c>
      <c r="BN1065" s="1">
        <v>0</v>
      </c>
      <c r="BO1065" s="1">
        <v>0</v>
      </c>
      <c r="BP1065" s="1">
        <v>0</v>
      </c>
      <c r="BQ1065" s="2" t="str">
        <f>HYPERLINK("http://www.d20pfsrd.com/magic/all-spells/o/oracle-s-vessel","Oracle's Vessel")</f>
        <v>Oracle's Vessel</v>
      </c>
      <c r="BR1065" s="1">
        <v>1107</v>
      </c>
      <c r="BS1065" s="1" t="s">
        <v>104</v>
      </c>
      <c r="BX1065" s="1">
        <v>0</v>
      </c>
      <c r="BY1065" s="1" t="s">
        <v>104</v>
      </c>
      <c r="BZ1065" s="1" t="s">
        <v>104</v>
      </c>
      <c r="CA1065" s="1" t="s">
        <v>104</v>
      </c>
      <c r="CB1065" s="1" t="s">
        <v>104</v>
      </c>
      <c r="CC1065" s="1" t="s">
        <v>104</v>
      </c>
      <c r="CD1065" s="1" t="s">
        <v>104</v>
      </c>
      <c r="CE1065" s="1" t="s">
        <v>104</v>
      </c>
      <c r="CF1065" s="1" t="s">
        <v>104</v>
      </c>
      <c r="CG1065" s="1" t="s">
        <v>104</v>
      </c>
      <c r="CH1065" s="1" t="s">
        <v>104</v>
      </c>
      <c r="CJ1065" s="1">
        <v>0</v>
      </c>
      <c r="CK1065" s="1">
        <v>0</v>
      </c>
      <c r="CL1065" s="1">
        <v>0</v>
      </c>
      <c r="CM1065" s="1" t="s">
        <v>104</v>
      </c>
    </row>
    <row r="1066" spans="1:91" ht="14.25" customHeight="1" x14ac:dyDescent="0.3">
      <c r="A1066" s="1" t="s">
        <v>6514</v>
      </c>
      <c r="B1066" s="1" t="s">
        <v>216</v>
      </c>
      <c r="E1066" s="1" t="s">
        <v>6515</v>
      </c>
      <c r="F1066" s="1" t="s">
        <v>95</v>
      </c>
      <c r="G1066" s="1" t="s">
        <v>6516</v>
      </c>
      <c r="H1066" s="1">
        <v>1</v>
      </c>
      <c r="I1066" s="1" t="s">
        <v>117</v>
      </c>
      <c r="K1066" s="1" t="s">
        <v>6517</v>
      </c>
      <c r="M1066" s="1" t="s">
        <v>426</v>
      </c>
      <c r="N1066" s="1">
        <v>1</v>
      </c>
      <c r="O1066" s="1">
        <v>0</v>
      </c>
      <c r="P1066" s="1" t="s">
        <v>183</v>
      </c>
      <c r="Q1066" s="1" t="s">
        <v>184</v>
      </c>
      <c r="R1066" s="1" t="s">
        <v>6518</v>
      </c>
      <c r="S1066" s="1" t="s">
        <v>4201</v>
      </c>
      <c r="T1066" s="1">
        <v>1</v>
      </c>
      <c r="U1066" s="1">
        <v>1</v>
      </c>
      <c r="V1066" s="1">
        <v>1</v>
      </c>
      <c r="W1066" s="1">
        <v>0</v>
      </c>
      <c r="X1066" s="1">
        <v>0</v>
      </c>
      <c r="Y1066" s="1">
        <v>8</v>
      </c>
      <c r="Z1066" s="1">
        <v>8</v>
      </c>
      <c r="AA1066" s="1">
        <v>8</v>
      </c>
      <c r="AB1066" s="1" t="s">
        <v>104</v>
      </c>
      <c r="AC1066" s="1" t="s">
        <v>104</v>
      </c>
      <c r="AD1066" s="1" t="s">
        <v>104</v>
      </c>
      <c r="AE1066" s="1" t="s">
        <v>104</v>
      </c>
      <c r="AF1066" s="1" t="s">
        <v>104</v>
      </c>
      <c r="AG1066" s="1" t="s">
        <v>104</v>
      </c>
      <c r="AH1066" s="1" t="s">
        <v>104</v>
      </c>
      <c r="AI1066" s="1" t="s">
        <v>104</v>
      </c>
      <c r="AJ1066" s="1">
        <v>8</v>
      </c>
      <c r="AK1066" s="1" t="s">
        <v>104</v>
      </c>
      <c r="AL1066" s="1" t="s">
        <v>104</v>
      </c>
      <c r="AM1066" s="1" t="s">
        <v>104</v>
      </c>
      <c r="AO1066" s="1">
        <v>8</v>
      </c>
      <c r="AQ1066" s="1" t="s">
        <v>6519</v>
      </c>
      <c r="AR1066" s="1">
        <v>0</v>
      </c>
      <c r="AS1066" s="1">
        <v>0</v>
      </c>
      <c r="AT1066" s="1">
        <v>0</v>
      </c>
      <c r="AU1066" s="1">
        <v>0</v>
      </c>
      <c r="AV1066" s="1">
        <v>0</v>
      </c>
      <c r="AW1066" s="1">
        <v>0</v>
      </c>
      <c r="AX1066" s="1">
        <v>0</v>
      </c>
      <c r="AY1066" s="1">
        <v>0</v>
      </c>
      <c r="AZ1066" s="1">
        <v>0</v>
      </c>
      <c r="BA1066" s="1">
        <v>0</v>
      </c>
      <c r="BB1066" s="1">
        <v>0</v>
      </c>
      <c r="BC1066" s="1">
        <v>0</v>
      </c>
      <c r="BD1066" s="1">
        <v>0</v>
      </c>
      <c r="BE1066" s="1">
        <v>0</v>
      </c>
      <c r="BF1066" s="1">
        <v>0</v>
      </c>
      <c r="BG1066" s="1">
        <v>0</v>
      </c>
      <c r="BH1066" s="1">
        <v>0</v>
      </c>
      <c r="BI1066" s="1">
        <v>0</v>
      </c>
      <c r="BJ1066" s="1">
        <v>0</v>
      </c>
      <c r="BK1066" s="1">
        <v>0</v>
      </c>
      <c r="BL1066" s="1">
        <v>0</v>
      </c>
      <c r="BM1066" s="1">
        <v>0</v>
      </c>
      <c r="BN1066" s="1">
        <v>0</v>
      </c>
      <c r="BO1066" s="1">
        <v>0</v>
      </c>
      <c r="BP1066" s="1">
        <v>0</v>
      </c>
      <c r="BQ1066" s="2" t="str">
        <f>HYPERLINK("http://www.d20pfsrd.com/magic/all-spells/o/orb-of-the-void","Orb of the Void")</f>
        <v>Orb of the Void</v>
      </c>
      <c r="BR1066" s="1">
        <v>1108</v>
      </c>
      <c r="BS1066" s="1">
        <v>50</v>
      </c>
      <c r="BV1066" s="1" t="s">
        <v>6520</v>
      </c>
      <c r="BW1066" s="1" t="s">
        <v>6521</v>
      </c>
      <c r="BX1066" s="1">
        <v>1</v>
      </c>
      <c r="BY1066" s="1" t="s">
        <v>104</v>
      </c>
      <c r="BZ1066" s="1" t="s">
        <v>104</v>
      </c>
      <c r="CA1066" s="1">
        <v>8</v>
      </c>
      <c r="CB1066" s="1" t="s">
        <v>104</v>
      </c>
      <c r="CC1066" s="1" t="s">
        <v>104</v>
      </c>
      <c r="CD1066" s="1" t="s">
        <v>104</v>
      </c>
      <c r="CE1066" s="1" t="s">
        <v>104</v>
      </c>
      <c r="CF1066" s="1" t="s">
        <v>104</v>
      </c>
      <c r="CG1066" s="1" t="s">
        <v>104</v>
      </c>
      <c r="CH1066" s="1" t="s">
        <v>104</v>
      </c>
      <c r="CJ1066" s="1">
        <v>0</v>
      </c>
      <c r="CK1066" s="1">
        <v>0</v>
      </c>
      <c r="CL1066" s="1">
        <v>0</v>
      </c>
      <c r="CM1066" s="1" t="s">
        <v>104</v>
      </c>
    </row>
    <row r="1067" spans="1:91" ht="14.25" customHeight="1" x14ac:dyDescent="0.3">
      <c r="A1067" s="1" t="s">
        <v>6522</v>
      </c>
      <c r="B1067" s="1" t="s">
        <v>123</v>
      </c>
      <c r="C1067" s="1" t="s">
        <v>124</v>
      </c>
      <c r="D1067" s="1" t="s">
        <v>6034</v>
      </c>
      <c r="E1067" s="1" t="s">
        <v>6458</v>
      </c>
      <c r="F1067" s="1" t="s">
        <v>95</v>
      </c>
      <c r="G1067" s="1" t="s">
        <v>116</v>
      </c>
      <c r="H1067" s="1">
        <v>0</v>
      </c>
      <c r="I1067" s="1" t="s">
        <v>117</v>
      </c>
      <c r="L1067" s="1" t="s">
        <v>1065</v>
      </c>
      <c r="M1067" s="1" t="s">
        <v>111</v>
      </c>
      <c r="N1067" s="1">
        <v>0</v>
      </c>
      <c r="O1067" s="1">
        <v>0</v>
      </c>
      <c r="P1067" s="1" t="s">
        <v>1902</v>
      </c>
      <c r="Q1067" s="1" t="s">
        <v>184</v>
      </c>
      <c r="R1067" s="1" t="s">
        <v>6523</v>
      </c>
      <c r="S1067" s="1" t="s">
        <v>4201</v>
      </c>
      <c r="T1067" s="1">
        <v>1</v>
      </c>
      <c r="U1067" s="1">
        <v>1</v>
      </c>
      <c r="V1067" s="1">
        <v>0</v>
      </c>
      <c r="W1067" s="1">
        <v>0</v>
      </c>
      <c r="X1067" s="1">
        <v>0</v>
      </c>
      <c r="Y1067" s="1">
        <v>4</v>
      </c>
      <c r="Z1067" s="1">
        <v>4</v>
      </c>
      <c r="AA1067" s="1" t="s">
        <v>104</v>
      </c>
      <c r="AB1067" s="1" t="s">
        <v>104</v>
      </c>
      <c r="AC1067" s="1" t="s">
        <v>104</v>
      </c>
      <c r="AD1067" s="1">
        <v>3</v>
      </c>
      <c r="AE1067" s="1" t="s">
        <v>104</v>
      </c>
      <c r="AF1067" s="1" t="s">
        <v>104</v>
      </c>
      <c r="AG1067" s="1" t="s">
        <v>104</v>
      </c>
      <c r="AH1067" s="1" t="s">
        <v>104</v>
      </c>
      <c r="AI1067" s="1" t="s">
        <v>104</v>
      </c>
      <c r="AJ1067" s="1" t="s">
        <v>104</v>
      </c>
      <c r="AK1067" s="1" t="s">
        <v>104</v>
      </c>
      <c r="AL1067" s="1" t="s">
        <v>104</v>
      </c>
      <c r="AM1067" s="1" t="s">
        <v>104</v>
      </c>
      <c r="AO1067" s="1">
        <v>4</v>
      </c>
      <c r="AQ1067" s="1" t="s">
        <v>6524</v>
      </c>
      <c r="AR1067" s="1">
        <v>0</v>
      </c>
      <c r="AS1067" s="1">
        <v>0</v>
      </c>
      <c r="AT1067" s="1">
        <v>0</v>
      </c>
      <c r="AU1067" s="1">
        <v>0</v>
      </c>
      <c r="AV1067" s="1">
        <v>0</v>
      </c>
      <c r="AW1067" s="1">
        <v>0</v>
      </c>
      <c r="AX1067" s="1">
        <v>0</v>
      </c>
      <c r="AY1067" s="1">
        <v>0</v>
      </c>
      <c r="AZ1067" s="1">
        <v>0</v>
      </c>
      <c r="BA1067" s="1">
        <v>0</v>
      </c>
      <c r="BB1067" s="1">
        <v>1</v>
      </c>
      <c r="BC1067" s="1">
        <v>0</v>
      </c>
      <c r="BD1067" s="1">
        <v>0</v>
      </c>
      <c r="BE1067" s="1">
        <v>0</v>
      </c>
      <c r="BF1067" s="1">
        <v>0</v>
      </c>
      <c r="BG1067" s="1">
        <v>0</v>
      </c>
      <c r="BH1067" s="1">
        <v>0</v>
      </c>
      <c r="BI1067" s="1">
        <v>0</v>
      </c>
      <c r="BJ1067" s="1">
        <v>0</v>
      </c>
      <c r="BK1067" s="1">
        <v>1</v>
      </c>
      <c r="BL1067" s="1">
        <v>0</v>
      </c>
      <c r="BM1067" s="1">
        <v>0</v>
      </c>
      <c r="BN1067" s="1">
        <v>0</v>
      </c>
      <c r="BO1067" s="1">
        <v>0</v>
      </c>
      <c r="BP1067" s="1">
        <v>0</v>
      </c>
      <c r="BQ1067" s="2" t="str">
        <f>HYPERLINK("http://www.d20pfsrd.com/magic/all-spells/o/overwhelming-grief","Overwhelming Grief")</f>
        <v>Overwhelming Grief</v>
      </c>
      <c r="BR1067" s="1">
        <v>1109</v>
      </c>
      <c r="BS1067" s="1" t="s">
        <v>104</v>
      </c>
      <c r="BU1067" s="1" t="s">
        <v>6525</v>
      </c>
      <c r="BX1067" s="1">
        <v>0</v>
      </c>
      <c r="BY1067" s="1" t="s">
        <v>104</v>
      </c>
      <c r="BZ1067" s="1" t="s">
        <v>104</v>
      </c>
      <c r="CA1067" s="1">
        <v>4</v>
      </c>
      <c r="CB1067" s="1" t="s">
        <v>104</v>
      </c>
      <c r="CC1067" s="1">
        <v>3</v>
      </c>
      <c r="CD1067" s="1" t="s">
        <v>104</v>
      </c>
      <c r="CE1067" s="1" t="s">
        <v>104</v>
      </c>
      <c r="CF1067" s="1" t="s">
        <v>104</v>
      </c>
      <c r="CG1067" s="1" t="s">
        <v>104</v>
      </c>
      <c r="CH1067" s="1" t="s">
        <v>104</v>
      </c>
      <c r="CJ1067" s="1">
        <v>0</v>
      </c>
      <c r="CK1067" s="1">
        <v>0</v>
      </c>
      <c r="CL1067" s="1">
        <v>0</v>
      </c>
      <c r="CM1067" s="1" t="s">
        <v>104</v>
      </c>
    </row>
    <row r="1068" spans="1:91" ht="14.25" customHeight="1" x14ac:dyDescent="0.3">
      <c r="A1068" s="1" t="s">
        <v>6526</v>
      </c>
      <c r="B1068" s="1" t="s">
        <v>123</v>
      </c>
      <c r="C1068" s="1" t="s">
        <v>124</v>
      </c>
      <c r="D1068" s="1" t="s">
        <v>6034</v>
      </c>
      <c r="E1068" s="1" t="s">
        <v>6527</v>
      </c>
      <c r="F1068" s="1" t="s">
        <v>95</v>
      </c>
      <c r="G1068" s="1" t="s">
        <v>6528</v>
      </c>
      <c r="H1068" s="1">
        <v>0</v>
      </c>
      <c r="I1068" s="1" t="s">
        <v>109</v>
      </c>
      <c r="L1068" s="1" t="s">
        <v>541</v>
      </c>
      <c r="M1068" s="1" t="s">
        <v>111</v>
      </c>
      <c r="N1068" s="1">
        <v>0</v>
      </c>
      <c r="O1068" s="1">
        <v>0</v>
      </c>
      <c r="P1068" s="1" t="s">
        <v>6439</v>
      </c>
      <c r="Q1068" s="1" t="s">
        <v>184</v>
      </c>
      <c r="R1068" s="1" t="s">
        <v>6529</v>
      </c>
      <c r="S1068" s="1" t="s">
        <v>4201</v>
      </c>
      <c r="T1068" s="1">
        <v>1</v>
      </c>
      <c r="U1068" s="1">
        <v>1</v>
      </c>
      <c r="V1068" s="1">
        <v>1</v>
      </c>
      <c r="W1068" s="1">
        <v>0</v>
      </c>
      <c r="X1068" s="1">
        <v>0</v>
      </c>
      <c r="Y1068" s="1">
        <v>9</v>
      </c>
      <c r="Z1068" s="1">
        <v>9</v>
      </c>
      <c r="AA1068" s="1">
        <v>9</v>
      </c>
      <c r="AB1068" s="1" t="s">
        <v>104</v>
      </c>
      <c r="AC1068" s="1" t="s">
        <v>104</v>
      </c>
      <c r="AD1068" s="1">
        <v>6</v>
      </c>
      <c r="AE1068" s="1" t="s">
        <v>104</v>
      </c>
      <c r="AF1068" s="1" t="s">
        <v>104</v>
      </c>
      <c r="AG1068" s="1" t="s">
        <v>104</v>
      </c>
      <c r="AH1068" s="1" t="s">
        <v>104</v>
      </c>
      <c r="AI1068" s="1">
        <v>6</v>
      </c>
      <c r="AJ1068" s="1">
        <v>9</v>
      </c>
      <c r="AK1068" s="1" t="s">
        <v>104</v>
      </c>
      <c r="AL1068" s="1" t="s">
        <v>104</v>
      </c>
      <c r="AM1068" s="1" t="s">
        <v>104</v>
      </c>
      <c r="AO1068" s="1">
        <v>9</v>
      </c>
      <c r="AP1068" s="1" t="s">
        <v>6530</v>
      </c>
      <c r="AQ1068" s="1" t="s">
        <v>6531</v>
      </c>
      <c r="AR1068" s="1">
        <v>0</v>
      </c>
      <c r="AS1068" s="1">
        <v>0</v>
      </c>
      <c r="AT1068" s="1">
        <v>0</v>
      </c>
      <c r="AU1068" s="1">
        <v>0</v>
      </c>
      <c r="AV1068" s="1">
        <v>0</v>
      </c>
      <c r="AW1068" s="1">
        <v>0</v>
      </c>
      <c r="AX1068" s="1">
        <v>0</v>
      </c>
      <c r="AY1068" s="1">
        <v>0</v>
      </c>
      <c r="AZ1068" s="1">
        <v>0</v>
      </c>
      <c r="BA1068" s="1">
        <v>0</v>
      </c>
      <c r="BB1068" s="1">
        <v>1</v>
      </c>
      <c r="BC1068" s="1">
        <v>0</v>
      </c>
      <c r="BD1068" s="1">
        <v>0</v>
      </c>
      <c r="BE1068" s="1">
        <v>0</v>
      </c>
      <c r="BF1068" s="1">
        <v>0</v>
      </c>
      <c r="BG1068" s="1">
        <v>0</v>
      </c>
      <c r="BH1068" s="1">
        <v>0</v>
      </c>
      <c r="BI1068" s="1">
        <v>0</v>
      </c>
      <c r="BJ1068" s="1">
        <v>0</v>
      </c>
      <c r="BK1068" s="1">
        <v>1</v>
      </c>
      <c r="BL1068" s="1">
        <v>0</v>
      </c>
      <c r="BM1068" s="1">
        <v>0</v>
      </c>
      <c r="BN1068" s="1">
        <v>0</v>
      </c>
      <c r="BO1068" s="1">
        <v>0</v>
      </c>
      <c r="BP1068" s="1">
        <v>0</v>
      </c>
      <c r="BQ1068" s="2" t="str">
        <f>HYPERLINK("http://www.d20pfsrd.com/magic/all-spells/o/overwhelming-presence","Overwhelming Presence")</f>
        <v>Overwhelming Presence</v>
      </c>
      <c r="BR1068" s="1">
        <v>1110</v>
      </c>
      <c r="BS1068" s="1" t="s">
        <v>104</v>
      </c>
      <c r="BT1068" s="1" t="s">
        <v>6532</v>
      </c>
      <c r="BU1068" s="1" t="s">
        <v>6533</v>
      </c>
      <c r="BX1068" s="1">
        <v>0</v>
      </c>
      <c r="BY1068" s="1" t="s">
        <v>104</v>
      </c>
      <c r="BZ1068" s="1" t="s">
        <v>104</v>
      </c>
      <c r="CA1068" s="1">
        <v>4</v>
      </c>
      <c r="CB1068" s="1" t="s">
        <v>104</v>
      </c>
      <c r="CC1068" s="1">
        <v>6</v>
      </c>
      <c r="CD1068" s="1" t="s">
        <v>104</v>
      </c>
      <c r="CE1068" s="1" t="s">
        <v>104</v>
      </c>
      <c r="CF1068" s="1" t="s">
        <v>104</v>
      </c>
      <c r="CG1068" s="1" t="s">
        <v>104</v>
      </c>
      <c r="CH1068" s="1" t="s">
        <v>104</v>
      </c>
      <c r="CJ1068" s="1">
        <v>0</v>
      </c>
      <c r="CK1068" s="1">
        <v>0</v>
      </c>
      <c r="CL1068" s="1">
        <v>0</v>
      </c>
      <c r="CM1068" s="1" t="s">
        <v>104</v>
      </c>
    </row>
    <row r="1069" spans="1:91" ht="14.25" customHeight="1" x14ac:dyDescent="0.3">
      <c r="A1069" s="1" t="s">
        <v>6534</v>
      </c>
      <c r="B1069" s="1" t="s">
        <v>216</v>
      </c>
      <c r="D1069" s="1" t="s">
        <v>64</v>
      </c>
      <c r="E1069" s="1" t="s">
        <v>6535</v>
      </c>
      <c r="F1069" s="1" t="s">
        <v>95</v>
      </c>
      <c r="G1069" s="1" t="s">
        <v>127</v>
      </c>
      <c r="H1069" s="1">
        <v>0</v>
      </c>
      <c r="I1069" s="1" t="s">
        <v>128</v>
      </c>
      <c r="L1069" s="1" t="s">
        <v>374</v>
      </c>
      <c r="M1069" s="1" t="s">
        <v>5923</v>
      </c>
      <c r="N1069" s="1">
        <v>0</v>
      </c>
      <c r="O1069" s="1">
        <v>0</v>
      </c>
      <c r="P1069" s="1" t="s">
        <v>100</v>
      </c>
      <c r="Q1069" s="1" t="s">
        <v>184</v>
      </c>
      <c r="R1069" s="1" t="s">
        <v>6536</v>
      </c>
      <c r="S1069" s="1" t="s">
        <v>4201</v>
      </c>
      <c r="T1069" s="1">
        <v>1</v>
      </c>
      <c r="U1069" s="1">
        <v>1</v>
      </c>
      <c r="V1069" s="1">
        <v>0</v>
      </c>
      <c r="W1069" s="1">
        <v>0</v>
      </c>
      <c r="X1069" s="1">
        <v>1</v>
      </c>
      <c r="Y1069" s="1">
        <v>2</v>
      </c>
      <c r="Z1069" s="1">
        <v>2</v>
      </c>
      <c r="AA1069" s="1" t="s">
        <v>104</v>
      </c>
      <c r="AB1069" s="1">
        <v>2</v>
      </c>
      <c r="AC1069" s="1" t="s">
        <v>104</v>
      </c>
      <c r="AD1069" s="1" t="s">
        <v>104</v>
      </c>
      <c r="AE1069" s="1" t="s">
        <v>104</v>
      </c>
      <c r="AF1069" s="1" t="s">
        <v>104</v>
      </c>
      <c r="AG1069" s="1" t="s">
        <v>104</v>
      </c>
      <c r="AH1069" s="1">
        <v>2</v>
      </c>
      <c r="AI1069" s="1" t="s">
        <v>104</v>
      </c>
      <c r="AJ1069" s="1" t="s">
        <v>104</v>
      </c>
      <c r="AK1069" s="1">
        <v>2</v>
      </c>
      <c r="AL1069" s="1" t="s">
        <v>104</v>
      </c>
      <c r="AM1069" s="1" t="s">
        <v>104</v>
      </c>
      <c r="AO1069" s="1">
        <v>2</v>
      </c>
      <c r="AP1069" s="1" t="s">
        <v>6537</v>
      </c>
      <c r="AQ1069" s="1" t="s">
        <v>6538</v>
      </c>
      <c r="AR1069" s="1">
        <v>0</v>
      </c>
      <c r="AS1069" s="1">
        <v>0</v>
      </c>
      <c r="AT1069" s="1">
        <v>0</v>
      </c>
      <c r="AU1069" s="1">
        <v>0</v>
      </c>
      <c r="AV1069" s="1">
        <v>0</v>
      </c>
      <c r="AW1069" s="1">
        <v>0</v>
      </c>
      <c r="AX1069" s="1">
        <v>0</v>
      </c>
      <c r="AY1069" s="1">
        <v>0</v>
      </c>
      <c r="AZ1069" s="1">
        <v>0</v>
      </c>
      <c r="BA1069" s="1">
        <v>0</v>
      </c>
      <c r="BB1069" s="1">
        <v>0</v>
      </c>
      <c r="BC1069" s="1">
        <v>0</v>
      </c>
      <c r="BD1069" s="1">
        <v>0</v>
      </c>
      <c r="BE1069" s="1">
        <v>0</v>
      </c>
      <c r="BF1069" s="1">
        <v>0</v>
      </c>
      <c r="BG1069" s="1">
        <v>0</v>
      </c>
      <c r="BH1069" s="1">
        <v>0</v>
      </c>
      <c r="BI1069" s="1">
        <v>0</v>
      </c>
      <c r="BJ1069" s="1">
        <v>0</v>
      </c>
      <c r="BK1069" s="1">
        <v>0</v>
      </c>
      <c r="BL1069" s="1">
        <v>0</v>
      </c>
      <c r="BM1069" s="1">
        <v>1</v>
      </c>
      <c r="BN1069" s="1">
        <v>0</v>
      </c>
      <c r="BO1069" s="1">
        <v>0</v>
      </c>
      <c r="BP1069" s="1">
        <v>0</v>
      </c>
      <c r="BQ1069" s="2" t="str">
        <f>HYPERLINK("http://www.d20pfsrd.com/magic/all-spells/p/pernicious-poison","Pernicious Poison")</f>
        <v>Pernicious Poison</v>
      </c>
      <c r="BR1069" s="1">
        <v>1111</v>
      </c>
      <c r="BS1069" s="1" t="s">
        <v>104</v>
      </c>
      <c r="BV1069" s="1" t="s">
        <v>6539</v>
      </c>
      <c r="BW1069" s="1" t="s">
        <v>6540</v>
      </c>
      <c r="BX1069" s="1">
        <v>1</v>
      </c>
      <c r="BY1069" s="1" t="s">
        <v>104</v>
      </c>
      <c r="BZ1069" s="1" t="s">
        <v>104</v>
      </c>
      <c r="CA1069" s="1" t="s">
        <v>104</v>
      </c>
      <c r="CB1069" s="1" t="s">
        <v>104</v>
      </c>
      <c r="CC1069" s="1" t="s">
        <v>104</v>
      </c>
      <c r="CD1069" s="1">
        <v>2</v>
      </c>
      <c r="CE1069" s="1" t="s">
        <v>104</v>
      </c>
      <c r="CF1069" s="1" t="s">
        <v>104</v>
      </c>
      <c r="CG1069" s="1" t="s">
        <v>104</v>
      </c>
      <c r="CH1069" s="1">
        <v>2</v>
      </c>
      <c r="CJ1069" s="1">
        <v>0</v>
      </c>
      <c r="CK1069" s="1">
        <v>0</v>
      </c>
      <c r="CL1069" s="1">
        <v>0</v>
      </c>
      <c r="CM1069" s="1" t="s">
        <v>104</v>
      </c>
    </row>
    <row r="1070" spans="1:91" ht="14.25" customHeight="1" x14ac:dyDescent="0.3">
      <c r="A1070" s="1" t="s">
        <v>6541</v>
      </c>
      <c r="B1070" s="1" t="s">
        <v>216</v>
      </c>
      <c r="D1070" s="1" t="s">
        <v>63</v>
      </c>
      <c r="E1070" s="1" t="s">
        <v>4590</v>
      </c>
      <c r="F1070" s="1" t="s">
        <v>95</v>
      </c>
      <c r="G1070" s="1" t="s">
        <v>116</v>
      </c>
      <c r="H1070" s="1">
        <v>0</v>
      </c>
      <c r="I1070" s="1" t="s">
        <v>6262</v>
      </c>
      <c r="L1070" s="1" t="s">
        <v>1065</v>
      </c>
      <c r="M1070" s="1" t="s">
        <v>6542</v>
      </c>
      <c r="N1070" s="1">
        <v>0</v>
      </c>
      <c r="O1070" s="1">
        <v>0</v>
      </c>
      <c r="P1070" s="1" t="s">
        <v>183</v>
      </c>
      <c r="Q1070" s="1" t="s">
        <v>184</v>
      </c>
      <c r="R1070" s="1" t="s">
        <v>6543</v>
      </c>
      <c r="S1070" s="1" t="s">
        <v>4201</v>
      </c>
      <c r="T1070" s="1">
        <v>1</v>
      </c>
      <c r="U1070" s="1">
        <v>1</v>
      </c>
      <c r="V1070" s="1">
        <v>0</v>
      </c>
      <c r="W1070" s="1">
        <v>0</v>
      </c>
      <c r="X1070" s="1">
        <v>0</v>
      </c>
      <c r="Y1070" s="1" t="s">
        <v>104</v>
      </c>
      <c r="Z1070" s="1" t="s">
        <v>104</v>
      </c>
      <c r="AA1070" s="1" t="s">
        <v>104</v>
      </c>
      <c r="AB1070" s="1" t="s">
        <v>104</v>
      </c>
      <c r="AC1070" s="1" t="s">
        <v>104</v>
      </c>
      <c r="AD1070" s="1" t="s">
        <v>104</v>
      </c>
      <c r="AE1070" s="1" t="s">
        <v>104</v>
      </c>
      <c r="AF1070" s="1" t="s">
        <v>104</v>
      </c>
      <c r="AG1070" s="1" t="s">
        <v>104</v>
      </c>
      <c r="AH1070" s="1" t="s">
        <v>104</v>
      </c>
      <c r="AI1070" s="1">
        <v>1</v>
      </c>
      <c r="AJ1070" s="1" t="s">
        <v>104</v>
      </c>
      <c r="AK1070" s="1" t="s">
        <v>104</v>
      </c>
      <c r="AL1070" s="1" t="s">
        <v>104</v>
      </c>
      <c r="AM1070" s="1" t="s">
        <v>104</v>
      </c>
      <c r="AO1070" s="1">
        <v>1</v>
      </c>
      <c r="AQ1070" s="1" t="s">
        <v>6544</v>
      </c>
      <c r="AR1070" s="1">
        <v>0</v>
      </c>
      <c r="AS1070" s="1">
        <v>0</v>
      </c>
      <c r="AT1070" s="1">
        <v>0</v>
      </c>
      <c r="AU1070" s="1">
        <v>0</v>
      </c>
      <c r="AV1070" s="1">
        <v>0</v>
      </c>
      <c r="AW1070" s="1">
        <v>0</v>
      </c>
      <c r="AX1070" s="1">
        <v>0</v>
      </c>
      <c r="AY1070" s="1">
        <v>0</v>
      </c>
      <c r="AZ1070" s="1">
        <v>0</v>
      </c>
      <c r="BA1070" s="1">
        <v>0</v>
      </c>
      <c r="BB1070" s="1">
        <v>0</v>
      </c>
      <c r="BC1070" s="1">
        <v>0</v>
      </c>
      <c r="BD1070" s="1">
        <v>0</v>
      </c>
      <c r="BE1070" s="1">
        <v>0</v>
      </c>
      <c r="BF1070" s="1">
        <v>0</v>
      </c>
      <c r="BG1070" s="1">
        <v>0</v>
      </c>
      <c r="BH1070" s="1">
        <v>0</v>
      </c>
      <c r="BI1070" s="1">
        <v>0</v>
      </c>
      <c r="BJ1070" s="1">
        <v>0</v>
      </c>
      <c r="BK1070" s="1">
        <v>0</v>
      </c>
      <c r="BL1070" s="1">
        <v>1</v>
      </c>
      <c r="BM1070" s="1">
        <v>0</v>
      </c>
      <c r="BN1070" s="1">
        <v>0</v>
      </c>
      <c r="BO1070" s="1">
        <v>0</v>
      </c>
      <c r="BP1070" s="1">
        <v>0</v>
      </c>
      <c r="BQ1070" s="2" t="str">
        <f>HYPERLINK("http://www.d20pfsrd.com/magic/all-spells/p/persuasive-goad","Persuasive Goad")</f>
        <v>Persuasive Goad</v>
      </c>
      <c r="BR1070" s="1">
        <v>1112</v>
      </c>
      <c r="BS1070" s="1" t="s">
        <v>104</v>
      </c>
      <c r="BX1070" s="1">
        <v>0</v>
      </c>
      <c r="BY1070" s="1" t="s">
        <v>104</v>
      </c>
      <c r="BZ1070" s="1" t="s">
        <v>104</v>
      </c>
      <c r="CA1070" s="1" t="s">
        <v>104</v>
      </c>
      <c r="CB1070" s="1" t="s">
        <v>104</v>
      </c>
      <c r="CC1070" s="1" t="s">
        <v>104</v>
      </c>
      <c r="CD1070" s="1" t="s">
        <v>104</v>
      </c>
      <c r="CE1070" s="1" t="s">
        <v>104</v>
      </c>
      <c r="CF1070" s="1" t="s">
        <v>104</v>
      </c>
      <c r="CG1070" s="1" t="s">
        <v>104</v>
      </c>
      <c r="CH1070" s="1" t="s">
        <v>104</v>
      </c>
      <c r="CJ1070" s="1">
        <v>0</v>
      </c>
      <c r="CK1070" s="1">
        <v>0</v>
      </c>
      <c r="CL1070" s="1">
        <v>0</v>
      </c>
      <c r="CM1070" s="1" t="s">
        <v>104</v>
      </c>
    </row>
    <row r="1071" spans="1:91" ht="14.25" customHeight="1" x14ac:dyDescent="0.3">
      <c r="A1071" s="1" t="s">
        <v>6545</v>
      </c>
      <c r="B1071" s="1" t="s">
        <v>434</v>
      </c>
      <c r="D1071" s="1" t="s">
        <v>6546</v>
      </c>
      <c r="E1071" s="1" t="s">
        <v>6547</v>
      </c>
      <c r="F1071" s="1" t="s">
        <v>95</v>
      </c>
      <c r="G1071" s="1" t="s">
        <v>237</v>
      </c>
      <c r="H1071" s="1">
        <v>0</v>
      </c>
      <c r="I1071" s="1" t="s">
        <v>6548</v>
      </c>
      <c r="L1071" s="1" t="s">
        <v>1065</v>
      </c>
      <c r="M1071" s="1" t="s">
        <v>111</v>
      </c>
      <c r="N1071" s="1">
        <v>0</v>
      </c>
      <c r="O1071" s="1">
        <v>0</v>
      </c>
      <c r="P1071" s="1" t="s">
        <v>183</v>
      </c>
      <c r="Q1071" s="1" t="s">
        <v>184</v>
      </c>
      <c r="R1071" s="1" t="s">
        <v>6549</v>
      </c>
      <c r="S1071" s="1" t="s">
        <v>4201</v>
      </c>
      <c r="T1071" s="1">
        <v>1</v>
      </c>
      <c r="U1071" s="1">
        <v>0</v>
      </c>
      <c r="V1071" s="1">
        <v>0</v>
      </c>
      <c r="W1071" s="1">
        <v>0</v>
      </c>
      <c r="X1071" s="1">
        <v>0</v>
      </c>
      <c r="Y1071" s="1" t="s">
        <v>104</v>
      </c>
      <c r="Z1071" s="1" t="s">
        <v>104</v>
      </c>
      <c r="AA1071" s="1" t="s">
        <v>104</v>
      </c>
      <c r="AB1071" s="1" t="s">
        <v>104</v>
      </c>
      <c r="AC1071" s="1" t="s">
        <v>104</v>
      </c>
      <c r="AD1071" s="1">
        <v>2</v>
      </c>
      <c r="AE1071" s="1" t="s">
        <v>104</v>
      </c>
      <c r="AF1071" s="1" t="s">
        <v>104</v>
      </c>
      <c r="AG1071" s="1" t="s">
        <v>104</v>
      </c>
      <c r="AH1071" s="1" t="s">
        <v>104</v>
      </c>
      <c r="AI1071" s="1" t="s">
        <v>104</v>
      </c>
      <c r="AJ1071" s="1" t="s">
        <v>104</v>
      </c>
      <c r="AK1071" s="1" t="s">
        <v>104</v>
      </c>
      <c r="AL1071" s="1" t="s">
        <v>104</v>
      </c>
      <c r="AM1071" s="1" t="s">
        <v>104</v>
      </c>
      <c r="AO1071" s="1">
        <v>2</v>
      </c>
      <c r="AQ1071" s="1" t="s">
        <v>6550</v>
      </c>
      <c r="AR1071" s="1">
        <v>0</v>
      </c>
      <c r="AS1071" s="1">
        <v>0</v>
      </c>
      <c r="AT1071" s="1">
        <v>0</v>
      </c>
      <c r="AU1071" s="1">
        <v>0</v>
      </c>
      <c r="AV1071" s="1">
        <v>0</v>
      </c>
      <c r="AW1071" s="1">
        <v>0</v>
      </c>
      <c r="AX1071" s="1">
        <v>0</v>
      </c>
      <c r="AY1071" s="1">
        <v>0</v>
      </c>
      <c r="AZ1071" s="1">
        <v>0</v>
      </c>
      <c r="BA1071" s="1">
        <v>0</v>
      </c>
      <c r="BB1071" s="1">
        <v>0</v>
      </c>
      <c r="BC1071" s="1">
        <v>0</v>
      </c>
      <c r="BD1071" s="1">
        <v>0</v>
      </c>
      <c r="BE1071" s="1">
        <v>0</v>
      </c>
      <c r="BF1071" s="1">
        <v>0</v>
      </c>
      <c r="BG1071" s="1">
        <v>0</v>
      </c>
      <c r="BH1071" s="1">
        <v>0</v>
      </c>
      <c r="BI1071" s="1">
        <v>0</v>
      </c>
      <c r="BJ1071" s="1">
        <v>0</v>
      </c>
      <c r="BK1071" s="1">
        <v>0</v>
      </c>
      <c r="BL1071" s="1">
        <v>1</v>
      </c>
      <c r="BM1071" s="1">
        <v>0</v>
      </c>
      <c r="BN1071" s="1">
        <v>0</v>
      </c>
      <c r="BO1071" s="1">
        <v>1</v>
      </c>
      <c r="BP1071" s="1">
        <v>0</v>
      </c>
      <c r="BQ1071" s="2" t="str">
        <f>HYPERLINK("http://www.d20pfsrd.com/magic/all-spells/p/piercing-shriek","Piercing Shriek")</f>
        <v>Piercing Shriek</v>
      </c>
      <c r="BR1071" s="1">
        <v>1113</v>
      </c>
      <c r="BS1071" s="1" t="s">
        <v>104</v>
      </c>
      <c r="BX1071" s="1">
        <v>0</v>
      </c>
      <c r="BY1071" s="1" t="s">
        <v>104</v>
      </c>
      <c r="BZ1071" s="1" t="s">
        <v>104</v>
      </c>
      <c r="CA1071" s="1">
        <v>2</v>
      </c>
      <c r="CB1071" s="1" t="s">
        <v>104</v>
      </c>
      <c r="CC1071" s="1" t="s">
        <v>104</v>
      </c>
      <c r="CD1071" s="1" t="s">
        <v>104</v>
      </c>
      <c r="CE1071" s="1" t="s">
        <v>104</v>
      </c>
      <c r="CF1071" s="1" t="s">
        <v>104</v>
      </c>
      <c r="CG1071" s="1" t="s">
        <v>104</v>
      </c>
      <c r="CH1071" s="1" t="s">
        <v>104</v>
      </c>
      <c r="CJ1071" s="1">
        <v>0</v>
      </c>
      <c r="CK1071" s="1">
        <v>0</v>
      </c>
      <c r="CL1071" s="1">
        <v>0</v>
      </c>
      <c r="CM1071" s="1" t="s">
        <v>104</v>
      </c>
    </row>
    <row r="1072" spans="1:91" ht="14.25" customHeight="1" x14ac:dyDescent="0.3">
      <c r="A1072" s="1" t="s">
        <v>6551</v>
      </c>
      <c r="B1072" s="1" t="s">
        <v>216</v>
      </c>
      <c r="D1072" s="1" t="s">
        <v>6046</v>
      </c>
      <c r="E1072" s="1" t="s">
        <v>6552</v>
      </c>
      <c r="F1072" s="1" t="s">
        <v>95</v>
      </c>
      <c r="G1072" s="1" t="s">
        <v>116</v>
      </c>
      <c r="H1072" s="1">
        <v>0</v>
      </c>
      <c r="I1072" s="1" t="s">
        <v>128</v>
      </c>
      <c r="L1072" s="1" t="s">
        <v>374</v>
      </c>
      <c r="M1072" s="1" t="s">
        <v>201</v>
      </c>
      <c r="N1072" s="1">
        <v>0</v>
      </c>
      <c r="O1072" s="1">
        <v>0</v>
      </c>
      <c r="P1072" s="1" t="s">
        <v>1058</v>
      </c>
      <c r="Q1072" s="1" t="s">
        <v>184</v>
      </c>
      <c r="R1072" s="1" t="s">
        <v>6553</v>
      </c>
      <c r="S1072" s="1" t="s">
        <v>4201</v>
      </c>
      <c r="T1072" s="1">
        <v>1</v>
      </c>
      <c r="U1072" s="1">
        <v>1</v>
      </c>
      <c r="V1072" s="1">
        <v>0</v>
      </c>
      <c r="W1072" s="1">
        <v>0</v>
      </c>
      <c r="X1072" s="1">
        <v>0</v>
      </c>
      <c r="Y1072" s="1">
        <v>5</v>
      </c>
      <c r="Z1072" s="1">
        <v>5</v>
      </c>
      <c r="AA1072" s="1">
        <v>4</v>
      </c>
      <c r="AB1072" s="1">
        <v>4</v>
      </c>
      <c r="AC1072" s="1" t="s">
        <v>104</v>
      </c>
      <c r="AD1072" s="1" t="s">
        <v>104</v>
      </c>
      <c r="AE1072" s="1" t="s">
        <v>104</v>
      </c>
      <c r="AF1072" s="1" t="s">
        <v>104</v>
      </c>
      <c r="AG1072" s="1" t="s">
        <v>104</v>
      </c>
      <c r="AH1072" s="1">
        <v>5</v>
      </c>
      <c r="AI1072" s="1" t="s">
        <v>104</v>
      </c>
      <c r="AJ1072" s="1">
        <v>4</v>
      </c>
      <c r="AK1072" s="1" t="s">
        <v>104</v>
      </c>
      <c r="AL1072" s="1" t="s">
        <v>104</v>
      </c>
      <c r="AM1072" s="1" t="s">
        <v>104</v>
      </c>
      <c r="AO1072" s="1">
        <v>5</v>
      </c>
      <c r="AQ1072" s="1" t="s">
        <v>6554</v>
      </c>
      <c r="AR1072" s="1">
        <v>0</v>
      </c>
      <c r="AS1072" s="1">
        <v>0</v>
      </c>
      <c r="AT1072" s="1">
        <v>0</v>
      </c>
      <c r="AU1072" s="1">
        <v>0</v>
      </c>
      <c r="AV1072" s="1">
        <v>0</v>
      </c>
      <c r="AW1072" s="1">
        <v>0</v>
      </c>
      <c r="AX1072" s="1">
        <v>0</v>
      </c>
      <c r="AY1072" s="1">
        <v>1</v>
      </c>
      <c r="AZ1072" s="1">
        <v>0</v>
      </c>
      <c r="BA1072" s="1">
        <v>0</v>
      </c>
      <c r="BB1072" s="1">
        <v>0</v>
      </c>
      <c r="BC1072" s="1">
        <v>1</v>
      </c>
      <c r="BD1072" s="1">
        <v>0</v>
      </c>
      <c r="BE1072" s="1">
        <v>0</v>
      </c>
      <c r="BF1072" s="1">
        <v>0</v>
      </c>
      <c r="BG1072" s="1">
        <v>0</v>
      </c>
      <c r="BH1072" s="1">
        <v>0</v>
      </c>
      <c r="BI1072" s="1">
        <v>0</v>
      </c>
      <c r="BJ1072" s="1">
        <v>0</v>
      </c>
      <c r="BK1072" s="1">
        <v>0</v>
      </c>
      <c r="BL1072" s="1">
        <v>0</v>
      </c>
      <c r="BM1072" s="1">
        <v>0</v>
      </c>
      <c r="BN1072" s="1">
        <v>0</v>
      </c>
      <c r="BO1072" s="1">
        <v>0</v>
      </c>
      <c r="BP1072" s="1">
        <v>0</v>
      </c>
      <c r="BQ1072" s="2" t="str">
        <f>HYPERLINK("http://www.d20pfsrd.com/magic/all-spells/p/plague-carrier","Plague Carrier")</f>
        <v>Plague Carrier</v>
      </c>
      <c r="BR1072" s="1">
        <v>1114</v>
      </c>
      <c r="BS1072" s="1" t="s">
        <v>104</v>
      </c>
      <c r="BX1072" s="1">
        <v>0</v>
      </c>
      <c r="BY1072" s="1" t="s">
        <v>104</v>
      </c>
      <c r="BZ1072" s="1" t="s">
        <v>104</v>
      </c>
      <c r="CA1072" s="1" t="s">
        <v>104</v>
      </c>
      <c r="CB1072" s="1" t="s">
        <v>104</v>
      </c>
      <c r="CC1072" s="1" t="s">
        <v>104</v>
      </c>
      <c r="CD1072" s="1" t="s">
        <v>104</v>
      </c>
      <c r="CE1072" s="1" t="s">
        <v>104</v>
      </c>
      <c r="CF1072" s="1" t="s">
        <v>104</v>
      </c>
      <c r="CG1072" s="1" t="s">
        <v>104</v>
      </c>
      <c r="CH1072" s="1">
        <v>4</v>
      </c>
      <c r="CJ1072" s="1">
        <v>0</v>
      </c>
      <c r="CK1072" s="1">
        <v>0</v>
      </c>
      <c r="CL1072" s="1">
        <v>0</v>
      </c>
      <c r="CM1072" s="1" t="s">
        <v>104</v>
      </c>
    </row>
    <row r="1073" spans="1:91" ht="14.25" customHeight="1" x14ac:dyDescent="0.3">
      <c r="A1073" s="1" t="s">
        <v>6555</v>
      </c>
      <c r="B1073" s="1" t="s">
        <v>216</v>
      </c>
      <c r="D1073" s="1" t="s">
        <v>6046</v>
      </c>
      <c r="E1073" s="1" t="s">
        <v>6227</v>
      </c>
      <c r="F1073" s="1" t="s">
        <v>95</v>
      </c>
      <c r="G1073" s="1" t="s">
        <v>116</v>
      </c>
      <c r="H1073" s="1">
        <v>0</v>
      </c>
      <c r="I1073" s="1" t="s">
        <v>109</v>
      </c>
      <c r="K1073" s="1" t="s">
        <v>711</v>
      </c>
      <c r="M1073" s="1" t="s">
        <v>6556</v>
      </c>
      <c r="N1073" s="1">
        <v>0</v>
      </c>
      <c r="O1073" s="1">
        <v>0</v>
      </c>
      <c r="P1073" s="1" t="s">
        <v>183</v>
      </c>
      <c r="Q1073" s="1" t="s">
        <v>101</v>
      </c>
      <c r="R1073" s="1" t="s">
        <v>6557</v>
      </c>
      <c r="S1073" s="1" t="s">
        <v>4201</v>
      </c>
      <c r="T1073" s="1">
        <v>1</v>
      </c>
      <c r="U1073" s="1">
        <v>1</v>
      </c>
      <c r="V1073" s="1">
        <v>0</v>
      </c>
      <c r="W1073" s="1">
        <v>0</v>
      </c>
      <c r="X1073" s="1">
        <v>0</v>
      </c>
      <c r="Y1073" s="1">
        <v>7</v>
      </c>
      <c r="Z1073" s="1">
        <v>7</v>
      </c>
      <c r="AA1073" s="1">
        <v>6</v>
      </c>
      <c r="AB1073" s="1">
        <v>6</v>
      </c>
      <c r="AC1073" s="1" t="s">
        <v>104</v>
      </c>
      <c r="AD1073" s="1" t="s">
        <v>104</v>
      </c>
      <c r="AE1073" s="1" t="s">
        <v>104</v>
      </c>
      <c r="AF1073" s="1" t="s">
        <v>104</v>
      </c>
      <c r="AG1073" s="1" t="s">
        <v>104</v>
      </c>
      <c r="AH1073" s="1">
        <v>6</v>
      </c>
      <c r="AI1073" s="1" t="s">
        <v>104</v>
      </c>
      <c r="AJ1073" s="1">
        <v>6</v>
      </c>
      <c r="AK1073" s="1" t="s">
        <v>104</v>
      </c>
      <c r="AL1073" s="1" t="s">
        <v>104</v>
      </c>
      <c r="AM1073" s="1" t="s">
        <v>104</v>
      </c>
      <c r="AO1073" s="1">
        <v>7</v>
      </c>
      <c r="AP1073" s="1" t="s">
        <v>816</v>
      </c>
      <c r="AQ1073" s="1" t="s">
        <v>6558</v>
      </c>
      <c r="AR1073" s="1">
        <v>0</v>
      </c>
      <c r="AS1073" s="1">
        <v>0</v>
      </c>
      <c r="AT1073" s="1">
        <v>0</v>
      </c>
      <c r="AU1073" s="1">
        <v>0</v>
      </c>
      <c r="AV1073" s="1">
        <v>0</v>
      </c>
      <c r="AW1073" s="1">
        <v>0</v>
      </c>
      <c r="AX1073" s="1">
        <v>0</v>
      </c>
      <c r="AY1073" s="1">
        <v>1</v>
      </c>
      <c r="AZ1073" s="1">
        <v>0</v>
      </c>
      <c r="BA1073" s="1">
        <v>0</v>
      </c>
      <c r="BB1073" s="1">
        <v>0</v>
      </c>
      <c r="BC1073" s="1">
        <v>1</v>
      </c>
      <c r="BD1073" s="1">
        <v>0</v>
      </c>
      <c r="BE1073" s="1">
        <v>0</v>
      </c>
      <c r="BF1073" s="1">
        <v>0</v>
      </c>
      <c r="BG1073" s="1">
        <v>0</v>
      </c>
      <c r="BH1073" s="1">
        <v>0</v>
      </c>
      <c r="BI1073" s="1">
        <v>0</v>
      </c>
      <c r="BJ1073" s="1">
        <v>0</v>
      </c>
      <c r="BK1073" s="1">
        <v>0</v>
      </c>
      <c r="BL1073" s="1">
        <v>0</v>
      </c>
      <c r="BM1073" s="1">
        <v>0</v>
      </c>
      <c r="BN1073" s="1">
        <v>0</v>
      </c>
      <c r="BO1073" s="1">
        <v>0</v>
      </c>
      <c r="BP1073" s="1">
        <v>0</v>
      </c>
      <c r="BQ1073" s="2" t="str">
        <f>HYPERLINK("http://www.d20pfsrd.com/magic/all-spells/p/plague-storm","Plague Storm")</f>
        <v>Plague Storm</v>
      </c>
      <c r="BR1073" s="1">
        <v>1115</v>
      </c>
      <c r="BS1073" s="1" t="s">
        <v>104</v>
      </c>
      <c r="BX1073" s="1">
        <v>0</v>
      </c>
      <c r="BY1073" s="1" t="s">
        <v>104</v>
      </c>
      <c r="BZ1073" s="1" t="s">
        <v>104</v>
      </c>
      <c r="CA1073" s="1" t="s">
        <v>104</v>
      </c>
      <c r="CB1073" s="1" t="s">
        <v>104</v>
      </c>
      <c r="CC1073" s="1" t="s">
        <v>104</v>
      </c>
      <c r="CD1073" s="1" t="s">
        <v>104</v>
      </c>
      <c r="CE1073" s="1" t="s">
        <v>104</v>
      </c>
      <c r="CF1073" s="1" t="s">
        <v>104</v>
      </c>
      <c r="CG1073" s="1" t="s">
        <v>104</v>
      </c>
      <c r="CH1073" s="1">
        <v>6</v>
      </c>
      <c r="CJ1073" s="1">
        <v>0</v>
      </c>
      <c r="CK1073" s="1">
        <v>0</v>
      </c>
      <c r="CL1073" s="1">
        <v>0</v>
      </c>
      <c r="CM1073" s="1" t="s">
        <v>104</v>
      </c>
    </row>
    <row r="1074" spans="1:91" ht="14.25" customHeight="1" x14ac:dyDescent="0.3">
      <c r="A1074" s="1" t="s">
        <v>6559</v>
      </c>
      <c r="B1074" s="1" t="s">
        <v>172</v>
      </c>
      <c r="E1074" s="1" t="s">
        <v>5344</v>
      </c>
      <c r="F1074" s="1" t="s">
        <v>95</v>
      </c>
      <c r="G1074" s="1" t="s">
        <v>116</v>
      </c>
      <c r="H1074" s="1">
        <v>0</v>
      </c>
      <c r="I1074" s="1" t="s">
        <v>157</v>
      </c>
      <c r="L1074" s="1" t="s">
        <v>158</v>
      </c>
      <c r="M1074" s="1" t="s">
        <v>5923</v>
      </c>
      <c r="N1074" s="1">
        <v>0</v>
      </c>
      <c r="O1074" s="1">
        <v>0</v>
      </c>
      <c r="R1074" s="1" t="s">
        <v>6560</v>
      </c>
      <c r="S1074" s="1" t="s">
        <v>4201</v>
      </c>
      <c r="T1074" s="1">
        <v>1</v>
      </c>
      <c r="U1074" s="1">
        <v>1</v>
      </c>
      <c r="V1074" s="1">
        <v>0</v>
      </c>
      <c r="W1074" s="1">
        <v>0</v>
      </c>
      <c r="X1074" s="1">
        <v>0</v>
      </c>
      <c r="Y1074" s="1" t="s">
        <v>104</v>
      </c>
      <c r="Z1074" s="1" t="s">
        <v>104</v>
      </c>
      <c r="AA1074" s="1" t="s">
        <v>104</v>
      </c>
      <c r="AB1074" s="1" t="s">
        <v>104</v>
      </c>
      <c r="AC1074" s="1" t="s">
        <v>104</v>
      </c>
      <c r="AD1074" s="1">
        <v>1</v>
      </c>
      <c r="AE1074" s="1" t="s">
        <v>104</v>
      </c>
      <c r="AF1074" s="1" t="s">
        <v>104</v>
      </c>
      <c r="AG1074" s="1" t="s">
        <v>104</v>
      </c>
      <c r="AH1074" s="1" t="s">
        <v>104</v>
      </c>
      <c r="AI1074" s="1" t="s">
        <v>104</v>
      </c>
      <c r="AJ1074" s="1" t="s">
        <v>104</v>
      </c>
      <c r="AK1074" s="1" t="s">
        <v>104</v>
      </c>
      <c r="AL1074" s="1" t="s">
        <v>104</v>
      </c>
      <c r="AM1074" s="1" t="s">
        <v>104</v>
      </c>
      <c r="AO1074" s="1">
        <v>1</v>
      </c>
      <c r="AQ1074" s="1" t="s">
        <v>6561</v>
      </c>
      <c r="AR1074" s="1">
        <v>0</v>
      </c>
      <c r="AS1074" s="1">
        <v>0</v>
      </c>
      <c r="AT1074" s="1">
        <v>0</v>
      </c>
      <c r="AU1074" s="1">
        <v>0</v>
      </c>
      <c r="AV1074" s="1">
        <v>0</v>
      </c>
      <c r="AW1074" s="1">
        <v>0</v>
      </c>
      <c r="AX1074" s="1">
        <v>0</v>
      </c>
      <c r="AY1074" s="1">
        <v>0</v>
      </c>
      <c r="AZ1074" s="1">
        <v>0</v>
      </c>
      <c r="BA1074" s="1">
        <v>0</v>
      </c>
      <c r="BB1074" s="1">
        <v>0</v>
      </c>
      <c r="BC1074" s="1">
        <v>0</v>
      </c>
      <c r="BD1074" s="1">
        <v>0</v>
      </c>
      <c r="BE1074" s="1">
        <v>0</v>
      </c>
      <c r="BF1074" s="1">
        <v>0</v>
      </c>
      <c r="BG1074" s="1">
        <v>0</v>
      </c>
      <c r="BH1074" s="1">
        <v>0</v>
      </c>
      <c r="BI1074" s="1">
        <v>0</v>
      </c>
      <c r="BJ1074" s="1">
        <v>0</v>
      </c>
      <c r="BK1074" s="1">
        <v>0</v>
      </c>
      <c r="BL1074" s="1">
        <v>0</v>
      </c>
      <c r="BM1074" s="1">
        <v>0</v>
      </c>
      <c r="BN1074" s="1">
        <v>0</v>
      </c>
      <c r="BO1074" s="1">
        <v>0</v>
      </c>
      <c r="BP1074" s="1">
        <v>0</v>
      </c>
      <c r="BQ1074" s="2" t="str">
        <f>HYPERLINK("http://www.d20pfsrd.com/magic/all-spells/p/play-instrument","Play Instrument")</f>
        <v>Play Instrument</v>
      </c>
      <c r="BR1074" s="1">
        <v>1116</v>
      </c>
      <c r="BS1074" s="1" t="s">
        <v>104</v>
      </c>
      <c r="BX1074" s="1">
        <v>0</v>
      </c>
      <c r="BY1074" s="1" t="s">
        <v>104</v>
      </c>
      <c r="BZ1074" s="1" t="s">
        <v>104</v>
      </c>
      <c r="CA1074" s="1" t="s">
        <v>104</v>
      </c>
      <c r="CB1074" s="1" t="s">
        <v>104</v>
      </c>
      <c r="CC1074" s="1" t="s">
        <v>104</v>
      </c>
      <c r="CD1074" s="1" t="s">
        <v>104</v>
      </c>
      <c r="CE1074" s="1" t="s">
        <v>104</v>
      </c>
      <c r="CF1074" s="1" t="s">
        <v>104</v>
      </c>
      <c r="CG1074" s="1" t="s">
        <v>104</v>
      </c>
      <c r="CH1074" s="1" t="s">
        <v>104</v>
      </c>
      <c r="CJ1074" s="1">
        <v>0</v>
      </c>
      <c r="CK1074" s="1">
        <v>0</v>
      </c>
      <c r="CL1074" s="1">
        <v>0</v>
      </c>
      <c r="CM1074" s="1" t="s">
        <v>104</v>
      </c>
    </row>
    <row r="1075" spans="1:91" ht="14.25" customHeight="1" x14ac:dyDescent="0.3">
      <c r="A1075" s="1" t="s">
        <v>6562</v>
      </c>
      <c r="B1075" s="1" t="s">
        <v>137</v>
      </c>
      <c r="D1075" s="1" t="s">
        <v>6563</v>
      </c>
      <c r="E1075" s="1" t="s">
        <v>3623</v>
      </c>
      <c r="F1075" s="1" t="s">
        <v>95</v>
      </c>
      <c r="G1075" s="1" t="s">
        <v>116</v>
      </c>
      <c r="H1075" s="1">
        <v>0</v>
      </c>
      <c r="I1075" s="1" t="s">
        <v>117</v>
      </c>
      <c r="K1075" s="1" t="s">
        <v>6564</v>
      </c>
      <c r="M1075" s="1" t="s">
        <v>111</v>
      </c>
      <c r="N1075" s="1">
        <v>0</v>
      </c>
      <c r="O1075" s="1">
        <v>0</v>
      </c>
      <c r="P1075" s="1" t="s">
        <v>1080</v>
      </c>
      <c r="Q1075" s="1" t="s">
        <v>184</v>
      </c>
      <c r="R1075" s="1" t="s">
        <v>6565</v>
      </c>
      <c r="S1075" s="1" t="s">
        <v>4201</v>
      </c>
      <c r="T1075" s="1">
        <v>1</v>
      </c>
      <c r="U1075" s="1">
        <v>1</v>
      </c>
      <c r="V1075" s="1">
        <v>0</v>
      </c>
      <c r="W1075" s="1">
        <v>0</v>
      </c>
      <c r="X1075" s="1">
        <v>0</v>
      </c>
      <c r="Y1075" s="1" t="s">
        <v>104</v>
      </c>
      <c r="Z1075" s="1" t="s">
        <v>104</v>
      </c>
      <c r="AA1075" s="1">
        <v>9</v>
      </c>
      <c r="AB1075" s="1">
        <v>9</v>
      </c>
      <c r="AC1075" s="1" t="s">
        <v>104</v>
      </c>
      <c r="AD1075" s="1" t="s">
        <v>104</v>
      </c>
      <c r="AE1075" s="1" t="s">
        <v>104</v>
      </c>
      <c r="AF1075" s="1" t="s">
        <v>104</v>
      </c>
      <c r="AG1075" s="1" t="s">
        <v>104</v>
      </c>
      <c r="AH1075" s="1">
        <v>9</v>
      </c>
      <c r="AI1075" s="1" t="s">
        <v>104</v>
      </c>
      <c r="AJ1075" s="1">
        <v>9</v>
      </c>
      <c r="AK1075" s="1" t="s">
        <v>104</v>
      </c>
      <c r="AL1075" s="1" t="s">
        <v>104</v>
      </c>
      <c r="AM1075" s="1" t="s">
        <v>104</v>
      </c>
      <c r="AO1075" s="1">
        <v>9</v>
      </c>
      <c r="AQ1075" s="1" t="s">
        <v>6566</v>
      </c>
      <c r="AR1075" s="1">
        <v>0</v>
      </c>
      <c r="AS1075" s="1">
        <v>0</v>
      </c>
      <c r="AT1075" s="1">
        <v>0</v>
      </c>
      <c r="AU1075" s="1">
        <v>1</v>
      </c>
      <c r="AV1075" s="1">
        <v>0</v>
      </c>
      <c r="AW1075" s="1">
        <v>1</v>
      </c>
      <c r="AX1075" s="1">
        <v>0</v>
      </c>
      <c r="AY1075" s="1">
        <v>0</v>
      </c>
      <c r="AZ1075" s="1">
        <v>0</v>
      </c>
      <c r="BA1075" s="1">
        <v>0</v>
      </c>
      <c r="BB1075" s="1">
        <v>0</v>
      </c>
      <c r="BC1075" s="1">
        <v>0</v>
      </c>
      <c r="BD1075" s="1">
        <v>0</v>
      </c>
      <c r="BE1075" s="1">
        <v>0</v>
      </c>
      <c r="BF1075" s="1">
        <v>0</v>
      </c>
      <c r="BG1075" s="1">
        <v>0</v>
      </c>
      <c r="BH1075" s="1">
        <v>0</v>
      </c>
      <c r="BI1075" s="1">
        <v>0</v>
      </c>
      <c r="BJ1075" s="1">
        <v>0</v>
      </c>
      <c r="BK1075" s="1">
        <v>0</v>
      </c>
      <c r="BL1075" s="1">
        <v>0</v>
      </c>
      <c r="BM1075" s="1">
        <v>0</v>
      </c>
      <c r="BN1075" s="1">
        <v>0</v>
      </c>
      <c r="BO1075" s="1">
        <v>0</v>
      </c>
      <c r="BP1075" s="1">
        <v>0</v>
      </c>
      <c r="BQ1075" s="2" t="str">
        <f>HYPERLINK("http://www.d20pfsrd.com/magic/all-spells/p/polar-midnight","Polar Midnight")</f>
        <v>Polar Midnight</v>
      </c>
      <c r="BR1075" s="1">
        <v>1117</v>
      </c>
      <c r="BS1075" s="1" t="s">
        <v>104</v>
      </c>
      <c r="BU1075" s="1" t="s">
        <v>6567</v>
      </c>
      <c r="BX1075" s="1">
        <v>0</v>
      </c>
      <c r="BY1075" s="1" t="s">
        <v>104</v>
      </c>
      <c r="BZ1075" s="1">
        <v>9</v>
      </c>
      <c r="CA1075" s="1" t="s">
        <v>104</v>
      </c>
      <c r="CB1075" s="1" t="s">
        <v>104</v>
      </c>
      <c r="CC1075" s="1" t="s">
        <v>104</v>
      </c>
      <c r="CD1075" s="1" t="s">
        <v>104</v>
      </c>
      <c r="CE1075" s="1" t="s">
        <v>104</v>
      </c>
      <c r="CF1075" s="1" t="s">
        <v>104</v>
      </c>
      <c r="CG1075" s="1" t="s">
        <v>104</v>
      </c>
      <c r="CH1075" s="1" t="s">
        <v>104</v>
      </c>
      <c r="CJ1075" s="1">
        <v>0</v>
      </c>
      <c r="CK1075" s="1">
        <v>0</v>
      </c>
      <c r="CL1075" s="1">
        <v>0</v>
      </c>
      <c r="CM1075" s="1" t="s">
        <v>104</v>
      </c>
    </row>
    <row r="1076" spans="1:91" ht="14.25" customHeight="1" x14ac:dyDescent="0.3">
      <c r="A1076" s="1" t="s">
        <v>6568</v>
      </c>
      <c r="B1076" s="1" t="s">
        <v>137</v>
      </c>
      <c r="E1076" s="1" t="s">
        <v>6569</v>
      </c>
      <c r="F1076" s="1" t="s">
        <v>95</v>
      </c>
      <c r="G1076" s="1" t="s">
        <v>1802</v>
      </c>
      <c r="H1076" s="1">
        <v>0</v>
      </c>
      <c r="I1076" s="1" t="s">
        <v>157</v>
      </c>
      <c r="L1076" s="1" t="s">
        <v>158</v>
      </c>
      <c r="M1076" s="1" t="s">
        <v>1676</v>
      </c>
      <c r="N1076" s="1">
        <v>0</v>
      </c>
      <c r="O1076" s="1">
        <v>0</v>
      </c>
      <c r="R1076" s="1" t="s">
        <v>6570</v>
      </c>
      <c r="S1076" s="1" t="s">
        <v>4201</v>
      </c>
      <c r="T1076" s="1">
        <v>0</v>
      </c>
      <c r="U1076" s="1">
        <v>1</v>
      </c>
      <c r="V1076" s="1">
        <v>0</v>
      </c>
      <c r="W1076" s="1">
        <v>0</v>
      </c>
      <c r="X1076" s="1">
        <v>0</v>
      </c>
      <c r="Y1076" s="1">
        <v>1</v>
      </c>
      <c r="Z1076" s="1">
        <v>1</v>
      </c>
      <c r="AA1076" s="1" t="s">
        <v>104</v>
      </c>
      <c r="AB1076" s="1" t="s">
        <v>104</v>
      </c>
      <c r="AC1076" s="1" t="s">
        <v>104</v>
      </c>
      <c r="AD1076" s="1" t="s">
        <v>104</v>
      </c>
      <c r="AE1076" s="1" t="s">
        <v>104</v>
      </c>
      <c r="AF1076" s="1">
        <v>1</v>
      </c>
      <c r="AG1076" s="1" t="s">
        <v>104</v>
      </c>
      <c r="AH1076" s="1" t="s">
        <v>104</v>
      </c>
      <c r="AI1076" s="1" t="s">
        <v>104</v>
      </c>
      <c r="AJ1076" s="1" t="s">
        <v>104</v>
      </c>
      <c r="AK1076" s="1" t="s">
        <v>104</v>
      </c>
      <c r="AL1076" s="1" t="s">
        <v>104</v>
      </c>
      <c r="AM1076" s="1" t="s">
        <v>104</v>
      </c>
      <c r="AO1076" s="1">
        <v>1</v>
      </c>
      <c r="AQ1076" s="1" t="s">
        <v>6571</v>
      </c>
      <c r="AR1076" s="1">
        <v>0</v>
      </c>
      <c r="AS1076" s="1">
        <v>0</v>
      </c>
      <c r="AT1076" s="1">
        <v>0</v>
      </c>
      <c r="AU1076" s="1">
        <v>0</v>
      </c>
      <c r="AV1076" s="1">
        <v>0</v>
      </c>
      <c r="AW1076" s="1">
        <v>0</v>
      </c>
      <c r="AX1076" s="1">
        <v>0</v>
      </c>
      <c r="AY1076" s="1">
        <v>0</v>
      </c>
      <c r="AZ1076" s="1">
        <v>0</v>
      </c>
      <c r="BA1076" s="1">
        <v>0</v>
      </c>
      <c r="BB1076" s="1">
        <v>0</v>
      </c>
      <c r="BC1076" s="1">
        <v>0</v>
      </c>
      <c r="BD1076" s="1">
        <v>0</v>
      </c>
      <c r="BE1076" s="1">
        <v>0</v>
      </c>
      <c r="BF1076" s="1">
        <v>0</v>
      </c>
      <c r="BG1076" s="1">
        <v>0</v>
      </c>
      <c r="BH1076" s="1">
        <v>0</v>
      </c>
      <c r="BI1076" s="1">
        <v>0</v>
      </c>
      <c r="BJ1076" s="1">
        <v>0</v>
      </c>
      <c r="BK1076" s="1">
        <v>0</v>
      </c>
      <c r="BL1076" s="1">
        <v>0</v>
      </c>
      <c r="BM1076" s="1">
        <v>0</v>
      </c>
      <c r="BN1076" s="1">
        <v>0</v>
      </c>
      <c r="BO1076" s="1">
        <v>0</v>
      </c>
      <c r="BP1076" s="1">
        <v>0</v>
      </c>
      <c r="BQ1076" s="2" t="str">
        <f>HYPERLINK("http://www.d20pfsrd.com/magic/all-spells/p/polypurpose-panacea","Polypurpose Panacea")</f>
        <v>Polypurpose Panacea</v>
      </c>
      <c r="BR1076" s="1">
        <v>1118</v>
      </c>
      <c r="BS1076" s="1" t="s">
        <v>104</v>
      </c>
      <c r="BX1076" s="1">
        <v>0</v>
      </c>
      <c r="BY1076" s="1" t="s">
        <v>104</v>
      </c>
      <c r="BZ1076" s="1" t="s">
        <v>104</v>
      </c>
      <c r="CA1076" s="1">
        <v>1</v>
      </c>
      <c r="CB1076" s="1" t="s">
        <v>104</v>
      </c>
      <c r="CC1076" s="1">
        <v>1</v>
      </c>
      <c r="CD1076" s="1" t="s">
        <v>104</v>
      </c>
      <c r="CE1076" s="1" t="s">
        <v>104</v>
      </c>
      <c r="CF1076" s="1" t="s">
        <v>104</v>
      </c>
      <c r="CG1076" s="1" t="s">
        <v>104</v>
      </c>
      <c r="CH1076" s="1" t="s">
        <v>104</v>
      </c>
      <c r="CJ1076" s="1">
        <v>0</v>
      </c>
      <c r="CK1076" s="1">
        <v>0</v>
      </c>
      <c r="CL1076" s="1">
        <v>0</v>
      </c>
      <c r="CM1076" s="1" t="s">
        <v>104</v>
      </c>
    </row>
    <row r="1077" spans="1:91" ht="14.25" customHeight="1" x14ac:dyDescent="0.3">
      <c r="A1077" s="1" t="s">
        <v>6572</v>
      </c>
      <c r="B1077" s="1" t="s">
        <v>216</v>
      </c>
      <c r="E1077" s="1" t="s">
        <v>6573</v>
      </c>
      <c r="F1077" s="1" t="s">
        <v>95</v>
      </c>
      <c r="G1077" s="1" t="s">
        <v>2405</v>
      </c>
      <c r="H1077" s="1">
        <v>1</v>
      </c>
      <c r="I1077" s="1" t="s">
        <v>109</v>
      </c>
      <c r="L1077" s="1" t="s">
        <v>6574</v>
      </c>
      <c r="M1077" s="1" t="s">
        <v>2406</v>
      </c>
      <c r="N1077" s="1">
        <v>0</v>
      </c>
      <c r="O1077" s="1">
        <v>0</v>
      </c>
      <c r="R1077" s="1" t="s">
        <v>6575</v>
      </c>
      <c r="S1077" s="1" t="s">
        <v>4201</v>
      </c>
      <c r="T1077" s="1">
        <v>1</v>
      </c>
      <c r="U1077" s="1">
        <v>1</v>
      </c>
      <c r="V1077" s="1">
        <v>0</v>
      </c>
      <c r="W1077" s="1">
        <v>0</v>
      </c>
      <c r="X1077" s="1">
        <v>0</v>
      </c>
      <c r="Y1077" s="1">
        <v>5</v>
      </c>
      <c r="Z1077" s="1">
        <v>5</v>
      </c>
      <c r="AA1077" s="1" t="s">
        <v>104</v>
      </c>
      <c r="AB1077" s="1" t="s">
        <v>104</v>
      </c>
      <c r="AC1077" s="1" t="s">
        <v>104</v>
      </c>
      <c r="AD1077" s="1" t="s">
        <v>104</v>
      </c>
      <c r="AE1077" s="1" t="s">
        <v>104</v>
      </c>
      <c r="AF1077" s="1" t="s">
        <v>104</v>
      </c>
      <c r="AG1077" s="1" t="s">
        <v>104</v>
      </c>
      <c r="AH1077" s="1">
        <v>5</v>
      </c>
      <c r="AI1077" s="1" t="s">
        <v>104</v>
      </c>
      <c r="AJ1077" s="1" t="s">
        <v>104</v>
      </c>
      <c r="AK1077" s="1" t="s">
        <v>104</v>
      </c>
      <c r="AL1077" s="1" t="s">
        <v>104</v>
      </c>
      <c r="AM1077" s="1" t="s">
        <v>104</v>
      </c>
      <c r="AO1077" s="1">
        <v>5</v>
      </c>
      <c r="AQ1077" s="1" t="s">
        <v>6576</v>
      </c>
      <c r="AR1077" s="1">
        <v>0</v>
      </c>
      <c r="AS1077" s="1">
        <v>0</v>
      </c>
      <c r="AT1077" s="1">
        <v>0</v>
      </c>
      <c r="AU1077" s="1">
        <v>0</v>
      </c>
      <c r="AV1077" s="1">
        <v>0</v>
      </c>
      <c r="AW1077" s="1">
        <v>0</v>
      </c>
      <c r="AX1077" s="1">
        <v>0</v>
      </c>
      <c r="AY1077" s="1">
        <v>0</v>
      </c>
      <c r="AZ1077" s="1">
        <v>0</v>
      </c>
      <c r="BA1077" s="1">
        <v>0</v>
      </c>
      <c r="BB1077" s="1">
        <v>0</v>
      </c>
      <c r="BC1077" s="1">
        <v>0</v>
      </c>
      <c r="BD1077" s="1">
        <v>0</v>
      </c>
      <c r="BE1077" s="1">
        <v>0</v>
      </c>
      <c r="BF1077" s="1">
        <v>0</v>
      </c>
      <c r="BG1077" s="1">
        <v>0</v>
      </c>
      <c r="BH1077" s="1">
        <v>0</v>
      </c>
      <c r="BI1077" s="1">
        <v>0</v>
      </c>
      <c r="BJ1077" s="1">
        <v>0</v>
      </c>
      <c r="BK1077" s="1">
        <v>0</v>
      </c>
      <c r="BL1077" s="1">
        <v>0</v>
      </c>
      <c r="BM1077" s="1">
        <v>0</v>
      </c>
      <c r="BN1077" s="1">
        <v>0</v>
      </c>
      <c r="BO1077" s="1">
        <v>0</v>
      </c>
      <c r="BP1077" s="1">
        <v>0</v>
      </c>
      <c r="BQ1077" s="2" t="str">
        <f>HYPERLINK("http://www.d20pfsrd.com/magic/all-spells/p/possess-object","Possess Object")</f>
        <v>Possess Object</v>
      </c>
      <c r="BR1077" s="1">
        <v>1119</v>
      </c>
      <c r="BS1077" s="1">
        <v>100</v>
      </c>
      <c r="BX1077" s="1">
        <v>0</v>
      </c>
      <c r="BY1077" s="1" t="s">
        <v>104</v>
      </c>
      <c r="BZ1077" s="1" t="s">
        <v>104</v>
      </c>
      <c r="CA1077" s="1" t="s">
        <v>104</v>
      </c>
      <c r="CB1077" s="1" t="s">
        <v>104</v>
      </c>
      <c r="CC1077" s="1" t="s">
        <v>104</v>
      </c>
      <c r="CD1077" s="1" t="s">
        <v>104</v>
      </c>
      <c r="CE1077" s="1" t="s">
        <v>104</v>
      </c>
      <c r="CF1077" s="1" t="s">
        <v>104</v>
      </c>
      <c r="CG1077" s="1" t="s">
        <v>104</v>
      </c>
      <c r="CH1077" s="1" t="s">
        <v>104</v>
      </c>
      <c r="CJ1077" s="1">
        <v>0</v>
      </c>
      <c r="CK1077" s="1">
        <v>0</v>
      </c>
      <c r="CL1077" s="1">
        <v>0</v>
      </c>
      <c r="CM1077" s="1" t="s">
        <v>104</v>
      </c>
    </row>
    <row r="1078" spans="1:91" ht="14.25" customHeight="1" x14ac:dyDescent="0.3">
      <c r="A1078" s="1" t="s">
        <v>6577</v>
      </c>
      <c r="B1078" s="1" t="s">
        <v>172</v>
      </c>
      <c r="D1078" s="1" t="s">
        <v>6578</v>
      </c>
      <c r="E1078" s="1" t="s">
        <v>6579</v>
      </c>
      <c r="F1078" s="1" t="s">
        <v>95</v>
      </c>
      <c r="G1078" s="1" t="s">
        <v>116</v>
      </c>
      <c r="H1078" s="1">
        <v>0</v>
      </c>
      <c r="I1078" s="1" t="s">
        <v>117</v>
      </c>
      <c r="L1078" s="1" t="s">
        <v>1065</v>
      </c>
      <c r="M1078" s="1" t="s">
        <v>6580</v>
      </c>
      <c r="N1078" s="1">
        <v>0</v>
      </c>
      <c r="O1078" s="1">
        <v>0</v>
      </c>
      <c r="P1078" s="1" t="s">
        <v>276</v>
      </c>
      <c r="Q1078" s="1" t="s">
        <v>184</v>
      </c>
      <c r="R1078" s="1" t="s">
        <v>6581</v>
      </c>
      <c r="S1078" s="1" t="s">
        <v>4201</v>
      </c>
      <c r="T1078" s="1">
        <v>1</v>
      </c>
      <c r="U1078" s="1">
        <v>1</v>
      </c>
      <c r="V1078" s="1">
        <v>0</v>
      </c>
      <c r="W1078" s="1">
        <v>0</v>
      </c>
      <c r="X1078" s="1">
        <v>0</v>
      </c>
      <c r="Y1078" s="1">
        <v>8</v>
      </c>
      <c r="Z1078" s="1">
        <v>8</v>
      </c>
      <c r="AA1078" s="1" t="s">
        <v>104</v>
      </c>
      <c r="AB1078" s="1" t="s">
        <v>104</v>
      </c>
      <c r="AC1078" s="1" t="s">
        <v>104</v>
      </c>
      <c r="AD1078" s="1" t="s">
        <v>104</v>
      </c>
      <c r="AE1078" s="1" t="s">
        <v>104</v>
      </c>
      <c r="AF1078" s="1" t="s">
        <v>104</v>
      </c>
      <c r="AG1078" s="1" t="s">
        <v>104</v>
      </c>
      <c r="AH1078" s="1">
        <v>8</v>
      </c>
      <c r="AI1078" s="1" t="s">
        <v>104</v>
      </c>
      <c r="AJ1078" s="1" t="s">
        <v>104</v>
      </c>
      <c r="AK1078" s="1" t="s">
        <v>104</v>
      </c>
      <c r="AL1078" s="1" t="s">
        <v>104</v>
      </c>
      <c r="AM1078" s="1" t="s">
        <v>104</v>
      </c>
      <c r="AO1078" s="1">
        <v>8</v>
      </c>
      <c r="AQ1078" s="1" t="s">
        <v>6582</v>
      </c>
      <c r="AR1078" s="1">
        <v>0</v>
      </c>
      <c r="AS1078" s="1">
        <v>0</v>
      </c>
      <c r="AT1078" s="1">
        <v>0</v>
      </c>
      <c r="AU1078" s="1">
        <v>0</v>
      </c>
      <c r="AV1078" s="1">
        <v>1</v>
      </c>
      <c r="AW1078" s="1">
        <v>0</v>
      </c>
      <c r="AX1078" s="1">
        <v>0</v>
      </c>
      <c r="AY1078" s="1">
        <v>0</v>
      </c>
      <c r="AZ1078" s="1">
        <v>0</v>
      </c>
      <c r="BA1078" s="1">
        <v>0</v>
      </c>
      <c r="BB1078" s="1">
        <v>0</v>
      </c>
      <c r="BC1078" s="1">
        <v>0</v>
      </c>
      <c r="BD1078" s="1">
        <v>1</v>
      </c>
      <c r="BE1078" s="1">
        <v>0</v>
      </c>
      <c r="BF1078" s="1">
        <v>0</v>
      </c>
      <c r="BG1078" s="1">
        <v>0</v>
      </c>
      <c r="BH1078" s="1">
        <v>0</v>
      </c>
      <c r="BI1078" s="1">
        <v>0</v>
      </c>
      <c r="BJ1078" s="1">
        <v>0</v>
      </c>
      <c r="BK1078" s="1">
        <v>1</v>
      </c>
      <c r="BL1078" s="1">
        <v>0</v>
      </c>
      <c r="BM1078" s="1">
        <v>0</v>
      </c>
      <c r="BN1078" s="1">
        <v>0</v>
      </c>
      <c r="BO1078" s="1">
        <v>0</v>
      </c>
      <c r="BP1078" s="1">
        <v>0</v>
      </c>
      <c r="BQ1078" s="2" t="str">
        <f>HYPERLINK("http://www.d20pfsrd.com/magic/all-spells/p/prediction-of-failure","Prediction of Failure")</f>
        <v>Prediction of Failure</v>
      </c>
      <c r="BR1078" s="1">
        <v>1120</v>
      </c>
      <c r="BS1078" s="1" t="s">
        <v>104</v>
      </c>
      <c r="BT1078" s="1" t="s">
        <v>6583</v>
      </c>
      <c r="BX1078" s="1">
        <v>0</v>
      </c>
      <c r="BY1078" s="1" t="s">
        <v>104</v>
      </c>
      <c r="BZ1078" s="1" t="s">
        <v>104</v>
      </c>
      <c r="CA1078" s="1">
        <v>8</v>
      </c>
      <c r="CB1078" s="1" t="s">
        <v>104</v>
      </c>
      <c r="CC1078" s="1" t="s">
        <v>104</v>
      </c>
      <c r="CD1078" s="1">
        <v>6</v>
      </c>
      <c r="CE1078" s="1" t="s">
        <v>104</v>
      </c>
      <c r="CF1078" s="1" t="s">
        <v>104</v>
      </c>
      <c r="CG1078" s="1" t="s">
        <v>104</v>
      </c>
      <c r="CH1078" s="1" t="s">
        <v>104</v>
      </c>
      <c r="CJ1078" s="1">
        <v>0</v>
      </c>
      <c r="CK1078" s="1">
        <v>0</v>
      </c>
      <c r="CL1078" s="1">
        <v>0</v>
      </c>
      <c r="CM1078" s="1" t="s">
        <v>104</v>
      </c>
    </row>
    <row r="1079" spans="1:91" ht="14.25" customHeight="1" x14ac:dyDescent="0.3">
      <c r="A1079" s="1" t="s">
        <v>6584</v>
      </c>
      <c r="B1079" s="1" t="s">
        <v>162</v>
      </c>
      <c r="D1079" s="1" t="s">
        <v>207</v>
      </c>
      <c r="E1079" s="1" t="s">
        <v>4175</v>
      </c>
      <c r="F1079" s="1" t="s">
        <v>95</v>
      </c>
      <c r="G1079" s="1" t="s">
        <v>237</v>
      </c>
      <c r="H1079" s="1">
        <v>0</v>
      </c>
      <c r="I1079" s="1" t="s">
        <v>157</v>
      </c>
      <c r="L1079" s="1" t="s">
        <v>158</v>
      </c>
      <c r="M1079" s="1" t="s">
        <v>111</v>
      </c>
      <c r="N1079" s="1">
        <v>0</v>
      </c>
      <c r="O1079" s="1">
        <v>0</v>
      </c>
      <c r="R1079" s="1" t="s">
        <v>6585</v>
      </c>
      <c r="S1079" s="1" t="s">
        <v>4201</v>
      </c>
      <c r="T1079" s="1">
        <v>1</v>
      </c>
      <c r="U1079" s="1">
        <v>0</v>
      </c>
      <c r="V1079" s="1">
        <v>0</v>
      </c>
      <c r="W1079" s="1">
        <v>0</v>
      </c>
      <c r="X1079" s="1">
        <v>0</v>
      </c>
      <c r="Y1079" s="1" t="s">
        <v>104</v>
      </c>
      <c r="Z1079" s="1" t="s">
        <v>104</v>
      </c>
      <c r="AA1079" s="1" t="s">
        <v>104</v>
      </c>
      <c r="AB1079" s="1" t="s">
        <v>104</v>
      </c>
      <c r="AC1079" s="1" t="s">
        <v>104</v>
      </c>
      <c r="AD1079" s="1">
        <v>4</v>
      </c>
      <c r="AE1079" s="1" t="s">
        <v>104</v>
      </c>
      <c r="AF1079" s="1" t="s">
        <v>104</v>
      </c>
      <c r="AG1079" s="1" t="s">
        <v>104</v>
      </c>
      <c r="AH1079" s="1" t="s">
        <v>104</v>
      </c>
      <c r="AI1079" s="1" t="s">
        <v>104</v>
      </c>
      <c r="AJ1079" s="1" t="s">
        <v>104</v>
      </c>
      <c r="AK1079" s="1" t="s">
        <v>104</v>
      </c>
      <c r="AL1079" s="1" t="s">
        <v>104</v>
      </c>
      <c r="AM1079" s="1" t="s">
        <v>104</v>
      </c>
      <c r="AO1079" s="1">
        <v>4</v>
      </c>
      <c r="AQ1079" s="1" t="s">
        <v>6586</v>
      </c>
      <c r="AR1079" s="1">
        <v>0</v>
      </c>
      <c r="AS1079" s="1">
        <v>0</v>
      </c>
      <c r="AT1079" s="1">
        <v>0</v>
      </c>
      <c r="AU1079" s="1">
        <v>0</v>
      </c>
      <c r="AV1079" s="1">
        <v>0</v>
      </c>
      <c r="AW1079" s="1">
        <v>0</v>
      </c>
      <c r="AX1079" s="1">
        <v>0</v>
      </c>
      <c r="AY1079" s="1">
        <v>0</v>
      </c>
      <c r="AZ1079" s="1">
        <v>0</v>
      </c>
      <c r="BA1079" s="1">
        <v>0</v>
      </c>
      <c r="BB1079" s="1">
        <v>0</v>
      </c>
      <c r="BC1079" s="1">
        <v>0</v>
      </c>
      <c r="BD1079" s="1">
        <v>0</v>
      </c>
      <c r="BE1079" s="1">
        <v>0</v>
      </c>
      <c r="BF1079" s="1">
        <v>0</v>
      </c>
      <c r="BG1079" s="1">
        <v>0</v>
      </c>
      <c r="BH1079" s="1">
        <v>0</v>
      </c>
      <c r="BI1079" s="1">
        <v>0</v>
      </c>
      <c r="BJ1079" s="1">
        <v>0</v>
      </c>
      <c r="BK1079" s="1">
        <v>1</v>
      </c>
      <c r="BL1079" s="1">
        <v>0</v>
      </c>
      <c r="BM1079" s="1">
        <v>0</v>
      </c>
      <c r="BN1079" s="1">
        <v>0</v>
      </c>
      <c r="BO1079" s="1">
        <v>1</v>
      </c>
      <c r="BP1079" s="1">
        <v>0</v>
      </c>
      <c r="BQ1079" s="2" t="str">
        <f>HYPERLINK("http://www.d20pfsrd.com/magic/all-spells/p/primal-scream","Primal Scream")</f>
        <v>Primal Scream</v>
      </c>
      <c r="BR1079" s="1">
        <v>1121</v>
      </c>
      <c r="BS1079" s="1" t="s">
        <v>104</v>
      </c>
      <c r="BX1079" s="1">
        <v>0</v>
      </c>
      <c r="BY1079" s="1" t="s">
        <v>104</v>
      </c>
      <c r="BZ1079" s="1" t="s">
        <v>104</v>
      </c>
      <c r="CA1079" s="1" t="s">
        <v>104</v>
      </c>
      <c r="CB1079" s="1" t="s">
        <v>104</v>
      </c>
      <c r="CC1079" s="1">
        <v>4</v>
      </c>
      <c r="CD1079" s="1" t="s">
        <v>104</v>
      </c>
      <c r="CE1079" s="1" t="s">
        <v>104</v>
      </c>
      <c r="CF1079" s="1" t="s">
        <v>104</v>
      </c>
      <c r="CG1079" s="1" t="s">
        <v>104</v>
      </c>
      <c r="CH1079" s="1" t="s">
        <v>104</v>
      </c>
      <c r="CJ1079" s="1">
        <v>0</v>
      </c>
      <c r="CK1079" s="1">
        <v>0</v>
      </c>
      <c r="CL1079" s="1">
        <v>0</v>
      </c>
      <c r="CM1079" s="1" t="s">
        <v>104</v>
      </c>
    </row>
    <row r="1080" spans="1:91" ht="14.25" customHeight="1" x14ac:dyDescent="0.3">
      <c r="A1080" s="1" t="s">
        <v>6587</v>
      </c>
      <c r="B1080" s="1" t="s">
        <v>434</v>
      </c>
      <c r="D1080" s="1" t="s">
        <v>48</v>
      </c>
      <c r="E1080" s="1" t="s">
        <v>6588</v>
      </c>
      <c r="F1080" s="1" t="s">
        <v>95</v>
      </c>
      <c r="G1080" s="1" t="s">
        <v>6118</v>
      </c>
      <c r="H1080" s="1">
        <v>0</v>
      </c>
      <c r="I1080" s="1" t="s">
        <v>128</v>
      </c>
      <c r="L1080" s="1" t="s">
        <v>374</v>
      </c>
      <c r="M1080" s="1" t="s">
        <v>4292</v>
      </c>
      <c r="N1080" s="1">
        <v>0</v>
      </c>
      <c r="O1080" s="1">
        <v>0</v>
      </c>
      <c r="P1080" s="1" t="s">
        <v>375</v>
      </c>
      <c r="Q1080" s="1" t="s">
        <v>184</v>
      </c>
      <c r="R1080" s="1" t="s">
        <v>6589</v>
      </c>
      <c r="S1080" s="1" t="s">
        <v>4201</v>
      </c>
      <c r="T1080" s="1">
        <v>1</v>
      </c>
      <c r="U1080" s="1">
        <v>1</v>
      </c>
      <c r="V1080" s="1">
        <v>0</v>
      </c>
      <c r="W1080" s="1">
        <v>0</v>
      </c>
      <c r="X1080" s="1">
        <v>0</v>
      </c>
      <c r="Y1080" s="1">
        <v>2</v>
      </c>
      <c r="Z1080" s="1">
        <v>2</v>
      </c>
      <c r="AA1080" s="1">
        <v>2</v>
      </c>
      <c r="AB1080" s="1" t="s">
        <v>104</v>
      </c>
      <c r="AC1080" s="1" t="s">
        <v>104</v>
      </c>
      <c r="AD1080" s="1" t="s">
        <v>104</v>
      </c>
      <c r="AE1080" s="1" t="s">
        <v>104</v>
      </c>
      <c r="AF1080" s="1" t="s">
        <v>104</v>
      </c>
      <c r="AG1080" s="1" t="s">
        <v>104</v>
      </c>
      <c r="AH1080" s="1">
        <v>2</v>
      </c>
      <c r="AI1080" s="1" t="s">
        <v>104</v>
      </c>
      <c r="AJ1080" s="1">
        <v>2</v>
      </c>
      <c r="AK1080" s="1" t="s">
        <v>104</v>
      </c>
      <c r="AL1080" s="1" t="s">
        <v>104</v>
      </c>
      <c r="AM1080" s="1" t="s">
        <v>104</v>
      </c>
      <c r="AO1080" s="1">
        <v>2</v>
      </c>
      <c r="AQ1080" s="1" t="s">
        <v>6590</v>
      </c>
      <c r="AR1080" s="1">
        <v>0</v>
      </c>
      <c r="AS1080" s="1">
        <v>0</v>
      </c>
      <c r="AT1080" s="1">
        <v>0</v>
      </c>
      <c r="AU1080" s="1">
        <v>0</v>
      </c>
      <c r="AV1080" s="1">
        <v>0</v>
      </c>
      <c r="AW1080" s="1">
        <v>1</v>
      </c>
      <c r="AX1080" s="1">
        <v>0</v>
      </c>
      <c r="AY1080" s="1">
        <v>0</v>
      </c>
      <c r="AZ1080" s="1">
        <v>0</v>
      </c>
      <c r="BA1080" s="1">
        <v>0</v>
      </c>
      <c r="BB1080" s="1">
        <v>0</v>
      </c>
      <c r="BC1080" s="1">
        <v>0</v>
      </c>
      <c r="BD1080" s="1">
        <v>0</v>
      </c>
      <c r="BE1080" s="1">
        <v>0</v>
      </c>
      <c r="BF1080" s="1">
        <v>0</v>
      </c>
      <c r="BG1080" s="1">
        <v>0</v>
      </c>
      <c r="BH1080" s="1">
        <v>0</v>
      </c>
      <c r="BI1080" s="1">
        <v>0</v>
      </c>
      <c r="BJ1080" s="1">
        <v>0</v>
      </c>
      <c r="BK1080" s="1">
        <v>0</v>
      </c>
      <c r="BL1080" s="1">
        <v>0</v>
      </c>
      <c r="BM1080" s="1">
        <v>0</v>
      </c>
      <c r="BN1080" s="1">
        <v>0</v>
      </c>
      <c r="BO1080" s="1">
        <v>0</v>
      </c>
      <c r="BP1080" s="1">
        <v>0</v>
      </c>
      <c r="BQ1080" s="2" t="str">
        <f>HYPERLINK("http://www.d20pfsrd.com/magic/all-spells/p/protective-penumbra","Protective Penumbra")</f>
        <v>Protective Penumbra</v>
      </c>
      <c r="BR1080" s="1">
        <v>1122</v>
      </c>
      <c r="BS1080" s="1" t="s">
        <v>104</v>
      </c>
      <c r="BX1080" s="1">
        <v>0</v>
      </c>
      <c r="BY1080" s="1" t="s">
        <v>104</v>
      </c>
      <c r="BZ1080" s="1" t="s">
        <v>104</v>
      </c>
      <c r="CA1080" s="1">
        <v>2</v>
      </c>
      <c r="CB1080" s="1" t="s">
        <v>104</v>
      </c>
      <c r="CC1080" s="1" t="s">
        <v>104</v>
      </c>
      <c r="CD1080" s="1">
        <v>2</v>
      </c>
      <c r="CE1080" s="1">
        <v>2</v>
      </c>
      <c r="CF1080" s="1" t="s">
        <v>104</v>
      </c>
      <c r="CG1080" s="1" t="s">
        <v>104</v>
      </c>
      <c r="CH1080" s="1" t="s">
        <v>104</v>
      </c>
      <c r="CJ1080" s="1">
        <v>0</v>
      </c>
      <c r="CK1080" s="1">
        <v>0</v>
      </c>
      <c r="CL1080" s="1">
        <v>0</v>
      </c>
      <c r="CM1080" s="1" t="s">
        <v>104</v>
      </c>
    </row>
    <row r="1081" spans="1:91" ht="14.25" customHeight="1" x14ac:dyDescent="0.3">
      <c r="A1081" s="1" t="s">
        <v>6591</v>
      </c>
      <c r="B1081" s="1" t="s">
        <v>92</v>
      </c>
      <c r="C1081" s="1" t="s">
        <v>903</v>
      </c>
      <c r="E1081" s="1" t="s">
        <v>6592</v>
      </c>
      <c r="F1081" s="1" t="s">
        <v>255</v>
      </c>
      <c r="G1081" s="1" t="s">
        <v>3722</v>
      </c>
      <c r="H1081" s="1">
        <v>0</v>
      </c>
      <c r="I1081" s="1" t="s">
        <v>117</v>
      </c>
      <c r="K1081" s="1" t="s">
        <v>6593</v>
      </c>
      <c r="M1081" s="1" t="s">
        <v>2537</v>
      </c>
      <c r="N1081" s="1">
        <v>0</v>
      </c>
      <c r="O1081" s="1">
        <v>0</v>
      </c>
      <c r="P1081" s="1" t="s">
        <v>100</v>
      </c>
      <c r="Q1081" s="1" t="s">
        <v>101</v>
      </c>
      <c r="R1081" s="1" t="s">
        <v>6594</v>
      </c>
      <c r="S1081" s="1" t="s">
        <v>4201</v>
      </c>
      <c r="T1081" s="1">
        <v>1</v>
      </c>
      <c r="U1081" s="1">
        <v>1</v>
      </c>
      <c r="V1081" s="1">
        <v>1</v>
      </c>
      <c r="W1081" s="1">
        <v>0</v>
      </c>
      <c r="X1081" s="1">
        <v>1</v>
      </c>
      <c r="Y1081" s="1">
        <v>3</v>
      </c>
      <c r="Z1081" s="1">
        <v>3</v>
      </c>
      <c r="AA1081" s="1" t="s">
        <v>104</v>
      </c>
      <c r="AB1081" s="1">
        <v>3</v>
      </c>
      <c r="AC1081" s="1" t="s">
        <v>104</v>
      </c>
      <c r="AD1081" s="1">
        <v>3</v>
      </c>
      <c r="AE1081" s="1" t="s">
        <v>104</v>
      </c>
      <c r="AF1081" s="1" t="s">
        <v>104</v>
      </c>
      <c r="AG1081" s="1">
        <v>3</v>
      </c>
      <c r="AH1081" s="1">
        <v>3</v>
      </c>
      <c r="AI1081" s="1" t="s">
        <v>104</v>
      </c>
      <c r="AJ1081" s="1" t="s">
        <v>104</v>
      </c>
      <c r="AK1081" s="1" t="s">
        <v>104</v>
      </c>
      <c r="AL1081" s="1" t="s">
        <v>104</v>
      </c>
      <c r="AM1081" s="1" t="s">
        <v>104</v>
      </c>
      <c r="AO1081" s="1">
        <v>3</v>
      </c>
      <c r="AQ1081" s="1" t="s">
        <v>6595</v>
      </c>
      <c r="AR1081" s="1">
        <v>0</v>
      </c>
      <c r="AS1081" s="1">
        <v>0</v>
      </c>
      <c r="AT1081" s="1">
        <v>0</v>
      </c>
      <c r="AU1081" s="1">
        <v>0</v>
      </c>
      <c r="AV1081" s="1">
        <v>0</v>
      </c>
      <c r="AW1081" s="1">
        <v>0</v>
      </c>
      <c r="AX1081" s="1">
        <v>0</v>
      </c>
      <c r="AY1081" s="1">
        <v>0</v>
      </c>
      <c r="AZ1081" s="1">
        <v>0</v>
      </c>
      <c r="BA1081" s="1">
        <v>0</v>
      </c>
      <c r="BB1081" s="1">
        <v>0</v>
      </c>
      <c r="BC1081" s="1">
        <v>0</v>
      </c>
      <c r="BD1081" s="1">
        <v>0</v>
      </c>
      <c r="BE1081" s="1">
        <v>0</v>
      </c>
      <c r="BF1081" s="1">
        <v>0</v>
      </c>
      <c r="BG1081" s="1">
        <v>0</v>
      </c>
      <c r="BH1081" s="1">
        <v>0</v>
      </c>
      <c r="BI1081" s="1">
        <v>0</v>
      </c>
      <c r="BJ1081" s="1">
        <v>0</v>
      </c>
      <c r="BK1081" s="1">
        <v>0</v>
      </c>
      <c r="BL1081" s="1">
        <v>0</v>
      </c>
      <c r="BM1081" s="1">
        <v>0</v>
      </c>
      <c r="BN1081" s="1">
        <v>0</v>
      </c>
      <c r="BO1081" s="1">
        <v>0</v>
      </c>
      <c r="BP1081" s="1">
        <v>0</v>
      </c>
      <c r="BQ1081" s="2" t="str">
        <f>HYPERLINK("http://www.d20pfsrd.com/magic/all-spells/r/rain-of-frogs","Rain of Frogs")</f>
        <v>Rain of Frogs</v>
      </c>
      <c r="BR1081" s="1">
        <v>1123</v>
      </c>
      <c r="BS1081" s="1" t="s">
        <v>104</v>
      </c>
      <c r="BX1081" s="1">
        <v>0</v>
      </c>
      <c r="BY1081" s="1" t="s">
        <v>104</v>
      </c>
      <c r="BZ1081" s="1">
        <v>4</v>
      </c>
      <c r="CA1081" s="1">
        <v>3</v>
      </c>
      <c r="CB1081" s="1" t="s">
        <v>104</v>
      </c>
      <c r="CC1081" s="1" t="s">
        <v>104</v>
      </c>
      <c r="CD1081" s="1" t="s">
        <v>104</v>
      </c>
      <c r="CE1081" s="1" t="s">
        <v>104</v>
      </c>
      <c r="CF1081" s="1" t="s">
        <v>104</v>
      </c>
      <c r="CG1081" s="1" t="s">
        <v>104</v>
      </c>
      <c r="CH1081" s="1">
        <v>3</v>
      </c>
      <c r="CJ1081" s="1">
        <v>0</v>
      </c>
      <c r="CK1081" s="1">
        <v>0</v>
      </c>
      <c r="CL1081" s="1">
        <v>0</v>
      </c>
      <c r="CM1081" s="1">
        <v>3</v>
      </c>
    </row>
    <row r="1082" spans="1:91" ht="14.25" customHeight="1" x14ac:dyDescent="0.3">
      <c r="A1082" s="1" t="s">
        <v>6596</v>
      </c>
      <c r="B1082" s="1" t="s">
        <v>92</v>
      </c>
      <c r="C1082" s="1" t="s">
        <v>523</v>
      </c>
      <c r="E1082" s="1" t="s">
        <v>6597</v>
      </c>
      <c r="F1082" s="1" t="s">
        <v>191</v>
      </c>
      <c r="G1082" s="1" t="s">
        <v>6598</v>
      </c>
      <c r="H1082" s="1">
        <v>1</v>
      </c>
      <c r="I1082" s="1" t="s">
        <v>128</v>
      </c>
      <c r="L1082" s="1" t="s">
        <v>6599</v>
      </c>
      <c r="M1082" s="1" t="s">
        <v>119</v>
      </c>
      <c r="N1082" s="1">
        <v>0</v>
      </c>
      <c r="O1082" s="1">
        <v>0</v>
      </c>
      <c r="P1082" s="1" t="s">
        <v>2281</v>
      </c>
      <c r="Q1082" s="1" t="s">
        <v>131</v>
      </c>
      <c r="R1082" s="1" t="s">
        <v>6600</v>
      </c>
      <c r="S1082" s="1" t="s">
        <v>4201</v>
      </c>
      <c r="T1082" s="1">
        <v>1</v>
      </c>
      <c r="U1082" s="1">
        <v>1</v>
      </c>
      <c r="V1082" s="1">
        <v>1</v>
      </c>
      <c r="W1082" s="1">
        <v>0</v>
      </c>
      <c r="X1082" s="1">
        <v>0</v>
      </c>
      <c r="Y1082" s="1" t="s">
        <v>104</v>
      </c>
      <c r="Z1082" s="1" t="s">
        <v>104</v>
      </c>
      <c r="AA1082" s="1" t="s">
        <v>104</v>
      </c>
      <c r="AB1082" s="1">
        <v>5</v>
      </c>
      <c r="AC1082" s="1">
        <v>4</v>
      </c>
      <c r="AD1082" s="1" t="s">
        <v>104</v>
      </c>
      <c r="AE1082" s="1">
        <v>4</v>
      </c>
      <c r="AF1082" s="1" t="s">
        <v>104</v>
      </c>
      <c r="AG1082" s="1" t="s">
        <v>104</v>
      </c>
      <c r="AH1082" s="1" t="s">
        <v>104</v>
      </c>
      <c r="AI1082" s="1" t="s">
        <v>104</v>
      </c>
      <c r="AJ1082" s="1" t="s">
        <v>104</v>
      </c>
      <c r="AK1082" s="1" t="s">
        <v>104</v>
      </c>
      <c r="AL1082" s="1" t="s">
        <v>104</v>
      </c>
      <c r="AM1082" s="1" t="s">
        <v>104</v>
      </c>
      <c r="AO1082" s="1">
        <v>5</v>
      </c>
      <c r="AQ1082" s="1" t="s">
        <v>6601</v>
      </c>
      <c r="AR1082" s="1">
        <v>0</v>
      </c>
      <c r="AS1082" s="1">
        <v>0</v>
      </c>
      <c r="AT1082" s="1">
        <v>0</v>
      </c>
      <c r="AU1082" s="1">
        <v>0</v>
      </c>
      <c r="AV1082" s="1">
        <v>0</v>
      </c>
      <c r="AW1082" s="1">
        <v>0</v>
      </c>
      <c r="AX1082" s="1">
        <v>0</v>
      </c>
      <c r="AY1082" s="1">
        <v>0</v>
      </c>
      <c r="AZ1082" s="1">
        <v>0</v>
      </c>
      <c r="BA1082" s="1">
        <v>0</v>
      </c>
      <c r="BB1082" s="1">
        <v>0</v>
      </c>
      <c r="BC1082" s="1">
        <v>0</v>
      </c>
      <c r="BD1082" s="1">
        <v>0</v>
      </c>
      <c r="BE1082" s="1">
        <v>0</v>
      </c>
      <c r="BF1082" s="1">
        <v>0</v>
      </c>
      <c r="BG1082" s="1">
        <v>0</v>
      </c>
      <c r="BH1082" s="1">
        <v>0</v>
      </c>
      <c r="BI1082" s="1">
        <v>0</v>
      </c>
      <c r="BJ1082" s="1">
        <v>0</v>
      </c>
      <c r="BK1082" s="1">
        <v>0</v>
      </c>
      <c r="BL1082" s="1">
        <v>0</v>
      </c>
      <c r="BM1082" s="1">
        <v>0</v>
      </c>
      <c r="BN1082" s="1">
        <v>0</v>
      </c>
      <c r="BO1082" s="1">
        <v>0</v>
      </c>
      <c r="BP1082" s="1">
        <v>0</v>
      </c>
      <c r="BQ1082" s="2" t="str">
        <f>HYPERLINK("http://www.d20pfsrd.com/magic/all-spells/r/raise-animal-companion","Raise Animal Companion")</f>
        <v>Raise Animal Companion</v>
      </c>
      <c r="BR1082" s="1">
        <v>1124</v>
      </c>
      <c r="BS1082" s="1">
        <v>1000</v>
      </c>
      <c r="BX1082" s="1">
        <v>0</v>
      </c>
      <c r="BY1082" s="1" t="s">
        <v>104</v>
      </c>
      <c r="BZ1082" s="1" t="s">
        <v>104</v>
      </c>
      <c r="CA1082" s="1" t="s">
        <v>104</v>
      </c>
      <c r="CB1082" s="1" t="s">
        <v>104</v>
      </c>
      <c r="CC1082" s="1" t="s">
        <v>104</v>
      </c>
      <c r="CD1082" s="1" t="s">
        <v>104</v>
      </c>
      <c r="CE1082" s="1" t="s">
        <v>104</v>
      </c>
      <c r="CF1082" s="1" t="s">
        <v>104</v>
      </c>
      <c r="CG1082" s="1" t="s">
        <v>104</v>
      </c>
      <c r="CH1082" s="1">
        <v>4</v>
      </c>
      <c r="CJ1082" s="1">
        <v>0</v>
      </c>
      <c r="CK1082" s="1">
        <v>0</v>
      </c>
      <c r="CL1082" s="1">
        <v>0</v>
      </c>
      <c r="CM1082" s="1" t="s">
        <v>104</v>
      </c>
    </row>
    <row r="1083" spans="1:91" ht="14.25" customHeight="1" x14ac:dyDescent="0.3">
      <c r="A1083" s="1" t="s">
        <v>6602</v>
      </c>
      <c r="B1083" s="1" t="s">
        <v>137</v>
      </c>
      <c r="E1083" s="1" t="s">
        <v>6603</v>
      </c>
      <c r="F1083" s="1" t="s">
        <v>95</v>
      </c>
      <c r="G1083" s="1" t="s">
        <v>127</v>
      </c>
      <c r="H1083" s="1">
        <v>0</v>
      </c>
      <c r="I1083" s="1" t="s">
        <v>128</v>
      </c>
      <c r="L1083" s="1" t="s">
        <v>6004</v>
      </c>
      <c r="M1083" s="1" t="s">
        <v>111</v>
      </c>
      <c r="N1083" s="1">
        <v>0</v>
      </c>
      <c r="O1083" s="1">
        <v>0</v>
      </c>
      <c r="P1083" s="1" t="s">
        <v>1058</v>
      </c>
      <c r="Q1083" s="1" t="s">
        <v>131</v>
      </c>
      <c r="R1083" s="1" t="s">
        <v>6604</v>
      </c>
      <c r="S1083" s="1" t="s">
        <v>4201</v>
      </c>
      <c r="T1083" s="1">
        <v>1</v>
      </c>
      <c r="U1083" s="1">
        <v>1</v>
      </c>
      <c r="V1083" s="1">
        <v>0</v>
      </c>
      <c r="W1083" s="1">
        <v>0</v>
      </c>
      <c r="X1083" s="1">
        <v>1</v>
      </c>
      <c r="Y1083" s="1">
        <v>5</v>
      </c>
      <c r="Z1083" s="1">
        <v>5</v>
      </c>
      <c r="AA1083" s="1">
        <v>5</v>
      </c>
      <c r="AB1083" s="1" t="s">
        <v>104</v>
      </c>
      <c r="AC1083" s="1" t="s">
        <v>104</v>
      </c>
      <c r="AD1083" s="1" t="s">
        <v>104</v>
      </c>
      <c r="AE1083" s="1" t="s">
        <v>104</v>
      </c>
      <c r="AF1083" s="1" t="s">
        <v>104</v>
      </c>
      <c r="AG1083" s="1" t="s">
        <v>104</v>
      </c>
      <c r="AH1083" s="1" t="s">
        <v>104</v>
      </c>
      <c r="AI1083" s="1" t="s">
        <v>104</v>
      </c>
      <c r="AJ1083" s="1">
        <v>5</v>
      </c>
      <c r="AK1083" s="1" t="s">
        <v>104</v>
      </c>
      <c r="AL1083" s="1" t="s">
        <v>104</v>
      </c>
      <c r="AM1083" s="1" t="s">
        <v>104</v>
      </c>
      <c r="AO1083" s="1">
        <v>5</v>
      </c>
      <c r="AQ1083" s="1" t="s">
        <v>6605</v>
      </c>
      <c r="AR1083" s="1">
        <v>0</v>
      </c>
      <c r="AS1083" s="1">
        <v>0</v>
      </c>
      <c r="AT1083" s="1">
        <v>0</v>
      </c>
      <c r="AU1083" s="1">
        <v>0</v>
      </c>
      <c r="AV1083" s="1">
        <v>0</v>
      </c>
      <c r="AW1083" s="1">
        <v>0</v>
      </c>
      <c r="AX1083" s="1">
        <v>0</v>
      </c>
      <c r="AY1083" s="1">
        <v>0</v>
      </c>
      <c r="AZ1083" s="1">
        <v>0</v>
      </c>
      <c r="BA1083" s="1">
        <v>0</v>
      </c>
      <c r="BB1083" s="1">
        <v>0</v>
      </c>
      <c r="BC1083" s="1">
        <v>0</v>
      </c>
      <c r="BD1083" s="1">
        <v>0</v>
      </c>
      <c r="BE1083" s="1">
        <v>0</v>
      </c>
      <c r="BF1083" s="1">
        <v>0</v>
      </c>
      <c r="BG1083" s="1">
        <v>0</v>
      </c>
      <c r="BH1083" s="1">
        <v>0</v>
      </c>
      <c r="BI1083" s="1">
        <v>0</v>
      </c>
      <c r="BJ1083" s="1">
        <v>0</v>
      </c>
      <c r="BK1083" s="1">
        <v>0</v>
      </c>
      <c r="BL1083" s="1">
        <v>0</v>
      </c>
      <c r="BM1083" s="1">
        <v>0</v>
      </c>
      <c r="BN1083" s="1">
        <v>0</v>
      </c>
      <c r="BO1083" s="1">
        <v>0</v>
      </c>
      <c r="BP1083" s="1">
        <v>0</v>
      </c>
      <c r="BQ1083" s="2" t="str">
        <f>HYPERLINK("http://www.d20pfsrd.com/magic/all-spells/r/rapid-repair","Rapid Repair")</f>
        <v>Rapid Repair</v>
      </c>
      <c r="BR1083" s="1">
        <v>1125</v>
      </c>
      <c r="BS1083" s="1" t="s">
        <v>104</v>
      </c>
      <c r="BX1083" s="1">
        <v>0</v>
      </c>
      <c r="BY1083" s="1" t="s">
        <v>104</v>
      </c>
      <c r="BZ1083" s="1" t="s">
        <v>104</v>
      </c>
      <c r="CA1083" s="1" t="s">
        <v>104</v>
      </c>
      <c r="CB1083" s="1" t="s">
        <v>104</v>
      </c>
      <c r="CC1083" s="1" t="s">
        <v>104</v>
      </c>
      <c r="CD1083" s="1">
        <v>4</v>
      </c>
      <c r="CE1083" s="1" t="s">
        <v>104</v>
      </c>
      <c r="CF1083" s="1" t="s">
        <v>104</v>
      </c>
      <c r="CG1083" s="1" t="s">
        <v>104</v>
      </c>
      <c r="CH1083" s="1" t="s">
        <v>104</v>
      </c>
      <c r="CJ1083" s="1">
        <v>0</v>
      </c>
      <c r="CK1083" s="1">
        <v>0</v>
      </c>
      <c r="CL1083" s="1">
        <v>0</v>
      </c>
      <c r="CM1083" s="1" t="s">
        <v>104</v>
      </c>
    </row>
    <row r="1084" spans="1:91" ht="14.25" customHeight="1" x14ac:dyDescent="0.3">
      <c r="A1084" s="1" t="s">
        <v>6606</v>
      </c>
      <c r="B1084" s="1" t="s">
        <v>216</v>
      </c>
      <c r="E1084" s="1" t="s">
        <v>6607</v>
      </c>
      <c r="F1084" s="1" t="s">
        <v>95</v>
      </c>
      <c r="G1084" s="1" t="s">
        <v>3004</v>
      </c>
      <c r="H1084" s="1">
        <v>0</v>
      </c>
      <c r="I1084" s="1" t="s">
        <v>117</v>
      </c>
      <c r="K1084" s="1" t="s">
        <v>1148</v>
      </c>
      <c r="M1084" s="1" t="s">
        <v>130</v>
      </c>
      <c r="N1084" s="1">
        <v>0</v>
      </c>
      <c r="O1084" s="1">
        <v>0</v>
      </c>
      <c r="P1084" s="1" t="s">
        <v>712</v>
      </c>
      <c r="Q1084" s="1" t="s">
        <v>184</v>
      </c>
      <c r="R1084" s="1" t="s">
        <v>6608</v>
      </c>
      <c r="S1084" s="1" t="s">
        <v>4201</v>
      </c>
      <c r="T1084" s="1">
        <v>1</v>
      </c>
      <c r="U1084" s="1">
        <v>1</v>
      </c>
      <c r="V1084" s="1">
        <v>1</v>
      </c>
      <c r="W1084" s="1">
        <v>0</v>
      </c>
      <c r="X1084" s="1">
        <v>0</v>
      </c>
      <c r="Y1084" s="1">
        <v>1</v>
      </c>
      <c r="Z1084" s="1">
        <v>1</v>
      </c>
      <c r="AA1084" s="1">
        <v>1</v>
      </c>
      <c r="AB1084" s="1">
        <v>1</v>
      </c>
      <c r="AC1084" s="1" t="s">
        <v>104</v>
      </c>
      <c r="AD1084" s="1" t="s">
        <v>104</v>
      </c>
      <c r="AE1084" s="1" t="s">
        <v>104</v>
      </c>
      <c r="AF1084" s="1" t="s">
        <v>104</v>
      </c>
      <c r="AG1084" s="1">
        <v>1</v>
      </c>
      <c r="AH1084" s="1">
        <v>1</v>
      </c>
      <c r="AI1084" s="1" t="s">
        <v>104</v>
      </c>
      <c r="AJ1084" s="1">
        <v>1</v>
      </c>
      <c r="AK1084" s="1" t="s">
        <v>104</v>
      </c>
      <c r="AL1084" s="1" t="s">
        <v>104</v>
      </c>
      <c r="AM1084" s="1" t="s">
        <v>104</v>
      </c>
      <c r="AO1084" s="1">
        <v>1</v>
      </c>
      <c r="AP1084" s="1" t="s">
        <v>6609</v>
      </c>
      <c r="AQ1084" s="1" t="s">
        <v>6610</v>
      </c>
      <c r="AR1084" s="1">
        <v>0</v>
      </c>
      <c r="AS1084" s="1">
        <v>0</v>
      </c>
      <c r="AT1084" s="1">
        <v>0</v>
      </c>
      <c r="AU1084" s="1">
        <v>0</v>
      </c>
      <c r="AV1084" s="1">
        <v>0</v>
      </c>
      <c r="AW1084" s="1">
        <v>0</v>
      </c>
      <c r="AX1084" s="1">
        <v>0</v>
      </c>
      <c r="AY1084" s="1">
        <v>0</v>
      </c>
      <c r="AZ1084" s="1">
        <v>0</v>
      </c>
      <c r="BA1084" s="1">
        <v>0</v>
      </c>
      <c r="BB1084" s="1">
        <v>0</v>
      </c>
      <c r="BC1084" s="1">
        <v>0</v>
      </c>
      <c r="BD1084" s="1">
        <v>0</v>
      </c>
      <c r="BE1084" s="1">
        <v>0</v>
      </c>
      <c r="BF1084" s="1">
        <v>0</v>
      </c>
      <c r="BG1084" s="1">
        <v>0</v>
      </c>
      <c r="BH1084" s="1">
        <v>0</v>
      </c>
      <c r="BI1084" s="1">
        <v>0</v>
      </c>
      <c r="BJ1084" s="1">
        <v>0</v>
      </c>
      <c r="BK1084" s="1">
        <v>0</v>
      </c>
      <c r="BL1084" s="1">
        <v>0</v>
      </c>
      <c r="BM1084" s="1">
        <v>0</v>
      </c>
      <c r="BN1084" s="1">
        <v>0</v>
      </c>
      <c r="BO1084" s="1">
        <v>0</v>
      </c>
      <c r="BP1084" s="1">
        <v>0</v>
      </c>
      <c r="BQ1084" s="2" t="str">
        <f>HYPERLINK("http://www.d20pfsrd.com/magic/all-spells/r/ray-of-sickening","Ray of Sickening")</f>
        <v>Ray of Sickening</v>
      </c>
      <c r="BR1084" s="1">
        <v>1126</v>
      </c>
      <c r="BS1084" s="1" t="s">
        <v>104</v>
      </c>
      <c r="BX1084" s="1">
        <v>0</v>
      </c>
      <c r="BY1084" s="1">
        <v>1</v>
      </c>
      <c r="BZ1084" s="1" t="s">
        <v>104</v>
      </c>
      <c r="CA1084" s="1" t="s">
        <v>104</v>
      </c>
      <c r="CB1084" s="1" t="s">
        <v>104</v>
      </c>
      <c r="CC1084" s="1">
        <v>1</v>
      </c>
      <c r="CD1084" s="1" t="s">
        <v>104</v>
      </c>
      <c r="CE1084" s="1" t="s">
        <v>104</v>
      </c>
      <c r="CF1084" s="1" t="s">
        <v>104</v>
      </c>
      <c r="CG1084" s="1" t="s">
        <v>104</v>
      </c>
      <c r="CH1084" s="1">
        <v>1</v>
      </c>
      <c r="CJ1084" s="1">
        <v>0</v>
      </c>
      <c r="CK1084" s="1">
        <v>0</v>
      </c>
      <c r="CL1084" s="1">
        <v>0</v>
      </c>
      <c r="CM1084" s="1">
        <v>1</v>
      </c>
    </row>
    <row r="1085" spans="1:91" ht="14.25" customHeight="1" x14ac:dyDescent="0.3">
      <c r="A1085" s="1" t="s">
        <v>6611</v>
      </c>
      <c r="B1085" s="1" t="s">
        <v>123</v>
      </c>
      <c r="C1085" s="1" t="s">
        <v>124</v>
      </c>
      <c r="D1085" s="1" t="s">
        <v>6034</v>
      </c>
      <c r="E1085" s="1" t="s">
        <v>6612</v>
      </c>
      <c r="F1085" s="1" t="s">
        <v>95</v>
      </c>
      <c r="G1085" s="1" t="s">
        <v>116</v>
      </c>
      <c r="H1085" s="1">
        <v>0</v>
      </c>
      <c r="I1085" s="1" t="s">
        <v>117</v>
      </c>
      <c r="L1085" s="1" t="s">
        <v>1065</v>
      </c>
      <c r="M1085" s="1" t="s">
        <v>194</v>
      </c>
      <c r="N1085" s="1">
        <v>0</v>
      </c>
      <c r="O1085" s="1">
        <v>0</v>
      </c>
      <c r="P1085" s="1" t="s">
        <v>211</v>
      </c>
      <c r="Q1085" s="1" t="s">
        <v>184</v>
      </c>
      <c r="R1085" s="1" t="s">
        <v>6613</v>
      </c>
      <c r="S1085" s="1" t="s">
        <v>4201</v>
      </c>
      <c r="T1085" s="1">
        <v>1</v>
      </c>
      <c r="U1085" s="1">
        <v>1</v>
      </c>
      <c r="V1085" s="1">
        <v>0</v>
      </c>
      <c r="W1085" s="1">
        <v>0</v>
      </c>
      <c r="X1085" s="1">
        <v>0</v>
      </c>
      <c r="Y1085" s="1">
        <v>3</v>
      </c>
      <c r="Z1085" s="1">
        <v>3</v>
      </c>
      <c r="AA1085" s="1" t="s">
        <v>104</v>
      </c>
      <c r="AB1085" s="1" t="s">
        <v>104</v>
      </c>
      <c r="AC1085" s="1" t="s">
        <v>104</v>
      </c>
      <c r="AD1085" s="1">
        <v>2</v>
      </c>
      <c r="AE1085" s="1" t="s">
        <v>104</v>
      </c>
      <c r="AF1085" s="1" t="s">
        <v>104</v>
      </c>
      <c r="AG1085" s="1" t="s">
        <v>104</v>
      </c>
      <c r="AH1085" s="1">
        <v>3</v>
      </c>
      <c r="AI1085" s="1" t="s">
        <v>104</v>
      </c>
      <c r="AJ1085" s="1" t="s">
        <v>104</v>
      </c>
      <c r="AK1085" s="1" t="s">
        <v>104</v>
      </c>
      <c r="AL1085" s="1" t="s">
        <v>104</v>
      </c>
      <c r="AM1085" s="1" t="s">
        <v>104</v>
      </c>
      <c r="AO1085" s="1">
        <v>3</v>
      </c>
      <c r="AQ1085" s="1" t="s">
        <v>6614</v>
      </c>
      <c r="AR1085" s="1">
        <v>0</v>
      </c>
      <c r="AS1085" s="1">
        <v>0</v>
      </c>
      <c r="AT1085" s="1">
        <v>0</v>
      </c>
      <c r="AU1085" s="1">
        <v>0</v>
      </c>
      <c r="AV1085" s="1">
        <v>0</v>
      </c>
      <c r="AW1085" s="1">
        <v>0</v>
      </c>
      <c r="AX1085" s="1">
        <v>0</v>
      </c>
      <c r="AY1085" s="1">
        <v>0</v>
      </c>
      <c r="AZ1085" s="1">
        <v>0</v>
      </c>
      <c r="BA1085" s="1">
        <v>0</v>
      </c>
      <c r="BB1085" s="1">
        <v>1</v>
      </c>
      <c r="BC1085" s="1">
        <v>0</v>
      </c>
      <c r="BD1085" s="1">
        <v>0</v>
      </c>
      <c r="BE1085" s="1">
        <v>0</v>
      </c>
      <c r="BF1085" s="1">
        <v>0</v>
      </c>
      <c r="BG1085" s="1">
        <v>0</v>
      </c>
      <c r="BH1085" s="1">
        <v>0</v>
      </c>
      <c r="BI1085" s="1">
        <v>0</v>
      </c>
      <c r="BJ1085" s="1">
        <v>0</v>
      </c>
      <c r="BK1085" s="1">
        <v>1</v>
      </c>
      <c r="BL1085" s="1">
        <v>0</v>
      </c>
      <c r="BM1085" s="1">
        <v>0</v>
      </c>
      <c r="BN1085" s="1">
        <v>0</v>
      </c>
      <c r="BO1085" s="1">
        <v>0</v>
      </c>
      <c r="BP1085" s="1">
        <v>0</v>
      </c>
      <c r="BQ1085" s="2" t="str">
        <f>HYPERLINK("http://www.d20pfsrd.com/magic/all-spells/r/reckless-infatuation","Reckless Infatuation")</f>
        <v>Reckless Infatuation</v>
      </c>
      <c r="BR1085" s="1">
        <v>1127</v>
      </c>
      <c r="BS1085" s="1" t="s">
        <v>104</v>
      </c>
      <c r="BX1085" s="1">
        <v>0</v>
      </c>
      <c r="BY1085" s="1" t="s">
        <v>104</v>
      </c>
      <c r="BZ1085" s="1" t="s">
        <v>104</v>
      </c>
      <c r="CA1085" s="1">
        <v>3</v>
      </c>
      <c r="CB1085" s="1" t="s">
        <v>104</v>
      </c>
      <c r="CC1085" s="1">
        <v>2</v>
      </c>
      <c r="CD1085" s="1" t="s">
        <v>104</v>
      </c>
      <c r="CE1085" s="1" t="s">
        <v>104</v>
      </c>
      <c r="CF1085" s="1" t="s">
        <v>104</v>
      </c>
      <c r="CG1085" s="1" t="s">
        <v>104</v>
      </c>
      <c r="CH1085" s="1" t="s">
        <v>104</v>
      </c>
      <c r="CJ1085" s="1">
        <v>0</v>
      </c>
      <c r="CK1085" s="1">
        <v>0</v>
      </c>
      <c r="CL1085" s="1">
        <v>0</v>
      </c>
      <c r="CM1085" s="1" t="s">
        <v>104</v>
      </c>
    </row>
    <row r="1086" spans="1:91" ht="14.25" customHeight="1" x14ac:dyDescent="0.3">
      <c r="A1086" s="1" t="s">
        <v>6615</v>
      </c>
      <c r="B1086" s="1" t="s">
        <v>92</v>
      </c>
      <c r="C1086" s="1" t="s">
        <v>523</v>
      </c>
      <c r="E1086" s="1" t="s">
        <v>6616</v>
      </c>
      <c r="F1086" s="1" t="s">
        <v>95</v>
      </c>
      <c r="G1086" s="1" t="s">
        <v>116</v>
      </c>
      <c r="H1086" s="1">
        <v>0</v>
      </c>
      <c r="I1086" s="1" t="s">
        <v>117</v>
      </c>
      <c r="L1086" s="1" t="s">
        <v>1065</v>
      </c>
      <c r="M1086" s="1" t="s">
        <v>5710</v>
      </c>
      <c r="N1086" s="1">
        <v>0</v>
      </c>
      <c r="O1086" s="1">
        <v>0</v>
      </c>
      <c r="P1086" s="1" t="s">
        <v>1058</v>
      </c>
      <c r="Q1086" s="1" t="s">
        <v>131</v>
      </c>
      <c r="R1086" s="1" t="s">
        <v>6617</v>
      </c>
      <c r="S1086" s="1" t="s">
        <v>4201</v>
      </c>
      <c r="T1086" s="1">
        <v>1</v>
      </c>
      <c r="U1086" s="1">
        <v>1</v>
      </c>
      <c r="V1086" s="1">
        <v>0</v>
      </c>
      <c r="W1086" s="1">
        <v>0</v>
      </c>
      <c r="X1086" s="1">
        <v>0</v>
      </c>
      <c r="Y1086" s="1" t="s">
        <v>104</v>
      </c>
      <c r="Z1086" s="1" t="s">
        <v>104</v>
      </c>
      <c r="AA1086" s="1">
        <v>1</v>
      </c>
      <c r="AB1086" s="1">
        <v>1</v>
      </c>
      <c r="AC1086" s="1" t="s">
        <v>104</v>
      </c>
      <c r="AD1086" s="1" t="s">
        <v>104</v>
      </c>
      <c r="AE1086" s="1" t="s">
        <v>104</v>
      </c>
      <c r="AF1086" s="1" t="s">
        <v>104</v>
      </c>
      <c r="AG1086" s="1" t="s">
        <v>104</v>
      </c>
      <c r="AH1086" s="1">
        <v>1</v>
      </c>
      <c r="AI1086" s="1" t="s">
        <v>104</v>
      </c>
      <c r="AJ1086" s="1">
        <v>1</v>
      </c>
      <c r="AK1086" s="1" t="s">
        <v>104</v>
      </c>
      <c r="AL1086" s="1" t="s">
        <v>104</v>
      </c>
      <c r="AM1086" s="1" t="s">
        <v>104</v>
      </c>
      <c r="AO1086" s="1">
        <v>1</v>
      </c>
      <c r="AQ1086" s="1" t="s">
        <v>6618</v>
      </c>
      <c r="AR1086" s="1">
        <v>0</v>
      </c>
      <c r="AS1086" s="1">
        <v>0</v>
      </c>
      <c r="AT1086" s="1">
        <v>0</v>
      </c>
      <c r="AU1086" s="1">
        <v>0</v>
      </c>
      <c r="AV1086" s="1">
        <v>0</v>
      </c>
      <c r="AW1086" s="1">
        <v>0</v>
      </c>
      <c r="AX1086" s="1">
        <v>0</v>
      </c>
      <c r="AY1086" s="1">
        <v>0</v>
      </c>
      <c r="AZ1086" s="1">
        <v>0</v>
      </c>
      <c r="BA1086" s="1">
        <v>0</v>
      </c>
      <c r="BB1086" s="1">
        <v>0</v>
      </c>
      <c r="BC1086" s="1">
        <v>0</v>
      </c>
      <c r="BD1086" s="1">
        <v>0</v>
      </c>
      <c r="BE1086" s="1">
        <v>0</v>
      </c>
      <c r="BF1086" s="1">
        <v>0</v>
      </c>
      <c r="BG1086" s="1">
        <v>0</v>
      </c>
      <c r="BH1086" s="1">
        <v>0</v>
      </c>
      <c r="BI1086" s="1">
        <v>0</v>
      </c>
      <c r="BJ1086" s="1">
        <v>0</v>
      </c>
      <c r="BK1086" s="1">
        <v>0</v>
      </c>
      <c r="BL1086" s="1">
        <v>0</v>
      </c>
      <c r="BM1086" s="1">
        <v>0</v>
      </c>
      <c r="BN1086" s="1">
        <v>0</v>
      </c>
      <c r="BO1086" s="1">
        <v>0</v>
      </c>
      <c r="BP1086" s="1">
        <v>0</v>
      </c>
      <c r="BQ1086" s="2" t="str">
        <f>HYPERLINK("http://www.d20pfsrd.com/magic/all-spells/r/remove-sickness","Remove Sickness")</f>
        <v>Remove Sickness</v>
      </c>
      <c r="BR1086" s="1">
        <v>1128</v>
      </c>
      <c r="BS1086" s="1" t="s">
        <v>104</v>
      </c>
      <c r="BX1086" s="1">
        <v>0</v>
      </c>
      <c r="BY1086" s="1" t="s">
        <v>104</v>
      </c>
      <c r="BZ1086" s="1" t="s">
        <v>104</v>
      </c>
      <c r="CA1086" s="1" t="s">
        <v>104</v>
      </c>
      <c r="CB1086" s="1" t="s">
        <v>104</v>
      </c>
      <c r="CC1086" s="1">
        <v>1</v>
      </c>
      <c r="CD1086" s="1" t="s">
        <v>104</v>
      </c>
      <c r="CE1086" s="1">
        <v>1</v>
      </c>
      <c r="CF1086" s="1" t="s">
        <v>104</v>
      </c>
      <c r="CG1086" s="1" t="s">
        <v>104</v>
      </c>
      <c r="CH1086" s="1">
        <v>1</v>
      </c>
      <c r="CJ1086" s="1">
        <v>0</v>
      </c>
      <c r="CK1086" s="1">
        <v>0</v>
      </c>
      <c r="CL1086" s="1">
        <v>0</v>
      </c>
      <c r="CM1086" s="1" t="s">
        <v>104</v>
      </c>
    </row>
    <row r="1087" spans="1:91" ht="14.25" customHeight="1" x14ac:dyDescent="0.3">
      <c r="A1087" s="1" t="s">
        <v>6619</v>
      </c>
      <c r="B1087" s="1" t="s">
        <v>137</v>
      </c>
      <c r="D1087" s="1" t="s">
        <v>6620</v>
      </c>
      <c r="E1087" s="1" t="s">
        <v>6621</v>
      </c>
      <c r="F1087" s="1" t="s">
        <v>191</v>
      </c>
      <c r="G1087" s="1" t="s">
        <v>127</v>
      </c>
      <c r="H1087" s="1">
        <v>0</v>
      </c>
      <c r="I1087" s="1" t="s">
        <v>117</v>
      </c>
      <c r="L1087" s="1" t="s">
        <v>6622</v>
      </c>
      <c r="M1087" s="1" t="s">
        <v>298</v>
      </c>
      <c r="N1087" s="1">
        <v>0</v>
      </c>
      <c r="O1087" s="1">
        <v>0</v>
      </c>
      <c r="P1087" s="1" t="s">
        <v>100</v>
      </c>
      <c r="Q1087" s="1" t="s">
        <v>184</v>
      </c>
      <c r="R1087" s="1" t="s">
        <v>6623</v>
      </c>
      <c r="S1087" s="1" t="s">
        <v>4201</v>
      </c>
      <c r="T1087" s="1">
        <v>1</v>
      </c>
      <c r="U1087" s="1">
        <v>1</v>
      </c>
      <c r="V1087" s="1">
        <v>0</v>
      </c>
      <c r="W1087" s="1">
        <v>0</v>
      </c>
      <c r="X1087" s="1">
        <v>1</v>
      </c>
      <c r="Y1087" s="1" t="s">
        <v>104</v>
      </c>
      <c r="Z1087" s="1" t="s">
        <v>104</v>
      </c>
      <c r="AA1087" s="1">
        <v>5</v>
      </c>
      <c r="AB1087" s="1">
        <v>5</v>
      </c>
      <c r="AC1087" s="1" t="s">
        <v>104</v>
      </c>
      <c r="AD1087" s="1" t="s">
        <v>104</v>
      </c>
      <c r="AE1087" s="1">
        <v>4</v>
      </c>
      <c r="AF1087" s="1" t="s">
        <v>104</v>
      </c>
      <c r="AG1087" s="1" t="s">
        <v>104</v>
      </c>
      <c r="AH1087" s="1" t="s">
        <v>104</v>
      </c>
      <c r="AI1087" s="1">
        <v>4</v>
      </c>
      <c r="AJ1087" s="1">
        <v>5</v>
      </c>
      <c r="AK1087" s="1" t="s">
        <v>104</v>
      </c>
      <c r="AL1087" s="1" t="s">
        <v>104</v>
      </c>
      <c r="AM1087" s="1" t="s">
        <v>104</v>
      </c>
      <c r="AO1087" s="1">
        <v>5</v>
      </c>
      <c r="AQ1087" s="1" t="s">
        <v>6624</v>
      </c>
      <c r="AR1087" s="1">
        <v>0</v>
      </c>
      <c r="AS1087" s="1">
        <v>0</v>
      </c>
      <c r="AT1087" s="1">
        <v>0</v>
      </c>
      <c r="AU1087" s="1">
        <v>0</v>
      </c>
      <c r="AV1087" s="1">
        <v>1</v>
      </c>
      <c r="AW1087" s="1">
        <v>0</v>
      </c>
      <c r="AX1087" s="1">
        <v>0</v>
      </c>
      <c r="AY1087" s="1">
        <v>0</v>
      </c>
      <c r="AZ1087" s="1">
        <v>0</v>
      </c>
      <c r="BA1087" s="1">
        <v>0</v>
      </c>
      <c r="BB1087" s="1">
        <v>0</v>
      </c>
      <c r="BC1087" s="1">
        <v>0</v>
      </c>
      <c r="BD1087" s="1">
        <v>0</v>
      </c>
      <c r="BE1087" s="1">
        <v>0</v>
      </c>
      <c r="BF1087" s="1">
        <v>0</v>
      </c>
      <c r="BG1087" s="1">
        <v>0</v>
      </c>
      <c r="BH1087" s="1">
        <v>0</v>
      </c>
      <c r="BI1087" s="1">
        <v>0</v>
      </c>
      <c r="BJ1087" s="1">
        <v>0</v>
      </c>
      <c r="BK1087" s="1">
        <v>0</v>
      </c>
      <c r="BL1087" s="1">
        <v>0</v>
      </c>
      <c r="BM1087" s="1">
        <v>0</v>
      </c>
      <c r="BN1087" s="1">
        <v>0</v>
      </c>
      <c r="BO1087" s="1">
        <v>0</v>
      </c>
      <c r="BP1087" s="1">
        <v>0</v>
      </c>
      <c r="BQ1087" s="2" t="str">
        <f>HYPERLINK("http://www.d20pfsrd.com/magic/all-spells/r/reprobation","Reprobation")</f>
        <v>Reprobation</v>
      </c>
      <c r="BR1087" s="1">
        <v>1129</v>
      </c>
      <c r="BS1087" s="1" t="s">
        <v>104</v>
      </c>
      <c r="BX1087" s="1">
        <v>0</v>
      </c>
      <c r="BY1087" s="1" t="s">
        <v>104</v>
      </c>
      <c r="BZ1087" s="1" t="s">
        <v>104</v>
      </c>
      <c r="CA1087" s="1" t="s">
        <v>104</v>
      </c>
      <c r="CB1087" s="1" t="s">
        <v>104</v>
      </c>
      <c r="CC1087" s="1" t="s">
        <v>104</v>
      </c>
      <c r="CD1087" s="1" t="s">
        <v>104</v>
      </c>
      <c r="CE1087" s="1" t="s">
        <v>104</v>
      </c>
      <c r="CF1087" s="1" t="s">
        <v>104</v>
      </c>
      <c r="CG1087" s="1" t="s">
        <v>104</v>
      </c>
      <c r="CH1087" s="1">
        <v>5</v>
      </c>
      <c r="CJ1087" s="1">
        <v>0</v>
      </c>
      <c r="CK1087" s="1">
        <v>0</v>
      </c>
      <c r="CL1087" s="1">
        <v>0</v>
      </c>
      <c r="CM1087" s="1" t="s">
        <v>104</v>
      </c>
    </row>
    <row r="1088" spans="1:91" ht="14.25" customHeight="1" x14ac:dyDescent="0.3">
      <c r="A1088" s="1" t="s">
        <v>6625</v>
      </c>
      <c r="B1088" s="1" t="s">
        <v>137</v>
      </c>
      <c r="D1088" s="1" t="s">
        <v>66</v>
      </c>
      <c r="E1088" s="1" t="s">
        <v>6398</v>
      </c>
      <c r="F1088" s="1" t="s">
        <v>95</v>
      </c>
      <c r="G1088" s="1" t="s">
        <v>237</v>
      </c>
      <c r="H1088" s="1">
        <v>0</v>
      </c>
      <c r="I1088" s="1" t="s">
        <v>109</v>
      </c>
      <c r="L1088" s="1" t="s">
        <v>1065</v>
      </c>
      <c r="M1088" s="1" t="s">
        <v>1519</v>
      </c>
      <c r="N1088" s="1">
        <v>0</v>
      </c>
      <c r="O1088" s="1">
        <v>0</v>
      </c>
      <c r="P1088" s="1" t="s">
        <v>1080</v>
      </c>
      <c r="Q1088" s="1" t="s">
        <v>184</v>
      </c>
      <c r="R1088" s="1" t="s">
        <v>6626</v>
      </c>
      <c r="S1088" s="1" t="s">
        <v>4201</v>
      </c>
      <c r="T1088" s="1">
        <v>1</v>
      </c>
      <c r="U1088" s="1">
        <v>0</v>
      </c>
      <c r="V1088" s="1">
        <v>0</v>
      </c>
      <c r="W1088" s="1">
        <v>0</v>
      </c>
      <c r="X1088" s="1">
        <v>0</v>
      </c>
      <c r="Y1088" s="1">
        <v>7</v>
      </c>
      <c r="Z1088" s="1">
        <v>7</v>
      </c>
      <c r="AA1088" s="1" t="s">
        <v>104</v>
      </c>
      <c r="AB1088" s="1" t="s">
        <v>104</v>
      </c>
      <c r="AC1088" s="1" t="s">
        <v>104</v>
      </c>
      <c r="AD1088" s="1">
        <v>5</v>
      </c>
      <c r="AE1088" s="1" t="s">
        <v>104</v>
      </c>
      <c r="AF1088" s="1" t="s">
        <v>104</v>
      </c>
      <c r="AG1088" s="1" t="s">
        <v>104</v>
      </c>
      <c r="AH1088" s="1" t="s">
        <v>104</v>
      </c>
      <c r="AI1088" s="1" t="s">
        <v>104</v>
      </c>
      <c r="AJ1088" s="1" t="s">
        <v>104</v>
      </c>
      <c r="AK1088" s="1" t="s">
        <v>104</v>
      </c>
      <c r="AL1088" s="1" t="s">
        <v>104</v>
      </c>
      <c r="AM1088" s="1" t="s">
        <v>104</v>
      </c>
      <c r="AO1088" s="1">
        <v>7</v>
      </c>
      <c r="AQ1088" s="1" t="s">
        <v>6627</v>
      </c>
      <c r="AR1088" s="1">
        <v>0</v>
      </c>
      <c r="AS1088" s="1">
        <v>0</v>
      </c>
      <c r="AT1088" s="1">
        <v>0</v>
      </c>
      <c r="AU1088" s="1">
        <v>0</v>
      </c>
      <c r="AV1088" s="1">
        <v>0</v>
      </c>
      <c r="AW1088" s="1">
        <v>0</v>
      </c>
      <c r="AX1088" s="1">
        <v>0</v>
      </c>
      <c r="AY1088" s="1">
        <v>0</v>
      </c>
      <c r="AZ1088" s="1">
        <v>0</v>
      </c>
      <c r="BA1088" s="1">
        <v>0</v>
      </c>
      <c r="BB1088" s="1">
        <v>0</v>
      </c>
      <c r="BC1088" s="1">
        <v>0</v>
      </c>
      <c r="BD1088" s="1">
        <v>0</v>
      </c>
      <c r="BE1088" s="1">
        <v>0</v>
      </c>
      <c r="BF1088" s="1">
        <v>0</v>
      </c>
      <c r="BG1088" s="1">
        <v>0</v>
      </c>
      <c r="BH1088" s="1">
        <v>0</v>
      </c>
      <c r="BI1088" s="1">
        <v>0</v>
      </c>
      <c r="BJ1088" s="1">
        <v>0</v>
      </c>
      <c r="BK1088" s="1">
        <v>0</v>
      </c>
      <c r="BL1088" s="1">
        <v>0</v>
      </c>
      <c r="BM1088" s="1">
        <v>0</v>
      </c>
      <c r="BN1088" s="1">
        <v>0</v>
      </c>
      <c r="BO1088" s="1">
        <v>1</v>
      </c>
      <c r="BP1088" s="1">
        <v>0</v>
      </c>
      <c r="BQ1088" s="2" t="str">
        <f>HYPERLINK("http://www.d20pfsrd.com/magic/all-spells/r/resonating-word","Resonating Word")</f>
        <v>Resonating Word</v>
      </c>
      <c r="BR1088" s="1">
        <v>1130</v>
      </c>
      <c r="BS1088" s="1" t="s">
        <v>104</v>
      </c>
      <c r="BV1088" s="1" t="s">
        <v>6628</v>
      </c>
      <c r="BX1088" s="1">
        <v>1</v>
      </c>
      <c r="BY1088" s="1" t="s">
        <v>104</v>
      </c>
      <c r="BZ1088" s="1" t="s">
        <v>104</v>
      </c>
      <c r="CA1088" s="1">
        <v>7</v>
      </c>
      <c r="CB1088" s="1" t="s">
        <v>104</v>
      </c>
      <c r="CC1088" s="1" t="s">
        <v>104</v>
      </c>
      <c r="CD1088" s="1" t="s">
        <v>104</v>
      </c>
      <c r="CE1088" s="1" t="s">
        <v>104</v>
      </c>
      <c r="CF1088" s="1" t="s">
        <v>104</v>
      </c>
      <c r="CG1088" s="1" t="s">
        <v>104</v>
      </c>
      <c r="CH1088" s="1" t="s">
        <v>104</v>
      </c>
      <c r="CJ1088" s="1">
        <v>0</v>
      </c>
      <c r="CK1088" s="1">
        <v>0</v>
      </c>
      <c r="CL1088" s="1">
        <v>0</v>
      </c>
      <c r="CM1088" s="1" t="s">
        <v>104</v>
      </c>
    </row>
    <row r="1089" spans="1:91" ht="14.25" customHeight="1" x14ac:dyDescent="0.3">
      <c r="A1089" s="1" t="s">
        <v>6629</v>
      </c>
      <c r="B1089" s="1" t="s">
        <v>216</v>
      </c>
      <c r="E1089" s="1" t="s">
        <v>6630</v>
      </c>
      <c r="F1089" s="1" t="s">
        <v>95</v>
      </c>
      <c r="G1089" s="1" t="s">
        <v>116</v>
      </c>
      <c r="H1089" s="1">
        <v>0</v>
      </c>
      <c r="I1089" s="1" t="s">
        <v>128</v>
      </c>
      <c r="L1089" s="1" t="s">
        <v>1762</v>
      </c>
      <c r="M1089" s="1" t="s">
        <v>119</v>
      </c>
      <c r="N1089" s="1">
        <v>0</v>
      </c>
      <c r="O1089" s="1">
        <v>0</v>
      </c>
      <c r="P1089" s="1" t="s">
        <v>100</v>
      </c>
      <c r="Q1089" s="1" t="s">
        <v>101</v>
      </c>
      <c r="R1089" s="1" t="s">
        <v>6631</v>
      </c>
      <c r="S1089" s="1" t="s">
        <v>4201</v>
      </c>
      <c r="T1089" s="1">
        <v>1</v>
      </c>
      <c r="U1089" s="1">
        <v>1</v>
      </c>
      <c r="V1089" s="1">
        <v>0</v>
      </c>
      <c r="W1089" s="1">
        <v>0</v>
      </c>
      <c r="X1089" s="1">
        <v>0</v>
      </c>
      <c r="Y1089" s="1">
        <v>1</v>
      </c>
      <c r="Z1089" s="1">
        <v>1</v>
      </c>
      <c r="AA1089" s="1">
        <v>1</v>
      </c>
      <c r="AB1089" s="1">
        <v>1</v>
      </c>
      <c r="AC1089" s="1" t="s">
        <v>104</v>
      </c>
      <c r="AD1089" s="1" t="s">
        <v>104</v>
      </c>
      <c r="AE1089" s="1" t="s">
        <v>104</v>
      </c>
      <c r="AF1089" s="1" t="s">
        <v>104</v>
      </c>
      <c r="AG1089" s="1" t="s">
        <v>104</v>
      </c>
      <c r="AH1089" s="1">
        <v>1</v>
      </c>
      <c r="AI1089" s="1" t="s">
        <v>104</v>
      </c>
      <c r="AJ1089" s="1">
        <v>1</v>
      </c>
      <c r="AK1089" s="1" t="s">
        <v>104</v>
      </c>
      <c r="AL1089" s="1" t="s">
        <v>104</v>
      </c>
      <c r="AM1089" s="1" t="s">
        <v>104</v>
      </c>
      <c r="AO1089" s="1">
        <v>1</v>
      </c>
      <c r="AQ1089" s="1" t="s">
        <v>6632</v>
      </c>
      <c r="AR1089" s="1">
        <v>0</v>
      </c>
      <c r="AS1089" s="1">
        <v>0</v>
      </c>
      <c r="AT1089" s="1">
        <v>0</v>
      </c>
      <c r="AU1089" s="1">
        <v>0</v>
      </c>
      <c r="AV1089" s="1">
        <v>0</v>
      </c>
      <c r="AW1089" s="1">
        <v>0</v>
      </c>
      <c r="AX1089" s="1">
        <v>0</v>
      </c>
      <c r="AY1089" s="1">
        <v>0</v>
      </c>
      <c r="AZ1089" s="1">
        <v>0</v>
      </c>
      <c r="BA1089" s="1">
        <v>0</v>
      </c>
      <c r="BB1089" s="1">
        <v>0</v>
      </c>
      <c r="BC1089" s="1">
        <v>0</v>
      </c>
      <c r="BD1089" s="1">
        <v>0</v>
      </c>
      <c r="BE1089" s="1">
        <v>0</v>
      </c>
      <c r="BF1089" s="1">
        <v>0</v>
      </c>
      <c r="BG1089" s="1">
        <v>0</v>
      </c>
      <c r="BH1089" s="1">
        <v>0</v>
      </c>
      <c r="BI1089" s="1">
        <v>0</v>
      </c>
      <c r="BJ1089" s="1">
        <v>0</v>
      </c>
      <c r="BK1089" s="1">
        <v>0</v>
      </c>
      <c r="BL1089" s="1">
        <v>0</v>
      </c>
      <c r="BM1089" s="1">
        <v>0</v>
      </c>
      <c r="BN1089" s="1">
        <v>0</v>
      </c>
      <c r="BO1089" s="1">
        <v>0</v>
      </c>
      <c r="BP1089" s="1">
        <v>0</v>
      </c>
      <c r="BQ1089" s="2" t="str">
        <f>HYPERLINK("http://www.d20pfsrd.com/magic/all-spells/r/restore-corpse","Restore Corpse")</f>
        <v>Restore Corpse</v>
      </c>
      <c r="BR1089" s="1">
        <v>1131</v>
      </c>
      <c r="BS1089" s="1" t="s">
        <v>104</v>
      </c>
      <c r="BX1089" s="1">
        <v>0</v>
      </c>
      <c r="BY1089" s="1" t="s">
        <v>104</v>
      </c>
      <c r="BZ1089" s="1" t="s">
        <v>104</v>
      </c>
      <c r="CA1089" s="1">
        <v>1</v>
      </c>
      <c r="CB1089" s="1">
        <v>1</v>
      </c>
      <c r="CC1089" s="1" t="s">
        <v>104</v>
      </c>
      <c r="CD1089" s="1">
        <v>1</v>
      </c>
      <c r="CE1089" s="1" t="s">
        <v>104</v>
      </c>
      <c r="CF1089" s="1" t="s">
        <v>104</v>
      </c>
      <c r="CG1089" s="1" t="s">
        <v>104</v>
      </c>
      <c r="CH1089" s="1">
        <v>1</v>
      </c>
      <c r="CJ1089" s="1">
        <v>0</v>
      </c>
      <c r="CK1089" s="1">
        <v>0</v>
      </c>
      <c r="CL1089" s="1">
        <v>0</v>
      </c>
      <c r="CM1089" s="1" t="s">
        <v>104</v>
      </c>
    </row>
    <row r="1090" spans="1:91" ht="14.25" customHeight="1" x14ac:dyDescent="0.3">
      <c r="A1090" s="1" t="s">
        <v>6633</v>
      </c>
      <c r="B1090" s="1" t="s">
        <v>92</v>
      </c>
      <c r="C1090" s="1" t="s">
        <v>523</v>
      </c>
      <c r="E1090" s="1" t="s">
        <v>4878</v>
      </c>
      <c r="F1090" s="1" t="s">
        <v>191</v>
      </c>
      <c r="G1090" s="1" t="s">
        <v>3128</v>
      </c>
      <c r="H1090" s="1">
        <v>1</v>
      </c>
      <c r="I1090" s="1" t="s">
        <v>128</v>
      </c>
      <c r="L1090" s="1" t="s">
        <v>5323</v>
      </c>
      <c r="M1090" s="1" t="s">
        <v>119</v>
      </c>
      <c r="N1090" s="1">
        <v>0</v>
      </c>
      <c r="O1090" s="1">
        <v>0</v>
      </c>
      <c r="P1090" s="1" t="s">
        <v>375</v>
      </c>
      <c r="Q1090" s="1" t="s">
        <v>131</v>
      </c>
      <c r="R1090" s="1" t="s">
        <v>6634</v>
      </c>
      <c r="S1090" s="1" t="s">
        <v>4201</v>
      </c>
      <c r="T1090" s="1">
        <v>1</v>
      </c>
      <c r="U1090" s="1">
        <v>1</v>
      </c>
      <c r="V1090" s="1">
        <v>1</v>
      </c>
      <c r="W1090" s="1">
        <v>0</v>
      </c>
      <c r="X1090" s="1">
        <v>0</v>
      </c>
      <c r="Y1090" s="1" t="s">
        <v>104</v>
      </c>
      <c r="Z1090" s="1" t="s">
        <v>104</v>
      </c>
      <c r="AA1090" s="1" t="s">
        <v>104</v>
      </c>
      <c r="AB1090" s="1" t="s">
        <v>104</v>
      </c>
      <c r="AC1090" s="1" t="s">
        <v>104</v>
      </c>
      <c r="AD1090" s="1" t="s">
        <v>104</v>
      </c>
      <c r="AE1090" s="1" t="s">
        <v>104</v>
      </c>
      <c r="AF1090" s="1" t="s">
        <v>104</v>
      </c>
      <c r="AG1090" s="1">
        <v>3</v>
      </c>
      <c r="AH1090" s="1" t="s">
        <v>104</v>
      </c>
      <c r="AI1090" s="1" t="s">
        <v>104</v>
      </c>
      <c r="AJ1090" s="1" t="s">
        <v>104</v>
      </c>
      <c r="AK1090" s="1" t="s">
        <v>104</v>
      </c>
      <c r="AL1090" s="1" t="s">
        <v>104</v>
      </c>
      <c r="AM1090" s="1" t="s">
        <v>104</v>
      </c>
      <c r="AO1090" s="1">
        <v>3</v>
      </c>
      <c r="AQ1090" s="1" t="s">
        <v>6635</v>
      </c>
      <c r="AR1090" s="1">
        <v>0</v>
      </c>
      <c r="AS1090" s="1">
        <v>0</v>
      </c>
      <c r="AT1090" s="1">
        <v>0</v>
      </c>
      <c r="AU1090" s="1">
        <v>0</v>
      </c>
      <c r="AV1090" s="1">
        <v>0</v>
      </c>
      <c r="AW1090" s="1">
        <v>0</v>
      </c>
      <c r="AX1090" s="1">
        <v>0</v>
      </c>
      <c r="AY1090" s="1">
        <v>0</v>
      </c>
      <c r="AZ1090" s="1">
        <v>0</v>
      </c>
      <c r="BA1090" s="1">
        <v>0</v>
      </c>
      <c r="BB1090" s="1">
        <v>0</v>
      </c>
      <c r="BC1090" s="1">
        <v>0</v>
      </c>
      <c r="BD1090" s="1">
        <v>0</v>
      </c>
      <c r="BE1090" s="1">
        <v>0</v>
      </c>
      <c r="BF1090" s="1">
        <v>0</v>
      </c>
      <c r="BG1090" s="1">
        <v>0</v>
      </c>
      <c r="BH1090" s="1">
        <v>0</v>
      </c>
      <c r="BI1090" s="1">
        <v>0</v>
      </c>
      <c r="BJ1090" s="1">
        <v>0</v>
      </c>
      <c r="BK1090" s="1">
        <v>0</v>
      </c>
      <c r="BL1090" s="1">
        <v>0</v>
      </c>
      <c r="BM1090" s="1">
        <v>0</v>
      </c>
      <c r="BN1090" s="1">
        <v>0</v>
      </c>
      <c r="BO1090" s="1">
        <v>0</v>
      </c>
      <c r="BP1090" s="1">
        <v>0</v>
      </c>
      <c r="BQ1090" s="2" t="str">
        <f>HYPERLINK("http://www.d20pfsrd.com/magic/all-spells/r/restore-eidolon","Restore Eidolon")</f>
        <v>Restore Eidolon</v>
      </c>
      <c r="BR1090" s="1">
        <v>1132</v>
      </c>
      <c r="BS1090" s="1">
        <v>100</v>
      </c>
      <c r="BX1090" s="1">
        <v>0</v>
      </c>
      <c r="BY1090" s="1" t="s">
        <v>104</v>
      </c>
      <c r="BZ1090" s="1" t="s">
        <v>104</v>
      </c>
      <c r="CA1090" s="1" t="s">
        <v>104</v>
      </c>
      <c r="CB1090" s="1" t="s">
        <v>104</v>
      </c>
      <c r="CC1090" s="1" t="s">
        <v>104</v>
      </c>
      <c r="CD1090" s="1" t="s">
        <v>104</v>
      </c>
      <c r="CE1090" s="1" t="s">
        <v>104</v>
      </c>
      <c r="CF1090" s="1" t="s">
        <v>104</v>
      </c>
      <c r="CG1090" s="1" t="s">
        <v>104</v>
      </c>
      <c r="CH1090" s="1" t="s">
        <v>104</v>
      </c>
      <c r="CJ1090" s="1">
        <v>0</v>
      </c>
      <c r="CK1090" s="1">
        <v>0</v>
      </c>
      <c r="CL1090" s="1">
        <v>0</v>
      </c>
      <c r="CM1090" s="1">
        <v>3</v>
      </c>
    </row>
    <row r="1091" spans="1:91" ht="14.25" customHeight="1" x14ac:dyDescent="0.3">
      <c r="A1091" s="1" t="s">
        <v>6636</v>
      </c>
      <c r="B1091" s="1" t="s">
        <v>92</v>
      </c>
      <c r="C1091" s="1" t="s">
        <v>523</v>
      </c>
      <c r="E1091" s="1" t="s">
        <v>4873</v>
      </c>
      <c r="F1091" s="1" t="s">
        <v>1519</v>
      </c>
      <c r="G1091" s="1" t="s">
        <v>116</v>
      </c>
      <c r="H1091" s="1">
        <v>0</v>
      </c>
      <c r="I1091" s="1" t="s">
        <v>128</v>
      </c>
      <c r="L1091" s="1" t="s">
        <v>5323</v>
      </c>
      <c r="M1091" s="1" t="s">
        <v>119</v>
      </c>
      <c r="N1091" s="1">
        <v>0</v>
      </c>
      <c r="O1091" s="1">
        <v>0</v>
      </c>
      <c r="P1091" s="1" t="s">
        <v>375</v>
      </c>
      <c r="Q1091" s="1" t="s">
        <v>131</v>
      </c>
      <c r="R1091" s="1" t="s">
        <v>6637</v>
      </c>
      <c r="S1091" s="1" t="s">
        <v>4201</v>
      </c>
      <c r="T1091" s="1">
        <v>1</v>
      </c>
      <c r="U1091" s="1">
        <v>1</v>
      </c>
      <c r="V1091" s="1">
        <v>0</v>
      </c>
      <c r="W1091" s="1">
        <v>0</v>
      </c>
      <c r="X1091" s="1">
        <v>0</v>
      </c>
      <c r="Y1091" s="1" t="s">
        <v>104</v>
      </c>
      <c r="Z1091" s="1" t="s">
        <v>104</v>
      </c>
      <c r="AA1091" s="1" t="s">
        <v>104</v>
      </c>
      <c r="AB1091" s="1" t="s">
        <v>104</v>
      </c>
      <c r="AC1091" s="1" t="s">
        <v>104</v>
      </c>
      <c r="AD1091" s="1" t="s">
        <v>104</v>
      </c>
      <c r="AE1091" s="1" t="s">
        <v>104</v>
      </c>
      <c r="AF1091" s="1" t="s">
        <v>104</v>
      </c>
      <c r="AG1091" s="1">
        <v>2</v>
      </c>
      <c r="AH1091" s="1" t="s">
        <v>104</v>
      </c>
      <c r="AI1091" s="1" t="s">
        <v>104</v>
      </c>
      <c r="AJ1091" s="1" t="s">
        <v>104</v>
      </c>
      <c r="AK1091" s="1" t="s">
        <v>104</v>
      </c>
      <c r="AL1091" s="1" t="s">
        <v>104</v>
      </c>
      <c r="AM1091" s="1" t="s">
        <v>104</v>
      </c>
      <c r="AO1091" s="1">
        <v>2</v>
      </c>
      <c r="AQ1091" s="1" t="s">
        <v>6638</v>
      </c>
      <c r="AR1091" s="1">
        <v>0</v>
      </c>
      <c r="AS1091" s="1">
        <v>0</v>
      </c>
      <c r="AT1091" s="1">
        <v>0</v>
      </c>
      <c r="AU1091" s="1">
        <v>0</v>
      </c>
      <c r="AV1091" s="1">
        <v>0</v>
      </c>
      <c r="AW1091" s="1">
        <v>0</v>
      </c>
      <c r="AX1091" s="1">
        <v>0</v>
      </c>
      <c r="AY1091" s="1">
        <v>0</v>
      </c>
      <c r="AZ1091" s="1">
        <v>0</v>
      </c>
      <c r="BA1091" s="1">
        <v>0</v>
      </c>
      <c r="BB1091" s="1">
        <v>0</v>
      </c>
      <c r="BC1091" s="1">
        <v>0</v>
      </c>
      <c r="BD1091" s="1">
        <v>0</v>
      </c>
      <c r="BE1091" s="1">
        <v>0</v>
      </c>
      <c r="BF1091" s="1">
        <v>0</v>
      </c>
      <c r="BG1091" s="1">
        <v>0</v>
      </c>
      <c r="BH1091" s="1">
        <v>0</v>
      </c>
      <c r="BI1091" s="1">
        <v>0</v>
      </c>
      <c r="BJ1091" s="1">
        <v>0</v>
      </c>
      <c r="BK1091" s="1">
        <v>0</v>
      </c>
      <c r="BL1091" s="1">
        <v>0</v>
      </c>
      <c r="BM1091" s="1">
        <v>0</v>
      </c>
      <c r="BN1091" s="1">
        <v>0</v>
      </c>
      <c r="BO1091" s="1">
        <v>0</v>
      </c>
      <c r="BP1091" s="1">
        <v>0</v>
      </c>
      <c r="BQ1091" s="2" t="str">
        <f>HYPERLINK("http://www.d20pfsrd.com/magic/all-spells/r/restore-eidolon","Restore Eidolon, Lesser")</f>
        <v>Restore Eidolon, Lesser</v>
      </c>
      <c r="BR1091" s="1">
        <v>1133</v>
      </c>
      <c r="BS1091" s="1" t="s">
        <v>104</v>
      </c>
      <c r="BX1091" s="1">
        <v>0</v>
      </c>
      <c r="BY1091" s="1" t="s">
        <v>104</v>
      </c>
      <c r="BZ1091" s="1" t="s">
        <v>104</v>
      </c>
      <c r="CA1091" s="1" t="s">
        <v>104</v>
      </c>
      <c r="CB1091" s="1" t="s">
        <v>104</v>
      </c>
      <c r="CC1091" s="1" t="s">
        <v>104</v>
      </c>
      <c r="CD1091" s="1" t="s">
        <v>104</v>
      </c>
      <c r="CE1091" s="1" t="s">
        <v>104</v>
      </c>
      <c r="CF1091" s="1" t="s">
        <v>104</v>
      </c>
      <c r="CG1091" s="1" t="s">
        <v>104</v>
      </c>
      <c r="CH1091" s="1" t="s">
        <v>104</v>
      </c>
      <c r="CJ1091" s="1">
        <v>0</v>
      </c>
      <c r="CK1091" s="1">
        <v>0</v>
      </c>
      <c r="CL1091" s="1">
        <v>0</v>
      </c>
      <c r="CM1091" s="1">
        <v>2</v>
      </c>
    </row>
    <row r="1092" spans="1:91" ht="14.25" customHeight="1" x14ac:dyDescent="0.3">
      <c r="A1092" s="1" t="s">
        <v>6639</v>
      </c>
      <c r="B1092" s="1" t="s">
        <v>434</v>
      </c>
      <c r="D1092" s="1" t="s">
        <v>52</v>
      </c>
      <c r="E1092" s="1" t="s">
        <v>2513</v>
      </c>
      <c r="F1092" s="1" t="s">
        <v>4934</v>
      </c>
      <c r="G1092" s="1" t="s">
        <v>116</v>
      </c>
      <c r="H1092" s="1">
        <v>0</v>
      </c>
      <c r="I1092" s="1" t="s">
        <v>157</v>
      </c>
      <c r="L1092" s="1" t="s">
        <v>158</v>
      </c>
      <c r="M1092" s="1" t="s">
        <v>426</v>
      </c>
      <c r="N1092" s="1">
        <v>1</v>
      </c>
      <c r="O1092" s="1">
        <v>0</v>
      </c>
      <c r="R1092" s="1" t="s">
        <v>6640</v>
      </c>
      <c r="S1092" s="1" t="s">
        <v>4201</v>
      </c>
      <c r="T1092" s="1">
        <v>1</v>
      </c>
      <c r="U1092" s="1">
        <v>1</v>
      </c>
      <c r="V1092" s="1">
        <v>0</v>
      </c>
      <c r="W1092" s="1">
        <v>0</v>
      </c>
      <c r="X1092" s="1">
        <v>0</v>
      </c>
      <c r="Y1092" s="1">
        <v>9</v>
      </c>
      <c r="Z1092" s="1">
        <v>9</v>
      </c>
      <c r="AA1092" s="1" t="s">
        <v>104</v>
      </c>
      <c r="AB1092" s="1" t="s">
        <v>104</v>
      </c>
      <c r="AC1092" s="1" t="s">
        <v>104</v>
      </c>
      <c r="AD1092" s="1" t="s">
        <v>104</v>
      </c>
      <c r="AE1092" s="1" t="s">
        <v>104</v>
      </c>
      <c r="AF1092" s="1" t="s">
        <v>104</v>
      </c>
      <c r="AG1092" s="1" t="s">
        <v>104</v>
      </c>
      <c r="AH1092" s="1" t="s">
        <v>104</v>
      </c>
      <c r="AI1092" s="1" t="s">
        <v>104</v>
      </c>
      <c r="AJ1092" s="1" t="s">
        <v>104</v>
      </c>
      <c r="AK1092" s="1" t="s">
        <v>104</v>
      </c>
      <c r="AL1092" s="1" t="s">
        <v>104</v>
      </c>
      <c r="AM1092" s="1" t="s">
        <v>104</v>
      </c>
      <c r="AO1092" s="1">
        <v>9</v>
      </c>
      <c r="AQ1092" s="1" t="s">
        <v>6641</v>
      </c>
      <c r="AR1092" s="1">
        <v>0</v>
      </c>
      <c r="AS1092" s="1">
        <v>0</v>
      </c>
      <c r="AT1092" s="1">
        <v>0</v>
      </c>
      <c r="AU1092" s="1">
        <v>0</v>
      </c>
      <c r="AV1092" s="1">
        <v>0</v>
      </c>
      <c r="AW1092" s="1">
        <v>0</v>
      </c>
      <c r="AX1092" s="1">
        <v>0</v>
      </c>
      <c r="AY1092" s="1">
        <v>0</v>
      </c>
      <c r="AZ1092" s="1">
        <v>0</v>
      </c>
      <c r="BA1092" s="1">
        <v>1</v>
      </c>
      <c r="BB1092" s="1">
        <v>0</v>
      </c>
      <c r="BC1092" s="1">
        <v>0</v>
      </c>
      <c r="BD1092" s="1">
        <v>0</v>
      </c>
      <c r="BE1092" s="1">
        <v>0</v>
      </c>
      <c r="BF1092" s="1">
        <v>0</v>
      </c>
      <c r="BG1092" s="1">
        <v>0</v>
      </c>
      <c r="BH1092" s="1">
        <v>0</v>
      </c>
      <c r="BI1092" s="1">
        <v>0</v>
      </c>
      <c r="BJ1092" s="1">
        <v>0</v>
      </c>
      <c r="BK1092" s="1">
        <v>0</v>
      </c>
      <c r="BL1092" s="1">
        <v>0</v>
      </c>
      <c r="BM1092" s="1">
        <v>0</v>
      </c>
      <c r="BN1092" s="1">
        <v>0</v>
      </c>
      <c r="BO1092" s="1">
        <v>0</v>
      </c>
      <c r="BP1092" s="1">
        <v>0</v>
      </c>
      <c r="BQ1092" s="2" t="str">
        <f>HYPERLINK("http://www.d20pfsrd.com/magic/all-spells/r/ride-the-lightning","Ride the Lightning")</f>
        <v>Ride the Lightning</v>
      </c>
      <c r="BR1092" s="1">
        <v>1134</v>
      </c>
      <c r="BS1092" s="1" t="s">
        <v>104</v>
      </c>
      <c r="BX1092" s="1">
        <v>0</v>
      </c>
      <c r="BY1092" s="1" t="s">
        <v>104</v>
      </c>
      <c r="BZ1092" s="1" t="s">
        <v>104</v>
      </c>
      <c r="CA1092" s="1" t="s">
        <v>104</v>
      </c>
      <c r="CB1092" s="1" t="s">
        <v>104</v>
      </c>
      <c r="CC1092" s="1" t="s">
        <v>104</v>
      </c>
      <c r="CD1092" s="1" t="s">
        <v>104</v>
      </c>
      <c r="CE1092" s="1" t="s">
        <v>104</v>
      </c>
      <c r="CF1092" s="1" t="s">
        <v>104</v>
      </c>
      <c r="CG1092" s="1" t="s">
        <v>104</v>
      </c>
      <c r="CH1092" s="1" t="s">
        <v>104</v>
      </c>
      <c r="CJ1092" s="1">
        <v>0</v>
      </c>
      <c r="CK1092" s="1">
        <v>0</v>
      </c>
      <c r="CL1092" s="1">
        <v>0</v>
      </c>
      <c r="CM1092" s="1" t="s">
        <v>104</v>
      </c>
    </row>
    <row r="1093" spans="1:91" ht="14.25" customHeight="1" x14ac:dyDescent="0.3">
      <c r="A1093" s="1" t="s">
        <v>6642</v>
      </c>
      <c r="B1093" s="1" t="s">
        <v>137</v>
      </c>
      <c r="D1093" s="1" t="s">
        <v>67</v>
      </c>
      <c r="E1093" s="1" t="s">
        <v>6643</v>
      </c>
      <c r="F1093" s="1" t="s">
        <v>95</v>
      </c>
      <c r="G1093" s="1" t="s">
        <v>116</v>
      </c>
      <c r="H1093" s="1">
        <v>0</v>
      </c>
      <c r="I1093" s="1" t="s">
        <v>128</v>
      </c>
      <c r="L1093" s="1" t="s">
        <v>374</v>
      </c>
      <c r="M1093" s="1" t="s">
        <v>620</v>
      </c>
      <c r="N1093" s="1">
        <v>1</v>
      </c>
      <c r="O1093" s="1">
        <v>0</v>
      </c>
      <c r="P1093" s="1" t="s">
        <v>375</v>
      </c>
      <c r="Q1093" s="1" t="s">
        <v>131</v>
      </c>
      <c r="R1093" s="1" t="s">
        <v>6644</v>
      </c>
      <c r="S1093" s="1" t="s">
        <v>4201</v>
      </c>
      <c r="T1093" s="1">
        <v>1</v>
      </c>
      <c r="U1093" s="1">
        <v>1</v>
      </c>
      <c r="V1093" s="1">
        <v>0</v>
      </c>
      <c r="W1093" s="1">
        <v>0</v>
      </c>
      <c r="X1093" s="1">
        <v>0</v>
      </c>
      <c r="Y1093" s="1">
        <v>4</v>
      </c>
      <c r="Z1093" s="1">
        <v>4</v>
      </c>
      <c r="AA1093" s="1">
        <v>4</v>
      </c>
      <c r="AB1093" s="1">
        <v>4</v>
      </c>
      <c r="AC1093" s="1" t="s">
        <v>104</v>
      </c>
      <c r="AD1093" s="1" t="s">
        <v>104</v>
      </c>
      <c r="AE1093" s="1" t="s">
        <v>104</v>
      </c>
      <c r="AF1093" s="1" t="s">
        <v>104</v>
      </c>
      <c r="AG1093" s="1" t="s">
        <v>104</v>
      </c>
      <c r="AH1093" s="1">
        <v>4</v>
      </c>
      <c r="AI1093" s="1" t="s">
        <v>104</v>
      </c>
      <c r="AJ1093" s="1">
        <v>4</v>
      </c>
      <c r="AK1093" s="1" t="s">
        <v>104</v>
      </c>
      <c r="AL1093" s="1" t="s">
        <v>104</v>
      </c>
      <c r="AM1093" s="1" t="s">
        <v>104</v>
      </c>
      <c r="AO1093" s="1">
        <v>4</v>
      </c>
      <c r="AQ1093" s="1" t="s">
        <v>6645</v>
      </c>
      <c r="AR1093" s="1">
        <v>0</v>
      </c>
      <c r="AS1093" s="1">
        <v>0</v>
      </c>
      <c r="AT1093" s="1">
        <v>0</v>
      </c>
      <c r="AU1093" s="1">
        <v>0</v>
      </c>
      <c r="AV1093" s="1">
        <v>0</v>
      </c>
      <c r="AW1093" s="1">
        <v>0</v>
      </c>
      <c r="AX1093" s="1">
        <v>0</v>
      </c>
      <c r="AY1093" s="1">
        <v>0</v>
      </c>
      <c r="AZ1093" s="1">
        <v>0</v>
      </c>
      <c r="BA1093" s="1">
        <v>0</v>
      </c>
      <c r="BB1093" s="1">
        <v>0</v>
      </c>
      <c r="BC1093" s="1">
        <v>0</v>
      </c>
      <c r="BD1093" s="1">
        <v>0</v>
      </c>
      <c r="BE1093" s="1">
        <v>0</v>
      </c>
      <c r="BF1093" s="1">
        <v>0</v>
      </c>
      <c r="BG1093" s="1">
        <v>0</v>
      </c>
      <c r="BH1093" s="1">
        <v>0</v>
      </c>
      <c r="BI1093" s="1">
        <v>0</v>
      </c>
      <c r="BJ1093" s="1">
        <v>0</v>
      </c>
      <c r="BK1093" s="1">
        <v>0</v>
      </c>
      <c r="BL1093" s="1">
        <v>0</v>
      </c>
      <c r="BM1093" s="1">
        <v>0</v>
      </c>
      <c r="BN1093" s="1">
        <v>0</v>
      </c>
      <c r="BO1093" s="1">
        <v>0</v>
      </c>
      <c r="BP1093" s="1">
        <v>1</v>
      </c>
      <c r="BQ1093" s="2" t="str">
        <f>HYPERLINK("http://www.d20pfsrd.com/magic/all-spells/r/ride-the-waves","Ride The Waves")</f>
        <v>Ride The Waves</v>
      </c>
      <c r="BR1093" s="1">
        <v>1135</v>
      </c>
      <c r="BS1093" s="1" t="s">
        <v>104</v>
      </c>
      <c r="BX1093" s="1">
        <v>0</v>
      </c>
      <c r="BY1093" s="1">
        <v>4</v>
      </c>
      <c r="BZ1093" s="1">
        <v>4</v>
      </c>
      <c r="CA1093" s="1" t="s">
        <v>104</v>
      </c>
      <c r="CB1093" s="1" t="s">
        <v>104</v>
      </c>
      <c r="CC1093" s="1" t="s">
        <v>104</v>
      </c>
      <c r="CD1093" s="1" t="s">
        <v>104</v>
      </c>
      <c r="CE1093" s="1" t="s">
        <v>104</v>
      </c>
      <c r="CF1093" s="1" t="s">
        <v>104</v>
      </c>
      <c r="CG1093" s="1" t="s">
        <v>104</v>
      </c>
      <c r="CH1093" s="1">
        <v>4</v>
      </c>
      <c r="CJ1093" s="1">
        <v>0</v>
      </c>
      <c r="CK1093" s="1">
        <v>0</v>
      </c>
      <c r="CL1093" s="1">
        <v>0</v>
      </c>
      <c r="CM1093" s="1" t="s">
        <v>104</v>
      </c>
    </row>
    <row r="1094" spans="1:91" ht="14.25" customHeight="1" x14ac:dyDescent="0.3">
      <c r="A1094" s="1" t="s">
        <v>6646</v>
      </c>
      <c r="B1094" s="1" t="s">
        <v>434</v>
      </c>
      <c r="D1094" s="1" t="s">
        <v>58</v>
      </c>
      <c r="E1094" s="1" t="s">
        <v>6647</v>
      </c>
      <c r="F1094" s="1" t="s">
        <v>95</v>
      </c>
      <c r="G1094" s="1" t="s">
        <v>6648</v>
      </c>
      <c r="H1094" s="1">
        <v>0</v>
      </c>
      <c r="I1094" s="1" t="s">
        <v>128</v>
      </c>
      <c r="J1094" s="1" t="s">
        <v>1762</v>
      </c>
      <c r="M1094" s="1" t="s">
        <v>341</v>
      </c>
      <c r="N1094" s="1">
        <v>0</v>
      </c>
      <c r="O1094" s="1">
        <v>0</v>
      </c>
      <c r="P1094" s="1" t="s">
        <v>100</v>
      </c>
      <c r="Q1094" s="1" t="s">
        <v>101</v>
      </c>
      <c r="R1094" s="1" t="s">
        <v>6649</v>
      </c>
      <c r="S1094" s="1" t="s">
        <v>4201</v>
      </c>
      <c r="T1094" s="1">
        <v>1</v>
      </c>
      <c r="U1094" s="1">
        <v>1</v>
      </c>
      <c r="V1094" s="1">
        <v>1</v>
      </c>
      <c r="W1094" s="1">
        <v>0</v>
      </c>
      <c r="X1094" s="1">
        <v>1</v>
      </c>
      <c r="Y1094" s="1" t="s">
        <v>104</v>
      </c>
      <c r="Z1094" s="1" t="s">
        <v>104</v>
      </c>
      <c r="AA1094" s="1">
        <v>1</v>
      </c>
      <c r="AB1094" s="1" t="s">
        <v>104</v>
      </c>
      <c r="AC1094" s="1" t="s">
        <v>104</v>
      </c>
      <c r="AD1094" s="1" t="s">
        <v>104</v>
      </c>
      <c r="AE1094" s="1">
        <v>1</v>
      </c>
      <c r="AF1094" s="1" t="s">
        <v>104</v>
      </c>
      <c r="AG1094" s="1" t="s">
        <v>104</v>
      </c>
      <c r="AH1094" s="1">
        <v>1</v>
      </c>
      <c r="AI1094" s="1">
        <v>1</v>
      </c>
      <c r="AJ1094" s="1">
        <v>1</v>
      </c>
      <c r="AK1094" s="1" t="s">
        <v>104</v>
      </c>
      <c r="AL1094" s="1" t="s">
        <v>104</v>
      </c>
      <c r="AM1094" s="1" t="s">
        <v>104</v>
      </c>
      <c r="AO1094" s="1">
        <v>1</v>
      </c>
      <c r="AQ1094" s="1" t="s">
        <v>6650</v>
      </c>
      <c r="AR1094" s="1">
        <v>0</v>
      </c>
      <c r="AS1094" s="1">
        <v>0</v>
      </c>
      <c r="AT1094" s="1">
        <v>0</v>
      </c>
      <c r="AU1094" s="1">
        <v>0</v>
      </c>
      <c r="AV1094" s="1">
        <v>0</v>
      </c>
      <c r="AW1094" s="1">
        <v>0</v>
      </c>
      <c r="AX1094" s="1">
        <v>0</v>
      </c>
      <c r="AY1094" s="1">
        <v>0</v>
      </c>
      <c r="AZ1094" s="1">
        <v>0</v>
      </c>
      <c r="BA1094" s="1">
        <v>0</v>
      </c>
      <c r="BB1094" s="1">
        <v>0</v>
      </c>
      <c r="BC1094" s="1">
        <v>0</v>
      </c>
      <c r="BD1094" s="1">
        <v>0</v>
      </c>
      <c r="BE1094" s="1">
        <v>0</v>
      </c>
      <c r="BF1094" s="1">
        <v>0</v>
      </c>
      <c r="BG1094" s="1">
        <v>1</v>
      </c>
      <c r="BH1094" s="1">
        <v>0</v>
      </c>
      <c r="BI1094" s="1">
        <v>0</v>
      </c>
      <c r="BJ1094" s="1">
        <v>0</v>
      </c>
      <c r="BK1094" s="1">
        <v>0</v>
      </c>
      <c r="BL1094" s="1">
        <v>0</v>
      </c>
      <c r="BM1094" s="1">
        <v>0</v>
      </c>
      <c r="BN1094" s="1">
        <v>0</v>
      </c>
      <c r="BO1094" s="1">
        <v>0</v>
      </c>
      <c r="BP1094" s="1">
        <v>0</v>
      </c>
      <c r="BQ1094" s="2" t="str">
        <f>HYPERLINK("http://www.d20pfsrd.com/magic/all-spells/s/sanctify-corpse","Sanctify Corpse")</f>
        <v>Sanctify Corpse</v>
      </c>
      <c r="BR1094" s="1">
        <v>1136</v>
      </c>
      <c r="BS1094" s="1" t="s">
        <v>104</v>
      </c>
      <c r="BX1094" s="1">
        <v>0</v>
      </c>
      <c r="BY1094" s="1" t="s">
        <v>104</v>
      </c>
      <c r="BZ1094" s="1" t="s">
        <v>104</v>
      </c>
      <c r="CA1094" s="1" t="s">
        <v>104</v>
      </c>
      <c r="CB1094" s="1" t="s">
        <v>104</v>
      </c>
      <c r="CC1094" s="1" t="s">
        <v>104</v>
      </c>
      <c r="CD1094" s="1" t="s">
        <v>104</v>
      </c>
      <c r="CE1094" s="1">
        <v>1</v>
      </c>
      <c r="CF1094" s="1" t="s">
        <v>104</v>
      </c>
      <c r="CG1094" s="1" t="s">
        <v>104</v>
      </c>
      <c r="CH1094" s="1" t="s">
        <v>104</v>
      </c>
      <c r="CJ1094" s="1">
        <v>0</v>
      </c>
      <c r="CK1094" s="1">
        <v>0</v>
      </c>
      <c r="CL1094" s="1">
        <v>0</v>
      </c>
      <c r="CM1094" s="1" t="s">
        <v>104</v>
      </c>
    </row>
    <row r="1095" spans="1:91" ht="14.25" customHeight="1" x14ac:dyDescent="0.3">
      <c r="A1095" s="1" t="s">
        <v>6651</v>
      </c>
      <c r="B1095" s="1" t="s">
        <v>216</v>
      </c>
      <c r="E1095" s="1" t="s">
        <v>6652</v>
      </c>
      <c r="F1095" s="1" t="s">
        <v>95</v>
      </c>
      <c r="G1095" s="1" t="s">
        <v>116</v>
      </c>
      <c r="H1095" s="1">
        <v>0</v>
      </c>
      <c r="I1095" s="1" t="s">
        <v>128</v>
      </c>
      <c r="L1095" s="1" t="s">
        <v>6653</v>
      </c>
      <c r="M1095" s="1" t="s">
        <v>6654</v>
      </c>
      <c r="N1095" s="1">
        <v>0</v>
      </c>
      <c r="O1095" s="1">
        <v>0</v>
      </c>
      <c r="P1095" s="1" t="s">
        <v>100</v>
      </c>
      <c r="Q1095" s="1" t="s">
        <v>184</v>
      </c>
      <c r="R1095" s="1" t="s">
        <v>6655</v>
      </c>
      <c r="S1095" s="1" t="s">
        <v>4201</v>
      </c>
      <c r="T1095" s="1">
        <v>1</v>
      </c>
      <c r="U1095" s="1">
        <v>1</v>
      </c>
      <c r="V1095" s="1">
        <v>0</v>
      </c>
      <c r="W1095" s="1">
        <v>0</v>
      </c>
      <c r="X1095" s="1">
        <v>0</v>
      </c>
      <c r="Y1095" s="1">
        <v>3</v>
      </c>
      <c r="Z1095" s="1">
        <v>3</v>
      </c>
      <c r="AA1095" s="1">
        <v>3</v>
      </c>
      <c r="AB1095" s="1" t="s">
        <v>104</v>
      </c>
      <c r="AC1095" s="1" t="s">
        <v>104</v>
      </c>
      <c r="AD1095" s="1" t="s">
        <v>104</v>
      </c>
      <c r="AE1095" s="1" t="s">
        <v>104</v>
      </c>
      <c r="AF1095" s="1" t="s">
        <v>104</v>
      </c>
      <c r="AG1095" s="1" t="s">
        <v>104</v>
      </c>
      <c r="AH1095" s="1">
        <v>3</v>
      </c>
      <c r="AI1095" s="1" t="s">
        <v>104</v>
      </c>
      <c r="AJ1095" s="1">
        <v>3</v>
      </c>
      <c r="AK1095" s="1" t="s">
        <v>104</v>
      </c>
      <c r="AL1095" s="1" t="s">
        <v>104</v>
      </c>
      <c r="AM1095" s="1" t="s">
        <v>104</v>
      </c>
      <c r="AO1095" s="1">
        <v>3</v>
      </c>
      <c r="AQ1095" s="1" t="s">
        <v>6656</v>
      </c>
      <c r="AR1095" s="1">
        <v>0</v>
      </c>
      <c r="AS1095" s="1">
        <v>0</v>
      </c>
      <c r="AT1095" s="1">
        <v>0</v>
      </c>
      <c r="AU1095" s="1">
        <v>0</v>
      </c>
      <c r="AV1095" s="1">
        <v>0</v>
      </c>
      <c r="AW1095" s="1">
        <v>0</v>
      </c>
      <c r="AX1095" s="1">
        <v>0</v>
      </c>
      <c r="AY1095" s="1">
        <v>0</v>
      </c>
      <c r="AZ1095" s="1">
        <v>0</v>
      </c>
      <c r="BA1095" s="1">
        <v>0</v>
      </c>
      <c r="BB1095" s="1">
        <v>0</v>
      </c>
      <c r="BC1095" s="1">
        <v>0</v>
      </c>
      <c r="BD1095" s="1">
        <v>0</v>
      </c>
      <c r="BE1095" s="1">
        <v>0</v>
      </c>
      <c r="BF1095" s="1">
        <v>0</v>
      </c>
      <c r="BG1095" s="1">
        <v>0</v>
      </c>
      <c r="BH1095" s="1">
        <v>0</v>
      </c>
      <c r="BI1095" s="1">
        <v>0</v>
      </c>
      <c r="BJ1095" s="1">
        <v>0</v>
      </c>
      <c r="BK1095" s="1">
        <v>0</v>
      </c>
      <c r="BL1095" s="1">
        <v>0</v>
      </c>
      <c r="BM1095" s="1">
        <v>0</v>
      </c>
      <c r="BN1095" s="1">
        <v>0</v>
      </c>
      <c r="BO1095" s="1">
        <v>0</v>
      </c>
      <c r="BP1095" s="1">
        <v>0</v>
      </c>
      <c r="BQ1095" s="2" t="str">
        <f>HYPERLINK("http://www.d20pfsrd.com/magic/all-spells/s/sands-of-time","Sands of Time")</f>
        <v>Sands of Time</v>
      </c>
      <c r="BR1095" s="1">
        <v>1137</v>
      </c>
      <c r="BS1095" s="1" t="s">
        <v>104</v>
      </c>
      <c r="BX1095" s="1">
        <v>0</v>
      </c>
      <c r="BY1095" s="1" t="s">
        <v>104</v>
      </c>
      <c r="BZ1095" s="1">
        <v>4</v>
      </c>
      <c r="CA1095" s="1">
        <v>3</v>
      </c>
      <c r="CB1095" s="1" t="s">
        <v>104</v>
      </c>
      <c r="CC1095" s="1" t="s">
        <v>104</v>
      </c>
      <c r="CD1095" s="1">
        <v>3</v>
      </c>
      <c r="CE1095" s="1">
        <v>3</v>
      </c>
      <c r="CF1095" s="1" t="s">
        <v>104</v>
      </c>
      <c r="CG1095" s="1" t="s">
        <v>104</v>
      </c>
      <c r="CH1095" s="1" t="s">
        <v>104</v>
      </c>
      <c r="CJ1095" s="1">
        <v>0</v>
      </c>
      <c r="CK1095" s="1">
        <v>0</v>
      </c>
      <c r="CL1095" s="1">
        <v>0</v>
      </c>
      <c r="CM1095" s="1" t="s">
        <v>104</v>
      </c>
    </row>
    <row r="1096" spans="1:91" ht="14.25" customHeight="1" x14ac:dyDescent="0.3">
      <c r="A1096" s="1" t="s">
        <v>6657</v>
      </c>
      <c r="B1096" s="1" t="s">
        <v>434</v>
      </c>
      <c r="D1096" s="1" t="s">
        <v>6658</v>
      </c>
      <c r="E1096" s="1" t="s">
        <v>6659</v>
      </c>
      <c r="F1096" s="1" t="s">
        <v>95</v>
      </c>
      <c r="G1096" s="1" t="s">
        <v>116</v>
      </c>
      <c r="H1096" s="1">
        <v>0</v>
      </c>
      <c r="I1096" s="1" t="s">
        <v>109</v>
      </c>
      <c r="K1096" s="1" t="s">
        <v>6660</v>
      </c>
      <c r="M1096" s="1" t="s">
        <v>426</v>
      </c>
      <c r="N1096" s="1">
        <v>1</v>
      </c>
      <c r="O1096" s="1">
        <v>0</v>
      </c>
      <c r="P1096" s="1" t="s">
        <v>100</v>
      </c>
      <c r="Q1096" s="1" t="s">
        <v>6424</v>
      </c>
      <c r="R1096" s="1" t="s">
        <v>6661</v>
      </c>
      <c r="S1096" s="1" t="s">
        <v>4201</v>
      </c>
      <c r="T1096" s="1">
        <v>1</v>
      </c>
      <c r="U1096" s="1">
        <v>1</v>
      </c>
      <c r="V1096" s="1">
        <v>0</v>
      </c>
      <c r="W1096" s="1">
        <v>0</v>
      </c>
      <c r="X1096" s="1">
        <v>0</v>
      </c>
      <c r="Y1096" s="1">
        <v>7</v>
      </c>
      <c r="Z1096" s="1">
        <v>7</v>
      </c>
      <c r="AA1096" s="1" t="s">
        <v>104</v>
      </c>
      <c r="AB1096" s="1">
        <v>7</v>
      </c>
      <c r="AC1096" s="1" t="s">
        <v>104</v>
      </c>
      <c r="AD1096" s="1" t="s">
        <v>104</v>
      </c>
      <c r="AE1096" s="1" t="s">
        <v>104</v>
      </c>
      <c r="AF1096" s="1" t="s">
        <v>104</v>
      </c>
      <c r="AG1096" s="1" t="s">
        <v>104</v>
      </c>
      <c r="AH1096" s="1">
        <v>7</v>
      </c>
      <c r="AI1096" s="1" t="s">
        <v>104</v>
      </c>
      <c r="AJ1096" s="1" t="s">
        <v>104</v>
      </c>
      <c r="AK1096" s="1" t="s">
        <v>104</v>
      </c>
      <c r="AL1096" s="1" t="s">
        <v>104</v>
      </c>
      <c r="AM1096" s="1" t="s">
        <v>104</v>
      </c>
      <c r="AO1096" s="1">
        <v>7</v>
      </c>
      <c r="AQ1096" s="1" t="s">
        <v>6662</v>
      </c>
      <c r="AR1096" s="1">
        <v>0</v>
      </c>
      <c r="AS1096" s="1">
        <v>1</v>
      </c>
      <c r="AT1096" s="1">
        <v>0</v>
      </c>
      <c r="AU1096" s="1">
        <v>0</v>
      </c>
      <c r="AV1096" s="1">
        <v>0</v>
      </c>
      <c r="AW1096" s="1">
        <v>0</v>
      </c>
      <c r="AX1096" s="1">
        <v>0</v>
      </c>
      <c r="AY1096" s="1">
        <v>0</v>
      </c>
      <c r="AZ1096" s="1">
        <v>1</v>
      </c>
      <c r="BA1096" s="1">
        <v>0</v>
      </c>
      <c r="BB1096" s="1">
        <v>0</v>
      </c>
      <c r="BC1096" s="1">
        <v>0</v>
      </c>
      <c r="BD1096" s="1">
        <v>0</v>
      </c>
      <c r="BE1096" s="1">
        <v>0</v>
      </c>
      <c r="BF1096" s="1">
        <v>0</v>
      </c>
      <c r="BG1096" s="1">
        <v>0</v>
      </c>
      <c r="BH1096" s="1">
        <v>0</v>
      </c>
      <c r="BI1096" s="1">
        <v>0</v>
      </c>
      <c r="BJ1096" s="1">
        <v>0</v>
      </c>
      <c r="BK1096" s="1">
        <v>0</v>
      </c>
      <c r="BL1096" s="1">
        <v>0</v>
      </c>
      <c r="BM1096" s="1">
        <v>0</v>
      </c>
      <c r="BN1096" s="1">
        <v>0</v>
      </c>
      <c r="BO1096" s="1">
        <v>0</v>
      </c>
      <c r="BP1096" s="1">
        <v>0</v>
      </c>
      <c r="BQ1096" s="2" t="str">
        <f>HYPERLINK("http://www.d20pfsrd.com/magic/all-spells/s/scouring-winds","Scouring Winds")</f>
        <v>Scouring Winds</v>
      </c>
      <c r="BR1096" s="1">
        <v>1138</v>
      </c>
      <c r="BS1096" s="1" t="s">
        <v>104</v>
      </c>
      <c r="BV1096" s="1" t="s">
        <v>6663</v>
      </c>
      <c r="BW1096" s="1" t="s">
        <v>6664</v>
      </c>
      <c r="BX1096" s="1">
        <v>1</v>
      </c>
      <c r="BY1096" s="1" t="s">
        <v>104</v>
      </c>
      <c r="BZ1096" s="1" t="s">
        <v>104</v>
      </c>
      <c r="CA1096" s="1" t="s">
        <v>104</v>
      </c>
      <c r="CB1096" s="1" t="s">
        <v>104</v>
      </c>
      <c r="CC1096" s="1" t="s">
        <v>104</v>
      </c>
      <c r="CD1096" s="1" t="s">
        <v>104</v>
      </c>
      <c r="CE1096" s="1" t="s">
        <v>104</v>
      </c>
      <c r="CF1096" s="1" t="s">
        <v>104</v>
      </c>
      <c r="CG1096" s="1" t="s">
        <v>104</v>
      </c>
      <c r="CH1096" s="1" t="s">
        <v>104</v>
      </c>
      <c r="CJ1096" s="1">
        <v>0</v>
      </c>
      <c r="CK1096" s="1">
        <v>0</v>
      </c>
      <c r="CL1096" s="1">
        <v>0</v>
      </c>
      <c r="CM1096" s="1" t="s">
        <v>104</v>
      </c>
    </row>
    <row r="1097" spans="1:91" ht="14.25" customHeight="1" x14ac:dyDescent="0.3">
      <c r="A1097" s="1" t="s">
        <v>6665</v>
      </c>
      <c r="B1097" s="1" t="s">
        <v>137</v>
      </c>
      <c r="E1097" s="1" t="s">
        <v>6666</v>
      </c>
      <c r="F1097" s="1" t="s">
        <v>95</v>
      </c>
      <c r="G1097" s="1" t="s">
        <v>116</v>
      </c>
      <c r="H1097" s="1">
        <v>0</v>
      </c>
      <c r="I1097" s="1" t="s">
        <v>128</v>
      </c>
      <c r="L1097" s="1" t="s">
        <v>6667</v>
      </c>
      <c r="M1097" s="1" t="s">
        <v>119</v>
      </c>
      <c r="N1097" s="1">
        <v>0</v>
      </c>
      <c r="O1097" s="1">
        <v>0</v>
      </c>
      <c r="P1097" s="1" t="s">
        <v>183</v>
      </c>
      <c r="Q1097" s="1" t="s">
        <v>184</v>
      </c>
      <c r="R1097" s="1" t="s">
        <v>6668</v>
      </c>
      <c r="S1097" s="1" t="s">
        <v>4201</v>
      </c>
      <c r="T1097" s="1">
        <v>1</v>
      </c>
      <c r="U1097" s="1">
        <v>1</v>
      </c>
      <c r="V1097" s="1">
        <v>0</v>
      </c>
      <c r="W1097" s="1">
        <v>0</v>
      </c>
      <c r="X1097" s="1">
        <v>0</v>
      </c>
      <c r="Y1097" s="1">
        <v>2</v>
      </c>
      <c r="Z1097" s="1">
        <v>2</v>
      </c>
      <c r="AA1097" s="1" t="s">
        <v>104</v>
      </c>
      <c r="AB1097" s="1" t="s">
        <v>104</v>
      </c>
      <c r="AC1097" s="1" t="s">
        <v>104</v>
      </c>
      <c r="AD1097" s="1" t="s">
        <v>104</v>
      </c>
      <c r="AE1097" s="1" t="s">
        <v>104</v>
      </c>
      <c r="AF1097" s="1" t="s">
        <v>104</v>
      </c>
      <c r="AG1097" s="1" t="s">
        <v>104</v>
      </c>
      <c r="AH1097" s="1" t="s">
        <v>104</v>
      </c>
      <c r="AI1097" s="1" t="s">
        <v>104</v>
      </c>
      <c r="AJ1097" s="1" t="s">
        <v>104</v>
      </c>
      <c r="AK1097" s="1" t="s">
        <v>104</v>
      </c>
      <c r="AL1097" s="1" t="s">
        <v>104</v>
      </c>
      <c r="AM1097" s="1" t="s">
        <v>104</v>
      </c>
      <c r="AO1097" s="1">
        <v>2</v>
      </c>
      <c r="AQ1097" s="1" t="s">
        <v>6669</v>
      </c>
      <c r="AR1097" s="1">
        <v>0</v>
      </c>
      <c r="AS1097" s="1">
        <v>0</v>
      </c>
      <c r="AT1097" s="1">
        <v>0</v>
      </c>
      <c r="AU1097" s="1">
        <v>0</v>
      </c>
      <c r="AV1097" s="1">
        <v>0</v>
      </c>
      <c r="AW1097" s="1">
        <v>0</v>
      </c>
      <c r="AX1097" s="1">
        <v>0</v>
      </c>
      <c r="AY1097" s="1">
        <v>0</v>
      </c>
      <c r="AZ1097" s="1">
        <v>0</v>
      </c>
      <c r="BA1097" s="1">
        <v>0</v>
      </c>
      <c r="BB1097" s="1">
        <v>0</v>
      </c>
      <c r="BC1097" s="1">
        <v>0</v>
      </c>
      <c r="BD1097" s="1">
        <v>0</v>
      </c>
      <c r="BE1097" s="1">
        <v>0</v>
      </c>
      <c r="BF1097" s="1">
        <v>0</v>
      </c>
      <c r="BG1097" s="1">
        <v>0</v>
      </c>
      <c r="BH1097" s="1">
        <v>0</v>
      </c>
      <c r="BI1097" s="1">
        <v>0</v>
      </c>
      <c r="BJ1097" s="1">
        <v>0</v>
      </c>
      <c r="BK1097" s="1">
        <v>0</v>
      </c>
      <c r="BL1097" s="1">
        <v>0</v>
      </c>
      <c r="BM1097" s="1">
        <v>0</v>
      </c>
      <c r="BN1097" s="1">
        <v>0</v>
      </c>
      <c r="BO1097" s="1">
        <v>0</v>
      </c>
      <c r="BP1097" s="1">
        <v>0</v>
      </c>
      <c r="BQ1097" s="2" t="str">
        <f>HYPERLINK("http://www.d20pfsrd.com/magic/all-spells/s/sculpt-simulacrum","Sculpt Simulacrum")</f>
        <v>Sculpt Simulacrum</v>
      </c>
      <c r="BR1097" s="1">
        <v>1139</v>
      </c>
      <c r="BS1097" s="1" t="s">
        <v>104</v>
      </c>
      <c r="BX1097" s="1">
        <v>0</v>
      </c>
      <c r="BY1097" s="1" t="s">
        <v>104</v>
      </c>
      <c r="BZ1097" s="1" t="s">
        <v>104</v>
      </c>
      <c r="CA1097" s="1">
        <v>2</v>
      </c>
      <c r="CB1097" s="1" t="s">
        <v>104</v>
      </c>
      <c r="CC1097" s="1" t="s">
        <v>104</v>
      </c>
      <c r="CD1097" s="1" t="s">
        <v>104</v>
      </c>
      <c r="CE1097" s="1" t="s">
        <v>104</v>
      </c>
      <c r="CF1097" s="1" t="s">
        <v>104</v>
      </c>
      <c r="CG1097" s="1" t="s">
        <v>104</v>
      </c>
      <c r="CH1097" s="1" t="s">
        <v>104</v>
      </c>
      <c r="CJ1097" s="1">
        <v>0</v>
      </c>
      <c r="CK1097" s="1">
        <v>0</v>
      </c>
      <c r="CL1097" s="1">
        <v>0</v>
      </c>
      <c r="CM1097" s="1" t="s">
        <v>104</v>
      </c>
    </row>
    <row r="1098" spans="1:91" ht="14.25" customHeight="1" x14ac:dyDescent="0.3">
      <c r="A1098" s="1" t="s">
        <v>6670</v>
      </c>
      <c r="B1098" s="1" t="s">
        <v>123</v>
      </c>
      <c r="C1098" s="1" t="s">
        <v>124</v>
      </c>
      <c r="D1098" s="1" t="s">
        <v>6034</v>
      </c>
      <c r="E1098" s="1" t="s">
        <v>6671</v>
      </c>
      <c r="F1098" s="1" t="s">
        <v>95</v>
      </c>
      <c r="G1098" s="1" t="s">
        <v>116</v>
      </c>
      <c r="H1098" s="1">
        <v>0</v>
      </c>
      <c r="I1098" s="1" t="s">
        <v>109</v>
      </c>
      <c r="L1098" s="1" t="s">
        <v>541</v>
      </c>
      <c r="M1098" s="1" t="s">
        <v>111</v>
      </c>
      <c r="N1098" s="1">
        <v>0</v>
      </c>
      <c r="O1098" s="1">
        <v>0</v>
      </c>
      <c r="P1098" s="1" t="s">
        <v>211</v>
      </c>
      <c r="Q1098" s="1" t="s">
        <v>184</v>
      </c>
      <c r="R1098" s="1" t="s">
        <v>6672</v>
      </c>
      <c r="S1098" s="1" t="s">
        <v>4201</v>
      </c>
      <c r="T1098" s="1">
        <v>1</v>
      </c>
      <c r="U1098" s="1">
        <v>1</v>
      </c>
      <c r="V1098" s="1">
        <v>0</v>
      </c>
      <c r="W1098" s="1">
        <v>0</v>
      </c>
      <c r="X1098" s="1">
        <v>0</v>
      </c>
      <c r="Y1098" s="1">
        <v>6</v>
      </c>
      <c r="Z1098" s="1">
        <v>6</v>
      </c>
      <c r="AA1098" s="1">
        <v>5</v>
      </c>
      <c r="AB1098" s="1" t="s">
        <v>104</v>
      </c>
      <c r="AC1098" s="1" t="s">
        <v>104</v>
      </c>
      <c r="AD1098" s="1">
        <v>4</v>
      </c>
      <c r="AE1098" s="1" t="s">
        <v>104</v>
      </c>
      <c r="AF1098" s="1" t="s">
        <v>104</v>
      </c>
      <c r="AG1098" s="1" t="s">
        <v>104</v>
      </c>
      <c r="AH1098" s="1" t="s">
        <v>104</v>
      </c>
      <c r="AI1098" s="1" t="s">
        <v>104</v>
      </c>
      <c r="AJ1098" s="1">
        <v>5</v>
      </c>
      <c r="AK1098" s="1" t="s">
        <v>104</v>
      </c>
      <c r="AL1098" s="1" t="s">
        <v>104</v>
      </c>
      <c r="AM1098" s="1" t="s">
        <v>104</v>
      </c>
      <c r="AO1098" s="1">
        <v>6</v>
      </c>
      <c r="AQ1098" s="1" t="s">
        <v>6673</v>
      </c>
      <c r="AR1098" s="1">
        <v>0</v>
      </c>
      <c r="AS1098" s="1">
        <v>0</v>
      </c>
      <c r="AT1098" s="1">
        <v>0</v>
      </c>
      <c r="AU1098" s="1">
        <v>0</v>
      </c>
      <c r="AV1098" s="1">
        <v>0</v>
      </c>
      <c r="AW1098" s="1">
        <v>0</v>
      </c>
      <c r="AX1098" s="1">
        <v>0</v>
      </c>
      <c r="AY1098" s="1">
        <v>0</v>
      </c>
      <c r="AZ1098" s="1">
        <v>0</v>
      </c>
      <c r="BA1098" s="1">
        <v>0</v>
      </c>
      <c r="BB1098" s="1">
        <v>1</v>
      </c>
      <c r="BC1098" s="1">
        <v>0</v>
      </c>
      <c r="BD1098" s="1">
        <v>0</v>
      </c>
      <c r="BE1098" s="1">
        <v>0</v>
      </c>
      <c r="BF1098" s="1">
        <v>0</v>
      </c>
      <c r="BG1098" s="1">
        <v>0</v>
      </c>
      <c r="BH1098" s="1">
        <v>0</v>
      </c>
      <c r="BI1098" s="1">
        <v>0</v>
      </c>
      <c r="BJ1098" s="1">
        <v>0</v>
      </c>
      <c r="BK1098" s="1">
        <v>1</v>
      </c>
      <c r="BL1098" s="1">
        <v>0</v>
      </c>
      <c r="BM1098" s="1">
        <v>0</v>
      </c>
      <c r="BN1098" s="1">
        <v>0</v>
      </c>
      <c r="BO1098" s="1">
        <v>0</v>
      </c>
      <c r="BP1098" s="1">
        <v>0</v>
      </c>
      <c r="BQ1098" s="2" t="str">
        <f>HYPERLINK("http://www.d20pfsrd.com/magic/all-spells/s/serenity","Serenity")</f>
        <v>Serenity</v>
      </c>
      <c r="BR1098" s="1">
        <v>1140</v>
      </c>
      <c r="BS1098" s="1" t="s">
        <v>104</v>
      </c>
      <c r="BU1098" s="1" t="s">
        <v>6674</v>
      </c>
      <c r="BX1098" s="1">
        <v>0</v>
      </c>
      <c r="BY1098" s="1" t="s">
        <v>104</v>
      </c>
      <c r="BZ1098" s="1" t="s">
        <v>104</v>
      </c>
      <c r="CA1098" s="1">
        <v>5</v>
      </c>
      <c r="CB1098" s="1" t="s">
        <v>104</v>
      </c>
      <c r="CC1098" s="1">
        <v>4</v>
      </c>
      <c r="CD1098" s="1" t="s">
        <v>104</v>
      </c>
      <c r="CE1098" s="1" t="s">
        <v>104</v>
      </c>
      <c r="CF1098" s="1" t="s">
        <v>104</v>
      </c>
      <c r="CG1098" s="1" t="s">
        <v>104</v>
      </c>
      <c r="CH1098" s="1" t="s">
        <v>104</v>
      </c>
      <c r="CJ1098" s="1">
        <v>0</v>
      </c>
      <c r="CK1098" s="1">
        <v>0</v>
      </c>
      <c r="CL1098" s="1">
        <v>0</v>
      </c>
      <c r="CM1098" s="1" t="s">
        <v>104</v>
      </c>
    </row>
    <row r="1099" spans="1:91" ht="14.25" customHeight="1" x14ac:dyDescent="0.3">
      <c r="A1099" s="1" t="s">
        <v>6675</v>
      </c>
      <c r="B1099" s="1" t="s">
        <v>507</v>
      </c>
      <c r="C1099" s="1" t="s">
        <v>65</v>
      </c>
      <c r="D1099" s="1" t="s">
        <v>65</v>
      </c>
      <c r="E1099" s="1" t="s">
        <v>4490</v>
      </c>
      <c r="F1099" s="1" t="s">
        <v>95</v>
      </c>
      <c r="G1099" s="1" t="s">
        <v>913</v>
      </c>
      <c r="H1099" s="1">
        <v>0</v>
      </c>
      <c r="I1099" s="1" t="s">
        <v>6262</v>
      </c>
      <c r="K1099" s="1" t="s">
        <v>6676</v>
      </c>
      <c r="M1099" s="1" t="s">
        <v>426</v>
      </c>
      <c r="N1099" s="1">
        <v>1</v>
      </c>
      <c r="O1099" s="1">
        <v>0</v>
      </c>
      <c r="P1099" s="1" t="s">
        <v>100</v>
      </c>
      <c r="Q1099" s="1" t="s">
        <v>101</v>
      </c>
      <c r="R1099" s="1" t="s">
        <v>6677</v>
      </c>
      <c r="S1099" s="1" t="s">
        <v>4201</v>
      </c>
      <c r="T1099" s="1">
        <v>1</v>
      </c>
      <c r="U1099" s="1">
        <v>1</v>
      </c>
      <c r="V1099" s="1">
        <v>1</v>
      </c>
      <c r="W1099" s="1">
        <v>0</v>
      </c>
      <c r="X1099" s="1">
        <v>0</v>
      </c>
      <c r="Y1099" s="1" t="s">
        <v>104</v>
      </c>
      <c r="Z1099" s="1" t="s">
        <v>104</v>
      </c>
      <c r="AA1099" s="1" t="s">
        <v>104</v>
      </c>
      <c r="AB1099" s="1" t="s">
        <v>104</v>
      </c>
      <c r="AC1099" s="1" t="s">
        <v>104</v>
      </c>
      <c r="AD1099" s="1">
        <v>5</v>
      </c>
      <c r="AE1099" s="1" t="s">
        <v>104</v>
      </c>
      <c r="AF1099" s="1" t="s">
        <v>104</v>
      </c>
      <c r="AG1099" s="1" t="s">
        <v>104</v>
      </c>
      <c r="AH1099" s="1" t="s">
        <v>104</v>
      </c>
      <c r="AI1099" s="1" t="s">
        <v>104</v>
      </c>
      <c r="AJ1099" s="1" t="s">
        <v>104</v>
      </c>
      <c r="AK1099" s="1" t="s">
        <v>104</v>
      </c>
      <c r="AL1099" s="1" t="s">
        <v>104</v>
      </c>
      <c r="AM1099" s="1" t="s">
        <v>104</v>
      </c>
      <c r="AO1099" s="1">
        <v>5</v>
      </c>
      <c r="AQ1099" s="1" t="s">
        <v>6678</v>
      </c>
      <c r="AR1099" s="1">
        <v>0</v>
      </c>
      <c r="AS1099" s="1">
        <v>0</v>
      </c>
      <c r="AT1099" s="1">
        <v>0</v>
      </c>
      <c r="AU1099" s="1">
        <v>0</v>
      </c>
      <c r="AV1099" s="1">
        <v>0</v>
      </c>
      <c r="AW1099" s="1">
        <v>0</v>
      </c>
      <c r="AX1099" s="1">
        <v>0</v>
      </c>
      <c r="AY1099" s="1">
        <v>0</v>
      </c>
      <c r="AZ1099" s="1">
        <v>0</v>
      </c>
      <c r="BA1099" s="1">
        <v>0</v>
      </c>
      <c r="BB1099" s="1">
        <v>0</v>
      </c>
      <c r="BC1099" s="1">
        <v>0</v>
      </c>
      <c r="BD1099" s="1">
        <v>0</v>
      </c>
      <c r="BE1099" s="1">
        <v>0</v>
      </c>
      <c r="BF1099" s="1">
        <v>0</v>
      </c>
      <c r="BG1099" s="1">
        <v>0</v>
      </c>
      <c r="BH1099" s="1">
        <v>0</v>
      </c>
      <c r="BI1099" s="1">
        <v>0</v>
      </c>
      <c r="BJ1099" s="1">
        <v>0</v>
      </c>
      <c r="BK1099" s="1">
        <v>0</v>
      </c>
      <c r="BL1099" s="1">
        <v>0</v>
      </c>
      <c r="BM1099" s="1">
        <v>0</v>
      </c>
      <c r="BN1099" s="1">
        <v>1</v>
      </c>
      <c r="BO1099" s="1">
        <v>0</v>
      </c>
      <c r="BP1099" s="1">
        <v>0</v>
      </c>
      <c r="BQ1099" s="2" t="str">
        <f>HYPERLINK("http://www.d20pfsrd.com/magic/all-spells/s/shadowbard","Shadowbard")</f>
        <v>Shadowbard</v>
      </c>
      <c r="BR1099" s="1">
        <v>1141</v>
      </c>
      <c r="BS1099" s="1" t="s">
        <v>104</v>
      </c>
      <c r="BX1099" s="1">
        <v>0</v>
      </c>
      <c r="BY1099" s="1" t="s">
        <v>104</v>
      </c>
      <c r="BZ1099" s="1" t="s">
        <v>104</v>
      </c>
      <c r="CA1099" s="1" t="s">
        <v>104</v>
      </c>
      <c r="CB1099" s="1" t="s">
        <v>104</v>
      </c>
      <c r="CC1099" s="1" t="s">
        <v>104</v>
      </c>
      <c r="CD1099" s="1" t="s">
        <v>104</v>
      </c>
      <c r="CE1099" s="1" t="s">
        <v>104</v>
      </c>
      <c r="CF1099" s="1" t="s">
        <v>104</v>
      </c>
      <c r="CG1099" s="1" t="s">
        <v>104</v>
      </c>
      <c r="CH1099" s="1" t="s">
        <v>104</v>
      </c>
      <c r="CJ1099" s="1">
        <v>0</v>
      </c>
      <c r="CK1099" s="1">
        <v>0</v>
      </c>
      <c r="CL1099" s="1">
        <v>0</v>
      </c>
      <c r="CM1099" s="1" t="s">
        <v>104</v>
      </c>
    </row>
    <row r="1100" spans="1:91" ht="14.25" customHeight="1" x14ac:dyDescent="0.3">
      <c r="A1100" s="1" t="s">
        <v>6679</v>
      </c>
      <c r="B1100" s="1" t="s">
        <v>507</v>
      </c>
      <c r="C1100" s="1" t="s">
        <v>65</v>
      </c>
      <c r="D1100" s="1" t="s">
        <v>65</v>
      </c>
      <c r="E1100" s="1" t="s">
        <v>6680</v>
      </c>
      <c r="F1100" s="1" t="s">
        <v>95</v>
      </c>
      <c r="G1100" s="1" t="s">
        <v>116</v>
      </c>
      <c r="H1100" s="1">
        <v>0</v>
      </c>
      <c r="I1100" s="1" t="s">
        <v>109</v>
      </c>
      <c r="L1100" s="1" t="s">
        <v>158</v>
      </c>
      <c r="M1100" s="1" t="s">
        <v>119</v>
      </c>
      <c r="N1100" s="1">
        <v>0</v>
      </c>
      <c r="O1100" s="1">
        <v>0</v>
      </c>
      <c r="P1100" s="1" t="s">
        <v>100</v>
      </c>
      <c r="Q1100" s="1" t="s">
        <v>101</v>
      </c>
      <c r="R1100" s="1" t="s">
        <v>6681</v>
      </c>
      <c r="S1100" s="1" t="s">
        <v>4201</v>
      </c>
      <c r="T1100" s="1">
        <v>1</v>
      </c>
      <c r="U1100" s="1">
        <v>1</v>
      </c>
      <c r="V1100" s="1">
        <v>0</v>
      </c>
      <c r="W1100" s="1">
        <v>0</v>
      </c>
      <c r="X1100" s="1">
        <v>0</v>
      </c>
      <c r="Y1100" s="1">
        <v>4</v>
      </c>
      <c r="Z1100" s="1">
        <v>4</v>
      </c>
      <c r="AA1100" s="1" t="s">
        <v>104</v>
      </c>
      <c r="AB1100" s="1" t="s">
        <v>104</v>
      </c>
      <c r="AC1100" s="1" t="s">
        <v>104</v>
      </c>
      <c r="AD1100" s="1">
        <v>4</v>
      </c>
      <c r="AE1100" s="1" t="s">
        <v>104</v>
      </c>
      <c r="AF1100" s="1" t="s">
        <v>104</v>
      </c>
      <c r="AG1100" s="1" t="s">
        <v>104</v>
      </c>
      <c r="AH1100" s="1">
        <v>4</v>
      </c>
      <c r="AI1100" s="1" t="s">
        <v>104</v>
      </c>
      <c r="AJ1100" s="1" t="s">
        <v>104</v>
      </c>
      <c r="AK1100" s="1" t="s">
        <v>104</v>
      </c>
      <c r="AL1100" s="1" t="s">
        <v>104</v>
      </c>
      <c r="AM1100" s="1" t="s">
        <v>104</v>
      </c>
      <c r="AO1100" s="1">
        <v>4</v>
      </c>
      <c r="AQ1100" s="1" t="s">
        <v>6682</v>
      </c>
      <c r="AR1100" s="1">
        <v>0</v>
      </c>
      <c r="AS1100" s="1">
        <v>0</v>
      </c>
      <c r="AT1100" s="1">
        <v>0</v>
      </c>
      <c r="AU1100" s="1">
        <v>0</v>
      </c>
      <c r="AV1100" s="1">
        <v>0</v>
      </c>
      <c r="AW1100" s="1">
        <v>0</v>
      </c>
      <c r="AX1100" s="1">
        <v>0</v>
      </c>
      <c r="AY1100" s="1">
        <v>0</v>
      </c>
      <c r="AZ1100" s="1">
        <v>0</v>
      </c>
      <c r="BA1100" s="1">
        <v>0</v>
      </c>
      <c r="BB1100" s="1">
        <v>0</v>
      </c>
      <c r="BC1100" s="1">
        <v>0</v>
      </c>
      <c r="BD1100" s="1">
        <v>0</v>
      </c>
      <c r="BE1100" s="1">
        <v>0</v>
      </c>
      <c r="BF1100" s="1">
        <v>0</v>
      </c>
      <c r="BG1100" s="1">
        <v>0</v>
      </c>
      <c r="BH1100" s="1">
        <v>0</v>
      </c>
      <c r="BI1100" s="1">
        <v>0</v>
      </c>
      <c r="BJ1100" s="1">
        <v>0</v>
      </c>
      <c r="BK1100" s="1">
        <v>0</v>
      </c>
      <c r="BL1100" s="1">
        <v>0</v>
      </c>
      <c r="BM1100" s="1">
        <v>0</v>
      </c>
      <c r="BN1100" s="1">
        <v>1</v>
      </c>
      <c r="BO1100" s="1">
        <v>0</v>
      </c>
      <c r="BP1100" s="1">
        <v>0</v>
      </c>
      <c r="BQ1100" s="2" t="str">
        <f>HYPERLINK("http://www.d20pfsrd.com/magic/all-spells/s/shadow-step","Shadow Step")</f>
        <v>Shadow Step</v>
      </c>
      <c r="BR1100" s="1">
        <v>1142</v>
      </c>
      <c r="BS1100" s="1" t="s">
        <v>104</v>
      </c>
      <c r="BX1100" s="1">
        <v>0</v>
      </c>
      <c r="BY1100" s="1" t="s">
        <v>104</v>
      </c>
      <c r="BZ1100" s="1" t="s">
        <v>104</v>
      </c>
      <c r="CA1100" s="1">
        <v>4</v>
      </c>
      <c r="CB1100" s="1" t="s">
        <v>104</v>
      </c>
      <c r="CC1100" s="1" t="s">
        <v>104</v>
      </c>
      <c r="CD1100" s="1" t="s">
        <v>104</v>
      </c>
      <c r="CE1100" s="1">
        <v>4</v>
      </c>
      <c r="CF1100" s="1" t="s">
        <v>104</v>
      </c>
      <c r="CG1100" s="1" t="s">
        <v>104</v>
      </c>
      <c r="CH1100" s="1" t="s">
        <v>104</v>
      </c>
      <c r="CJ1100" s="1">
        <v>0</v>
      </c>
      <c r="CK1100" s="1">
        <v>0</v>
      </c>
      <c r="CL1100" s="1">
        <v>0</v>
      </c>
      <c r="CM1100" s="1" t="s">
        <v>104</v>
      </c>
    </row>
    <row r="1101" spans="1:91" ht="14.25" customHeight="1" x14ac:dyDescent="0.3">
      <c r="A1101" s="1" t="s">
        <v>6683</v>
      </c>
      <c r="B1101" s="1" t="s">
        <v>507</v>
      </c>
      <c r="C1101" s="1" t="s">
        <v>65</v>
      </c>
      <c r="D1101" s="1" t="s">
        <v>65</v>
      </c>
      <c r="E1101" s="1" t="s">
        <v>6684</v>
      </c>
      <c r="F1101" s="1" t="s">
        <v>95</v>
      </c>
      <c r="G1101" s="1" t="s">
        <v>116</v>
      </c>
      <c r="H1101" s="1">
        <v>0</v>
      </c>
      <c r="I1101" s="1" t="s">
        <v>705</v>
      </c>
      <c r="K1101" s="1" t="s">
        <v>6685</v>
      </c>
      <c r="M1101" s="1" t="s">
        <v>2330</v>
      </c>
      <c r="N1101" s="1">
        <v>0</v>
      </c>
      <c r="O1101" s="1">
        <v>0</v>
      </c>
      <c r="P1101" s="1" t="s">
        <v>1894</v>
      </c>
      <c r="Q1101" s="1" t="s">
        <v>184</v>
      </c>
      <c r="R1101" s="1" t="s">
        <v>6686</v>
      </c>
      <c r="S1101" s="1" t="s">
        <v>4201</v>
      </c>
      <c r="T1101" s="1">
        <v>1</v>
      </c>
      <c r="U1101" s="1">
        <v>1</v>
      </c>
      <c r="V1101" s="1">
        <v>0</v>
      </c>
      <c r="W1101" s="1">
        <v>0</v>
      </c>
      <c r="X1101" s="1">
        <v>0</v>
      </c>
      <c r="Y1101" s="1">
        <v>1</v>
      </c>
      <c r="Z1101" s="1">
        <v>1</v>
      </c>
      <c r="AA1101" s="1" t="s">
        <v>104</v>
      </c>
      <c r="AB1101" s="1" t="s">
        <v>104</v>
      </c>
      <c r="AC1101" s="1" t="s">
        <v>104</v>
      </c>
      <c r="AD1101" s="1" t="s">
        <v>104</v>
      </c>
      <c r="AE1101" s="1" t="s">
        <v>104</v>
      </c>
      <c r="AF1101" s="1" t="s">
        <v>104</v>
      </c>
      <c r="AG1101" s="1" t="s">
        <v>104</v>
      </c>
      <c r="AH1101" s="1">
        <v>1</v>
      </c>
      <c r="AI1101" s="1" t="s">
        <v>104</v>
      </c>
      <c r="AJ1101" s="1" t="s">
        <v>104</v>
      </c>
      <c r="AK1101" s="1" t="s">
        <v>104</v>
      </c>
      <c r="AL1101" s="1" t="s">
        <v>104</v>
      </c>
      <c r="AM1101" s="1" t="s">
        <v>104</v>
      </c>
      <c r="AO1101" s="1">
        <v>1</v>
      </c>
      <c r="AQ1101" s="1" t="s">
        <v>6687</v>
      </c>
      <c r="AR1101" s="1">
        <v>0</v>
      </c>
      <c r="AS1101" s="1">
        <v>0</v>
      </c>
      <c r="AT1101" s="1">
        <v>0</v>
      </c>
      <c r="AU1101" s="1">
        <v>0</v>
      </c>
      <c r="AV1101" s="1">
        <v>0</v>
      </c>
      <c r="AW1101" s="1">
        <v>0</v>
      </c>
      <c r="AX1101" s="1">
        <v>0</v>
      </c>
      <c r="AY1101" s="1">
        <v>0</v>
      </c>
      <c r="AZ1101" s="1">
        <v>0</v>
      </c>
      <c r="BA1101" s="1">
        <v>0</v>
      </c>
      <c r="BB1101" s="1">
        <v>0</v>
      </c>
      <c r="BC1101" s="1">
        <v>0</v>
      </c>
      <c r="BD1101" s="1">
        <v>0</v>
      </c>
      <c r="BE1101" s="1">
        <v>0</v>
      </c>
      <c r="BF1101" s="1">
        <v>0</v>
      </c>
      <c r="BG1101" s="1">
        <v>0</v>
      </c>
      <c r="BH1101" s="1">
        <v>0</v>
      </c>
      <c r="BI1101" s="1">
        <v>0</v>
      </c>
      <c r="BJ1101" s="1">
        <v>0</v>
      </c>
      <c r="BK1101" s="1">
        <v>0</v>
      </c>
      <c r="BL1101" s="1">
        <v>0</v>
      </c>
      <c r="BM1101" s="1">
        <v>0</v>
      </c>
      <c r="BN1101" s="1">
        <v>1</v>
      </c>
      <c r="BO1101" s="1">
        <v>0</v>
      </c>
      <c r="BP1101" s="1">
        <v>0</v>
      </c>
      <c r="BQ1101" s="2" t="str">
        <f>HYPERLINK("http://www.d20pfsrd.com/magic/all-spells/s/shadow-weapon","Shadow Weapon")</f>
        <v>Shadow Weapon</v>
      </c>
      <c r="BR1101" s="1">
        <v>1143</v>
      </c>
      <c r="BS1101" s="1" t="s">
        <v>104</v>
      </c>
      <c r="BV1101" s="1" t="s">
        <v>6688</v>
      </c>
      <c r="BX1101" s="1">
        <v>1</v>
      </c>
      <c r="BY1101" s="1">
        <v>1</v>
      </c>
      <c r="BZ1101" s="1" t="s">
        <v>104</v>
      </c>
      <c r="CA1101" s="1">
        <v>1</v>
      </c>
      <c r="CB1101" s="1" t="s">
        <v>104</v>
      </c>
      <c r="CC1101" s="1" t="s">
        <v>104</v>
      </c>
      <c r="CD1101" s="1">
        <v>1</v>
      </c>
      <c r="CE1101" s="1" t="s">
        <v>104</v>
      </c>
      <c r="CF1101" s="1" t="s">
        <v>104</v>
      </c>
      <c r="CG1101" s="1" t="s">
        <v>104</v>
      </c>
      <c r="CH1101" s="1" t="s">
        <v>104</v>
      </c>
      <c r="CJ1101" s="1">
        <v>0</v>
      </c>
      <c r="CK1101" s="1">
        <v>0</v>
      </c>
      <c r="CL1101" s="1">
        <v>0</v>
      </c>
      <c r="CM1101" s="1" t="s">
        <v>104</v>
      </c>
    </row>
    <row r="1102" spans="1:91" ht="14.25" customHeight="1" x14ac:dyDescent="0.3">
      <c r="A1102" s="1" t="s">
        <v>6689</v>
      </c>
      <c r="B1102" s="1" t="s">
        <v>434</v>
      </c>
      <c r="D1102" s="1" t="s">
        <v>6690</v>
      </c>
      <c r="E1102" s="1" t="s">
        <v>6193</v>
      </c>
      <c r="F1102" s="1" t="s">
        <v>95</v>
      </c>
      <c r="G1102" s="1" t="s">
        <v>127</v>
      </c>
      <c r="H1102" s="1">
        <v>0</v>
      </c>
      <c r="I1102" s="1" t="s">
        <v>117</v>
      </c>
      <c r="K1102" s="1" t="s">
        <v>6691</v>
      </c>
      <c r="M1102" s="1" t="s">
        <v>6692</v>
      </c>
      <c r="N1102" s="1">
        <v>0</v>
      </c>
      <c r="O1102" s="1">
        <v>0</v>
      </c>
      <c r="P1102" s="1" t="s">
        <v>5901</v>
      </c>
      <c r="Q1102" s="1" t="s">
        <v>184</v>
      </c>
      <c r="R1102" s="1" t="s">
        <v>6693</v>
      </c>
      <c r="S1102" s="1" t="s">
        <v>4201</v>
      </c>
      <c r="T1102" s="1">
        <v>1</v>
      </c>
      <c r="U1102" s="1">
        <v>1</v>
      </c>
      <c r="V1102" s="1">
        <v>0</v>
      </c>
      <c r="W1102" s="1">
        <v>0</v>
      </c>
      <c r="X1102" s="1">
        <v>1</v>
      </c>
      <c r="Y1102" s="1" t="s">
        <v>104</v>
      </c>
      <c r="Z1102" s="1" t="s">
        <v>104</v>
      </c>
      <c r="AA1102" s="1">
        <v>2</v>
      </c>
      <c r="AB1102" s="1" t="s">
        <v>104</v>
      </c>
      <c r="AC1102" s="1" t="s">
        <v>104</v>
      </c>
      <c r="AD1102" s="1" t="s">
        <v>104</v>
      </c>
      <c r="AE1102" s="1" t="s">
        <v>104</v>
      </c>
      <c r="AF1102" s="1" t="s">
        <v>104</v>
      </c>
      <c r="AG1102" s="1" t="s">
        <v>104</v>
      </c>
      <c r="AH1102" s="1" t="s">
        <v>104</v>
      </c>
      <c r="AI1102" s="1" t="s">
        <v>104</v>
      </c>
      <c r="AJ1102" s="1">
        <v>2</v>
      </c>
      <c r="AK1102" s="1" t="s">
        <v>104</v>
      </c>
      <c r="AL1102" s="1" t="s">
        <v>104</v>
      </c>
      <c r="AM1102" s="1" t="s">
        <v>104</v>
      </c>
      <c r="AO1102" s="1">
        <v>2</v>
      </c>
      <c r="AQ1102" s="1" t="s">
        <v>6694</v>
      </c>
      <c r="AR1102" s="1">
        <v>0</v>
      </c>
      <c r="AS1102" s="1">
        <v>0</v>
      </c>
      <c r="AT1102" s="1">
        <v>0</v>
      </c>
      <c r="AU1102" s="1">
        <v>0</v>
      </c>
      <c r="AV1102" s="1">
        <v>0</v>
      </c>
      <c r="AW1102" s="1">
        <v>0</v>
      </c>
      <c r="AX1102" s="1">
        <v>0</v>
      </c>
      <c r="AY1102" s="1">
        <v>0</v>
      </c>
      <c r="AZ1102" s="1">
        <v>0</v>
      </c>
      <c r="BA1102" s="1">
        <v>0</v>
      </c>
      <c r="BB1102" s="1">
        <v>0</v>
      </c>
      <c r="BC1102" s="1">
        <v>0</v>
      </c>
      <c r="BD1102" s="1">
        <v>0</v>
      </c>
      <c r="BE1102" s="1">
        <v>0</v>
      </c>
      <c r="BF1102" s="1">
        <v>0</v>
      </c>
      <c r="BG1102" s="1">
        <v>0</v>
      </c>
      <c r="BH1102" s="1">
        <v>0</v>
      </c>
      <c r="BI1102" s="1">
        <v>0</v>
      </c>
      <c r="BJ1102" s="1">
        <v>0</v>
      </c>
      <c r="BK1102" s="1">
        <v>0</v>
      </c>
      <c r="BL1102" s="1">
        <v>0</v>
      </c>
      <c r="BM1102" s="1">
        <v>0</v>
      </c>
      <c r="BN1102" s="1">
        <v>0</v>
      </c>
      <c r="BO1102" s="1">
        <v>0</v>
      </c>
      <c r="BP1102" s="1">
        <v>0</v>
      </c>
      <c r="BQ1102" s="2" t="str">
        <f>HYPERLINK("http://www.d20pfsrd.com/magic/all-spells/s/shard-of-chaos","Shard of Chaos")</f>
        <v>Shard of Chaos</v>
      </c>
      <c r="BR1102" s="1">
        <v>1144</v>
      </c>
      <c r="BS1102" s="1" t="s">
        <v>104</v>
      </c>
      <c r="BX1102" s="1">
        <v>0</v>
      </c>
      <c r="BY1102" s="1" t="s">
        <v>104</v>
      </c>
      <c r="BZ1102" s="1" t="s">
        <v>104</v>
      </c>
      <c r="CA1102" s="1" t="s">
        <v>104</v>
      </c>
      <c r="CB1102" s="1" t="s">
        <v>104</v>
      </c>
      <c r="CC1102" s="1" t="s">
        <v>104</v>
      </c>
      <c r="CD1102" s="1" t="s">
        <v>104</v>
      </c>
      <c r="CE1102" s="1" t="s">
        <v>104</v>
      </c>
      <c r="CF1102" s="1" t="s">
        <v>104</v>
      </c>
      <c r="CG1102" s="1" t="s">
        <v>104</v>
      </c>
      <c r="CH1102" s="1" t="s">
        <v>104</v>
      </c>
      <c r="CJ1102" s="1">
        <v>0</v>
      </c>
      <c r="CK1102" s="1">
        <v>0</v>
      </c>
      <c r="CL1102" s="1">
        <v>0</v>
      </c>
      <c r="CM1102" s="1" t="s">
        <v>104</v>
      </c>
    </row>
    <row r="1103" spans="1:91" ht="14.25" customHeight="1" x14ac:dyDescent="0.3">
      <c r="A1103" s="1" t="s">
        <v>6695</v>
      </c>
      <c r="B1103" s="1" t="s">
        <v>172</v>
      </c>
      <c r="E1103" s="1" t="s">
        <v>6696</v>
      </c>
      <c r="F1103" s="1" t="s">
        <v>95</v>
      </c>
      <c r="G1103" s="1" t="s">
        <v>116</v>
      </c>
      <c r="H1103" s="1">
        <v>0</v>
      </c>
      <c r="I1103" s="1" t="s">
        <v>128</v>
      </c>
      <c r="L1103" s="1" t="s">
        <v>6697</v>
      </c>
      <c r="M1103" s="1" t="s">
        <v>119</v>
      </c>
      <c r="N1103" s="1">
        <v>0</v>
      </c>
      <c r="O1103" s="1">
        <v>0</v>
      </c>
      <c r="P1103" s="1" t="s">
        <v>211</v>
      </c>
      <c r="Q1103" s="1" t="s">
        <v>184</v>
      </c>
      <c r="R1103" s="1" t="s">
        <v>6698</v>
      </c>
      <c r="S1103" s="1" t="s">
        <v>4201</v>
      </c>
      <c r="T1103" s="1">
        <v>1</v>
      </c>
      <c r="U1103" s="1">
        <v>1</v>
      </c>
      <c r="V1103" s="1">
        <v>0</v>
      </c>
      <c r="W1103" s="1">
        <v>0</v>
      </c>
      <c r="X1103" s="1">
        <v>0</v>
      </c>
      <c r="Y1103" s="1">
        <v>2</v>
      </c>
      <c r="Z1103" s="1">
        <v>2</v>
      </c>
      <c r="AA1103" s="1" t="s">
        <v>104</v>
      </c>
      <c r="AB1103" s="1" t="s">
        <v>104</v>
      </c>
      <c r="AC1103" s="1" t="s">
        <v>104</v>
      </c>
      <c r="AD1103" s="1">
        <v>2</v>
      </c>
      <c r="AE1103" s="1" t="s">
        <v>104</v>
      </c>
      <c r="AF1103" s="1" t="s">
        <v>104</v>
      </c>
      <c r="AG1103" s="1" t="s">
        <v>104</v>
      </c>
      <c r="AH1103" s="1">
        <v>2</v>
      </c>
      <c r="AI1103" s="1" t="s">
        <v>104</v>
      </c>
      <c r="AJ1103" s="1" t="s">
        <v>104</v>
      </c>
      <c r="AK1103" s="1" t="s">
        <v>104</v>
      </c>
      <c r="AL1103" s="1" t="s">
        <v>104</v>
      </c>
      <c r="AM1103" s="1" t="s">
        <v>104</v>
      </c>
      <c r="AO1103" s="1">
        <v>2</v>
      </c>
      <c r="AQ1103" s="1" t="s">
        <v>6699</v>
      </c>
      <c r="AR1103" s="1">
        <v>0</v>
      </c>
      <c r="AS1103" s="1">
        <v>0</v>
      </c>
      <c r="AT1103" s="1">
        <v>0</v>
      </c>
      <c r="AU1103" s="1">
        <v>0</v>
      </c>
      <c r="AV1103" s="1">
        <v>0</v>
      </c>
      <c r="AW1103" s="1">
        <v>0</v>
      </c>
      <c r="AX1103" s="1">
        <v>0</v>
      </c>
      <c r="AY1103" s="1">
        <v>0</v>
      </c>
      <c r="AZ1103" s="1">
        <v>0</v>
      </c>
      <c r="BA1103" s="1">
        <v>0</v>
      </c>
      <c r="BB1103" s="1">
        <v>0</v>
      </c>
      <c r="BC1103" s="1">
        <v>0</v>
      </c>
      <c r="BD1103" s="1">
        <v>0</v>
      </c>
      <c r="BE1103" s="1">
        <v>0</v>
      </c>
      <c r="BF1103" s="1">
        <v>0</v>
      </c>
      <c r="BG1103" s="1">
        <v>0</v>
      </c>
      <c r="BH1103" s="1">
        <v>0</v>
      </c>
      <c r="BI1103" s="1">
        <v>0</v>
      </c>
      <c r="BJ1103" s="1">
        <v>0</v>
      </c>
      <c r="BK1103" s="1">
        <v>0</v>
      </c>
      <c r="BL1103" s="1">
        <v>0</v>
      </c>
      <c r="BM1103" s="1">
        <v>0</v>
      </c>
      <c r="BN1103" s="1">
        <v>0</v>
      </c>
      <c r="BO1103" s="1">
        <v>0</v>
      </c>
      <c r="BP1103" s="1">
        <v>0</v>
      </c>
      <c r="BQ1103" s="2" t="str">
        <f>HYPERLINK("http://www.d20pfsrd.com/magic/all-spells/s/share-memory","Share Memory")</f>
        <v>Share Memory</v>
      </c>
      <c r="BR1103" s="1">
        <v>1145</v>
      </c>
      <c r="BS1103" s="1" t="s">
        <v>104</v>
      </c>
      <c r="BX1103" s="1">
        <v>0</v>
      </c>
      <c r="BY1103" s="1" t="s">
        <v>104</v>
      </c>
      <c r="BZ1103" s="1" t="s">
        <v>104</v>
      </c>
      <c r="CA1103" s="1">
        <v>2</v>
      </c>
      <c r="CB1103" s="1">
        <v>2</v>
      </c>
      <c r="CC1103" s="1">
        <v>2</v>
      </c>
      <c r="CD1103" s="1">
        <v>2</v>
      </c>
      <c r="CE1103" s="1" t="s">
        <v>104</v>
      </c>
      <c r="CF1103" s="1" t="s">
        <v>104</v>
      </c>
      <c r="CG1103" s="1" t="s">
        <v>104</v>
      </c>
      <c r="CH1103" s="1" t="s">
        <v>104</v>
      </c>
      <c r="CJ1103" s="1">
        <v>0</v>
      </c>
      <c r="CK1103" s="1">
        <v>0</v>
      </c>
      <c r="CL1103" s="1">
        <v>0</v>
      </c>
      <c r="CM1103" s="1" t="s">
        <v>104</v>
      </c>
    </row>
    <row r="1104" spans="1:91" ht="14.25" customHeight="1" x14ac:dyDescent="0.3">
      <c r="A1104" s="1" t="s">
        <v>6700</v>
      </c>
      <c r="B1104" s="1" t="s">
        <v>507</v>
      </c>
      <c r="C1104" s="1" t="s">
        <v>65</v>
      </c>
      <c r="E1104" s="1" t="s">
        <v>6701</v>
      </c>
      <c r="F1104" s="1" t="s">
        <v>273</v>
      </c>
      <c r="G1104" s="1" t="s">
        <v>6702</v>
      </c>
      <c r="H1104" s="1">
        <v>1</v>
      </c>
      <c r="I1104" s="1" t="s">
        <v>705</v>
      </c>
      <c r="K1104" s="1" t="s">
        <v>3427</v>
      </c>
      <c r="M1104" s="1" t="s">
        <v>201</v>
      </c>
      <c r="N1104" s="1">
        <v>0</v>
      </c>
      <c r="O1104" s="1">
        <v>0</v>
      </c>
      <c r="P1104" s="1" t="s">
        <v>100</v>
      </c>
      <c r="Q1104" s="1" t="s">
        <v>101</v>
      </c>
      <c r="R1104" s="1" t="s">
        <v>6703</v>
      </c>
      <c r="S1104" s="1" t="s">
        <v>4201</v>
      </c>
      <c r="T1104" s="1">
        <v>1</v>
      </c>
      <c r="U1104" s="1">
        <v>1</v>
      </c>
      <c r="V1104" s="1">
        <v>1</v>
      </c>
      <c r="W1104" s="1">
        <v>0</v>
      </c>
      <c r="X1104" s="1">
        <v>0</v>
      </c>
      <c r="Y1104" s="1">
        <v>4</v>
      </c>
      <c r="Z1104" s="1">
        <v>4</v>
      </c>
      <c r="AA1104" s="1" t="s">
        <v>104</v>
      </c>
      <c r="AB1104" s="1" t="s">
        <v>104</v>
      </c>
      <c r="AC1104" s="1" t="s">
        <v>104</v>
      </c>
      <c r="AD1104" s="1" t="s">
        <v>104</v>
      </c>
      <c r="AE1104" s="1" t="s">
        <v>104</v>
      </c>
      <c r="AF1104" s="1" t="s">
        <v>104</v>
      </c>
      <c r="AG1104" s="1" t="s">
        <v>104</v>
      </c>
      <c r="AH1104" s="1" t="s">
        <v>104</v>
      </c>
      <c r="AI1104" s="1" t="s">
        <v>104</v>
      </c>
      <c r="AJ1104" s="1" t="s">
        <v>104</v>
      </c>
      <c r="AK1104" s="1" t="s">
        <v>104</v>
      </c>
      <c r="AL1104" s="1" t="s">
        <v>104</v>
      </c>
      <c r="AM1104" s="1" t="s">
        <v>104</v>
      </c>
      <c r="AO1104" s="1">
        <v>4</v>
      </c>
      <c r="AQ1104" s="1" t="s">
        <v>6704</v>
      </c>
      <c r="AR1104" s="1">
        <v>0</v>
      </c>
      <c r="AS1104" s="1">
        <v>0</v>
      </c>
      <c r="AT1104" s="1">
        <v>0</v>
      </c>
      <c r="AU1104" s="1">
        <v>0</v>
      </c>
      <c r="AV1104" s="1">
        <v>0</v>
      </c>
      <c r="AW1104" s="1">
        <v>0</v>
      </c>
      <c r="AX1104" s="1">
        <v>0</v>
      </c>
      <c r="AY1104" s="1">
        <v>0</v>
      </c>
      <c r="AZ1104" s="1">
        <v>0</v>
      </c>
      <c r="BA1104" s="1">
        <v>0</v>
      </c>
      <c r="BB1104" s="1">
        <v>0</v>
      </c>
      <c r="BC1104" s="1">
        <v>0</v>
      </c>
      <c r="BD1104" s="1">
        <v>0</v>
      </c>
      <c r="BE1104" s="1">
        <v>0</v>
      </c>
      <c r="BF1104" s="1">
        <v>0</v>
      </c>
      <c r="BG1104" s="1">
        <v>0</v>
      </c>
      <c r="BH1104" s="1">
        <v>0</v>
      </c>
      <c r="BI1104" s="1">
        <v>0</v>
      </c>
      <c r="BJ1104" s="1">
        <v>0</v>
      </c>
      <c r="BK1104" s="1">
        <v>0</v>
      </c>
      <c r="BL1104" s="1">
        <v>0</v>
      </c>
      <c r="BM1104" s="1">
        <v>0</v>
      </c>
      <c r="BN1104" s="1">
        <v>0</v>
      </c>
      <c r="BO1104" s="1">
        <v>0</v>
      </c>
      <c r="BP1104" s="1">
        <v>0</v>
      </c>
      <c r="BQ1104" s="2" t="str">
        <f>HYPERLINK("http://www.d20pfsrd.com/magic/all-spells/s/simulacrum","Simulacrum, Lesser")</f>
        <v>Simulacrum, Lesser</v>
      </c>
      <c r="BR1104" s="1">
        <v>1146</v>
      </c>
      <c r="BS1104" s="1">
        <v>50</v>
      </c>
      <c r="BX1104" s="1">
        <v>0</v>
      </c>
      <c r="BY1104" s="1" t="s">
        <v>104</v>
      </c>
      <c r="BZ1104" s="1" t="s">
        <v>104</v>
      </c>
      <c r="CA1104" s="1">
        <v>4</v>
      </c>
      <c r="CB1104" s="1" t="s">
        <v>104</v>
      </c>
      <c r="CC1104" s="1" t="s">
        <v>104</v>
      </c>
      <c r="CD1104" s="1" t="s">
        <v>104</v>
      </c>
      <c r="CE1104" s="1" t="s">
        <v>104</v>
      </c>
      <c r="CF1104" s="1" t="s">
        <v>104</v>
      </c>
      <c r="CG1104" s="1" t="s">
        <v>104</v>
      </c>
      <c r="CH1104" s="1" t="s">
        <v>104</v>
      </c>
      <c r="CJ1104" s="1">
        <v>0</v>
      </c>
      <c r="CK1104" s="1">
        <v>0</v>
      </c>
      <c r="CL1104" s="1">
        <v>0</v>
      </c>
      <c r="CM1104" s="1" t="s">
        <v>104</v>
      </c>
    </row>
    <row r="1105" spans="1:91" ht="14.25" customHeight="1" x14ac:dyDescent="0.3">
      <c r="A1105" s="1" t="s">
        <v>6705</v>
      </c>
      <c r="B1105" s="1" t="s">
        <v>216</v>
      </c>
      <c r="E1105" s="1" t="s">
        <v>6706</v>
      </c>
      <c r="F1105" s="1" t="s">
        <v>191</v>
      </c>
      <c r="G1105" s="1" t="s">
        <v>116</v>
      </c>
      <c r="H1105" s="1">
        <v>0</v>
      </c>
      <c r="I1105" s="1" t="s">
        <v>157</v>
      </c>
      <c r="L1105" s="1" t="s">
        <v>158</v>
      </c>
      <c r="M1105" s="1" t="s">
        <v>620</v>
      </c>
      <c r="N1105" s="1">
        <v>1</v>
      </c>
      <c r="O1105" s="1">
        <v>0</v>
      </c>
      <c r="R1105" s="1" t="s">
        <v>6707</v>
      </c>
      <c r="S1105" s="1" t="s">
        <v>4201</v>
      </c>
      <c r="T1105" s="1">
        <v>1</v>
      </c>
      <c r="U1105" s="1">
        <v>1</v>
      </c>
      <c r="V1105" s="1">
        <v>0</v>
      </c>
      <c r="W1105" s="1">
        <v>0</v>
      </c>
      <c r="X1105" s="1">
        <v>0</v>
      </c>
      <c r="Y1105" s="1">
        <v>2</v>
      </c>
      <c r="Z1105" s="1">
        <v>2</v>
      </c>
      <c r="AA1105" s="1" t="s">
        <v>104</v>
      </c>
      <c r="AB1105" s="1" t="s">
        <v>104</v>
      </c>
      <c r="AC1105" s="1" t="s">
        <v>104</v>
      </c>
      <c r="AD1105" s="1" t="s">
        <v>104</v>
      </c>
      <c r="AE1105" s="1" t="s">
        <v>104</v>
      </c>
      <c r="AF1105" s="1">
        <v>2</v>
      </c>
      <c r="AG1105" s="1" t="s">
        <v>104</v>
      </c>
      <c r="AH1105" s="1">
        <v>2</v>
      </c>
      <c r="AI1105" s="1" t="s">
        <v>104</v>
      </c>
      <c r="AJ1105" s="1" t="s">
        <v>104</v>
      </c>
      <c r="AK1105" s="1" t="s">
        <v>104</v>
      </c>
      <c r="AL1105" s="1" t="s">
        <v>104</v>
      </c>
      <c r="AM1105" s="1" t="s">
        <v>104</v>
      </c>
      <c r="AO1105" s="1">
        <v>2</v>
      </c>
      <c r="AQ1105" s="1" t="s">
        <v>6708</v>
      </c>
      <c r="AR1105" s="1">
        <v>0</v>
      </c>
      <c r="AS1105" s="1">
        <v>0</v>
      </c>
      <c r="AT1105" s="1">
        <v>0</v>
      </c>
      <c r="AU1105" s="1">
        <v>0</v>
      </c>
      <c r="AV1105" s="1">
        <v>0</v>
      </c>
      <c r="AW1105" s="1">
        <v>0</v>
      </c>
      <c r="AX1105" s="1">
        <v>0</v>
      </c>
      <c r="AY1105" s="1">
        <v>0</v>
      </c>
      <c r="AZ1105" s="1">
        <v>0</v>
      </c>
      <c r="BA1105" s="1">
        <v>0</v>
      </c>
      <c r="BB1105" s="1">
        <v>0</v>
      </c>
      <c r="BC1105" s="1">
        <v>0</v>
      </c>
      <c r="BD1105" s="1">
        <v>0</v>
      </c>
      <c r="BE1105" s="1">
        <v>0</v>
      </c>
      <c r="BF1105" s="1">
        <v>0</v>
      </c>
      <c r="BG1105" s="1">
        <v>0</v>
      </c>
      <c r="BH1105" s="1">
        <v>0</v>
      </c>
      <c r="BI1105" s="1">
        <v>0</v>
      </c>
      <c r="BJ1105" s="1">
        <v>0</v>
      </c>
      <c r="BK1105" s="1">
        <v>0</v>
      </c>
      <c r="BL1105" s="1">
        <v>0</v>
      </c>
      <c r="BM1105" s="1">
        <v>0</v>
      </c>
      <c r="BN1105" s="1">
        <v>0</v>
      </c>
      <c r="BO1105" s="1">
        <v>0</v>
      </c>
      <c r="BP1105" s="1">
        <v>0</v>
      </c>
      <c r="BQ1105" s="2" t="str">
        <f>HYPERLINK("http://www.d20pfsrd.com/magic/all-spells/s/skinsend","Skinsend")</f>
        <v>Skinsend</v>
      </c>
      <c r="BR1105" s="1">
        <v>1147</v>
      </c>
      <c r="BS1105" s="1" t="s">
        <v>104</v>
      </c>
      <c r="BX1105" s="1">
        <v>0</v>
      </c>
      <c r="BY1105" s="1" t="s">
        <v>104</v>
      </c>
      <c r="BZ1105" s="1" t="s">
        <v>104</v>
      </c>
      <c r="CA1105" s="1">
        <v>2</v>
      </c>
      <c r="CB1105" s="1" t="s">
        <v>104</v>
      </c>
      <c r="CC1105" s="1" t="s">
        <v>104</v>
      </c>
      <c r="CD1105" s="1">
        <v>2</v>
      </c>
      <c r="CE1105" s="1" t="s">
        <v>104</v>
      </c>
      <c r="CF1105" s="1" t="s">
        <v>104</v>
      </c>
      <c r="CG1105" s="1" t="s">
        <v>104</v>
      </c>
      <c r="CH1105" s="1" t="s">
        <v>104</v>
      </c>
      <c r="CJ1105" s="1">
        <v>0</v>
      </c>
      <c r="CK1105" s="1">
        <v>0</v>
      </c>
      <c r="CL1105" s="1">
        <v>0</v>
      </c>
      <c r="CM1105" s="1" t="s">
        <v>104</v>
      </c>
    </row>
    <row r="1106" spans="1:91" ht="14.25" customHeight="1" x14ac:dyDescent="0.3">
      <c r="A1106" s="1" t="s">
        <v>6709</v>
      </c>
      <c r="B1106" s="1" t="s">
        <v>123</v>
      </c>
      <c r="C1106" s="1" t="s">
        <v>124</v>
      </c>
      <c r="D1106" s="1" t="s">
        <v>6034</v>
      </c>
      <c r="E1106" s="1" t="s">
        <v>6710</v>
      </c>
      <c r="F1106" s="1" t="s">
        <v>95</v>
      </c>
      <c r="G1106" s="1" t="s">
        <v>6711</v>
      </c>
      <c r="H1106" s="1">
        <v>0</v>
      </c>
      <c r="I1106" s="1" t="s">
        <v>117</v>
      </c>
      <c r="L1106" s="1" t="s">
        <v>1065</v>
      </c>
      <c r="M1106" s="1" t="s">
        <v>6174</v>
      </c>
      <c r="N1106" s="1">
        <v>1</v>
      </c>
      <c r="O1106" s="1">
        <v>0</v>
      </c>
      <c r="P1106" s="1" t="s">
        <v>211</v>
      </c>
      <c r="Q1106" s="1" t="s">
        <v>184</v>
      </c>
      <c r="R1106" s="1" t="s">
        <v>6712</v>
      </c>
      <c r="S1106" s="1" t="s">
        <v>4201</v>
      </c>
      <c r="T1106" s="1">
        <v>1</v>
      </c>
      <c r="U1106" s="1">
        <v>1</v>
      </c>
      <c r="V1106" s="1">
        <v>1</v>
      </c>
      <c r="W1106" s="1">
        <v>0</v>
      </c>
      <c r="X1106" s="1">
        <v>0</v>
      </c>
      <c r="Y1106" s="1">
        <v>5</v>
      </c>
      <c r="Z1106" s="1">
        <v>5</v>
      </c>
      <c r="AA1106" s="1" t="s">
        <v>104</v>
      </c>
      <c r="AB1106" s="1" t="s">
        <v>104</v>
      </c>
      <c r="AC1106" s="1" t="s">
        <v>104</v>
      </c>
      <c r="AD1106" s="1">
        <v>3</v>
      </c>
      <c r="AE1106" s="1" t="s">
        <v>104</v>
      </c>
      <c r="AF1106" s="1" t="s">
        <v>104</v>
      </c>
      <c r="AG1106" s="1" t="s">
        <v>104</v>
      </c>
      <c r="AH1106" s="1">
        <v>5</v>
      </c>
      <c r="AI1106" s="1" t="s">
        <v>104</v>
      </c>
      <c r="AJ1106" s="1" t="s">
        <v>104</v>
      </c>
      <c r="AK1106" s="1" t="s">
        <v>104</v>
      </c>
      <c r="AL1106" s="1" t="s">
        <v>104</v>
      </c>
      <c r="AM1106" s="1" t="s">
        <v>104</v>
      </c>
      <c r="AO1106" s="1">
        <v>5</v>
      </c>
      <c r="AQ1106" s="1" t="s">
        <v>6713</v>
      </c>
      <c r="AR1106" s="1">
        <v>0</v>
      </c>
      <c r="AS1106" s="1">
        <v>0</v>
      </c>
      <c r="AT1106" s="1">
        <v>0</v>
      </c>
      <c r="AU1106" s="1">
        <v>0</v>
      </c>
      <c r="AV1106" s="1">
        <v>0</v>
      </c>
      <c r="AW1106" s="1">
        <v>0</v>
      </c>
      <c r="AX1106" s="1">
        <v>0</v>
      </c>
      <c r="AY1106" s="1">
        <v>0</v>
      </c>
      <c r="AZ1106" s="1">
        <v>0</v>
      </c>
      <c r="BA1106" s="1">
        <v>0</v>
      </c>
      <c r="BB1106" s="1">
        <v>1</v>
      </c>
      <c r="BC1106" s="1">
        <v>0</v>
      </c>
      <c r="BD1106" s="1">
        <v>0</v>
      </c>
      <c r="BE1106" s="1">
        <v>0</v>
      </c>
      <c r="BF1106" s="1">
        <v>0</v>
      </c>
      <c r="BG1106" s="1">
        <v>0</v>
      </c>
      <c r="BH1106" s="1">
        <v>0</v>
      </c>
      <c r="BI1106" s="1">
        <v>0</v>
      </c>
      <c r="BJ1106" s="1">
        <v>0</v>
      </c>
      <c r="BK1106" s="1">
        <v>1</v>
      </c>
      <c r="BL1106" s="1">
        <v>0</v>
      </c>
      <c r="BM1106" s="1">
        <v>0</v>
      </c>
      <c r="BN1106" s="1">
        <v>0</v>
      </c>
      <c r="BO1106" s="1">
        <v>0</v>
      </c>
      <c r="BP1106" s="1">
        <v>0</v>
      </c>
      <c r="BQ1106" s="2" t="str">
        <f>HYPERLINK("http://www.d20pfsrd.com/magic/all-spells/s/smug-narcissism","Smug Narcissism")</f>
        <v>Smug Narcissism</v>
      </c>
      <c r="BR1106" s="1">
        <v>1148</v>
      </c>
      <c r="BS1106" s="1" t="s">
        <v>104</v>
      </c>
      <c r="BX1106" s="1">
        <v>0</v>
      </c>
      <c r="BY1106" s="1" t="s">
        <v>104</v>
      </c>
      <c r="BZ1106" s="1" t="s">
        <v>104</v>
      </c>
      <c r="CA1106" s="1">
        <v>5</v>
      </c>
      <c r="CB1106" s="1" t="s">
        <v>104</v>
      </c>
      <c r="CC1106" s="1">
        <v>3</v>
      </c>
      <c r="CD1106" s="1" t="s">
        <v>104</v>
      </c>
      <c r="CE1106" s="1" t="s">
        <v>104</v>
      </c>
      <c r="CF1106" s="1" t="s">
        <v>104</v>
      </c>
      <c r="CG1106" s="1" t="s">
        <v>104</v>
      </c>
      <c r="CH1106" s="1" t="s">
        <v>104</v>
      </c>
      <c r="CJ1106" s="1">
        <v>0</v>
      </c>
      <c r="CK1106" s="1">
        <v>0</v>
      </c>
      <c r="CL1106" s="1">
        <v>0</v>
      </c>
      <c r="CM1106" s="1" t="s">
        <v>104</v>
      </c>
    </row>
    <row r="1107" spans="1:91" ht="14.25" customHeight="1" x14ac:dyDescent="0.3">
      <c r="A1107" s="1" t="s">
        <v>6714</v>
      </c>
      <c r="B1107" s="1" t="s">
        <v>137</v>
      </c>
      <c r="D1107" s="1" t="s">
        <v>4617</v>
      </c>
      <c r="E1107" s="1" t="s">
        <v>6715</v>
      </c>
      <c r="F1107" s="1" t="s">
        <v>95</v>
      </c>
      <c r="G1107" s="1" t="s">
        <v>6716</v>
      </c>
      <c r="H1107" s="1">
        <v>0</v>
      </c>
      <c r="I1107" s="1" t="s">
        <v>97</v>
      </c>
      <c r="K1107" s="1" t="s">
        <v>6717</v>
      </c>
      <c r="M1107" s="1" t="s">
        <v>111</v>
      </c>
      <c r="N1107" s="1">
        <v>0</v>
      </c>
      <c r="O1107" s="1">
        <v>0</v>
      </c>
      <c r="P1107" s="1" t="s">
        <v>1605</v>
      </c>
      <c r="Q1107" s="1" t="s">
        <v>184</v>
      </c>
      <c r="R1107" s="1" t="s">
        <v>6718</v>
      </c>
      <c r="S1107" s="1" t="s">
        <v>4201</v>
      </c>
      <c r="T1107" s="1">
        <v>1</v>
      </c>
      <c r="U1107" s="1">
        <v>1</v>
      </c>
      <c r="V1107" s="1">
        <v>1</v>
      </c>
      <c r="W1107" s="1">
        <v>0</v>
      </c>
      <c r="X1107" s="1">
        <v>0</v>
      </c>
      <c r="Y1107" s="1">
        <v>1</v>
      </c>
      <c r="Z1107" s="1">
        <v>1</v>
      </c>
      <c r="AA1107" s="1" t="s">
        <v>104</v>
      </c>
      <c r="AB1107" s="1" t="s">
        <v>104</v>
      </c>
      <c r="AC1107" s="1" t="s">
        <v>104</v>
      </c>
      <c r="AD1107" s="1">
        <v>2</v>
      </c>
      <c r="AE1107" s="1" t="s">
        <v>104</v>
      </c>
      <c r="AF1107" s="1" t="s">
        <v>104</v>
      </c>
      <c r="AG1107" s="1" t="s">
        <v>104</v>
      </c>
      <c r="AH1107" s="1" t="s">
        <v>104</v>
      </c>
      <c r="AI1107" s="1" t="s">
        <v>104</v>
      </c>
      <c r="AJ1107" s="1" t="s">
        <v>104</v>
      </c>
      <c r="AK1107" s="1" t="s">
        <v>104</v>
      </c>
      <c r="AL1107" s="1" t="s">
        <v>104</v>
      </c>
      <c r="AM1107" s="1" t="s">
        <v>104</v>
      </c>
      <c r="AO1107" s="1">
        <v>1</v>
      </c>
      <c r="AQ1107" s="1" t="s">
        <v>6719</v>
      </c>
      <c r="AR1107" s="1">
        <v>0</v>
      </c>
      <c r="AS1107" s="1">
        <v>0</v>
      </c>
      <c r="AT1107" s="1">
        <v>0</v>
      </c>
      <c r="AU1107" s="1">
        <v>0</v>
      </c>
      <c r="AV1107" s="1">
        <v>0</v>
      </c>
      <c r="AW1107" s="1">
        <v>0</v>
      </c>
      <c r="AX1107" s="1">
        <v>0</v>
      </c>
      <c r="AY1107" s="1">
        <v>0</v>
      </c>
      <c r="AZ1107" s="1">
        <v>0</v>
      </c>
      <c r="BA1107" s="1">
        <v>0</v>
      </c>
      <c r="BB1107" s="1">
        <v>0</v>
      </c>
      <c r="BC1107" s="1">
        <v>0</v>
      </c>
      <c r="BD1107" s="1">
        <v>0</v>
      </c>
      <c r="BE1107" s="1">
        <v>1</v>
      </c>
      <c r="BF1107" s="1">
        <v>0</v>
      </c>
      <c r="BG1107" s="1">
        <v>0</v>
      </c>
      <c r="BH1107" s="1">
        <v>0</v>
      </c>
      <c r="BI1107" s="1">
        <v>0</v>
      </c>
      <c r="BJ1107" s="1">
        <v>1</v>
      </c>
      <c r="BK1107" s="1">
        <v>0</v>
      </c>
      <c r="BL1107" s="1">
        <v>0</v>
      </c>
      <c r="BM1107" s="1">
        <v>0</v>
      </c>
      <c r="BN1107" s="1">
        <v>0</v>
      </c>
      <c r="BO1107" s="1">
        <v>0</v>
      </c>
      <c r="BP1107" s="1">
        <v>0</v>
      </c>
      <c r="BQ1107" s="2" t="str">
        <f>HYPERLINK("http://www.d20pfsrd.com/magic/all-spells/s/snapdragon-fireworks","Snapdragon Fireworks")</f>
        <v>Snapdragon Fireworks</v>
      </c>
      <c r="BR1107" s="1">
        <v>1149</v>
      </c>
      <c r="BS1107" s="1" t="s">
        <v>104</v>
      </c>
      <c r="BX1107" s="1">
        <v>0</v>
      </c>
      <c r="BY1107" s="1" t="s">
        <v>104</v>
      </c>
      <c r="BZ1107" s="1" t="s">
        <v>104</v>
      </c>
      <c r="CA1107" s="1" t="s">
        <v>104</v>
      </c>
      <c r="CB1107" s="1" t="s">
        <v>104</v>
      </c>
      <c r="CC1107" s="1" t="s">
        <v>104</v>
      </c>
      <c r="CD1107" s="1" t="s">
        <v>104</v>
      </c>
      <c r="CE1107" s="1" t="s">
        <v>104</v>
      </c>
      <c r="CF1107" s="1" t="s">
        <v>104</v>
      </c>
      <c r="CG1107" s="1" t="s">
        <v>104</v>
      </c>
      <c r="CH1107" s="1" t="s">
        <v>104</v>
      </c>
      <c r="CJ1107" s="1">
        <v>0</v>
      </c>
      <c r="CK1107" s="1">
        <v>0</v>
      </c>
      <c r="CL1107" s="1">
        <v>0</v>
      </c>
      <c r="CM1107" s="1" t="s">
        <v>104</v>
      </c>
    </row>
    <row r="1108" spans="1:91" ht="14.25" customHeight="1" x14ac:dyDescent="0.3">
      <c r="A1108" s="1" t="s">
        <v>6720</v>
      </c>
      <c r="B1108" s="1" t="s">
        <v>434</v>
      </c>
      <c r="D1108" s="1" t="s">
        <v>66</v>
      </c>
      <c r="E1108" s="1" t="s">
        <v>6721</v>
      </c>
      <c r="F1108" s="1" t="s">
        <v>95</v>
      </c>
      <c r="G1108" s="1" t="s">
        <v>116</v>
      </c>
      <c r="H1108" s="1">
        <v>0</v>
      </c>
      <c r="I1108" s="1" t="s">
        <v>97</v>
      </c>
      <c r="L1108" s="1" t="s">
        <v>145</v>
      </c>
      <c r="M1108" s="1" t="s">
        <v>119</v>
      </c>
      <c r="N1108" s="1">
        <v>0</v>
      </c>
      <c r="O1108" s="1">
        <v>0</v>
      </c>
      <c r="P1108" s="1" t="s">
        <v>6722</v>
      </c>
      <c r="Q1108" s="1" t="s">
        <v>6723</v>
      </c>
      <c r="R1108" s="1" t="s">
        <v>6724</v>
      </c>
      <c r="S1108" s="1" t="s">
        <v>4201</v>
      </c>
      <c r="T1108" s="1">
        <v>1</v>
      </c>
      <c r="U1108" s="1">
        <v>1</v>
      </c>
      <c r="V1108" s="1">
        <v>0</v>
      </c>
      <c r="W1108" s="1">
        <v>0</v>
      </c>
      <c r="X1108" s="1">
        <v>0</v>
      </c>
      <c r="Y1108" s="1">
        <v>5</v>
      </c>
      <c r="Z1108" s="1">
        <v>5</v>
      </c>
      <c r="AA1108" s="1" t="s">
        <v>104</v>
      </c>
      <c r="AB1108" s="1" t="s">
        <v>104</v>
      </c>
      <c r="AC1108" s="1" t="s">
        <v>104</v>
      </c>
      <c r="AD1108" s="1">
        <v>4</v>
      </c>
      <c r="AE1108" s="1" t="s">
        <v>104</v>
      </c>
      <c r="AF1108" s="1" t="s">
        <v>104</v>
      </c>
      <c r="AG1108" s="1" t="s">
        <v>104</v>
      </c>
      <c r="AH1108" s="1" t="s">
        <v>104</v>
      </c>
      <c r="AI1108" s="1" t="s">
        <v>104</v>
      </c>
      <c r="AJ1108" s="1" t="s">
        <v>104</v>
      </c>
      <c r="AK1108" s="1" t="s">
        <v>104</v>
      </c>
      <c r="AL1108" s="1" t="s">
        <v>104</v>
      </c>
      <c r="AM1108" s="1" t="s">
        <v>104</v>
      </c>
      <c r="AO1108" s="1">
        <v>5</v>
      </c>
      <c r="AQ1108" s="1" t="s">
        <v>6725</v>
      </c>
      <c r="AR1108" s="1">
        <v>0</v>
      </c>
      <c r="AS1108" s="1">
        <v>0</v>
      </c>
      <c r="AT1108" s="1">
        <v>0</v>
      </c>
      <c r="AU1108" s="1">
        <v>0</v>
      </c>
      <c r="AV1108" s="1">
        <v>0</v>
      </c>
      <c r="AW1108" s="1">
        <v>0</v>
      </c>
      <c r="AX1108" s="1">
        <v>0</v>
      </c>
      <c r="AY1108" s="1">
        <v>0</v>
      </c>
      <c r="AZ1108" s="1">
        <v>0</v>
      </c>
      <c r="BA1108" s="1">
        <v>0</v>
      </c>
      <c r="BB1108" s="1">
        <v>0</v>
      </c>
      <c r="BC1108" s="1">
        <v>0</v>
      </c>
      <c r="BD1108" s="1">
        <v>0</v>
      </c>
      <c r="BE1108" s="1">
        <v>0</v>
      </c>
      <c r="BF1108" s="1">
        <v>0</v>
      </c>
      <c r="BG1108" s="1">
        <v>0</v>
      </c>
      <c r="BH1108" s="1">
        <v>0</v>
      </c>
      <c r="BI1108" s="1">
        <v>0</v>
      </c>
      <c r="BJ1108" s="1">
        <v>0</v>
      </c>
      <c r="BK1108" s="1">
        <v>0</v>
      </c>
      <c r="BL1108" s="1">
        <v>0</v>
      </c>
      <c r="BM1108" s="1">
        <v>0</v>
      </c>
      <c r="BN1108" s="1">
        <v>0</v>
      </c>
      <c r="BO1108" s="1">
        <v>1</v>
      </c>
      <c r="BP1108" s="1">
        <v>0</v>
      </c>
      <c r="BQ1108" s="2" t="str">
        <f>HYPERLINK("http://www.d20pfsrd.com/magic/all-spells/s/sonic-thrust","Sonic Thrust")</f>
        <v>Sonic Thrust</v>
      </c>
      <c r="BR1108" s="1">
        <v>1150</v>
      </c>
      <c r="BS1108" s="1" t="s">
        <v>104</v>
      </c>
      <c r="BX1108" s="1">
        <v>0</v>
      </c>
      <c r="BY1108" s="1" t="s">
        <v>104</v>
      </c>
      <c r="BZ1108" s="1" t="s">
        <v>104</v>
      </c>
      <c r="CA1108" s="1">
        <v>5</v>
      </c>
      <c r="CB1108" s="1" t="s">
        <v>104</v>
      </c>
      <c r="CC1108" s="1" t="s">
        <v>104</v>
      </c>
      <c r="CD1108" s="1" t="s">
        <v>104</v>
      </c>
      <c r="CE1108" s="1" t="s">
        <v>104</v>
      </c>
      <c r="CF1108" s="1" t="s">
        <v>104</v>
      </c>
      <c r="CG1108" s="1" t="s">
        <v>104</v>
      </c>
      <c r="CH1108" s="1" t="s">
        <v>104</v>
      </c>
      <c r="CJ1108" s="1">
        <v>0</v>
      </c>
      <c r="CK1108" s="1">
        <v>0</v>
      </c>
      <c r="CL1108" s="1">
        <v>0</v>
      </c>
      <c r="CM1108" s="1" t="s">
        <v>104</v>
      </c>
    </row>
    <row r="1109" spans="1:91" ht="14.25" customHeight="1" x14ac:dyDescent="0.3">
      <c r="A1109" s="1" t="s">
        <v>6726</v>
      </c>
      <c r="B1109" s="1" t="s">
        <v>162</v>
      </c>
      <c r="E1109" s="1" t="s">
        <v>6727</v>
      </c>
      <c r="F1109" s="1" t="s">
        <v>255</v>
      </c>
      <c r="G1109" s="1" t="s">
        <v>116</v>
      </c>
      <c r="H1109" s="1">
        <v>0</v>
      </c>
      <c r="I1109" s="1" t="s">
        <v>117</v>
      </c>
      <c r="L1109" s="1" t="s">
        <v>6052</v>
      </c>
      <c r="M1109" s="1" t="s">
        <v>119</v>
      </c>
      <c r="N1109" s="1">
        <v>0</v>
      </c>
      <c r="O1109" s="1">
        <v>0</v>
      </c>
      <c r="P1109" s="1" t="s">
        <v>100</v>
      </c>
      <c r="Q1109" s="1" t="s">
        <v>101</v>
      </c>
      <c r="R1109" s="1" t="s">
        <v>6728</v>
      </c>
      <c r="S1109" s="1" t="s">
        <v>4201</v>
      </c>
      <c r="T1109" s="1">
        <v>1</v>
      </c>
      <c r="U1109" s="1">
        <v>1</v>
      </c>
      <c r="V1109" s="1">
        <v>0</v>
      </c>
      <c r="W1109" s="1">
        <v>0</v>
      </c>
      <c r="X1109" s="1">
        <v>0</v>
      </c>
      <c r="Y1109" s="1">
        <v>5</v>
      </c>
      <c r="Z1109" s="1">
        <v>5</v>
      </c>
      <c r="AA1109" s="1">
        <v>4</v>
      </c>
      <c r="AB1109" s="1" t="s">
        <v>104</v>
      </c>
      <c r="AC1109" s="1" t="s">
        <v>104</v>
      </c>
      <c r="AD1109" s="1" t="s">
        <v>104</v>
      </c>
      <c r="AE1109" s="1" t="s">
        <v>104</v>
      </c>
      <c r="AF1109" s="1" t="s">
        <v>104</v>
      </c>
      <c r="AG1109" s="1" t="s">
        <v>104</v>
      </c>
      <c r="AH1109" s="1" t="s">
        <v>104</v>
      </c>
      <c r="AI1109" s="1" t="s">
        <v>104</v>
      </c>
      <c r="AJ1109" s="1">
        <v>4</v>
      </c>
      <c r="AK1109" s="1" t="s">
        <v>104</v>
      </c>
      <c r="AL1109" s="1" t="s">
        <v>104</v>
      </c>
      <c r="AM1109" s="1" t="s">
        <v>104</v>
      </c>
      <c r="AO1109" s="1">
        <v>5</v>
      </c>
      <c r="AQ1109" s="1" t="s">
        <v>6729</v>
      </c>
      <c r="AR1109" s="1">
        <v>0</v>
      </c>
      <c r="AS1109" s="1">
        <v>0</v>
      </c>
      <c r="AT1109" s="1">
        <v>0</v>
      </c>
      <c r="AU1109" s="1">
        <v>0</v>
      </c>
      <c r="AV1109" s="1">
        <v>0</v>
      </c>
      <c r="AW1109" s="1">
        <v>0</v>
      </c>
      <c r="AX1109" s="1">
        <v>0</v>
      </c>
      <c r="AY1109" s="1">
        <v>0</v>
      </c>
      <c r="AZ1109" s="1">
        <v>0</v>
      </c>
      <c r="BA1109" s="1">
        <v>0</v>
      </c>
      <c r="BB1109" s="1">
        <v>0</v>
      </c>
      <c r="BC1109" s="1">
        <v>0</v>
      </c>
      <c r="BD1109" s="1">
        <v>0</v>
      </c>
      <c r="BE1109" s="1">
        <v>0</v>
      </c>
      <c r="BF1109" s="1">
        <v>0</v>
      </c>
      <c r="BG1109" s="1">
        <v>0</v>
      </c>
      <c r="BH1109" s="1">
        <v>0</v>
      </c>
      <c r="BI1109" s="1">
        <v>0</v>
      </c>
      <c r="BJ1109" s="1">
        <v>0</v>
      </c>
      <c r="BK1109" s="1">
        <v>0</v>
      </c>
      <c r="BL1109" s="1">
        <v>0</v>
      </c>
      <c r="BM1109" s="1">
        <v>0</v>
      </c>
      <c r="BN1109" s="1">
        <v>0</v>
      </c>
      <c r="BO1109" s="1">
        <v>0</v>
      </c>
      <c r="BP1109" s="1">
        <v>0</v>
      </c>
      <c r="BQ1109" s="2" t="str">
        <f>HYPERLINK("http://www.d20pfsrd.com/magic/all-spells/s/soothe-construct","Soothe Construct")</f>
        <v>Soothe Construct</v>
      </c>
      <c r="BR1109" s="1">
        <v>1151</v>
      </c>
      <c r="BS1109" s="1" t="s">
        <v>104</v>
      </c>
      <c r="BX1109" s="1">
        <v>0</v>
      </c>
      <c r="BY1109" s="1" t="s">
        <v>104</v>
      </c>
      <c r="BZ1109" s="1" t="s">
        <v>104</v>
      </c>
      <c r="CA1109" s="1" t="s">
        <v>104</v>
      </c>
      <c r="CB1109" s="1" t="s">
        <v>104</v>
      </c>
      <c r="CC1109" s="1" t="s">
        <v>104</v>
      </c>
      <c r="CD1109" s="1">
        <v>4</v>
      </c>
      <c r="CE1109" s="1" t="s">
        <v>104</v>
      </c>
      <c r="CF1109" s="1" t="s">
        <v>104</v>
      </c>
      <c r="CG1109" s="1" t="s">
        <v>104</v>
      </c>
      <c r="CH1109" s="1" t="s">
        <v>104</v>
      </c>
      <c r="CJ1109" s="1">
        <v>0</v>
      </c>
      <c r="CK1109" s="1">
        <v>0</v>
      </c>
      <c r="CL1109" s="1">
        <v>0</v>
      </c>
      <c r="CM1109" s="1" t="s">
        <v>104</v>
      </c>
    </row>
    <row r="1110" spans="1:91" ht="14.25" customHeight="1" x14ac:dyDescent="0.3">
      <c r="A1110" s="1" t="s">
        <v>6730</v>
      </c>
      <c r="B1110" s="1" t="s">
        <v>434</v>
      </c>
      <c r="D1110" s="1" t="s">
        <v>58</v>
      </c>
      <c r="E1110" s="1" t="s">
        <v>6193</v>
      </c>
      <c r="F1110" s="1" t="s">
        <v>95</v>
      </c>
      <c r="G1110" s="1" t="s">
        <v>127</v>
      </c>
      <c r="H1110" s="1">
        <v>0</v>
      </c>
      <c r="I1110" s="1" t="s">
        <v>117</v>
      </c>
      <c r="K1110" s="1" t="s">
        <v>6731</v>
      </c>
      <c r="M1110" s="1" t="s">
        <v>6732</v>
      </c>
      <c r="N1110" s="1">
        <v>0</v>
      </c>
      <c r="O1110" s="1">
        <v>0</v>
      </c>
      <c r="P1110" s="1" t="s">
        <v>5901</v>
      </c>
      <c r="Q1110" s="1" t="s">
        <v>184</v>
      </c>
      <c r="R1110" s="1" t="s">
        <v>6733</v>
      </c>
      <c r="S1110" s="1" t="s">
        <v>4201</v>
      </c>
      <c r="T1110" s="1">
        <v>1</v>
      </c>
      <c r="U1110" s="1">
        <v>1</v>
      </c>
      <c r="V1110" s="1">
        <v>0</v>
      </c>
      <c r="W1110" s="1">
        <v>0</v>
      </c>
      <c r="X1110" s="1">
        <v>1</v>
      </c>
      <c r="Y1110" s="1" t="s">
        <v>104</v>
      </c>
      <c r="Z1110" s="1" t="s">
        <v>104</v>
      </c>
      <c r="AA1110" s="1">
        <v>2</v>
      </c>
      <c r="AB1110" s="1" t="s">
        <v>104</v>
      </c>
      <c r="AC1110" s="1" t="s">
        <v>104</v>
      </c>
      <c r="AD1110" s="1" t="s">
        <v>104</v>
      </c>
      <c r="AE1110" s="1" t="s">
        <v>104</v>
      </c>
      <c r="AF1110" s="1" t="s">
        <v>104</v>
      </c>
      <c r="AG1110" s="1" t="s">
        <v>104</v>
      </c>
      <c r="AH1110" s="1" t="s">
        <v>104</v>
      </c>
      <c r="AI1110" s="1" t="s">
        <v>104</v>
      </c>
      <c r="AJ1110" s="1">
        <v>2</v>
      </c>
      <c r="AK1110" s="1" t="s">
        <v>104</v>
      </c>
      <c r="AL1110" s="1" t="s">
        <v>104</v>
      </c>
      <c r="AM1110" s="1" t="s">
        <v>104</v>
      </c>
      <c r="AO1110" s="1">
        <v>2</v>
      </c>
      <c r="AQ1110" s="1" t="s">
        <v>6734</v>
      </c>
      <c r="AR1110" s="1">
        <v>0</v>
      </c>
      <c r="AS1110" s="1">
        <v>0</v>
      </c>
      <c r="AT1110" s="1">
        <v>0</v>
      </c>
      <c r="AU1110" s="1">
        <v>0</v>
      </c>
      <c r="AV1110" s="1">
        <v>0</v>
      </c>
      <c r="AW1110" s="1">
        <v>0</v>
      </c>
      <c r="AX1110" s="1">
        <v>0</v>
      </c>
      <c r="AY1110" s="1">
        <v>0</v>
      </c>
      <c r="AZ1110" s="1">
        <v>0</v>
      </c>
      <c r="BA1110" s="1">
        <v>0</v>
      </c>
      <c r="BB1110" s="1">
        <v>0</v>
      </c>
      <c r="BC1110" s="1">
        <v>0</v>
      </c>
      <c r="BD1110" s="1">
        <v>0</v>
      </c>
      <c r="BE1110" s="1">
        <v>0</v>
      </c>
      <c r="BF1110" s="1">
        <v>0</v>
      </c>
      <c r="BG1110" s="1">
        <v>1</v>
      </c>
      <c r="BH1110" s="1">
        <v>0</v>
      </c>
      <c r="BI1110" s="1">
        <v>0</v>
      </c>
      <c r="BJ1110" s="1">
        <v>0</v>
      </c>
      <c r="BK1110" s="1">
        <v>0</v>
      </c>
      <c r="BL1110" s="1">
        <v>0</v>
      </c>
      <c r="BM1110" s="1">
        <v>0</v>
      </c>
      <c r="BN1110" s="1">
        <v>0</v>
      </c>
      <c r="BO1110" s="1">
        <v>0</v>
      </c>
      <c r="BP1110" s="1">
        <v>0</v>
      </c>
      <c r="BQ1110" s="2" t="str">
        <f>HYPERLINK("http://www.d20pfsrd.com/magic/all-spells/s/spear-of-purity","Spear of Purity")</f>
        <v>Spear of Purity</v>
      </c>
      <c r="BR1110" s="1">
        <v>1152</v>
      </c>
      <c r="BS1110" s="1" t="s">
        <v>104</v>
      </c>
      <c r="BX1110" s="1">
        <v>0</v>
      </c>
      <c r="BY1110" s="1" t="s">
        <v>104</v>
      </c>
      <c r="BZ1110" s="1" t="s">
        <v>104</v>
      </c>
      <c r="CA1110" s="1" t="s">
        <v>104</v>
      </c>
      <c r="CB1110" s="1" t="s">
        <v>104</v>
      </c>
      <c r="CC1110" s="1" t="s">
        <v>104</v>
      </c>
      <c r="CD1110" s="1" t="s">
        <v>104</v>
      </c>
      <c r="CE1110" s="1" t="s">
        <v>104</v>
      </c>
      <c r="CF1110" s="1" t="s">
        <v>104</v>
      </c>
      <c r="CG1110" s="1" t="s">
        <v>104</v>
      </c>
      <c r="CH1110" s="1" t="s">
        <v>104</v>
      </c>
      <c r="CJ1110" s="1">
        <v>0</v>
      </c>
      <c r="CK1110" s="1">
        <v>0</v>
      </c>
      <c r="CL1110" s="1">
        <v>0</v>
      </c>
      <c r="CM1110" s="1" t="s">
        <v>104</v>
      </c>
    </row>
    <row r="1111" spans="1:91" ht="14.25" customHeight="1" x14ac:dyDescent="0.3">
      <c r="A1111" s="1" t="s">
        <v>6735</v>
      </c>
      <c r="B1111" s="1" t="s">
        <v>137</v>
      </c>
      <c r="D1111" s="1" t="s">
        <v>64</v>
      </c>
      <c r="E1111" s="1" t="s">
        <v>6736</v>
      </c>
      <c r="F1111" s="1" t="s">
        <v>95</v>
      </c>
      <c r="G1111" s="1" t="s">
        <v>237</v>
      </c>
      <c r="H1111" s="1">
        <v>0</v>
      </c>
      <c r="I1111" s="1" t="s">
        <v>117</v>
      </c>
      <c r="K1111" s="1" t="s">
        <v>6737</v>
      </c>
      <c r="M1111" s="1" t="s">
        <v>723</v>
      </c>
      <c r="N1111" s="1">
        <v>0</v>
      </c>
      <c r="O1111" s="1">
        <v>0</v>
      </c>
      <c r="P1111" s="1" t="s">
        <v>1080</v>
      </c>
      <c r="Q1111" s="1" t="s">
        <v>101</v>
      </c>
      <c r="R1111" s="1" t="s">
        <v>6738</v>
      </c>
      <c r="S1111" s="1" t="s">
        <v>4201</v>
      </c>
      <c r="T1111" s="1">
        <v>1</v>
      </c>
      <c r="U1111" s="1">
        <v>0</v>
      </c>
      <c r="V1111" s="1">
        <v>0</v>
      </c>
      <c r="W1111" s="1">
        <v>0</v>
      </c>
      <c r="X1111" s="1">
        <v>0</v>
      </c>
      <c r="Y1111" s="1" t="s">
        <v>104</v>
      </c>
      <c r="Z1111" s="1" t="s">
        <v>104</v>
      </c>
      <c r="AA1111" s="1">
        <v>4</v>
      </c>
      <c r="AB1111" s="1">
        <v>3</v>
      </c>
      <c r="AC1111" s="1" t="s">
        <v>104</v>
      </c>
      <c r="AD1111" s="1" t="s">
        <v>104</v>
      </c>
      <c r="AE1111" s="1" t="s">
        <v>104</v>
      </c>
      <c r="AF1111" s="1" t="s">
        <v>104</v>
      </c>
      <c r="AG1111" s="1" t="s">
        <v>104</v>
      </c>
      <c r="AH1111" s="1">
        <v>3</v>
      </c>
      <c r="AI1111" s="1" t="s">
        <v>104</v>
      </c>
      <c r="AJ1111" s="1">
        <v>4</v>
      </c>
      <c r="AK1111" s="1" t="s">
        <v>104</v>
      </c>
      <c r="AL1111" s="1" t="s">
        <v>104</v>
      </c>
      <c r="AM1111" s="1" t="s">
        <v>104</v>
      </c>
      <c r="AO1111" s="1">
        <v>4</v>
      </c>
      <c r="AQ1111" s="1" t="s">
        <v>6739</v>
      </c>
      <c r="AR1111" s="1">
        <v>0</v>
      </c>
      <c r="AS1111" s="1">
        <v>0</v>
      </c>
      <c r="AT1111" s="1">
        <v>0</v>
      </c>
      <c r="AU1111" s="1">
        <v>0</v>
      </c>
      <c r="AV1111" s="1">
        <v>0</v>
      </c>
      <c r="AW1111" s="1">
        <v>0</v>
      </c>
      <c r="AX1111" s="1">
        <v>0</v>
      </c>
      <c r="AY1111" s="1">
        <v>0</v>
      </c>
      <c r="AZ1111" s="1">
        <v>0</v>
      </c>
      <c r="BA1111" s="1">
        <v>0</v>
      </c>
      <c r="BB1111" s="1">
        <v>0</v>
      </c>
      <c r="BC1111" s="1">
        <v>0</v>
      </c>
      <c r="BD1111" s="1">
        <v>0</v>
      </c>
      <c r="BE1111" s="1">
        <v>0</v>
      </c>
      <c r="BF1111" s="1">
        <v>0</v>
      </c>
      <c r="BG1111" s="1">
        <v>0</v>
      </c>
      <c r="BH1111" s="1">
        <v>0</v>
      </c>
      <c r="BI1111" s="1">
        <v>0</v>
      </c>
      <c r="BJ1111" s="1">
        <v>0</v>
      </c>
      <c r="BK1111" s="1">
        <v>0</v>
      </c>
      <c r="BL1111" s="1">
        <v>0</v>
      </c>
      <c r="BM1111" s="1">
        <v>1</v>
      </c>
      <c r="BN1111" s="1">
        <v>0</v>
      </c>
      <c r="BO1111" s="1">
        <v>0</v>
      </c>
      <c r="BP1111" s="1">
        <v>0</v>
      </c>
      <c r="BQ1111" s="2" t="str">
        <f>HYPERLINK("http://www.d20pfsrd.com/magic/all-spells/s/spit-venom","Spit Venom")</f>
        <v>Spit Venom</v>
      </c>
      <c r="BR1111" s="1">
        <v>1153</v>
      </c>
      <c r="BS1111" s="1" t="s">
        <v>104</v>
      </c>
      <c r="BX1111" s="1">
        <v>0</v>
      </c>
      <c r="BY1111" s="1" t="s">
        <v>104</v>
      </c>
      <c r="BZ1111" s="1">
        <v>4</v>
      </c>
      <c r="CA1111" s="1" t="s">
        <v>104</v>
      </c>
      <c r="CB1111" s="1" t="s">
        <v>104</v>
      </c>
      <c r="CC1111" s="1" t="s">
        <v>104</v>
      </c>
      <c r="CD1111" s="1" t="s">
        <v>104</v>
      </c>
      <c r="CE1111" s="1" t="s">
        <v>104</v>
      </c>
      <c r="CF1111" s="1" t="s">
        <v>104</v>
      </c>
      <c r="CG1111" s="1" t="s">
        <v>104</v>
      </c>
      <c r="CH1111" s="1">
        <v>3</v>
      </c>
      <c r="CJ1111" s="1">
        <v>0</v>
      </c>
      <c r="CK1111" s="1">
        <v>0</v>
      </c>
      <c r="CL1111" s="1">
        <v>0</v>
      </c>
      <c r="CM1111" s="1" t="s">
        <v>104</v>
      </c>
    </row>
    <row r="1112" spans="1:91" ht="14.25" customHeight="1" x14ac:dyDescent="0.3">
      <c r="A1112" s="1" t="s">
        <v>6740</v>
      </c>
      <c r="B1112" s="1" t="s">
        <v>216</v>
      </c>
      <c r="E1112" s="1" t="s">
        <v>6741</v>
      </c>
      <c r="F1112" s="1" t="s">
        <v>95</v>
      </c>
      <c r="G1112" s="1" t="s">
        <v>237</v>
      </c>
      <c r="H1112" s="1">
        <v>0</v>
      </c>
      <c r="I1112" s="1" t="s">
        <v>109</v>
      </c>
      <c r="L1112" s="1" t="s">
        <v>1065</v>
      </c>
      <c r="M1112" s="1" t="s">
        <v>493</v>
      </c>
      <c r="N1112" s="1">
        <v>1</v>
      </c>
      <c r="O1112" s="1">
        <v>0</v>
      </c>
      <c r="P1112" s="1" t="s">
        <v>183</v>
      </c>
      <c r="Q1112" s="1" t="s">
        <v>184</v>
      </c>
      <c r="R1112" s="1" t="s">
        <v>6742</v>
      </c>
      <c r="S1112" s="1" t="s">
        <v>4201</v>
      </c>
      <c r="T1112" s="1">
        <v>1</v>
      </c>
      <c r="U1112" s="1">
        <v>0</v>
      </c>
      <c r="V1112" s="1">
        <v>0</v>
      </c>
      <c r="W1112" s="1">
        <v>0</v>
      </c>
      <c r="X1112" s="1">
        <v>0</v>
      </c>
      <c r="Y1112" s="1">
        <v>2</v>
      </c>
      <c r="Z1112" s="1">
        <v>2</v>
      </c>
      <c r="AA1112" s="1" t="s">
        <v>104</v>
      </c>
      <c r="AB1112" s="1" t="s">
        <v>104</v>
      </c>
      <c r="AC1112" s="1" t="s">
        <v>104</v>
      </c>
      <c r="AD1112" s="1">
        <v>2</v>
      </c>
      <c r="AE1112" s="1" t="s">
        <v>104</v>
      </c>
      <c r="AF1112" s="1" t="s">
        <v>104</v>
      </c>
      <c r="AG1112" s="1" t="s">
        <v>104</v>
      </c>
      <c r="AH1112" s="1">
        <v>2</v>
      </c>
      <c r="AI1112" s="1" t="s">
        <v>104</v>
      </c>
      <c r="AJ1112" s="1" t="s">
        <v>104</v>
      </c>
      <c r="AK1112" s="1" t="s">
        <v>104</v>
      </c>
      <c r="AL1112" s="1" t="s">
        <v>104</v>
      </c>
      <c r="AM1112" s="1" t="s">
        <v>104</v>
      </c>
      <c r="AO1112" s="1">
        <v>2</v>
      </c>
      <c r="AQ1112" s="1" t="s">
        <v>6743</v>
      </c>
      <c r="AR1112" s="1">
        <v>0</v>
      </c>
      <c r="AS1112" s="1">
        <v>0</v>
      </c>
      <c r="AT1112" s="1">
        <v>0</v>
      </c>
      <c r="AU1112" s="1">
        <v>0</v>
      </c>
      <c r="AV1112" s="1">
        <v>0</v>
      </c>
      <c r="AW1112" s="1">
        <v>0</v>
      </c>
      <c r="AX1112" s="1">
        <v>0</v>
      </c>
      <c r="AY1112" s="1">
        <v>0</v>
      </c>
      <c r="AZ1112" s="1">
        <v>0</v>
      </c>
      <c r="BA1112" s="1">
        <v>0</v>
      </c>
      <c r="BB1112" s="1">
        <v>0</v>
      </c>
      <c r="BC1112" s="1">
        <v>0</v>
      </c>
      <c r="BD1112" s="1">
        <v>0</v>
      </c>
      <c r="BE1112" s="1">
        <v>0</v>
      </c>
      <c r="BF1112" s="1">
        <v>0</v>
      </c>
      <c r="BG1112" s="1">
        <v>0</v>
      </c>
      <c r="BH1112" s="1">
        <v>0</v>
      </c>
      <c r="BI1112" s="1">
        <v>0</v>
      </c>
      <c r="BJ1112" s="1">
        <v>0</v>
      </c>
      <c r="BK1112" s="1">
        <v>0</v>
      </c>
      <c r="BL1112" s="1">
        <v>0</v>
      </c>
      <c r="BM1112" s="1">
        <v>0</v>
      </c>
      <c r="BN1112" s="1">
        <v>0</v>
      </c>
      <c r="BO1112" s="1">
        <v>0</v>
      </c>
      <c r="BP1112" s="1">
        <v>0</v>
      </c>
      <c r="BQ1112" s="2" t="str">
        <f>HYPERLINK("http://www.d20pfsrd.com/magic/all-spells/s/steal-voice","Steal Voice")</f>
        <v>Steal Voice</v>
      </c>
      <c r="BR1112" s="1">
        <v>1154</v>
      </c>
      <c r="BS1112" s="1" t="s">
        <v>104</v>
      </c>
      <c r="BX1112" s="1">
        <v>0</v>
      </c>
      <c r="BY1112" s="1" t="s">
        <v>104</v>
      </c>
      <c r="BZ1112" s="1" t="s">
        <v>104</v>
      </c>
      <c r="CA1112" s="1">
        <v>2</v>
      </c>
      <c r="CB1112" s="1">
        <v>2</v>
      </c>
      <c r="CC1112" s="1">
        <v>2</v>
      </c>
      <c r="CD1112" s="1" t="s">
        <v>104</v>
      </c>
      <c r="CE1112" s="1" t="s">
        <v>104</v>
      </c>
      <c r="CF1112" s="1" t="s">
        <v>104</v>
      </c>
      <c r="CG1112" s="1" t="s">
        <v>104</v>
      </c>
      <c r="CH1112" s="1" t="s">
        <v>104</v>
      </c>
      <c r="CJ1112" s="1">
        <v>0</v>
      </c>
      <c r="CK1112" s="1">
        <v>0</v>
      </c>
      <c r="CL1112" s="1">
        <v>0</v>
      </c>
      <c r="CM1112" s="1" t="s">
        <v>104</v>
      </c>
    </row>
    <row r="1113" spans="1:91" ht="14.25" customHeight="1" x14ac:dyDescent="0.3">
      <c r="A1113" s="1" t="s">
        <v>6744</v>
      </c>
      <c r="B1113" s="1" t="s">
        <v>137</v>
      </c>
      <c r="E1113" s="1" t="s">
        <v>6745</v>
      </c>
      <c r="F1113" s="1" t="s">
        <v>95</v>
      </c>
      <c r="G1113" s="1" t="s">
        <v>116</v>
      </c>
      <c r="H1113" s="1">
        <v>0</v>
      </c>
      <c r="I1113" s="1" t="s">
        <v>117</v>
      </c>
      <c r="L1113" s="1" t="s">
        <v>1065</v>
      </c>
      <c r="M1113" s="1" t="s">
        <v>581</v>
      </c>
      <c r="N1113" s="1">
        <v>0</v>
      </c>
      <c r="O1113" s="1">
        <v>0</v>
      </c>
      <c r="P1113" s="1" t="s">
        <v>100</v>
      </c>
      <c r="Q1113" s="1" t="s">
        <v>184</v>
      </c>
      <c r="R1113" s="1" t="s">
        <v>6746</v>
      </c>
      <c r="S1113" s="1" t="s">
        <v>4201</v>
      </c>
      <c r="T1113" s="1">
        <v>1</v>
      </c>
      <c r="U1113" s="1">
        <v>1</v>
      </c>
      <c r="V1113" s="1">
        <v>0</v>
      </c>
      <c r="W1113" s="1">
        <v>0</v>
      </c>
      <c r="X1113" s="1">
        <v>0</v>
      </c>
      <c r="Y1113" s="1">
        <v>3</v>
      </c>
      <c r="Z1113" s="1">
        <v>3</v>
      </c>
      <c r="AA1113" s="1" t="s">
        <v>104</v>
      </c>
      <c r="AB1113" s="1" t="s">
        <v>104</v>
      </c>
      <c r="AC1113" s="1" t="s">
        <v>104</v>
      </c>
      <c r="AD1113" s="1" t="s">
        <v>104</v>
      </c>
      <c r="AE1113" s="1" t="s">
        <v>104</v>
      </c>
      <c r="AF1113" s="1" t="s">
        <v>104</v>
      </c>
      <c r="AG1113" s="1" t="s">
        <v>104</v>
      </c>
      <c r="AH1113" s="1">
        <v>3</v>
      </c>
      <c r="AI1113" s="1" t="s">
        <v>104</v>
      </c>
      <c r="AJ1113" s="1" t="s">
        <v>104</v>
      </c>
      <c r="AK1113" s="1" t="s">
        <v>104</v>
      </c>
      <c r="AL1113" s="1" t="s">
        <v>104</v>
      </c>
      <c r="AM1113" s="1" t="s">
        <v>104</v>
      </c>
      <c r="AO1113" s="1">
        <v>3</v>
      </c>
      <c r="AQ1113" s="1" t="s">
        <v>6747</v>
      </c>
      <c r="AR1113" s="1">
        <v>0</v>
      </c>
      <c r="AS1113" s="1">
        <v>0</v>
      </c>
      <c r="AT1113" s="1">
        <v>0</v>
      </c>
      <c r="AU1113" s="1">
        <v>0</v>
      </c>
      <c r="AV1113" s="1">
        <v>0</v>
      </c>
      <c r="AW1113" s="1">
        <v>0</v>
      </c>
      <c r="AX1113" s="1">
        <v>0</v>
      </c>
      <c r="AY1113" s="1">
        <v>0</v>
      </c>
      <c r="AZ1113" s="1">
        <v>0</v>
      </c>
      <c r="BA1113" s="1">
        <v>0</v>
      </c>
      <c r="BB1113" s="1">
        <v>0</v>
      </c>
      <c r="BC1113" s="1">
        <v>0</v>
      </c>
      <c r="BD1113" s="1">
        <v>0</v>
      </c>
      <c r="BE1113" s="1">
        <v>0</v>
      </c>
      <c r="BF1113" s="1">
        <v>0</v>
      </c>
      <c r="BG1113" s="1">
        <v>0</v>
      </c>
      <c r="BH1113" s="1">
        <v>0</v>
      </c>
      <c r="BI1113" s="1">
        <v>0</v>
      </c>
      <c r="BJ1113" s="1">
        <v>0</v>
      </c>
      <c r="BK1113" s="1">
        <v>0</v>
      </c>
      <c r="BL1113" s="1">
        <v>0</v>
      </c>
      <c r="BM1113" s="1">
        <v>0</v>
      </c>
      <c r="BN1113" s="1">
        <v>0</v>
      </c>
      <c r="BO1113" s="1">
        <v>0</v>
      </c>
      <c r="BP1113" s="1">
        <v>0</v>
      </c>
      <c r="BQ1113" s="2" t="str">
        <f>HYPERLINK("http://www.d20pfsrd.com/magic/all-spells/s/strangling-hair","Strangling Hair")</f>
        <v>Strangling Hair</v>
      </c>
      <c r="BR1113" s="1">
        <v>1155</v>
      </c>
      <c r="BS1113" s="1" t="s">
        <v>104</v>
      </c>
      <c r="BV1113" s="1" t="s">
        <v>6748</v>
      </c>
      <c r="BX1113" s="1">
        <v>1</v>
      </c>
      <c r="BY1113" s="1" t="s">
        <v>104</v>
      </c>
      <c r="BZ1113" s="1" t="s">
        <v>104</v>
      </c>
      <c r="CA1113" s="1">
        <v>3</v>
      </c>
      <c r="CB1113" s="1" t="s">
        <v>104</v>
      </c>
      <c r="CC1113" s="1" t="s">
        <v>104</v>
      </c>
      <c r="CD1113" s="1" t="s">
        <v>104</v>
      </c>
      <c r="CE1113" s="1" t="s">
        <v>104</v>
      </c>
      <c r="CF1113" s="1" t="s">
        <v>104</v>
      </c>
      <c r="CG1113" s="1" t="s">
        <v>104</v>
      </c>
      <c r="CH1113" s="1" t="s">
        <v>104</v>
      </c>
      <c r="CJ1113" s="1">
        <v>0</v>
      </c>
      <c r="CK1113" s="1">
        <v>0</v>
      </c>
      <c r="CL1113" s="1">
        <v>0</v>
      </c>
      <c r="CM1113" s="1" t="s">
        <v>104</v>
      </c>
    </row>
    <row r="1114" spans="1:91" ht="14.25" customHeight="1" x14ac:dyDescent="0.3">
      <c r="A1114" s="1" t="s">
        <v>6749</v>
      </c>
      <c r="B1114" s="1" t="s">
        <v>92</v>
      </c>
      <c r="C1114" s="1" t="s">
        <v>903</v>
      </c>
      <c r="E1114" s="1" t="s">
        <v>3717</v>
      </c>
      <c r="F1114" s="1" t="s">
        <v>255</v>
      </c>
      <c r="G1114" s="1" t="s">
        <v>116</v>
      </c>
      <c r="H1114" s="1">
        <v>0</v>
      </c>
      <c r="I1114" s="1" t="s">
        <v>117</v>
      </c>
      <c r="K1114" s="1" t="s">
        <v>3656</v>
      </c>
      <c r="M1114" s="1" t="s">
        <v>426</v>
      </c>
      <c r="N1114" s="1">
        <v>1</v>
      </c>
      <c r="O1114" s="1">
        <v>0</v>
      </c>
      <c r="P1114" s="1" t="s">
        <v>100</v>
      </c>
      <c r="Q1114" s="1" t="s">
        <v>101</v>
      </c>
      <c r="R1114" s="1" t="s">
        <v>6750</v>
      </c>
      <c r="S1114" s="1" t="s">
        <v>4201</v>
      </c>
      <c r="T1114" s="1">
        <v>1</v>
      </c>
      <c r="U1114" s="1">
        <v>1</v>
      </c>
      <c r="V1114" s="1">
        <v>0</v>
      </c>
      <c r="W1114" s="1">
        <v>0</v>
      </c>
      <c r="X1114" s="1">
        <v>0</v>
      </c>
      <c r="Y1114" s="1" t="s">
        <v>104</v>
      </c>
      <c r="Z1114" s="1" t="s">
        <v>104</v>
      </c>
      <c r="AA1114" s="1" t="s">
        <v>104</v>
      </c>
      <c r="AB1114" s="1">
        <v>9</v>
      </c>
      <c r="AC1114" s="1" t="s">
        <v>104</v>
      </c>
      <c r="AD1114" s="1" t="s">
        <v>104</v>
      </c>
      <c r="AE1114" s="1" t="s">
        <v>104</v>
      </c>
      <c r="AF1114" s="1" t="s">
        <v>104</v>
      </c>
      <c r="AG1114" s="1" t="s">
        <v>104</v>
      </c>
      <c r="AH1114" s="1" t="s">
        <v>104</v>
      </c>
      <c r="AI1114" s="1" t="s">
        <v>104</v>
      </c>
      <c r="AJ1114" s="1" t="s">
        <v>104</v>
      </c>
      <c r="AK1114" s="1" t="s">
        <v>104</v>
      </c>
      <c r="AL1114" s="1" t="s">
        <v>104</v>
      </c>
      <c r="AM1114" s="1" t="s">
        <v>104</v>
      </c>
      <c r="AO1114" s="1">
        <v>9</v>
      </c>
      <c r="AQ1114" s="1" t="s">
        <v>6751</v>
      </c>
      <c r="AR1114" s="1">
        <v>0</v>
      </c>
      <c r="AS1114" s="1">
        <v>0</v>
      </c>
      <c r="AT1114" s="1">
        <v>0</v>
      </c>
      <c r="AU1114" s="1">
        <v>0</v>
      </c>
      <c r="AV1114" s="1">
        <v>0</v>
      </c>
      <c r="AW1114" s="1">
        <v>0</v>
      </c>
      <c r="AX1114" s="1">
        <v>0</v>
      </c>
      <c r="AY1114" s="1">
        <v>0</v>
      </c>
      <c r="AZ1114" s="1">
        <v>0</v>
      </c>
      <c r="BA1114" s="1">
        <v>0</v>
      </c>
      <c r="BB1114" s="1">
        <v>0</v>
      </c>
      <c r="BC1114" s="1">
        <v>0</v>
      </c>
      <c r="BD1114" s="1">
        <v>0</v>
      </c>
      <c r="BE1114" s="1">
        <v>0</v>
      </c>
      <c r="BF1114" s="1">
        <v>0</v>
      </c>
      <c r="BG1114" s="1">
        <v>0</v>
      </c>
      <c r="BH1114" s="1">
        <v>0</v>
      </c>
      <c r="BI1114" s="1">
        <v>0</v>
      </c>
      <c r="BJ1114" s="1">
        <v>0</v>
      </c>
      <c r="BK1114" s="1">
        <v>0</v>
      </c>
      <c r="BL1114" s="1">
        <v>0</v>
      </c>
      <c r="BM1114" s="1">
        <v>0</v>
      </c>
      <c r="BN1114" s="1">
        <v>0</v>
      </c>
      <c r="BO1114" s="1">
        <v>0</v>
      </c>
      <c r="BP1114" s="1">
        <v>0</v>
      </c>
      <c r="BQ1114" s="2" t="str">
        <f>HYPERLINK("http://www.d20pfsrd.com/magic/all-spells/s/summon-elder-worm","Summon Elder Worm")</f>
        <v>Summon Elder Worm</v>
      </c>
      <c r="BR1114" s="1">
        <v>1156</v>
      </c>
      <c r="BS1114" s="1" t="s">
        <v>104</v>
      </c>
      <c r="BX1114" s="1">
        <v>0</v>
      </c>
      <c r="BY1114" s="1" t="s">
        <v>104</v>
      </c>
      <c r="BZ1114" s="1" t="s">
        <v>104</v>
      </c>
      <c r="CA1114" s="1" t="s">
        <v>104</v>
      </c>
      <c r="CB1114" s="1" t="s">
        <v>104</v>
      </c>
      <c r="CC1114" s="1" t="s">
        <v>104</v>
      </c>
      <c r="CD1114" s="1" t="s">
        <v>104</v>
      </c>
      <c r="CE1114" s="1" t="s">
        <v>104</v>
      </c>
      <c r="CF1114" s="1" t="s">
        <v>104</v>
      </c>
      <c r="CG1114" s="1" t="s">
        <v>104</v>
      </c>
      <c r="CH1114" s="1" t="s">
        <v>104</v>
      </c>
      <c r="CJ1114" s="1">
        <v>0</v>
      </c>
      <c r="CK1114" s="1">
        <v>0</v>
      </c>
      <c r="CL1114" s="1">
        <v>0</v>
      </c>
      <c r="CM1114" s="1" t="s">
        <v>104</v>
      </c>
    </row>
    <row r="1115" spans="1:91" ht="14.25" customHeight="1" x14ac:dyDescent="0.3">
      <c r="A1115" s="1" t="s">
        <v>6752</v>
      </c>
      <c r="B1115" s="1" t="s">
        <v>92</v>
      </c>
      <c r="C1115" s="1" t="s">
        <v>903</v>
      </c>
      <c r="E1115" s="1" t="s">
        <v>3717</v>
      </c>
      <c r="F1115" s="1" t="s">
        <v>255</v>
      </c>
      <c r="G1115" s="1" t="s">
        <v>116</v>
      </c>
      <c r="H1115" s="1">
        <v>0</v>
      </c>
      <c r="I1115" s="1" t="s">
        <v>117</v>
      </c>
      <c r="K1115" s="1" t="s">
        <v>3656</v>
      </c>
      <c r="M1115" s="1" t="s">
        <v>426</v>
      </c>
      <c r="N1115" s="1">
        <v>1</v>
      </c>
      <c r="O1115" s="1">
        <v>0</v>
      </c>
      <c r="P1115" s="1" t="s">
        <v>100</v>
      </c>
      <c r="Q1115" s="1" t="s">
        <v>101</v>
      </c>
      <c r="R1115" s="1" t="s">
        <v>6753</v>
      </c>
      <c r="S1115" s="1" t="s">
        <v>4201</v>
      </c>
      <c r="T1115" s="1">
        <v>1</v>
      </c>
      <c r="U1115" s="1">
        <v>1</v>
      </c>
      <c r="V1115" s="1">
        <v>0</v>
      </c>
      <c r="W1115" s="1">
        <v>0</v>
      </c>
      <c r="X1115" s="1">
        <v>0</v>
      </c>
      <c r="Y1115" s="1" t="s">
        <v>104</v>
      </c>
      <c r="Z1115" s="1" t="s">
        <v>104</v>
      </c>
      <c r="AA1115" s="1" t="s">
        <v>104</v>
      </c>
      <c r="AB1115" s="1">
        <v>9</v>
      </c>
      <c r="AC1115" s="1" t="s">
        <v>104</v>
      </c>
      <c r="AD1115" s="1" t="s">
        <v>104</v>
      </c>
      <c r="AE1115" s="1" t="s">
        <v>104</v>
      </c>
      <c r="AF1115" s="1" t="s">
        <v>104</v>
      </c>
      <c r="AG1115" s="1" t="s">
        <v>104</v>
      </c>
      <c r="AH1115" s="1" t="s">
        <v>104</v>
      </c>
      <c r="AI1115" s="1" t="s">
        <v>104</v>
      </c>
      <c r="AJ1115" s="1" t="s">
        <v>104</v>
      </c>
      <c r="AK1115" s="1" t="s">
        <v>104</v>
      </c>
      <c r="AL1115" s="1" t="s">
        <v>104</v>
      </c>
      <c r="AM1115" s="1" t="s">
        <v>104</v>
      </c>
      <c r="AO1115" s="1">
        <v>9</v>
      </c>
      <c r="AQ1115" s="1" t="s">
        <v>6754</v>
      </c>
      <c r="AR1115" s="1">
        <v>0</v>
      </c>
      <c r="AS1115" s="1">
        <v>0</v>
      </c>
      <c r="AT1115" s="1">
        <v>0</v>
      </c>
      <c r="AU1115" s="1">
        <v>0</v>
      </c>
      <c r="AV1115" s="1">
        <v>0</v>
      </c>
      <c r="AW1115" s="1">
        <v>0</v>
      </c>
      <c r="AX1115" s="1">
        <v>0</v>
      </c>
      <c r="AY1115" s="1">
        <v>0</v>
      </c>
      <c r="AZ1115" s="1">
        <v>0</v>
      </c>
      <c r="BA1115" s="1">
        <v>0</v>
      </c>
      <c r="BB1115" s="1">
        <v>0</v>
      </c>
      <c r="BC1115" s="1">
        <v>0</v>
      </c>
      <c r="BD1115" s="1">
        <v>0</v>
      </c>
      <c r="BE1115" s="1">
        <v>0</v>
      </c>
      <c r="BF1115" s="1">
        <v>0</v>
      </c>
      <c r="BG1115" s="1">
        <v>0</v>
      </c>
      <c r="BH1115" s="1">
        <v>0</v>
      </c>
      <c r="BI1115" s="1">
        <v>0</v>
      </c>
      <c r="BJ1115" s="1">
        <v>0</v>
      </c>
      <c r="BK1115" s="1">
        <v>0</v>
      </c>
      <c r="BL1115" s="1">
        <v>0</v>
      </c>
      <c r="BM1115" s="1">
        <v>0</v>
      </c>
      <c r="BN1115" s="1">
        <v>0</v>
      </c>
      <c r="BO1115" s="1">
        <v>0</v>
      </c>
      <c r="BP1115" s="1">
        <v>0</v>
      </c>
      <c r="BQ1115" s="2" t="str">
        <f>HYPERLINK("http://www.d20pfsrd.com/magic/all-spells/s/summon-froghemoth","Summon Froghemoth")</f>
        <v>Summon Froghemoth</v>
      </c>
      <c r="BR1115" s="1">
        <v>1157</v>
      </c>
      <c r="BS1115" s="1" t="s">
        <v>104</v>
      </c>
      <c r="BX1115" s="1">
        <v>0</v>
      </c>
      <c r="BY1115" s="1" t="s">
        <v>104</v>
      </c>
      <c r="BZ1115" s="1" t="s">
        <v>104</v>
      </c>
      <c r="CA1115" s="1" t="s">
        <v>104</v>
      </c>
      <c r="CB1115" s="1" t="s">
        <v>104</v>
      </c>
      <c r="CC1115" s="1" t="s">
        <v>104</v>
      </c>
      <c r="CD1115" s="1" t="s">
        <v>104</v>
      </c>
      <c r="CE1115" s="1" t="s">
        <v>104</v>
      </c>
      <c r="CF1115" s="1" t="s">
        <v>104</v>
      </c>
      <c r="CG1115" s="1" t="s">
        <v>104</v>
      </c>
      <c r="CH1115" s="1" t="s">
        <v>104</v>
      </c>
      <c r="CJ1115" s="1">
        <v>0</v>
      </c>
      <c r="CK1115" s="1">
        <v>0</v>
      </c>
      <c r="CL1115" s="1">
        <v>0</v>
      </c>
      <c r="CM1115" s="1" t="s">
        <v>104</v>
      </c>
    </row>
    <row r="1116" spans="1:91" ht="14.25" customHeight="1" x14ac:dyDescent="0.3">
      <c r="A1116" s="1" t="s">
        <v>6755</v>
      </c>
      <c r="B1116" s="1" t="s">
        <v>92</v>
      </c>
      <c r="C1116" s="1" t="s">
        <v>903</v>
      </c>
      <c r="E1116" s="1" t="s">
        <v>2305</v>
      </c>
      <c r="F1116" s="1" t="s">
        <v>255</v>
      </c>
      <c r="G1116" s="1" t="s">
        <v>127</v>
      </c>
      <c r="H1116" s="1">
        <v>0</v>
      </c>
      <c r="I1116" s="1" t="s">
        <v>117</v>
      </c>
      <c r="K1116" s="1" t="s">
        <v>6756</v>
      </c>
      <c r="M1116" s="1" t="s">
        <v>426</v>
      </c>
      <c r="N1116" s="1">
        <v>1</v>
      </c>
      <c r="O1116" s="1">
        <v>0</v>
      </c>
      <c r="P1116" s="1" t="s">
        <v>100</v>
      </c>
      <c r="Q1116" s="1" t="s">
        <v>101</v>
      </c>
      <c r="R1116" s="1" t="s">
        <v>6757</v>
      </c>
      <c r="S1116" s="1" t="s">
        <v>4201</v>
      </c>
      <c r="T1116" s="1">
        <v>1</v>
      </c>
      <c r="U1116" s="1">
        <v>1</v>
      </c>
      <c r="V1116" s="1">
        <v>0</v>
      </c>
      <c r="W1116" s="1">
        <v>0</v>
      </c>
      <c r="X1116" s="1">
        <v>1</v>
      </c>
      <c r="Y1116" s="1" t="s">
        <v>104</v>
      </c>
      <c r="Z1116" s="1" t="s">
        <v>104</v>
      </c>
      <c r="AA1116" s="1" t="s">
        <v>104</v>
      </c>
      <c r="AB1116" s="1">
        <v>1</v>
      </c>
      <c r="AC1116" s="1">
        <v>1</v>
      </c>
      <c r="AD1116" s="1" t="s">
        <v>104</v>
      </c>
      <c r="AE1116" s="1" t="s">
        <v>104</v>
      </c>
      <c r="AF1116" s="1" t="s">
        <v>104</v>
      </c>
      <c r="AG1116" s="1" t="s">
        <v>104</v>
      </c>
      <c r="AH1116" s="1" t="s">
        <v>104</v>
      </c>
      <c r="AI1116" s="1" t="s">
        <v>104</v>
      </c>
      <c r="AJ1116" s="1" t="s">
        <v>104</v>
      </c>
      <c r="AK1116" s="1" t="s">
        <v>104</v>
      </c>
      <c r="AL1116" s="1" t="s">
        <v>104</v>
      </c>
      <c r="AM1116" s="1" t="s">
        <v>104</v>
      </c>
      <c r="AO1116" s="1">
        <v>1</v>
      </c>
      <c r="AQ1116" s="1" t="s">
        <v>6758</v>
      </c>
      <c r="AR1116" s="1">
        <v>0</v>
      </c>
      <c r="AS1116" s="1">
        <v>0</v>
      </c>
      <c r="AT1116" s="1">
        <v>0</v>
      </c>
      <c r="AU1116" s="1">
        <v>0</v>
      </c>
      <c r="AV1116" s="1">
        <v>0</v>
      </c>
      <c r="AW1116" s="1">
        <v>0</v>
      </c>
      <c r="AX1116" s="1">
        <v>0</v>
      </c>
      <c r="AY1116" s="1">
        <v>0</v>
      </c>
      <c r="AZ1116" s="1">
        <v>0</v>
      </c>
      <c r="BA1116" s="1">
        <v>0</v>
      </c>
      <c r="BB1116" s="1">
        <v>0</v>
      </c>
      <c r="BC1116" s="1">
        <v>0</v>
      </c>
      <c r="BD1116" s="1">
        <v>0</v>
      </c>
      <c r="BE1116" s="1">
        <v>0</v>
      </c>
      <c r="BF1116" s="1">
        <v>0</v>
      </c>
      <c r="BG1116" s="1">
        <v>0</v>
      </c>
      <c r="BH1116" s="1">
        <v>0</v>
      </c>
      <c r="BI1116" s="1">
        <v>0</v>
      </c>
      <c r="BJ1116" s="1">
        <v>0</v>
      </c>
      <c r="BK1116" s="1">
        <v>0</v>
      </c>
      <c r="BL1116" s="1">
        <v>0</v>
      </c>
      <c r="BM1116" s="1">
        <v>0</v>
      </c>
      <c r="BN1116" s="1">
        <v>0</v>
      </c>
      <c r="BO1116" s="1">
        <v>0</v>
      </c>
      <c r="BP1116" s="1">
        <v>0</v>
      </c>
      <c r="BQ1116" s="2" t="str">
        <f>HYPERLINK("http://www.d20pfsrd.com/magic/all-spells/s/summon-minor-ally","Summon Minor Ally")</f>
        <v>Summon Minor Ally</v>
      </c>
      <c r="BR1116" s="1">
        <v>1158</v>
      </c>
      <c r="BS1116" s="1" t="s">
        <v>104</v>
      </c>
      <c r="BX1116" s="1">
        <v>0</v>
      </c>
      <c r="BY1116" s="1" t="s">
        <v>104</v>
      </c>
      <c r="BZ1116" s="1" t="s">
        <v>104</v>
      </c>
      <c r="CA1116" s="1" t="s">
        <v>104</v>
      </c>
      <c r="CB1116" s="1" t="s">
        <v>104</v>
      </c>
      <c r="CC1116" s="1" t="s">
        <v>104</v>
      </c>
      <c r="CD1116" s="1" t="s">
        <v>104</v>
      </c>
      <c r="CE1116" s="1" t="s">
        <v>104</v>
      </c>
      <c r="CF1116" s="1" t="s">
        <v>104</v>
      </c>
      <c r="CG1116" s="1" t="s">
        <v>104</v>
      </c>
      <c r="CH1116" s="1">
        <v>1</v>
      </c>
      <c r="CJ1116" s="1">
        <v>0</v>
      </c>
      <c r="CK1116" s="1">
        <v>0</v>
      </c>
      <c r="CL1116" s="1">
        <v>0</v>
      </c>
      <c r="CM1116" s="1" t="s">
        <v>104</v>
      </c>
    </row>
    <row r="1117" spans="1:91" ht="14.25" customHeight="1" x14ac:dyDescent="0.3">
      <c r="A1117" s="1" t="s">
        <v>6759</v>
      </c>
      <c r="B1117" s="1" t="s">
        <v>92</v>
      </c>
      <c r="C1117" s="1" t="s">
        <v>903</v>
      </c>
      <c r="E1117" s="1" t="s">
        <v>6760</v>
      </c>
      <c r="F1117" s="1" t="s">
        <v>255</v>
      </c>
      <c r="G1117" s="1" t="s">
        <v>3655</v>
      </c>
      <c r="H1117" s="1">
        <v>0</v>
      </c>
      <c r="I1117" s="1" t="s">
        <v>117</v>
      </c>
      <c r="K1117" s="1" t="s">
        <v>6756</v>
      </c>
      <c r="M1117" s="1" t="s">
        <v>426</v>
      </c>
      <c r="N1117" s="1">
        <v>1</v>
      </c>
      <c r="O1117" s="1">
        <v>0</v>
      </c>
      <c r="P1117" s="1" t="s">
        <v>100</v>
      </c>
      <c r="Q1117" s="1" t="s">
        <v>101</v>
      </c>
      <c r="R1117" s="1" t="s">
        <v>6761</v>
      </c>
      <c r="S1117" s="1" t="s">
        <v>4201</v>
      </c>
      <c r="T1117" s="1">
        <v>1</v>
      </c>
      <c r="U1117" s="1">
        <v>1</v>
      </c>
      <c r="V1117" s="1">
        <v>0</v>
      </c>
      <c r="W1117" s="1">
        <v>0</v>
      </c>
      <c r="X1117" s="1">
        <v>1</v>
      </c>
      <c r="Y1117" s="1">
        <v>1</v>
      </c>
      <c r="Z1117" s="1">
        <v>1</v>
      </c>
      <c r="AA1117" s="1">
        <v>1</v>
      </c>
      <c r="AB1117" s="1" t="s">
        <v>104</v>
      </c>
      <c r="AC1117" s="1" t="s">
        <v>104</v>
      </c>
      <c r="AD1117" s="1">
        <v>1</v>
      </c>
      <c r="AE1117" s="1" t="s">
        <v>104</v>
      </c>
      <c r="AF1117" s="1" t="s">
        <v>104</v>
      </c>
      <c r="AG1117" s="1">
        <v>1</v>
      </c>
      <c r="AH1117" s="1">
        <v>1</v>
      </c>
      <c r="AI1117" s="1" t="s">
        <v>104</v>
      </c>
      <c r="AJ1117" s="1">
        <v>1</v>
      </c>
      <c r="AK1117" s="1">
        <v>1</v>
      </c>
      <c r="AL1117" s="1" t="s">
        <v>104</v>
      </c>
      <c r="AM1117" s="1" t="s">
        <v>104</v>
      </c>
      <c r="AO1117" s="1">
        <v>1</v>
      </c>
      <c r="AQ1117" s="1" t="s">
        <v>6758</v>
      </c>
      <c r="AR1117" s="1">
        <v>0</v>
      </c>
      <c r="AS1117" s="1">
        <v>0</v>
      </c>
      <c r="AT1117" s="1">
        <v>0</v>
      </c>
      <c r="AU1117" s="1">
        <v>0</v>
      </c>
      <c r="AV1117" s="1">
        <v>0</v>
      </c>
      <c r="AW1117" s="1">
        <v>0</v>
      </c>
      <c r="AX1117" s="1">
        <v>0</v>
      </c>
      <c r="AY1117" s="1">
        <v>0</v>
      </c>
      <c r="AZ1117" s="1">
        <v>0</v>
      </c>
      <c r="BA1117" s="1">
        <v>0</v>
      </c>
      <c r="BB1117" s="1">
        <v>0</v>
      </c>
      <c r="BC1117" s="1">
        <v>0</v>
      </c>
      <c r="BD1117" s="1">
        <v>0</v>
      </c>
      <c r="BE1117" s="1">
        <v>0</v>
      </c>
      <c r="BF1117" s="1">
        <v>0</v>
      </c>
      <c r="BG1117" s="1">
        <v>0</v>
      </c>
      <c r="BH1117" s="1">
        <v>0</v>
      </c>
      <c r="BI1117" s="1">
        <v>0</v>
      </c>
      <c r="BJ1117" s="1">
        <v>0</v>
      </c>
      <c r="BK1117" s="1">
        <v>0</v>
      </c>
      <c r="BL1117" s="1">
        <v>0</v>
      </c>
      <c r="BM1117" s="1">
        <v>0</v>
      </c>
      <c r="BN1117" s="1">
        <v>0</v>
      </c>
      <c r="BO1117" s="1">
        <v>0</v>
      </c>
      <c r="BP1117" s="1">
        <v>0</v>
      </c>
      <c r="BQ1117" s="2" t="str">
        <f>HYPERLINK("http://www.d20pfsrd.com/magic/all-spells/s/summon-minor-monster","Summon Minor Monster")</f>
        <v>Summon Minor Monster</v>
      </c>
      <c r="BR1117" s="1">
        <v>1159</v>
      </c>
      <c r="BS1117" s="1" t="s">
        <v>104</v>
      </c>
      <c r="BX1117" s="1">
        <v>0</v>
      </c>
      <c r="BY1117" s="1" t="s">
        <v>104</v>
      </c>
      <c r="BZ1117" s="1" t="s">
        <v>104</v>
      </c>
      <c r="CA1117" s="1">
        <v>1</v>
      </c>
      <c r="CB1117" s="1">
        <v>1</v>
      </c>
      <c r="CC1117" s="1" t="s">
        <v>104</v>
      </c>
      <c r="CD1117" s="1" t="s">
        <v>104</v>
      </c>
      <c r="CE1117" s="1" t="s">
        <v>104</v>
      </c>
      <c r="CF1117" s="1" t="s">
        <v>104</v>
      </c>
      <c r="CG1117" s="1" t="s">
        <v>104</v>
      </c>
      <c r="CH1117" s="1" t="s">
        <v>104</v>
      </c>
      <c r="CJ1117" s="1">
        <v>0</v>
      </c>
      <c r="CK1117" s="1">
        <v>0</v>
      </c>
      <c r="CL1117" s="1">
        <v>0</v>
      </c>
      <c r="CM1117" s="1">
        <v>1</v>
      </c>
    </row>
    <row r="1118" spans="1:91" ht="14.25" customHeight="1" x14ac:dyDescent="0.3">
      <c r="A1118" s="1" t="s">
        <v>6762</v>
      </c>
      <c r="B1118" s="1" t="s">
        <v>162</v>
      </c>
      <c r="E1118" s="1" t="s">
        <v>6763</v>
      </c>
      <c r="F1118" s="1" t="s">
        <v>95</v>
      </c>
      <c r="G1118" s="1" t="s">
        <v>116</v>
      </c>
      <c r="H1118" s="1">
        <v>0</v>
      </c>
      <c r="I1118" s="1" t="s">
        <v>158</v>
      </c>
      <c r="L1118" s="1" t="s">
        <v>157</v>
      </c>
      <c r="M1118" s="1" t="s">
        <v>111</v>
      </c>
      <c r="N1118" s="1">
        <v>0</v>
      </c>
      <c r="O1118" s="1">
        <v>0</v>
      </c>
      <c r="R1118" s="1" t="s">
        <v>6764</v>
      </c>
      <c r="S1118" s="1" t="s">
        <v>4201</v>
      </c>
      <c r="T1118" s="1">
        <v>1</v>
      </c>
      <c r="U1118" s="1">
        <v>1</v>
      </c>
      <c r="V1118" s="1">
        <v>0</v>
      </c>
      <c r="W1118" s="1">
        <v>0</v>
      </c>
      <c r="X1118" s="1">
        <v>0</v>
      </c>
      <c r="Y1118" s="1" t="s">
        <v>104</v>
      </c>
      <c r="Z1118" s="1" t="s">
        <v>104</v>
      </c>
      <c r="AA1118" s="1">
        <v>2</v>
      </c>
      <c r="AB1118" s="1" t="s">
        <v>104</v>
      </c>
      <c r="AC1118" s="1" t="s">
        <v>104</v>
      </c>
      <c r="AD1118" s="1" t="s">
        <v>104</v>
      </c>
      <c r="AE1118" s="1" t="s">
        <v>104</v>
      </c>
      <c r="AF1118" s="1" t="s">
        <v>104</v>
      </c>
      <c r="AG1118" s="1" t="s">
        <v>104</v>
      </c>
      <c r="AH1118" s="1" t="s">
        <v>104</v>
      </c>
      <c r="AI1118" s="1">
        <v>2</v>
      </c>
      <c r="AJ1118" s="1">
        <v>2</v>
      </c>
      <c r="AK1118" s="1" t="s">
        <v>104</v>
      </c>
      <c r="AL1118" s="1" t="s">
        <v>104</v>
      </c>
      <c r="AM1118" s="1" t="s">
        <v>104</v>
      </c>
      <c r="AO1118" s="1">
        <v>2</v>
      </c>
      <c r="AQ1118" s="1" t="s">
        <v>6765</v>
      </c>
      <c r="AR1118" s="1">
        <v>0</v>
      </c>
      <c r="AS1118" s="1">
        <v>0</v>
      </c>
      <c r="AT1118" s="1">
        <v>0</v>
      </c>
      <c r="AU1118" s="1">
        <v>0</v>
      </c>
      <c r="AV1118" s="1">
        <v>0</v>
      </c>
      <c r="AW1118" s="1">
        <v>0</v>
      </c>
      <c r="AX1118" s="1">
        <v>0</v>
      </c>
      <c r="AY1118" s="1">
        <v>0</v>
      </c>
      <c r="AZ1118" s="1">
        <v>0</v>
      </c>
      <c r="BA1118" s="1">
        <v>0</v>
      </c>
      <c r="BB1118" s="1">
        <v>0</v>
      </c>
      <c r="BC1118" s="1">
        <v>0</v>
      </c>
      <c r="BD1118" s="1">
        <v>0</v>
      </c>
      <c r="BE1118" s="1">
        <v>0</v>
      </c>
      <c r="BF1118" s="1">
        <v>0</v>
      </c>
      <c r="BG1118" s="1">
        <v>0</v>
      </c>
      <c r="BH1118" s="1">
        <v>0</v>
      </c>
      <c r="BI1118" s="1">
        <v>0</v>
      </c>
      <c r="BJ1118" s="1">
        <v>0</v>
      </c>
      <c r="BK1118" s="1">
        <v>0</v>
      </c>
      <c r="BL1118" s="1">
        <v>0</v>
      </c>
      <c r="BM1118" s="1">
        <v>0</v>
      </c>
      <c r="BN1118" s="1">
        <v>0</v>
      </c>
      <c r="BO1118" s="1">
        <v>0</v>
      </c>
      <c r="BP1118" s="1">
        <v>0</v>
      </c>
      <c r="BQ1118" s="2" t="str">
        <f>HYPERLINK("http://www.d20pfsrd.com/magic/all-spells/s/surmount-affliction","Surmount Affliction")</f>
        <v>Surmount Affliction</v>
      </c>
      <c r="BR1118" s="1">
        <v>1160</v>
      </c>
      <c r="BS1118" s="1" t="s">
        <v>104</v>
      </c>
      <c r="BT1118" s="1" t="s">
        <v>6766</v>
      </c>
      <c r="BV1118" s="1" t="s">
        <v>6767</v>
      </c>
      <c r="BW1118" s="1" t="s">
        <v>6768</v>
      </c>
      <c r="BX1118" s="1">
        <v>1</v>
      </c>
      <c r="BY1118" s="1" t="s">
        <v>104</v>
      </c>
      <c r="BZ1118" s="1" t="s">
        <v>104</v>
      </c>
      <c r="CA1118" s="1" t="s">
        <v>104</v>
      </c>
      <c r="CB1118" s="1" t="s">
        <v>104</v>
      </c>
      <c r="CC1118" s="1" t="s">
        <v>104</v>
      </c>
      <c r="CD1118" s="1" t="s">
        <v>104</v>
      </c>
      <c r="CE1118" s="1">
        <v>2</v>
      </c>
      <c r="CF1118" s="1" t="s">
        <v>104</v>
      </c>
      <c r="CG1118" s="1" t="s">
        <v>104</v>
      </c>
      <c r="CH1118" s="1" t="s">
        <v>104</v>
      </c>
      <c r="CJ1118" s="1">
        <v>0</v>
      </c>
      <c r="CK1118" s="1">
        <v>0</v>
      </c>
      <c r="CL1118" s="1">
        <v>0</v>
      </c>
      <c r="CM1118" s="1" t="s">
        <v>104</v>
      </c>
    </row>
    <row r="1119" spans="1:91" ht="14.25" customHeight="1" x14ac:dyDescent="0.3">
      <c r="A1119" s="1" t="s">
        <v>6769</v>
      </c>
      <c r="B1119" s="1" t="s">
        <v>92</v>
      </c>
      <c r="C1119" s="1" t="s">
        <v>523</v>
      </c>
      <c r="E1119" s="1" t="s">
        <v>6770</v>
      </c>
      <c r="F1119" s="1" t="s">
        <v>287</v>
      </c>
      <c r="G1119" s="1" t="s">
        <v>6771</v>
      </c>
      <c r="H1119" s="1">
        <v>1</v>
      </c>
      <c r="I1119" s="1" t="s">
        <v>3750</v>
      </c>
      <c r="K1119" s="1" t="s">
        <v>3751</v>
      </c>
      <c r="M1119" s="1" t="s">
        <v>145</v>
      </c>
      <c r="N1119" s="1">
        <v>0</v>
      </c>
      <c r="O1119" s="1">
        <v>0</v>
      </c>
      <c r="P1119" s="1" t="s">
        <v>6772</v>
      </c>
      <c r="Q1119" s="1" t="s">
        <v>6773</v>
      </c>
      <c r="R1119" s="1" t="s">
        <v>6774</v>
      </c>
      <c r="S1119" s="1" t="s">
        <v>4201</v>
      </c>
      <c r="T1119" s="1">
        <v>1</v>
      </c>
      <c r="U1119" s="1">
        <v>1</v>
      </c>
      <c r="V1119" s="1">
        <v>1</v>
      </c>
      <c r="W1119" s="1">
        <v>0</v>
      </c>
      <c r="X1119" s="1">
        <v>0</v>
      </c>
      <c r="Y1119" s="1" t="s">
        <v>104</v>
      </c>
      <c r="Z1119" s="1" t="s">
        <v>104</v>
      </c>
      <c r="AA1119" s="1">
        <v>3</v>
      </c>
      <c r="AB1119" s="1" t="s">
        <v>104</v>
      </c>
      <c r="AC1119" s="1" t="s">
        <v>104</v>
      </c>
      <c r="AD1119" s="1" t="s">
        <v>104</v>
      </c>
      <c r="AE1119" s="1">
        <v>4</v>
      </c>
      <c r="AF1119" s="1" t="s">
        <v>104</v>
      </c>
      <c r="AG1119" s="1" t="s">
        <v>104</v>
      </c>
      <c r="AH1119" s="1">
        <v>4</v>
      </c>
      <c r="AI1119" s="1" t="s">
        <v>104</v>
      </c>
      <c r="AJ1119" s="1">
        <v>3</v>
      </c>
      <c r="AK1119" s="1" t="s">
        <v>104</v>
      </c>
      <c r="AL1119" s="1" t="s">
        <v>104</v>
      </c>
      <c r="AM1119" s="1" t="s">
        <v>104</v>
      </c>
      <c r="AO1119" s="1">
        <v>3</v>
      </c>
      <c r="AQ1119" s="1" t="s">
        <v>6775</v>
      </c>
      <c r="AR1119" s="1">
        <v>0</v>
      </c>
      <c r="AS1119" s="1">
        <v>0</v>
      </c>
      <c r="AT1119" s="1">
        <v>0</v>
      </c>
      <c r="AU1119" s="1">
        <v>0</v>
      </c>
      <c r="AV1119" s="1">
        <v>0</v>
      </c>
      <c r="AW1119" s="1">
        <v>0</v>
      </c>
      <c r="AX1119" s="1">
        <v>0</v>
      </c>
      <c r="AY1119" s="1">
        <v>0</v>
      </c>
      <c r="AZ1119" s="1">
        <v>0</v>
      </c>
      <c r="BA1119" s="1">
        <v>0</v>
      </c>
      <c r="BB1119" s="1">
        <v>0</v>
      </c>
      <c r="BC1119" s="1">
        <v>0</v>
      </c>
      <c r="BD1119" s="1">
        <v>0</v>
      </c>
      <c r="BE1119" s="1">
        <v>0</v>
      </c>
      <c r="BF1119" s="1">
        <v>0</v>
      </c>
      <c r="BG1119" s="1">
        <v>0</v>
      </c>
      <c r="BH1119" s="1">
        <v>0</v>
      </c>
      <c r="BI1119" s="1">
        <v>0</v>
      </c>
      <c r="BJ1119" s="1">
        <v>0</v>
      </c>
      <c r="BK1119" s="1">
        <v>0</v>
      </c>
      <c r="BL1119" s="1">
        <v>0</v>
      </c>
      <c r="BM1119" s="1">
        <v>0</v>
      </c>
      <c r="BN1119" s="1">
        <v>0</v>
      </c>
      <c r="BO1119" s="1">
        <v>0</v>
      </c>
      <c r="BP1119" s="1">
        <v>0</v>
      </c>
      <c r="BQ1119" s="2" t="str">
        <f>HYPERLINK("http://www.d20pfsrd.com/magic/all-spells/s/symbol-of-healing","Symbol of Healing")</f>
        <v>Symbol of Healing</v>
      </c>
      <c r="BR1119" s="1">
        <v>1161</v>
      </c>
      <c r="BS1119" s="1">
        <v>500</v>
      </c>
      <c r="BX1119" s="1">
        <v>0</v>
      </c>
      <c r="BY1119" s="1" t="s">
        <v>104</v>
      </c>
      <c r="BZ1119" s="1" t="s">
        <v>104</v>
      </c>
      <c r="CA1119" s="1" t="s">
        <v>104</v>
      </c>
      <c r="CB1119" s="1" t="s">
        <v>104</v>
      </c>
      <c r="CC1119" s="1" t="s">
        <v>104</v>
      </c>
      <c r="CD1119" s="1">
        <v>3</v>
      </c>
      <c r="CE1119" s="1" t="s">
        <v>104</v>
      </c>
      <c r="CF1119" s="1" t="s">
        <v>104</v>
      </c>
      <c r="CG1119" s="1" t="s">
        <v>104</v>
      </c>
      <c r="CH1119" s="1" t="s">
        <v>104</v>
      </c>
      <c r="CJ1119" s="1">
        <v>0</v>
      </c>
      <c r="CK1119" s="1">
        <v>0</v>
      </c>
      <c r="CL1119" s="1">
        <v>0</v>
      </c>
      <c r="CM1119" s="1" t="s">
        <v>104</v>
      </c>
    </row>
    <row r="1120" spans="1:91" ht="14.25" customHeight="1" x14ac:dyDescent="0.3">
      <c r="A1120" s="1" t="s">
        <v>6776</v>
      </c>
      <c r="B1120" s="1" t="s">
        <v>507</v>
      </c>
      <c r="C1120" s="1" t="s">
        <v>1767</v>
      </c>
      <c r="E1120" s="1" t="s">
        <v>6777</v>
      </c>
      <c r="F1120" s="1" t="s">
        <v>287</v>
      </c>
      <c r="G1120" s="1" t="s">
        <v>6778</v>
      </c>
      <c r="H1120" s="1">
        <v>1</v>
      </c>
      <c r="I1120" s="1" t="s">
        <v>3750</v>
      </c>
      <c r="K1120" s="1" t="s">
        <v>3751</v>
      </c>
      <c r="M1120" s="1" t="s">
        <v>145</v>
      </c>
      <c r="N1120" s="1">
        <v>0</v>
      </c>
      <c r="O1120" s="1">
        <v>0</v>
      </c>
      <c r="P1120" s="1" t="s">
        <v>6779</v>
      </c>
      <c r="Q1120" s="1" t="s">
        <v>184</v>
      </c>
      <c r="R1120" s="1" t="s">
        <v>6780</v>
      </c>
      <c r="S1120" s="1" t="s">
        <v>4201</v>
      </c>
      <c r="T1120" s="1">
        <v>1</v>
      </c>
      <c r="U1120" s="1">
        <v>1</v>
      </c>
      <c r="V1120" s="1">
        <v>1</v>
      </c>
      <c r="W1120" s="1">
        <v>0</v>
      </c>
      <c r="X1120" s="1">
        <v>0</v>
      </c>
      <c r="Y1120" s="1">
        <v>2</v>
      </c>
      <c r="Z1120" s="1">
        <v>2</v>
      </c>
      <c r="AA1120" s="1" t="s">
        <v>104</v>
      </c>
      <c r="AB1120" s="1" t="s">
        <v>104</v>
      </c>
      <c r="AC1120" s="1" t="s">
        <v>104</v>
      </c>
      <c r="AD1120" s="1" t="s">
        <v>104</v>
      </c>
      <c r="AE1120" s="1" t="s">
        <v>104</v>
      </c>
      <c r="AF1120" s="1" t="s">
        <v>104</v>
      </c>
      <c r="AG1120" s="1" t="s">
        <v>104</v>
      </c>
      <c r="AH1120" s="1">
        <v>2</v>
      </c>
      <c r="AI1120" s="1" t="s">
        <v>104</v>
      </c>
      <c r="AJ1120" s="1" t="s">
        <v>104</v>
      </c>
      <c r="AK1120" s="1" t="s">
        <v>104</v>
      </c>
      <c r="AL1120" s="1" t="s">
        <v>104</v>
      </c>
      <c r="AM1120" s="1" t="s">
        <v>104</v>
      </c>
      <c r="AO1120" s="1">
        <v>2</v>
      </c>
      <c r="AQ1120" s="1" t="s">
        <v>6781</v>
      </c>
      <c r="AR1120" s="1">
        <v>0</v>
      </c>
      <c r="AS1120" s="1">
        <v>0</v>
      </c>
      <c r="AT1120" s="1">
        <v>0</v>
      </c>
      <c r="AU1120" s="1">
        <v>0</v>
      </c>
      <c r="AV1120" s="1">
        <v>0</v>
      </c>
      <c r="AW1120" s="1">
        <v>0</v>
      </c>
      <c r="AX1120" s="1">
        <v>0</v>
      </c>
      <c r="AY1120" s="1">
        <v>0</v>
      </c>
      <c r="AZ1120" s="1">
        <v>0</v>
      </c>
      <c r="BA1120" s="1">
        <v>0</v>
      </c>
      <c r="BB1120" s="1">
        <v>0</v>
      </c>
      <c r="BC1120" s="1">
        <v>0</v>
      </c>
      <c r="BD1120" s="1">
        <v>0</v>
      </c>
      <c r="BE1120" s="1">
        <v>0</v>
      </c>
      <c r="BF1120" s="1">
        <v>0</v>
      </c>
      <c r="BG1120" s="1">
        <v>0</v>
      </c>
      <c r="BH1120" s="1">
        <v>0</v>
      </c>
      <c r="BI1120" s="1">
        <v>0</v>
      </c>
      <c r="BJ1120" s="1">
        <v>0</v>
      </c>
      <c r="BK1120" s="1">
        <v>0</v>
      </c>
      <c r="BL1120" s="1">
        <v>0</v>
      </c>
      <c r="BM1120" s="1">
        <v>0</v>
      </c>
      <c r="BN1120" s="1">
        <v>0</v>
      </c>
      <c r="BO1120" s="1">
        <v>0</v>
      </c>
      <c r="BP1120" s="1">
        <v>0</v>
      </c>
      <c r="BQ1120" s="2" t="str">
        <f>HYPERLINK("http://www.d20pfsrd.com/magic/all-spells/s/symbol-of-mirroring","Symbol of Mirroring")</f>
        <v>Symbol of Mirroring</v>
      </c>
      <c r="BR1120" s="1">
        <v>1162</v>
      </c>
      <c r="BS1120" s="1">
        <v>100</v>
      </c>
      <c r="BX1120" s="1">
        <v>0</v>
      </c>
      <c r="BY1120" s="1" t="s">
        <v>104</v>
      </c>
      <c r="BZ1120" s="1" t="s">
        <v>104</v>
      </c>
      <c r="CA1120" s="1" t="s">
        <v>104</v>
      </c>
      <c r="CB1120" s="1" t="s">
        <v>104</v>
      </c>
      <c r="CC1120" s="1">
        <v>2</v>
      </c>
      <c r="CD1120" s="1">
        <v>2</v>
      </c>
      <c r="CE1120" s="1" t="s">
        <v>104</v>
      </c>
      <c r="CF1120" s="1" t="s">
        <v>104</v>
      </c>
      <c r="CG1120" s="1" t="s">
        <v>104</v>
      </c>
      <c r="CH1120" s="1" t="s">
        <v>104</v>
      </c>
      <c r="CJ1120" s="1">
        <v>0</v>
      </c>
      <c r="CK1120" s="1">
        <v>0</v>
      </c>
      <c r="CL1120" s="1">
        <v>0</v>
      </c>
      <c r="CM1120" s="1" t="s">
        <v>104</v>
      </c>
    </row>
    <row r="1121" spans="1:91" ht="14.25" customHeight="1" x14ac:dyDescent="0.3">
      <c r="A1121" s="1" t="s">
        <v>6782</v>
      </c>
      <c r="B1121" s="1" t="s">
        <v>172</v>
      </c>
      <c r="E1121" s="1" t="s">
        <v>6783</v>
      </c>
      <c r="F1121" s="1" t="s">
        <v>287</v>
      </c>
      <c r="G1121" s="1" t="s">
        <v>6784</v>
      </c>
      <c r="H1121" s="1">
        <v>1</v>
      </c>
      <c r="I1121" s="1" t="s">
        <v>3750</v>
      </c>
      <c r="K1121" s="1" t="s">
        <v>3751</v>
      </c>
      <c r="M1121" s="1" t="s">
        <v>145</v>
      </c>
      <c r="N1121" s="1">
        <v>0</v>
      </c>
      <c r="O1121" s="1">
        <v>0</v>
      </c>
      <c r="P1121" s="1" t="s">
        <v>100</v>
      </c>
      <c r="Q1121" s="1" t="s">
        <v>184</v>
      </c>
      <c r="R1121" s="1" t="s">
        <v>6785</v>
      </c>
      <c r="S1121" s="1" t="s">
        <v>4201</v>
      </c>
      <c r="T1121" s="1">
        <v>1</v>
      </c>
      <c r="U1121" s="1">
        <v>1</v>
      </c>
      <c r="V1121" s="1">
        <v>1</v>
      </c>
      <c r="W1121" s="1">
        <v>0</v>
      </c>
      <c r="X1121" s="1">
        <v>0</v>
      </c>
      <c r="Y1121" s="1">
        <v>4</v>
      </c>
      <c r="Z1121" s="1">
        <v>4</v>
      </c>
      <c r="AA1121" s="1">
        <v>4</v>
      </c>
      <c r="AB1121" s="1" t="s">
        <v>104</v>
      </c>
      <c r="AC1121" s="1" t="s">
        <v>104</v>
      </c>
      <c r="AD1121" s="1" t="s">
        <v>104</v>
      </c>
      <c r="AE1121" s="1" t="s">
        <v>104</v>
      </c>
      <c r="AF1121" s="1" t="s">
        <v>104</v>
      </c>
      <c r="AG1121" s="1" t="s">
        <v>104</v>
      </c>
      <c r="AH1121" s="1">
        <v>4</v>
      </c>
      <c r="AI1121" s="1" t="s">
        <v>104</v>
      </c>
      <c r="AJ1121" s="1">
        <v>4</v>
      </c>
      <c r="AK1121" s="1" t="s">
        <v>104</v>
      </c>
      <c r="AL1121" s="1" t="s">
        <v>104</v>
      </c>
      <c r="AM1121" s="1" t="s">
        <v>104</v>
      </c>
      <c r="AO1121" s="1">
        <v>4</v>
      </c>
      <c r="AQ1121" s="1" t="s">
        <v>6786</v>
      </c>
      <c r="AR1121" s="1">
        <v>0</v>
      </c>
      <c r="AS1121" s="1">
        <v>0</v>
      </c>
      <c r="AT1121" s="1">
        <v>0</v>
      </c>
      <c r="AU1121" s="1">
        <v>0</v>
      </c>
      <c r="AV1121" s="1">
        <v>0</v>
      </c>
      <c r="AW1121" s="1">
        <v>0</v>
      </c>
      <c r="AX1121" s="1">
        <v>0</v>
      </c>
      <c r="AY1121" s="1">
        <v>0</v>
      </c>
      <c r="AZ1121" s="1">
        <v>0</v>
      </c>
      <c r="BA1121" s="1">
        <v>0</v>
      </c>
      <c r="BB1121" s="1">
        <v>0</v>
      </c>
      <c r="BC1121" s="1">
        <v>0</v>
      </c>
      <c r="BD1121" s="1">
        <v>0</v>
      </c>
      <c r="BE1121" s="1">
        <v>0</v>
      </c>
      <c r="BF1121" s="1">
        <v>0</v>
      </c>
      <c r="BG1121" s="1">
        <v>0</v>
      </c>
      <c r="BH1121" s="1">
        <v>0</v>
      </c>
      <c r="BI1121" s="1">
        <v>0</v>
      </c>
      <c r="BJ1121" s="1">
        <v>0</v>
      </c>
      <c r="BK1121" s="1">
        <v>0</v>
      </c>
      <c r="BL1121" s="1">
        <v>0</v>
      </c>
      <c r="BM1121" s="1">
        <v>0</v>
      </c>
      <c r="BN1121" s="1">
        <v>0</v>
      </c>
      <c r="BO1121" s="1">
        <v>0</v>
      </c>
      <c r="BP1121" s="1">
        <v>0</v>
      </c>
      <c r="BQ1121" s="2" t="str">
        <f>HYPERLINK("http://www.d20pfsrd.com/magic/all-spells/s/symbol-of-revelation","Symbol of Revelation")</f>
        <v>Symbol of Revelation</v>
      </c>
      <c r="BR1121" s="1">
        <v>1163</v>
      </c>
      <c r="BS1121" s="1">
        <v>1000</v>
      </c>
      <c r="BX1121" s="1">
        <v>0</v>
      </c>
      <c r="BY1121" s="1" t="s">
        <v>104</v>
      </c>
      <c r="BZ1121" s="1" t="s">
        <v>104</v>
      </c>
      <c r="CA1121" s="1" t="s">
        <v>104</v>
      </c>
      <c r="CB1121" s="1" t="s">
        <v>104</v>
      </c>
      <c r="CC1121" s="1" t="s">
        <v>104</v>
      </c>
      <c r="CD1121" s="1">
        <v>3</v>
      </c>
      <c r="CE1121" s="1" t="s">
        <v>104</v>
      </c>
      <c r="CF1121" s="1" t="s">
        <v>104</v>
      </c>
      <c r="CG1121" s="1" t="s">
        <v>104</v>
      </c>
      <c r="CH1121" s="1" t="s">
        <v>104</v>
      </c>
      <c r="CJ1121" s="1">
        <v>0</v>
      </c>
      <c r="CK1121" s="1">
        <v>0</v>
      </c>
      <c r="CL1121" s="1">
        <v>0</v>
      </c>
      <c r="CM1121" s="1" t="s">
        <v>104</v>
      </c>
    </row>
    <row r="1122" spans="1:91" ht="14.25" customHeight="1" x14ac:dyDescent="0.3">
      <c r="A1122" s="1" t="s">
        <v>6787</v>
      </c>
      <c r="B1122" s="1" t="s">
        <v>172</v>
      </c>
      <c r="C1122" s="1" t="s">
        <v>285</v>
      </c>
      <c r="E1122" s="1" t="s">
        <v>6788</v>
      </c>
      <c r="F1122" s="1" t="s">
        <v>287</v>
      </c>
      <c r="G1122" s="1" t="s">
        <v>6784</v>
      </c>
      <c r="H1122" s="1">
        <v>1</v>
      </c>
      <c r="I1122" s="1" t="s">
        <v>3750</v>
      </c>
      <c r="K1122" s="1" t="s">
        <v>3751</v>
      </c>
      <c r="M1122" s="1" t="s">
        <v>145</v>
      </c>
      <c r="N1122" s="1">
        <v>0</v>
      </c>
      <c r="O1122" s="1">
        <v>0</v>
      </c>
      <c r="P1122" s="1" t="s">
        <v>100</v>
      </c>
      <c r="Q1122" s="1" t="s">
        <v>101</v>
      </c>
      <c r="R1122" s="1" t="s">
        <v>6789</v>
      </c>
      <c r="S1122" s="1" t="s">
        <v>4201</v>
      </c>
      <c r="T1122" s="1">
        <v>1</v>
      </c>
      <c r="U1122" s="1">
        <v>1</v>
      </c>
      <c r="V1122" s="1">
        <v>1</v>
      </c>
      <c r="W1122" s="1">
        <v>0</v>
      </c>
      <c r="X1122" s="1">
        <v>0</v>
      </c>
      <c r="Y1122" s="1">
        <v>5</v>
      </c>
      <c r="Z1122" s="1">
        <v>5</v>
      </c>
      <c r="AA1122" s="1">
        <v>5</v>
      </c>
      <c r="AB1122" s="1" t="s">
        <v>104</v>
      </c>
      <c r="AC1122" s="1" t="s">
        <v>104</v>
      </c>
      <c r="AD1122" s="1" t="s">
        <v>104</v>
      </c>
      <c r="AE1122" s="1" t="s">
        <v>104</v>
      </c>
      <c r="AF1122" s="1" t="s">
        <v>104</v>
      </c>
      <c r="AG1122" s="1" t="s">
        <v>104</v>
      </c>
      <c r="AH1122" s="1">
        <v>5</v>
      </c>
      <c r="AI1122" s="1" t="s">
        <v>104</v>
      </c>
      <c r="AJ1122" s="1">
        <v>5</v>
      </c>
      <c r="AK1122" s="1" t="s">
        <v>104</v>
      </c>
      <c r="AL1122" s="1" t="s">
        <v>104</v>
      </c>
      <c r="AM1122" s="1" t="s">
        <v>104</v>
      </c>
      <c r="AO1122" s="1">
        <v>5</v>
      </c>
      <c r="AQ1122" s="1" t="s">
        <v>6790</v>
      </c>
      <c r="AR1122" s="1">
        <v>0</v>
      </c>
      <c r="AS1122" s="1">
        <v>0</v>
      </c>
      <c r="AT1122" s="1">
        <v>0</v>
      </c>
      <c r="AU1122" s="1">
        <v>0</v>
      </c>
      <c r="AV1122" s="1">
        <v>0</v>
      </c>
      <c r="AW1122" s="1">
        <v>0</v>
      </c>
      <c r="AX1122" s="1">
        <v>0</v>
      </c>
      <c r="AY1122" s="1">
        <v>0</v>
      </c>
      <c r="AZ1122" s="1">
        <v>0</v>
      </c>
      <c r="BA1122" s="1">
        <v>0</v>
      </c>
      <c r="BB1122" s="1">
        <v>0</v>
      </c>
      <c r="BC1122" s="1">
        <v>0</v>
      </c>
      <c r="BD1122" s="1">
        <v>0</v>
      </c>
      <c r="BE1122" s="1">
        <v>0</v>
      </c>
      <c r="BF1122" s="1">
        <v>0</v>
      </c>
      <c r="BG1122" s="1">
        <v>0</v>
      </c>
      <c r="BH1122" s="1">
        <v>0</v>
      </c>
      <c r="BI1122" s="1">
        <v>0</v>
      </c>
      <c r="BJ1122" s="1">
        <v>0</v>
      </c>
      <c r="BK1122" s="1">
        <v>0</v>
      </c>
      <c r="BL1122" s="1">
        <v>0</v>
      </c>
      <c r="BM1122" s="1">
        <v>0</v>
      </c>
      <c r="BN1122" s="1">
        <v>0</v>
      </c>
      <c r="BO1122" s="1">
        <v>0</v>
      </c>
      <c r="BP1122" s="1">
        <v>0</v>
      </c>
      <c r="BQ1122" s="2" t="str">
        <f>HYPERLINK("http://www.d20pfsrd.com/magic/all-spells/s/symbol-of-scrying","Symbol of Scrying")</f>
        <v>Symbol of Scrying</v>
      </c>
      <c r="BR1122" s="1">
        <v>1164</v>
      </c>
      <c r="BS1122" s="1">
        <v>1000</v>
      </c>
      <c r="BX1122" s="1">
        <v>0</v>
      </c>
      <c r="BY1122" s="1" t="s">
        <v>104</v>
      </c>
      <c r="BZ1122" s="1" t="s">
        <v>104</v>
      </c>
      <c r="CA1122" s="1" t="s">
        <v>104</v>
      </c>
      <c r="CB1122" s="1" t="s">
        <v>104</v>
      </c>
      <c r="CC1122" s="1" t="s">
        <v>104</v>
      </c>
      <c r="CD1122" s="1">
        <v>4</v>
      </c>
      <c r="CE1122" s="1" t="s">
        <v>104</v>
      </c>
      <c r="CF1122" s="1" t="s">
        <v>104</v>
      </c>
      <c r="CG1122" s="1" t="s">
        <v>104</v>
      </c>
      <c r="CH1122" s="1" t="s">
        <v>104</v>
      </c>
      <c r="CJ1122" s="1">
        <v>0</v>
      </c>
      <c r="CK1122" s="1">
        <v>0</v>
      </c>
      <c r="CL1122" s="1">
        <v>0</v>
      </c>
      <c r="CM1122" s="1" t="s">
        <v>104</v>
      </c>
    </row>
    <row r="1123" spans="1:91" ht="14.25" customHeight="1" x14ac:dyDescent="0.3">
      <c r="A1123" s="1" t="s">
        <v>6791</v>
      </c>
      <c r="B1123" s="1" t="s">
        <v>162</v>
      </c>
      <c r="D1123" s="1" t="s">
        <v>57</v>
      </c>
      <c r="E1123" s="1" t="s">
        <v>3757</v>
      </c>
      <c r="F1123" s="1" t="s">
        <v>287</v>
      </c>
      <c r="G1123" s="1" t="s">
        <v>6792</v>
      </c>
      <c r="H1123" s="1">
        <v>1</v>
      </c>
      <c r="I1123" s="1" t="s">
        <v>3750</v>
      </c>
      <c r="K1123" s="1" t="s">
        <v>3751</v>
      </c>
      <c r="M1123" s="1" t="s">
        <v>298</v>
      </c>
      <c r="N1123" s="1">
        <v>0</v>
      </c>
      <c r="O1123" s="1">
        <v>0</v>
      </c>
      <c r="P1123" s="1" t="s">
        <v>100</v>
      </c>
      <c r="Q1123" s="1" t="s">
        <v>101</v>
      </c>
      <c r="R1123" s="1" t="s">
        <v>6793</v>
      </c>
      <c r="S1123" s="1" t="s">
        <v>4201</v>
      </c>
      <c r="T1123" s="1">
        <v>1</v>
      </c>
      <c r="U1123" s="1">
        <v>1</v>
      </c>
      <c r="V1123" s="1">
        <v>1</v>
      </c>
      <c r="W1123" s="1">
        <v>0</v>
      </c>
      <c r="X1123" s="1">
        <v>0</v>
      </c>
      <c r="Y1123" s="1">
        <v>6</v>
      </c>
      <c r="Z1123" s="1">
        <v>6</v>
      </c>
      <c r="AA1123" s="1">
        <v>6</v>
      </c>
      <c r="AB1123" s="1" t="s">
        <v>104</v>
      </c>
      <c r="AC1123" s="1" t="s">
        <v>104</v>
      </c>
      <c r="AD1123" s="1" t="s">
        <v>104</v>
      </c>
      <c r="AE1123" s="1" t="s">
        <v>104</v>
      </c>
      <c r="AF1123" s="1" t="s">
        <v>104</v>
      </c>
      <c r="AG1123" s="1" t="s">
        <v>104</v>
      </c>
      <c r="AH1123" s="1">
        <v>6</v>
      </c>
      <c r="AI1123" s="1" t="s">
        <v>104</v>
      </c>
      <c r="AJ1123" s="1">
        <v>6</v>
      </c>
      <c r="AK1123" s="1" t="s">
        <v>104</v>
      </c>
      <c r="AL1123" s="1" t="s">
        <v>104</v>
      </c>
      <c r="AM1123" s="1" t="s">
        <v>104</v>
      </c>
      <c r="AO1123" s="1">
        <v>6</v>
      </c>
      <c r="AQ1123" s="1" t="s">
        <v>6794</v>
      </c>
      <c r="AR1123" s="1">
        <v>0</v>
      </c>
      <c r="AS1123" s="1">
        <v>0</v>
      </c>
      <c r="AT1123" s="1">
        <v>0</v>
      </c>
      <c r="AU1123" s="1">
        <v>0</v>
      </c>
      <c r="AV1123" s="1">
        <v>0</v>
      </c>
      <c r="AW1123" s="1">
        <v>0</v>
      </c>
      <c r="AX1123" s="1">
        <v>0</v>
      </c>
      <c r="AY1123" s="1">
        <v>0</v>
      </c>
      <c r="AZ1123" s="1">
        <v>0</v>
      </c>
      <c r="BA1123" s="1">
        <v>0</v>
      </c>
      <c r="BB1123" s="1">
        <v>0</v>
      </c>
      <c r="BC1123" s="1">
        <v>0</v>
      </c>
      <c r="BD1123" s="1">
        <v>0</v>
      </c>
      <c r="BE1123" s="1">
        <v>0</v>
      </c>
      <c r="BF1123" s="1">
        <v>1</v>
      </c>
      <c r="BG1123" s="1">
        <v>0</v>
      </c>
      <c r="BH1123" s="1">
        <v>0</v>
      </c>
      <c r="BI1123" s="1">
        <v>0</v>
      </c>
      <c r="BJ1123" s="1">
        <v>0</v>
      </c>
      <c r="BK1123" s="1">
        <v>0</v>
      </c>
      <c r="BL1123" s="1">
        <v>0</v>
      </c>
      <c r="BM1123" s="1">
        <v>0</v>
      </c>
      <c r="BN1123" s="1">
        <v>0</v>
      </c>
      <c r="BO1123" s="1">
        <v>0</v>
      </c>
      <c r="BP1123" s="1">
        <v>0</v>
      </c>
      <c r="BQ1123" s="2" t="str">
        <f>HYPERLINK("http://www.d20pfsrd.com/magic/all-spells/s/symbol-of-sealing","Symbol of Sealing")</f>
        <v>Symbol of Sealing</v>
      </c>
      <c r="BR1123" s="1">
        <v>1165</v>
      </c>
      <c r="BS1123" s="1">
        <v>5000</v>
      </c>
      <c r="BX1123" s="1">
        <v>0</v>
      </c>
      <c r="BY1123" s="1" t="s">
        <v>104</v>
      </c>
      <c r="BZ1123" s="1" t="s">
        <v>104</v>
      </c>
      <c r="CA1123" s="1" t="s">
        <v>104</v>
      </c>
      <c r="CB1123" s="1" t="s">
        <v>104</v>
      </c>
      <c r="CC1123" s="1" t="s">
        <v>104</v>
      </c>
      <c r="CD1123" s="1">
        <v>4</v>
      </c>
      <c r="CE1123" s="1" t="s">
        <v>104</v>
      </c>
      <c r="CF1123" s="1" t="s">
        <v>104</v>
      </c>
      <c r="CG1123" s="1" t="s">
        <v>104</v>
      </c>
      <c r="CH1123" s="1" t="s">
        <v>104</v>
      </c>
      <c r="CJ1123" s="1">
        <v>0</v>
      </c>
      <c r="CK1123" s="1">
        <v>0</v>
      </c>
      <c r="CL1123" s="1">
        <v>0</v>
      </c>
      <c r="CM1123" s="1" t="s">
        <v>104</v>
      </c>
    </row>
    <row r="1124" spans="1:91" ht="14.25" customHeight="1" x14ac:dyDescent="0.3">
      <c r="A1124" s="1" t="s">
        <v>6795</v>
      </c>
      <c r="B1124" s="1" t="s">
        <v>137</v>
      </c>
      <c r="E1124" s="1" t="s">
        <v>6783</v>
      </c>
      <c r="F1124" s="1" t="s">
        <v>287</v>
      </c>
      <c r="G1124" s="1" t="s">
        <v>6784</v>
      </c>
      <c r="H1124" s="1">
        <v>1</v>
      </c>
      <c r="I1124" s="1" t="s">
        <v>3750</v>
      </c>
      <c r="K1124" s="1" t="s">
        <v>3751</v>
      </c>
      <c r="M1124" s="1" t="s">
        <v>145</v>
      </c>
      <c r="N1124" s="1">
        <v>0</v>
      </c>
      <c r="O1124" s="1">
        <v>0</v>
      </c>
      <c r="P1124" s="1" t="s">
        <v>211</v>
      </c>
      <c r="Q1124" s="1" t="s">
        <v>184</v>
      </c>
      <c r="R1124" s="1" t="s">
        <v>6796</v>
      </c>
      <c r="S1124" s="1" t="s">
        <v>4201</v>
      </c>
      <c r="T1124" s="1">
        <v>1</v>
      </c>
      <c r="U1124" s="1">
        <v>1</v>
      </c>
      <c r="V1124" s="1">
        <v>1</v>
      </c>
      <c r="W1124" s="1">
        <v>0</v>
      </c>
      <c r="X1124" s="1">
        <v>0</v>
      </c>
      <c r="Y1124" s="1">
        <v>4</v>
      </c>
      <c r="Z1124" s="1">
        <v>4</v>
      </c>
      <c r="AA1124" s="1">
        <v>4</v>
      </c>
      <c r="AB1124" s="1" t="s">
        <v>104</v>
      </c>
      <c r="AC1124" s="1" t="s">
        <v>104</v>
      </c>
      <c r="AD1124" s="1" t="s">
        <v>104</v>
      </c>
      <c r="AE1124" s="1" t="s">
        <v>104</v>
      </c>
      <c r="AF1124" s="1" t="s">
        <v>104</v>
      </c>
      <c r="AG1124" s="1" t="s">
        <v>104</v>
      </c>
      <c r="AH1124" s="1">
        <v>4</v>
      </c>
      <c r="AI1124" s="1" t="s">
        <v>104</v>
      </c>
      <c r="AJ1124" s="1">
        <v>4</v>
      </c>
      <c r="AK1124" s="1" t="s">
        <v>104</v>
      </c>
      <c r="AL1124" s="1" t="s">
        <v>104</v>
      </c>
      <c r="AM1124" s="1" t="s">
        <v>104</v>
      </c>
      <c r="AO1124" s="1">
        <v>4</v>
      </c>
      <c r="AQ1124" s="1" t="s">
        <v>6797</v>
      </c>
      <c r="AR1124" s="1">
        <v>0</v>
      </c>
      <c r="AS1124" s="1">
        <v>0</v>
      </c>
      <c r="AT1124" s="1">
        <v>0</v>
      </c>
      <c r="AU1124" s="1">
        <v>0</v>
      </c>
      <c r="AV1124" s="1">
        <v>0</v>
      </c>
      <c r="AW1124" s="1">
        <v>0</v>
      </c>
      <c r="AX1124" s="1">
        <v>0</v>
      </c>
      <c r="AY1124" s="1">
        <v>0</v>
      </c>
      <c r="AZ1124" s="1">
        <v>0</v>
      </c>
      <c r="BA1124" s="1">
        <v>0</v>
      </c>
      <c r="BB1124" s="1">
        <v>0</v>
      </c>
      <c r="BC1124" s="1">
        <v>0</v>
      </c>
      <c r="BD1124" s="1">
        <v>0</v>
      </c>
      <c r="BE1124" s="1">
        <v>0</v>
      </c>
      <c r="BF1124" s="1">
        <v>0</v>
      </c>
      <c r="BG1124" s="1">
        <v>0</v>
      </c>
      <c r="BH1124" s="1">
        <v>0</v>
      </c>
      <c r="BI1124" s="1">
        <v>0</v>
      </c>
      <c r="BJ1124" s="1">
        <v>0</v>
      </c>
      <c r="BK1124" s="1">
        <v>0</v>
      </c>
      <c r="BL1124" s="1">
        <v>0</v>
      </c>
      <c r="BM1124" s="1">
        <v>0</v>
      </c>
      <c r="BN1124" s="1">
        <v>0</v>
      </c>
      <c r="BO1124" s="1">
        <v>0</v>
      </c>
      <c r="BP1124" s="1">
        <v>0</v>
      </c>
      <c r="BQ1124" s="2" t="str">
        <f>HYPERLINK("http://www.d20pfsrd.com/magic/all-spells/s/symbol-of-slowing","Symbol of Slowing")</f>
        <v>Symbol of Slowing</v>
      </c>
      <c r="BR1124" s="1">
        <v>1166</v>
      </c>
      <c r="BS1124" s="1">
        <v>1000</v>
      </c>
      <c r="BX1124" s="1">
        <v>0</v>
      </c>
      <c r="BY1124" s="1" t="s">
        <v>104</v>
      </c>
      <c r="BZ1124" s="1" t="s">
        <v>104</v>
      </c>
      <c r="CA1124" s="1" t="s">
        <v>104</v>
      </c>
      <c r="CB1124" s="1" t="s">
        <v>104</v>
      </c>
      <c r="CC1124" s="1" t="s">
        <v>104</v>
      </c>
      <c r="CD1124" s="1">
        <v>3</v>
      </c>
      <c r="CE1124" s="1" t="s">
        <v>104</v>
      </c>
      <c r="CF1124" s="1" t="s">
        <v>104</v>
      </c>
      <c r="CG1124" s="1" t="s">
        <v>104</v>
      </c>
      <c r="CH1124" s="1" t="s">
        <v>104</v>
      </c>
      <c r="CJ1124" s="1">
        <v>0</v>
      </c>
      <c r="CK1124" s="1">
        <v>0</v>
      </c>
      <c r="CL1124" s="1">
        <v>0</v>
      </c>
      <c r="CM1124" s="1" t="s">
        <v>104</v>
      </c>
    </row>
    <row r="1125" spans="1:91" ht="14.25" customHeight="1" x14ac:dyDescent="0.3">
      <c r="A1125" s="1" t="s">
        <v>6798</v>
      </c>
      <c r="B1125" s="1" t="s">
        <v>123</v>
      </c>
      <c r="C1125" s="1" t="s">
        <v>124</v>
      </c>
      <c r="D1125" s="1" t="s">
        <v>125</v>
      </c>
      <c r="E1125" s="1" t="s">
        <v>6799</v>
      </c>
      <c r="F1125" s="1" t="s">
        <v>287</v>
      </c>
      <c r="G1125" s="1" t="s">
        <v>6800</v>
      </c>
      <c r="H1125" s="1">
        <v>1</v>
      </c>
      <c r="I1125" s="1" t="s">
        <v>3750</v>
      </c>
      <c r="K1125" s="1" t="s">
        <v>3751</v>
      </c>
      <c r="M1125" s="1" t="s">
        <v>145</v>
      </c>
      <c r="N1125" s="1">
        <v>0</v>
      </c>
      <c r="O1125" s="1">
        <v>0</v>
      </c>
      <c r="P1125" s="1" t="s">
        <v>211</v>
      </c>
      <c r="Q1125" s="1" t="s">
        <v>184</v>
      </c>
      <c r="R1125" s="1" t="s">
        <v>6801</v>
      </c>
      <c r="S1125" s="1" t="s">
        <v>4201</v>
      </c>
      <c r="T1125" s="1">
        <v>1</v>
      </c>
      <c r="U1125" s="1">
        <v>1</v>
      </c>
      <c r="V1125" s="1">
        <v>1</v>
      </c>
      <c r="W1125" s="1">
        <v>0</v>
      </c>
      <c r="X1125" s="1">
        <v>0</v>
      </c>
      <c r="Y1125" s="1">
        <v>9</v>
      </c>
      <c r="Z1125" s="1">
        <v>9</v>
      </c>
      <c r="AA1125" s="1">
        <v>9</v>
      </c>
      <c r="AB1125" s="1" t="s">
        <v>104</v>
      </c>
      <c r="AC1125" s="1" t="s">
        <v>104</v>
      </c>
      <c r="AD1125" s="1" t="s">
        <v>104</v>
      </c>
      <c r="AE1125" s="1" t="s">
        <v>104</v>
      </c>
      <c r="AF1125" s="1" t="s">
        <v>104</v>
      </c>
      <c r="AG1125" s="1" t="s">
        <v>104</v>
      </c>
      <c r="AH1125" s="1">
        <v>9</v>
      </c>
      <c r="AI1125" s="1" t="s">
        <v>104</v>
      </c>
      <c r="AJ1125" s="1">
        <v>9</v>
      </c>
      <c r="AK1125" s="1" t="s">
        <v>104</v>
      </c>
      <c r="AL1125" s="1" t="s">
        <v>104</v>
      </c>
      <c r="AM1125" s="1" t="s">
        <v>104</v>
      </c>
      <c r="AO1125" s="1">
        <v>9</v>
      </c>
      <c r="AP1125" s="1" t="s">
        <v>6802</v>
      </c>
      <c r="AQ1125" s="1" t="s">
        <v>6803</v>
      </c>
      <c r="AR1125" s="1">
        <v>0</v>
      </c>
      <c r="AS1125" s="1">
        <v>0</v>
      </c>
      <c r="AT1125" s="1">
        <v>0</v>
      </c>
      <c r="AU1125" s="1">
        <v>0</v>
      </c>
      <c r="AV1125" s="1">
        <v>0</v>
      </c>
      <c r="AW1125" s="1">
        <v>0</v>
      </c>
      <c r="AX1125" s="1">
        <v>0</v>
      </c>
      <c r="AY1125" s="1">
        <v>0</v>
      </c>
      <c r="AZ1125" s="1">
        <v>0</v>
      </c>
      <c r="BA1125" s="1">
        <v>0</v>
      </c>
      <c r="BB1125" s="1">
        <v>0</v>
      </c>
      <c r="BC1125" s="1">
        <v>0</v>
      </c>
      <c r="BD1125" s="1">
        <v>0</v>
      </c>
      <c r="BE1125" s="1">
        <v>0</v>
      </c>
      <c r="BF1125" s="1">
        <v>0</v>
      </c>
      <c r="BG1125" s="1">
        <v>0</v>
      </c>
      <c r="BH1125" s="1">
        <v>0</v>
      </c>
      <c r="BI1125" s="1">
        <v>0</v>
      </c>
      <c r="BJ1125" s="1">
        <v>0</v>
      </c>
      <c r="BK1125" s="1">
        <v>1</v>
      </c>
      <c r="BL1125" s="1">
        <v>0</v>
      </c>
      <c r="BM1125" s="1">
        <v>0</v>
      </c>
      <c r="BN1125" s="1">
        <v>0</v>
      </c>
      <c r="BO1125" s="1">
        <v>0</v>
      </c>
      <c r="BP1125" s="1">
        <v>0</v>
      </c>
      <c r="BQ1125" s="2" t="str">
        <f>HYPERLINK("http://www.d20pfsrd.com/magic/all-spells/s/symbol-of-strife","Symbol of Strife")</f>
        <v>Symbol of Strife</v>
      </c>
      <c r="BR1125" s="1">
        <v>1167</v>
      </c>
      <c r="BS1125" s="1">
        <v>15000</v>
      </c>
      <c r="BX1125" s="1">
        <v>0</v>
      </c>
      <c r="BY1125" s="1" t="s">
        <v>104</v>
      </c>
      <c r="BZ1125" s="1" t="s">
        <v>104</v>
      </c>
      <c r="CA1125" s="1" t="s">
        <v>104</v>
      </c>
      <c r="CB1125" s="1" t="s">
        <v>104</v>
      </c>
      <c r="CC1125" s="1" t="s">
        <v>104</v>
      </c>
      <c r="CD1125" s="1">
        <v>6</v>
      </c>
      <c r="CE1125" s="1" t="s">
        <v>104</v>
      </c>
      <c r="CF1125" s="1" t="s">
        <v>104</v>
      </c>
      <c r="CG1125" s="1" t="s">
        <v>104</v>
      </c>
      <c r="CH1125" s="1" t="s">
        <v>104</v>
      </c>
      <c r="CJ1125" s="1">
        <v>0</v>
      </c>
      <c r="CK1125" s="1">
        <v>0</v>
      </c>
      <c r="CL1125" s="1">
        <v>0</v>
      </c>
      <c r="CM1125" s="1" t="s">
        <v>104</v>
      </c>
    </row>
    <row r="1126" spans="1:91" ht="14.25" customHeight="1" x14ac:dyDescent="0.3">
      <c r="A1126" s="1" t="s">
        <v>6804</v>
      </c>
      <c r="B1126" s="1" t="s">
        <v>162</v>
      </c>
      <c r="E1126" s="1" t="s">
        <v>6799</v>
      </c>
      <c r="F1126" s="1" t="s">
        <v>287</v>
      </c>
      <c r="G1126" s="1" t="s">
        <v>6800</v>
      </c>
      <c r="H1126" s="1">
        <v>1</v>
      </c>
      <c r="I1126" s="1" t="s">
        <v>3750</v>
      </c>
      <c r="K1126" s="1" t="s">
        <v>3751</v>
      </c>
      <c r="M1126" s="1" t="s">
        <v>145</v>
      </c>
      <c r="N1126" s="1">
        <v>0</v>
      </c>
      <c r="O1126" s="1">
        <v>0</v>
      </c>
      <c r="P1126" s="1" t="s">
        <v>100</v>
      </c>
      <c r="Q1126" s="1" t="s">
        <v>101</v>
      </c>
      <c r="R1126" s="1" t="s">
        <v>6805</v>
      </c>
      <c r="S1126" s="1" t="s">
        <v>4201</v>
      </c>
      <c r="T1126" s="1">
        <v>1</v>
      </c>
      <c r="U1126" s="1">
        <v>1</v>
      </c>
      <c r="V1126" s="1">
        <v>1</v>
      </c>
      <c r="W1126" s="1">
        <v>0</v>
      </c>
      <c r="X1126" s="1">
        <v>0</v>
      </c>
      <c r="Y1126" s="1">
        <v>9</v>
      </c>
      <c r="Z1126" s="1">
        <v>9</v>
      </c>
      <c r="AA1126" s="1">
        <v>9</v>
      </c>
      <c r="AB1126" s="1" t="s">
        <v>104</v>
      </c>
      <c r="AC1126" s="1" t="s">
        <v>104</v>
      </c>
      <c r="AD1126" s="1" t="s">
        <v>104</v>
      </c>
      <c r="AE1126" s="1" t="s">
        <v>104</v>
      </c>
      <c r="AF1126" s="1" t="s">
        <v>104</v>
      </c>
      <c r="AG1126" s="1" t="s">
        <v>104</v>
      </c>
      <c r="AH1126" s="1">
        <v>9</v>
      </c>
      <c r="AI1126" s="1" t="s">
        <v>104</v>
      </c>
      <c r="AJ1126" s="1">
        <v>9</v>
      </c>
      <c r="AK1126" s="1" t="s">
        <v>104</v>
      </c>
      <c r="AL1126" s="1" t="s">
        <v>104</v>
      </c>
      <c r="AM1126" s="1" t="s">
        <v>104</v>
      </c>
      <c r="AO1126" s="1">
        <v>9</v>
      </c>
      <c r="AQ1126" s="1" t="s">
        <v>6806</v>
      </c>
      <c r="AR1126" s="1">
        <v>0</v>
      </c>
      <c r="AS1126" s="1">
        <v>0</v>
      </c>
      <c r="AT1126" s="1">
        <v>0</v>
      </c>
      <c r="AU1126" s="1">
        <v>0</v>
      </c>
      <c r="AV1126" s="1">
        <v>0</v>
      </c>
      <c r="AW1126" s="1">
        <v>0</v>
      </c>
      <c r="AX1126" s="1">
        <v>0</v>
      </c>
      <c r="AY1126" s="1">
        <v>0</v>
      </c>
      <c r="AZ1126" s="1">
        <v>0</v>
      </c>
      <c r="BA1126" s="1">
        <v>0</v>
      </c>
      <c r="BB1126" s="1">
        <v>0</v>
      </c>
      <c r="BC1126" s="1">
        <v>0</v>
      </c>
      <c r="BD1126" s="1">
        <v>0</v>
      </c>
      <c r="BE1126" s="1">
        <v>0</v>
      </c>
      <c r="BF1126" s="1">
        <v>0</v>
      </c>
      <c r="BG1126" s="1">
        <v>0</v>
      </c>
      <c r="BH1126" s="1">
        <v>0</v>
      </c>
      <c r="BI1126" s="1">
        <v>0</v>
      </c>
      <c r="BJ1126" s="1">
        <v>0</v>
      </c>
      <c r="BK1126" s="1">
        <v>0</v>
      </c>
      <c r="BL1126" s="1">
        <v>0</v>
      </c>
      <c r="BM1126" s="1">
        <v>0</v>
      </c>
      <c r="BN1126" s="1">
        <v>0</v>
      </c>
      <c r="BO1126" s="1">
        <v>0</v>
      </c>
      <c r="BP1126" s="1">
        <v>0</v>
      </c>
      <c r="BQ1126" s="2" t="str">
        <f>HYPERLINK("http://www.d20pfsrd.com/magic/all-spells/s/symbol-of-vulnerability","Symbol of Vulnerability")</f>
        <v>Symbol of Vulnerability</v>
      </c>
      <c r="BR1126" s="1">
        <v>1168</v>
      </c>
      <c r="BS1126" s="1">
        <v>15000</v>
      </c>
      <c r="BX1126" s="1">
        <v>0</v>
      </c>
      <c r="BY1126" s="1" t="s">
        <v>104</v>
      </c>
      <c r="BZ1126" s="1" t="s">
        <v>104</v>
      </c>
      <c r="CA1126" s="1" t="s">
        <v>104</v>
      </c>
      <c r="CB1126" s="1" t="s">
        <v>104</v>
      </c>
      <c r="CC1126" s="1" t="s">
        <v>104</v>
      </c>
      <c r="CD1126" s="1">
        <v>6</v>
      </c>
      <c r="CE1126" s="1" t="s">
        <v>104</v>
      </c>
      <c r="CF1126" s="1" t="s">
        <v>104</v>
      </c>
      <c r="CG1126" s="1" t="s">
        <v>104</v>
      </c>
      <c r="CH1126" s="1" t="s">
        <v>104</v>
      </c>
      <c r="CJ1126" s="1">
        <v>0</v>
      </c>
      <c r="CK1126" s="1">
        <v>0</v>
      </c>
      <c r="CL1126" s="1">
        <v>0</v>
      </c>
      <c r="CM1126" s="1" t="s">
        <v>104</v>
      </c>
    </row>
    <row r="1127" spans="1:91" ht="14.25" customHeight="1" x14ac:dyDescent="0.3">
      <c r="A1127" s="1" t="s">
        <v>6807</v>
      </c>
      <c r="B1127" s="1" t="s">
        <v>137</v>
      </c>
      <c r="E1127" s="1" t="s">
        <v>3462</v>
      </c>
      <c r="F1127" s="1" t="s">
        <v>95</v>
      </c>
      <c r="G1127" s="1" t="s">
        <v>6808</v>
      </c>
      <c r="H1127" s="1">
        <v>0</v>
      </c>
      <c r="I1127" s="1" t="s">
        <v>117</v>
      </c>
      <c r="K1127" s="1" t="s">
        <v>6809</v>
      </c>
      <c r="M1127" s="1" t="s">
        <v>119</v>
      </c>
      <c r="N1127" s="1">
        <v>0</v>
      </c>
      <c r="O1127" s="1">
        <v>0</v>
      </c>
      <c r="P1127" s="1" t="s">
        <v>100</v>
      </c>
      <c r="Q1127" s="1" t="s">
        <v>101</v>
      </c>
      <c r="R1127" s="1" t="s">
        <v>6810</v>
      </c>
      <c r="S1127" s="1" t="s">
        <v>4201</v>
      </c>
      <c r="T1127" s="1">
        <v>1</v>
      </c>
      <c r="U1127" s="1">
        <v>1</v>
      </c>
      <c r="V1127" s="1">
        <v>1</v>
      </c>
      <c r="W1127" s="1">
        <v>0</v>
      </c>
      <c r="X1127" s="1">
        <v>0</v>
      </c>
      <c r="Y1127" s="1" t="s">
        <v>104</v>
      </c>
      <c r="Z1127" s="1" t="s">
        <v>104</v>
      </c>
      <c r="AA1127" s="1" t="s">
        <v>104</v>
      </c>
      <c r="AB1127" s="1">
        <v>2</v>
      </c>
      <c r="AC1127" s="1" t="s">
        <v>104</v>
      </c>
      <c r="AD1127" s="1" t="s">
        <v>104</v>
      </c>
      <c r="AE1127" s="1" t="s">
        <v>104</v>
      </c>
      <c r="AF1127" s="1" t="s">
        <v>104</v>
      </c>
      <c r="AG1127" s="1" t="s">
        <v>104</v>
      </c>
      <c r="AH1127" s="1" t="s">
        <v>104</v>
      </c>
      <c r="AI1127" s="1" t="s">
        <v>104</v>
      </c>
      <c r="AJ1127" s="1" t="s">
        <v>104</v>
      </c>
      <c r="AK1127" s="1" t="s">
        <v>104</v>
      </c>
      <c r="AL1127" s="1" t="s">
        <v>104</v>
      </c>
      <c r="AM1127" s="1" t="s">
        <v>104</v>
      </c>
      <c r="AO1127" s="1">
        <v>2</v>
      </c>
      <c r="AQ1127" s="1" t="s">
        <v>6811</v>
      </c>
      <c r="AR1127" s="1">
        <v>0</v>
      </c>
      <c r="AS1127" s="1">
        <v>0</v>
      </c>
      <c r="AT1127" s="1">
        <v>0</v>
      </c>
      <c r="AU1127" s="1">
        <v>0</v>
      </c>
      <c r="AV1127" s="1">
        <v>0</v>
      </c>
      <c r="AW1127" s="1">
        <v>0</v>
      </c>
      <c r="AX1127" s="1">
        <v>0</v>
      </c>
      <c r="AY1127" s="1">
        <v>0</v>
      </c>
      <c r="AZ1127" s="1">
        <v>0</v>
      </c>
      <c r="BA1127" s="1">
        <v>0</v>
      </c>
      <c r="BB1127" s="1">
        <v>0</v>
      </c>
      <c r="BC1127" s="1">
        <v>0</v>
      </c>
      <c r="BD1127" s="1">
        <v>0</v>
      </c>
      <c r="BE1127" s="1">
        <v>0</v>
      </c>
      <c r="BF1127" s="1">
        <v>0</v>
      </c>
      <c r="BG1127" s="1">
        <v>0</v>
      </c>
      <c r="BH1127" s="1">
        <v>0</v>
      </c>
      <c r="BI1127" s="1">
        <v>0</v>
      </c>
      <c r="BJ1127" s="1">
        <v>0</v>
      </c>
      <c r="BK1127" s="1">
        <v>0</v>
      </c>
      <c r="BL1127" s="1">
        <v>0</v>
      </c>
      <c r="BM1127" s="1">
        <v>0</v>
      </c>
      <c r="BN1127" s="1">
        <v>0</v>
      </c>
      <c r="BO1127" s="1">
        <v>0</v>
      </c>
      <c r="BP1127" s="1">
        <v>0</v>
      </c>
      <c r="BQ1127" s="2" t="str">
        <f>HYPERLINK("http://www.d20pfsrd.com/magic/all-spells/t/tar-ball","Tar Ball")</f>
        <v>Tar Ball</v>
      </c>
      <c r="BR1127" s="1">
        <v>1169</v>
      </c>
      <c r="BS1127" s="1" t="s">
        <v>104</v>
      </c>
      <c r="BX1127" s="1">
        <v>0</v>
      </c>
      <c r="BY1127" s="1" t="s">
        <v>104</v>
      </c>
      <c r="BZ1127" s="1" t="s">
        <v>104</v>
      </c>
      <c r="CA1127" s="1" t="s">
        <v>104</v>
      </c>
      <c r="CB1127" s="1" t="s">
        <v>104</v>
      </c>
      <c r="CC1127" s="1" t="s">
        <v>104</v>
      </c>
      <c r="CD1127" s="1" t="s">
        <v>104</v>
      </c>
      <c r="CE1127" s="1" t="s">
        <v>104</v>
      </c>
      <c r="CF1127" s="1" t="s">
        <v>104</v>
      </c>
      <c r="CG1127" s="1" t="s">
        <v>104</v>
      </c>
      <c r="CH1127" s="1">
        <v>2</v>
      </c>
      <c r="CJ1127" s="1">
        <v>0</v>
      </c>
      <c r="CK1127" s="1">
        <v>0</v>
      </c>
      <c r="CL1127" s="1">
        <v>0</v>
      </c>
      <c r="CM1127" s="1" t="s">
        <v>104</v>
      </c>
    </row>
    <row r="1128" spans="1:91" ht="14.25" customHeight="1" x14ac:dyDescent="0.3">
      <c r="A1128" s="1" t="s">
        <v>6812</v>
      </c>
      <c r="B1128" s="1" t="s">
        <v>216</v>
      </c>
      <c r="E1128" s="1" t="s">
        <v>6813</v>
      </c>
      <c r="F1128" s="1" t="s">
        <v>287</v>
      </c>
      <c r="G1128" s="1" t="s">
        <v>6814</v>
      </c>
      <c r="H1128" s="1">
        <v>1</v>
      </c>
      <c r="I1128" s="1" t="s">
        <v>128</v>
      </c>
      <c r="L1128" s="1" t="s">
        <v>2992</v>
      </c>
      <c r="M1128" s="1" t="s">
        <v>341</v>
      </c>
      <c r="N1128" s="1">
        <v>0</v>
      </c>
      <c r="O1128" s="1">
        <v>0</v>
      </c>
      <c r="R1128" s="1" t="s">
        <v>6815</v>
      </c>
      <c r="S1128" s="1" t="s">
        <v>4201</v>
      </c>
      <c r="T1128" s="1">
        <v>1</v>
      </c>
      <c r="U1128" s="1">
        <v>1</v>
      </c>
      <c r="V1128" s="1">
        <v>1</v>
      </c>
      <c r="W1128" s="1">
        <v>0</v>
      </c>
      <c r="X1128" s="1">
        <v>0</v>
      </c>
      <c r="Y1128" s="1">
        <v>7</v>
      </c>
      <c r="Z1128" s="1">
        <v>7</v>
      </c>
      <c r="AA1128" s="1" t="s">
        <v>104</v>
      </c>
      <c r="AB1128" s="1" t="s">
        <v>104</v>
      </c>
      <c r="AC1128" s="1" t="s">
        <v>104</v>
      </c>
      <c r="AD1128" s="1" t="s">
        <v>104</v>
      </c>
      <c r="AE1128" s="1" t="s">
        <v>104</v>
      </c>
      <c r="AF1128" s="1" t="s">
        <v>104</v>
      </c>
      <c r="AG1128" s="1" t="s">
        <v>104</v>
      </c>
      <c r="AH1128" s="1">
        <v>7</v>
      </c>
      <c r="AI1128" s="1" t="s">
        <v>104</v>
      </c>
      <c r="AJ1128" s="1" t="s">
        <v>104</v>
      </c>
      <c r="AK1128" s="1" t="s">
        <v>104</v>
      </c>
      <c r="AL1128" s="1" t="s">
        <v>104</v>
      </c>
      <c r="AM1128" s="1" t="s">
        <v>104</v>
      </c>
      <c r="AO1128" s="1">
        <v>7</v>
      </c>
      <c r="AQ1128" s="1" t="s">
        <v>6816</v>
      </c>
      <c r="AR1128" s="1">
        <v>0</v>
      </c>
      <c r="AS1128" s="1">
        <v>0</v>
      </c>
      <c r="AT1128" s="1">
        <v>0</v>
      </c>
      <c r="AU1128" s="1">
        <v>0</v>
      </c>
      <c r="AV1128" s="1">
        <v>0</v>
      </c>
      <c r="AW1128" s="1">
        <v>0</v>
      </c>
      <c r="AX1128" s="1">
        <v>0</v>
      </c>
      <c r="AY1128" s="1">
        <v>0</v>
      </c>
      <c r="AZ1128" s="1">
        <v>0</v>
      </c>
      <c r="BA1128" s="1">
        <v>0</v>
      </c>
      <c r="BB1128" s="1">
        <v>0</v>
      </c>
      <c r="BC1128" s="1">
        <v>0</v>
      </c>
      <c r="BD1128" s="1">
        <v>0</v>
      </c>
      <c r="BE1128" s="1">
        <v>0</v>
      </c>
      <c r="BF1128" s="1">
        <v>0</v>
      </c>
      <c r="BG1128" s="1">
        <v>0</v>
      </c>
      <c r="BH1128" s="1">
        <v>0</v>
      </c>
      <c r="BI1128" s="1">
        <v>0</v>
      </c>
      <c r="BJ1128" s="1">
        <v>0</v>
      </c>
      <c r="BK1128" s="1">
        <v>0</v>
      </c>
      <c r="BL1128" s="1">
        <v>0</v>
      </c>
      <c r="BM1128" s="1">
        <v>0</v>
      </c>
      <c r="BN1128" s="1">
        <v>0</v>
      </c>
      <c r="BO1128" s="1">
        <v>0</v>
      </c>
      <c r="BP1128" s="1">
        <v>0</v>
      </c>
      <c r="BQ1128" s="2" t="str">
        <f>HYPERLINK("http://www.d20pfsrd.com/magic/all-spells/t/temporary-resurrection","Temporary Resurrection")</f>
        <v>Temporary Resurrection</v>
      </c>
      <c r="BR1128" s="1">
        <v>1170</v>
      </c>
      <c r="BS1128" s="1">
        <v>500</v>
      </c>
      <c r="BX1128" s="1">
        <v>0</v>
      </c>
      <c r="BY1128" s="1" t="s">
        <v>104</v>
      </c>
      <c r="BZ1128" s="1" t="s">
        <v>104</v>
      </c>
      <c r="CA1128" s="1">
        <v>7</v>
      </c>
      <c r="CB1128" s="1" t="s">
        <v>104</v>
      </c>
      <c r="CC1128" s="1" t="s">
        <v>104</v>
      </c>
      <c r="CD1128" s="1">
        <v>6</v>
      </c>
      <c r="CE1128" s="1" t="s">
        <v>104</v>
      </c>
      <c r="CF1128" s="1" t="s">
        <v>104</v>
      </c>
      <c r="CG1128" s="1" t="s">
        <v>104</v>
      </c>
      <c r="CH1128" s="1" t="s">
        <v>104</v>
      </c>
      <c r="CJ1128" s="1">
        <v>0</v>
      </c>
      <c r="CK1128" s="1">
        <v>0</v>
      </c>
      <c r="CL1128" s="1">
        <v>0</v>
      </c>
      <c r="CM1128" s="1" t="s">
        <v>104</v>
      </c>
    </row>
    <row r="1129" spans="1:91" ht="14.25" customHeight="1" x14ac:dyDescent="0.3">
      <c r="A1129" s="1" t="s">
        <v>6817</v>
      </c>
      <c r="B1129" s="1" t="s">
        <v>123</v>
      </c>
      <c r="C1129" s="1" t="s">
        <v>124</v>
      </c>
      <c r="D1129" s="1" t="s">
        <v>6034</v>
      </c>
      <c r="E1129" s="1" t="s">
        <v>6818</v>
      </c>
      <c r="F1129" s="1" t="s">
        <v>95</v>
      </c>
      <c r="G1129" s="1" t="s">
        <v>116</v>
      </c>
      <c r="H1129" s="1">
        <v>0</v>
      </c>
      <c r="I1129" s="1" t="s">
        <v>117</v>
      </c>
      <c r="L1129" s="1" t="s">
        <v>6819</v>
      </c>
      <c r="M1129" s="1" t="s">
        <v>111</v>
      </c>
      <c r="N1129" s="1">
        <v>0</v>
      </c>
      <c r="O1129" s="1">
        <v>0</v>
      </c>
      <c r="P1129" s="1" t="s">
        <v>5901</v>
      </c>
      <c r="Q1129" s="1" t="s">
        <v>184</v>
      </c>
      <c r="R1129" s="1" t="s">
        <v>6820</v>
      </c>
      <c r="S1129" s="1" t="s">
        <v>4201</v>
      </c>
      <c r="T1129" s="1">
        <v>1</v>
      </c>
      <c r="U1129" s="1">
        <v>1</v>
      </c>
      <c r="V1129" s="1">
        <v>0</v>
      </c>
      <c r="W1129" s="1">
        <v>0</v>
      </c>
      <c r="X1129" s="1">
        <v>0</v>
      </c>
      <c r="Y1129" s="1">
        <v>4</v>
      </c>
      <c r="Z1129" s="1">
        <v>4</v>
      </c>
      <c r="AA1129" s="1">
        <v>4</v>
      </c>
      <c r="AB1129" s="1" t="s">
        <v>104</v>
      </c>
      <c r="AC1129" s="1" t="s">
        <v>104</v>
      </c>
      <c r="AD1129" s="1">
        <v>3</v>
      </c>
      <c r="AE1129" s="1" t="s">
        <v>104</v>
      </c>
      <c r="AF1129" s="1" t="s">
        <v>104</v>
      </c>
      <c r="AG1129" s="1" t="s">
        <v>104</v>
      </c>
      <c r="AH1129" s="1" t="s">
        <v>104</v>
      </c>
      <c r="AI1129" s="1">
        <v>3</v>
      </c>
      <c r="AJ1129" s="1">
        <v>4</v>
      </c>
      <c r="AK1129" s="1" t="s">
        <v>104</v>
      </c>
      <c r="AL1129" s="1" t="s">
        <v>104</v>
      </c>
      <c r="AM1129" s="1" t="s">
        <v>104</v>
      </c>
      <c r="AO1129" s="1">
        <v>4</v>
      </c>
      <c r="AQ1129" s="1" t="s">
        <v>6821</v>
      </c>
      <c r="AR1129" s="1">
        <v>0</v>
      </c>
      <c r="AS1129" s="1">
        <v>0</v>
      </c>
      <c r="AT1129" s="1">
        <v>0</v>
      </c>
      <c r="AU1129" s="1">
        <v>0</v>
      </c>
      <c r="AV1129" s="1">
        <v>0</v>
      </c>
      <c r="AW1129" s="1">
        <v>0</v>
      </c>
      <c r="AX1129" s="1">
        <v>0</v>
      </c>
      <c r="AY1129" s="1">
        <v>0</v>
      </c>
      <c r="AZ1129" s="1">
        <v>0</v>
      </c>
      <c r="BA1129" s="1">
        <v>0</v>
      </c>
      <c r="BB1129" s="1">
        <v>1</v>
      </c>
      <c r="BC1129" s="1">
        <v>0</v>
      </c>
      <c r="BD1129" s="1">
        <v>0</v>
      </c>
      <c r="BE1129" s="1">
        <v>0</v>
      </c>
      <c r="BF1129" s="1">
        <v>0</v>
      </c>
      <c r="BG1129" s="1">
        <v>0</v>
      </c>
      <c r="BH1129" s="1">
        <v>0</v>
      </c>
      <c r="BI1129" s="1">
        <v>0</v>
      </c>
      <c r="BJ1129" s="1">
        <v>0</v>
      </c>
      <c r="BK1129" s="1">
        <v>1</v>
      </c>
      <c r="BL1129" s="1">
        <v>0</v>
      </c>
      <c r="BM1129" s="1">
        <v>0</v>
      </c>
      <c r="BN1129" s="1">
        <v>0</v>
      </c>
      <c r="BO1129" s="1">
        <v>0</v>
      </c>
      <c r="BP1129" s="1">
        <v>0</v>
      </c>
      <c r="BQ1129" s="2" t="str">
        <f>HYPERLINK("http://www.d20pfsrd.com/magic/all-spells/t/terrible-remorse","Terrible Remorse")</f>
        <v>Terrible Remorse</v>
      </c>
      <c r="BR1129" s="1">
        <v>1171</v>
      </c>
      <c r="BS1129" s="1" t="s">
        <v>104</v>
      </c>
      <c r="BX1129" s="1">
        <v>0</v>
      </c>
      <c r="BY1129" s="1" t="s">
        <v>104</v>
      </c>
      <c r="BZ1129" s="1" t="s">
        <v>104</v>
      </c>
      <c r="CA1129" s="1">
        <v>4</v>
      </c>
      <c r="CB1129" s="1" t="s">
        <v>104</v>
      </c>
      <c r="CC1129" s="1">
        <v>3</v>
      </c>
      <c r="CD1129" s="1" t="s">
        <v>104</v>
      </c>
      <c r="CE1129" s="1">
        <v>4</v>
      </c>
      <c r="CF1129" s="1" t="s">
        <v>104</v>
      </c>
      <c r="CG1129" s="1" t="s">
        <v>104</v>
      </c>
      <c r="CH1129" s="1" t="s">
        <v>104</v>
      </c>
      <c r="CJ1129" s="1">
        <v>0</v>
      </c>
      <c r="CK1129" s="1">
        <v>0</v>
      </c>
      <c r="CL1129" s="1">
        <v>0</v>
      </c>
      <c r="CM1129" s="1" t="s">
        <v>104</v>
      </c>
    </row>
    <row r="1130" spans="1:91" ht="14.25" customHeight="1" x14ac:dyDescent="0.3">
      <c r="A1130" s="1" t="s">
        <v>6822</v>
      </c>
      <c r="B1130" s="1" t="s">
        <v>92</v>
      </c>
      <c r="C1130" s="1" t="s">
        <v>93</v>
      </c>
      <c r="D1130" s="1" t="s">
        <v>50</v>
      </c>
      <c r="E1130" s="1" t="s">
        <v>6823</v>
      </c>
      <c r="F1130" s="1" t="s">
        <v>95</v>
      </c>
      <c r="G1130" s="1" t="s">
        <v>6824</v>
      </c>
      <c r="H1130" s="1">
        <v>0</v>
      </c>
      <c r="I1130" s="1" t="s">
        <v>128</v>
      </c>
      <c r="L1130" s="1" t="s">
        <v>129</v>
      </c>
      <c r="M1130" s="1" t="s">
        <v>119</v>
      </c>
      <c r="N1130" s="1">
        <v>0</v>
      </c>
      <c r="O1130" s="1">
        <v>0</v>
      </c>
      <c r="P1130" s="1" t="s">
        <v>183</v>
      </c>
      <c r="Q1130" s="1" t="s">
        <v>184</v>
      </c>
      <c r="R1130" s="1" t="s">
        <v>6825</v>
      </c>
      <c r="S1130" s="1" t="s">
        <v>4201</v>
      </c>
      <c r="T1130" s="1">
        <v>1</v>
      </c>
      <c r="U1130" s="1">
        <v>1</v>
      </c>
      <c r="V1130" s="1">
        <v>1</v>
      </c>
      <c r="W1130" s="1">
        <v>0</v>
      </c>
      <c r="X1130" s="1">
        <v>0</v>
      </c>
      <c r="Y1130" s="1">
        <v>4</v>
      </c>
      <c r="Z1130" s="1">
        <v>4</v>
      </c>
      <c r="AA1130" s="1" t="s">
        <v>104</v>
      </c>
      <c r="AB1130" s="1">
        <v>4</v>
      </c>
      <c r="AC1130" s="1" t="s">
        <v>104</v>
      </c>
      <c r="AD1130" s="1" t="s">
        <v>104</v>
      </c>
      <c r="AE1130" s="1" t="s">
        <v>104</v>
      </c>
      <c r="AF1130" s="1">
        <v>4</v>
      </c>
      <c r="AG1130" s="1" t="s">
        <v>104</v>
      </c>
      <c r="AH1130" s="1">
        <v>4</v>
      </c>
      <c r="AI1130" s="1" t="s">
        <v>104</v>
      </c>
      <c r="AJ1130" s="1" t="s">
        <v>104</v>
      </c>
      <c r="AK1130" s="1" t="s">
        <v>104</v>
      </c>
      <c r="AL1130" s="1" t="s">
        <v>104</v>
      </c>
      <c r="AM1130" s="1" t="s">
        <v>104</v>
      </c>
      <c r="AO1130" s="1">
        <v>4</v>
      </c>
      <c r="AQ1130" s="1" t="s">
        <v>6826</v>
      </c>
      <c r="AR1130" s="1">
        <v>0</v>
      </c>
      <c r="AS1130" s="1">
        <v>0</v>
      </c>
      <c r="AT1130" s="1">
        <v>0</v>
      </c>
      <c r="AU1130" s="1">
        <v>0</v>
      </c>
      <c r="AV1130" s="1">
        <v>0</v>
      </c>
      <c r="AW1130" s="1">
        <v>0</v>
      </c>
      <c r="AX1130" s="1">
        <v>0</v>
      </c>
      <c r="AY1130" s="1">
        <v>1</v>
      </c>
      <c r="AZ1130" s="1">
        <v>0</v>
      </c>
      <c r="BA1130" s="1">
        <v>0</v>
      </c>
      <c r="BB1130" s="1">
        <v>0</v>
      </c>
      <c r="BC1130" s="1">
        <v>0</v>
      </c>
      <c r="BD1130" s="1">
        <v>0</v>
      </c>
      <c r="BE1130" s="1">
        <v>0</v>
      </c>
      <c r="BF1130" s="1">
        <v>0</v>
      </c>
      <c r="BG1130" s="1">
        <v>0</v>
      </c>
      <c r="BH1130" s="1">
        <v>0</v>
      </c>
      <c r="BI1130" s="1">
        <v>0</v>
      </c>
      <c r="BJ1130" s="1">
        <v>0</v>
      </c>
      <c r="BK1130" s="1">
        <v>0</v>
      </c>
      <c r="BL1130" s="1">
        <v>0</v>
      </c>
      <c r="BM1130" s="1">
        <v>0</v>
      </c>
      <c r="BN1130" s="1">
        <v>0</v>
      </c>
      <c r="BO1130" s="1">
        <v>0</v>
      </c>
      <c r="BP1130" s="1">
        <v>0</v>
      </c>
      <c r="BQ1130" s="2" t="str">
        <f>HYPERLINK("http://www.d20pfsrd.com/magic/all-spells/t/touch-of-slime","Touch of Slime")</f>
        <v>Touch of Slime</v>
      </c>
      <c r="BR1130" s="1">
        <v>1172</v>
      </c>
      <c r="BS1130" s="1" t="s">
        <v>104</v>
      </c>
      <c r="BX1130" s="1">
        <v>0</v>
      </c>
      <c r="BY1130" s="1">
        <v>4</v>
      </c>
      <c r="BZ1130" s="1" t="s">
        <v>104</v>
      </c>
      <c r="CA1130" s="1">
        <v>4</v>
      </c>
      <c r="CB1130" s="1" t="s">
        <v>104</v>
      </c>
      <c r="CC1130" s="1" t="s">
        <v>104</v>
      </c>
      <c r="CD1130" s="1" t="s">
        <v>104</v>
      </c>
      <c r="CE1130" s="1" t="s">
        <v>104</v>
      </c>
      <c r="CF1130" s="1" t="s">
        <v>104</v>
      </c>
      <c r="CG1130" s="1" t="s">
        <v>104</v>
      </c>
      <c r="CH1130" s="1">
        <v>4</v>
      </c>
      <c r="CJ1130" s="1">
        <v>0</v>
      </c>
      <c r="CK1130" s="1">
        <v>0</v>
      </c>
      <c r="CL1130" s="1">
        <v>0</v>
      </c>
      <c r="CM1130" s="1" t="s">
        <v>104</v>
      </c>
    </row>
    <row r="1131" spans="1:91" ht="14.25" customHeight="1" x14ac:dyDescent="0.3">
      <c r="A1131" s="1" t="s">
        <v>6827</v>
      </c>
      <c r="B1131" s="1" t="s">
        <v>216</v>
      </c>
      <c r="D1131" s="1" t="s">
        <v>64</v>
      </c>
      <c r="E1131" s="1" t="s">
        <v>6828</v>
      </c>
      <c r="F1131" s="1" t="s">
        <v>95</v>
      </c>
      <c r="G1131" s="1" t="s">
        <v>116</v>
      </c>
      <c r="H1131" s="1">
        <v>0</v>
      </c>
      <c r="I1131" s="1" t="s">
        <v>128</v>
      </c>
      <c r="L1131" s="1" t="s">
        <v>129</v>
      </c>
      <c r="M1131" s="1" t="s">
        <v>723</v>
      </c>
      <c r="N1131" s="1">
        <v>0</v>
      </c>
      <c r="O1131" s="1">
        <v>0</v>
      </c>
      <c r="P1131" s="1" t="s">
        <v>4583</v>
      </c>
      <c r="Q1131" s="1" t="s">
        <v>184</v>
      </c>
      <c r="R1131" s="1" t="s">
        <v>6829</v>
      </c>
      <c r="S1131" s="1" t="s">
        <v>4201</v>
      </c>
      <c r="T1131" s="1">
        <v>1</v>
      </c>
      <c r="U1131" s="1">
        <v>1</v>
      </c>
      <c r="V1131" s="1">
        <v>0</v>
      </c>
      <c r="W1131" s="1">
        <v>0</v>
      </c>
      <c r="X1131" s="1">
        <v>0</v>
      </c>
      <c r="Y1131" s="1">
        <v>3</v>
      </c>
      <c r="Z1131" s="1">
        <v>3</v>
      </c>
      <c r="AA1131" s="1" t="s">
        <v>104</v>
      </c>
      <c r="AB1131" s="1" t="s">
        <v>104</v>
      </c>
      <c r="AC1131" s="1" t="s">
        <v>104</v>
      </c>
      <c r="AD1131" s="1" t="s">
        <v>104</v>
      </c>
      <c r="AE1131" s="1" t="s">
        <v>104</v>
      </c>
      <c r="AF1131" s="1" t="s">
        <v>104</v>
      </c>
      <c r="AG1131" s="1" t="s">
        <v>104</v>
      </c>
      <c r="AH1131" s="1" t="s">
        <v>104</v>
      </c>
      <c r="AI1131" s="1" t="s">
        <v>104</v>
      </c>
      <c r="AJ1131" s="1" t="s">
        <v>104</v>
      </c>
      <c r="AK1131" s="1">
        <v>2</v>
      </c>
      <c r="AL1131" s="1" t="s">
        <v>104</v>
      </c>
      <c r="AM1131" s="1" t="s">
        <v>104</v>
      </c>
      <c r="AO1131" s="1">
        <v>3</v>
      </c>
      <c r="AQ1131" s="1" t="s">
        <v>6830</v>
      </c>
      <c r="AR1131" s="1">
        <v>0</v>
      </c>
      <c r="AS1131" s="1">
        <v>0</v>
      </c>
      <c r="AT1131" s="1">
        <v>0</v>
      </c>
      <c r="AU1131" s="1">
        <v>0</v>
      </c>
      <c r="AV1131" s="1">
        <v>0</v>
      </c>
      <c r="AW1131" s="1">
        <v>0</v>
      </c>
      <c r="AX1131" s="1">
        <v>0</v>
      </c>
      <c r="AY1131" s="1">
        <v>0</v>
      </c>
      <c r="AZ1131" s="1">
        <v>0</v>
      </c>
      <c r="BA1131" s="1">
        <v>0</v>
      </c>
      <c r="BB1131" s="1">
        <v>0</v>
      </c>
      <c r="BC1131" s="1">
        <v>0</v>
      </c>
      <c r="BD1131" s="1">
        <v>0</v>
      </c>
      <c r="BE1131" s="1">
        <v>0</v>
      </c>
      <c r="BF1131" s="1">
        <v>0</v>
      </c>
      <c r="BG1131" s="1">
        <v>0</v>
      </c>
      <c r="BH1131" s="1">
        <v>0</v>
      </c>
      <c r="BI1131" s="1">
        <v>0</v>
      </c>
      <c r="BJ1131" s="1">
        <v>0</v>
      </c>
      <c r="BK1131" s="1">
        <v>0</v>
      </c>
      <c r="BL1131" s="1">
        <v>0</v>
      </c>
      <c r="BM1131" s="1">
        <v>1</v>
      </c>
      <c r="BN1131" s="1">
        <v>0</v>
      </c>
      <c r="BO1131" s="1">
        <v>0</v>
      </c>
      <c r="BP1131" s="1">
        <v>0</v>
      </c>
      <c r="BQ1131" s="2" t="str">
        <f>HYPERLINK("http://www.d20pfsrd.com/magic/all-spells/t/toxic-gift","Toxic Gift")</f>
        <v>Toxic Gift</v>
      </c>
      <c r="BR1131" s="1">
        <v>1173</v>
      </c>
      <c r="BS1131" s="1" t="s">
        <v>104</v>
      </c>
      <c r="BX1131" s="1">
        <v>0</v>
      </c>
      <c r="BY1131" s="1" t="s">
        <v>104</v>
      </c>
      <c r="BZ1131" s="1" t="s">
        <v>104</v>
      </c>
      <c r="CA1131" s="1" t="s">
        <v>104</v>
      </c>
      <c r="CB1131" s="1" t="s">
        <v>104</v>
      </c>
      <c r="CC1131" s="1" t="s">
        <v>104</v>
      </c>
      <c r="CD1131" s="1">
        <v>3</v>
      </c>
      <c r="CE1131" s="1" t="s">
        <v>104</v>
      </c>
      <c r="CF1131" s="1" t="s">
        <v>104</v>
      </c>
      <c r="CG1131" s="1" t="s">
        <v>104</v>
      </c>
      <c r="CH1131" s="1" t="s">
        <v>104</v>
      </c>
      <c r="CJ1131" s="1">
        <v>0</v>
      </c>
      <c r="CK1131" s="1">
        <v>0</v>
      </c>
      <c r="CL1131" s="1">
        <v>0</v>
      </c>
      <c r="CM1131" s="1" t="s">
        <v>104</v>
      </c>
    </row>
    <row r="1132" spans="1:91" ht="14.25" customHeight="1" x14ac:dyDescent="0.3">
      <c r="A1132" s="1" t="s">
        <v>6831</v>
      </c>
      <c r="B1132" s="1" t="s">
        <v>137</v>
      </c>
      <c r="D1132" s="1" t="s">
        <v>6832</v>
      </c>
      <c r="E1132" s="1" t="s">
        <v>919</v>
      </c>
      <c r="F1132" s="1" t="s">
        <v>95</v>
      </c>
      <c r="G1132" s="1" t="s">
        <v>6833</v>
      </c>
      <c r="H1132" s="1">
        <v>1</v>
      </c>
      <c r="I1132" s="1" t="s">
        <v>117</v>
      </c>
      <c r="L1132" s="1" t="s">
        <v>417</v>
      </c>
      <c r="M1132" s="1" t="s">
        <v>6834</v>
      </c>
      <c r="N1132" s="1">
        <v>0</v>
      </c>
      <c r="O1132" s="1">
        <v>0</v>
      </c>
      <c r="P1132" s="1" t="s">
        <v>2051</v>
      </c>
      <c r="Q1132" s="1" t="s">
        <v>184</v>
      </c>
      <c r="R1132" s="1" t="s">
        <v>6835</v>
      </c>
      <c r="S1132" s="1" t="s">
        <v>4201</v>
      </c>
      <c r="T1132" s="1">
        <v>1</v>
      </c>
      <c r="U1132" s="1">
        <v>1</v>
      </c>
      <c r="V1132" s="1">
        <v>1</v>
      </c>
      <c r="W1132" s="1">
        <v>0</v>
      </c>
      <c r="X1132" s="1">
        <v>0</v>
      </c>
      <c r="Y1132" s="1">
        <v>9</v>
      </c>
      <c r="Z1132" s="1">
        <v>9</v>
      </c>
      <c r="AA1132" s="1" t="s">
        <v>104</v>
      </c>
      <c r="AB1132" s="1" t="s">
        <v>104</v>
      </c>
      <c r="AC1132" s="1" t="s">
        <v>104</v>
      </c>
      <c r="AD1132" s="1" t="s">
        <v>104</v>
      </c>
      <c r="AE1132" s="1" t="s">
        <v>104</v>
      </c>
      <c r="AF1132" s="1" t="s">
        <v>104</v>
      </c>
      <c r="AG1132" s="1" t="s">
        <v>104</v>
      </c>
      <c r="AH1132" s="1" t="s">
        <v>104</v>
      </c>
      <c r="AI1132" s="1" t="s">
        <v>104</v>
      </c>
      <c r="AJ1132" s="1" t="s">
        <v>104</v>
      </c>
      <c r="AK1132" s="1" t="s">
        <v>104</v>
      </c>
      <c r="AL1132" s="1" t="s">
        <v>104</v>
      </c>
      <c r="AM1132" s="1" t="s">
        <v>104</v>
      </c>
      <c r="AO1132" s="1">
        <v>9</v>
      </c>
      <c r="AQ1132" s="1" t="s">
        <v>6836</v>
      </c>
      <c r="AR1132" s="1">
        <v>1</v>
      </c>
      <c r="AS1132" s="1">
        <v>0</v>
      </c>
      <c r="AT1132" s="1">
        <v>0</v>
      </c>
      <c r="AU1132" s="1">
        <v>0</v>
      </c>
      <c r="AV1132" s="1">
        <v>0</v>
      </c>
      <c r="AW1132" s="1">
        <v>0</v>
      </c>
      <c r="AX1132" s="1">
        <v>0</v>
      </c>
      <c r="AY1132" s="1">
        <v>0</v>
      </c>
      <c r="AZ1132" s="1">
        <v>0</v>
      </c>
      <c r="BA1132" s="1">
        <v>0</v>
      </c>
      <c r="BB1132" s="1">
        <v>0</v>
      </c>
      <c r="BC1132" s="1">
        <v>0</v>
      </c>
      <c r="BD1132" s="1">
        <v>0</v>
      </c>
      <c r="BE1132" s="1">
        <v>0</v>
      </c>
      <c r="BF1132" s="1">
        <v>0</v>
      </c>
      <c r="BG1132" s="1">
        <v>0</v>
      </c>
      <c r="BH1132" s="1">
        <v>0</v>
      </c>
      <c r="BI1132" s="1">
        <v>0</v>
      </c>
      <c r="BJ1132" s="1">
        <v>0</v>
      </c>
      <c r="BK1132" s="1">
        <v>0</v>
      </c>
      <c r="BL1132" s="1">
        <v>1</v>
      </c>
      <c r="BM1132" s="1">
        <v>0</v>
      </c>
      <c r="BN1132" s="1">
        <v>0</v>
      </c>
      <c r="BO1132" s="1">
        <v>0</v>
      </c>
      <c r="BP1132" s="1">
        <v>0</v>
      </c>
      <c r="BQ1132" s="2" t="str">
        <f>HYPERLINK("http://www.d20pfsrd.com/magic/all-spells/t/transmute-blood-to-acid","Transmute Blood To Acid")</f>
        <v>Transmute Blood To Acid</v>
      </c>
      <c r="BR1132" s="1">
        <v>1174</v>
      </c>
      <c r="BS1132" s="1">
        <v>10</v>
      </c>
      <c r="BX1132" s="1">
        <v>0</v>
      </c>
      <c r="BY1132" s="1" t="s">
        <v>104</v>
      </c>
      <c r="BZ1132" s="1" t="s">
        <v>104</v>
      </c>
      <c r="CA1132" s="1">
        <v>9</v>
      </c>
      <c r="CB1132" s="1" t="s">
        <v>104</v>
      </c>
      <c r="CC1132" s="1" t="s">
        <v>104</v>
      </c>
      <c r="CD1132" s="1" t="s">
        <v>104</v>
      </c>
      <c r="CE1132" s="1" t="s">
        <v>104</v>
      </c>
      <c r="CF1132" s="1" t="s">
        <v>104</v>
      </c>
      <c r="CG1132" s="1" t="s">
        <v>104</v>
      </c>
      <c r="CH1132" s="1" t="s">
        <v>104</v>
      </c>
      <c r="CJ1132" s="1">
        <v>0</v>
      </c>
      <c r="CK1132" s="1">
        <v>0</v>
      </c>
      <c r="CL1132" s="1">
        <v>0</v>
      </c>
      <c r="CM1132" s="1" t="s">
        <v>104</v>
      </c>
    </row>
    <row r="1133" spans="1:91" ht="14.25" customHeight="1" x14ac:dyDescent="0.3">
      <c r="A1133" s="1" t="s">
        <v>6837</v>
      </c>
      <c r="B1133" s="1" t="s">
        <v>123</v>
      </c>
      <c r="C1133" s="1" t="s">
        <v>124</v>
      </c>
      <c r="D1133" s="1" t="s">
        <v>6034</v>
      </c>
      <c r="E1133" s="1" t="s">
        <v>6838</v>
      </c>
      <c r="F1133" s="1" t="s">
        <v>95</v>
      </c>
      <c r="G1133" s="1" t="s">
        <v>913</v>
      </c>
      <c r="H1133" s="1">
        <v>0</v>
      </c>
      <c r="I1133" s="1" t="s">
        <v>117</v>
      </c>
      <c r="L1133" s="1" t="s">
        <v>1065</v>
      </c>
      <c r="M1133" s="1" t="s">
        <v>194</v>
      </c>
      <c r="N1133" s="1">
        <v>0</v>
      </c>
      <c r="O1133" s="1">
        <v>0</v>
      </c>
      <c r="P1133" s="1" t="s">
        <v>211</v>
      </c>
      <c r="Q1133" s="1" t="s">
        <v>184</v>
      </c>
      <c r="R1133" s="1" t="s">
        <v>6839</v>
      </c>
      <c r="S1133" s="1" t="s">
        <v>4201</v>
      </c>
      <c r="T1133" s="1">
        <v>1</v>
      </c>
      <c r="U1133" s="1">
        <v>1</v>
      </c>
      <c r="V1133" s="1">
        <v>1</v>
      </c>
      <c r="W1133" s="1">
        <v>0</v>
      </c>
      <c r="X1133" s="1">
        <v>0</v>
      </c>
      <c r="Y1133" s="1">
        <v>3</v>
      </c>
      <c r="Z1133" s="1">
        <v>3</v>
      </c>
      <c r="AA1133" s="1" t="s">
        <v>104</v>
      </c>
      <c r="AB1133" s="1" t="s">
        <v>104</v>
      </c>
      <c r="AC1133" s="1" t="s">
        <v>104</v>
      </c>
      <c r="AD1133" s="1">
        <v>2</v>
      </c>
      <c r="AE1133" s="1" t="s">
        <v>104</v>
      </c>
      <c r="AF1133" s="1" t="s">
        <v>104</v>
      </c>
      <c r="AG1133" s="1" t="s">
        <v>104</v>
      </c>
      <c r="AH1133" s="1">
        <v>3</v>
      </c>
      <c r="AI1133" s="1" t="s">
        <v>104</v>
      </c>
      <c r="AJ1133" s="1" t="s">
        <v>104</v>
      </c>
      <c r="AK1133" s="1">
        <v>2</v>
      </c>
      <c r="AL1133" s="1" t="s">
        <v>104</v>
      </c>
      <c r="AM1133" s="1" t="s">
        <v>104</v>
      </c>
      <c r="AO1133" s="1">
        <v>3</v>
      </c>
      <c r="AQ1133" s="1" t="s">
        <v>6840</v>
      </c>
      <c r="AR1133" s="1">
        <v>0</v>
      </c>
      <c r="AS1133" s="1">
        <v>0</v>
      </c>
      <c r="AT1133" s="1">
        <v>0</v>
      </c>
      <c r="AU1133" s="1">
        <v>0</v>
      </c>
      <c r="AV1133" s="1">
        <v>0</v>
      </c>
      <c r="AW1133" s="1">
        <v>0</v>
      </c>
      <c r="AX1133" s="1">
        <v>0</v>
      </c>
      <c r="AY1133" s="1">
        <v>0</v>
      </c>
      <c r="AZ1133" s="1">
        <v>0</v>
      </c>
      <c r="BA1133" s="1">
        <v>0</v>
      </c>
      <c r="BB1133" s="1">
        <v>1</v>
      </c>
      <c r="BC1133" s="1">
        <v>0</v>
      </c>
      <c r="BD1133" s="1">
        <v>0</v>
      </c>
      <c r="BE1133" s="1">
        <v>0</v>
      </c>
      <c r="BF1133" s="1">
        <v>0</v>
      </c>
      <c r="BG1133" s="1">
        <v>0</v>
      </c>
      <c r="BH1133" s="1">
        <v>0</v>
      </c>
      <c r="BI1133" s="1">
        <v>0</v>
      </c>
      <c r="BJ1133" s="1">
        <v>0</v>
      </c>
      <c r="BK1133" s="1">
        <v>1</v>
      </c>
      <c r="BL1133" s="1">
        <v>0</v>
      </c>
      <c r="BM1133" s="1">
        <v>0</v>
      </c>
      <c r="BN1133" s="1">
        <v>0</v>
      </c>
      <c r="BO1133" s="1">
        <v>0</v>
      </c>
      <c r="BP1133" s="1">
        <v>0</v>
      </c>
      <c r="BQ1133" s="2" t="str">
        <f>HYPERLINK("http://www.d20pfsrd.com/magic/all-spells/u/unadulterated-loathing","Unadulterated Loathing")</f>
        <v>Unadulterated Loathing</v>
      </c>
      <c r="BR1133" s="1">
        <v>1175</v>
      </c>
      <c r="BS1133" s="1" t="s">
        <v>104</v>
      </c>
      <c r="BU1133" s="1" t="s">
        <v>6841</v>
      </c>
      <c r="BX1133" s="1">
        <v>0</v>
      </c>
      <c r="BY1133" s="1" t="s">
        <v>104</v>
      </c>
      <c r="BZ1133" s="1" t="s">
        <v>104</v>
      </c>
      <c r="CA1133" s="1">
        <v>3</v>
      </c>
      <c r="CB1133" s="1" t="s">
        <v>104</v>
      </c>
      <c r="CC1133" s="1">
        <v>2</v>
      </c>
      <c r="CD1133" s="1" t="s">
        <v>104</v>
      </c>
      <c r="CE1133" s="1" t="s">
        <v>104</v>
      </c>
      <c r="CF1133" s="1" t="s">
        <v>104</v>
      </c>
      <c r="CG1133" s="1" t="s">
        <v>104</v>
      </c>
      <c r="CH1133" s="1" t="s">
        <v>104</v>
      </c>
      <c r="CJ1133" s="1">
        <v>0</v>
      </c>
      <c r="CK1133" s="1">
        <v>0</v>
      </c>
      <c r="CL1133" s="1">
        <v>0</v>
      </c>
      <c r="CM1133" s="1" t="s">
        <v>104</v>
      </c>
    </row>
    <row r="1134" spans="1:91" ht="14.25" customHeight="1" x14ac:dyDescent="0.3">
      <c r="A1134" s="1" t="s">
        <v>6842</v>
      </c>
      <c r="B1134" s="1" t="s">
        <v>162</v>
      </c>
      <c r="E1134" s="1" t="s">
        <v>6843</v>
      </c>
      <c r="F1134" s="1" t="s">
        <v>95</v>
      </c>
      <c r="G1134" s="1" t="s">
        <v>6844</v>
      </c>
      <c r="H1134" s="1">
        <v>1</v>
      </c>
      <c r="I1134" s="1" t="s">
        <v>117</v>
      </c>
      <c r="L1134" s="1" t="s">
        <v>6052</v>
      </c>
      <c r="M1134" s="1" t="s">
        <v>111</v>
      </c>
      <c r="N1134" s="1">
        <v>0</v>
      </c>
      <c r="O1134" s="1">
        <v>0</v>
      </c>
      <c r="P1134" s="1" t="s">
        <v>375</v>
      </c>
      <c r="Q1134" s="1" t="s">
        <v>101</v>
      </c>
      <c r="R1134" s="1" t="s">
        <v>6845</v>
      </c>
      <c r="S1134" s="1" t="s">
        <v>4201</v>
      </c>
      <c r="T1134" s="1">
        <v>1</v>
      </c>
      <c r="U1134" s="1">
        <v>1</v>
      </c>
      <c r="V1134" s="1">
        <v>1</v>
      </c>
      <c r="W1134" s="1">
        <v>0</v>
      </c>
      <c r="X1134" s="1">
        <v>0</v>
      </c>
      <c r="Y1134" s="1">
        <v>5</v>
      </c>
      <c r="Z1134" s="1">
        <v>5</v>
      </c>
      <c r="AA1134" s="1" t="s">
        <v>104</v>
      </c>
      <c r="AB1134" s="1" t="s">
        <v>104</v>
      </c>
      <c r="AC1134" s="1" t="s">
        <v>104</v>
      </c>
      <c r="AD1134" s="1" t="s">
        <v>104</v>
      </c>
      <c r="AE1134" s="1" t="s">
        <v>104</v>
      </c>
      <c r="AF1134" s="1" t="s">
        <v>104</v>
      </c>
      <c r="AG1134" s="1" t="s">
        <v>104</v>
      </c>
      <c r="AH1134" s="1" t="s">
        <v>104</v>
      </c>
      <c r="AI1134" s="1" t="s">
        <v>104</v>
      </c>
      <c r="AJ1134" s="1" t="s">
        <v>104</v>
      </c>
      <c r="AK1134" s="1" t="s">
        <v>104</v>
      </c>
      <c r="AL1134" s="1" t="s">
        <v>104</v>
      </c>
      <c r="AM1134" s="1" t="s">
        <v>104</v>
      </c>
      <c r="AO1134" s="1">
        <v>5</v>
      </c>
      <c r="AQ1134" s="1" t="s">
        <v>6846</v>
      </c>
      <c r="AR1134" s="1">
        <v>0</v>
      </c>
      <c r="AS1134" s="1">
        <v>0</v>
      </c>
      <c r="AT1134" s="1">
        <v>0</v>
      </c>
      <c r="AU1134" s="1">
        <v>0</v>
      </c>
      <c r="AV1134" s="1">
        <v>0</v>
      </c>
      <c r="AW1134" s="1">
        <v>0</v>
      </c>
      <c r="AX1134" s="1">
        <v>0</v>
      </c>
      <c r="AY1134" s="1">
        <v>0</v>
      </c>
      <c r="AZ1134" s="1">
        <v>0</v>
      </c>
      <c r="BA1134" s="1">
        <v>0</v>
      </c>
      <c r="BB1134" s="1">
        <v>0</v>
      </c>
      <c r="BC1134" s="1">
        <v>0</v>
      </c>
      <c r="BD1134" s="1">
        <v>0</v>
      </c>
      <c r="BE1134" s="1">
        <v>0</v>
      </c>
      <c r="BF1134" s="1">
        <v>0</v>
      </c>
      <c r="BG1134" s="1">
        <v>0</v>
      </c>
      <c r="BH1134" s="1">
        <v>0</v>
      </c>
      <c r="BI1134" s="1">
        <v>0</v>
      </c>
      <c r="BJ1134" s="1">
        <v>0</v>
      </c>
      <c r="BK1134" s="1">
        <v>0</v>
      </c>
      <c r="BL1134" s="1">
        <v>0</v>
      </c>
      <c r="BM1134" s="1">
        <v>0</v>
      </c>
      <c r="BN1134" s="1">
        <v>0</v>
      </c>
      <c r="BO1134" s="1">
        <v>0</v>
      </c>
      <c r="BP1134" s="1">
        <v>0</v>
      </c>
      <c r="BQ1134" s="2" t="str">
        <f>HYPERLINK("http://www.d20pfsrd.com/magic/all-spells/u/unbreakable-construct","Unbreakable Construct")</f>
        <v>Unbreakable Construct</v>
      </c>
      <c r="BR1134" s="1">
        <v>1176</v>
      </c>
      <c r="BS1134" s="1">
        <v>100</v>
      </c>
      <c r="BX1134" s="1">
        <v>0</v>
      </c>
      <c r="BY1134" s="1" t="s">
        <v>104</v>
      </c>
      <c r="BZ1134" s="1" t="s">
        <v>104</v>
      </c>
      <c r="CA1134" s="1" t="s">
        <v>104</v>
      </c>
      <c r="CB1134" s="1" t="s">
        <v>104</v>
      </c>
      <c r="CC1134" s="1" t="s">
        <v>104</v>
      </c>
      <c r="CD1134" s="1">
        <v>4</v>
      </c>
      <c r="CE1134" s="1" t="s">
        <v>104</v>
      </c>
      <c r="CF1134" s="1" t="s">
        <v>104</v>
      </c>
      <c r="CG1134" s="1" t="s">
        <v>104</v>
      </c>
      <c r="CH1134" s="1" t="s">
        <v>104</v>
      </c>
      <c r="CJ1134" s="1">
        <v>0</v>
      </c>
      <c r="CK1134" s="1">
        <v>0</v>
      </c>
      <c r="CL1134" s="1">
        <v>0</v>
      </c>
      <c r="CM1134" s="1" t="s">
        <v>104</v>
      </c>
    </row>
    <row r="1135" spans="1:91" ht="14.25" customHeight="1" x14ac:dyDescent="0.3">
      <c r="A1135" s="1" t="s">
        <v>6847</v>
      </c>
      <c r="B1135" s="1" t="s">
        <v>137</v>
      </c>
      <c r="C1135" s="1" t="s">
        <v>154</v>
      </c>
      <c r="E1135" s="1" t="s">
        <v>6848</v>
      </c>
      <c r="F1135" s="1" t="s">
        <v>95</v>
      </c>
      <c r="G1135" s="1" t="s">
        <v>156</v>
      </c>
      <c r="H1135" s="1">
        <v>0</v>
      </c>
      <c r="I1135" s="1" t="s">
        <v>157</v>
      </c>
      <c r="L1135" s="1" t="s">
        <v>158</v>
      </c>
      <c r="M1135" s="1" t="s">
        <v>4641</v>
      </c>
      <c r="N1135" s="1">
        <v>1</v>
      </c>
      <c r="O1135" s="1">
        <v>0</v>
      </c>
      <c r="R1135" s="1" t="s">
        <v>6849</v>
      </c>
      <c r="S1135" s="1" t="s">
        <v>4201</v>
      </c>
      <c r="T1135" s="1">
        <v>1</v>
      </c>
      <c r="U1135" s="1">
        <v>1</v>
      </c>
      <c r="V1135" s="1">
        <v>1</v>
      </c>
      <c r="W1135" s="1">
        <v>0</v>
      </c>
      <c r="X1135" s="1">
        <v>0</v>
      </c>
      <c r="Y1135" s="1">
        <v>3</v>
      </c>
      <c r="Z1135" s="1">
        <v>3</v>
      </c>
      <c r="AA1135" s="1" t="s">
        <v>104</v>
      </c>
      <c r="AB1135" s="1" t="s">
        <v>104</v>
      </c>
      <c r="AC1135" s="1" t="s">
        <v>104</v>
      </c>
      <c r="AD1135" s="1" t="s">
        <v>104</v>
      </c>
      <c r="AE1135" s="1" t="s">
        <v>104</v>
      </c>
      <c r="AF1135" s="1">
        <v>3</v>
      </c>
      <c r="AG1135" s="1" t="s">
        <v>104</v>
      </c>
      <c r="AH1135" s="1" t="s">
        <v>104</v>
      </c>
      <c r="AI1135" s="1" t="s">
        <v>104</v>
      </c>
      <c r="AJ1135" s="1" t="s">
        <v>104</v>
      </c>
      <c r="AK1135" s="1" t="s">
        <v>104</v>
      </c>
      <c r="AL1135" s="1">
        <v>3</v>
      </c>
      <c r="AM1135" s="1" t="s">
        <v>104</v>
      </c>
      <c r="AO1135" s="1">
        <v>3</v>
      </c>
      <c r="AQ1135" s="1" t="s">
        <v>6850</v>
      </c>
      <c r="AR1135" s="1">
        <v>0</v>
      </c>
      <c r="AS1135" s="1">
        <v>0</v>
      </c>
      <c r="AT1135" s="1">
        <v>0</v>
      </c>
      <c r="AU1135" s="1">
        <v>0</v>
      </c>
      <c r="AV1135" s="1">
        <v>0</v>
      </c>
      <c r="AW1135" s="1">
        <v>0</v>
      </c>
      <c r="AX1135" s="1">
        <v>0</v>
      </c>
      <c r="AY1135" s="1">
        <v>0</v>
      </c>
      <c r="AZ1135" s="1">
        <v>0</v>
      </c>
      <c r="BA1135" s="1">
        <v>0</v>
      </c>
      <c r="BB1135" s="1">
        <v>0</v>
      </c>
      <c r="BC1135" s="1">
        <v>0</v>
      </c>
      <c r="BD1135" s="1">
        <v>0</v>
      </c>
      <c r="BE1135" s="1">
        <v>0</v>
      </c>
      <c r="BF1135" s="1">
        <v>0</v>
      </c>
      <c r="BG1135" s="1">
        <v>0</v>
      </c>
      <c r="BH1135" s="1">
        <v>0</v>
      </c>
      <c r="BI1135" s="1">
        <v>0</v>
      </c>
      <c r="BJ1135" s="1">
        <v>0</v>
      </c>
      <c r="BK1135" s="1">
        <v>0</v>
      </c>
      <c r="BL1135" s="1">
        <v>0</v>
      </c>
      <c r="BM1135" s="1">
        <v>0</v>
      </c>
      <c r="BN1135" s="1">
        <v>0</v>
      </c>
      <c r="BO1135" s="1">
        <v>0</v>
      </c>
      <c r="BP1135" s="1">
        <v>0</v>
      </c>
      <c r="BQ1135" s="2" t="str">
        <f>HYPERLINK("http://www.d20pfsrd.com/magic/all-spells/u/undead-anatomy-i","Undead Anatomy I")</f>
        <v>Undead Anatomy I</v>
      </c>
      <c r="BR1135" s="1">
        <v>1177</v>
      </c>
      <c r="BS1135" s="1" t="s">
        <v>104</v>
      </c>
      <c r="BX1135" s="1">
        <v>0</v>
      </c>
      <c r="BY1135" s="1">
        <v>3</v>
      </c>
      <c r="BZ1135" s="1" t="s">
        <v>104</v>
      </c>
      <c r="CA1135" s="1" t="s">
        <v>104</v>
      </c>
      <c r="CB1135" s="1" t="s">
        <v>104</v>
      </c>
      <c r="CC1135" s="1" t="s">
        <v>104</v>
      </c>
      <c r="CD1135" s="1" t="s">
        <v>104</v>
      </c>
      <c r="CE1135" s="1">
        <v>3</v>
      </c>
      <c r="CF1135" s="1" t="s">
        <v>104</v>
      </c>
      <c r="CG1135" s="1" t="s">
        <v>104</v>
      </c>
      <c r="CH1135" s="1" t="s">
        <v>104</v>
      </c>
      <c r="CJ1135" s="1">
        <v>0</v>
      </c>
      <c r="CK1135" s="1">
        <v>0</v>
      </c>
      <c r="CL1135" s="1">
        <v>0</v>
      </c>
      <c r="CM1135" s="1" t="s">
        <v>104</v>
      </c>
    </row>
    <row r="1136" spans="1:91" ht="14.25" customHeight="1" x14ac:dyDescent="0.3">
      <c r="A1136" s="1" t="s">
        <v>6851</v>
      </c>
      <c r="B1136" s="1" t="s">
        <v>137</v>
      </c>
      <c r="C1136" s="1" t="s">
        <v>154</v>
      </c>
      <c r="E1136" s="1" t="s">
        <v>6852</v>
      </c>
      <c r="F1136" s="1" t="s">
        <v>95</v>
      </c>
      <c r="G1136" s="1" t="s">
        <v>156</v>
      </c>
      <c r="H1136" s="1">
        <v>0</v>
      </c>
      <c r="I1136" s="1" t="s">
        <v>157</v>
      </c>
      <c r="L1136" s="1" t="s">
        <v>158</v>
      </c>
      <c r="M1136" s="1" t="s">
        <v>4641</v>
      </c>
      <c r="N1136" s="1">
        <v>1</v>
      </c>
      <c r="O1136" s="1">
        <v>0</v>
      </c>
      <c r="R1136" s="1" t="s">
        <v>6853</v>
      </c>
      <c r="S1136" s="1" t="s">
        <v>4201</v>
      </c>
      <c r="T1136" s="1">
        <v>1</v>
      </c>
      <c r="U1136" s="1">
        <v>1</v>
      </c>
      <c r="V1136" s="1">
        <v>1</v>
      </c>
      <c r="W1136" s="1">
        <v>0</v>
      </c>
      <c r="X1136" s="1">
        <v>0</v>
      </c>
      <c r="Y1136" s="1">
        <v>5</v>
      </c>
      <c r="Z1136" s="1">
        <v>5</v>
      </c>
      <c r="AA1136" s="1" t="s">
        <v>104</v>
      </c>
      <c r="AB1136" s="1" t="s">
        <v>104</v>
      </c>
      <c r="AC1136" s="1" t="s">
        <v>104</v>
      </c>
      <c r="AD1136" s="1" t="s">
        <v>104</v>
      </c>
      <c r="AE1136" s="1" t="s">
        <v>104</v>
      </c>
      <c r="AF1136" s="1">
        <v>5</v>
      </c>
      <c r="AG1136" s="1" t="s">
        <v>104</v>
      </c>
      <c r="AH1136" s="1" t="s">
        <v>104</v>
      </c>
      <c r="AI1136" s="1" t="s">
        <v>104</v>
      </c>
      <c r="AJ1136" s="1" t="s">
        <v>104</v>
      </c>
      <c r="AK1136" s="1" t="s">
        <v>104</v>
      </c>
      <c r="AL1136" s="1">
        <v>5</v>
      </c>
      <c r="AM1136" s="1" t="s">
        <v>104</v>
      </c>
      <c r="AO1136" s="1">
        <v>5</v>
      </c>
      <c r="AQ1136" s="1" t="s">
        <v>6854</v>
      </c>
      <c r="AR1136" s="1">
        <v>0</v>
      </c>
      <c r="AS1136" s="1">
        <v>0</v>
      </c>
      <c r="AT1136" s="1">
        <v>0</v>
      </c>
      <c r="AU1136" s="1">
        <v>0</v>
      </c>
      <c r="AV1136" s="1">
        <v>0</v>
      </c>
      <c r="AW1136" s="1">
        <v>0</v>
      </c>
      <c r="AX1136" s="1">
        <v>0</v>
      </c>
      <c r="AY1136" s="1">
        <v>0</v>
      </c>
      <c r="AZ1136" s="1">
        <v>0</v>
      </c>
      <c r="BA1136" s="1">
        <v>0</v>
      </c>
      <c r="BB1136" s="1">
        <v>0</v>
      </c>
      <c r="BC1136" s="1">
        <v>0</v>
      </c>
      <c r="BD1136" s="1">
        <v>0</v>
      </c>
      <c r="BE1136" s="1">
        <v>0</v>
      </c>
      <c r="BF1136" s="1">
        <v>0</v>
      </c>
      <c r="BG1136" s="1">
        <v>0</v>
      </c>
      <c r="BH1136" s="1">
        <v>0</v>
      </c>
      <c r="BI1136" s="1">
        <v>0</v>
      </c>
      <c r="BJ1136" s="1">
        <v>0</v>
      </c>
      <c r="BK1136" s="1">
        <v>0</v>
      </c>
      <c r="BL1136" s="1">
        <v>0</v>
      </c>
      <c r="BM1136" s="1">
        <v>0</v>
      </c>
      <c r="BN1136" s="1">
        <v>0</v>
      </c>
      <c r="BO1136" s="1">
        <v>0</v>
      </c>
      <c r="BP1136" s="1">
        <v>0</v>
      </c>
      <c r="BQ1136" s="2" t="str">
        <f>HYPERLINK("http://www.d20pfsrd.com/magic/all-spells/u/undead-anatomy-i#TOC-Undead-Anatomy-II","Undead Anatomy II")</f>
        <v>Undead Anatomy II</v>
      </c>
      <c r="BR1136" s="1">
        <v>1178</v>
      </c>
      <c r="BS1136" s="1" t="s">
        <v>104</v>
      </c>
      <c r="BX1136" s="1">
        <v>0</v>
      </c>
      <c r="BY1136" s="1" t="s">
        <v>104</v>
      </c>
      <c r="BZ1136" s="1" t="s">
        <v>104</v>
      </c>
      <c r="CA1136" s="1" t="s">
        <v>104</v>
      </c>
      <c r="CB1136" s="1" t="s">
        <v>104</v>
      </c>
      <c r="CC1136" s="1" t="s">
        <v>104</v>
      </c>
      <c r="CD1136" s="1" t="s">
        <v>104</v>
      </c>
      <c r="CE1136" s="1">
        <v>5</v>
      </c>
      <c r="CF1136" s="1" t="s">
        <v>104</v>
      </c>
      <c r="CG1136" s="1" t="s">
        <v>104</v>
      </c>
      <c r="CH1136" s="1" t="s">
        <v>104</v>
      </c>
      <c r="CJ1136" s="1">
        <v>0</v>
      </c>
      <c r="CK1136" s="1">
        <v>0</v>
      </c>
      <c r="CL1136" s="1">
        <v>0</v>
      </c>
      <c r="CM1136" s="1" t="s">
        <v>104</v>
      </c>
    </row>
    <row r="1137" spans="1:91" ht="14.25" customHeight="1" x14ac:dyDescent="0.3">
      <c r="A1137" s="1" t="s">
        <v>6855</v>
      </c>
      <c r="B1137" s="1" t="s">
        <v>137</v>
      </c>
      <c r="C1137" s="1" t="s">
        <v>154</v>
      </c>
      <c r="E1137" s="1" t="s">
        <v>6856</v>
      </c>
      <c r="F1137" s="1" t="s">
        <v>95</v>
      </c>
      <c r="G1137" s="1" t="s">
        <v>156</v>
      </c>
      <c r="H1137" s="1">
        <v>0</v>
      </c>
      <c r="I1137" s="1" t="s">
        <v>157</v>
      </c>
      <c r="L1137" s="1" t="s">
        <v>158</v>
      </c>
      <c r="M1137" s="1" t="s">
        <v>4641</v>
      </c>
      <c r="N1137" s="1">
        <v>1</v>
      </c>
      <c r="O1137" s="1">
        <v>0</v>
      </c>
      <c r="R1137" s="1" t="s">
        <v>6857</v>
      </c>
      <c r="S1137" s="1" t="s">
        <v>4201</v>
      </c>
      <c r="T1137" s="1">
        <v>1</v>
      </c>
      <c r="U1137" s="1">
        <v>1</v>
      </c>
      <c r="V1137" s="1">
        <v>1</v>
      </c>
      <c r="W1137" s="1">
        <v>0</v>
      </c>
      <c r="X1137" s="1">
        <v>0</v>
      </c>
      <c r="Y1137" s="1">
        <v>6</v>
      </c>
      <c r="Z1137" s="1">
        <v>6</v>
      </c>
      <c r="AA1137" s="1" t="s">
        <v>104</v>
      </c>
      <c r="AB1137" s="1" t="s">
        <v>104</v>
      </c>
      <c r="AC1137" s="1" t="s">
        <v>104</v>
      </c>
      <c r="AD1137" s="1" t="s">
        <v>104</v>
      </c>
      <c r="AE1137" s="1" t="s">
        <v>104</v>
      </c>
      <c r="AF1137" s="1">
        <v>6</v>
      </c>
      <c r="AG1137" s="1" t="s">
        <v>104</v>
      </c>
      <c r="AH1137" s="1" t="s">
        <v>104</v>
      </c>
      <c r="AI1137" s="1" t="s">
        <v>104</v>
      </c>
      <c r="AJ1137" s="1" t="s">
        <v>104</v>
      </c>
      <c r="AK1137" s="1" t="s">
        <v>104</v>
      </c>
      <c r="AL1137" s="1">
        <v>6</v>
      </c>
      <c r="AM1137" s="1" t="s">
        <v>104</v>
      </c>
      <c r="AO1137" s="1">
        <v>6</v>
      </c>
      <c r="AQ1137" s="1" t="s">
        <v>6858</v>
      </c>
      <c r="AR1137" s="1">
        <v>0</v>
      </c>
      <c r="AS1137" s="1">
        <v>0</v>
      </c>
      <c r="AT1137" s="1">
        <v>0</v>
      </c>
      <c r="AU1137" s="1">
        <v>0</v>
      </c>
      <c r="AV1137" s="1">
        <v>0</v>
      </c>
      <c r="AW1137" s="1">
        <v>0</v>
      </c>
      <c r="AX1137" s="1">
        <v>0</v>
      </c>
      <c r="AY1137" s="1">
        <v>0</v>
      </c>
      <c r="AZ1137" s="1">
        <v>0</v>
      </c>
      <c r="BA1137" s="1">
        <v>0</v>
      </c>
      <c r="BB1137" s="1">
        <v>0</v>
      </c>
      <c r="BC1137" s="1">
        <v>0</v>
      </c>
      <c r="BD1137" s="1">
        <v>0</v>
      </c>
      <c r="BE1137" s="1">
        <v>0</v>
      </c>
      <c r="BF1137" s="1">
        <v>0</v>
      </c>
      <c r="BG1137" s="1">
        <v>0</v>
      </c>
      <c r="BH1137" s="1">
        <v>0</v>
      </c>
      <c r="BI1137" s="1">
        <v>0</v>
      </c>
      <c r="BJ1137" s="1">
        <v>0</v>
      </c>
      <c r="BK1137" s="1">
        <v>0</v>
      </c>
      <c r="BL1137" s="1">
        <v>0</v>
      </c>
      <c r="BM1137" s="1">
        <v>0</v>
      </c>
      <c r="BN1137" s="1">
        <v>0</v>
      </c>
      <c r="BO1137" s="1">
        <v>0</v>
      </c>
      <c r="BP1137" s="1">
        <v>0</v>
      </c>
      <c r="BQ1137" s="2" t="str">
        <f>HYPERLINK("http://www.d20pfsrd.com/magic/all-spells/u/undead-anatomy-i#TOC-Undead-Anatomy-III","Undead Anatomy III")</f>
        <v>Undead Anatomy III</v>
      </c>
      <c r="BR1137" s="1">
        <v>1179</v>
      </c>
      <c r="BS1137" s="1" t="s">
        <v>104</v>
      </c>
      <c r="BX1137" s="1">
        <v>0</v>
      </c>
      <c r="BY1137" s="1" t="s">
        <v>104</v>
      </c>
      <c r="BZ1137" s="1" t="s">
        <v>104</v>
      </c>
      <c r="CA1137" s="1" t="s">
        <v>104</v>
      </c>
      <c r="CB1137" s="1" t="s">
        <v>104</v>
      </c>
      <c r="CC1137" s="1" t="s">
        <v>104</v>
      </c>
      <c r="CD1137" s="1" t="s">
        <v>104</v>
      </c>
      <c r="CE1137" s="1">
        <v>6</v>
      </c>
      <c r="CF1137" s="1" t="s">
        <v>104</v>
      </c>
      <c r="CG1137" s="1" t="s">
        <v>104</v>
      </c>
      <c r="CH1137" s="1" t="s">
        <v>104</v>
      </c>
      <c r="CJ1137" s="1">
        <v>0</v>
      </c>
      <c r="CK1137" s="1">
        <v>0</v>
      </c>
      <c r="CL1137" s="1">
        <v>0</v>
      </c>
      <c r="CM1137" s="1" t="s">
        <v>104</v>
      </c>
    </row>
    <row r="1138" spans="1:91" ht="14.25" customHeight="1" x14ac:dyDescent="0.3">
      <c r="A1138" s="1" t="s">
        <v>6859</v>
      </c>
      <c r="B1138" s="1" t="s">
        <v>137</v>
      </c>
      <c r="C1138" s="1" t="s">
        <v>154</v>
      </c>
      <c r="E1138" s="1" t="s">
        <v>1688</v>
      </c>
      <c r="F1138" s="1" t="s">
        <v>95</v>
      </c>
      <c r="G1138" s="1" t="s">
        <v>156</v>
      </c>
      <c r="H1138" s="1">
        <v>0</v>
      </c>
      <c r="I1138" s="1" t="s">
        <v>157</v>
      </c>
      <c r="L1138" s="1" t="s">
        <v>158</v>
      </c>
      <c r="M1138" s="1" t="s">
        <v>6860</v>
      </c>
      <c r="N1138" s="1">
        <v>1</v>
      </c>
      <c r="O1138" s="1">
        <v>0</v>
      </c>
      <c r="R1138" s="1" t="s">
        <v>6861</v>
      </c>
      <c r="S1138" s="1" t="s">
        <v>4201</v>
      </c>
      <c r="T1138" s="1">
        <v>1</v>
      </c>
      <c r="U1138" s="1">
        <v>1</v>
      </c>
      <c r="V1138" s="1">
        <v>1</v>
      </c>
      <c r="W1138" s="1">
        <v>0</v>
      </c>
      <c r="X1138" s="1">
        <v>0</v>
      </c>
      <c r="Y1138" s="1">
        <v>8</v>
      </c>
      <c r="Z1138" s="1">
        <v>8</v>
      </c>
      <c r="AA1138" s="1" t="s">
        <v>104</v>
      </c>
      <c r="AB1138" s="1" t="s">
        <v>104</v>
      </c>
      <c r="AC1138" s="1" t="s">
        <v>104</v>
      </c>
      <c r="AD1138" s="1" t="s">
        <v>104</v>
      </c>
      <c r="AE1138" s="1" t="s">
        <v>104</v>
      </c>
      <c r="AF1138" s="1" t="s">
        <v>104</v>
      </c>
      <c r="AG1138" s="1" t="s">
        <v>104</v>
      </c>
      <c r="AH1138" s="1" t="s">
        <v>104</v>
      </c>
      <c r="AI1138" s="1" t="s">
        <v>104</v>
      </c>
      <c r="AJ1138" s="1" t="s">
        <v>104</v>
      </c>
      <c r="AK1138" s="1" t="s">
        <v>104</v>
      </c>
      <c r="AL1138" s="1" t="s">
        <v>104</v>
      </c>
      <c r="AM1138" s="1" t="s">
        <v>104</v>
      </c>
      <c r="AO1138" s="1">
        <v>8</v>
      </c>
      <c r="AQ1138" s="1" t="s">
        <v>6862</v>
      </c>
      <c r="AR1138" s="1">
        <v>0</v>
      </c>
      <c r="AS1138" s="1">
        <v>0</v>
      </c>
      <c r="AT1138" s="1">
        <v>0</v>
      </c>
      <c r="AU1138" s="1">
        <v>0</v>
      </c>
      <c r="AV1138" s="1">
        <v>0</v>
      </c>
      <c r="AW1138" s="1">
        <v>0</v>
      </c>
      <c r="AX1138" s="1">
        <v>0</v>
      </c>
      <c r="AY1138" s="1">
        <v>0</v>
      </c>
      <c r="AZ1138" s="1">
        <v>0</v>
      </c>
      <c r="BA1138" s="1">
        <v>0</v>
      </c>
      <c r="BB1138" s="1">
        <v>0</v>
      </c>
      <c r="BC1138" s="1">
        <v>0</v>
      </c>
      <c r="BD1138" s="1">
        <v>0</v>
      </c>
      <c r="BE1138" s="1">
        <v>0</v>
      </c>
      <c r="BF1138" s="1">
        <v>0</v>
      </c>
      <c r="BG1138" s="1">
        <v>0</v>
      </c>
      <c r="BH1138" s="1">
        <v>0</v>
      </c>
      <c r="BI1138" s="1">
        <v>0</v>
      </c>
      <c r="BJ1138" s="1">
        <v>0</v>
      </c>
      <c r="BK1138" s="1">
        <v>0</v>
      </c>
      <c r="BL1138" s="1">
        <v>0</v>
      </c>
      <c r="BM1138" s="1">
        <v>0</v>
      </c>
      <c r="BN1138" s="1">
        <v>0</v>
      </c>
      <c r="BO1138" s="1">
        <v>0</v>
      </c>
      <c r="BP1138" s="1">
        <v>0</v>
      </c>
      <c r="BQ1138" s="2" t="str">
        <f>HYPERLINK("http://www.d20pfsrd.com/magic/all-spells/u/undead-anatomy-i#TOC-Undead-Anatomy-IV","Undead Anatomy IV")</f>
        <v>Undead Anatomy IV</v>
      </c>
      <c r="BR1138" s="1">
        <v>1180</v>
      </c>
      <c r="BS1138" s="1" t="s">
        <v>104</v>
      </c>
      <c r="BX1138" s="1">
        <v>0</v>
      </c>
      <c r="BY1138" s="1" t="s">
        <v>104</v>
      </c>
      <c r="BZ1138" s="1" t="s">
        <v>104</v>
      </c>
      <c r="CA1138" s="1" t="s">
        <v>104</v>
      </c>
      <c r="CB1138" s="1" t="s">
        <v>104</v>
      </c>
      <c r="CC1138" s="1" t="s">
        <v>104</v>
      </c>
      <c r="CD1138" s="1" t="s">
        <v>104</v>
      </c>
      <c r="CE1138" s="1" t="s">
        <v>104</v>
      </c>
      <c r="CF1138" s="1" t="s">
        <v>104</v>
      </c>
      <c r="CG1138" s="1" t="s">
        <v>104</v>
      </c>
      <c r="CH1138" s="1" t="s">
        <v>104</v>
      </c>
      <c r="CJ1138" s="1">
        <v>0</v>
      </c>
      <c r="CK1138" s="1">
        <v>0</v>
      </c>
      <c r="CL1138" s="1">
        <v>0</v>
      </c>
      <c r="CM1138" s="1" t="s">
        <v>104</v>
      </c>
    </row>
    <row r="1139" spans="1:91" ht="14.25" customHeight="1" x14ac:dyDescent="0.3">
      <c r="A1139" s="1" t="s">
        <v>6863</v>
      </c>
      <c r="B1139" s="1" t="s">
        <v>137</v>
      </c>
      <c r="D1139" s="1" t="s">
        <v>6864</v>
      </c>
      <c r="E1139" s="1" t="s">
        <v>4272</v>
      </c>
      <c r="F1139" s="1" t="s">
        <v>95</v>
      </c>
      <c r="G1139" s="1" t="s">
        <v>6865</v>
      </c>
      <c r="H1139" s="1">
        <v>1</v>
      </c>
      <c r="I1139" s="1" t="s">
        <v>109</v>
      </c>
      <c r="K1139" s="1" t="s">
        <v>6324</v>
      </c>
      <c r="M1139" s="1" t="s">
        <v>6325</v>
      </c>
      <c r="N1139" s="1">
        <v>0</v>
      </c>
      <c r="O1139" s="1">
        <v>0</v>
      </c>
      <c r="P1139" s="1" t="s">
        <v>6326</v>
      </c>
      <c r="Q1139" s="1" t="s">
        <v>184</v>
      </c>
      <c r="R1139" s="1" t="s">
        <v>6866</v>
      </c>
      <c r="S1139" s="1" t="s">
        <v>4201</v>
      </c>
      <c r="T1139" s="1">
        <v>1</v>
      </c>
      <c r="U1139" s="1">
        <v>1</v>
      </c>
      <c r="V1139" s="1">
        <v>1</v>
      </c>
      <c r="W1139" s="1">
        <v>0</v>
      </c>
      <c r="X1139" s="1">
        <v>0</v>
      </c>
      <c r="Y1139" s="1" t="s">
        <v>104</v>
      </c>
      <c r="Z1139" s="1" t="s">
        <v>104</v>
      </c>
      <c r="AA1139" s="1">
        <v>5</v>
      </c>
      <c r="AB1139" s="1" t="s">
        <v>104</v>
      </c>
      <c r="AC1139" s="1" t="s">
        <v>104</v>
      </c>
      <c r="AD1139" s="1" t="s">
        <v>104</v>
      </c>
      <c r="AE1139" s="1" t="s">
        <v>104</v>
      </c>
      <c r="AF1139" s="1" t="s">
        <v>104</v>
      </c>
      <c r="AG1139" s="1" t="s">
        <v>104</v>
      </c>
      <c r="AH1139" s="1" t="s">
        <v>104</v>
      </c>
      <c r="AI1139" s="1" t="s">
        <v>104</v>
      </c>
      <c r="AJ1139" s="1">
        <v>5</v>
      </c>
      <c r="AK1139" s="1" t="s">
        <v>104</v>
      </c>
      <c r="AL1139" s="1" t="s">
        <v>104</v>
      </c>
      <c r="AM1139" s="1" t="s">
        <v>104</v>
      </c>
      <c r="AO1139" s="1">
        <v>5</v>
      </c>
      <c r="AQ1139" s="1" t="s">
        <v>6867</v>
      </c>
      <c r="AR1139" s="1">
        <v>0</v>
      </c>
      <c r="AS1139" s="1">
        <v>0</v>
      </c>
      <c r="AT1139" s="1">
        <v>0</v>
      </c>
      <c r="AU1139" s="1">
        <v>1</v>
      </c>
      <c r="AV1139" s="1">
        <v>0</v>
      </c>
      <c r="AW1139" s="1">
        <v>0</v>
      </c>
      <c r="AX1139" s="1">
        <v>0</v>
      </c>
      <c r="AY1139" s="1">
        <v>0</v>
      </c>
      <c r="AZ1139" s="1">
        <v>0</v>
      </c>
      <c r="BA1139" s="1">
        <v>0</v>
      </c>
      <c r="BB1139" s="1">
        <v>0</v>
      </c>
      <c r="BC1139" s="1">
        <v>1</v>
      </c>
      <c r="BD1139" s="1">
        <v>0</v>
      </c>
      <c r="BE1139" s="1">
        <v>0</v>
      </c>
      <c r="BF1139" s="1">
        <v>0</v>
      </c>
      <c r="BG1139" s="1">
        <v>0</v>
      </c>
      <c r="BH1139" s="1">
        <v>0</v>
      </c>
      <c r="BI1139" s="1">
        <v>0</v>
      </c>
      <c r="BJ1139" s="1">
        <v>0</v>
      </c>
      <c r="BK1139" s="1">
        <v>0</v>
      </c>
      <c r="BL1139" s="1">
        <v>0</v>
      </c>
      <c r="BM1139" s="1">
        <v>0</v>
      </c>
      <c r="BN1139" s="1">
        <v>0</v>
      </c>
      <c r="BO1139" s="1">
        <v>0</v>
      </c>
      <c r="BP1139" s="1">
        <v>1</v>
      </c>
      <c r="BQ1139" s="2" t="str">
        <f>HYPERLINK("http://www.d20pfsrd.com/magic/all-spells/u/unholy-ice","Unholy Ice")</f>
        <v>Unholy Ice</v>
      </c>
      <c r="BR1139" s="1">
        <v>1181</v>
      </c>
      <c r="BS1139" s="1">
        <v>25</v>
      </c>
      <c r="BX1139" s="1">
        <v>0</v>
      </c>
      <c r="BY1139" s="1" t="s">
        <v>104</v>
      </c>
      <c r="BZ1139" s="1" t="s">
        <v>104</v>
      </c>
      <c r="CA1139" s="1" t="s">
        <v>104</v>
      </c>
      <c r="CB1139" s="1" t="s">
        <v>104</v>
      </c>
      <c r="CC1139" s="1" t="s">
        <v>104</v>
      </c>
      <c r="CD1139" s="1" t="s">
        <v>104</v>
      </c>
      <c r="CE1139" s="1" t="s">
        <v>104</v>
      </c>
      <c r="CF1139" s="1" t="s">
        <v>104</v>
      </c>
      <c r="CG1139" s="1" t="s">
        <v>104</v>
      </c>
      <c r="CH1139" s="1" t="s">
        <v>104</v>
      </c>
      <c r="CJ1139" s="1">
        <v>0</v>
      </c>
      <c r="CK1139" s="1">
        <v>0</v>
      </c>
      <c r="CL1139" s="1">
        <v>0</v>
      </c>
      <c r="CM1139" s="1" t="s">
        <v>104</v>
      </c>
    </row>
    <row r="1140" spans="1:91" ht="14.25" customHeight="1" x14ac:dyDescent="0.3">
      <c r="A1140" s="1" t="s">
        <v>6868</v>
      </c>
      <c r="B1140" s="1" t="s">
        <v>434</v>
      </c>
      <c r="D1140" s="1" t="s">
        <v>54</v>
      </c>
      <c r="E1140" s="1" t="s">
        <v>6869</v>
      </c>
      <c r="F1140" s="1" t="s">
        <v>95</v>
      </c>
      <c r="G1140" s="1" t="s">
        <v>116</v>
      </c>
      <c r="H1140" s="1">
        <v>0</v>
      </c>
      <c r="I1140" s="1" t="s">
        <v>128</v>
      </c>
      <c r="L1140" s="1" t="s">
        <v>2037</v>
      </c>
      <c r="M1140" s="1" t="s">
        <v>111</v>
      </c>
      <c r="N1140" s="1">
        <v>0</v>
      </c>
      <c r="O1140" s="1">
        <v>0</v>
      </c>
      <c r="P1140" s="1" t="s">
        <v>100</v>
      </c>
      <c r="Q1140" s="1" t="s">
        <v>101</v>
      </c>
      <c r="R1140" s="1" t="s">
        <v>6870</v>
      </c>
      <c r="S1140" s="1" t="s">
        <v>4201</v>
      </c>
      <c r="T1140" s="1">
        <v>1</v>
      </c>
      <c r="U1140" s="1">
        <v>1</v>
      </c>
      <c r="V1140" s="1">
        <v>0</v>
      </c>
      <c r="W1140" s="1">
        <v>0</v>
      </c>
      <c r="X1140" s="1">
        <v>0</v>
      </c>
      <c r="Y1140" s="1" t="s">
        <v>104</v>
      </c>
      <c r="Z1140" s="1" t="s">
        <v>104</v>
      </c>
      <c r="AA1140" s="1" t="s">
        <v>104</v>
      </c>
      <c r="AB1140" s="1" t="s">
        <v>104</v>
      </c>
      <c r="AC1140" s="1" t="s">
        <v>104</v>
      </c>
      <c r="AD1140" s="1" t="s">
        <v>104</v>
      </c>
      <c r="AE1140" s="1" t="s">
        <v>104</v>
      </c>
      <c r="AF1140" s="1" t="s">
        <v>104</v>
      </c>
      <c r="AG1140" s="1" t="s">
        <v>104</v>
      </c>
      <c r="AH1140" s="1" t="s">
        <v>104</v>
      </c>
      <c r="AI1140" s="1" t="s">
        <v>104</v>
      </c>
      <c r="AJ1140" s="1" t="s">
        <v>104</v>
      </c>
      <c r="AK1140" s="1">
        <v>4</v>
      </c>
      <c r="AL1140" s="1" t="s">
        <v>104</v>
      </c>
      <c r="AM1140" s="1" t="s">
        <v>104</v>
      </c>
      <c r="AO1140" s="1">
        <v>4</v>
      </c>
      <c r="AQ1140" s="1" t="s">
        <v>6871</v>
      </c>
      <c r="AR1140" s="1">
        <v>0</v>
      </c>
      <c r="AS1140" s="1">
        <v>0</v>
      </c>
      <c r="AT1140" s="1">
        <v>0</v>
      </c>
      <c r="AU1140" s="1">
        <v>0</v>
      </c>
      <c r="AV1140" s="1">
        <v>0</v>
      </c>
      <c r="AW1140" s="1">
        <v>0</v>
      </c>
      <c r="AX1140" s="1">
        <v>0</v>
      </c>
      <c r="AY1140" s="1">
        <v>0</v>
      </c>
      <c r="AZ1140" s="1">
        <v>0</v>
      </c>
      <c r="BA1140" s="1">
        <v>0</v>
      </c>
      <c r="BB1140" s="1">
        <v>0</v>
      </c>
      <c r="BC1140" s="1">
        <v>1</v>
      </c>
      <c r="BD1140" s="1">
        <v>0</v>
      </c>
      <c r="BE1140" s="1">
        <v>0</v>
      </c>
      <c r="BF1140" s="1">
        <v>0</v>
      </c>
      <c r="BG1140" s="1">
        <v>0</v>
      </c>
      <c r="BH1140" s="1">
        <v>0</v>
      </c>
      <c r="BI1140" s="1">
        <v>0</v>
      </c>
      <c r="BJ1140" s="1">
        <v>0</v>
      </c>
      <c r="BK1140" s="1">
        <v>0</v>
      </c>
      <c r="BL1140" s="1">
        <v>0</v>
      </c>
      <c r="BM1140" s="1">
        <v>0</v>
      </c>
      <c r="BN1140" s="1">
        <v>0</v>
      </c>
      <c r="BO1140" s="1">
        <v>0</v>
      </c>
      <c r="BP1140" s="1">
        <v>0</v>
      </c>
      <c r="BQ1140" s="2" t="str">
        <f>HYPERLINK("http://www.d20pfsrd.com/magic/all-spells/u/unholy-sword","Unholy Sword")</f>
        <v>Unholy Sword</v>
      </c>
      <c r="BR1140" s="1">
        <v>1182</v>
      </c>
      <c r="BS1140" s="1" t="s">
        <v>104</v>
      </c>
      <c r="BX1140" s="1">
        <v>0</v>
      </c>
      <c r="BY1140" s="1" t="s">
        <v>104</v>
      </c>
      <c r="BZ1140" s="1" t="s">
        <v>104</v>
      </c>
      <c r="CA1140" s="1" t="s">
        <v>104</v>
      </c>
      <c r="CB1140" s="1" t="s">
        <v>104</v>
      </c>
      <c r="CC1140" s="1" t="s">
        <v>104</v>
      </c>
      <c r="CD1140" s="1" t="s">
        <v>104</v>
      </c>
      <c r="CE1140" s="1" t="s">
        <v>104</v>
      </c>
      <c r="CF1140" s="1" t="s">
        <v>104</v>
      </c>
      <c r="CG1140" s="1" t="s">
        <v>104</v>
      </c>
      <c r="CH1140" s="1" t="s">
        <v>104</v>
      </c>
      <c r="CJ1140" s="1">
        <v>0</v>
      </c>
      <c r="CK1140" s="1">
        <v>0</v>
      </c>
      <c r="CL1140" s="1">
        <v>0</v>
      </c>
      <c r="CM1140" s="1" t="s">
        <v>104</v>
      </c>
    </row>
    <row r="1141" spans="1:91" ht="14.25" customHeight="1" x14ac:dyDescent="0.3">
      <c r="A1141" s="1" t="s">
        <v>6872</v>
      </c>
      <c r="B1141" s="1" t="s">
        <v>123</v>
      </c>
      <c r="C1141" s="1" t="s">
        <v>124</v>
      </c>
      <c r="D1141" s="1" t="s">
        <v>6034</v>
      </c>
      <c r="E1141" s="1" t="s">
        <v>6873</v>
      </c>
      <c r="F1141" s="1" t="s">
        <v>95</v>
      </c>
      <c r="G1141" s="1" t="s">
        <v>116</v>
      </c>
      <c r="H1141" s="1">
        <v>0</v>
      </c>
      <c r="I1141" s="1" t="s">
        <v>117</v>
      </c>
      <c r="L1141" s="1" t="s">
        <v>1065</v>
      </c>
      <c r="M1141" s="1" t="s">
        <v>255</v>
      </c>
      <c r="N1141" s="1">
        <v>0</v>
      </c>
      <c r="O1141" s="1">
        <v>0</v>
      </c>
      <c r="P1141" s="1" t="s">
        <v>211</v>
      </c>
      <c r="Q1141" s="1" t="s">
        <v>184</v>
      </c>
      <c r="R1141" s="1" t="s">
        <v>6874</v>
      </c>
      <c r="S1141" s="1" t="s">
        <v>4201</v>
      </c>
      <c r="T1141" s="1">
        <v>1</v>
      </c>
      <c r="U1141" s="1">
        <v>1</v>
      </c>
      <c r="V1141" s="1">
        <v>0</v>
      </c>
      <c r="W1141" s="1">
        <v>0</v>
      </c>
      <c r="X1141" s="1">
        <v>0</v>
      </c>
      <c r="Y1141" s="1">
        <v>2</v>
      </c>
      <c r="Z1141" s="1">
        <v>2</v>
      </c>
      <c r="AA1141" s="1" t="s">
        <v>104</v>
      </c>
      <c r="AB1141" s="1" t="s">
        <v>104</v>
      </c>
      <c r="AC1141" s="1" t="s">
        <v>104</v>
      </c>
      <c r="AD1141" s="1">
        <v>1</v>
      </c>
      <c r="AE1141" s="1" t="s">
        <v>104</v>
      </c>
      <c r="AF1141" s="1" t="s">
        <v>104</v>
      </c>
      <c r="AG1141" s="1" t="s">
        <v>104</v>
      </c>
      <c r="AH1141" s="1">
        <v>2</v>
      </c>
      <c r="AI1141" s="1" t="s">
        <v>104</v>
      </c>
      <c r="AJ1141" s="1" t="s">
        <v>104</v>
      </c>
      <c r="AK1141" s="1" t="s">
        <v>104</v>
      </c>
      <c r="AL1141" s="1" t="s">
        <v>104</v>
      </c>
      <c r="AM1141" s="1" t="s">
        <v>104</v>
      </c>
      <c r="AO1141" s="1">
        <v>2</v>
      </c>
      <c r="AQ1141" s="1" t="s">
        <v>6875</v>
      </c>
      <c r="AR1141" s="1">
        <v>0</v>
      </c>
      <c r="AS1141" s="1">
        <v>0</v>
      </c>
      <c r="AT1141" s="1">
        <v>0</v>
      </c>
      <c r="AU1141" s="1">
        <v>0</v>
      </c>
      <c r="AV1141" s="1">
        <v>0</v>
      </c>
      <c r="AW1141" s="1">
        <v>0</v>
      </c>
      <c r="AX1141" s="1">
        <v>0</v>
      </c>
      <c r="AY1141" s="1">
        <v>0</v>
      </c>
      <c r="AZ1141" s="1">
        <v>0</v>
      </c>
      <c r="BA1141" s="1">
        <v>0</v>
      </c>
      <c r="BB1141" s="1">
        <v>1</v>
      </c>
      <c r="BC1141" s="1">
        <v>0</v>
      </c>
      <c r="BD1141" s="1">
        <v>0</v>
      </c>
      <c r="BE1141" s="1">
        <v>0</v>
      </c>
      <c r="BF1141" s="1">
        <v>0</v>
      </c>
      <c r="BG1141" s="1">
        <v>0</v>
      </c>
      <c r="BH1141" s="1">
        <v>0</v>
      </c>
      <c r="BI1141" s="1">
        <v>0</v>
      </c>
      <c r="BJ1141" s="1">
        <v>0</v>
      </c>
      <c r="BK1141" s="1">
        <v>1</v>
      </c>
      <c r="BL1141" s="1">
        <v>0</v>
      </c>
      <c r="BM1141" s="1">
        <v>0</v>
      </c>
      <c r="BN1141" s="1">
        <v>0</v>
      </c>
      <c r="BO1141" s="1">
        <v>0</v>
      </c>
      <c r="BP1141" s="1">
        <v>0</v>
      </c>
      <c r="BQ1141" s="2" t="str">
        <f>HYPERLINK("http://www.d20pfsrd.com/magic/all-spells/u/unnatural-lust","Unnatural Lust")</f>
        <v>Unnatural Lust</v>
      </c>
      <c r="BR1141" s="1">
        <v>1183</v>
      </c>
      <c r="BS1141" s="1" t="s">
        <v>104</v>
      </c>
      <c r="BU1141" s="1" t="s">
        <v>6876</v>
      </c>
      <c r="BX1141" s="1">
        <v>0</v>
      </c>
      <c r="BY1141" s="1" t="s">
        <v>104</v>
      </c>
      <c r="BZ1141" s="1" t="s">
        <v>104</v>
      </c>
      <c r="CA1141" s="1">
        <v>2</v>
      </c>
      <c r="CB1141" s="1" t="s">
        <v>104</v>
      </c>
      <c r="CC1141" s="1">
        <v>1</v>
      </c>
      <c r="CD1141" s="1" t="s">
        <v>104</v>
      </c>
      <c r="CE1141" s="1" t="s">
        <v>104</v>
      </c>
      <c r="CF1141" s="1" t="s">
        <v>104</v>
      </c>
      <c r="CG1141" s="1" t="s">
        <v>104</v>
      </c>
      <c r="CH1141" s="1" t="s">
        <v>104</v>
      </c>
      <c r="CJ1141" s="1">
        <v>0</v>
      </c>
      <c r="CK1141" s="1">
        <v>0</v>
      </c>
      <c r="CL1141" s="1">
        <v>0</v>
      </c>
      <c r="CM1141" s="1" t="s">
        <v>104</v>
      </c>
    </row>
    <row r="1142" spans="1:91" ht="14.25" customHeight="1" x14ac:dyDescent="0.3">
      <c r="A1142" s="1" t="s">
        <v>6877</v>
      </c>
      <c r="B1142" s="1" t="s">
        <v>123</v>
      </c>
      <c r="C1142" s="1" t="s">
        <v>124</v>
      </c>
      <c r="D1142" s="1" t="s">
        <v>6034</v>
      </c>
      <c r="E1142" s="1" t="s">
        <v>6159</v>
      </c>
      <c r="F1142" s="1" t="s">
        <v>95</v>
      </c>
      <c r="G1142" s="1" t="s">
        <v>116</v>
      </c>
      <c r="H1142" s="1">
        <v>0</v>
      </c>
      <c r="I1142" s="1" t="s">
        <v>117</v>
      </c>
      <c r="L1142" s="1" t="s">
        <v>1065</v>
      </c>
      <c r="M1142" s="1" t="s">
        <v>2330</v>
      </c>
      <c r="N1142" s="1">
        <v>0</v>
      </c>
      <c r="O1142" s="1">
        <v>0</v>
      </c>
      <c r="P1142" s="1" t="s">
        <v>211</v>
      </c>
      <c r="Q1142" s="1" t="s">
        <v>184</v>
      </c>
      <c r="R1142" s="1" t="s">
        <v>6878</v>
      </c>
      <c r="S1142" s="1" t="s">
        <v>4201</v>
      </c>
      <c r="T1142" s="1">
        <v>1</v>
      </c>
      <c r="U1142" s="1">
        <v>1</v>
      </c>
      <c r="V1142" s="1">
        <v>0</v>
      </c>
      <c r="W1142" s="1">
        <v>0</v>
      </c>
      <c r="X1142" s="1">
        <v>0</v>
      </c>
      <c r="Y1142" s="1">
        <v>1</v>
      </c>
      <c r="Z1142" s="1">
        <v>1</v>
      </c>
      <c r="AA1142" s="1" t="s">
        <v>104</v>
      </c>
      <c r="AB1142" s="1" t="s">
        <v>104</v>
      </c>
      <c r="AC1142" s="1" t="s">
        <v>104</v>
      </c>
      <c r="AD1142" s="1">
        <v>1</v>
      </c>
      <c r="AE1142" s="1" t="s">
        <v>104</v>
      </c>
      <c r="AF1142" s="1" t="s">
        <v>104</v>
      </c>
      <c r="AG1142" s="1" t="s">
        <v>104</v>
      </c>
      <c r="AH1142" s="1">
        <v>1</v>
      </c>
      <c r="AI1142" s="1" t="s">
        <v>104</v>
      </c>
      <c r="AJ1142" s="1" t="s">
        <v>104</v>
      </c>
      <c r="AK1142" s="1" t="s">
        <v>104</v>
      </c>
      <c r="AL1142" s="1" t="s">
        <v>104</v>
      </c>
      <c r="AM1142" s="1" t="s">
        <v>104</v>
      </c>
      <c r="AO1142" s="1">
        <v>1</v>
      </c>
      <c r="AQ1142" s="1" t="s">
        <v>6879</v>
      </c>
      <c r="AR1142" s="1">
        <v>0</v>
      </c>
      <c r="AS1142" s="1">
        <v>0</v>
      </c>
      <c r="AT1142" s="1">
        <v>0</v>
      </c>
      <c r="AU1142" s="1">
        <v>0</v>
      </c>
      <c r="AV1142" s="1">
        <v>0</v>
      </c>
      <c r="AW1142" s="1">
        <v>0</v>
      </c>
      <c r="AX1142" s="1">
        <v>0</v>
      </c>
      <c r="AY1142" s="1">
        <v>0</v>
      </c>
      <c r="AZ1142" s="1">
        <v>0</v>
      </c>
      <c r="BA1142" s="1">
        <v>0</v>
      </c>
      <c r="BB1142" s="1">
        <v>1</v>
      </c>
      <c r="BC1142" s="1">
        <v>0</v>
      </c>
      <c r="BD1142" s="1">
        <v>0</v>
      </c>
      <c r="BE1142" s="1">
        <v>0</v>
      </c>
      <c r="BF1142" s="1">
        <v>0</v>
      </c>
      <c r="BG1142" s="1">
        <v>0</v>
      </c>
      <c r="BH1142" s="1">
        <v>0</v>
      </c>
      <c r="BI1142" s="1">
        <v>0</v>
      </c>
      <c r="BJ1142" s="1">
        <v>0</v>
      </c>
      <c r="BK1142" s="1">
        <v>1</v>
      </c>
      <c r="BL1142" s="1">
        <v>0</v>
      </c>
      <c r="BM1142" s="1">
        <v>0</v>
      </c>
      <c r="BN1142" s="1">
        <v>0</v>
      </c>
      <c r="BO1142" s="1">
        <v>0</v>
      </c>
      <c r="BP1142" s="1">
        <v>0</v>
      </c>
      <c r="BQ1142" s="2" t="str">
        <f>HYPERLINK("http://www.d20pfsrd.com/magic/all-spells/u/unprepared-combatant","Unprepared Combatant")</f>
        <v>Unprepared Combatant</v>
      </c>
      <c r="BR1142" s="1">
        <v>1184</v>
      </c>
      <c r="BS1142" s="1" t="s">
        <v>104</v>
      </c>
      <c r="BX1142" s="1">
        <v>0</v>
      </c>
      <c r="BY1142" s="1" t="s">
        <v>104</v>
      </c>
      <c r="BZ1142" s="1" t="s">
        <v>104</v>
      </c>
      <c r="CA1142" s="1">
        <v>1</v>
      </c>
      <c r="CB1142" s="1">
        <v>1</v>
      </c>
      <c r="CC1142" s="1">
        <v>1</v>
      </c>
      <c r="CD1142" s="1" t="s">
        <v>104</v>
      </c>
      <c r="CE1142" s="1" t="s">
        <v>104</v>
      </c>
      <c r="CF1142" s="1" t="s">
        <v>104</v>
      </c>
      <c r="CG1142" s="1" t="s">
        <v>104</v>
      </c>
      <c r="CH1142" s="1" t="s">
        <v>104</v>
      </c>
      <c r="CJ1142" s="1">
        <v>0</v>
      </c>
      <c r="CK1142" s="1">
        <v>0</v>
      </c>
      <c r="CL1142" s="1">
        <v>0</v>
      </c>
      <c r="CM1142" s="1" t="s">
        <v>104</v>
      </c>
    </row>
    <row r="1143" spans="1:91" ht="14.25" customHeight="1" x14ac:dyDescent="0.3">
      <c r="A1143" s="1" t="s">
        <v>6880</v>
      </c>
      <c r="B1143" s="1" t="s">
        <v>216</v>
      </c>
      <c r="D1143" s="1" t="s">
        <v>46</v>
      </c>
      <c r="E1143" s="1" t="s">
        <v>6881</v>
      </c>
      <c r="F1143" s="1" t="s">
        <v>95</v>
      </c>
      <c r="G1143" s="1" t="s">
        <v>913</v>
      </c>
      <c r="H1143" s="1">
        <v>0</v>
      </c>
      <c r="I1143" s="1" t="s">
        <v>117</v>
      </c>
      <c r="L1143" s="1" t="s">
        <v>1065</v>
      </c>
      <c r="M1143" s="1" t="s">
        <v>5710</v>
      </c>
      <c r="N1143" s="1">
        <v>0</v>
      </c>
      <c r="O1143" s="1">
        <v>0</v>
      </c>
      <c r="P1143" s="1" t="s">
        <v>4583</v>
      </c>
      <c r="Q1143" s="1" t="s">
        <v>184</v>
      </c>
      <c r="R1143" s="1" t="s">
        <v>6882</v>
      </c>
      <c r="S1143" s="1" t="s">
        <v>4201</v>
      </c>
      <c r="T1143" s="1">
        <v>1</v>
      </c>
      <c r="U1143" s="1">
        <v>1</v>
      </c>
      <c r="V1143" s="1">
        <v>1</v>
      </c>
      <c r="W1143" s="1">
        <v>0</v>
      </c>
      <c r="X1143" s="1">
        <v>0</v>
      </c>
      <c r="Y1143" s="1">
        <v>2</v>
      </c>
      <c r="Z1143" s="1">
        <v>2</v>
      </c>
      <c r="AA1143" s="1" t="s">
        <v>104</v>
      </c>
      <c r="AB1143" s="1">
        <v>2</v>
      </c>
      <c r="AC1143" s="1" t="s">
        <v>104</v>
      </c>
      <c r="AD1143" s="1" t="s">
        <v>104</v>
      </c>
      <c r="AE1143" s="1" t="s">
        <v>104</v>
      </c>
      <c r="AF1143" s="1" t="s">
        <v>104</v>
      </c>
      <c r="AG1143" s="1" t="s">
        <v>104</v>
      </c>
      <c r="AH1143" s="1">
        <v>2</v>
      </c>
      <c r="AI1143" s="1" t="s">
        <v>104</v>
      </c>
      <c r="AJ1143" s="1" t="s">
        <v>104</v>
      </c>
      <c r="AK1143" s="1" t="s">
        <v>104</v>
      </c>
      <c r="AL1143" s="1" t="s">
        <v>104</v>
      </c>
      <c r="AM1143" s="1" t="s">
        <v>104</v>
      </c>
      <c r="AO1143" s="1">
        <v>2</v>
      </c>
      <c r="AQ1143" s="1" t="s">
        <v>6883</v>
      </c>
      <c r="AR1143" s="1">
        <v>0</v>
      </c>
      <c r="AS1143" s="1">
        <v>0</v>
      </c>
      <c r="AT1143" s="1">
        <v>0</v>
      </c>
      <c r="AU1143" s="1">
        <v>1</v>
      </c>
      <c r="AV1143" s="1">
        <v>0</v>
      </c>
      <c r="AW1143" s="1">
        <v>0</v>
      </c>
      <c r="AX1143" s="1">
        <v>0</v>
      </c>
      <c r="AY1143" s="1">
        <v>0</v>
      </c>
      <c r="AZ1143" s="1">
        <v>0</v>
      </c>
      <c r="BA1143" s="1">
        <v>0</v>
      </c>
      <c r="BB1143" s="1">
        <v>0</v>
      </c>
      <c r="BC1143" s="1">
        <v>0</v>
      </c>
      <c r="BD1143" s="1">
        <v>0</v>
      </c>
      <c r="BE1143" s="1">
        <v>0</v>
      </c>
      <c r="BF1143" s="1">
        <v>0</v>
      </c>
      <c r="BG1143" s="1">
        <v>0</v>
      </c>
      <c r="BH1143" s="1">
        <v>0</v>
      </c>
      <c r="BI1143" s="1">
        <v>0</v>
      </c>
      <c r="BJ1143" s="1">
        <v>0</v>
      </c>
      <c r="BK1143" s="1">
        <v>0</v>
      </c>
      <c r="BL1143" s="1">
        <v>0</v>
      </c>
      <c r="BM1143" s="1">
        <v>0</v>
      </c>
      <c r="BN1143" s="1">
        <v>0</v>
      </c>
      <c r="BO1143" s="1">
        <v>0</v>
      </c>
      <c r="BP1143" s="1">
        <v>0</v>
      </c>
      <c r="BQ1143" s="2" t="str">
        <f>HYPERLINK("http://www.d20pfsrd.com/magic/all-spells/u/unshakable-chill","Unshakable Chill")</f>
        <v>Unshakable Chill</v>
      </c>
      <c r="BR1143" s="1">
        <v>1185</v>
      </c>
      <c r="BS1143" s="1" t="s">
        <v>104</v>
      </c>
      <c r="BU1143" s="1" t="s">
        <v>6884</v>
      </c>
      <c r="BV1143" s="1" t="s">
        <v>6885</v>
      </c>
      <c r="BW1143" s="1" t="s">
        <v>6886</v>
      </c>
      <c r="BX1143" s="1">
        <v>1</v>
      </c>
      <c r="BY1143" s="1">
        <v>2</v>
      </c>
      <c r="BZ1143" s="1" t="s">
        <v>104</v>
      </c>
      <c r="CA1143" s="1" t="s">
        <v>104</v>
      </c>
      <c r="CB1143" s="1" t="s">
        <v>104</v>
      </c>
      <c r="CC1143" s="1" t="s">
        <v>104</v>
      </c>
      <c r="CD1143" s="1" t="s">
        <v>104</v>
      </c>
      <c r="CE1143" s="1" t="s">
        <v>104</v>
      </c>
      <c r="CF1143" s="1" t="s">
        <v>104</v>
      </c>
      <c r="CG1143" s="1" t="s">
        <v>104</v>
      </c>
      <c r="CH1143" s="1">
        <v>2</v>
      </c>
      <c r="CJ1143" s="1">
        <v>0</v>
      </c>
      <c r="CK1143" s="1">
        <v>0</v>
      </c>
      <c r="CL1143" s="1">
        <v>0</v>
      </c>
      <c r="CM1143" s="1" t="s">
        <v>104</v>
      </c>
    </row>
    <row r="1144" spans="1:91" ht="14.25" customHeight="1" x14ac:dyDescent="0.3">
      <c r="A1144" s="1" t="s">
        <v>6887</v>
      </c>
      <c r="B1144" s="1" t="s">
        <v>123</v>
      </c>
      <c r="D1144" s="1" t="s">
        <v>53</v>
      </c>
      <c r="E1144" s="1" t="s">
        <v>6888</v>
      </c>
      <c r="F1144" s="1" t="s">
        <v>95</v>
      </c>
      <c r="G1144" s="1" t="s">
        <v>6889</v>
      </c>
      <c r="H1144" s="1">
        <v>0</v>
      </c>
      <c r="I1144" s="1" t="s">
        <v>117</v>
      </c>
      <c r="L1144" s="1" t="s">
        <v>1065</v>
      </c>
      <c r="M1144" s="1" t="s">
        <v>2330</v>
      </c>
      <c r="N1144" s="1">
        <v>0</v>
      </c>
      <c r="O1144" s="1">
        <v>0</v>
      </c>
      <c r="P1144" s="1" t="s">
        <v>211</v>
      </c>
      <c r="Q1144" s="1" t="s">
        <v>184</v>
      </c>
      <c r="R1144" s="1" t="s">
        <v>6890</v>
      </c>
      <c r="S1144" s="1" t="s">
        <v>4201</v>
      </c>
      <c r="T1144" s="1">
        <v>1</v>
      </c>
      <c r="U1144" s="1">
        <v>1</v>
      </c>
      <c r="V1144" s="1">
        <v>1</v>
      </c>
      <c r="W1144" s="1">
        <v>0</v>
      </c>
      <c r="X1144" s="1">
        <v>0</v>
      </c>
      <c r="Y1144" s="1">
        <v>6</v>
      </c>
      <c r="Z1144" s="1">
        <v>6</v>
      </c>
      <c r="AA1144" s="1" t="s">
        <v>104</v>
      </c>
      <c r="AB1144" s="1" t="s">
        <v>104</v>
      </c>
      <c r="AC1144" s="1" t="s">
        <v>104</v>
      </c>
      <c r="AD1144" s="1">
        <v>4</v>
      </c>
      <c r="AE1144" s="1" t="s">
        <v>104</v>
      </c>
      <c r="AF1144" s="1" t="s">
        <v>104</v>
      </c>
      <c r="AG1144" s="1" t="s">
        <v>104</v>
      </c>
      <c r="AH1144" s="1" t="s">
        <v>104</v>
      </c>
      <c r="AI1144" s="1" t="s">
        <v>104</v>
      </c>
      <c r="AJ1144" s="1" t="s">
        <v>104</v>
      </c>
      <c r="AK1144" s="1">
        <v>3</v>
      </c>
      <c r="AL1144" s="1" t="s">
        <v>104</v>
      </c>
      <c r="AM1144" s="1" t="s">
        <v>104</v>
      </c>
      <c r="AO1144" s="1">
        <v>6</v>
      </c>
      <c r="AQ1144" s="1" t="s">
        <v>6891</v>
      </c>
      <c r="AR1144" s="1">
        <v>0</v>
      </c>
      <c r="AS1144" s="1">
        <v>0</v>
      </c>
      <c r="AT1144" s="1">
        <v>0</v>
      </c>
      <c r="AU1144" s="1">
        <v>0</v>
      </c>
      <c r="AV1144" s="1">
        <v>0</v>
      </c>
      <c r="AW1144" s="1">
        <v>0</v>
      </c>
      <c r="AX1144" s="1">
        <v>0</v>
      </c>
      <c r="AY1144" s="1">
        <v>0</v>
      </c>
      <c r="AZ1144" s="1">
        <v>0</v>
      </c>
      <c r="BA1144" s="1">
        <v>0</v>
      </c>
      <c r="BB1144" s="1">
        <v>1</v>
      </c>
      <c r="BC1144" s="1">
        <v>0</v>
      </c>
      <c r="BD1144" s="1">
        <v>0</v>
      </c>
      <c r="BE1144" s="1">
        <v>0</v>
      </c>
      <c r="BF1144" s="1">
        <v>0</v>
      </c>
      <c r="BG1144" s="1">
        <v>0</v>
      </c>
      <c r="BH1144" s="1">
        <v>0</v>
      </c>
      <c r="BI1144" s="1">
        <v>0</v>
      </c>
      <c r="BJ1144" s="1">
        <v>0</v>
      </c>
      <c r="BK1144" s="1">
        <v>0</v>
      </c>
      <c r="BL1144" s="1">
        <v>0</v>
      </c>
      <c r="BM1144" s="1">
        <v>0</v>
      </c>
      <c r="BN1144" s="1">
        <v>0</v>
      </c>
      <c r="BO1144" s="1">
        <v>0</v>
      </c>
      <c r="BP1144" s="1">
        <v>0</v>
      </c>
      <c r="BQ1144" s="2" t="str">
        <f>HYPERLINK("http://www.d20pfsrd.com/magic/all-spells/u/utter-contempt","Utter Contempt")</f>
        <v>Utter Contempt</v>
      </c>
      <c r="BR1144" s="1">
        <v>1186</v>
      </c>
      <c r="BS1144" s="1" t="s">
        <v>104</v>
      </c>
      <c r="BX1144" s="1">
        <v>0</v>
      </c>
      <c r="BY1144" s="1" t="s">
        <v>104</v>
      </c>
      <c r="BZ1144" s="1" t="s">
        <v>104</v>
      </c>
      <c r="CA1144" s="1">
        <v>5</v>
      </c>
      <c r="CB1144" s="1" t="s">
        <v>104</v>
      </c>
      <c r="CC1144" s="1">
        <v>4</v>
      </c>
      <c r="CD1144" s="1" t="s">
        <v>104</v>
      </c>
      <c r="CE1144" s="1" t="s">
        <v>104</v>
      </c>
      <c r="CF1144" s="1" t="s">
        <v>104</v>
      </c>
      <c r="CG1144" s="1" t="s">
        <v>104</v>
      </c>
      <c r="CH1144" s="1" t="s">
        <v>104</v>
      </c>
      <c r="CJ1144" s="1">
        <v>0</v>
      </c>
      <c r="CK1144" s="1">
        <v>0</v>
      </c>
      <c r="CL1144" s="1">
        <v>0</v>
      </c>
      <c r="CM1144" s="1" t="s">
        <v>104</v>
      </c>
    </row>
    <row r="1145" spans="1:91" ht="14.25" customHeight="1" x14ac:dyDescent="0.3">
      <c r="A1145" s="1" t="s">
        <v>6892</v>
      </c>
      <c r="B1145" s="1" t="s">
        <v>123</v>
      </c>
      <c r="C1145" s="1" t="s">
        <v>124</v>
      </c>
      <c r="D1145" s="1" t="s">
        <v>6893</v>
      </c>
      <c r="E1145" s="1" t="s">
        <v>6894</v>
      </c>
      <c r="F1145" s="1" t="s">
        <v>255</v>
      </c>
      <c r="G1145" s="1" t="s">
        <v>116</v>
      </c>
      <c r="H1145" s="1">
        <v>0</v>
      </c>
      <c r="I1145" s="1" t="s">
        <v>117</v>
      </c>
      <c r="L1145" s="1" t="s">
        <v>1065</v>
      </c>
      <c r="M1145" s="1" t="s">
        <v>2330</v>
      </c>
      <c r="N1145" s="1">
        <v>0</v>
      </c>
      <c r="O1145" s="1">
        <v>0</v>
      </c>
      <c r="P1145" s="1" t="s">
        <v>211</v>
      </c>
      <c r="Q1145" s="1" t="s">
        <v>184</v>
      </c>
      <c r="R1145" s="1" t="s">
        <v>6895</v>
      </c>
      <c r="S1145" s="1" t="s">
        <v>4201</v>
      </c>
      <c r="T1145" s="1">
        <v>1</v>
      </c>
      <c r="U1145" s="1">
        <v>1</v>
      </c>
      <c r="V1145" s="1">
        <v>0</v>
      </c>
      <c r="W1145" s="1">
        <v>0</v>
      </c>
      <c r="X1145" s="1">
        <v>0</v>
      </c>
      <c r="Y1145" s="1">
        <v>6</v>
      </c>
      <c r="Z1145" s="1">
        <v>6</v>
      </c>
      <c r="AA1145" s="1" t="s">
        <v>104</v>
      </c>
      <c r="AB1145" s="1" t="s">
        <v>104</v>
      </c>
      <c r="AC1145" s="1" t="s">
        <v>104</v>
      </c>
      <c r="AD1145" s="1">
        <v>5</v>
      </c>
      <c r="AE1145" s="1" t="s">
        <v>104</v>
      </c>
      <c r="AF1145" s="1" t="s">
        <v>104</v>
      </c>
      <c r="AG1145" s="1" t="s">
        <v>104</v>
      </c>
      <c r="AH1145" s="1">
        <v>6</v>
      </c>
      <c r="AI1145" s="1" t="s">
        <v>104</v>
      </c>
      <c r="AJ1145" s="1" t="s">
        <v>104</v>
      </c>
      <c r="AK1145" s="1" t="s">
        <v>104</v>
      </c>
      <c r="AL1145" s="1" t="s">
        <v>104</v>
      </c>
      <c r="AM1145" s="1" t="s">
        <v>104</v>
      </c>
      <c r="AO1145" s="1">
        <v>6</v>
      </c>
      <c r="AQ1145" s="1" t="s">
        <v>6896</v>
      </c>
      <c r="AR1145" s="1">
        <v>0</v>
      </c>
      <c r="AS1145" s="1">
        <v>0</v>
      </c>
      <c r="AT1145" s="1">
        <v>0</v>
      </c>
      <c r="AU1145" s="1">
        <v>0</v>
      </c>
      <c r="AV1145" s="1">
        <v>0</v>
      </c>
      <c r="AW1145" s="1">
        <v>0</v>
      </c>
      <c r="AX1145" s="1">
        <v>0</v>
      </c>
      <c r="AY1145" s="1">
        <v>0</v>
      </c>
      <c r="AZ1145" s="1">
        <v>0</v>
      </c>
      <c r="BA1145" s="1">
        <v>0</v>
      </c>
      <c r="BB1145" s="1">
        <v>1</v>
      </c>
      <c r="BC1145" s="1">
        <v>0</v>
      </c>
      <c r="BD1145" s="1">
        <v>0</v>
      </c>
      <c r="BE1145" s="1">
        <v>0</v>
      </c>
      <c r="BF1145" s="1">
        <v>0</v>
      </c>
      <c r="BG1145" s="1">
        <v>0</v>
      </c>
      <c r="BH1145" s="1">
        <v>1</v>
      </c>
      <c r="BI1145" s="1">
        <v>0</v>
      </c>
      <c r="BJ1145" s="1">
        <v>0</v>
      </c>
      <c r="BK1145" s="1">
        <v>1</v>
      </c>
      <c r="BL1145" s="1">
        <v>0</v>
      </c>
      <c r="BM1145" s="1">
        <v>0</v>
      </c>
      <c r="BN1145" s="1">
        <v>0</v>
      </c>
      <c r="BO1145" s="1">
        <v>0</v>
      </c>
      <c r="BP1145" s="1">
        <v>0</v>
      </c>
      <c r="BQ1145" s="2" t="str">
        <f>HYPERLINK("http://www.d20pfsrd.com/magic/all-spells/v/vengeful-outrage","Vengeful Outrage")</f>
        <v>Vengeful Outrage</v>
      </c>
      <c r="BR1145" s="1">
        <v>1187</v>
      </c>
      <c r="BS1145" s="1" t="s">
        <v>104</v>
      </c>
      <c r="BX1145" s="1">
        <v>0</v>
      </c>
      <c r="BY1145" s="1" t="s">
        <v>104</v>
      </c>
      <c r="BZ1145" s="1" t="s">
        <v>104</v>
      </c>
      <c r="CA1145" s="1">
        <v>6</v>
      </c>
      <c r="CB1145" s="1" t="s">
        <v>104</v>
      </c>
      <c r="CC1145" s="1">
        <v>5</v>
      </c>
      <c r="CD1145" s="1" t="s">
        <v>104</v>
      </c>
      <c r="CE1145" s="1" t="s">
        <v>104</v>
      </c>
      <c r="CF1145" s="1" t="s">
        <v>104</v>
      </c>
      <c r="CG1145" s="1" t="s">
        <v>104</v>
      </c>
      <c r="CH1145" s="1" t="s">
        <v>104</v>
      </c>
      <c r="CJ1145" s="1">
        <v>0</v>
      </c>
      <c r="CK1145" s="1">
        <v>0</v>
      </c>
      <c r="CL1145" s="1">
        <v>0</v>
      </c>
      <c r="CM1145" s="1" t="s">
        <v>104</v>
      </c>
    </row>
    <row r="1146" spans="1:91" ht="14.25" customHeight="1" x14ac:dyDescent="0.3">
      <c r="A1146" s="1" t="s">
        <v>6897</v>
      </c>
      <c r="B1146" s="1" t="s">
        <v>137</v>
      </c>
      <c r="C1146" s="1" t="s">
        <v>154</v>
      </c>
      <c r="E1146" s="1" t="s">
        <v>6898</v>
      </c>
      <c r="F1146" s="1" t="s">
        <v>95</v>
      </c>
      <c r="G1146" s="1" t="s">
        <v>156</v>
      </c>
      <c r="H1146" s="1">
        <v>0</v>
      </c>
      <c r="I1146" s="1" t="s">
        <v>157</v>
      </c>
      <c r="L1146" s="1" t="s">
        <v>158</v>
      </c>
      <c r="M1146" s="1" t="s">
        <v>2330</v>
      </c>
      <c r="N1146" s="1">
        <v>0</v>
      </c>
      <c r="O1146" s="1">
        <v>0</v>
      </c>
      <c r="R1146" s="1" t="s">
        <v>6899</v>
      </c>
      <c r="S1146" s="1" t="s">
        <v>4201</v>
      </c>
      <c r="T1146" s="1">
        <v>1</v>
      </c>
      <c r="U1146" s="1">
        <v>1</v>
      </c>
      <c r="V1146" s="1">
        <v>1</v>
      </c>
      <c r="W1146" s="1">
        <v>0</v>
      </c>
      <c r="X1146" s="1">
        <v>0</v>
      </c>
      <c r="Y1146" s="1">
        <v>4</v>
      </c>
      <c r="Z1146" s="1">
        <v>4</v>
      </c>
      <c r="AA1146" s="1" t="s">
        <v>104</v>
      </c>
      <c r="AB1146" s="1">
        <v>3</v>
      </c>
      <c r="AC1146" s="1" t="s">
        <v>104</v>
      </c>
      <c r="AD1146" s="1" t="s">
        <v>104</v>
      </c>
      <c r="AE1146" s="1" t="s">
        <v>104</v>
      </c>
      <c r="AF1146" s="1">
        <v>4</v>
      </c>
      <c r="AG1146" s="1" t="s">
        <v>104</v>
      </c>
      <c r="AH1146" s="1">
        <v>3</v>
      </c>
      <c r="AI1146" s="1" t="s">
        <v>104</v>
      </c>
      <c r="AJ1146" s="1" t="s">
        <v>104</v>
      </c>
      <c r="AK1146" s="1" t="s">
        <v>104</v>
      </c>
      <c r="AL1146" s="1">
        <v>4</v>
      </c>
      <c r="AM1146" s="1" t="s">
        <v>104</v>
      </c>
      <c r="AO1146" s="1">
        <v>4</v>
      </c>
      <c r="AQ1146" s="1" t="s">
        <v>6900</v>
      </c>
      <c r="AR1146" s="1">
        <v>0</v>
      </c>
      <c r="AS1146" s="1">
        <v>0</v>
      </c>
      <c r="AT1146" s="1">
        <v>0</v>
      </c>
      <c r="AU1146" s="1">
        <v>0</v>
      </c>
      <c r="AV1146" s="1">
        <v>0</v>
      </c>
      <c r="AW1146" s="1">
        <v>0</v>
      </c>
      <c r="AX1146" s="1">
        <v>0</v>
      </c>
      <c r="AY1146" s="1">
        <v>0</v>
      </c>
      <c r="AZ1146" s="1">
        <v>0</v>
      </c>
      <c r="BA1146" s="1">
        <v>0</v>
      </c>
      <c r="BB1146" s="1">
        <v>0</v>
      </c>
      <c r="BC1146" s="1">
        <v>0</v>
      </c>
      <c r="BD1146" s="1">
        <v>0</v>
      </c>
      <c r="BE1146" s="1">
        <v>0</v>
      </c>
      <c r="BF1146" s="1">
        <v>0</v>
      </c>
      <c r="BG1146" s="1">
        <v>0</v>
      </c>
      <c r="BH1146" s="1">
        <v>0</v>
      </c>
      <c r="BI1146" s="1">
        <v>0</v>
      </c>
      <c r="BJ1146" s="1">
        <v>0</v>
      </c>
      <c r="BK1146" s="1">
        <v>0</v>
      </c>
      <c r="BL1146" s="1">
        <v>0</v>
      </c>
      <c r="BM1146" s="1">
        <v>0</v>
      </c>
      <c r="BN1146" s="1">
        <v>0</v>
      </c>
      <c r="BO1146" s="1">
        <v>0</v>
      </c>
      <c r="BP1146" s="1">
        <v>0</v>
      </c>
      <c r="BQ1146" s="2" t="str">
        <f>HYPERLINK("http://www.d20pfsrd.com/magic/all-spells/v/vermin-shape-i","Vermin Shape I")</f>
        <v>Vermin Shape I</v>
      </c>
      <c r="BR1146" s="1">
        <v>1188</v>
      </c>
      <c r="BS1146" s="1" t="s">
        <v>104</v>
      </c>
      <c r="BX1146" s="1">
        <v>0</v>
      </c>
      <c r="BY1146" s="1">
        <v>4</v>
      </c>
      <c r="BZ1146" s="1" t="s">
        <v>104</v>
      </c>
      <c r="CA1146" s="1" t="s">
        <v>104</v>
      </c>
      <c r="CB1146" s="1" t="s">
        <v>104</v>
      </c>
      <c r="CC1146" s="1" t="s">
        <v>104</v>
      </c>
      <c r="CD1146" s="1" t="s">
        <v>104</v>
      </c>
      <c r="CE1146" s="1" t="s">
        <v>104</v>
      </c>
      <c r="CF1146" s="1" t="s">
        <v>104</v>
      </c>
      <c r="CG1146" s="1" t="s">
        <v>104</v>
      </c>
      <c r="CH1146" s="1">
        <v>3</v>
      </c>
      <c r="CJ1146" s="1">
        <v>0</v>
      </c>
      <c r="CK1146" s="1">
        <v>0</v>
      </c>
      <c r="CL1146" s="1">
        <v>0</v>
      </c>
      <c r="CM1146" s="1" t="s">
        <v>104</v>
      </c>
    </row>
    <row r="1147" spans="1:91" ht="14.25" customHeight="1" x14ac:dyDescent="0.3">
      <c r="A1147" s="1" t="s">
        <v>6901</v>
      </c>
      <c r="B1147" s="1" t="s">
        <v>137</v>
      </c>
      <c r="C1147" s="1" t="s">
        <v>154</v>
      </c>
      <c r="E1147" s="1" t="s">
        <v>6902</v>
      </c>
      <c r="F1147" s="1" t="s">
        <v>95</v>
      </c>
      <c r="G1147" s="1" t="s">
        <v>156</v>
      </c>
      <c r="H1147" s="1">
        <v>0</v>
      </c>
      <c r="I1147" s="1" t="s">
        <v>157</v>
      </c>
      <c r="L1147" s="1" t="s">
        <v>158</v>
      </c>
      <c r="M1147" s="1" t="s">
        <v>2330</v>
      </c>
      <c r="N1147" s="1">
        <v>0</v>
      </c>
      <c r="O1147" s="1">
        <v>0</v>
      </c>
      <c r="R1147" s="1" t="s">
        <v>6903</v>
      </c>
      <c r="S1147" s="1" t="s">
        <v>4201</v>
      </c>
      <c r="T1147" s="1">
        <v>1</v>
      </c>
      <c r="U1147" s="1">
        <v>1</v>
      </c>
      <c r="V1147" s="1">
        <v>1</v>
      </c>
      <c r="W1147" s="1">
        <v>0</v>
      </c>
      <c r="X1147" s="1">
        <v>0</v>
      </c>
      <c r="Y1147" s="1">
        <v>5</v>
      </c>
      <c r="Z1147" s="1">
        <v>5</v>
      </c>
      <c r="AA1147" s="1" t="s">
        <v>104</v>
      </c>
      <c r="AB1147" s="1">
        <v>4</v>
      </c>
      <c r="AC1147" s="1" t="s">
        <v>104</v>
      </c>
      <c r="AD1147" s="1" t="s">
        <v>104</v>
      </c>
      <c r="AE1147" s="1" t="s">
        <v>104</v>
      </c>
      <c r="AF1147" s="1">
        <v>5</v>
      </c>
      <c r="AG1147" s="1" t="s">
        <v>104</v>
      </c>
      <c r="AH1147" s="1">
        <v>4</v>
      </c>
      <c r="AI1147" s="1" t="s">
        <v>104</v>
      </c>
      <c r="AJ1147" s="1" t="s">
        <v>104</v>
      </c>
      <c r="AK1147" s="1" t="s">
        <v>104</v>
      </c>
      <c r="AL1147" s="1">
        <v>5</v>
      </c>
      <c r="AM1147" s="1" t="s">
        <v>104</v>
      </c>
      <c r="AO1147" s="1">
        <v>5</v>
      </c>
      <c r="AQ1147" s="1" t="s">
        <v>6904</v>
      </c>
      <c r="AR1147" s="1">
        <v>0</v>
      </c>
      <c r="AS1147" s="1">
        <v>0</v>
      </c>
      <c r="AT1147" s="1">
        <v>0</v>
      </c>
      <c r="AU1147" s="1">
        <v>0</v>
      </c>
      <c r="AV1147" s="1">
        <v>0</v>
      </c>
      <c r="AW1147" s="1">
        <v>0</v>
      </c>
      <c r="AX1147" s="1">
        <v>0</v>
      </c>
      <c r="AY1147" s="1">
        <v>0</v>
      </c>
      <c r="AZ1147" s="1">
        <v>0</v>
      </c>
      <c r="BA1147" s="1">
        <v>0</v>
      </c>
      <c r="BB1147" s="1">
        <v>0</v>
      </c>
      <c r="BC1147" s="1">
        <v>0</v>
      </c>
      <c r="BD1147" s="1">
        <v>0</v>
      </c>
      <c r="BE1147" s="1">
        <v>0</v>
      </c>
      <c r="BF1147" s="1">
        <v>0</v>
      </c>
      <c r="BG1147" s="1">
        <v>0</v>
      </c>
      <c r="BH1147" s="1">
        <v>0</v>
      </c>
      <c r="BI1147" s="1">
        <v>0</v>
      </c>
      <c r="BJ1147" s="1">
        <v>0</v>
      </c>
      <c r="BK1147" s="1">
        <v>0</v>
      </c>
      <c r="BL1147" s="1">
        <v>0</v>
      </c>
      <c r="BM1147" s="1">
        <v>0</v>
      </c>
      <c r="BN1147" s="1">
        <v>0</v>
      </c>
      <c r="BO1147" s="1">
        <v>0</v>
      </c>
      <c r="BP1147" s="1">
        <v>0</v>
      </c>
      <c r="BQ1147" s="2" t="str">
        <f>HYPERLINK("http://www.d20pfsrd.com/magic/all-spells/v/vermin-shape-ii","Vermin Shape II")</f>
        <v>Vermin Shape II</v>
      </c>
      <c r="BR1147" s="1">
        <v>1189</v>
      </c>
      <c r="BS1147" s="1" t="s">
        <v>104</v>
      </c>
      <c r="BX1147" s="1">
        <v>0</v>
      </c>
      <c r="BY1147" s="1" t="s">
        <v>104</v>
      </c>
      <c r="BZ1147" s="1" t="s">
        <v>104</v>
      </c>
      <c r="CA1147" s="1" t="s">
        <v>104</v>
      </c>
      <c r="CB1147" s="1" t="s">
        <v>104</v>
      </c>
      <c r="CC1147" s="1" t="s">
        <v>104</v>
      </c>
      <c r="CD1147" s="1" t="s">
        <v>104</v>
      </c>
      <c r="CE1147" s="1" t="s">
        <v>104</v>
      </c>
      <c r="CF1147" s="1" t="s">
        <v>104</v>
      </c>
      <c r="CG1147" s="1" t="s">
        <v>104</v>
      </c>
      <c r="CH1147" s="1">
        <v>4</v>
      </c>
      <c r="CJ1147" s="1">
        <v>0</v>
      </c>
      <c r="CK1147" s="1">
        <v>0</v>
      </c>
      <c r="CL1147" s="1">
        <v>0</v>
      </c>
      <c r="CM1147" s="1" t="s">
        <v>104</v>
      </c>
    </row>
    <row r="1148" spans="1:91" ht="14.25" customHeight="1" x14ac:dyDescent="0.3">
      <c r="A1148" s="1" t="s">
        <v>6905</v>
      </c>
      <c r="B1148" s="1" t="s">
        <v>162</v>
      </c>
      <c r="E1148" s="1" t="s">
        <v>6906</v>
      </c>
      <c r="F1148" s="1" t="s">
        <v>95</v>
      </c>
      <c r="G1148" s="1" t="s">
        <v>116</v>
      </c>
      <c r="H1148" s="1">
        <v>0</v>
      </c>
      <c r="I1148" s="1" t="s">
        <v>128</v>
      </c>
      <c r="L1148" s="1" t="s">
        <v>2431</v>
      </c>
      <c r="M1148" s="1" t="s">
        <v>2330</v>
      </c>
      <c r="N1148" s="1">
        <v>0</v>
      </c>
      <c r="O1148" s="1">
        <v>0</v>
      </c>
      <c r="P1148" s="1" t="s">
        <v>100</v>
      </c>
      <c r="Q1148" s="1" t="s">
        <v>101</v>
      </c>
      <c r="R1148" s="1" t="s">
        <v>6907</v>
      </c>
      <c r="S1148" s="1" t="s">
        <v>4201</v>
      </c>
      <c r="T1148" s="1">
        <v>1</v>
      </c>
      <c r="U1148" s="1">
        <v>1</v>
      </c>
      <c r="V1148" s="1">
        <v>0</v>
      </c>
      <c r="W1148" s="1">
        <v>0</v>
      </c>
      <c r="X1148" s="1">
        <v>0</v>
      </c>
      <c r="Y1148" s="1" t="s">
        <v>104</v>
      </c>
      <c r="Z1148" s="1" t="s">
        <v>104</v>
      </c>
      <c r="AA1148" s="1" t="s">
        <v>104</v>
      </c>
      <c r="AB1148" s="1" t="s">
        <v>104</v>
      </c>
      <c r="AC1148" s="1" t="s">
        <v>104</v>
      </c>
      <c r="AD1148" s="1" t="s">
        <v>104</v>
      </c>
      <c r="AE1148" s="1">
        <v>2</v>
      </c>
      <c r="AF1148" s="1" t="s">
        <v>104</v>
      </c>
      <c r="AG1148" s="1" t="s">
        <v>104</v>
      </c>
      <c r="AH1148" s="1" t="s">
        <v>104</v>
      </c>
      <c r="AI1148" s="1" t="s">
        <v>104</v>
      </c>
      <c r="AJ1148" s="1" t="s">
        <v>104</v>
      </c>
      <c r="AK1148" s="1">
        <v>2</v>
      </c>
      <c r="AL1148" s="1" t="s">
        <v>104</v>
      </c>
      <c r="AM1148" s="1" t="s">
        <v>104</v>
      </c>
      <c r="AO1148" s="1">
        <v>2</v>
      </c>
      <c r="AQ1148" s="1" t="s">
        <v>6908</v>
      </c>
      <c r="AR1148" s="1">
        <v>0</v>
      </c>
      <c r="AS1148" s="1">
        <v>0</v>
      </c>
      <c r="AT1148" s="1">
        <v>0</v>
      </c>
      <c r="AU1148" s="1">
        <v>0</v>
      </c>
      <c r="AV1148" s="1">
        <v>0</v>
      </c>
      <c r="AW1148" s="1">
        <v>0</v>
      </c>
      <c r="AX1148" s="1">
        <v>0</v>
      </c>
      <c r="AY1148" s="1">
        <v>0</v>
      </c>
      <c r="AZ1148" s="1">
        <v>0</v>
      </c>
      <c r="BA1148" s="1">
        <v>0</v>
      </c>
      <c r="BB1148" s="1">
        <v>0</v>
      </c>
      <c r="BC1148" s="1">
        <v>0</v>
      </c>
      <c r="BD1148" s="1">
        <v>0</v>
      </c>
      <c r="BE1148" s="1">
        <v>0</v>
      </c>
      <c r="BF1148" s="1">
        <v>0</v>
      </c>
      <c r="BG1148" s="1">
        <v>0</v>
      </c>
      <c r="BH1148" s="1">
        <v>0</v>
      </c>
      <c r="BI1148" s="1">
        <v>0</v>
      </c>
      <c r="BJ1148" s="1">
        <v>0</v>
      </c>
      <c r="BK1148" s="1">
        <v>0</v>
      </c>
      <c r="BL1148" s="1">
        <v>0</v>
      </c>
      <c r="BM1148" s="1">
        <v>0</v>
      </c>
      <c r="BN1148" s="1">
        <v>0</v>
      </c>
      <c r="BO1148" s="1">
        <v>0</v>
      </c>
      <c r="BP1148" s="1">
        <v>0</v>
      </c>
      <c r="BQ1148" s="2" t="str">
        <f>HYPERLINK("http://www.d20pfsrd.com/magic/all-spells/v/vestment-of-the-champion","Vestment of the Champion")</f>
        <v>Vestment of the Champion</v>
      </c>
      <c r="BR1148" s="1">
        <v>1190</v>
      </c>
      <c r="BS1148" s="1" t="s">
        <v>104</v>
      </c>
      <c r="BX1148" s="1">
        <v>0</v>
      </c>
      <c r="BY1148" s="1" t="s">
        <v>104</v>
      </c>
      <c r="BZ1148" s="1" t="s">
        <v>104</v>
      </c>
      <c r="CA1148" s="1" t="s">
        <v>104</v>
      </c>
      <c r="CB1148" s="1" t="s">
        <v>104</v>
      </c>
      <c r="CC1148" s="1" t="s">
        <v>104</v>
      </c>
      <c r="CD1148" s="1" t="s">
        <v>104</v>
      </c>
      <c r="CE1148" s="1" t="s">
        <v>104</v>
      </c>
      <c r="CF1148" s="1" t="s">
        <v>104</v>
      </c>
      <c r="CG1148" s="1" t="s">
        <v>104</v>
      </c>
      <c r="CH1148" s="1" t="s">
        <v>104</v>
      </c>
      <c r="CJ1148" s="1">
        <v>0</v>
      </c>
      <c r="CK1148" s="1">
        <v>0</v>
      </c>
      <c r="CL1148" s="1">
        <v>0</v>
      </c>
      <c r="CM1148" s="1" t="s">
        <v>104</v>
      </c>
    </row>
    <row r="1149" spans="1:91" ht="14.25" customHeight="1" x14ac:dyDescent="0.3">
      <c r="A1149" s="1" t="s">
        <v>6909</v>
      </c>
      <c r="B1149" s="1" t="s">
        <v>137</v>
      </c>
      <c r="E1149" s="1" t="s">
        <v>4785</v>
      </c>
      <c r="F1149" s="1" t="s">
        <v>95</v>
      </c>
      <c r="G1149" s="1" t="s">
        <v>237</v>
      </c>
      <c r="H1149" s="1">
        <v>0</v>
      </c>
      <c r="I1149" s="1" t="s">
        <v>157</v>
      </c>
      <c r="L1149" s="1" t="s">
        <v>158</v>
      </c>
      <c r="M1149" s="1" t="s">
        <v>111</v>
      </c>
      <c r="N1149" s="1">
        <v>0</v>
      </c>
      <c r="O1149" s="1">
        <v>0</v>
      </c>
      <c r="R1149" s="1" t="s">
        <v>6910</v>
      </c>
      <c r="S1149" s="1" t="s">
        <v>4201</v>
      </c>
      <c r="T1149" s="1">
        <v>1</v>
      </c>
      <c r="U1149" s="1">
        <v>0</v>
      </c>
      <c r="V1149" s="1">
        <v>0</v>
      </c>
      <c r="W1149" s="1">
        <v>0</v>
      </c>
      <c r="X1149" s="1">
        <v>0</v>
      </c>
      <c r="Y1149" s="1" t="s">
        <v>104</v>
      </c>
      <c r="Z1149" s="1" t="s">
        <v>104</v>
      </c>
      <c r="AA1149" s="1" t="s">
        <v>104</v>
      </c>
      <c r="AB1149" s="1" t="s">
        <v>104</v>
      </c>
      <c r="AC1149" s="1" t="s">
        <v>104</v>
      </c>
      <c r="AD1149" s="1">
        <v>4</v>
      </c>
      <c r="AE1149" s="1" t="s">
        <v>104</v>
      </c>
      <c r="AF1149" s="1" t="s">
        <v>104</v>
      </c>
      <c r="AG1149" s="1" t="s">
        <v>104</v>
      </c>
      <c r="AH1149" s="1" t="s">
        <v>104</v>
      </c>
      <c r="AI1149" s="1" t="s">
        <v>104</v>
      </c>
      <c r="AJ1149" s="1" t="s">
        <v>104</v>
      </c>
      <c r="AK1149" s="1" t="s">
        <v>104</v>
      </c>
      <c r="AL1149" s="1" t="s">
        <v>104</v>
      </c>
      <c r="AM1149" s="1" t="s">
        <v>104</v>
      </c>
      <c r="AO1149" s="1">
        <v>4</v>
      </c>
      <c r="AQ1149" s="1" t="s">
        <v>6911</v>
      </c>
      <c r="AR1149" s="1">
        <v>0</v>
      </c>
      <c r="AS1149" s="1">
        <v>0</v>
      </c>
      <c r="AT1149" s="1">
        <v>0</v>
      </c>
      <c r="AU1149" s="1">
        <v>0</v>
      </c>
      <c r="AV1149" s="1">
        <v>0</v>
      </c>
      <c r="AW1149" s="1">
        <v>0</v>
      </c>
      <c r="AX1149" s="1">
        <v>0</v>
      </c>
      <c r="AY1149" s="1">
        <v>0</v>
      </c>
      <c r="AZ1149" s="1">
        <v>0</v>
      </c>
      <c r="BA1149" s="1">
        <v>0</v>
      </c>
      <c r="BB1149" s="1">
        <v>0</v>
      </c>
      <c r="BC1149" s="1">
        <v>0</v>
      </c>
      <c r="BD1149" s="1">
        <v>0</v>
      </c>
      <c r="BE1149" s="1">
        <v>0</v>
      </c>
      <c r="BF1149" s="1">
        <v>0</v>
      </c>
      <c r="BG1149" s="1">
        <v>0</v>
      </c>
      <c r="BH1149" s="1">
        <v>0</v>
      </c>
      <c r="BI1149" s="1">
        <v>0</v>
      </c>
      <c r="BJ1149" s="1">
        <v>0</v>
      </c>
      <c r="BK1149" s="1">
        <v>0</v>
      </c>
      <c r="BL1149" s="1">
        <v>0</v>
      </c>
      <c r="BM1149" s="1">
        <v>0</v>
      </c>
      <c r="BN1149" s="1">
        <v>0</v>
      </c>
      <c r="BO1149" s="1">
        <v>0</v>
      </c>
      <c r="BP1149" s="1">
        <v>0</v>
      </c>
      <c r="BQ1149" s="2" t="str">
        <f>HYPERLINK("http://www.d20pfsrd.com/magic/all-spells/v/virtuoso-performance","Virtuoso Performance")</f>
        <v>Virtuoso Performance</v>
      </c>
      <c r="BR1149" s="1">
        <v>1191</v>
      </c>
      <c r="BS1149" s="1" t="s">
        <v>104</v>
      </c>
      <c r="BX1149" s="1">
        <v>0</v>
      </c>
      <c r="BY1149" s="1" t="s">
        <v>104</v>
      </c>
      <c r="BZ1149" s="1" t="s">
        <v>104</v>
      </c>
      <c r="CA1149" s="1" t="s">
        <v>104</v>
      </c>
      <c r="CB1149" s="1" t="s">
        <v>104</v>
      </c>
      <c r="CC1149" s="1" t="s">
        <v>104</v>
      </c>
      <c r="CD1149" s="1" t="s">
        <v>104</v>
      </c>
      <c r="CE1149" s="1" t="s">
        <v>104</v>
      </c>
      <c r="CF1149" s="1" t="s">
        <v>104</v>
      </c>
      <c r="CG1149" s="1" t="s">
        <v>104</v>
      </c>
      <c r="CH1149" s="1" t="s">
        <v>104</v>
      </c>
      <c r="CJ1149" s="1">
        <v>0</v>
      </c>
      <c r="CK1149" s="1">
        <v>0</v>
      </c>
      <c r="CL1149" s="1">
        <v>0</v>
      </c>
      <c r="CM1149" s="1" t="s">
        <v>104</v>
      </c>
    </row>
    <row r="1150" spans="1:91" ht="14.25" customHeight="1" x14ac:dyDescent="0.3">
      <c r="A1150" s="1" t="s">
        <v>6912</v>
      </c>
      <c r="B1150" s="1" t="s">
        <v>507</v>
      </c>
      <c r="C1150" s="1" t="s">
        <v>508</v>
      </c>
      <c r="D1150" s="1" t="s">
        <v>6913</v>
      </c>
      <c r="E1150" s="1" t="s">
        <v>6914</v>
      </c>
      <c r="F1150" s="1" t="s">
        <v>95</v>
      </c>
      <c r="G1150" s="1" t="s">
        <v>6915</v>
      </c>
      <c r="H1150" s="1">
        <v>0</v>
      </c>
      <c r="I1150" s="1" t="s">
        <v>109</v>
      </c>
      <c r="K1150" s="1" t="s">
        <v>6916</v>
      </c>
      <c r="M1150" s="1" t="s">
        <v>4641</v>
      </c>
      <c r="N1150" s="1">
        <v>1</v>
      </c>
      <c r="O1150" s="1">
        <v>0</v>
      </c>
      <c r="P1150" s="1" t="s">
        <v>211</v>
      </c>
      <c r="Q1150" s="1" t="s">
        <v>101</v>
      </c>
      <c r="R1150" s="1" t="s">
        <v>6917</v>
      </c>
      <c r="S1150" s="1" t="s">
        <v>4201</v>
      </c>
      <c r="T1150" s="1">
        <v>1</v>
      </c>
      <c r="U1150" s="1">
        <v>0</v>
      </c>
      <c r="V1150" s="1">
        <v>1</v>
      </c>
      <c r="W1150" s="1">
        <v>0</v>
      </c>
      <c r="X1150" s="1">
        <v>0</v>
      </c>
      <c r="Y1150" s="1">
        <v>3</v>
      </c>
      <c r="Z1150" s="1">
        <v>3</v>
      </c>
      <c r="AA1150" s="1">
        <v>3</v>
      </c>
      <c r="AB1150" s="1" t="s">
        <v>104</v>
      </c>
      <c r="AC1150" s="1" t="s">
        <v>104</v>
      </c>
      <c r="AD1150" s="1">
        <v>3</v>
      </c>
      <c r="AE1150" s="1" t="s">
        <v>104</v>
      </c>
      <c r="AF1150" s="1" t="s">
        <v>104</v>
      </c>
      <c r="AG1150" s="1" t="s">
        <v>104</v>
      </c>
      <c r="AH1150" s="1">
        <v>3</v>
      </c>
      <c r="AI1150" s="1" t="s">
        <v>104</v>
      </c>
      <c r="AJ1150" s="1">
        <v>3</v>
      </c>
      <c r="AK1150" s="1" t="s">
        <v>104</v>
      </c>
      <c r="AL1150" s="1" t="s">
        <v>104</v>
      </c>
      <c r="AM1150" s="1" t="s">
        <v>104</v>
      </c>
      <c r="AO1150" s="1">
        <v>3</v>
      </c>
      <c r="AQ1150" s="1" t="s">
        <v>6918</v>
      </c>
      <c r="AR1150" s="1">
        <v>0</v>
      </c>
      <c r="AS1150" s="1">
        <v>0</v>
      </c>
      <c r="AT1150" s="1">
        <v>0</v>
      </c>
      <c r="AU1150" s="1">
        <v>0</v>
      </c>
      <c r="AV1150" s="1">
        <v>0</v>
      </c>
      <c r="AW1150" s="1">
        <v>0</v>
      </c>
      <c r="AX1150" s="1">
        <v>0</v>
      </c>
      <c r="AY1150" s="1">
        <v>0</v>
      </c>
      <c r="AZ1150" s="1">
        <v>0</v>
      </c>
      <c r="BA1150" s="1">
        <v>0</v>
      </c>
      <c r="BB1150" s="1">
        <v>0</v>
      </c>
      <c r="BC1150" s="1">
        <v>1</v>
      </c>
      <c r="BD1150" s="1">
        <v>1</v>
      </c>
      <c r="BE1150" s="1">
        <v>0</v>
      </c>
      <c r="BF1150" s="1">
        <v>0</v>
      </c>
      <c r="BG1150" s="1">
        <v>0</v>
      </c>
      <c r="BH1150" s="1">
        <v>0</v>
      </c>
      <c r="BI1150" s="1">
        <v>0</v>
      </c>
      <c r="BJ1150" s="1">
        <v>0</v>
      </c>
      <c r="BK1150" s="1">
        <v>0</v>
      </c>
      <c r="BL1150" s="1">
        <v>0</v>
      </c>
      <c r="BM1150" s="1">
        <v>0</v>
      </c>
      <c r="BN1150" s="1">
        <v>0</v>
      </c>
      <c r="BO1150" s="1">
        <v>0</v>
      </c>
      <c r="BP1150" s="1">
        <v>0</v>
      </c>
      <c r="BQ1150" s="2" t="str">
        <f>HYPERLINK("http://www.d20pfsrd.com/magic/all-spells/v/vision-of-hell","Vision of Hell")</f>
        <v>Vision of Hell</v>
      </c>
      <c r="BR1150" s="1">
        <v>1192</v>
      </c>
      <c r="BS1150" s="1" t="s">
        <v>104</v>
      </c>
      <c r="BX1150" s="1">
        <v>0</v>
      </c>
      <c r="BY1150" s="1">
        <v>3</v>
      </c>
      <c r="BZ1150" s="1" t="s">
        <v>104</v>
      </c>
      <c r="CA1150" s="1">
        <v>3</v>
      </c>
      <c r="CB1150" s="1" t="s">
        <v>104</v>
      </c>
      <c r="CC1150" s="1">
        <v>3</v>
      </c>
      <c r="CD1150" s="1">
        <v>3</v>
      </c>
      <c r="CE1150" s="1" t="s">
        <v>104</v>
      </c>
      <c r="CF1150" s="1" t="s">
        <v>104</v>
      </c>
      <c r="CG1150" s="1" t="s">
        <v>104</v>
      </c>
      <c r="CH1150" s="1" t="s">
        <v>104</v>
      </c>
      <c r="CJ1150" s="1">
        <v>0</v>
      </c>
      <c r="CK1150" s="1">
        <v>0</v>
      </c>
      <c r="CL1150" s="1">
        <v>0</v>
      </c>
      <c r="CM1150" s="1" t="s">
        <v>104</v>
      </c>
    </row>
    <row r="1151" spans="1:91" ht="14.25" customHeight="1" x14ac:dyDescent="0.3">
      <c r="A1151" s="1" t="s">
        <v>6919</v>
      </c>
      <c r="B1151" s="1" t="s">
        <v>434</v>
      </c>
      <c r="D1151" s="1" t="s">
        <v>43</v>
      </c>
      <c r="E1151" s="1" t="s">
        <v>6920</v>
      </c>
      <c r="F1151" s="1" t="s">
        <v>95</v>
      </c>
      <c r="G1151" s="1" t="s">
        <v>6921</v>
      </c>
      <c r="H1151" s="1">
        <v>0</v>
      </c>
      <c r="I1151" s="1" t="s">
        <v>157</v>
      </c>
      <c r="L1151" s="1" t="s">
        <v>158</v>
      </c>
      <c r="M1151" s="1" t="s">
        <v>426</v>
      </c>
      <c r="N1151" s="1">
        <v>1</v>
      </c>
      <c r="O1151" s="1">
        <v>0</v>
      </c>
      <c r="R1151" s="1" t="s">
        <v>6922</v>
      </c>
      <c r="S1151" s="1" t="s">
        <v>4201</v>
      </c>
      <c r="T1151" s="1">
        <v>1</v>
      </c>
      <c r="U1151" s="1">
        <v>1</v>
      </c>
      <c r="V1151" s="1">
        <v>1</v>
      </c>
      <c r="W1151" s="1">
        <v>0</v>
      </c>
      <c r="X1151" s="1">
        <v>0</v>
      </c>
      <c r="Y1151" s="1">
        <v>4</v>
      </c>
      <c r="Z1151" s="1">
        <v>4</v>
      </c>
      <c r="AA1151" s="1" t="s">
        <v>104</v>
      </c>
      <c r="AB1151" s="1" t="s">
        <v>104</v>
      </c>
      <c r="AC1151" s="1" t="s">
        <v>104</v>
      </c>
      <c r="AD1151" s="1" t="s">
        <v>104</v>
      </c>
      <c r="AE1151" s="1" t="s">
        <v>104</v>
      </c>
      <c r="AF1151" s="1">
        <v>4</v>
      </c>
      <c r="AG1151" s="1">
        <v>4</v>
      </c>
      <c r="AH1151" s="1" t="s">
        <v>104</v>
      </c>
      <c r="AI1151" s="1" t="s">
        <v>104</v>
      </c>
      <c r="AJ1151" s="1" t="s">
        <v>104</v>
      </c>
      <c r="AK1151" s="1" t="s">
        <v>104</v>
      </c>
      <c r="AL1151" s="1" t="s">
        <v>104</v>
      </c>
      <c r="AM1151" s="1" t="s">
        <v>104</v>
      </c>
      <c r="AO1151" s="1">
        <v>4</v>
      </c>
      <c r="AQ1151" s="1" t="s">
        <v>6923</v>
      </c>
      <c r="AR1151" s="1">
        <v>1</v>
      </c>
      <c r="AS1151" s="1">
        <v>0</v>
      </c>
      <c r="AT1151" s="1">
        <v>0</v>
      </c>
      <c r="AU1151" s="1">
        <v>0</v>
      </c>
      <c r="AV1151" s="1">
        <v>0</v>
      </c>
      <c r="AW1151" s="1">
        <v>0</v>
      </c>
      <c r="AX1151" s="1">
        <v>0</v>
      </c>
      <c r="AY1151" s="1">
        <v>0</v>
      </c>
      <c r="AZ1151" s="1">
        <v>0</v>
      </c>
      <c r="BA1151" s="1">
        <v>0</v>
      </c>
      <c r="BB1151" s="1">
        <v>0</v>
      </c>
      <c r="BC1151" s="1">
        <v>0</v>
      </c>
      <c r="BD1151" s="1">
        <v>0</v>
      </c>
      <c r="BE1151" s="1">
        <v>0</v>
      </c>
      <c r="BF1151" s="1">
        <v>0</v>
      </c>
      <c r="BG1151" s="1">
        <v>0</v>
      </c>
      <c r="BH1151" s="1">
        <v>0</v>
      </c>
      <c r="BI1151" s="1">
        <v>0</v>
      </c>
      <c r="BJ1151" s="1">
        <v>0</v>
      </c>
      <c r="BK1151" s="1">
        <v>0</v>
      </c>
      <c r="BL1151" s="1">
        <v>0</v>
      </c>
      <c r="BM1151" s="1">
        <v>0</v>
      </c>
      <c r="BN1151" s="1">
        <v>0</v>
      </c>
      <c r="BO1151" s="1">
        <v>0</v>
      </c>
      <c r="BP1151" s="1">
        <v>0</v>
      </c>
      <c r="BQ1151" s="2" t="str">
        <f>HYPERLINK("http://www.d20pfsrd.com/magic/all-spells/v/vitriolic-mist","Vitriolic Mist")</f>
        <v>Vitriolic Mist</v>
      </c>
      <c r="BR1151" s="1">
        <v>1193</v>
      </c>
      <c r="BS1151" s="1" t="s">
        <v>104</v>
      </c>
      <c r="BX1151" s="1">
        <v>0</v>
      </c>
      <c r="BY1151" s="1">
        <v>4</v>
      </c>
      <c r="BZ1151" s="1" t="s">
        <v>104</v>
      </c>
      <c r="CA1151" s="1" t="s">
        <v>104</v>
      </c>
      <c r="CB1151" s="1" t="s">
        <v>104</v>
      </c>
      <c r="CC1151" s="1" t="s">
        <v>104</v>
      </c>
      <c r="CD1151" s="1" t="s">
        <v>104</v>
      </c>
      <c r="CE1151" s="1" t="s">
        <v>104</v>
      </c>
      <c r="CF1151" s="1" t="s">
        <v>104</v>
      </c>
      <c r="CG1151" s="1" t="s">
        <v>104</v>
      </c>
      <c r="CH1151" s="1" t="s">
        <v>104</v>
      </c>
      <c r="CJ1151" s="1">
        <v>0</v>
      </c>
      <c r="CK1151" s="1">
        <v>0</v>
      </c>
      <c r="CL1151" s="1">
        <v>0</v>
      </c>
      <c r="CM1151" s="1">
        <v>4</v>
      </c>
    </row>
    <row r="1152" spans="1:91" ht="14.25" customHeight="1" x14ac:dyDescent="0.3">
      <c r="A1152" s="1" t="s">
        <v>6924</v>
      </c>
      <c r="B1152" s="1" t="s">
        <v>137</v>
      </c>
      <c r="E1152" s="1" t="s">
        <v>6925</v>
      </c>
      <c r="F1152" s="1" t="s">
        <v>95</v>
      </c>
      <c r="G1152" s="1" t="s">
        <v>116</v>
      </c>
      <c r="H1152" s="1">
        <v>0</v>
      </c>
      <c r="I1152" s="1" t="s">
        <v>117</v>
      </c>
      <c r="L1152" s="1" t="s">
        <v>637</v>
      </c>
      <c r="M1152" s="1" t="s">
        <v>2330</v>
      </c>
      <c r="N1152" s="1">
        <v>0</v>
      </c>
      <c r="O1152" s="1">
        <v>0</v>
      </c>
      <c r="P1152" s="1" t="s">
        <v>183</v>
      </c>
      <c r="Q1152" s="1" t="s">
        <v>184</v>
      </c>
      <c r="R1152" s="1" t="s">
        <v>6926</v>
      </c>
      <c r="S1152" s="1" t="s">
        <v>4201</v>
      </c>
      <c r="T1152" s="1">
        <v>1</v>
      </c>
      <c r="U1152" s="1">
        <v>1</v>
      </c>
      <c r="V1152" s="1">
        <v>0</v>
      </c>
      <c r="W1152" s="1">
        <v>0</v>
      </c>
      <c r="X1152" s="1">
        <v>0</v>
      </c>
      <c r="Y1152" s="1">
        <v>1</v>
      </c>
      <c r="Z1152" s="1">
        <v>1</v>
      </c>
      <c r="AA1152" s="1" t="s">
        <v>104</v>
      </c>
      <c r="AB1152" s="1" t="s">
        <v>104</v>
      </c>
      <c r="AC1152" s="1" t="s">
        <v>104</v>
      </c>
      <c r="AD1152" s="1">
        <v>1</v>
      </c>
      <c r="AE1152" s="1" t="s">
        <v>104</v>
      </c>
      <c r="AF1152" s="1">
        <v>1</v>
      </c>
      <c r="AG1152" s="1" t="s">
        <v>104</v>
      </c>
      <c r="AH1152" s="1">
        <v>1</v>
      </c>
      <c r="AI1152" s="1">
        <v>1</v>
      </c>
      <c r="AJ1152" s="1" t="s">
        <v>104</v>
      </c>
      <c r="AK1152" s="1" t="s">
        <v>104</v>
      </c>
      <c r="AL1152" s="1" t="s">
        <v>104</v>
      </c>
      <c r="AM1152" s="1" t="s">
        <v>104</v>
      </c>
      <c r="AO1152" s="1">
        <v>1</v>
      </c>
      <c r="AQ1152" s="1" t="s">
        <v>6927</v>
      </c>
      <c r="AR1152" s="1">
        <v>0</v>
      </c>
      <c r="AS1152" s="1">
        <v>0</v>
      </c>
      <c r="AT1152" s="1">
        <v>0</v>
      </c>
      <c r="AU1152" s="1">
        <v>0</v>
      </c>
      <c r="AV1152" s="1">
        <v>0</v>
      </c>
      <c r="AW1152" s="1">
        <v>0</v>
      </c>
      <c r="AX1152" s="1">
        <v>0</v>
      </c>
      <c r="AY1152" s="1">
        <v>0</v>
      </c>
      <c r="AZ1152" s="1">
        <v>0</v>
      </c>
      <c r="BA1152" s="1">
        <v>0</v>
      </c>
      <c r="BB1152" s="1">
        <v>0</v>
      </c>
      <c r="BC1152" s="1">
        <v>0</v>
      </c>
      <c r="BD1152" s="1">
        <v>0</v>
      </c>
      <c r="BE1152" s="1">
        <v>0</v>
      </c>
      <c r="BF1152" s="1">
        <v>0</v>
      </c>
      <c r="BG1152" s="1">
        <v>0</v>
      </c>
      <c r="BH1152" s="1">
        <v>0</v>
      </c>
      <c r="BI1152" s="1">
        <v>0</v>
      </c>
      <c r="BJ1152" s="1">
        <v>0</v>
      </c>
      <c r="BK1152" s="1">
        <v>0</v>
      </c>
      <c r="BL1152" s="1">
        <v>0</v>
      </c>
      <c r="BM1152" s="1">
        <v>0</v>
      </c>
      <c r="BN1152" s="1">
        <v>0</v>
      </c>
      <c r="BO1152" s="1">
        <v>0</v>
      </c>
      <c r="BP1152" s="1">
        <v>0</v>
      </c>
      <c r="BQ1152" s="2" t="str">
        <f>HYPERLINK("http://www.d20pfsrd.com/magic/all-spells/v/vocal-alteration","Vocal Alteration")</f>
        <v>Vocal Alteration</v>
      </c>
      <c r="BR1152" s="1">
        <v>1194</v>
      </c>
      <c r="BS1152" s="1" t="s">
        <v>104</v>
      </c>
      <c r="BX1152" s="1">
        <v>0</v>
      </c>
      <c r="BY1152" s="1" t="s">
        <v>104</v>
      </c>
      <c r="BZ1152" s="1" t="s">
        <v>104</v>
      </c>
      <c r="CA1152" s="1">
        <v>1</v>
      </c>
      <c r="CB1152" s="1">
        <v>1</v>
      </c>
      <c r="CC1152" s="1">
        <v>1</v>
      </c>
      <c r="CD1152" s="1">
        <v>1</v>
      </c>
      <c r="CE1152" s="1" t="s">
        <v>104</v>
      </c>
      <c r="CF1152" s="1" t="s">
        <v>104</v>
      </c>
      <c r="CG1152" s="1" t="s">
        <v>104</v>
      </c>
      <c r="CH1152" s="1" t="s">
        <v>104</v>
      </c>
      <c r="CJ1152" s="1">
        <v>0</v>
      </c>
      <c r="CK1152" s="1">
        <v>0</v>
      </c>
      <c r="CL1152" s="1">
        <v>0</v>
      </c>
      <c r="CM1152" s="1" t="s">
        <v>104</v>
      </c>
    </row>
    <row r="1153" spans="1:91" ht="14.25" customHeight="1" x14ac:dyDescent="0.3">
      <c r="A1153" s="1" t="s">
        <v>6928</v>
      </c>
      <c r="B1153" s="1" t="s">
        <v>434</v>
      </c>
      <c r="D1153" s="1" t="s">
        <v>56</v>
      </c>
      <c r="E1153" s="1" t="s">
        <v>6929</v>
      </c>
      <c r="F1153" s="1" t="s">
        <v>95</v>
      </c>
      <c r="G1153" s="1" t="s">
        <v>6930</v>
      </c>
      <c r="H1153" s="1">
        <v>0</v>
      </c>
      <c r="I1153" s="1" t="s">
        <v>97</v>
      </c>
      <c r="J1153" s="1" t="s">
        <v>2074</v>
      </c>
      <c r="M1153" s="1" t="s">
        <v>426</v>
      </c>
      <c r="N1153" s="1">
        <v>1</v>
      </c>
      <c r="O1153" s="1">
        <v>0</v>
      </c>
      <c r="P1153" s="1" t="s">
        <v>100</v>
      </c>
      <c r="Q1153" s="1" t="s">
        <v>184</v>
      </c>
      <c r="R1153" s="1" t="s">
        <v>6931</v>
      </c>
      <c r="S1153" s="1" t="s">
        <v>4201</v>
      </c>
      <c r="T1153" s="1">
        <v>1</v>
      </c>
      <c r="U1153" s="1">
        <v>1</v>
      </c>
      <c r="V1153" s="1">
        <v>1</v>
      </c>
      <c r="W1153" s="1">
        <v>0</v>
      </c>
      <c r="X1153" s="1">
        <v>1</v>
      </c>
      <c r="Y1153" s="1">
        <v>4</v>
      </c>
      <c r="Z1153" s="1">
        <v>4</v>
      </c>
      <c r="AA1153" s="1" t="s">
        <v>104</v>
      </c>
      <c r="AB1153" s="1">
        <v>4</v>
      </c>
      <c r="AC1153" s="1" t="s">
        <v>104</v>
      </c>
      <c r="AD1153" s="1" t="s">
        <v>104</v>
      </c>
      <c r="AE1153" s="1" t="s">
        <v>104</v>
      </c>
      <c r="AF1153" s="1" t="s">
        <v>104</v>
      </c>
      <c r="AG1153" s="1" t="s">
        <v>104</v>
      </c>
      <c r="AH1153" s="1">
        <v>4</v>
      </c>
      <c r="AI1153" s="1" t="s">
        <v>104</v>
      </c>
      <c r="AJ1153" s="1" t="s">
        <v>104</v>
      </c>
      <c r="AK1153" s="1" t="s">
        <v>104</v>
      </c>
      <c r="AL1153" s="1" t="s">
        <v>104</v>
      </c>
      <c r="AM1153" s="1" t="s">
        <v>104</v>
      </c>
      <c r="AO1153" s="1">
        <v>4</v>
      </c>
      <c r="AQ1153" s="1" t="s">
        <v>6932</v>
      </c>
      <c r="AR1153" s="1">
        <v>0</v>
      </c>
      <c r="AS1153" s="1">
        <v>0</v>
      </c>
      <c r="AT1153" s="1">
        <v>0</v>
      </c>
      <c r="AU1153" s="1">
        <v>0</v>
      </c>
      <c r="AV1153" s="1">
        <v>0</v>
      </c>
      <c r="AW1153" s="1">
        <v>0</v>
      </c>
      <c r="AX1153" s="1">
        <v>0</v>
      </c>
      <c r="AY1153" s="1">
        <v>0</v>
      </c>
      <c r="AZ1153" s="1">
        <v>0</v>
      </c>
      <c r="BA1153" s="1">
        <v>0</v>
      </c>
      <c r="BB1153" s="1">
        <v>0</v>
      </c>
      <c r="BC1153" s="1">
        <v>0</v>
      </c>
      <c r="BD1153" s="1">
        <v>0</v>
      </c>
      <c r="BE1153" s="1">
        <v>1</v>
      </c>
      <c r="BF1153" s="1">
        <v>0</v>
      </c>
      <c r="BG1153" s="1">
        <v>0</v>
      </c>
      <c r="BH1153" s="1">
        <v>0</v>
      </c>
      <c r="BI1153" s="1">
        <v>0</v>
      </c>
      <c r="BJ1153" s="1">
        <v>0</v>
      </c>
      <c r="BK1153" s="1">
        <v>0</v>
      </c>
      <c r="BL1153" s="1">
        <v>0</v>
      </c>
      <c r="BM1153" s="1">
        <v>0</v>
      </c>
      <c r="BN1153" s="1">
        <v>0</v>
      </c>
      <c r="BO1153" s="1">
        <v>0</v>
      </c>
      <c r="BP1153" s="1">
        <v>0</v>
      </c>
      <c r="BQ1153" s="2" t="str">
        <f>HYPERLINK("http://www.d20pfsrd.com/magic/all-spells/v/volcanic-storm","Volcanic Storm")</f>
        <v>Volcanic Storm</v>
      </c>
      <c r="BR1153" s="1">
        <v>1195</v>
      </c>
      <c r="BS1153" s="1" t="s">
        <v>104</v>
      </c>
      <c r="BX1153" s="1">
        <v>0</v>
      </c>
      <c r="BY1153" s="1">
        <v>4</v>
      </c>
      <c r="BZ1153" s="1" t="s">
        <v>104</v>
      </c>
      <c r="CA1153" s="1" t="s">
        <v>104</v>
      </c>
      <c r="CB1153" s="1" t="s">
        <v>104</v>
      </c>
      <c r="CC1153" s="1" t="s">
        <v>104</v>
      </c>
      <c r="CD1153" s="1" t="s">
        <v>104</v>
      </c>
      <c r="CE1153" s="1" t="s">
        <v>104</v>
      </c>
      <c r="CF1153" s="1" t="s">
        <v>104</v>
      </c>
      <c r="CG1153" s="1" t="s">
        <v>104</v>
      </c>
      <c r="CH1153" s="1">
        <v>4</v>
      </c>
      <c r="CJ1153" s="1">
        <v>0</v>
      </c>
      <c r="CK1153" s="1">
        <v>0</v>
      </c>
      <c r="CL1153" s="1">
        <v>0</v>
      </c>
      <c r="CM1153" s="1" t="s">
        <v>104</v>
      </c>
    </row>
    <row r="1154" spans="1:91" ht="14.25" customHeight="1" x14ac:dyDescent="0.3">
      <c r="A1154" s="1" t="s">
        <v>6933</v>
      </c>
      <c r="B1154" s="1" t="s">
        <v>434</v>
      </c>
      <c r="D1154" s="1" t="s">
        <v>66</v>
      </c>
      <c r="E1154" s="1" t="s">
        <v>6934</v>
      </c>
      <c r="F1154" s="1" t="s">
        <v>95</v>
      </c>
      <c r="G1154" s="1" t="s">
        <v>6935</v>
      </c>
      <c r="H1154" s="1">
        <v>0</v>
      </c>
      <c r="I1154" s="1" t="s">
        <v>109</v>
      </c>
      <c r="K1154" s="1" t="s">
        <v>6936</v>
      </c>
      <c r="M1154" s="1" t="s">
        <v>2313</v>
      </c>
      <c r="N1154" s="1">
        <v>0</v>
      </c>
      <c r="O1154" s="1">
        <v>0</v>
      </c>
      <c r="P1154" s="1" t="s">
        <v>100</v>
      </c>
      <c r="Q1154" s="1" t="s">
        <v>184</v>
      </c>
      <c r="R1154" s="1" t="s">
        <v>6937</v>
      </c>
      <c r="S1154" s="1" t="s">
        <v>4201</v>
      </c>
      <c r="T1154" s="1">
        <v>1</v>
      </c>
      <c r="U1154" s="1">
        <v>1</v>
      </c>
      <c r="V1154" s="1">
        <v>1</v>
      </c>
      <c r="W1154" s="1">
        <v>0</v>
      </c>
      <c r="X1154" s="1">
        <v>0</v>
      </c>
      <c r="Y1154" s="1">
        <v>5</v>
      </c>
      <c r="Z1154" s="1">
        <v>5</v>
      </c>
      <c r="AA1154" s="1" t="s">
        <v>104</v>
      </c>
      <c r="AB1154" s="1" t="s">
        <v>104</v>
      </c>
      <c r="AC1154" s="1" t="s">
        <v>104</v>
      </c>
      <c r="AD1154" s="1">
        <v>4</v>
      </c>
      <c r="AE1154" s="1" t="s">
        <v>104</v>
      </c>
      <c r="AF1154" s="1" t="s">
        <v>104</v>
      </c>
      <c r="AG1154" s="1" t="s">
        <v>104</v>
      </c>
      <c r="AH1154" s="1" t="s">
        <v>104</v>
      </c>
      <c r="AI1154" s="1" t="s">
        <v>104</v>
      </c>
      <c r="AJ1154" s="1" t="s">
        <v>104</v>
      </c>
      <c r="AK1154" s="1" t="s">
        <v>104</v>
      </c>
      <c r="AL1154" s="1">
        <v>4</v>
      </c>
      <c r="AM1154" s="1" t="s">
        <v>104</v>
      </c>
      <c r="AO1154" s="1">
        <v>5</v>
      </c>
      <c r="AQ1154" s="1" t="s">
        <v>6938</v>
      </c>
      <c r="AR1154" s="1">
        <v>0</v>
      </c>
      <c r="AS1154" s="1">
        <v>0</v>
      </c>
      <c r="AT1154" s="1">
        <v>0</v>
      </c>
      <c r="AU1154" s="1">
        <v>0</v>
      </c>
      <c r="AV1154" s="1">
        <v>0</v>
      </c>
      <c r="AW1154" s="1">
        <v>0</v>
      </c>
      <c r="AX1154" s="1">
        <v>0</v>
      </c>
      <c r="AY1154" s="1">
        <v>0</v>
      </c>
      <c r="AZ1154" s="1">
        <v>0</v>
      </c>
      <c r="BA1154" s="1">
        <v>0</v>
      </c>
      <c r="BB1154" s="1">
        <v>0</v>
      </c>
      <c r="BC1154" s="1">
        <v>0</v>
      </c>
      <c r="BD1154" s="1">
        <v>0</v>
      </c>
      <c r="BE1154" s="1">
        <v>0</v>
      </c>
      <c r="BF1154" s="1">
        <v>0</v>
      </c>
      <c r="BG1154" s="1">
        <v>0</v>
      </c>
      <c r="BH1154" s="1">
        <v>0</v>
      </c>
      <c r="BI1154" s="1">
        <v>0</v>
      </c>
      <c r="BJ1154" s="1">
        <v>0</v>
      </c>
      <c r="BK1154" s="1">
        <v>0</v>
      </c>
      <c r="BL1154" s="1">
        <v>0</v>
      </c>
      <c r="BM1154" s="1">
        <v>0</v>
      </c>
      <c r="BN1154" s="1">
        <v>0</v>
      </c>
      <c r="BO1154" s="1">
        <v>1</v>
      </c>
      <c r="BP1154" s="1">
        <v>0</v>
      </c>
      <c r="BQ1154" s="2" t="str">
        <f>HYPERLINK("http://www.d20pfsrd.com/magic/all-spells/w/wall-of-sound","Wall of Sound")</f>
        <v>Wall of Sound</v>
      </c>
      <c r="BR1154" s="1">
        <v>1196</v>
      </c>
      <c r="BS1154" s="1" t="s">
        <v>104</v>
      </c>
      <c r="BX1154" s="1">
        <v>0</v>
      </c>
      <c r="BY1154" s="1">
        <v>4</v>
      </c>
      <c r="BZ1154" s="1" t="s">
        <v>104</v>
      </c>
      <c r="CA1154" s="1">
        <v>5</v>
      </c>
      <c r="CB1154" s="1" t="s">
        <v>104</v>
      </c>
      <c r="CC1154" s="1" t="s">
        <v>104</v>
      </c>
      <c r="CD1154" s="1" t="s">
        <v>104</v>
      </c>
      <c r="CE1154" s="1">
        <v>5</v>
      </c>
      <c r="CF1154" s="1" t="s">
        <v>104</v>
      </c>
      <c r="CG1154" s="1" t="s">
        <v>104</v>
      </c>
      <c r="CH1154" s="1" t="s">
        <v>104</v>
      </c>
      <c r="CJ1154" s="1">
        <v>0</v>
      </c>
      <c r="CK1154" s="1">
        <v>0</v>
      </c>
      <c r="CL1154" s="1">
        <v>0</v>
      </c>
      <c r="CM1154" s="1" t="s">
        <v>104</v>
      </c>
    </row>
    <row r="1155" spans="1:91" ht="14.25" customHeight="1" x14ac:dyDescent="0.3">
      <c r="A1155" s="1" t="s">
        <v>6939</v>
      </c>
      <c r="B1155" s="1" t="s">
        <v>123</v>
      </c>
      <c r="C1155" s="1" t="s">
        <v>124</v>
      </c>
      <c r="D1155" s="1" t="s">
        <v>125</v>
      </c>
      <c r="E1155" s="1" t="s">
        <v>6940</v>
      </c>
      <c r="F1155" s="1" t="s">
        <v>191</v>
      </c>
      <c r="G1155" s="1" t="s">
        <v>6941</v>
      </c>
      <c r="H1155" s="1">
        <v>0</v>
      </c>
      <c r="I1155" s="1" t="s">
        <v>117</v>
      </c>
      <c r="L1155" s="1" t="s">
        <v>6942</v>
      </c>
      <c r="M1155" s="1" t="s">
        <v>201</v>
      </c>
      <c r="N1155" s="1">
        <v>0</v>
      </c>
      <c r="O1155" s="1">
        <v>0</v>
      </c>
      <c r="P1155" s="1" t="s">
        <v>100</v>
      </c>
      <c r="Q1155" s="1" t="s">
        <v>184</v>
      </c>
      <c r="R1155" s="1" t="s">
        <v>6943</v>
      </c>
      <c r="S1155" s="1" t="s">
        <v>4201</v>
      </c>
      <c r="T1155" s="1">
        <v>1</v>
      </c>
      <c r="U1155" s="1">
        <v>1</v>
      </c>
      <c r="V1155" s="1">
        <v>1</v>
      </c>
      <c r="W1155" s="1">
        <v>0</v>
      </c>
      <c r="X1155" s="1">
        <v>0</v>
      </c>
      <c r="Y1155" s="1" t="s">
        <v>104</v>
      </c>
      <c r="Z1155" s="1" t="s">
        <v>104</v>
      </c>
      <c r="AA1155" s="1" t="s">
        <v>104</v>
      </c>
      <c r="AB1155" s="1">
        <v>2</v>
      </c>
      <c r="AC1155" s="1">
        <v>1</v>
      </c>
      <c r="AD1155" s="1">
        <v>2</v>
      </c>
      <c r="AE1155" s="1">
        <v>1</v>
      </c>
      <c r="AF1155" s="1" t="s">
        <v>104</v>
      </c>
      <c r="AG1155" s="1" t="s">
        <v>104</v>
      </c>
      <c r="AH1155" s="1" t="s">
        <v>104</v>
      </c>
      <c r="AI1155" s="1">
        <v>1</v>
      </c>
      <c r="AJ1155" s="1" t="s">
        <v>104</v>
      </c>
      <c r="AK1155" s="1">
        <v>1</v>
      </c>
      <c r="AL1155" s="1" t="s">
        <v>104</v>
      </c>
      <c r="AM1155" s="1" t="s">
        <v>104</v>
      </c>
      <c r="AO1155" s="1">
        <v>2</v>
      </c>
      <c r="AQ1155" s="1" t="s">
        <v>6944</v>
      </c>
      <c r="AR1155" s="1">
        <v>0</v>
      </c>
      <c r="AS1155" s="1">
        <v>0</v>
      </c>
      <c r="AT1155" s="1">
        <v>0</v>
      </c>
      <c r="AU1155" s="1">
        <v>0</v>
      </c>
      <c r="AV1155" s="1">
        <v>0</v>
      </c>
      <c r="AW1155" s="1">
        <v>0</v>
      </c>
      <c r="AX1155" s="1">
        <v>0</v>
      </c>
      <c r="AY1155" s="1">
        <v>0</v>
      </c>
      <c r="AZ1155" s="1">
        <v>0</v>
      </c>
      <c r="BA1155" s="1">
        <v>0</v>
      </c>
      <c r="BB1155" s="1">
        <v>0</v>
      </c>
      <c r="BC1155" s="1">
        <v>0</v>
      </c>
      <c r="BD1155" s="1">
        <v>0</v>
      </c>
      <c r="BE1155" s="1">
        <v>0</v>
      </c>
      <c r="BF1155" s="1">
        <v>0</v>
      </c>
      <c r="BG1155" s="1">
        <v>0</v>
      </c>
      <c r="BH1155" s="1">
        <v>0</v>
      </c>
      <c r="BI1155" s="1">
        <v>0</v>
      </c>
      <c r="BJ1155" s="1">
        <v>0</v>
      </c>
      <c r="BK1155" s="1">
        <v>1</v>
      </c>
      <c r="BL1155" s="1">
        <v>0</v>
      </c>
      <c r="BM1155" s="1">
        <v>0</v>
      </c>
      <c r="BN1155" s="1">
        <v>0</v>
      </c>
      <c r="BO1155" s="1">
        <v>0</v>
      </c>
      <c r="BP1155" s="1">
        <v>0</v>
      </c>
      <c r="BQ1155" s="2" t="str">
        <f>HYPERLINK("http://www.d20pfsrd.com/magic/all-spells/w/wartrain-mount","Wartrain Mount")</f>
        <v>Wartrain Mount</v>
      </c>
      <c r="BR1155" s="1">
        <v>1197</v>
      </c>
      <c r="BS1155" s="1" t="s">
        <v>104</v>
      </c>
      <c r="BX1155" s="1">
        <v>0</v>
      </c>
      <c r="BY1155" s="1" t="s">
        <v>104</v>
      </c>
      <c r="BZ1155" s="1" t="s">
        <v>104</v>
      </c>
      <c r="CA1155" s="1" t="s">
        <v>104</v>
      </c>
      <c r="CB1155" s="1" t="s">
        <v>104</v>
      </c>
      <c r="CC1155" s="1">
        <v>2</v>
      </c>
      <c r="CD1155" s="1" t="s">
        <v>104</v>
      </c>
      <c r="CE1155" s="1" t="s">
        <v>104</v>
      </c>
      <c r="CF1155" s="1" t="s">
        <v>104</v>
      </c>
      <c r="CG1155" s="1" t="s">
        <v>104</v>
      </c>
      <c r="CH1155" s="1">
        <v>1</v>
      </c>
      <c r="CJ1155" s="1">
        <v>0</v>
      </c>
      <c r="CK1155" s="1">
        <v>0</v>
      </c>
      <c r="CL1155" s="1">
        <v>0</v>
      </c>
      <c r="CM1155" s="1" t="s">
        <v>104</v>
      </c>
    </row>
    <row r="1156" spans="1:91" ht="14.25" customHeight="1" x14ac:dyDescent="0.3">
      <c r="A1156" s="1" t="s">
        <v>6945</v>
      </c>
      <c r="B1156" s="1" t="s">
        <v>123</v>
      </c>
      <c r="C1156" s="1" t="s">
        <v>124</v>
      </c>
      <c r="D1156" s="1" t="s">
        <v>6034</v>
      </c>
      <c r="E1156" s="1" t="s">
        <v>6946</v>
      </c>
      <c r="F1156" s="1" t="s">
        <v>95</v>
      </c>
      <c r="G1156" s="1" t="s">
        <v>116</v>
      </c>
      <c r="H1156" s="1">
        <v>0</v>
      </c>
      <c r="I1156" s="1" t="s">
        <v>914</v>
      </c>
      <c r="J1156" s="1" t="s">
        <v>549</v>
      </c>
      <c r="M1156" s="1" t="s">
        <v>6947</v>
      </c>
      <c r="N1156" s="1">
        <v>0</v>
      </c>
      <c r="O1156" s="1">
        <v>0</v>
      </c>
      <c r="P1156" s="1" t="s">
        <v>5901</v>
      </c>
      <c r="Q1156" s="1" t="s">
        <v>184</v>
      </c>
      <c r="R1156" s="1" t="s">
        <v>6948</v>
      </c>
      <c r="S1156" s="1" t="s">
        <v>4201</v>
      </c>
      <c r="T1156" s="1">
        <v>1</v>
      </c>
      <c r="U1156" s="1">
        <v>1</v>
      </c>
      <c r="V1156" s="1">
        <v>0</v>
      </c>
      <c r="W1156" s="1">
        <v>0</v>
      </c>
      <c r="X1156" s="1">
        <v>0</v>
      </c>
      <c r="Y1156" s="1">
        <v>7</v>
      </c>
      <c r="Z1156" s="1">
        <v>7</v>
      </c>
      <c r="AA1156" s="1">
        <v>7</v>
      </c>
      <c r="AB1156" s="1" t="s">
        <v>104</v>
      </c>
      <c r="AC1156" s="1" t="s">
        <v>104</v>
      </c>
      <c r="AD1156" s="1">
        <v>6</v>
      </c>
      <c r="AE1156" s="1" t="s">
        <v>104</v>
      </c>
      <c r="AF1156" s="1" t="s">
        <v>104</v>
      </c>
      <c r="AG1156" s="1" t="s">
        <v>104</v>
      </c>
      <c r="AH1156" s="1">
        <v>7</v>
      </c>
      <c r="AI1156" s="1" t="s">
        <v>104</v>
      </c>
      <c r="AJ1156" s="1">
        <v>7</v>
      </c>
      <c r="AK1156" s="1" t="s">
        <v>104</v>
      </c>
      <c r="AL1156" s="1" t="s">
        <v>104</v>
      </c>
      <c r="AM1156" s="1" t="s">
        <v>104</v>
      </c>
      <c r="AO1156" s="1">
        <v>7</v>
      </c>
      <c r="AQ1156" s="1" t="s">
        <v>6949</v>
      </c>
      <c r="AR1156" s="1">
        <v>0</v>
      </c>
      <c r="AS1156" s="1">
        <v>0</v>
      </c>
      <c r="AT1156" s="1">
        <v>0</v>
      </c>
      <c r="AU1156" s="1">
        <v>0</v>
      </c>
      <c r="AV1156" s="1">
        <v>0</v>
      </c>
      <c r="AW1156" s="1">
        <v>0</v>
      </c>
      <c r="AX1156" s="1">
        <v>0</v>
      </c>
      <c r="AY1156" s="1">
        <v>0</v>
      </c>
      <c r="AZ1156" s="1">
        <v>0</v>
      </c>
      <c r="BA1156" s="1">
        <v>0</v>
      </c>
      <c r="BB1156" s="1">
        <v>1</v>
      </c>
      <c r="BC1156" s="1">
        <v>0</v>
      </c>
      <c r="BD1156" s="1">
        <v>0</v>
      </c>
      <c r="BE1156" s="1">
        <v>0</v>
      </c>
      <c r="BF1156" s="1">
        <v>0</v>
      </c>
      <c r="BG1156" s="1">
        <v>0</v>
      </c>
      <c r="BH1156" s="1">
        <v>0</v>
      </c>
      <c r="BI1156" s="1">
        <v>0</v>
      </c>
      <c r="BJ1156" s="1">
        <v>0</v>
      </c>
      <c r="BK1156" s="1">
        <v>1</v>
      </c>
      <c r="BL1156" s="1">
        <v>0</v>
      </c>
      <c r="BM1156" s="1">
        <v>0</v>
      </c>
      <c r="BN1156" s="1">
        <v>0</v>
      </c>
      <c r="BO1156" s="1">
        <v>0</v>
      </c>
      <c r="BP1156" s="1">
        <v>0</v>
      </c>
      <c r="BQ1156" s="2" t="str">
        <f>HYPERLINK("http://www.d20pfsrd.com/magic/all-spells/w/waves-of-ecstasy","Waves of Ecstasy")</f>
        <v>Waves of Ecstasy</v>
      </c>
      <c r="BR1156" s="1">
        <v>1198</v>
      </c>
      <c r="BS1156" s="1" t="s">
        <v>104</v>
      </c>
      <c r="BX1156" s="1">
        <v>0</v>
      </c>
      <c r="BY1156" s="1" t="s">
        <v>104</v>
      </c>
      <c r="BZ1156" s="1" t="s">
        <v>104</v>
      </c>
      <c r="CA1156" s="1">
        <v>7</v>
      </c>
      <c r="CB1156" s="1" t="s">
        <v>104</v>
      </c>
      <c r="CC1156" s="1">
        <v>6</v>
      </c>
      <c r="CD1156" s="1" t="s">
        <v>104</v>
      </c>
      <c r="CE1156" s="1" t="s">
        <v>104</v>
      </c>
      <c r="CF1156" s="1" t="s">
        <v>104</v>
      </c>
      <c r="CG1156" s="1" t="s">
        <v>104</v>
      </c>
      <c r="CH1156" s="1" t="s">
        <v>104</v>
      </c>
      <c r="CJ1156" s="1">
        <v>0</v>
      </c>
      <c r="CK1156" s="1">
        <v>0</v>
      </c>
      <c r="CL1156" s="1">
        <v>0</v>
      </c>
      <c r="CM1156" s="1" t="s">
        <v>104</v>
      </c>
    </row>
    <row r="1157" spans="1:91" ht="14.25" customHeight="1" x14ac:dyDescent="0.3">
      <c r="A1157" s="1" t="s">
        <v>6950</v>
      </c>
      <c r="B1157" s="1" t="s">
        <v>92</v>
      </c>
      <c r="C1157" s="1" t="s">
        <v>93</v>
      </c>
      <c r="E1157" s="1" t="s">
        <v>6951</v>
      </c>
      <c r="F1157" s="1" t="s">
        <v>191</v>
      </c>
      <c r="G1157" s="1" t="s">
        <v>127</v>
      </c>
      <c r="H1157" s="1">
        <v>0</v>
      </c>
      <c r="I1157" s="1" t="s">
        <v>6952</v>
      </c>
      <c r="K1157" s="1" t="s">
        <v>6953</v>
      </c>
      <c r="M1157" s="1" t="s">
        <v>620</v>
      </c>
      <c r="N1157" s="1">
        <v>1</v>
      </c>
      <c r="O1157" s="1">
        <v>0</v>
      </c>
      <c r="P1157" s="1" t="s">
        <v>100</v>
      </c>
      <c r="Q1157" s="1" t="s">
        <v>101</v>
      </c>
      <c r="R1157" s="1" t="s">
        <v>6954</v>
      </c>
      <c r="S1157" s="1" t="s">
        <v>4201</v>
      </c>
      <c r="T1157" s="1">
        <v>1</v>
      </c>
      <c r="U1157" s="1">
        <v>1</v>
      </c>
      <c r="V1157" s="1">
        <v>0</v>
      </c>
      <c r="W1157" s="1">
        <v>0</v>
      </c>
      <c r="X1157" s="1">
        <v>1</v>
      </c>
      <c r="Y1157" s="1">
        <v>2</v>
      </c>
      <c r="Z1157" s="1">
        <v>2</v>
      </c>
      <c r="AA1157" s="1">
        <v>2</v>
      </c>
      <c r="AB1157" s="1">
        <v>2</v>
      </c>
      <c r="AC1157" s="1">
        <v>2</v>
      </c>
      <c r="AD1157" s="1" t="s">
        <v>104</v>
      </c>
      <c r="AE1157" s="1" t="s">
        <v>104</v>
      </c>
      <c r="AF1157" s="1" t="s">
        <v>104</v>
      </c>
      <c r="AG1157" s="1">
        <v>2</v>
      </c>
      <c r="AH1157" s="1">
        <v>2</v>
      </c>
      <c r="AI1157" s="1" t="s">
        <v>104</v>
      </c>
      <c r="AJ1157" s="1">
        <v>2</v>
      </c>
      <c r="AK1157" s="1" t="s">
        <v>104</v>
      </c>
      <c r="AL1157" s="1" t="s">
        <v>104</v>
      </c>
      <c r="AM1157" s="1" t="s">
        <v>104</v>
      </c>
      <c r="AO1157" s="1">
        <v>2</v>
      </c>
      <c r="AQ1157" s="1" t="s">
        <v>6955</v>
      </c>
      <c r="AR1157" s="1">
        <v>0</v>
      </c>
      <c r="AS1157" s="1">
        <v>0</v>
      </c>
      <c r="AT1157" s="1">
        <v>0</v>
      </c>
      <c r="AU1157" s="1">
        <v>0</v>
      </c>
      <c r="AV1157" s="1">
        <v>0</v>
      </c>
      <c r="AW1157" s="1">
        <v>0</v>
      </c>
      <c r="AX1157" s="1">
        <v>0</v>
      </c>
      <c r="AY1157" s="1">
        <v>0</v>
      </c>
      <c r="AZ1157" s="1">
        <v>0</v>
      </c>
      <c r="BA1157" s="1">
        <v>0</v>
      </c>
      <c r="BB1157" s="1">
        <v>0</v>
      </c>
      <c r="BC1157" s="1">
        <v>0</v>
      </c>
      <c r="BD1157" s="1">
        <v>0</v>
      </c>
      <c r="BE1157" s="1">
        <v>0</v>
      </c>
      <c r="BF1157" s="1">
        <v>0</v>
      </c>
      <c r="BG1157" s="1">
        <v>0</v>
      </c>
      <c r="BH1157" s="1">
        <v>0</v>
      </c>
      <c r="BI1157" s="1">
        <v>0</v>
      </c>
      <c r="BJ1157" s="1">
        <v>0</v>
      </c>
      <c r="BK1157" s="1">
        <v>0</v>
      </c>
      <c r="BL1157" s="1">
        <v>0</v>
      </c>
      <c r="BM1157" s="1">
        <v>0</v>
      </c>
      <c r="BN1157" s="1">
        <v>0</v>
      </c>
      <c r="BO1157" s="1">
        <v>0</v>
      </c>
      <c r="BP1157" s="1">
        <v>0</v>
      </c>
      <c r="BQ1157" s="2" t="str">
        <f>HYPERLINK("http://www.d20pfsrd.com/magic/all-spells/w/web-shelter","Web Shelter")</f>
        <v>Web Shelter</v>
      </c>
      <c r="BR1157" s="1">
        <v>1199</v>
      </c>
      <c r="BS1157" s="1" t="s">
        <v>104</v>
      </c>
      <c r="BX1157" s="1">
        <v>0</v>
      </c>
      <c r="BY1157" s="1" t="s">
        <v>104</v>
      </c>
      <c r="BZ1157" s="1">
        <v>2</v>
      </c>
      <c r="CA1157" s="1" t="s">
        <v>104</v>
      </c>
      <c r="CB1157" s="1" t="s">
        <v>104</v>
      </c>
      <c r="CC1157" s="1" t="s">
        <v>104</v>
      </c>
      <c r="CD1157" s="1" t="s">
        <v>104</v>
      </c>
      <c r="CE1157" s="1" t="s">
        <v>104</v>
      </c>
      <c r="CF1157" s="1" t="s">
        <v>104</v>
      </c>
      <c r="CG1157" s="1" t="s">
        <v>104</v>
      </c>
      <c r="CH1157" s="1">
        <v>2</v>
      </c>
      <c r="CJ1157" s="1">
        <v>0</v>
      </c>
      <c r="CK1157" s="1">
        <v>0</v>
      </c>
      <c r="CL1157" s="1">
        <v>0</v>
      </c>
      <c r="CM1157" s="1">
        <v>2</v>
      </c>
    </row>
    <row r="1158" spans="1:91" ht="14.25" customHeight="1" x14ac:dyDescent="0.3">
      <c r="A1158" s="1" t="s">
        <v>6956</v>
      </c>
      <c r="B1158" s="1" t="s">
        <v>172</v>
      </c>
      <c r="C1158" s="1" t="s">
        <v>285</v>
      </c>
      <c r="E1158" s="1" t="s">
        <v>6957</v>
      </c>
      <c r="F1158" s="1" t="s">
        <v>95</v>
      </c>
      <c r="G1158" s="1" t="s">
        <v>116</v>
      </c>
      <c r="H1158" s="1">
        <v>0</v>
      </c>
      <c r="I1158" s="1" t="s">
        <v>97</v>
      </c>
      <c r="L1158" s="1" t="s">
        <v>417</v>
      </c>
      <c r="M1158" s="1" t="s">
        <v>4641</v>
      </c>
      <c r="N1158" s="1">
        <v>1</v>
      </c>
      <c r="O1158" s="1">
        <v>0</v>
      </c>
      <c r="P1158" s="1" t="s">
        <v>375</v>
      </c>
      <c r="Q1158" s="1" t="s">
        <v>131</v>
      </c>
      <c r="R1158" s="1" t="s">
        <v>6958</v>
      </c>
      <c r="S1158" s="1" t="s">
        <v>4201</v>
      </c>
      <c r="T1158" s="1">
        <v>1</v>
      </c>
      <c r="U1158" s="1">
        <v>1</v>
      </c>
      <c r="V1158" s="1">
        <v>0</v>
      </c>
      <c r="W1158" s="1">
        <v>0</v>
      </c>
      <c r="X1158" s="1">
        <v>0</v>
      </c>
      <c r="Y1158" s="1" t="s">
        <v>104</v>
      </c>
      <c r="Z1158" s="1" t="s">
        <v>104</v>
      </c>
      <c r="AA1158" s="1" t="s">
        <v>104</v>
      </c>
      <c r="AB1158" s="1" t="s">
        <v>104</v>
      </c>
      <c r="AC1158" s="1" t="s">
        <v>104</v>
      </c>
      <c r="AD1158" s="1">
        <v>3</v>
      </c>
      <c r="AE1158" s="1" t="s">
        <v>104</v>
      </c>
      <c r="AF1158" s="1" t="s">
        <v>104</v>
      </c>
      <c r="AG1158" s="1" t="s">
        <v>104</v>
      </c>
      <c r="AH1158" s="1">
        <v>3</v>
      </c>
      <c r="AI1158" s="1">
        <v>3</v>
      </c>
      <c r="AJ1158" s="1" t="s">
        <v>104</v>
      </c>
      <c r="AK1158" s="1" t="s">
        <v>104</v>
      </c>
      <c r="AL1158" s="1" t="s">
        <v>104</v>
      </c>
      <c r="AM1158" s="1" t="s">
        <v>104</v>
      </c>
      <c r="AO1158" s="1">
        <v>3</v>
      </c>
      <c r="AQ1158" s="1" t="s">
        <v>6959</v>
      </c>
      <c r="AR1158" s="1">
        <v>0</v>
      </c>
      <c r="AS1158" s="1">
        <v>0</v>
      </c>
      <c r="AT1158" s="1">
        <v>0</v>
      </c>
      <c r="AU1158" s="1">
        <v>0</v>
      </c>
      <c r="AV1158" s="1">
        <v>0</v>
      </c>
      <c r="AW1158" s="1">
        <v>0</v>
      </c>
      <c r="AX1158" s="1">
        <v>0</v>
      </c>
      <c r="AY1158" s="1">
        <v>0</v>
      </c>
      <c r="AZ1158" s="1">
        <v>0</v>
      </c>
      <c r="BA1158" s="1">
        <v>0</v>
      </c>
      <c r="BB1158" s="1">
        <v>0</v>
      </c>
      <c r="BC1158" s="1">
        <v>0</v>
      </c>
      <c r="BD1158" s="1">
        <v>0</v>
      </c>
      <c r="BE1158" s="1">
        <v>0</v>
      </c>
      <c r="BF1158" s="1">
        <v>0</v>
      </c>
      <c r="BG1158" s="1">
        <v>0</v>
      </c>
      <c r="BH1158" s="1">
        <v>0</v>
      </c>
      <c r="BI1158" s="1">
        <v>0</v>
      </c>
      <c r="BJ1158" s="1">
        <v>0</v>
      </c>
      <c r="BK1158" s="1">
        <v>0</v>
      </c>
      <c r="BL1158" s="1">
        <v>0</v>
      </c>
      <c r="BM1158" s="1">
        <v>0</v>
      </c>
      <c r="BN1158" s="1">
        <v>0</v>
      </c>
      <c r="BO1158" s="1">
        <v>0</v>
      </c>
      <c r="BP1158" s="1">
        <v>0</v>
      </c>
      <c r="BQ1158" s="2" t="str">
        <f>HYPERLINK("http://www.d20pfsrd.com/magic/all-spells/w/witness","Witness")</f>
        <v>Witness</v>
      </c>
      <c r="BR1158" s="1">
        <v>1200</v>
      </c>
      <c r="BS1158" s="1" t="s">
        <v>104</v>
      </c>
      <c r="BX1158" s="1">
        <v>0</v>
      </c>
      <c r="BY1158" s="1" t="s">
        <v>104</v>
      </c>
      <c r="BZ1158" s="1" t="s">
        <v>104</v>
      </c>
      <c r="CA1158" s="1">
        <v>3</v>
      </c>
      <c r="CB1158" s="1">
        <v>3</v>
      </c>
      <c r="CC1158" s="1">
        <v>3</v>
      </c>
      <c r="CD1158" s="1">
        <v>3</v>
      </c>
      <c r="CE1158" s="1" t="s">
        <v>104</v>
      </c>
      <c r="CF1158" s="1" t="s">
        <v>104</v>
      </c>
      <c r="CG1158" s="1" t="s">
        <v>104</v>
      </c>
      <c r="CH1158" s="1" t="s">
        <v>104</v>
      </c>
      <c r="CJ1158" s="1">
        <v>0</v>
      </c>
      <c r="CK1158" s="1">
        <v>0</v>
      </c>
      <c r="CL1158" s="1">
        <v>0</v>
      </c>
      <c r="CM1158" s="1" t="s">
        <v>104</v>
      </c>
    </row>
    <row r="1159" spans="1:91" ht="14.25" customHeight="1" x14ac:dyDescent="0.3">
      <c r="A1159" s="1" t="s">
        <v>6960</v>
      </c>
      <c r="B1159" s="1" t="s">
        <v>92</v>
      </c>
      <c r="C1159" s="1" t="s">
        <v>93</v>
      </c>
      <c r="E1159" s="1" t="s">
        <v>4341</v>
      </c>
      <c r="F1159" s="1" t="s">
        <v>95</v>
      </c>
      <c r="G1159" s="1" t="s">
        <v>116</v>
      </c>
      <c r="H1159" s="1">
        <v>0</v>
      </c>
      <c r="I1159" s="1" t="s">
        <v>109</v>
      </c>
      <c r="K1159" s="1" t="s">
        <v>6961</v>
      </c>
      <c r="M1159" s="1" t="s">
        <v>620</v>
      </c>
      <c r="N1159" s="1">
        <v>1</v>
      </c>
      <c r="O1159" s="1">
        <v>0</v>
      </c>
      <c r="P1159" s="1" t="s">
        <v>100</v>
      </c>
      <c r="Q1159" s="1" t="s">
        <v>101</v>
      </c>
      <c r="R1159" s="1" t="s">
        <v>6962</v>
      </c>
      <c r="S1159" s="1" t="s">
        <v>4201</v>
      </c>
      <c r="T1159" s="1">
        <v>1</v>
      </c>
      <c r="U1159" s="1">
        <v>1</v>
      </c>
      <c r="V1159" s="1">
        <v>0</v>
      </c>
      <c r="W1159" s="1">
        <v>0</v>
      </c>
      <c r="X1159" s="1">
        <v>0</v>
      </c>
      <c r="Y1159" s="1">
        <v>9</v>
      </c>
      <c r="Z1159" s="1">
        <v>9</v>
      </c>
      <c r="AA1159" s="1">
        <v>9</v>
      </c>
      <c r="AB1159" s="1" t="s">
        <v>104</v>
      </c>
      <c r="AC1159" s="1" t="s">
        <v>104</v>
      </c>
      <c r="AD1159" s="1" t="s">
        <v>104</v>
      </c>
      <c r="AE1159" s="1" t="s">
        <v>104</v>
      </c>
      <c r="AF1159" s="1" t="s">
        <v>104</v>
      </c>
      <c r="AG1159" s="1" t="s">
        <v>104</v>
      </c>
      <c r="AH1159" s="1" t="s">
        <v>104</v>
      </c>
      <c r="AI1159" s="1" t="s">
        <v>104</v>
      </c>
      <c r="AJ1159" s="1">
        <v>9</v>
      </c>
      <c r="AK1159" s="1" t="s">
        <v>104</v>
      </c>
      <c r="AL1159" s="1" t="s">
        <v>104</v>
      </c>
      <c r="AM1159" s="1" t="s">
        <v>104</v>
      </c>
      <c r="AO1159" s="1">
        <v>9</v>
      </c>
      <c r="AP1159" s="1" t="s">
        <v>6963</v>
      </c>
      <c r="AQ1159" s="1" t="s">
        <v>6964</v>
      </c>
      <c r="AR1159" s="1">
        <v>0</v>
      </c>
      <c r="AS1159" s="1">
        <v>0</v>
      </c>
      <c r="AT1159" s="1">
        <v>0</v>
      </c>
      <c r="AU1159" s="1">
        <v>0</v>
      </c>
      <c r="AV1159" s="1">
        <v>0</v>
      </c>
      <c r="AW1159" s="1">
        <v>0</v>
      </c>
      <c r="AX1159" s="1">
        <v>0</v>
      </c>
      <c r="AY1159" s="1">
        <v>0</v>
      </c>
      <c r="AZ1159" s="1">
        <v>0</v>
      </c>
      <c r="BA1159" s="1">
        <v>0</v>
      </c>
      <c r="BB1159" s="1">
        <v>0</v>
      </c>
      <c r="BC1159" s="1">
        <v>0</v>
      </c>
      <c r="BD1159" s="1">
        <v>0</v>
      </c>
      <c r="BE1159" s="1">
        <v>0</v>
      </c>
      <c r="BF1159" s="1">
        <v>0</v>
      </c>
      <c r="BG1159" s="1">
        <v>0</v>
      </c>
      <c r="BH1159" s="1">
        <v>0</v>
      </c>
      <c r="BI1159" s="1">
        <v>0</v>
      </c>
      <c r="BJ1159" s="1">
        <v>0</v>
      </c>
      <c r="BK1159" s="1">
        <v>0</v>
      </c>
      <c r="BL1159" s="1">
        <v>0</v>
      </c>
      <c r="BM1159" s="1">
        <v>0</v>
      </c>
      <c r="BN1159" s="1">
        <v>0</v>
      </c>
      <c r="BO1159" s="1">
        <v>0</v>
      </c>
      <c r="BP1159" s="1">
        <v>0</v>
      </c>
      <c r="BQ1159" s="2" t="str">
        <f>HYPERLINK("http://www.d20pfsrd.com/magic/all-spells/w/wooden-phalanx","Wooden Phalanx")</f>
        <v>Wooden Phalanx</v>
      </c>
      <c r="BR1159" s="1">
        <v>1201</v>
      </c>
      <c r="BS1159" s="1" t="s">
        <v>104</v>
      </c>
      <c r="BU1159" s="1" t="s">
        <v>6965</v>
      </c>
      <c r="BX1159" s="1">
        <v>0</v>
      </c>
      <c r="BY1159" s="1" t="s">
        <v>104</v>
      </c>
      <c r="BZ1159" s="1" t="s">
        <v>104</v>
      </c>
      <c r="CA1159" s="1" t="s">
        <v>104</v>
      </c>
      <c r="CB1159" s="1" t="s">
        <v>104</v>
      </c>
      <c r="CC1159" s="1" t="s">
        <v>104</v>
      </c>
      <c r="CD1159" s="1" t="s">
        <v>104</v>
      </c>
      <c r="CE1159" s="1" t="s">
        <v>104</v>
      </c>
      <c r="CF1159" s="1" t="s">
        <v>104</v>
      </c>
      <c r="CG1159" s="1" t="s">
        <v>104</v>
      </c>
      <c r="CH1159" s="1" t="s">
        <v>104</v>
      </c>
      <c r="CJ1159" s="1">
        <v>0</v>
      </c>
      <c r="CK1159" s="1">
        <v>0</v>
      </c>
      <c r="CL1159" s="1">
        <v>0</v>
      </c>
      <c r="CM1159" s="1" t="s">
        <v>104</v>
      </c>
    </row>
    <row r="1160" spans="1:91" ht="14.25" customHeight="1" x14ac:dyDescent="0.3">
      <c r="A1160" s="1" t="s">
        <v>6966</v>
      </c>
      <c r="B1160" s="1" t="s">
        <v>162</v>
      </c>
      <c r="E1160" s="1" t="s">
        <v>478</v>
      </c>
      <c r="F1160" s="1" t="s">
        <v>1502</v>
      </c>
      <c r="G1160" s="1" t="s">
        <v>4639</v>
      </c>
      <c r="H1160" s="1">
        <v>0</v>
      </c>
      <c r="I1160" s="1" t="s">
        <v>117</v>
      </c>
      <c r="L1160" s="1" t="s">
        <v>6415</v>
      </c>
      <c r="M1160" s="1" t="s">
        <v>119</v>
      </c>
      <c r="N1160" s="1">
        <v>0</v>
      </c>
      <c r="O1160" s="1">
        <v>0</v>
      </c>
      <c r="P1160" s="1" t="s">
        <v>6967</v>
      </c>
      <c r="Q1160" s="1" t="s">
        <v>131</v>
      </c>
      <c r="R1160" s="1" t="s">
        <v>6968</v>
      </c>
      <c r="S1160" s="1" t="s">
        <v>4201</v>
      </c>
      <c r="T1160" s="1">
        <v>1</v>
      </c>
      <c r="U1160" s="1">
        <v>0</v>
      </c>
      <c r="V1160" s="1">
        <v>0</v>
      </c>
      <c r="W1160" s="1">
        <v>0</v>
      </c>
      <c r="X1160" s="1">
        <v>1</v>
      </c>
      <c r="Y1160" s="1" t="s">
        <v>104</v>
      </c>
      <c r="Z1160" s="1" t="s">
        <v>104</v>
      </c>
      <c r="AA1160" s="1" t="s">
        <v>104</v>
      </c>
      <c r="AB1160" s="1" t="s">
        <v>104</v>
      </c>
      <c r="AC1160" s="1" t="s">
        <v>104</v>
      </c>
      <c r="AD1160" s="1" t="s">
        <v>104</v>
      </c>
      <c r="AE1160" s="1">
        <v>1</v>
      </c>
      <c r="AF1160" s="1" t="s">
        <v>104</v>
      </c>
      <c r="AG1160" s="1" t="s">
        <v>104</v>
      </c>
      <c r="AH1160" s="1" t="s">
        <v>104</v>
      </c>
      <c r="AI1160" s="1" t="s">
        <v>104</v>
      </c>
      <c r="AJ1160" s="1" t="s">
        <v>104</v>
      </c>
      <c r="AK1160" s="1" t="s">
        <v>104</v>
      </c>
      <c r="AL1160" s="1" t="s">
        <v>104</v>
      </c>
      <c r="AM1160" s="1" t="s">
        <v>104</v>
      </c>
      <c r="AO1160" s="1">
        <v>1</v>
      </c>
      <c r="AQ1160" s="1" t="s">
        <v>6969</v>
      </c>
      <c r="AR1160" s="1">
        <v>0</v>
      </c>
      <c r="AS1160" s="1">
        <v>0</v>
      </c>
      <c r="AT1160" s="1">
        <v>0</v>
      </c>
      <c r="AU1160" s="1">
        <v>0</v>
      </c>
      <c r="AV1160" s="1">
        <v>0</v>
      </c>
      <c r="AW1160" s="1">
        <v>0</v>
      </c>
      <c r="AX1160" s="1">
        <v>0</v>
      </c>
      <c r="AY1160" s="1">
        <v>0</v>
      </c>
      <c r="AZ1160" s="1">
        <v>0</v>
      </c>
      <c r="BA1160" s="1">
        <v>0</v>
      </c>
      <c r="BB1160" s="1">
        <v>0</v>
      </c>
      <c r="BC1160" s="1">
        <v>0</v>
      </c>
      <c r="BD1160" s="1">
        <v>0</v>
      </c>
      <c r="BE1160" s="1">
        <v>0</v>
      </c>
      <c r="BF1160" s="1">
        <v>0</v>
      </c>
      <c r="BG1160" s="1">
        <v>0</v>
      </c>
      <c r="BH1160" s="1">
        <v>0</v>
      </c>
      <c r="BI1160" s="1">
        <v>0</v>
      </c>
      <c r="BJ1160" s="1">
        <v>0</v>
      </c>
      <c r="BK1160" s="1">
        <v>0</v>
      </c>
      <c r="BL1160" s="1">
        <v>0</v>
      </c>
      <c r="BM1160" s="1">
        <v>0</v>
      </c>
      <c r="BN1160" s="1">
        <v>0</v>
      </c>
      <c r="BO1160" s="1">
        <v>0</v>
      </c>
      <c r="BP1160" s="1">
        <v>0</v>
      </c>
      <c r="BQ1160" s="2" t="str">
        <f>HYPERLINK("http://www.d20pfsrd.com/magic/all-spells/w/word-of-resolve","Word of Resolve")</f>
        <v>Word of Resolve</v>
      </c>
      <c r="BR1160" s="1">
        <v>1202</v>
      </c>
      <c r="BS1160" s="1" t="s">
        <v>104</v>
      </c>
      <c r="BX1160" s="1">
        <v>0</v>
      </c>
      <c r="BY1160" s="1" t="s">
        <v>104</v>
      </c>
      <c r="BZ1160" s="1" t="s">
        <v>104</v>
      </c>
      <c r="CA1160" s="1" t="s">
        <v>104</v>
      </c>
      <c r="CB1160" s="1" t="s">
        <v>104</v>
      </c>
      <c r="CC1160" s="1" t="s">
        <v>104</v>
      </c>
      <c r="CD1160" s="1" t="s">
        <v>104</v>
      </c>
      <c r="CE1160" s="1" t="s">
        <v>104</v>
      </c>
      <c r="CF1160" s="1" t="s">
        <v>104</v>
      </c>
      <c r="CG1160" s="1" t="s">
        <v>104</v>
      </c>
      <c r="CH1160" s="1" t="s">
        <v>104</v>
      </c>
      <c r="CJ1160" s="1">
        <v>0</v>
      </c>
      <c r="CK1160" s="1">
        <v>0</v>
      </c>
      <c r="CL1160" s="1">
        <v>0</v>
      </c>
      <c r="CM1160" s="1" t="s">
        <v>104</v>
      </c>
    </row>
    <row r="1161" spans="1:91" ht="14.25" customHeight="1" x14ac:dyDescent="0.3">
      <c r="A1161" s="1" t="s">
        <v>6970</v>
      </c>
      <c r="B1161" s="1" t="s">
        <v>137</v>
      </c>
      <c r="C1161" s="1" t="s">
        <v>154</v>
      </c>
      <c r="E1161" s="1" t="s">
        <v>6971</v>
      </c>
      <c r="F1161" s="1" t="s">
        <v>95</v>
      </c>
      <c r="G1161" s="1" t="s">
        <v>116</v>
      </c>
      <c r="H1161" s="1">
        <v>0</v>
      </c>
      <c r="I1161" s="1" t="s">
        <v>128</v>
      </c>
      <c r="L1161" s="1" t="s">
        <v>374</v>
      </c>
      <c r="M1161" s="1" t="s">
        <v>201</v>
      </c>
      <c r="N1161" s="1">
        <v>0</v>
      </c>
      <c r="O1161" s="1">
        <v>0</v>
      </c>
      <c r="R1161" s="1" t="s">
        <v>6972</v>
      </c>
      <c r="S1161" s="1" t="s">
        <v>4201</v>
      </c>
      <c r="T1161" s="1">
        <v>1</v>
      </c>
      <c r="U1161" s="1">
        <v>1</v>
      </c>
      <c r="V1161" s="1">
        <v>0</v>
      </c>
      <c r="W1161" s="1">
        <v>0</v>
      </c>
      <c r="X1161" s="1">
        <v>0</v>
      </c>
      <c r="Y1161" s="1">
        <v>1</v>
      </c>
      <c r="Z1161" s="1">
        <v>1</v>
      </c>
      <c r="AA1161" s="1" t="s">
        <v>104</v>
      </c>
      <c r="AB1161" s="1" t="s">
        <v>104</v>
      </c>
      <c r="AC1161" s="1" t="s">
        <v>104</v>
      </c>
      <c r="AD1161" s="1">
        <v>1</v>
      </c>
      <c r="AE1161" s="1" t="s">
        <v>104</v>
      </c>
      <c r="AF1161" s="1">
        <v>1</v>
      </c>
      <c r="AG1161" s="1" t="s">
        <v>104</v>
      </c>
      <c r="AH1161" s="1">
        <v>1</v>
      </c>
      <c r="AI1161" s="1" t="s">
        <v>104</v>
      </c>
      <c r="AJ1161" s="1" t="s">
        <v>104</v>
      </c>
      <c r="AK1161" s="1" t="s">
        <v>104</v>
      </c>
      <c r="AL1161" s="1" t="s">
        <v>104</v>
      </c>
      <c r="AM1161" s="1" t="s">
        <v>104</v>
      </c>
      <c r="AO1161" s="1">
        <v>1</v>
      </c>
      <c r="AQ1161" s="1" t="s">
        <v>6973</v>
      </c>
      <c r="AR1161" s="1">
        <v>0</v>
      </c>
      <c r="AS1161" s="1">
        <v>0</v>
      </c>
      <c r="AT1161" s="1">
        <v>0</v>
      </c>
      <c r="AU1161" s="1">
        <v>0</v>
      </c>
      <c r="AV1161" s="1">
        <v>0</v>
      </c>
      <c r="AW1161" s="1">
        <v>0</v>
      </c>
      <c r="AX1161" s="1">
        <v>0</v>
      </c>
      <c r="AY1161" s="1">
        <v>0</v>
      </c>
      <c r="AZ1161" s="1">
        <v>0</v>
      </c>
      <c r="BA1161" s="1">
        <v>0</v>
      </c>
      <c r="BB1161" s="1">
        <v>0</v>
      </c>
      <c r="BC1161" s="1">
        <v>0</v>
      </c>
      <c r="BD1161" s="1">
        <v>0</v>
      </c>
      <c r="BE1161" s="1">
        <v>0</v>
      </c>
      <c r="BF1161" s="1">
        <v>0</v>
      </c>
      <c r="BG1161" s="1">
        <v>0</v>
      </c>
      <c r="BH1161" s="1">
        <v>0</v>
      </c>
      <c r="BI1161" s="1">
        <v>0</v>
      </c>
      <c r="BJ1161" s="1">
        <v>0</v>
      </c>
      <c r="BK1161" s="1">
        <v>0</v>
      </c>
      <c r="BL1161" s="1">
        <v>0</v>
      </c>
      <c r="BM1161" s="1">
        <v>0</v>
      </c>
      <c r="BN1161" s="1">
        <v>0</v>
      </c>
      <c r="BO1161" s="1">
        <v>0</v>
      </c>
      <c r="BP1161" s="1">
        <v>0</v>
      </c>
      <c r="BQ1161" s="2" t="str">
        <f>HYPERLINK("http://www.d20pfsrd.com/magic/all-spells/y/youthful-appearance","Youthful Appearance")</f>
        <v>Youthful Appearance</v>
      </c>
      <c r="BR1161" s="1">
        <v>1203</v>
      </c>
      <c r="BS1161" s="1" t="s">
        <v>104</v>
      </c>
      <c r="BX1161" s="1">
        <v>0</v>
      </c>
      <c r="BY1161" s="1" t="s">
        <v>104</v>
      </c>
      <c r="BZ1161" s="1" t="s">
        <v>104</v>
      </c>
      <c r="CA1161" s="1">
        <v>1</v>
      </c>
      <c r="CB1161" s="1">
        <v>1</v>
      </c>
      <c r="CC1161" s="1" t="s">
        <v>104</v>
      </c>
      <c r="CD1161" s="1">
        <v>1</v>
      </c>
      <c r="CE1161" s="1" t="s">
        <v>104</v>
      </c>
      <c r="CF1161" s="1" t="s">
        <v>104</v>
      </c>
      <c r="CG1161" s="1" t="s">
        <v>104</v>
      </c>
      <c r="CH1161" s="1" t="s">
        <v>104</v>
      </c>
      <c r="CJ1161" s="1">
        <v>0</v>
      </c>
      <c r="CK1161" s="1">
        <v>0</v>
      </c>
      <c r="CL1161" s="1">
        <v>0</v>
      </c>
      <c r="CM1161" s="1" t="s">
        <v>104</v>
      </c>
    </row>
    <row r="1162" spans="1:91" ht="14.25" customHeight="1" x14ac:dyDescent="0.3">
      <c r="A1162" s="1" t="s">
        <v>6974</v>
      </c>
      <c r="B1162" s="1" t="s">
        <v>137</v>
      </c>
      <c r="E1162" s="1" t="s">
        <v>6975</v>
      </c>
      <c r="F1162" s="1" t="s">
        <v>1502</v>
      </c>
      <c r="G1162" s="1" t="s">
        <v>116</v>
      </c>
      <c r="H1162" s="1">
        <v>0</v>
      </c>
      <c r="I1162" s="1" t="s">
        <v>109</v>
      </c>
      <c r="L1162" s="1" t="s">
        <v>6976</v>
      </c>
      <c r="M1162" s="1" t="s">
        <v>6977</v>
      </c>
      <c r="N1162" s="1">
        <v>0</v>
      </c>
      <c r="O1162" s="1">
        <v>0</v>
      </c>
      <c r="P1162" s="1" t="s">
        <v>6978</v>
      </c>
      <c r="Q1162" s="1" t="s">
        <v>184</v>
      </c>
      <c r="R1162" s="1" t="s">
        <v>6979</v>
      </c>
      <c r="S1162" s="1" t="s">
        <v>6980</v>
      </c>
      <c r="T1162" s="1">
        <v>1</v>
      </c>
      <c r="U1162" s="1">
        <v>1</v>
      </c>
      <c r="V1162" s="1">
        <v>0</v>
      </c>
      <c r="W1162" s="1">
        <v>0</v>
      </c>
      <c r="X1162" s="1">
        <v>0</v>
      </c>
      <c r="Y1162" s="1">
        <v>2</v>
      </c>
      <c r="Z1162" s="1">
        <v>2</v>
      </c>
      <c r="AA1162" s="1">
        <v>2</v>
      </c>
      <c r="AB1162" s="1" t="s">
        <v>104</v>
      </c>
      <c r="AC1162" s="1" t="s">
        <v>104</v>
      </c>
      <c r="AD1162" s="1" t="s">
        <v>104</v>
      </c>
      <c r="AE1162" s="1" t="s">
        <v>104</v>
      </c>
      <c r="AF1162" s="1" t="s">
        <v>104</v>
      </c>
      <c r="AG1162" s="1" t="s">
        <v>104</v>
      </c>
      <c r="AH1162" s="1">
        <v>2</v>
      </c>
      <c r="AI1162" s="1" t="s">
        <v>104</v>
      </c>
      <c r="AJ1162" s="1">
        <v>2</v>
      </c>
      <c r="AK1162" s="1" t="s">
        <v>104</v>
      </c>
      <c r="AL1162" s="1" t="s">
        <v>104</v>
      </c>
      <c r="AM1162" s="1" t="s">
        <v>104</v>
      </c>
      <c r="AO1162" s="1">
        <v>2</v>
      </c>
      <c r="AR1162" s="1">
        <v>0</v>
      </c>
      <c r="AS1162" s="1">
        <v>0</v>
      </c>
      <c r="AT1162" s="1">
        <v>0</v>
      </c>
      <c r="AU1162" s="1">
        <v>0</v>
      </c>
      <c r="AV1162" s="1">
        <v>0</v>
      </c>
      <c r="AW1162" s="1">
        <v>0</v>
      </c>
      <c r="AX1162" s="1">
        <v>0</v>
      </c>
      <c r="AY1162" s="1">
        <v>0</v>
      </c>
      <c r="AZ1162" s="1">
        <v>0</v>
      </c>
      <c r="BA1162" s="1">
        <v>0</v>
      </c>
      <c r="BB1162" s="1">
        <v>0</v>
      </c>
      <c r="BC1162" s="1">
        <v>0</v>
      </c>
      <c r="BD1162" s="1">
        <v>0</v>
      </c>
      <c r="BE1162" s="1">
        <v>0</v>
      </c>
      <c r="BF1162" s="1">
        <v>0</v>
      </c>
      <c r="BG1162" s="1">
        <v>0</v>
      </c>
      <c r="BH1162" s="1">
        <v>0</v>
      </c>
      <c r="BI1162" s="1">
        <v>0</v>
      </c>
      <c r="BJ1162" s="1">
        <v>0</v>
      </c>
      <c r="BK1162" s="1">
        <v>0</v>
      </c>
      <c r="BL1162" s="1">
        <v>0</v>
      </c>
      <c r="BM1162" s="1">
        <v>0</v>
      </c>
      <c r="BN1162" s="1">
        <v>0</v>
      </c>
      <c r="BO1162" s="1">
        <v>0</v>
      </c>
      <c r="BP1162" s="1">
        <v>0</v>
      </c>
      <c r="BQ1162" s="1" t="s">
        <v>104</v>
      </c>
      <c r="BR1162" s="1">
        <v>1204</v>
      </c>
      <c r="BS1162" s="1" t="s">
        <v>104</v>
      </c>
      <c r="BX1162" s="1">
        <v>0</v>
      </c>
      <c r="BY1162" s="1" t="s">
        <v>104</v>
      </c>
      <c r="BZ1162" s="1" t="s">
        <v>104</v>
      </c>
      <c r="CA1162" s="1" t="s">
        <v>104</v>
      </c>
      <c r="CB1162" s="1" t="s">
        <v>104</v>
      </c>
      <c r="CC1162" s="1" t="s">
        <v>104</v>
      </c>
      <c r="CD1162" s="1" t="s">
        <v>104</v>
      </c>
      <c r="CE1162" s="1" t="s">
        <v>104</v>
      </c>
      <c r="CF1162" s="1" t="s">
        <v>104</v>
      </c>
      <c r="CG1162" s="1" t="s">
        <v>104</v>
      </c>
      <c r="CH1162" s="1" t="s">
        <v>104</v>
      </c>
      <c r="CJ1162" s="1">
        <v>0</v>
      </c>
      <c r="CK1162" s="1">
        <v>0</v>
      </c>
      <c r="CL1162" s="1">
        <v>0</v>
      </c>
      <c r="CM1162" s="1" t="s">
        <v>104</v>
      </c>
    </row>
    <row r="1163" spans="1:91" ht="14.25" customHeight="1" x14ac:dyDescent="0.3">
      <c r="A1163" s="1" t="s">
        <v>6981</v>
      </c>
      <c r="B1163" s="1" t="s">
        <v>434</v>
      </c>
      <c r="D1163" s="1" t="s">
        <v>52</v>
      </c>
      <c r="E1163" s="1" t="s">
        <v>4378</v>
      </c>
      <c r="F1163" s="1" t="s">
        <v>95</v>
      </c>
      <c r="G1163" s="1" t="s">
        <v>116</v>
      </c>
      <c r="H1163" s="1">
        <v>0</v>
      </c>
      <c r="I1163" s="1" t="s">
        <v>109</v>
      </c>
      <c r="L1163" s="1" t="s">
        <v>425</v>
      </c>
      <c r="M1163" s="1" t="s">
        <v>119</v>
      </c>
      <c r="N1163" s="1">
        <v>0</v>
      </c>
      <c r="O1163" s="1">
        <v>0</v>
      </c>
      <c r="P1163" s="1" t="s">
        <v>1080</v>
      </c>
      <c r="Q1163" s="1" t="s">
        <v>184</v>
      </c>
      <c r="R1163" s="1" t="s">
        <v>6982</v>
      </c>
      <c r="S1163" s="1" t="s">
        <v>6980</v>
      </c>
      <c r="T1163" s="1">
        <v>1</v>
      </c>
      <c r="U1163" s="1">
        <v>1</v>
      </c>
      <c r="V1163" s="1">
        <v>0</v>
      </c>
      <c r="W1163" s="1">
        <v>0</v>
      </c>
      <c r="X1163" s="1">
        <v>0</v>
      </c>
      <c r="Y1163" s="1">
        <v>3</v>
      </c>
      <c r="Z1163" s="1">
        <v>3</v>
      </c>
      <c r="AA1163" s="1" t="s">
        <v>104</v>
      </c>
      <c r="AB1163" s="1">
        <v>3</v>
      </c>
      <c r="AC1163" s="1" t="s">
        <v>104</v>
      </c>
      <c r="AD1163" s="1" t="s">
        <v>104</v>
      </c>
      <c r="AE1163" s="1" t="s">
        <v>104</v>
      </c>
      <c r="AF1163" s="1" t="s">
        <v>104</v>
      </c>
      <c r="AG1163" s="1" t="s">
        <v>104</v>
      </c>
      <c r="AH1163" s="1" t="s">
        <v>104</v>
      </c>
      <c r="AI1163" s="1" t="s">
        <v>104</v>
      </c>
      <c r="AJ1163" s="1" t="s">
        <v>104</v>
      </c>
      <c r="AK1163" s="1" t="s">
        <v>104</v>
      </c>
      <c r="AL1163" s="1" t="s">
        <v>104</v>
      </c>
      <c r="AM1163" s="1" t="s">
        <v>104</v>
      </c>
      <c r="AO1163" s="1">
        <v>3</v>
      </c>
      <c r="AR1163" s="1">
        <v>0</v>
      </c>
      <c r="AS1163" s="1">
        <v>0</v>
      </c>
      <c r="AT1163" s="1">
        <v>0</v>
      </c>
      <c r="AU1163" s="1">
        <v>0</v>
      </c>
      <c r="AV1163" s="1">
        <v>0</v>
      </c>
      <c r="AW1163" s="1">
        <v>0</v>
      </c>
      <c r="AX1163" s="1">
        <v>0</v>
      </c>
      <c r="AY1163" s="1">
        <v>0</v>
      </c>
      <c r="AZ1163" s="1">
        <v>0</v>
      </c>
      <c r="BA1163" s="1">
        <v>1</v>
      </c>
      <c r="BB1163" s="1">
        <v>0</v>
      </c>
      <c r="BC1163" s="1">
        <v>0</v>
      </c>
      <c r="BD1163" s="1">
        <v>0</v>
      </c>
      <c r="BE1163" s="1">
        <v>0</v>
      </c>
      <c r="BF1163" s="1">
        <v>0</v>
      </c>
      <c r="BG1163" s="1">
        <v>0</v>
      </c>
      <c r="BH1163" s="1">
        <v>0</v>
      </c>
      <c r="BI1163" s="1">
        <v>0</v>
      </c>
      <c r="BJ1163" s="1">
        <v>0</v>
      </c>
      <c r="BK1163" s="1">
        <v>0</v>
      </c>
      <c r="BL1163" s="1">
        <v>0</v>
      </c>
      <c r="BM1163" s="1">
        <v>0</v>
      </c>
      <c r="BN1163" s="1">
        <v>0</v>
      </c>
      <c r="BO1163" s="1">
        <v>0</v>
      </c>
      <c r="BP1163" s="1">
        <v>0</v>
      </c>
      <c r="BQ1163" s="1" t="s">
        <v>104</v>
      </c>
      <c r="BR1163" s="1">
        <v>1206</v>
      </c>
      <c r="BS1163" s="1" t="s">
        <v>104</v>
      </c>
      <c r="BX1163" s="1">
        <v>0</v>
      </c>
      <c r="BY1163" s="1" t="s">
        <v>104</v>
      </c>
      <c r="BZ1163" s="1" t="s">
        <v>104</v>
      </c>
      <c r="CA1163" s="1" t="s">
        <v>104</v>
      </c>
      <c r="CB1163" s="1" t="s">
        <v>104</v>
      </c>
      <c r="CC1163" s="1" t="s">
        <v>104</v>
      </c>
      <c r="CD1163" s="1" t="s">
        <v>104</v>
      </c>
      <c r="CE1163" s="1" t="s">
        <v>104</v>
      </c>
      <c r="CF1163" s="1" t="s">
        <v>104</v>
      </c>
      <c r="CG1163" s="1" t="s">
        <v>104</v>
      </c>
      <c r="CH1163" s="1">
        <v>3</v>
      </c>
      <c r="CJ1163" s="1">
        <v>0</v>
      </c>
      <c r="CK1163" s="1">
        <v>0</v>
      </c>
      <c r="CL1163" s="1">
        <v>0</v>
      </c>
      <c r="CM1163" s="1" t="s">
        <v>104</v>
      </c>
    </row>
    <row r="1164" spans="1:91" ht="14.25" customHeight="1" x14ac:dyDescent="0.3">
      <c r="A1164" s="1" t="s">
        <v>6983</v>
      </c>
      <c r="B1164" s="1" t="s">
        <v>434</v>
      </c>
      <c r="D1164" s="1" t="s">
        <v>44</v>
      </c>
      <c r="E1164" s="1" t="s">
        <v>6984</v>
      </c>
      <c r="F1164" s="1" t="s">
        <v>95</v>
      </c>
      <c r="G1164" s="1" t="s">
        <v>6985</v>
      </c>
      <c r="H1164" s="1">
        <v>0</v>
      </c>
      <c r="I1164" s="1" t="s">
        <v>117</v>
      </c>
      <c r="L1164" s="1" t="s">
        <v>1180</v>
      </c>
      <c r="M1164" s="1" t="s">
        <v>6986</v>
      </c>
      <c r="N1164" s="1">
        <v>1</v>
      </c>
      <c r="O1164" s="1">
        <v>0</v>
      </c>
      <c r="P1164" s="1" t="s">
        <v>375</v>
      </c>
      <c r="Q1164" s="1" t="s">
        <v>184</v>
      </c>
      <c r="R1164" s="1" t="s">
        <v>6987</v>
      </c>
      <c r="S1164" s="1" t="s">
        <v>6988</v>
      </c>
      <c r="T1164" s="1">
        <v>1</v>
      </c>
      <c r="U1164" s="1">
        <v>1</v>
      </c>
      <c r="V1164" s="1">
        <v>1</v>
      </c>
      <c r="W1164" s="1">
        <v>0</v>
      </c>
      <c r="X1164" s="1">
        <v>0</v>
      </c>
      <c r="Y1164" s="1">
        <v>0</v>
      </c>
      <c r="Z1164" s="1">
        <v>0</v>
      </c>
      <c r="AA1164" s="1" t="s">
        <v>104</v>
      </c>
      <c r="AB1164" s="1" t="s">
        <v>104</v>
      </c>
      <c r="AC1164" s="1" t="s">
        <v>104</v>
      </c>
      <c r="AD1164" s="1" t="s">
        <v>104</v>
      </c>
      <c r="AE1164" s="1" t="s">
        <v>104</v>
      </c>
      <c r="AF1164" s="1" t="s">
        <v>104</v>
      </c>
      <c r="AG1164" s="1" t="s">
        <v>104</v>
      </c>
      <c r="AH1164" s="1" t="s">
        <v>104</v>
      </c>
      <c r="AI1164" s="1" t="s">
        <v>104</v>
      </c>
      <c r="AJ1164" s="1" t="s">
        <v>104</v>
      </c>
      <c r="AK1164" s="1" t="s">
        <v>104</v>
      </c>
      <c r="AL1164" s="1" t="s">
        <v>104</v>
      </c>
      <c r="AM1164" s="1" t="s">
        <v>104</v>
      </c>
      <c r="AO1164" s="1">
        <v>0</v>
      </c>
      <c r="AR1164" s="1">
        <v>0</v>
      </c>
      <c r="AS1164" s="1">
        <v>1</v>
      </c>
      <c r="AT1164" s="1">
        <v>0</v>
      </c>
      <c r="AU1164" s="1">
        <v>0</v>
      </c>
      <c r="AV1164" s="1">
        <v>0</v>
      </c>
      <c r="AW1164" s="1">
        <v>0</v>
      </c>
      <c r="AX1164" s="1">
        <v>0</v>
      </c>
      <c r="AY1164" s="1">
        <v>0</v>
      </c>
      <c r="AZ1164" s="1">
        <v>0</v>
      </c>
      <c r="BA1164" s="1">
        <v>0</v>
      </c>
      <c r="BB1164" s="1">
        <v>0</v>
      </c>
      <c r="BC1164" s="1">
        <v>0</v>
      </c>
      <c r="BD1164" s="1">
        <v>0</v>
      </c>
      <c r="BE1164" s="1">
        <v>0</v>
      </c>
      <c r="BF1164" s="1">
        <v>0</v>
      </c>
      <c r="BG1164" s="1">
        <v>0</v>
      </c>
      <c r="BH1164" s="1">
        <v>0</v>
      </c>
      <c r="BI1164" s="1">
        <v>0</v>
      </c>
      <c r="BJ1164" s="1">
        <v>0</v>
      </c>
      <c r="BK1164" s="1">
        <v>0</v>
      </c>
      <c r="BL1164" s="1">
        <v>0</v>
      </c>
      <c r="BM1164" s="1">
        <v>0</v>
      </c>
      <c r="BN1164" s="1">
        <v>0</v>
      </c>
      <c r="BO1164" s="1">
        <v>0</v>
      </c>
      <c r="BP1164" s="1">
        <v>0</v>
      </c>
      <c r="BQ1164" s="1" t="s">
        <v>104</v>
      </c>
      <c r="BR1164" s="1">
        <v>1207</v>
      </c>
      <c r="BS1164" s="1" t="s">
        <v>104</v>
      </c>
      <c r="BX1164" s="1">
        <v>0</v>
      </c>
      <c r="BY1164" s="1" t="s">
        <v>104</v>
      </c>
      <c r="BZ1164" s="1" t="s">
        <v>104</v>
      </c>
      <c r="CA1164" s="1" t="s">
        <v>104</v>
      </c>
      <c r="CB1164" s="1" t="s">
        <v>104</v>
      </c>
      <c r="CC1164" s="1" t="s">
        <v>104</v>
      </c>
      <c r="CD1164" s="1" t="s">
        <v>104</v>
      </c>
      <c r="CE1164" s="1" t="s">
        <v>104</v>
      </c>
      <c r="CF1164" s="1" t="s">
        <v>104</v>
      </c>
      <c r="CG1164" s="1" t="s">
        <v>104</v>
      </c>
      <c r="CH1164" s="1" t="s">
        <v>104</v>
      </c>
      <c r="CJ1164" s="1">
        <v>0</v>
      </c>
      <c r="CK1164" s="1">
        <v>0</v>
      </c>
      <c r="CL1164" s="1">
        <v>0</v>
      </c>
      <c r="CM1164" s="1" t="s">
        <v>104</v>
      </c>
    </row>
    <row r="1165" spans="1:91" ht="14.25" customHeight="1" x14ac:dyDescent="0.3">
      <c r="A1165" s="1" t="s">
        <v>6989</v>
      </c>
      <c r="B1165" s="1" t="s">
        <v>92</v>
      </c>
      <c r="C1165" s="1" t="s">
        <v>93</v>
      </c>
      <c r="D1165" s="1" t="s">
        <v>67</v>
      </c>
      <c r="E1165" s="1" t="s">
        <v>6984</v>
      </c>
      <c r="F1165" s="1" t="s">
        <v>95</v>
      </c>
      <c r="G1165" s="1" t="s">
        <v>116</v>
      </c>
      <c r="H1165" s="1">
        <v>0</v>
      </c>
      <c r="I1165" s="1" t="s">
        <v>117</v>
      </c>
      <c r="L1165" s="1" t="s">
        <v>6990</v>
      </c>
      <c r="M1165" s="1" t="s">
        <v>255</v>
      </c>
      <c r="N1165" s="1">
        <v>0</v>
      </c>
      <c r="O1165" s="1">
        <v>0</v>
      </c>
      <c r="P1165" s="1" t="s">
        <v>3813</v>
      </c>
      <c r="Q1165" s="1" t="s">
        <v>472</v>
      </c>
      <c r="R1165" s="1" t="s">
        <v>6991</v>
      </c>
      <c r="S1165" s="1" t="s">
        <v>6988</v>
      </c>
      <c r="T1165" s="1">
        <v>1</v>
      </c>
      <c r="U1165" s="1">
        <v>1</v>
      </c>
      <c r="V1165" s="1">
        <v>0</v>
      </c>
      <c r="W1165" s="1">
        <v>0</v>
      </c>
      <c r="X1165" s="1">
        <v>0</v>
      </c>
      <c r="Y1165" s="1">
        <v>0</v>
      </c>
      <c r="Z1165" s="1">
        <v>0</v>
      </c>
      <c r="AA1165" s="1" t="s">
        <v>104</v>
      </c>
      <c r="AB1165" s="1" t="s">
        <v>104</v>
      </c>
      <c r="AC1165" s="1" t="s">
        <v>104</v>
      </c>
      <c r="AD1165" s="1" t="s">
        <v>104</v>
      </c>
      <c r="AE1165" s="1" t="s">
        <v>104</v>
      </c>
      <c r="AF1165" s="1" t="s">
        <v>104</v>
      </c>
      <c r="AG1165" s="1" t="s">
        <v>104</v>
      </c>
      <c r="AH1165" s="1" t="s">
        <v>104</v>
      </c>
      <c r="AI1165" s="1" t="s">
        <v>104</v>
      </c>
      <c r="AJ1165" s="1" t="s">
        <v>104</v>
      </c>
      <c r="AK1165" s="1" t="s">
        <v>104</v>
      </c>
      <c r="AL1165" s="1" t="s">
        <v>104</v>
      </c>
      <c r="AM1165" s="1" t="s">
        <v>104</v>
      </c>
      <c r="AO1165" s="1">
        <v>0</v>
      </c>
      <c r="AR1165" s="1">
        <v>0</v>
      </c>
      <c r="AS1165" s="1">
        <v>0</v>
      </c>
      <c r="AT1165" s="1">
        <v>0</v>
      </c>
      <c r="AU1165" s="1">
        <v>0</v>
      </c>
      <c r="AV1165" s="1">
        <v>0</v>
      </c>
      <c r="AW1165" s="1">
        <v>0</v>
      </c>
      <c r="AX1165" s="1">
        <v>0</v>
      </c>
      <c r="AY1165" s="1">
        <v>0</v>
      </c>
      <c r="AZ1165" s="1">
        <v>0</v>
      </c>
      <c r="BA1165" s="1">
        <v>0</v>
      </c>
      <c r="BB1165" s="1">
        <v>0</v>
      </c>
      <c r="BC1165" s="1">
        <v>0</v>
      </c>
      <c r="BD1165" s="1">
        <v>0</v>
      </c>
      <c r="BE1165" s="1">
        <v>0</v>
      </c>
      <c r="BF1165" s="1">
        <v>0</v>
      </c>
      <c r="BG1165" s="1">
        <v>0</v>
      </c>
      <c r="BH1165" s="1">
        <v>0</v>
      </c>
      <c r="BI1165" s="1">
        <v>0</v>
      </c>
      <c r="BJ1165" s="1">
        <v>0</v>
      </c>
      <c r="BK1165" s="1">
        <v>0</v>
      </c>
      <c r="BL1165" s="1">
        <v>0</v>
      </c>
      <c r="BM1165" s="1">
        <v>0</v>
      </c>
      <c r="BN1165" s="1">
        <v>0</v>
      </c>
      <c r="BO1165" s="1">
        <v>0</v>
      </c>
      <c r="BP1165" s="1">
        <v>1</v>
      </c>
      <c r="BQ1165" s="1" t="s">
        <v>104</v>
      </c>
      <c r="BR1165" s="1">
        <v>1208</v>
      </c>
      <c r="BS1165" s="1" t="s">
        <v>104</v>
      </c>
      <c r="BX1165" s="1">
        <v>0</v>
      </c>
      <c r="BY1165" s="1" t="s">
        <v>104</v>
      </c>
      <c r="BZ1165" s="1" t="s">
        <v>104</v>
      </c>
      <c r="CA1165" s="1" t="s">
        <v>104</v>
      </c>
      <c r="CB1165" s="1" t="s">
        <v>104</v>
      </c>
      <c r="CC1165" s="1" t="s">
        <v>104</v>
      </c>
      <c r="CD1165" s="1" t="s">
        <v>104</v>
      </c>
      <c r="CE1165" s="1" t="s">
        <v>104</v>
      </c>
      <c r="CF1165" s="1" t="s">
        <v>104</v>
      </c>
      <c r="CG1165" s="1" t="s">
        <v>104</v>
      </c>
      <c r="CH1165" s="1" t="s">
        <v>104</v>
      </c>
      <c r="CJ1165" s="1">
        <v>0</v>
      </c>
      <c r="CK1165" s="1">
        <v>0</v>
      </c>
      <c r="CL1165" s="1">
        <v>0</v>
      </c>
      <c r="CM1165" s="1" t="s">
        <v>104</v>
      </c>
    </row>
    <row r="1166" spans="1:91" ht="14.25" customHeight="1" x14ac:dyDescent="0.3">
      <c r="A1166" s="1" t="s">
        <v>6992</v>
      </c>
      <c r="B1166" s="1" t="s">
        <v>137</v>
      </c>
      <c r="D1166" s="1" t="s">
        <v>52</v>
      </c>
      <c r="E1166" s="1" t="s">
        <v>6984</v>
      </c>
      <c r="F1166" s="1" t="s">
        <v>95</v>
      </c>
      <c r="G1166" s="1" t="s">
        <v>116</v>
      </c>
      <c r="H1166" s="1">
        <v>0</v>
      </c>
      <c r="I1166" s="1" t="s">
        <v>117</v>
      </c>
      <c r="K1166" s="1" t="s">
        <v>6993</v>
      </c>
      <c r="M1166" s="1" t="s">
        <v>119</v>
      </c>
      <c r="N1166" s="1">
        <v>0</v>
      </c>
      <c r="O1166" s="1">
        <v>0</v>
      </c>
      <c r="P1166" s="1" t="s">
        <v>100</v>
      </c>
      <c r="Q1166" s="1" t="s">
        <v>6994</v>
      </c>
      <c r="R1166" s="1" t="s">
        <v>6995</v>
      </c>
      <c r="S1166" s="1" t="s">
        <v>6988</v>
      </c>
      <c r="T1166" s="1">
        <v>1</v>
      </c>
      <c r="U1166" s="1">
        <v>1</v>
      </c>
      <c r="V1166" s="1">
        <v>0</v>
      </c>
      <c r="W1166" s="1">
        <v>0</v>
      </c>
      <c r="X1166" s="1">
        <v>0</v>
      </c>
      <c r="Y1166" s="1">
        <v>0</v>
      </c>
      <c r="Z1166" s="1">
        <v>0</v>
      </c>
      <c r="AA1166" s="1" t="s">
        <v>104</v>
      </c>
      <c r="AB1166" s="1" t="s">
        <v>104</v>
      </c>
      <c r="AC1166" s="1" t="s">
        <v>104</v>
      </c>
      <c r="AD1166" s="1" t="s">
        <v>104</v>
      </c>
      <c r="AE1166" s="1" t="s">
        <v>104</v>
      </c>
      <c r="AF1166" s="1" t="s">
        <v>104</v>
      </c>
      <c r="AG1166" s="1" t="s">
        <v>104</v>
      </c>
      <c r="AH1166" s="1" t="s">
        <v>104</v>
      </c>
      <c r="AI1166" s="1" t="s">
        <v>104</v>
      </c>
      <c r="AJ1166" s="1" t="s">
        <v>104</v>
      </c>
      <c r="AK1166" s="1" t="s">
        <v>104</v>
      </c>
      <c r="AL1166" s="1" t="s">
        <v>104</v>
      </c>
      <c r="AM1166" s="1" t="s">
        <v>104</v>
      </c>
      <c r="AO1166" s="1">
        <v>0</v>
      </c>
      <c r="AR1166" s="1">
        <v>0</v>
      </c>
      <c r="AS1166" s="1">
        <v>0</v>
      </c>
      <c r="AT1166" s="1">
        <v>0</v>
      </c>
      <c r="AU1166" s="1">
        <v>0</v>
      </c>
      <c r="AV1166" s="1">
        <v>0</v>
      </c>
      <c r="AW1166" s="1">
        <v>0</v>
      </c>
      <c r="AX1166" s="1">
        <v>0</v>
      </c>
      <c r="AY1166" s="1">
        <v>0</v>
      </c>
      <c r="AZ1166" s="1">
        <v>0</v>
      </c>
      <c r="BA1166" s="1">
        <v>1</v>
      </c>
      <c r="BB1166" s="1">
        <v>0</v>
      </c>
      <c r="BC1166" s="1">
        <v>0</v>
      </c>
      <c r="BD1166" s="1">
        <v>0</v>
      </c>
      <c r="BE1166" s="1">
        <v>0</v>
      </c>
      <c r="BF1166" s="1">
        <v>0</v>
      </c>
      <c r="BG1166" s="1">
        <v>0</v>
      </c>
      <c r="BH1166" s="1">
        <v>0</v>
      </c>
      <c r="BI1166" s="1">
        <v>0</v>
      </c>
      <c r="BJ1166" s="1">
        <v>0</v>
      </c>
      <c r="BK1166" s="1">
        <v>0</v>
      </c>
      <c r="BL1166" s="1">
        <v>0</v>
      </c>
      <c r="BM1166" s="1">
        <v>0</v>
      </c>
      <c r="BN1166" s="1">
        <v>0</v>
      </c>
      <c r="BO1166" s="1">
        <v>0</v>
      </c>
      <c r="BP1166" s="1">
        <v>0</v>
      </c>
      <c r="BQ1166" s="1" t="s">
        <v>104</v>
      </c>
      <c r="BR1166" s="1">
        <v>1209</v>
      </c>
      <c r="BS1166" s="1" t="s">
        <v>104</v>
      </c>
      <c r="BX1166" s="1">
        <v>0</v>
      </c>
      <c r="BY1166" s="1" t="s">
        <v>104</v>
      </c>
      <c r="BZ1166" s="1" t="s">
        <v>104</v>
      </c>
      <c r="CA1166" s="1" t="s">
        <v>104</v>
      </c>
      <c r="CB1166" s="1" t="s">
        <v>104</v>
      </c>
      <c r="CC1166" s="1" t="s">
        <v>104</v>
      </c>
      <c r="CD1166" s="1" t="s">
        <v>104</v>
      </c>
      <c r="CE1166" s="1" t="s">
        <v>104</v>
      </c>
      <c r="CF1166" s="1" t="s">
        <v>104</v>
      </c>
      <c r="CG1166" s="1" t="s">
        <v>104</v>
      </c>
      <c r="CH1166" s="1" t="s">
        <v>104</v>
      </c>
      <c r="CJ1166" s="1">
        <v>0</v>
      </c>
      <c r="CK1166" s="1">
        <v>0</v>
      </c>
      <c r="CL1166" s="1">
        <v>0</v>
      </c>
      <c r="CM1166" s="1" t="s">
        <v>104</v>
      </c>
    </row>
    <row r="1167" spans="1:91" ht="14.25" customHeight="1" x14ac:dyDescent="0.3">
      <c r="A1167" s="1" t="s">
        <v>6996</v>
      </c>
      <c r="B1167" s="1" t="s">
        <v>434</v>
      </c>
      <c r="D1167" s="1" t="s">
        <v>48</v>
      </c>
      <c r="E1167" s="1" t="s">
        <v>6984</v>
      </c>
      <c r="F1167" s="1" t="s">
        <v>95</v>
      </c>
      <c r="G1167" s="1" t="s">
        <v>6997</v>
      </c>
      <c r="H1167" s="1">
        <v>0</v>
      </c>
      <c r="I1167" s="1" t="s">
        <v>128</v>
      </c>
      <c r="L1167" s="1" t="s">
        <v>2630</v>
      </c>
      <c r="M1167" s="1" t="s">
        <v>4992</v>
      </c>
      <c r="N1167" s="1">
        <v>1</v>
      </c>
      <c r="O1167" s="1">
        <v>0</v>
      </c>
      <c r="P1167" s="1" t="s">
        <v>375</v>
      </c>
      <c r="Q1167" s="1" t="s">
        <v>184</v>
      </c>
      <c r="R1167" s="1" t="s">
        <v>6998</v>
      </c>
      <c r="S1167" s="1" t="s">
        <v>6988</v>
      </c>
      <c r="T1167" s="1">
        <v>1</v>
      </c>
      <c r="U1167" s="1">
        <v>1</v>
      </c>
      <c r="V1167" s="1">
        <v>1</v>
      </c>
      <c r="W1167" s="1">
        <v>0</v>
      </c>
      <c r="X1167" s="1">
        <v>0</v>
      </c>
      <c r="Y1167" s="1">
        <v>0</v>
      </c>
      <c r="Z1167" s="1">
        <v>0</v>
      </c>
      <c r="AA1167" s="1" t="s">
        <v>104</v>
      </c>
      <c r="AB1167" s="1" t="s">
        <v>104</v>
      </c>
      <c r="AC1167" s="1" t="s">
        <v>104</v>
      </c>
      <c r="AD1167" s="1" t="s">
        <v>104</v>
      </c>
      <c r="AE1167" s="1" t="s">
        <v>104</v>
      </c>
      <c r="AF1167" s="1" t="s">
        <v>104</v>
      </c>
      <c r="AG1167" s="1" t="s">
        <v>104</v>
      </c>
      <c r="AH1167" s="1" t="s">
        <v>104</v>
      </c>
      <c r="AI1167" s="1" t="s">
        <v>104</v>
      </c>
      <c r="AJ1167" s="1" t="s">
        <v>104</v>
      </c>
      <c r="AK1167" s="1" t="s">
        <v>104</v>
      </c>
      <c r="AL1167" s="1" t="s">
        <v>104</v>
      </c>
      <c r="AM1167" s="1" t="s">
        <v>104</v>
      </c>
      <c r="AO1167" s="1">
        <v>0</v>
      </c>
      <c r="AR1167" s="1">
        <v>0</v>
      </c>
      <c r="AS1167" s="1">
        <v>0</v>
      </c>
      <c r="AT1167" s="1">
        <v>0</v>
      </c>
      <c r="AU1167" s="1">
        <v>0</v>
      </c>
      <c r="AV1167" s="1">
        <v>0</v>
      </c>
      <c r="AW1167" s="1">
        <v>1</v>
      </c>
      <c r="AX1167" s="1">
        <v>0</v>
      </c>
      <c r="AY1167" s="1">
        <v>0</v>
      </c>
      <c r="AZ1167" s="1">
        <v>0</v>
      </c>
      <c r="BA1167" s="1">
        <v>0</v>
      </c>
      <c r="BB1167" s="1">
        <v>0</v>
      </c>
      <c r="BC1167" s="1">
        <v>0</v>
      </c>
      <c r="BD1167" s="1">
        <v>0</v>
      </c>
      <c r="BE1167" s="1">
        <v>0</v>
      </c>
      <c r="BF1167" s="1">
        <v>0</v>
      </c>
      <c r="BG1167" s="1">
        <v>0</v>
      </c>
      <c r="BH1167" s="1">
        <v>0</v>
      </c>
      <c r="BI1167" s="1">
        <v>0</v>
      </c>
      <c r="BJ1167" s="1">
        <v>0</v>
      </c>
      <c r="BK1167" s="1">
        <v>0</v>
      </c>
      <c r="BL1167" s="1">
        <v>0</v>
      </c>
      <c r="BM1167" s="1">
        <v>0</v>
      </c>
      <c r="BN1167" s="1">
        <v>0</v>
      </c>
      <c r="BO1167" s="1">
        <v>0</v>
      </c>
      <c r="BP1167" s="1">
        <v>0</v>
      </c>
      <c r="BQ1167" s="1" t="s">
        <v>104</v>
      </c>
      <c r="BR1167" s="1">
        <v>1210</v>
      </c>
      <c r="BS1167" s="1" t="s">
        <v>104</v>
      </c>
      <c r="BX1167" s="1">
        <v>0</v>
      </c>
      <c r="BY1167" s="1" t="s">
        <v>104</v>
      </c>
      <c r="BZ1167" s="1" t="s">
        <v>104</v>
      </c>
      <c r="CA1167" s="1" t="s">
        <v>104</v>
      </c>
      <c r="CB1167" s="1" t="s">
        <v>104</v>
      </c>
      <c r="CC1167" s="1" t="s">
        <v>104</v>
      </c>
      <c r="CD1167" s="1" t="s">
        <v>104</v>
      </c>
      <c r="CE1167" s="1" t="s">
        <v>104</v>
      </c>
      <c r="CF1167" s="1" t="s">
        <v>104</v>
      </c>
      <c r="CG1167" s="1" t="s">
        <v>104</v>
      </c>
      <c r="CH1167" s="1" t="s">
        <v>104</v>
      </c>
      <c r="CJ1167" s="1">
        <v>0</v>
      </c>
      <c r="CK1167" s="1">
        <v>0</v>
      </c>
      <c r="CL1167" s="1">
        <v>0</v>
      </c>
      <c r="CM1167" s="1" t="s">
        <v>104</v>
      </c>
    </row>
    <row r="1168" spans="1:91" ht="14.25" customHeight="1" x14ac:dyDescent="0.3">
      <c r="A1168" s="1" t="s">
        <v>6999</v>
      </c>
      <c r="B1168" s="1" t="s">
        <v>137</v>
      </c>
      <c r="D1168" s="1" t="s">
        <v>51</v>
      </c>
      <c r="E1168" s="1" t="s">
        <v>6984</v>
      </c>
      <c r="F1168" s="1" t="s">
        <v>95</v>
      </c>
      <c r="G1168" s="1" t="s">
        <v>2306</v>
      </c>
      <c r="H1168" s="1">
        <v>0</v>
      </c>
      <c r="I1168" s="1" t="s">
        <v>128</v>
      </c>
      <c r="L1168" s="1" t="s">
        <v>374</v>
      </c>
      <c r="M1168" s="1" t="s">
        <v>7000</v>
      </c>
      <c r="N1168" s="1">
        <v>1</v>
      </c>
      <c r="O1168" s="1">
        <v>0</v>
      </c>
      <c r="P1168" s="1" t="s">
        <v>375</v>
      </c>
      <c r="Q1168" s="1" t="s">
        <v>184</v>
      </c>
      <c r="R1168" s="1" t="s">
        <v>7001</v>
      </c>
      <c r="S1168" s="1" t="s">
        <v>6988</v>
      </c>
      <c r="T1168" s="1">
        <v>1</v>
      </c>
      <c r="U1168" s="1">
        <v>1</v>
      </c>
      <c r="V1168" s="1">
        <v>1</v>
      </c>
      <c r="W1168" s="1">
        <v>0</v>
      </c>
      <c r="X1168" s="1">
        <v>0</v>
      </c>
      <c r="Y1168" s="1">
        <v>0</v>
      </c>
      <c r="Z1168" s="1">
        <v>0</v>
      </c>
      <c r="AA1168" s="1" t="s">
        <v>104</v>
      </c>
      <c r="AB1168" s="1" t="s">
        <v>104</v>
      </c>
      <c r="AC1168" s="1" t="s">
        <v>104</v>
      </c>
      <c r="AD1168" s="1" t="s">
        <v>104</v>
      </c>
      <c r="AE1168" s="1" t="s">
        <v>104</v>
      </c>
      <c r="AF1168" s="1" t="s">
        <v>104</v>
      </c>
      <c r="AG1168" s="1" t="s">
        <v>104</v>
      </c>
      <c r="AH1168" s="1" t="s">
        <v>104</v>
      </c>
      <c r="AI1168" s="1" t="s">
        <v>104</v>
      </c>
      <c r="AJ1168" s="1" t="s">
        <v>104</v>
      </c>
      <c r="AK1168" s="1" t="s">
        <v>104</v>
      </c>
      <c r="AL1168" s="1" t="s">
        <v>104</v>
      </c>
      <c r="AM1168" s="1" t="s">
        <v>104</v>
      </c>
      <c r="AO1168" s="1">
        <v>0</v>
      </c>
      <c r="AR1168" s="1">
        <v>0</v>
      </c>
      <c r="AS1168" s="1">
        <v>0</v>
      </c>
      <c r="AT1168" s="1">
        <v>0</v>
      </c>
      <c r="AU1168" s="1">
        <v>0</v>
      </c>
      <c r="AV1168" s="1">
        <v>0</v>
      </c>
      <c r="AW1168" s="1">
        <v>0</v>
      </c>
      <c r="AX1168" s="1">
        <v>0</v>
      </c>
      <c r="AY1168" s="1">
        <v>0</v>
      </c>
      <c r="AZ1168" s="1">
        <v>1</v>
      </c>
      <c r="BA1168" s="1">
        <v>0</v>
      </c>
      <c r="BB1168" s="1">
        <v>0</v>
      </c>
      <c r="BC1168" s="1">
        <v>0</v>
      </c>
      <c r="BD1168" s="1">
        <v>0</v>
      </c>
      <c r="BE1168" s="1">
        <v>0</v>
      </c>
      <c r="BF1168" s="1">
        <v>0</v>
      </c>
      <c r="BG1168" s="1">
        <v>0</v>
      </c>
      <c r="BH1168" s="1">
        <v>0</v>
      </c>
      <c r="BI1168" s="1">
        <v>0</v>
      </c>
      <c r="BJ1168" s="1">
        <v>0</v>
      </c>
      <c r="BK1168" s="1">
        <v>0</v>
      </c>
      <c r="BL1168" s="1">
        <v>0</v>
      </c>
      <c r="BM1168" s="1">
        <v>0</v>
      </c>
      <c r="BN1168" s="1">
        <v>0</v>
      </c>
      <c r="BO1168" s="1">
        <v>0</v>
      </c>
      <c r="BP1168" s="1">
        <v>0</v>
      </c>
      <c r="BQ1168" s="1" t="s">
        <v>104</v>
      </c>
      <c r="BR1168" s="1">
        <v>1211</v>
      </c>
      <c r="BS1168" s="1" t="s">
        <v>104</v>
      </c>
      <c r="BX1168" s="1">
        <v>0</v>
      </c>
      <c r="BY1168" s="1" t="s">
        <v>104</v>
      </c>
      <c r="BZ1168" s="1" t="s">
        <v>104</v>
      </c>
      <c r="CA1168" s="1" t="s">
        <v>104</v>
      </c>
      <c r="CB1168" s="1" t="s">
        <v>104</v>
      </c>
      <c r="CC1168" s="1" t="s">
        <v>104</v>
      </c>
      <c r="CD1168" s="1" t="s">
        <v>104</v>
      </c>
      <c r="CE1168" s="1" t="s">
        <v>104</v>
      </c>
      <c r="CF1168" s="1" t="s">
        <v>104</v>
      </c>
      <c r="CG1168" s="1" t="s">
        <v>104</v>
      </c>
      <c r="CH1168" s="1" t="s">
        <v>104</v>
      </c>
      <c r="CJ1168" s="1">
        <v>0</v>
      </c>
      <c r="CK1168" s="1">
        <v>0</v>
      </c>
      <c r="CL1168" s="1">
        <v>0</v>
      </c>
      <c r="CM1168" s="1" t="s">
        <v>104</v>
      </c>
    </row>
    <row r="1169" spans="1:91" ht="14.25" customHeight="1" x14ac:dyDescent="0.3">
      <c r="A1169" s="1" t="s">
        <v>7002</v>
      </c>
      <c r="B1169" s="1" t="s">
        <v>434</v>
      </c>
      <c r="D1169" s="1" t="s">
        <v>57</v>
      </c>
      <c r="E1169" s="1" t="s">
        <v>6984</v>
      </c>
      <c r="F1169" s="1" t="s">
        <v>95</v>
      </c>
      <c r="G1169" s="1" t="s">
        <v>116</v>
      </c>
      <c r="H1169" s="1">
        <v>0</v>
      </c>
      <c r="I1169" s="1" t="s">
        <v>117</v>
      </c>
      <c r="K1169" s="1" t="s">
        <v>7003</v>
      </c>
      <c r="N1169" s="1">
        <v>0</v>
      </c>
      <c r="O1169" s="1">
        <v>0</v>
      </c>
      <c r="P1169" s="1" t="s">
        <v>100</v>
      </c>
      <c r="Q1169" s="1" t="s">
        <v>184</v>
      </c>
      <c r="R1169" s="1" t="s">
        <v>7004</v>
      </c>
      <c r="S1169" s="1" t="s">
        <v>6988</v>
      </c>
      <c r="T1169" s="1">
        <v>1</v>
      </c>
      <c r="U1169" s="1">
        <v>1</v>
      </c>
      <c r="V1169" s="1">
        <v>0</v>
      </c>
      <c r="W1169" s="1">
        <v>0</v>
      </c>
      <c r="X1169" s="1">
        <v>0</v>
      </c>
      <c r="Y1169" s="1">
        <v>0</v>
      </c>
      <c r="Z1169" s="1">
        <v>0</v>
      </c>
      <c r="AA1169" s="1" t="s">
        <v>104</v>
      </c>
      <c r="AB1169" s="1" t="s">
        <v>104</v>
      </c>
      <c r="AC1169" s="1" t="s">
        <v>104</v>
      </c>
      <c r="AD1169" s="1" t="s">
        <v>104</v>
      </c>
      <c r="AE1169" s="1" t="s">
        <v>104</v>
      </c>
      <c r="AF1169" s="1" t="s">
        <v>104</v>
      </c>
      <c r="AG1169" s="1" t="s">
        <v>104</v>
      </c>
      <c r="AH1169" s="1" t="s">
        <v>104</v>
      </c>
      <c r="AI1169" s="1" t="s">
        <v>104</v>
      </c>
      <c r="AJ1169" s="1" t="s">
        <v>104</v>
      </c>
      <c r="AK1169" s="1" t="s">
        <v>104</v>
      </c>
      <c r="AL1169" s="1" t="s">
        <v>104</v>
      </c>
      <c r="AM1169" s="1" t="s">
        <v>104</v>
      </c>
      <c r="AO1169" s="1">
        <v>0</v>
      </c>
      <c r="AR1169" s="1">
        <v>0</v>
      </c>
      <c r="AS1169" s="1">
        <v>0</v>
      </c>
      <c r="AT1169" s="1">
        <v>0</v>
      </c>
      <c r="AU1169" s="1">
        <v>0</v>
      </c>
      <c r="AV1169" s="1">
        <v>0</v>
      </c>
      <c r="AW1169" s="1">
        <v>0</v>
      </c>
      <c r="AX1169" s="1">
        <v>0</v>
      </c>
      <c r="AY1169" s="1">
        <v>0</v>
      </c>
      <c r="AZ1169" s="1">
        <v>0</v>
      </c>
      <c r="BA1169" s="1">
        <v>0</v>
      </c>
      <c r="BB1169" s="1">
        <v>0</v>
      </c>
      <c r="BC1169" s="1">
        <v>0</v>
      </c>
      <c r="BD1169" s="1">
        <v>0</v>
      </c>
      <c r="BE1169" s="1">
        <v>0</v>
      </c>
      <c r="BF1169" s="1">
        <v>1</v>
      </c>
      <c r="BG1169" s="1">
        <v>0</v>
      </c>
      <c r="BH1169" s="1">
        <v>0</v>
      </c>
      <c r="BI1169" s="1">
        <v>0</v>
      </c>
      <c r="BJ1169" s="1">
        <v>0</v>
      </c>
      <c r="BK1169" s="1">
        <v>0</v>
      </c>
      <c r="BL1169" s="1">
        <v>0</v>
      </c>
      <c r="BM1169" s="1">
        <v>0</v>
      </c>
      <c r="BN1169" s="1">
        <v>0</v>
      </c>
      <c r="BO1169" s="1">
        <v>0</v>
      </c>
      <c r="BP1169" s="1">
        <v>0</v>
      </c>
      <c r="BQ1169" s="1" t="s">
        <v>104</v>
      </c>
      <c r="BR1169" s="1">
        <v>1212</v>
      </c>
      <c r="BS1169" s="1" t="s">
        <v>104</v>
      </c>
      <c r="BX1169" s="1">
        <v>0</v>
      </c>
      <c r="BY1169" s="1" t="s">
        <v>104</v>
      </c>
      <c r="BZ1169" s="1" t="s">
        <v>104</v>
      </c>
      <c r="CA1169" s="1" t="s">
        <v>104</v>
      </c>
      <c r="CB1169" s="1" t="s">
        <v>104</v>
      </c>
      <c r="CC1169" s="1" t="s">
        <v>104</v>
      </c>
      <c r="CD1169" s="1" t="s">
        <v>104</v>
      </c>
      <c r="CE1169" s="1" t="s">
        <v>104</v>
      </c>
      <c r="CF1169" s="1" t="s">
        <v>104</v>
      </c>
      <c r="CG1169" s="1" t="s">
        <v>104</v>
      </c>
      <c r="CH1169" s="1" t="s">
        <v>104</v>
      </c>
      <c r="CJ1169" s="1">
        <v>0</v>
      </c>
      <c r="CK1169" s="1">
        <v>0</v>
      </c>
      <c r="CL1169" s="1">
        <v>0</v>
      </c>
      <c r="CM1169" s="1" t="s">
        <v>104</v>
      </c>
    </row>
    <row r="1170" spans="1:91" ht="14.25" customHeight="1" x14ac:dyDescent="0.3">
      <c r="A1170" s="1" t="s">
        <v>7005</v>
      </c>
      <c r="B1170" s="1" t="s">
        <v>507</v>
      </c>
      <c r="C1170" s="1" t="s">
        <v>720</v>
      </c>
      <c r="E1170" s="1" t="s">
        <v>4347</v>
      </c>
      <c r="F1170" s="1" t="s">
        <v>4934</v>
      </c>
      <c r="G1170" s="1" t="s">
        <v>116</v>
      </c>
      <c r="H1170" s="1">
        <v>0</v>
      </c>
      <c r="I1170" s="1" t="s">
        <v>128</v>
      </c>
      <c r="L1170" s="1" t="s">
        <v>7006</v>
      </c>
      <c r="M1170" s="1" t="s">
        <v>2330</v>
      </c>
      <c r="N1170" s="1">
        <v>0</v>
      </c>
      <c r="O1170" s="1">
        <v>0</v>
      </c>
      <c r="P1170" s="1" t="s">
        <v>1902</v>
      </c>
      <c r="Q1170" s="1" t="s">
        <v>149</v>
      </c>
      <c r="R1170" s="1" t="s">
        <v>7007</v>
      </c>
      <c r="S1170" s="1" t="s">
        <v>6980</v>
      </c>
      <c r="T1170" s="1">
        <v>1</v>
      </c>
      <c r="U1170" s="1">
        <v>1</v>
      </c>
      <c r="V1170" s="1">
        <v>0</v>
      </c>
      <c r="W1170" s="1">
        <v>0</v>
      </c>
      <c r="X1170" s="1">
        <v>0</v>
      </c>
      <c r="Y1170" s="1">
        <v>1</v>
      </c>
      <c r="Z1170" s="1">
        <v>1</v>
      </c>
      <c r="AA1170" s="1" t="s">
        <v>104</v>
      </c>
      <c r="AB1170" s="1" t="s">
        <v>104</v>
      </c>
      <c r="AC1170" s="1" t="s">
        <v>104</v>
      </c>
      <c r="AD1170" s="1">
        <v>1</v>
      </c>
      <c r="AE1170" s="1" t="s">
        <v>104</v>
      </c>
      <c r="AF1170" s="1" t="s">
        <v>104</v>
      </c>
      <c r="AG1170" s="1" t="s">
        <v>104</v>
      </c>
      <c r="AH1170" s="1" t="s">
        <v>104</v>
      </c>
      <c r="AI1170" s="1" t="s">
        <v>104</v>
      </c>
      <c r="AJ1170" s="1" t="s">
        <v>104</v>
      </c>
      <c r="AK1170" s="1" t="s">
        <v>104</v>
      </c>
      <c r="AL1170" s="1" t="s">
        <v>104</v>
      </c>
      <c r="AM1170" s="1" t="s">
        <v>104</v>
      </c>
      <c r="AO1170" s="1">
        <v>1</v>
      </c>
      <c r="AR1170" s="1">
        <v>0</v>
      </c>
      <c r="AS1170" s="1">
        <v>0</v>
      </c>
      <c r="AT1170" s="1">
        <v>0</v>
      </c>
      <c r="AU1170" s="1">
        <v>0</v>
      </c>
      <c r="AV1170" s="1">
        <v>0</v>
      </c>
      <c r="AW1170" s="1">
        <v>0</v>
      </c>
      <c r="AX1170" s="1">
        <v>0</v>
      </c>
      <c r="AY1170" s="1">
        <v>0</v>
      </c>
      <c r="AZ1170" s="1">
        <v>0</v>
      </c>
      <c r="BA1170" s="1">
        <v>0</v>
      </c>
      <c r="BB1170" s="1">
        <v>0</v>
      </c>
      <c r="BC1170" s="1">
        <v>0</v>
      </c>
      <c r="BD1170" s="1">
        <v>0</v>
      </c>
      <c r="BE1170" s="1">
        <v>0</v>
      </c>
      <c r="BF1170" s="1">
        <v>0</v>
      </c>
      <c r="BG1170" s="1">
        <v>0</v>
      </c>
      <c r="BH1170" s="1">
        <v>0</v>
      </c>
      <c r="BI1170" s="1">
        <v>0</v>
      </c>
      <c r="BJ1170" s="1">
        <v>0</v>
      </c>
      <c r="BK1170" s="1">
        <v>0</v>
      </c>
      <c r="BL1170" s="1">
        <v>0</v>
      </c>
      <c r="BM1170" s="1">
        <v>0</v>
      </c>
      <c r="BN1170" s="1">
        <v>0</v>
      </c>
      <c r="BO1170" s="1">
        <v>0</v>
      </c>
      <c r="BP1170" s="1">
        <v>0</v>
      </c>
      <c r="BQ1170" s="1" t="s">
        <v>104</v>
      </c>
      <c r="BR1170" s="1">
        <v>1213</v>
      </c>
      <c r="BS1170" s="1" t="s">
        <v>104</v>
      </c>
      <c r="BX1170" s="1">
        <v>0</v>
      </c>
      <c r="BY1170" s="1" t="s">
        <v>104</v>
      </c>
      <c r="BZ1170" s="1" t="s">
        <v>104</v>
      </c>
      <c r="CA1170" s="1" t="s">
        <v>104</v>
      </c>
      <c r="CB1170" s="1" t="s">
        <v>104</v>
      </c>
      <c r="CC1170" s="1" t="s">
        <v>104</v>
      </c>
      <c r="CD1170" s="1" t="s">
        <v>104</v>
      </c>
      <c r="CE1170" s="1" t="s">
        <v>104</v>
      </c>
      <c r="CF1170" s="1" t="s">
        <v>104</v>
      </c>
      <c r="CG1170" s="1" t="s">
        <v>104</v>
      </c>
      <c r="CH1170" s="1" t="s">
        <v>104</v>
      </c>
      <c r="CJ1170" s="1">
        <v>0</v>
      </c>
      <c r="CK1170" s="1">
        <v>0</v>
      </c>
      <c r="CL1170" s="1">
        <v>0</v>
      </c>
      <c r="CM1170" s="1" t="s">
        <v>104</v>
      </c>
    </row>
    <row r="1171" spans="1:91" ht="14.25" customHeight="1" x14ac:dyDescent="0.3">
      <c r="A1171" s="1" t="s">
        <v>7008</v>
      </c>
      <c r="B1171" s="1" t="s">
        <v>507</v>
      </c>
      <c r="C1171" s="1" t="s">
        <v>720</v>
      </c>
      <c r="E1171" s="1" t="s">
        <v>4214</v>
      </c>
      <c r="F1171" s="1" t="s">
        <v>4934</v>
      </c>
      <c r="G1171" s="1" t="s">
        <v>116</v>
      </c>
      <c r="H1171" s="1">
        <v>0</v>
      </c>
      <c r="I1171" s="1" t="s">
        <v>117</v>
      </c>
      <c r="L1171" s="1" t="s">
        <v>7009</v>
      </c>
      <c r="M1171" s="1" t="s">
        <v>2330</v>
      </c>
      <c r="N1171" s="1">
        <v>0</v>
      </c>
      <c r="O1171" s="1">
        <v>0</v>
      </c>
      <c r="P1171" s="1" t="s">
        <v>1902</v>
      </c>
      <c r="Q1171" s="1" t="s">
        <v>149</v>
      </c>
      <c r="R1171" s="1" t="s">
        <v>7010</v>
      </c>
      <c r="S1171" s="1" t="s">
        <v>6980</v>
      </c>
      <c r="T1171" s="1">
        <v>1</v>
      </c>
      <c r="U1171" s="1">
        <v>1</v>
      </c>
      <c r="V1171" s="1">
        <v>0</v>
      </c>
      <c r="W1171" s="1">
        <v>0</v>
      </c>
      <c r="X1171" s="1">
        <v>0</v>
      </c>
      <c r="Y1171" s="1">
        <v>3</v>
      </c>
      <c r="Z1171" s="1">
        <v>3</v>
      </c>
      <c r="AA1171" s="1" t="s">
        <v>104</v>
      </c>
      <c r="AB1171" s="1" t="s">
        <v>104</v>
      </c>
      <c r="AC1171" s="1" t="s">
        <v>104</v>
      </c>
      <c r="AD1171" s="1" t="s">
        <v>104</v>
      </c>
      <c r="AE1171" s="1" t="s">
        <v>104</v>
      </c>
      <c r="AF1171" s="1" t="s">
        <v>104</v>
      </c>
      <c r="AG1171" s="1" t="s">
        <v>104</v>
      </c>
      <c r="AH1171" s="1" t="s">
        <v>104</v>
      </c>
      <c r="AI1171" s="1" t="s">
        <v>104</v>
      </c>
      <c r="AJ1171" s="1" t="s">
        <v>104</v>
      </c>
      <c r="AK1171" s="1" t="s">
        <v>104</v>
      </c>
      <c r="AL1171" s="1" t="s">
        <v>104</v>
      </c>
      <c r="AM1171" s="1" t="s">
        <v>104</v>
      </c>
      <c r="AO1171" s="1">
        <v>3</v>
      </c>
      <c r="AR1171" s="1">
        <v>0</v>
      </c>
      <c r="AS1171" s="1">
        <v>0</v>
      </c>
      <c r="AT1171" s="1">
        <v>0</v>
      </c>
      <c r="AU1171" s="1">
        <v>0</v>
      </c>
      <c r="AV1171" s="1">
        <v>0</v>
      </c>
      <c r="AW1171" s="1">
        <v>0</v>
      </c>
      <c r="AX1171" s="1">
        <v>0</v>
      </c>
      <c r="AY1171" s="1">
        <v>0</v>
      </c>
      <c r="AZ1171" s="1">
        <v>0</v>
      </c>
      <c r="BA1171" s="1">
        <v>0</v>
      </c>
      <c r="BB1171" s="1">
        <v>0</v>
      </c>
      <c r="BC1171" s="1">
        <v>0</v>
      </c>
      <c r="BD1171" s="1">
        <v>0</v>
      </c>
      <c r="BE1171" s="1">
        <v>0</v>
      </c>
      <c r="BF1171" s="1">
        <v>0</v>
      </c>
      <c r="BG1171" s="1">
        <v>0</v>
      </c>
      <c r="BH1171" s="1">
        <v>0</v>
      </c>
      <c r="BI1171" s="1">
        <v>0</v>
      </c>
      <c r="BJ1171" s="1">
        <v>0</v>
      </c>
      <c r="BK1171" s="1">
        <v>0</v>
      </c>
      <c r="BL1171" s="1">
        <v>0</v>
      </c>
      <c r="BM1171" s="1">
        <v>0</v>
      </c>
      <c r="BN1171" s="1">
        <v>0</v>
      </c>
      <c r="BO1171" s="1">
        <v>0</v>
      </c>
      <c r="BP1171" s="1">
        <v>0</v>
      </c>
      <c r="BQ1171" s="1" t="s">
        <v>104</v>
      </c>
      <c r="BR1171" s="1">
        <v>1214</v>
      </c>
      <c r="BS1171" s="1" t="s">
        <v>104</v>
      </c>
      <c r="BX1171" s="1">
        <v>0</v>
      </c>
      <c r="BY1171" s="1" t="s">
        <v>104</v>
      </c>
      <c r="BZ1171" s="1" t="s">
        <v>104</v>
      </c>
      <c r="CA1171" s="1" t="s">
        <v>104</v>
      </c>
      <c r="CB1171" s="1" t="s">
        <v>104</v>
      </c>
      <c r="CC1171" s="1" t="s">
        <v>104</v>
      </c>
      <c r="CD1171" s="1" t="s">
        <v>104</v>
      </c>
      <c r="CE1171" s="1" t="s">
        <v>104</v>
      </c>
      <c r="CF1171" s="1" t="s">
        <v>104</v>
      </c>
      <c r="CG1171" s="1" t="s">
        <v>104</v>
      </c>
      <c r="CH1171" s="1" t="s">
        <v>104</v>
      </c>
      <c r="CJ1171" s="1">
        <v>0</v>
      </c>
      <c r="CK1171" s="1">
        <v>0</v>
      </c>
      <c r="CL1171" s="1">
        <v>0</v>
      </c>
      <c r="CM1171" s="1" t="s">
        <v>104</v>
      </c>
    </row>
    <row r="1172" spans="1:91" ht="14.25" customHeight="1" x14ac:dyDescent="0.3">
      <c r="A1172" s="1" t="s">
        <v>7011</v>
      </c>
      <c r="B1172" s="1" t="s">
        <v>92</v>
      </c>
      <c r="C1172" s="1" t="s">
        <v>903</v>
      </c>
      <c r="D1172" s="1" t="s">
        <v>7012</v>
      </c>
      <c r="E1172" s="1" t="s">
        <v>7013</v>
      </c>
      <c r="F1172" s="1" t="s">
        <v>255</v>
      </c>
      <c r="G1172" s="1" t="s">
        <v>7014</v>
      </c>
      <c r="H1172" s="1">
        <v>0</v>
      </c>
      <c r="I1172" s="1" t="s">
        <v>117</v>
      </c>
      <c r="K1172" s="1" t="s">
        <v>7015</v>
      </c>
      <c r="M1172" s="1" t="s">
        <v>4292</v>
      </c>
      <c r="N1172" s="1">
        <v>0</v>
      </c>
      <c r="O1172" s="1">
        <v>0</v>
      </c>
      <c r="P1172" s="1" t="s">
        <v>100</v>
      </c>
      <c r="Q1172" s="1" t="s">
        <v>101</v>
      </c>
      <c r="R1172" s="1" t="s">
        <v>7016</v>
      </c>
      <c r="S1172" s="1" t="s">
        <v>6980</v>
      </c>
      <c r="T1172" s="1">
        <v>1</v>
      </c>
      <c r="U1172" s="1">
        <v>1</v>
      </c>
      <c r="V1172" s="1">
        <v>0</v>
      </c>
      <c r="W1172" s="1">
        <v>0</v>
      </c>
      <c r="X1172" s="1">
        <v>1</v>
      </c>
      <c r="Y1172" s="1">
        <v>4</v>
      </c>
      <c r="Z1172" s="1">
        <v>4</v>
      </c>
      <c r="AA1172" s="1">
        <v>4</v>
      </c>
      <c r="AB1172" s="1" t="s">
        <v>104</v>
      </c>
      <c r="AC1172" s="1" t="s">
        <v>104</v>
      </c>
      <c r="AD1172" s="1">
        <v>4</v>
      </c>
      <c r="AE1172" s="1" t="s">
        <v>104</v>
      </c>
      <c r="AF1172" s="1" t="s">
        <v>104</v>
      </c>
      <c r="AG1172" s="1">
        <v>4</v>
      </c>
      <c r="AH1172" s="1">
        <v>4</v>
      </c>
      <c r="AI1172" s="1" t="s">
        <v>104</v>
      </c>
      <c r="AJ1172" s="1">
        <v>4</v>
      </c>
      <c r="AK1172" s="1" t="s">
        <v>104</v>
      </c>
      <c r="AL1172" s="1" t="s">
        <v>104</v>
      </c>
      <c r="AM1172" s="1" t="s">
        <v>104</v>
      </c>
      <c r="AO1172" s="1">
        <v>4</v>
      </c>
      <c r="AR1172" s="1">
        <v>0</v>
      </c>
      <c r="AS1172" s="1">
        <v>0</v>
      </c>
      <c r="AT1172" s="1">
        <v>0</v>
      </c>
      <c r="AU1172" s="1">
        <v>0</v>
      </c>
      <c r="AV1172" s="1">
        <v>0</v>
      </c>
      <c r="AW1172" s="1">
        <v>0</v>
      </c>
      <c r="AX1172" s="1">
        <v>0</v>
      </c>
      <c r="AY1172" s="1">
        <v>0</v>
      </c>
      <c r="AZ1172" s="1">
        <v>0</v>
      </c>
      <c r="BA1172" s="1">
        <v>0</v>
      </c>
      <c r="BB1172" s="1">
        <v>0</v>
      </c>
      <c r="BC1172" s="1">
        <v>1</v>
      </c>
      <c r="BD1172" s="1">
        <v>0</v>
      </c>
      <c r="BE1172" s="1">
        <v>0</v>
      </c>
      <c r="BF1172" s="1">
        <v>0</v>
      </c>
      <c r="BG1172" s="1">
        <v>0</v>
      </c>
      <c r="BH1172" s="1">
        <v>0</v>
      </c>
      <c r="BI1172" s="1">
        <v>1</v>
      </c>
      <c r="BJ1172" s="1">
        <v>0</v>
      </c>
      <c r="BK1172" s="1">
        <v>0</v>
      </c>
      <c r="BL1172" s="1">
        <v>0</v>
      </c>
      <c r="BM1172" s="1">
        <v>0</v>
      </c>
      <c r="BN1172" s="1">
        <v>0</v>
      </c>
      <c r="BO1172" s="1">
        <v>0</v>
      </c>
      <c r="BP1172" s="1">
        <v>0</v>
      </c>
      <c r="BQ1172" s="1" t="s">
        <v>104</v>
      </c>
      <c r="BR1172" s="1">
        <v>1215</v>
      </c>
      <c r="BS1172" s="1" t="s">
        <v>104</v>
      </c>
      <c r="BX1172" s="1">
        <v>0</v>
      </c>
      <c r="BY1172" s="1" t="s">
        <v>104</v>
      </c>
      <c r="BZ1172" s="1" t="s">
        <v>104</v>
      </c>
      <c r="CA1172" s="1" t="s">
        <v>104</v>
      </c>
      <c r="CB1172" s="1" t="s">
        <v>104</v>
      </c>
      <c r="CC1172" s="1" t="s">
        <v>104</v>
      </c>
      <c r="CD1172" s="1" t="s">
        <v>104</v>
      </c>
      <c r="CE1172" s="1" t="s">
        <v>104</v>
      </c>
      <c r="CF1172" s="1" t="s">
        <v>104</v>
      </c>
      <c r="CG1172" s="1" t="s">
        <v>104</v>
      </c>
      <c r="CH1172" s="1" t="s">
        <v>104</v>
      </c>
      <c r="CJ1172" s="1">
        <v>0</v>
      </c>
      <c r="CK1172" s="1">
        <v>0</v>
      </c>
      <c r="CL1172" s="1">
        <v>0</v>
      </c>
      <c r="CM1172" s="1">
        <v>4</v>
      </c>
    </row>
    <row r="1173" spans="1:91" ht="14.25" customHeight="1" x14ac:dyDescent="0.3">
      <c r="A1173" s="1" t="s">
        <v>7017</v>
      </c>
      <c r="B1173" s="1" t="s">
        <v>92</v>
      </c>
      <c r="C1173" s="1" t="s">
        <v>903</v>
      </c>
      <c r="D1173" s="1" t="s">
        <v>7012</v>
      </c>
      <c r="E1173" s="1" t="s">
        <v>7018</v>
      </c>
      <c r="F1173" s="1" t="s">
        <v>255</v>
      </c>
      <c r="G1173" s="1" t="s">
        <v>7019</v>
      </c>
      <c r="H1173" s="1">
        <v>0</v>
      </c>
      <c r="I1173" s="1" t="s">
        <v>117</v>
      </c>
      <c r="K1173" s="1" t="s">
        <v>7020</v>
      </c>
      <c r="M1173" s="1" t="s">
        <v>111</v>
      </c>
      <c r="N1173" s="1">
        <v>0</v>
      </c>
      <c r="O1173" s="1">
        <v>0</v>
      </c>
      <c r="P1173" s="1" t="s">
        <v>100</v>
      </c>
      <c r="Q1173" s="1" t="s">
        <v>101</v>
      </c>
      <c r="R1173" s="1" t="s">
        <v>7021</v>
      </c>
      <c r="S1173" s="1" t="s">
        <v>6980</v>
      </c>
      <c r="T1173" s="1">
        <v>1</v>
      </c>
      <c r="U1173" s="1">
        <v>1</v>
      </c>
      <c r="V1173" s="1">
        <v>0</v>
      </c>
      <c r="W1173" s="1">
        <v>0</v>
      </c>
      <c r="X1173" s="1">
        <v>1</v>
      </c>
      <c r="Y1173" s="1">
        <v>5</v>
      </c>
      <c r="Z1173" s="1">
        <v>5</v>
      </c>
      <c r="AA1173" s="1">
        <v>5</v>
      </c>
      <c r="AB1173" s="1" t="s">
        <v>104</v>
      </c>
      <c r="AC1173" s="1" t="s">
        <v>104</v>
      </c>
      <c r="AD1173" s="1">
        <v>5</v>
      </c>
      <c r="AE1173" s="1" t="s">
        <v>104</v>
      </c>
      <c r="AF1173" s="1" t="s">
        <v>104</v>
      </c>
      <c r="AG1173" s="1">
        <v>5</v>
      </c>
      <c r="AH1173" s="1">
        <v>5</v>
      </c>
      <c r="AI1173" s="1" t="s">
        <v>104</v>
      </c>
      <c r="AJ1173" s="1">
        <v>5</v>
      </c>
      <c r="AK1173" s="1" t="s">
        <v>104</v>
      </c>
      <c r="AL1173" s="1" t="s">
        <v>104</v>
      </c>
      <c r="AM1173" s="1" t="s">
        <v>104</v>
      </c>
      <c r="AO1173" s="1">
        <v>5</v>
      </c>
      <c r="AR1173" s="1">
        <v>0</v>
      </c>
      <c r="AS1173" s="1">
        <v>0</v>
      </c>
      <c r="AT1173" s="1">
        <v>0</v>
      </c>
      <c r="AU1173" s="1">
        <v>0</v>
      </c>
      <c r="AV1173" s="1">
        <v>0</v>
      </c>
      <c r="AW1173" s="1">
        <v>0</v>
      </c>
      <c r="AX1173" s="1">
        <v>0</v>
      </c>
      <c r="AY1173" s="1">
        <v>0</v>
      </c>
      <c r="AZ1173" s="1">
        <v>0</v>
      </c>
      <c r="BA1173" s="1">
        <v>0</v>
      </c>
      <c r="BB1173" s="1">
        <v>0</v>
      </c>
      <c r="BC1173" s="1">
        <v>1</v>
      </c>
      <c r="BD1173" s="1">
        <v>0</v>
      </c>
      <c r="BE1173" s="1">
        <v>0</v>
      </c>
      <c r="BF1173" s="1">
        <v>0</v>
      </c>
      <c r="BG1173" s="1">
        <v>0</v>
      </c>
      <c r="BH1173" s="1">
        <v>0</v>
      </c>
      <c r="BI1173" s="1">
        <v>1</v>
      </c>
      <c r="BJ1173" s="1">
        <v>0</v>
      </c>
      <c r="BK1173" s="1">
        <v>0</v>
      </c>
      <c r="BL1173" s="1">
        <v>0</v>
      </c>
      <c r="BM1173" s="1">
        <v>0</v>
      </c>
      <c r="BN1173" s="1">
        <v>0</v>
      </c>
      <c r="BO1173" s="1">
        <v>0</v>
      </c>
      <c r="BP1173" s="1">
        <v>0</v>
      </c>
      <c r="BQ1173" s="1" t="s">
        <v>104</v>
      </c>
      <c r="BR1173" s="1">
        <v>1216</v>
      </c>
      <c r="BS1173" s="1" t="s">
        <v>104</v>
      </c>
      <c r="BX1173" s="1">
        <v>0</v>
      </c>
      <c r="BY1173" s="1" t="s">
        <v>104</v>
      </c>
      <c r="BZ1173" s="1" t="s">
        <v>104</v>
      </c>
      <c r="CA1173" s="1" t="s">
        <v>104</v>
      </c>
      <c r="CB1173" s="1" t="s">
        <v>104</v>
      </c>
      <c r="CC1173" s="1" t="s">
        <v>104</v>
      </c>
      <c r="CD1173" s="1" t="s">
        <v>104</v>
      </c>
      <c r="CE1173" s="1" t="s">
        <v>104</v>
      </c>
      <c r="CF1173" s="1" t="s">
        <v>104</v>
      </c>
      <c r="CG1173" s="1" t="s">
        <v>104</v>
      </c>
      <c r="CH1173" s="1" t="s">
        <v>104</v>
      </c>
      <c r="CJ1173" s="1">
        <v>0</v>
      </c>
      <c r="CK1173" s="1">
        <v>0</v>
      </c>
      <c r="CL1173" s="1">
        <v>0</v>
      </c>
      <c r="CM1173" s="1">
        <v>5</v>
      </c>
    </row>
    <row r="1174" spans="1:91" ht="14.25" customHeight="1" x14ac:dyDescent="0.3">
      <c r="A1174" s="1" t="s">
        <v>7022</v>
      </c>
      <c r="B1174" s="1" t="s">
        <v>162</v>
      </c>
      <c r="D1174" s="1" t="s">
        <v>57</v>
      </c>
      <c r="E1174" s="1" t="s">
        <v>2513</v>
      </c>
      <c r="F1174" s="1" t="s">
        <v>95</v>
      </c>
      <c r="G1174" s="1" t="s">
        <v>7023</v>
      </c>
      <c r="H1174" s="1">
        <v>1</v>
      </c>
      <c r="I1174" s="1" t="s">
        <v>128</v>
      </c>
      <c r="J1174" s="1" t="s">
        <v>4429</v>
      </c>
      <c r="M1174" s="1" t="s">
        <v>426</v>
      </c>
      <c r="N1174" s="1">
        <v>1</v>
      </c>
      <c r="O1174" s="1">
        <v>0</v>
      </c>
      <c r="P1174" s="1" t="s">
        <v>100</v>
      </c>
      <c r="Q1174" s="1" t="s">
        <v>145</v>
      </c>
      <c r="R1174" s="1" t="s">
        <v>7024</v>
      </c>
      <c r="S1174" s="1" t="s">
        <v>6980</v>
      </c>
      <c r="T1174" s="1">
        <v>1</v>
      </c>
      <c r="U1174" s="1">
        <v>1</v>
      </c>
      <c r="V1174" s="1">
        <v>1</v>
      </c>
      <c r="W1174" s="1">
        <v>0</v>
      </c>
      <c r="X1174" s="1">
        <v>0</v>
      </c>
      <c r="Y1174" s="1">
        <v>9</v>
      </c>
      <c r="Z1174" s="1">
        <v>9</v>
      </c>
      <c r="AA1174" s="1" t="s">
        <v>104</v>
      </c>
      <c r="AB1174" s="1" t="s">
        <v>104</v>
      </c>
      <c r="AC1174" s="1" t="s">
        <v>104</v>
      </c>
      <c r="AD1174" s="1" t="s">
        <v>104</v>
      </c>
      <c r="AE1174" s="1" t="s">
        <v>104</v>
      </c>
      <c r="AF1174" s="1" t="s">
        <v>104</v>
      </c>
      <c r="AG1174" s="1" t="s">
        <v>104</v>
      </c>
      <c r="AH1174" s="1" t="s">
        <v>104</v>
      </c>
      <c r="AI1174" s="1" t="s">
        <v>104</v>
      </c>
      <c r="AJ1174" s="1" t="s">
        <v>104</v>
      </c>
      <c r="AK1174" s="1" t="s">
        <v>104</v>
      </c>
      <c r="AL1174" s="1" t="s">
        <v>104</v>
      </c>
      <c r="AM1174" s="1" t="s">
        <v>104</v>
      </c>
      <c r="AO1174" s="1">
        <v>9</v>
      </c>
      <c r="AR1174" s="1">
        <v>0</v>
      </c>
      <c r="AS1174" s="1">
        <v>0</v>
      </c>
      <c r="AT1174" s="1">
        <v>0</v>
      </c>
      <c r="AU1174" s="1">
        <v>0</v>
      </c>
      <c r="AV1174" s="1">
        <v>0</v>
      </c>
      <c r="AW1174" s="1">
        <v>0</v>
      </c>
      <c r="AX1174" s="1">
        <v>0</v>
      </c>
      <c r="AY1174" s="1">
        <v>0</v>
      </c>
      <c r="AZ1174" s="1">
        <v>0</v>
      </c>
      <c r="BA1174" s="1">
        <v>0</v>
      </c>
      <c r="BB1174" s="1">
        <v>0</v>
      </c>
      <c r="BC1174" s="1">
        <v>0</v>
      </c>
      <c r="BD1174" s="1">
        <v>0</v>
      </c>
      <c r="BE1174" s="1">
        <v>0</v>
      </c>
      <c r="BF1174" s="1">
        <v>0</v>
      </c>
      <c r="BG1174" s="1">
        <v>0</v>
      </c>
      <c r="BH1174" s="1">
        <v>0</v>
      </c>
      <c r="BI1174" s="1">
        <v>0</v>
      </c>
      <c r="BJ1174" s="1">
        <v>0</v>
      </c>
      <c r="BK1174" s="1">
        <v>0</v>
      </c>
      <c r="BL1174" s="1">
        <v>0</v>
      </c>
      <c r="BM1174" s="1">
        <v>0</v>
      </c>
      <c r="BN1174" s="1">
        <v>0</v>
      </c>
      <c r="BO1174" s="1">
        <v>0</v>
      </c>
      <c r="BP1174" s="1">
        <v>0</v>
      </c>
      <c r="BQ1174" s="1" t="s">
        <v>104</v>
      </c>
      <c r="BR1174" s="1">
        <v>1217</v>
      </c>
      <c r="BS1174" s="1">
        <v>100</v>
      </c>
      <c r="BX1174" s="1">
        <v>0</v>
      </c>
      <c r="BY1174" s="1" t="s">
        <v>104</v>
      </c>
      <c r="BZ1174" s="1" t="s">
        <v>104</v>
      </c>
      <c r="CA1174" s="1" t="s">
        <v>104</v>
      </c>
      <c r="CB1174" s="1" t="s">
        <v>104</v>
      </c>
      <c r="CC1174" s="1" t="s">
        <v>104</v>
      </c>
      <c r="CD1174" s="1" t="s">
        <v>104</v>
      </c>
      <c r="CE1174" s="1" t="s">
        <v>104</v>
      </c>
      <c r="CF1174" s="1" t="s">
        <v>104</v>
      </c>
      <c r="CG1174" s="1" t="s">
        <v>104</v>
      </c>
      <c r="CH1174" s="1" t="s">
        <v>104</v>
      </c>
      <c r="CJ1174" s="1">
        <v>0</v>
      </c>
      <c r="CK1174" s="1">
        <v>0</v>
      </c>
      <c r="CL1174" s="1">
        <v>0</v>
      </c>
      <c r="CM1174" s="1" t="s">
        <v>104</v>
      </c>
    </row>
    <row r="1175" spans="1:91" ht="14.25" customHeight="1" x14ac:dyDescent="0.3">
      <c r="A1175" s="1" t="s">
        <v>7025</v>
      </c>
      <c r="B1175" s="1" t="s">
        <v>162</v>
      </c>
      <c r="E1175" s="1" t="s">
        <v>4214</v>
      </c>
      <c r="F1175" s="1" t="s">
        <v>95</v>
      </c>
      <c r="G1175" s="1" t="s">
        <v>7026</v>
      </c>
      <c r="H1175" s="1">
        <v>1</v>
      </c>
      <c r="I1175" s="1" t="s">
        <v>157</v>
      </c>
      <c r="L1175" s="1" t="s">
        <v>158</v>
      </c>
      <c r="M1175" s="1" t="s">
        <v>7027</v>
      </c>
      <c r="N1175" s="1">
        <v>1</v>
      </c>
      <c r="O1175" s="1">
        <v>0</v>
      </c>
      <c r="R1175" s="1" t="s">
        <v>7028</v>
      </c>
      <c r="S1175" s="1" t="s">
        <v>7029</v>
      </c>
      <c r="T1175" s="1">
        <v>1</v>
      </c>
      <c r="U1175" s="1">
        <v>1</v>
      </c>
      <c r="V1175" s="1">
        <v>1</v>
      </c>
      <c r="W1175" s="1">
        <v>0</v>
      </c>
      <c r="X1175" s="1">
        <v>0</v>
      </c>
      <c r="Y1175" s="1">
        <v>3</v>
      </c>
      <c r="Z1175" s="1">
        <v>3</v>
      </c>
      <c r="AA1175" s="1" t="s">
        <v>104</v>
      </c>
      <c r="AB1175" s="1" t="s">
        <v>104</v>
      </c>
      <c r="AC1175" s="1" t="s">
        <v>104</v>
      </c>
      <c r="AD1175" s="1" t="s">
        <v>104</v>
      </c>
      <c r="AE1175" s="1" t="s">
        <v>104</v>
      </c>
      <c r="AF1175" s="1" t="s">
        <v>104</v>
      </c>
      <c r="AG1175" s="1" t="s">
        <v>104</v>
      </c>
      <c r="AH1175" s="1" t="s">
        <v>104</v>
      </c>
      <c r="AI1175" s="1" t="s">
        <v>104</v>
      </c>
      <c r="AJ1175" s="1" t="s">
        <v>104</v>
      </c>
      <c r="AK1175" s="1" t="s">
        <v>104</v>
      </c>
      <c r="AL1175" s="1" t="s">
        <v>104</v>
      </c>
      <c r="AM1175" s="1" t="s">
        <v>104</v>
      </c>
      <c r="AN1175" s="1" t="s">
        <v>7030</v>
      </c>
      <c r="AO1175" s="1">
        <v>3</v>
      </c>
      <c r="AR1175" s="1">
        <v>0</v>
      </c>
      <c r="AS1175" s="1">
        <v>0</v>
      </c>
      <c r="AT1175" s="1">
        <v>0</v>
      </c>
      <c r="AU1175" s="1">
        <v>0</v>
      </c>
      <c r="AV1175" s="1">
        <v>0</v>
      </c>
      <c r="AW1175" s="1">
        <v>0</v>
      </c>
      <c r="AX1175" s="1">
        <v>0</v>
      </c>
      <c r="AY1175" s="1">
        <v>0</v>
      </c>
      <c r="AZ1175" s="1">
        <v>0</v>
      </c>
      <c r="BA1175" s="1">
        <v>0</v>
      </c>
      <c r="BB1175" s="1">
        <v>0</v>
      </c>
      <c r="BC1175" s="1">
        <v>0</v>
      </c>
      <c r="BD1175" s="1">
        <v>0</v>
      </c>
      <c r="BE1175" s="1">
        <v>0</v>
      </c>
      <c r="BF1175" s="1">
        <v>0</v>
      </c>
      <c r="BG1175" s="1">
        <v>0</v>
      </c>
      <c r="BH1175" s="1">
        <v>0</v>
      </c>
      <c r="BI1175" s="1">
        <v>0</v>
      </c>
      <c r="BJ1175" s="1">
        <v>0</v>
      </c>
      <c r="BK1175" s="1">
        <v>0</v>
      </c>
      <c r="BL1175" s="1">
        <v>0</v>
      </c>
      <c r="BM1175" s="1">
        <v>0</v>
      </c>
      <c r="BN1175" s="1">
        <v>0</v>
      </c>
      <c r="BO1175" s="1">
        <v>0</v>
      </c>
      <c r="BP1175" s="1">
        <v>0</v>
      </c>
      <c r="BQ1175" s="1" t="s">
        <v>104</v>
      </c>
      <c r="BR1175" s="1">
        <v>1218</v>
      </c>
      <c r="BS1175" s="1">
        <v>10</v>
      </c>
      <c r="BX1175" s="1">
        <v>0</v>
      </c>
      <c r="BY1175" s="1" t="s">
        <v>104</v>
      </c>
      <c r="BZ1175" s="1" t="s">
        <v>104</v>
      </c>
      <c r="CA1175" s="1" t="s">
        <v>104</v>
      </c>
      <c r="CB1175" s="1" t="s">
        <v>104</v>
      </c>
      <c r="CC1175" s="1" t="s">
        <v>104</v>
      </c>
      <c r="CD1175" s="1" t="s">
        <v>104</v>
      </c>
      <c r="CE1175" s="1" t="s">
        <v>104</v>
      </c>
      <c r="CF1175" s="1" t="s">
        <v>104</v>
      </c>
      <c r="CG1175" s="1" t="s">
        <v>104</v>
      </c>
      <c r="CH1175" s="1" t="s">
        <v>104</v>
      </c>
      <c r="CJ1175" s="1">
        <v>0</v>
      </c>
      <c r="CK1175" s="1">
        <v>0</v>
      </c>
      <c r="CL1175" s="1">
        <v>0</v>
      </c>
      <c r="CM1175" s="1" t="s">
        <v>104</v>
      </c>
    </row>
    <row r="1176" spans="1:91" ht="14.25" customHeight="1" x14ac:dyDescent="0.3">
      <c r="A1176" s="1" t="s">
        <v>7031</v>
      </c>
      <c r="B1176" s="1" t="s">
        <v>434</v>
      </c>
      <c r="D1176" s="1" t="s">
        <v>56</v>
      </c>
      <c r="E1176" s="1" t="s">
        <v>749</v>
      </c>
      <c r="F1176" s="1" t="s">
        <v>95</v>
      </c>
      <c r="G1176" s="1" t="s">
        <v>116</v>
      </c>
      <c r="H1176" s="1">
        <v>0</v>
      </c>
      <c r="I1176" s="1" t="s">
        <v>117</v>
      </c>
      <c r="L1176" s="1" t="s">
        <v>7032</v>
      </c>
      <c r="M1176" s="1" t="s">
        <v>119</v>
      </c>
      <c r="N1176" s="1">
        <v>0</v>
      </c>
      <c r="O1176" s="1">
        <v>0</v>
      </c>
      <c r="P1176" s="1" t="s">
        <v>550</v>
      </c>
      <c r="Q1176" s="1" t="s">
        <v>184</v>
      </c>
      <c r="R1176" s="1" t="s">
        <v>7033</v>
      </c>
      <c r="S1176" s="1" t="s">
        <v>7029</v>
      </c>
      <c r="T1176" s="1">
        <v>1</v>
      </c>
      <c r="U1176" s="1">
        <v>1</v>
      </c>
      <c r="V1176" s="1">
        <v>0</v>
      </c>
      <c r="W1176" s="1">
        <v>0</v>
      </c>
      <c r="X1176" s="1">
        <v>0</v>
      </c>
      <c r="Y1176" s="1">
        <v>2</v>
      </c>
      <c r="Z1176" s="1">
        <v>2</v>
      </c>
      <c r="AA1176" s="1" t="s">
        <v>104</v>
      </c>
      <c r="AB1176" s="1" t="s">
        <v>104</v>
      </c>
      <c r="AC1176" s="1" t="s">
        <v>104</v>
      </c>
      <c r="AD1176" s="1" t="s">
        <v>104</v>
      </c>
      <c r="AE1176" s="1" t="s">
        <v>104</v>
      </c>
      <c r="AF1176" s="1" t="s">
        <v>104</v>
      </c>
      <c r="AG1176" s="1" t="s">
        <v>104</v>
      </c>
      <c r="AH1176" s="1" t="s">
        <v>104</v>
      </c>
      <c r="AI1176" s="1" t="s">
        <v>104</v>
      </c>
      <c r="AJ1176" s="1" t="s">
        <v>104</v>
      </c>
      <c r="AK1176" s="1" t="s">
        <v>104</v>
      </c>
      <c r="AL1176" s="1" t="s">
        <v>104</v>
      </c>
      <c r="AM1176" s="1" t="s">
        <v>104</v>
      </c>
      <c r="AN1176" s="1" t="s">
        <v>7034</v>
      </c>
      <c r="AO1176" s="1">
        <v>2</v>
      </c>
      <c r="AR1176" s="1">
        <v>0</v>
      </c>
      <c r="AS1176" s="1">
        <v>0</v>
      </c>
      <c r="AT1176" s="1">
        <v>0</v>
      </c>
      <c r="AU1176" s="1">
        <v>0</v>
      </c>
      <c r="AV1176" s="1">
        <v>0</v>
      </c>
      <c r="AW1176" s="1">
        <v>0</v>
      </c>
      <c r="AX1176" s="1">
        <v>0</v>
      </c>
      <c r="AY1176" s="1">
        <v>0</v>
      </c>
      <c r="AZ1176" s="1">
        <v>0</v>
      </c>
      <c r="BA1176" s="1">
        <v>0</v>
      </c>
      <c r="BB1176" s="1">
        <v>0</v>
      </c>
      <c r="BC1176" s="1">
        <v>0</v>
      </c>
      <c r="BD1176" s="1">
        <v>0</v>
      </c>
      <c r="BE1176" s="1">
        <v>1</v>
      </c>
      <c r="BF1176" s="1">
        <v>0</v>
      </c>
      <c r="BG1176" s="1">
        <v>0</v>
      </c>
      <c r="BH1176" s="1">
        <v>0</v>
      </c>
      <c r="BI1176" s="1">
        <v>0</v>
      </c>
      <c r="BJ1176" s="1">
        <v>0</v>
      </c>
      <c r="BK1176" s="1">
        <v>0</v>
      </c>
      <c r="BL1176" s="1">
        <v>0</v>
      </c>
      <c r="BM1176" s="1">
        <v>0</v>
      </c>
      <c r="BN1176" s="1">
        <v>0</v>
      </c>
      <c r="BO1176" s="1">
        <v>0</v>
      </c>
      <c r="BP1176" s="1">
        <v>0</v>
      </c>
      <c r="BQ1176" s="1" t="s">
        <v>104</v>
      </c>
      <c r="BR1176" s="1">
        <v>1219</v>
      </c>
      <c r="BS1176" s="1" t="s">
        <v>104</v>
      </c>
      <c r="BX1176" s="1">
        <v>0</v>
      </c>
      <c r="BY1176" s="1" t="s">
        <v>104</v>
      </c>
      <c r="BZ1176" s="1" t="s">
        <v>104</v>
      </c>
      <c r="CA1176" s="1" t="s">
        <v>104</v>
      </c>
      <c r="CB1176" s="1" t="s">
        <v>104</v>
      </c>
      <c r="CC1176" s="1" t="s">
        <v>104</v>
      </c>
      <c r="CD1176" s="1" t="s">
        <v>104</v>
      </c>
      <c r="CE1176" s="1" t="s">
        <v>104</v>
      </c>
      <c r="CF1176" s="1" t="s">
        <v>104</v>
      </c>
      <c r="CG1176" s="1" t="s">
        <v>104</v>
      </c>
      <c r="CH1176" s="1" t="s">
        <v>104</v>
      </c>
      <c r="CJ1176" s="1">
        <v>0</v>
      </c>
      <c r="CK1176" s="1">
        <v>0</v>
      </c>
      <c r="CL1176" s="1">
        <v>0</v>
      </c>
      <c r="CM1176" s="1" t="s">
        <v>104</v>
      </c>
    </row>
    <row r="1177" spans="1:91" ht="14.25" customHeight="1" x14ac:dyDescent="0.3">
      <c r="A1177" s="1" t="s">
        <v>7035</v>
      </c>
      <c r="B1177" s="1" t="s">
        <v>137</v>
      </c>
      <c r="D1177" s="1" t="s">
        <v>67</v>
      </c>
      <c r="E1177" s="1" t="s">
        <v>7036</v>
      </c>
      <c r="F1177" s="1" t="s">
        <v>95</v>
      </c>
      <c r="G1177" s="1" t="s">
        <v>7037</v>
      </c>
      <c r="H1177" s="1">
        <v>0</v>
      </c>
      <c r="I1177" s="1" t="s">
        <v>128</v>
      </c>
      <c r="L1177" s="1" t="s">
        <v>7038</v>
      </c>
      <c r="M1177" s="1" t="s">
        <v>119</v>
      </c>
      <c r="N1177" s="1">
        <v>0</v>
      </c>
      <c r="O1177" s="1">
        <v>0</v>
      </c>
      <c r="P1177" s="1" t="s">
        <v>100</v>
      </c>
      <c r="Q1177" s="1" t="s">
        <v>101</v>
      </c>
      <c r="R1177" s="1" t="s">
        <v>7039</v>
      </c>
      <c r="S1177" s="1" t="s">
        <v>7029</v>
      </c>
      <c r="T1177" s="1">
        <v>1</v>
      </c>
      <c r="U1177" s="1">
        <v>1</v>
      </c>
      <c r="V1177" s="1">
        <v>1</v>
      </c>
      <c r="W1177" s="1">
        <v>0</v>
      </c>
      <c r="X1177" s="1">
        <v>1</v>
      </c>
      <c r="Y1177" s="1">
        <v>2</v>
      </c>
      <c r="Z1177" s="1">
        <v>2</v>
      </c>
      <c r="AA1177" s="1">
        <v>2</v>
      </c>
      <c r="AB1177" s="1">
        <v>1</v>
      </c>
      <c r="AC1177" s="1" t="s">
        <v>104</v>
      </c>
      <c r="AD1177" s="1" t="s">
        <v>104</v>
      </c>
      <c r="AE1177" s="1" t="s">
        <v>104</v>
      </c>
      <c r="AF1177" s="1" t="s">
        <v>104</v>
      </c>
      <c r="AG1177" s="1" t="s">
        <v>104</v>
      </c>
      <c r="AH1177" s="1" t="s">
        <v>104</v>
      </c>
      <c r="AI1177" s="1" t="s">
        <v>104</v>
      </c>
      <c r="AJ1177" s="1">
        <v>2</v>
      </c>
      <c r="AK1177" s="1" t="s">
        <v>104</v>
      </c>
      <c r="AL1177" s="1" t="s">
        <v>104</v>
      </c>
      <c r="AM1177" s="1" t="s">
        <v>104</v>
      </c>
      <c r="AN1177" s="1" t="s">
        <v>7040</v>
      </c>
      <c r="AO1177" s="1">
        <v>2</v>
      </c>
      <c r="AR1177" s="1">
        <v>0</v>
      </c>
      <c r="AS1177" s="1">
        <v>0</v>
      </c>
      <c r="AT1177" s="1">
        <v>0</v>
      </c>
      <c r="AU1177" s="1">
        <v>0</v>
      </c>
      <c r="AV1177" s="1">
        <v>0</v>
      </c>
      <c r="AW1177" s="1">
        <v>0</v>
      </c>
      <c r="AX1177" s="1">
        <v>0</v>
      </c>
      <c r="AY1177" s="1">
        <v>0</v>
      </c>
      <c r="AZ1177" s="1">
        <v>0</v>
      </c>
      <c r="BA1177" s="1">
        <v>0</v>
      </c>
      <c r="BB1177" s="1">
        <v>0</v>
      </c>
      <c r="BC1177" s="1">
        <v>0</v>
      </c>
      <c r="BD1177" s="1">
        <v>0</v>
      </c>
      <c r="BE1177" s="1">
        <v>0</v>
      </c>
      <c r="BF1177" s="1">
        <v>0</v>
      </c>
      <c r="BG1177" s="1">
        <v>0</v>
      </c>
      <c r="BH1177" s="1">
        <v>0</v>
      </c>
      <c r="BI1177" s="1">
        <v>0</v>
      </c>
      <c r="BJ1177" s="1">
        <v>0</v>
      </c>
      <c r="BK1177" s="1">
        <v>0</v>
      </c>
      <c r="BL1177" s="1">
        <v>0</v>
      </c>
      <c r="BM1177" s="1">
        <v>0</v>
      </c>
      <c r="BN1177" s="1">
        <v>0</v>
      </c>
      <c r="BO1177" s="1">
        <v>0</v>
      </c>
      <c r="BP1177" s="1">
        <v>1</v>
      </c>
      <c r="BQ1177" s="1" t="s">
        <v>104</v>
      </c>
      <c r="BR1177" s="1">
        <v>1221</v>
      </c>
      <c r="BS1177" s="1" t="s">
        <v>104</v>
      </c>
      <c r="BX1177" s="1">
        <v>0</v>
      </c>
      <c r="BY1177" s="1" t="s">
        <v>104</v>
      </c>
      <c r="BZ1177" s="1" t="s">
        <v>104</v>
      </c>
      <c r="CA1177" s="1" t="s">
        <v>104</v>
      </c>
      <c r="CB1177" s="1" t="s">
        <v>104</v>
      </c>
      <c r="CC1177" s="1" t="s">
        <v>104</v>
      </c>
      <c r="CD1177" s="1" t="s">
        <v>104</v>
      </c>
      <c r="CE1177" s="1" t="s">
        <v>104</v>
      </c>
      <c r="CF1177" s="1" t="s">
        <v>104</v>
      </c>
      <c r="CG1177" s="1" t="s">
        <v>104</v>
      </c>
      <c r="CH1177" s="1">
        <v>1</v>
      </c>
      <c r="CJ1177" s="1">
        <v>0</v>
      </c>
      <c r="CK1177" s="1">
        <v>0</v>
      </c>
      <c r="CL1177" s="1">
        <v>0</v>
      </c>
      <c r="CM1177" s="1" t="s">
        <v>104</v>
      </c>
    </row>
    <row r="1178" spans="1:91" ht="14.25" customHeight="1" x14ac:dyDescent="0.3">
      <c r="A1178" s="1" t="s">
        <v>7041</v>
      </c>
      <c r="B1178" s="1" t="s">
        <v>92</v>
      </c>
      <c r="C1178" s="1" t="s">
        <v>903</v>
      </c>
      <c r="E1178" s="1" t="s">
        <v>7042</v>
      </c>
      <c r="F1178" s="1" t="s">
        <v>287</v>
      </c>
      <c r="G1178" s="1" t="s">
        <v>7043</v>
      </c>
      <c r="H1178" s="1">
        <v>0</v>
      </c>
      <c r="I1178" s="1" t="s">
        <v>117</v>
      </c>
      <c r="K1178" s="1" t="s">
        <v>3656</v>
      </c>
      <c r="M1178" s="1" t="s">
        <v>6986</v>
      </c>
      <c r="N1178" s="1">
        <v>1</v>
      </c>
      <c r="O1178" s="1">
        <v>0</v>
      </c>
      <c r="P1178" s="1" t="s">
        <v>100</v>
      </c>
      <c r="Q1178" s="1" t="s">
        <v>101</v>
      </c>
      <c r="R1178" s="1" t="s">
        <v>7044</v>
      </c>
      <c r="S1178" s="1" t="s">
        <v>7029</v>
      </c>
      <c r="T1178" s="1">
        <v>1</v>
      </c>
      <c r="U1178" s="1">
        <v>1</v>
      </c>
      <c r="V1178" s="1">
        <v>1</v>
      </c>
      <c r="W1178" s="1">
        <v>0</v>
      </c>
      <c r="X1178" s="1">
        <v>1</v>
      </c>
      <c r="Y1178" s="1">
        <v>3</v>
      </c>
      <c r="Z1178" s="1">
        <v>3</v>
      </c>
      <c r="AA1178" s="1">
        <v>3</v>
      </c>
      <c r="AB1178" s="1">
        <v>3</v>
      </c>
      <c r="AC1178" s="1">
        <v>3</v>
      </c>
      <c r="AD1178" s="1" t="s">
        <v>104</v>
      </c>
      <c r="AE1178" s="1" t="s">
        <v>104</v>
      </c>
      <c r="AF1178" s="1" t="s">
        <v>104</v>
      </c>
      <c r="AG1178" s="1">
        <v>3</v>
      </c>
      <c r="AH1178" s="1" t="s">
        <v>104</v>
      </c>
      <c r="AI1178" s="1" t="s">
        <v>104</v>
      </c>
      <c r="AJ1178" s="1">
        <v>3</v>
      </c>
      <c r="AK1178" s="1" t="s">
        <v>104</v>
      </c>
      <c r="AL1178" s="1" t="s">
        <v>104</v>
      </c>
      <c r="AM1178" s="1" t="s">
        <v>104</v>
      </c>
      <c r="AN1178" s="1" t="s">
        <v>7045</v>
      </c>
      <c r="AO1178" s="1">
        <v>3</v>
      </c>
      <c r="AR1178" s="1">
        <v>0</v>
      </c>
      <c r="AS1178" s="1">
        <v>0</v>
      </c>
      <c r="AT1178" s="1">
        <v>0</v>
      </c>
      <c r="AU1178" s="1">
        <v>0</v>
      </c>
      <c r="AV1178" s="1">
        <v>0</v>
      </c>
      <c r="AW1178" s="1">
        <v>0</v>
      </c>
      <c r="AX1178" s="1">
        <v>0</v>
      </c>
      <c r="AY1178" s="1">
        <v>0</v>
      </c>
      <c r="AZ1178" s="1">
        <v>0</v>
      </c>
      <c r="BA1178" s="1">
        <v>0</v>
      </c>
      <c r="BB1178" s="1">
        <v>0</v>
      </c>
      <c r="BC1178" s="1">
        <v>0</v>
      </c>
      <c r="BD1178" s="1">
        <v>0</v>
      </c>
      <c r="BE1178" s="1">
        <v>0</v>
      </c>
      <c r="BF1178" s="1">
        <v>0</v>
      </c>
      <c r="BG1178" s="1">
        <v>0</v>
      </c>
      <c r="BH1178" s="1">
        <v>0</v>
      </c>
      <c r="BI1178" s="1">
        <v>0</v>
      </c>
      <c r="BJ1178" s="1">
        <v>0</v>
      </c>
      <c r="BK1178" s="1">
        <v>0</v>
      </c>
      <c r="BL1178" s="1">
        <v>0</v>
      </c>
      <c r="BM1178" s="1">
        <v>0</v>
      </c>
      <c r="BN1178" s="1">
        <v>0</v>
      </c>
      <c r="BO1178" s="1">
        <v>0</v>
      </c>
      <c r="BP1178" s="1">
        <v>0</v>
      </c>
      <c r="BQ1178" s="1" t="s">
        <v>104</v>
      </c>
      <c r="BR1178" s="1">
        <v>1222</v>
      </c>
      <c r="BS1178" s="1" t="s">
        <v>104</v>
      </c>
      <c r="BX1178" s="1">
        <v>0</v>
      </c>
      <c r="BY1178" s="1" t="s">
        <v>104</v>
      </c>
      <c r="BZ1178" s="1" t="s">
        <v>104</v>
      </c>
      <c r="CA1178" s="1" t="s">
        <v>104</v>
      </c>
      <c r="CB1178" s="1" t="s">
        <v>104</v>
      </c>
      <c r="CC1178" s="1" t="s">
        <v>104</v>
      </c>
      <c r="CD1178" s="1" t="s">
        <v>104</v>
      </c>
      <c r="CE1178" s="1" t="s">
        <v>104</v>
      </c>
      <c r="CF1178" s="1" t="s">
        <v>104</v>
      </c>
      <c r="CG1178" s="1" t="s">
        <v>104</v>
      </c>
      <c r="CH1178" s="1">
        <v>3</v>
      </c>
      <c r="CJ1178" s="1">
        <v>0</v>
      </c>
      <c r="CK1178" s="1">
        <v>0</v>
      </c>
      <c r="CL1178" s="1">
        <v>0</v>
      </c>
      <c r="CM1178" s="1">
        <v>3</v>
      </c>
    </row>
    <row r="1179" spans="1:91" ht="14.25" customHeight="1" x14ac:dyDescent="0.3">
      <c r="A1179" s="1" t="s">
        <v>7046</v>
      </c>
      <c r="B1179" s="1" t="s">
        <v>434</v>
      </c>
      <c r="D1179" s="1" t="s">
        <v>57</v>
      </c>
      <c r="E1179" s="1" t="s">
        <v>4214</v>
      </c>
      <c r="F1179" s="1" t="s">
        <v>95</v>
      </c>
      <c r="G1179" s="1" t="s">
        <v>116</v>
      </c>
      <c r="H1179" s="1">
        <v>0</v>
      </c>
      <c r="I1179" s="1" t="s">
        <v>117</v>
      </c>
      <c r="L1179" s="1" t="s">
        <v>7047</v>
      </c>
      <c r="M1179" s="1" t="s">
        <v>119</v>
      </c>
      <c r="N1179" s="1">
        <v>0</v>
      </c>
      <c r="O1179" s="1">
        <v>0</v>
      </c>
      <c r="P1179" s="1" t="s">
        <v>5842</v>
      </c>
      <c r="Q1179" s="1" t="s">
        <v>184</v>
      </c>
      <c r="R1179" s="1" t="s">
        <v>7048</v>
      </c>
      <c r="S1179" s="1" t="s">
        <v>7049</v>
      </c>
      <c r="T1179" s="1">
        <v>1</v>
      </c>
      <c r="U1179" s="1">
        <v>1</v>
      </c>
      <c r="V1179" s="1">
        <v>0</v>
      </c>
      <c r="W1179" s="1">
        <v>0</v>
      </c>
      <c r="X1179" s="1">
        <v>0</v>
      </c>
      <c r="Y1179" s="1">
        <v>3</v>
      </c>
      <c r="Z1179" s="1">
        <v>3</v>
      </c>
      <c r="AA1179" s="1" t="s">
        <v>104</v>
      </c>
      <c r="AB1179" s="1" t="s">
        <v>104</v>
      </c>
      <c r="AC1179" s="1" t="s">
        <v>104</v>
      </c>
      <c r="AD1179" s="1" t="s">
        <v>104</v>
      </c>
      <c r="AE1179" s="1" t="s">
        <v>104</v>
      </c>
      <c r="AF1179" s="1" t="s">
        <v>104</v>
      </c>
      <c r="AG1179" s="1" t="s">
        <v>104</v>
      </c>
      <c r="AH1179" s="1" t="s">
        <v>104</v>
      </c>
      <c r="AI1179" s="1" t="s">
        <v>104</v>
      </c>
      <c r="AJ1179" s="1" t="s">
        <v>104</v>
      </c>
      <c r="AK1179" s="1" t="s">
        <v>104</v>
      </c>
      <c r="AL1179" s="1" t="s">
        <v>104</v>
      </c>
      <c r="AM1179" s="1" t="s">
        <v>104</v>
      </c>
      <c r="AO1179" s="1">
        <v>3</v>
      </c>
      <c r="AR1179" s="1">
        <v>0</v>
      </c>
      <c r="AS1179" s="1">
        <v>0</v>
      </c>
      <c r="AT1179" s="1">
        <v>0</v>
      </c>
      <c r="AU1179" s="1">
        <v>0</v>
      </c>
      <c r="AV1179" s="1">
        <v>0</v>
      </c>
      <c r="AW1179" s="1">
        <v>0</v>
      </c>
      <c r="AX1179" s="1">
        <v>0</v>
      </c>
      <c r="AY1179" s="1">
        <v>0</v>
      </c>
      <c r="AZ1179" s="1">
        <v>0</v>
      </c>
      <c r="BA1179" s="1">
        <v>0</v>
      </c>
      <c r="BB1179" s="1">
        <v>0</v>
      </c>
      <c r="BC1179" s="1">
        <v>0</v>
      </c>
      <c r="BD1179" s="1">
        <v>0</v>
      </c>
      <c r="BE1179" s="1">
        <v>0</v>
      </c>
      <c r="BF1179" s="1">
        <v>1</v>
      </c>
      <c r="BG1179" s="1">
        <v>0</v>
      </c>
      <c r="BH1179" s="1">
        <v>0</v>
      </c>
      <c r="BI1179" s="1">
        <v>0</v>
      </c>
      <c r="BJ1179" s="1">
        <v>0</v>
      </c>
      <c r="BK1179" s="1">
        <v>0</v>
      </c>
      <c r="BL1179" s="1">
        <v>0</v>
      </c>
      <c r="BM1179" s="1">
        <v>0</v>
      </c>
      <c r="BN1179" s="1">
        <v>0</v>
      </c>
      <c r="BO1179" s="1">
        <v>0</v>
      </c>
      <c r="BP1179" s="1">
        <v>0</v>
      </c>
      <c r="BQ1179" s="1" t="s">
        <v>104</v>
      </c>
      <c r="BR1179" s="1">
        <v>1223</v>
      </c>
      <c r="BS1179" s="1" t="s">
        <v>104</v>
      </c>
      <c r="BX1179" s="1">
        <v>0</v>
      </c>
      <c r="BY1179" s="1" t="s">
        <v>104</v>
      </c>
      <c r="BZ1179" s="1" t="s">
        <v>104</v>
      </c>
      <c r="CA1179" s="1" t="s">
        <v>104</v>
      </c>
      <c r="CB1179" s="1" t="s">
        <v>104</v>
      </c>
      <c r="CC1179" s="1" t="s">
        <v>104</v>
      </c>
      <c r="CD1179" s="1" t="s">
        <v>104</v>
      </c>
      <c r="CE1179" s="1" t="s">
        <v>104</v>
      </c>
      <c r="CF1179" s="1" t="s">
        <v>104</v>
      </c>
      <c r="CG1179" s="1" t="s">
        <v>104</v>
      </c>
      <c r="CH1179" s="1" t="s">
        <v>104</v>
      </c>
      <c r="CJ1179" s="1">
        <v>0</v>
      </c>
      <c r="CK1179" s="1">
        <v>0</v>
      </c>
      <c r="CL1179" s="1">
        <v>0</v>
      </c>
      <c r="CM1179" s="1" t="s">
        <v>104</v>
      </c>
    </row>
    <row r="1180" spans="1:91" ht="14.25" customHeight="1" x14ac:dyDescent="0.3">
      <c r="A1180" s="1" t="s">
        <v>7050</v>
      </c>
      <c r="B1180" s="1" t="s">
        <v>162</v>
      </c>
      <c r="E1180" s="1" t="s">
        <v>7051</v>
      </c>
      <c r="F1180" s="1" t="s">
        <v>95</v>
      </c>
      <c r="G1180" s="1" t="s">
        <v>7052</v>
      </c>
      <c r="H1180" s="1">
        <v>0</v>
      </c>
      <c r="I1180" s="1" t="s">
        <v>256</v>
      </c>
      <c r="J1180" s="1" t="s">
        <v>257</v>
      </c>
      <c r="M1180" s="1" t="s">
        <v>4641</v>
      </c>
      <c r="N1180" s="1">
        <v>1</v>
      </c>
      <c r="O1180" s="1">
        <v>0</v>
      </c>
      <c r="P1180" s="1" t="s">
        <v>7053</v>
      </c>
      <c r="Q1180" s="1" t="s">
        <v>184</v>
      </c>
      <c r="R1180" s="1" t="s">
        <v>7054</v>
      </c>
      <c r="S1180" s="1" t="s">
        <v>7049</v>
      </c>
      <c r="T1180" s="1">
        <v>1</v>
      </c>
      <c r="U1180" s="1">
        <v>1</v>
      </c>
      <c r="V1180" s="1">
        <v>1</v>
      </c>
      <c r="W1180" s="1">
        <v>0</v>
      </c>
      <c r="X1180" s="1">
        <v>1</v>
      </c>
      <c r="Y1180" s="1">
        <v>6</v>
      </c>
      <c r="Z1180" s="1">
        <v>6</v>
      </c>
      <c r="AA1180" s="1">
        <v>5</v>
      </c>
      <c r="AB1180" s="1" t="s">
        <v>104</v>
      </c>
      <c r="AC1180" s="1" t="s">
        <v>104</v>
      </c>
      <c r="AD1180" s="1" t="s">
        <v>104</v>
      </c>
      <c r="AE1180" s="1" t="s">
        <v>104</v>
      </c>
      <c r="AF1180" s="1" t="s">
        <v>104</v>
      </c>
      <c r="AG1180" s="1" t="s">
        <v>104</v>
      </c>
      <c r="AH1180" s="1">
        <v>6</v>
      </c>
      <c r="AI1180" s="1">
        <v>4</v>
      </c>
      <c r="AJ1180" s="1">
        <v>5</v>
      </c>
      <c r="AK1180" s="1" t="s">
        <v>104</v>
      </c>
      <c r="AL1180" s="1" t="s">
        <v>104</v>
      </c>
      <c r="AM1180" s="1" t="s">
        <v>104</v>
      </c>
      <c r="AO1180" s="1">
        <v>6</v>
      </c>
      <c r="AR1180" s="1">
        <v>0</v>
      </c>
      <c r="AS1180" s="1">
        <v>0</v>
      </c>
      <c r="AT1180" s="1">
        <v>0</v>
      </c>
      <c r="AU1180" s="1">
        <v>0</v>
      </c>
      <c r="AV1180" s="1">
        <v>0</v>
      </c>
      <c r="AW1180" s="1">
        <v>0</v>
      </c>
      <c r="AX1180" s="1">
        <v>0</v>
      </c>
      <c r="AY1180" s="1">
        <v>0</v>
      </c>
      <c r="AZ1180" s="1">
        <v>0</v>
      </c>
      <c r="BA1180" s="1">
        <v>0</v>
      </c>
      <c r="BB1180" s="1">
        <v>0</v>
      </c>
      <c r="BC1180" s="1">
        <v>0</v>
      </c>
      <c r="BD1180" s="1">
        <v>0</v>
      </c>
      <c r="BE1180" s="1">
        <v>0</v>
      </c>
      <c r="BF1180" s="1">
        <v>0</v>
      </c>
      <c r="BG1180" s="1">
        <v>0</v>
      </c>
      <c r="BH1180" s="1">
        <v>0</v>
      </c>
      <c r="BI1180" s="1">
        <v>0</v>
      </c>
      <c r="BJ1180" s="1">
        <v>0</v>
      </c>
      <c r="BK1180" s="1">
        <v>0</v>
      </c>
      <c r="BL1180" s="1">
        <v>0</v>
      </c>
      <c r="BM1180" s="1">
        <v>0</v>
      </c>
      <c r="BN1180" s="1">
        <v>0</v>
      </c>
      <c r="BO1180" s="1">
        <v>0</v>
      </c>
      <c r="BP1180" s="1">
        <v>0</v>
      </c>
      <c r="BQ1180" s="1" t="s">
        <v>104</v>
      </c>
      <c r="BR1180" s="1">
        <v>1224</v>
      </c>
      <c r="BS1180" s="1" t="s">
        <v>104</v>
      </c>
      <c r="BX1180" s="1">
        <v>0</v>
      </c>
      <c r="BY1180" s="1" t="s">
        <v>104</v>
      </c>
      <c r="BZ1180" s="1" t="s">
        <v>104</v>
      </c>
      <c r="CA1180" s="1" t="s">
        <v>104</v>
      </c>
      <c r="CB1180" s="1" t="s">
        <v>104</v>
      </c>
      <c r="CC1180" s="1" t="s">
        <v>104</v>
      </c>
      <c r="CD1180" s="1" t="s">
        <v>104</v>
      </c>
      <c r="CE1180" s="1" t="s">
        <v>104</v>
      </c>
      <c r="CF1180" s="1" t="s">
        <v>104</v>
      </c>
      <c r="CG1180" s="1" t="s">
        <v>104</v>
      </c>
      <c r="CH1180" s="1" t="s">
        <v>104</v>
      </c>
      <c r="CJ1180" s="1">
        <v>0</v>
      </c>
      <c r="CK1180" s="1">
        <v>0</v>
      </c>
      <c r="CL1180" s="1">
        <v>0</v>
      </c>
      <c r="CM1180" s="1" t="s">
        <v>104</v>
      </c>
    </row>
    <row r="1181" spans="1:91" ht="14.25" customHeight="1" x14ac:dyDescent="0.3">
      <c r="A1181" s="1" t="s">
        <v>7055</v>
      </c>
      <c r="B1181" s="1" t="s">
        <v>137</v>
      </c>
      <c r="E1181" s="1" t="s">
        <v>7056</v>
      </c>
      <c r="F1181" s="1" t="s">
        <v>95</v>
      </c>
      <c r="G1181" s="1" t="s">
        <v>116</v>
      </c>
      <c r="H1181" s="1">
        <v>0</v>
      </c>
      <c r="I1181" s="1" t="s">
        <v>128</v>
      </c>
      <c r="L1181" s="1" t="s">
        <v>7057</v>
      </c>
      <c r="M1181" s="1" t="s">
        <v>111</v>
      </c>
      <c r="N1181" s="1">
        <v>0</v>
      </c>
      <c r="O1181" s="1">
        <v>0</v>
      </c>
      <c r="P1181" s="1" t="s">
        <v>100</v>
      </c>
      <c r="Q1181" s="1" t="s">
        <v>101</v>
      </c>
      <c r="R1181" s="1" t="s">
        <v>7058</v>
      </c>
      <c r="S1181" s="1" t="s">
        <v>4201</v>
      </c>
      <c r="T1181" s="1">
        <v>1</v>
      </c>
      <c r="U1181" s="1">
        <v>1</v>
      </c>
      <c r="V1181" s="1">
        <v>0</v>
      </c>
      <c r="W1181" s="1">
        <v>0</v>
      </c>
      <c r="X1181" s="1">
        <v>0</v>
      </c>
      <c r="Y1181" s="1">
        <v>2</v>
      </c>
      <c r="Z1181" s="1">
        <v>2</v>
      </c>
      <c r="AA1181" s="1" t="s">
        <v>104</v>
      </c>
      <c r="AB1181" s="1" t="s">
        <v>104</v>
      </c>
      <c r="AC1181" s="1" t="s">
        <v>104</v>
      </c>
      <c r="AD1181" s="1">
        <v>2</v>
      </c>
      <c r="AE1181" s="1" t="s">
        <v>104</v>
      </c>
      <c r="AF1181" s="1" t="s">
        <v>104</v>
      </c>
      <c r="AG1181" s="1" t="s">
        <v>104</v>
      </c>
      <c r="AH1181" s="1">
        <v>2</v>
      </c>
      <c r="AI1181" s="1" t="s">
        <v>104</v>
      </c>
      <c r="AJ1181" s="1" t="s">
        <v>104</v>
      </c>
      <c r="AK1181" s="1" t="s">
        <v>104</v>
      </c>
      <c r="AL1181" s="1" t="s">
        <v>104</v>
      </c>
      <c r="AM1181" s="1" t="s">
        <v>104</v>
      </c>
      <c r="AO1181" s="1">
        <v>2</v>
      </c>
      <c r="AQ1181" s="1" t="s">
        <v>7059</v>
      </c>
      <c r="AR1181" s="1">
        <v>0</v>
      </c>
      <c r="AS1181" s="1">
        <v>0</v>
      </c>
      <c r="AT1181" s="1">
        <v>0</v>
      </c>
      <c r="AU1181" s="1">
        <v>0</v>
      </c>
      <c r="AV1181" s="1">
        <v>0</v>
      </c>
      <c r="AW1181" s="1">
        <v>0</v>
      </c>
      <c r="AX1181" s="1">
        <v>0</v>
      </c>
      <c r="AY1181" s="1">
        <v>0</v>
      </c>
      <c r="AZ1181" s="1">
        <v>0</v>
      </c>
      <c r="BA1181" s="1">
        <v>0</v>
      </c>
      <c r="BB1181" s="1">
        <v>0</v>
      </c>
      <c r="BC1181" s="1">
        <v>0</v>
      </c>
      <c r="BD1181" s="1">
        <v>0</v>
      </c>
      <c r="BE1181" s="1">
        <v>0</v>
      </c>
      <c r="BF1181" s="1">
        <v>0</v>
      </c>
      <c r="BG1181" s="1">
        <v>0</v>
      </c>
      <c r="BH1181" s="1">
        <v>0</v>
      </c>
      <c r="BI1181" s="1">
        <v>0</v>
      </c>
      <c r="BJ1181" s="1">
        <v>0</v>
      </c>
      <c r="BK1181" s="1">
        <v>0</v>
      </c>
      <c r="BL1181" s="1">
        <v>0</v>
      </c>
      <c r="BM1181" s="1">
        <v>0</v>
      </c>
      <c r="BN1181" s="1">
        <v>0</v>
      </c>
      <c r="BO1181" s="1">
        <v>0</v>
      </c>
      <c r="BP1181" s="1">
        <v>0</v>
      </c>
      <c r="BQ1181" s="1" t="s">
        <v>104</v>
      </c>
      <c r="BR1181" s="1">
        <v>1234</v>
      </c>
      <c r="BS1181" s="1" t="s">
        <v>104</v>
      </c>
      <c r="BX1181" s="1">
        <v>0</v>
      </c>
      <c r="BY1181" s="1" t="s">
        <v>104</v>
      </c>
      <c r="BZ1181" s="1" t="s">
        <v>104</v>
      </c>
      <c r="CA1181" s="1" t="s">
        <v>104</v>
      </c>
      <c r="CB1181" s="1" t="s">
        <v>104</v>
      </c>
      <c r="CC1181" s="1" t="s">
        <v>104</v>
      </c>
      <c r="CD1181" s="1">
        <v>2</v>
      </c>
      <c r="CE1181" s="1" t="s">
        <v>104</v>
      </c>
      <c r="CF1181" s="1" t="s">
        <v>104</v>
      </c>
      <c r="CG1181" s="1" t="s">
        <v>104</v>
      </c>
      <c r="CH1181" s="1" t="s">
        <v>104</v>
      </c>
      <c r="CJ1181" s="1">
        <v>0</v>
      </c>
      <c r="CK1181" s="1">
        <v>0</v>
      </c>
      <c r="CL1181" s="1">
        <v>0</v>
      </c>
      <c r="CM1181" s="1" t="s">
        <v>104</v>
      </c>
    </row>
    <row r="1182" spans="1:91" ht="14.25" customHeight="1" x14ac:dyDescent="0.3">
      <c r="A1182" s="1" t="s">
        <v>7060</v>
      </c>
      <c r="B1182" s="1" t="s">
        <v>172</v>
      </c>
      <c r="E1182" s="1" t="s">
        <v>7061</v>
      </c>
      <c r="F1182" s="1" t="s">
        <v>95</v>
      </c>
      <c r="G1182" s="1" t="s">
        <v>7062</v>
      </c>
      <c r="H1182" s="1">
        <v>1</v>
      </c>
      <c r="I1182" s="1" t="s">
        <v>157</v>
      </c>
      <c r="L1182" s="1" t="s">
        <v>158</v>
      </c>
      <c r="M1182" s="1" t="s">
        <v>4641</v>
      </c>
      <c r="N1182" s="1">
        <v>1</v>
      </c>
      <c r="O1182" s="1">
        <v>0</v>
      </c>
      <c r="R1182" s="1" t="s">
        <v>7063</v>
      </c>
      <c r="S1182" s="1" t="s">
        <v>7064</v>
      </c>
      <c r="T1182" s="1">
        <v>1</v>
      </c>
      <c r="U1182" s="1">
        <v>1</v>
      </c>
      <c r="V1182" s="1">
        <v>0</v>
      </c>
      <c r="W1182" s="1">
        <v>0</v>
      </c>
      <c r="X1182" s="1">
        <v>0</v>
      </c>
      <c r="Y1182" s="1">
        <v>2</v>
      </c>
      <c r="Z1182" s="1">
        <v>2</v>
      </c>
      <c r="AA1182" s="1" t="s">
        <v>104</v>
      </c>
      <c r="AB1182" s="1" t="s">
        <v>104</v>
      </c>
      <c r="AC1182" s="1" t="s">
        <v>104</v>
      </c>
      <c r="AD1182" s="1">
        <v>2</v>
      </c>
      <c r="AE1182" s="1" t="s">
        <v>104</v>
      </c>
      <c r="AF1182" s="1">
        <v>2</v>
      </c>
      <c r="AG1182" s="1" t="s">
        <v>104</v>
      </c>
      <c r="AH1182" s="1" t="s">
        <v>104</v>
      </c>
      <c r="AI1182" s="1" t="s">
        <v>104</v>
      </c>
      <c r="AJ1182" s="1" t="s">
        <v>104</v>
      </c>
      <c r="AK1182" s="1" t="s">
        <v>104</v>
      </c>
      <c r="AL1182" s="1" t="s">
        <v>104</v>
      </c>
      <c r="AM1182" s="1" t="s">
        <v>104</v>
      </c>
      <c r="AO1182" s="1">
        <v>2</v>
      </c>
      <c r="AR1182" s="1">
        <v>0</v>
      </c>
      <c r="AS1182" s="1">
        <v>0</v>
      </c>
      <c r="AT1182" s="1">
        <v>0</v>
      </c>
      <c r="AU1182" s="1">
        <v>0</v>
      </c>
      <c r="AV1182" s="1">
        <v>0</v>
      </c>
      <c r="AW1182" s="1">
        <v>0</v>
      </c>
      <c r="AX1182" s="1">
        <v>0</v>
      </c>
      <c r="AY1182" s="1">
        <v>0</v>
      </c>
      <c r="AZ1182" s="1">
        <v>0</v>
      </c>
      <c r="BA1182" s="1">
        <v>0</v>
      </c>
      <c r="BB1182" s="1">
        <v>0</v>
      </c>
      <c r="BC1182" s="1">
        <v>0</v>
      </c>
      <c r="BD1182" s="1">
        <v>0</v>
      </c>
      <c r="BE1182" s="1">
        <v>0</v>
      </c>
      <c r="BF1182" s="1">
        <v>0</v>
      </c>
      <c r="BG1182" s="1">
        <v>0</v>
      </c>
      <c r="BH1182" s="1">
        <v>0</v>
      </c>
      <c r="BI1182" s="1">
        <v>0</v>
      </c>
      <c r="BJ1182" s="1">
        <v>0</v>
      </c>
      <c r="BK1182" s="1">
        <v>0</v>
      </c>
      <c r="BL1182" s="1">
        <v>0</v>
      </c>
      <c r="BM1182" s="1">
        <v>0</v>
      </c>
      <c r="BN1182" s="1">
        <v>0</v>
      </c>
      <c r="BO1182" s="1">
        <v>0</v>
      </c>
      <c r="BP1182" s="1">
        <v>0</v>
      </c>
      <c r="BQ1182" s="1" t="s">
        <v>104</v>
      </c>
      <c r="BR1182" s="1">
        <v>1235</v>
      </c>
      <c r="BS1182" s="1">
        <v>100</v>
      </c>
      <c r="BX1182" s="1">
        <v>0</v>
      </c>
      <c r="BY1182" s="1" t="s">
        <v>104</v>
      </c>
      <c r="BZ1182" s="1" t="s">
        <v>104</v>
      </c>
      <c r="CA1182" s="1" t="s">
        <v>104</v>
      </c>
      <c r="CB1182" s="1" t="s">
        <v>104</v>
      </c>
      <c r="CC1182" s="1" t="s">
        <v>104</v>
      </c>
      <c r="CD1182" s="1" t="s">
        <v>104</v>
      </c>
      <c r="CE1182" s="1" t="s">
        <v>104</v>
      </c>
      <c r="CF1182" s="1" t="s">
        <v>104</v>
      </c>
      <c r="CG1182" s="1" t="s">
        <v>104</v>
      </c>
      <c r="CH1182" s="1" t="s">
        <v>104</v>
      </c>
      <c r="CJ1182" s="1">
        <v>0</v>
      </c>
      <c r="CK1182" s="1">
        <v>0</v>
      </c>
      <c r="CL1182" s="1">
        <v>0</v>
      </c>
      <c r="CM1182" s="1" t="s">
        <v>104</v>
      </c>
    </row>
    <row r="1183" spans="1:91" ht="14.25" customHeight="1" x14ac:dyDescent="0.3">
      <c r="A1183" s="1" t="s">
        <v>7065</v>
      </c>
      <c r="B1183" s="1" t="s">
        <v>162</v>
      </c>
      <c r="E1183" s="1" t="s">
        <v>4219</v>
      </c>
      <c r="F1183" s="1" t="s">
        <v>95</v>
      </c>
      <c r="G1183" s="1" t="s">
        <v>7066</v>
      </c>
      <c r="H1183" s="1">
        <v>1</v>
      </c>
      <c r="I1183" s="1" t="s">
        <v>157</v>
      </c>
      <c r="L1183" s="1" t="s">
        <v>158</v>
      </c>
      <c r="M1183" s="1" t="s">
        <v>7067</v>
      </c>
      <c r="N1183" s="1">
        <v>0</v>
      </c>
      <c r="O1183" s="1">
        <v>0</v>
      </c>
      <c r="R1183" s="1" t="s">
        <v>7068</v>
      </c>
      <c r="S1183" s="1" t="s">
        <v>7064</v>
      </c>
      <c r="T1183" s="1">
        <v>1</v>
      </c>
      <c r="U1183" s="1">
        <v>1</v>
      </c>
      <c r="V1183" s="1">
        <v>1</v>
      </c>
      <c r="W1183" s="1">
        <v>0</v>
      </c>
      <c r="X1183" s="1">
        <v>0</v>
      </c>
      <c r="Y1183" s="1">
        <v>4</v>
      </c>
      <c r="Z1183" s="1">
        <v>4</v>
      </c>
      <c r="AA1183" s="1" t="s">
        <v>104</v>
      </c>
      <c r="AB1183" s="1" t="s">
        <v>104</v>
      </c>
      <c r="AC1183" s="1" t="s">
        <v>104</v>
      </c>
      <c r="AD1183" s="1" t="s">
        <v>104</v>
      </c>
      <c r="AE1183" s="1" t="s">
        <v>104</v>
      </c>
      <c r="AF1183" s="1" t="s">
        <v>104</v>
      </c>
      <c r="AG1183" s="1" t="s">
        <v>104</v>
      </c>
      <c r="AH1183" s="1" t="s">
        <v>104</v>
      </c>
      <c r="AI1183" s="1" t="s">
        <v>104</v>
      </c>
      <c r="AJ1183" s="1" t="s">
        <v>104</v>
      </c>
      <c r="AK1183" s="1" t="s">
        <v>104</v>
      </c>
      <c r="AL1183" s="1" t="s">
        <v>104</v>
      </c>
      <c r="AM1183" s="1" t="s">
        <v>104</v>
      </c>
      <c r="AO1183" s="1">
        <v>4</v>
      </c>
      <c r="AR1183" s="1">
        <v>0</v>
      </c>
      <c r="AS1183" s="1">
        <v>0</v>
      </c>
      <c r="AT1183" s="1">
        <v>0</v>
      </c>
      <c r="AU1183" s="1">
        <v>0</v>
      </c>
      <c r="AV1183" s="1">
        <v>0</v>
      </c>
      <c r="AW1183" s="1">
        <v>0</v>
      </c>
      <c r="AX1183" s="1">
        <v>0</v>
      </c>
      <c r="AY1183" s="1">
        <v>0</v>
      </c>
      <c r="AZ1183" s="1">
        <v>0</v>
      </c>
      <c r="BA1183" s="1">
        <v>0</v>
      </c>
      <c r="BB1183" s="1">
        <v>0</v>
      </c>
      <c r="BC1183" s="1">
        <v>0</v>
      </c>
      <c r="BD1183" s="1">
        <v>0</v>
      </c>
      <c r="BE1183" s="1">
        <v>0</v>
      </c>
      <c r="BF1183" s="1">
        <v>0</v>
      </c>
      <c r="BG1183" s="1">
        <v>0</v>
      </c>
      <c r="BH1183" s="1">
        <v>0</v>
      </c>
      <c r="BI1183" s="1">
        <v>0</v>
      </c>
      <c r="BJ1183" s="1">
        <v>0</v>
      </c>
      <c r="BK1183" s="1">
        <v>0</v>
      </c>
      <c r="BL1183" s="1">
        <v>0</v>
      </c>
      <c r="BM1183" s="1">
        <v>0</v>
      </c>
      <c r="BN1183" s="1">
        <v>0</v>
      </c>
      <c r="BO1183" s="1">
        <v>0</v>
      </c>
      <c r="BP1183" s="1">
        <v>0</v>
      </c>
      <c r="BQ1183" s="1" t="s">
        <v>104</v>
      </c>
      <c r="BR1183" s="1">
        <v>1236</v>
      </c>
      <c r="BS1183" s="1">
        <v>100</v>
      </c>
      <c r="BX1183" s="1">
        <v>0</v>
      </c>
      <c r="BY1183" s="1" t="s">
        <v>104</v>
      </c>
      <c r="BZ1183" s="1" t="s">
        <v>104</v>
      </c>
      <c r="CA1183" s="1" t="s">
        <v>104</v>
      </c>
      <c r="CB1183" s="1" t="s">
        <v>104</v>
      </c>
      <c r="CC1183" s="1" t="s">
        <v>104</v>
      </c>
      <c r="CD1183" s="1" t="s">
        <v>104</v>
      </c>
      <c r="CE1183" s="1" t="s">
        <v>104</v>
      </c>
      <c r="CF1183" s="1" t="s">
        <v>104</v>
      </c>
      <c r="CG1183" s="1" t="s">
        <v>104</v>
      </c>
      <c r="CH1183" s="1" t="s">
        <v>104</v>
      </c>
      <c r="CJ1183" s="1">
        <v>0</v>
      </c>
      <c r="CK1183" s="1">
        <v>0</v>
      </c>
      <c r="CL1183" s="1">
        <v>0</v>
      </c>
      <c r="CM1183" s="1" t="s">
        <v>104</v>
      </c>
    </row>
    <row r="1184" spans="1:91" ht="14.25" customHeight="1" x14ac:dyDescent="0.3">
      <c r="A1184" s="1" t="s">
        <v>7069</v>
      </c>
      <c r="B1184" s="1" t="s">
        <v>123</v>
      </c>
      <c r="C1184" s="1" t="s">
        <v>124</v>
      </c>
      <c r="E1184" s="1" t="s">
        <v>7070</v>
      </c>
      <c r="F1184" s="1" t="s">
        <v>95</v>
      </c>
      <c r="G1184" s="1" t="s">
        <v>127</v>
      </c>
      <c r="H1184" s="1">
        <v>0</v>
      </c>
      <c r="I1184" s="1" t="s">
        <v>117</v>
      </c>
      <c r="L1184" s="1" t="s">
        <v>7071</v>
      </c>
      <c r="M1184" s="1" t="s">
        <v>426</v>
      </c>
      <c r="N1184" s="1">
        <v>1</v>
      </c>
      <c r="O1184" s="1">
        <v>0</v>
      </c>
      <c r="P1184" s="1" t="s">
        <v>211</v>
      </c>
      <c r="Q1184" s="1" t="s">
        <v>184</v>
      </c>
      <c r="R1184" s="1" t="s">
        <v>7072</v>
      </c>
      <c r="S1184" s="1" t="s">
        <v>7064</v>
      </c>
      <c r="T1184" s="1">
        <v>1</v>
      </c>
      <c r="U1184" s="1">
        <v>1</v>
      </c>
      <c r="V1184" s="1">
        <v>0</v>
      </c>
      <c r="W1184" s="1">
        <v>0</v>
      </c>
      <c r="X1184" s="1">
        <v>1</v>
      </c>
      <c r="Y1184" s="1">
        <v>4</v>
      </c>
      <c r="Z1184" s="1">
        <v>4</v>
      </c>
      <c r="AA1184" s="1" t="s">
        <v>104</v>
      </c>
      <c r="AB1184" s="1">
        <v>3</v>
      </c>
      <c r="AC1184" s="1" t="s">
        <v>104</v>
      </c>
      <c r="AD1184" s="1" t="s">
        <v>104</v>
      </c>
      <c r="AE1184" s="1" t="s">
        <v>104</v>
      </c>
      <c r="AF1184" s="1" t="s">
        <v>104</v>
      </c>
      <c r="AG1184" s="1">
        <v>3</v>
      </c>
      <c r="AH1184" s="1">
        <v>4</v>
      </c>
      <c r="AI1184" s="1">
        <v>3</v>
      </c>
      <c r="AJ1184" s="1" t="s">
        <v>104</v>
      </c>
      <c r="AK1184" s="1" t="s">
        <v>104</v>
      </c>
      <c r="AL1184" s="1" t="s">
        <v>104</v>
      </c>
      <c r="AM1184" s="1" t="s">
        <v>104</v>
      </c>
      <c r="AO1184" s="1">
        <v>4</v>
      </c>
      <c r="AR1184" s="1">
        <v>0</v>
      </c>
      <c r="AS1184" s="1">
        <v>0</v>
      </c>
      <c r="AT1184" s="1">
        <v>0</v>
      </c>
      <c r="AU1184" s="1">
        <v>0</v>
      </c>
      <c r="AV1184" s="1">
        <v>0</v>
      </c>
      <c r="AW1184" s="1">
        <v>0</v>
      </c>
      <c r="AX1184" s="1">
        <v>0</v>
      </c>
      <c r="AY1184" s="1">
        <v>0</v>
      </c>
      <c r="AZ1184" s="1">
        <v>0</v>
      </c>
      <c r="BA1184" s="1">
        <v>0</v>
      </c>
      <c r="BB1184" s="1">
        <v>0</v>
      </c>
      <c r="BC1184" s="1">
        <v>0</v>
      </c>
      <c r="BD1184" s="1">
        <v>0</v>
      </c>
      <c r="BE1184" s="1">
        <v>0</v>
      </c>
      <c r="BF1184" s="1">
        <v>0</v>
      </c>
      <c r="BG1184" s="1">
        <v>0</v>
      </c>
      <c r="BH1184" s="1">
        <v>0</v>
      </c>
      <c r="BI1184" s="1">
        <v>0</v>
      </c>
      <c r="BJ1184" s="1">
        <v>0</v>
      </c>
      <c r="BK1184" s="1">
        <v>0</v>
      </c>
      <c r="BL1184" s="1">
        <v>0</v>
      </c>
      <c r="BM1184" s="1">
        <v>0</v>
      </c>
      <c r="BN1184" s="1">
        <v>0</v>
      </c>
      <c r="BO1184" s="1">
        <v>0</v>
      </c>
      <c r="BP1184" s="1">
        <v>0</v>
      </c>
      <c r="BQ1184" s="1" t="s">
        <v>104</v>
      </c>
      <c r="BR1184" s="1">
        <v>1237</v>
      </c>
      <c r="BS1184" s="1" t="s">
        <v>104</v>
      </c>
      <c r="BX1184" s="1">
        <v>0</v>
      </c>
      <c r="BY1184" s="1" t="s">
        <v>104</v>
      </c>
      <c r="BZ1184" s="1" t="s">
        <v>104</v>
      </c>
      <c r="CA1184" s="1" t="s">
        <v>104</v>
      </c>
      <c r="CB1184" s="1" t="s">
        <v>104</v>
      </c>
      <c r="CC1184" s="1" t="s">
        <v>104</v>
      </c>
      <c r="CD1184" s="1" t="s">
        <v>104</v>
      </c>
      <c r="CE1184" s="1" t="s">
        <v>104</v>
      </c>
      <c r="CF1184" s="1" t="s">
        <v>104</v>
      </c>
      <c r="CG1184" s="1" t="s">
        <v>104</v>
      </c>
      <c r="CH1184" s="1">
        <v>3</v>
      </c>
      <c r="CJ1184" s="1">
        <v>0</v>
      </c>
      <c r="CK1184" s="1">
        <v>0</v>
      </c>
      <c r="CL1184" s="1">
        <v>0</v>
      </c>
      <c r="CM1184" s="1">
        <v>3</v>
      </c>
    </row>
    <row r="1185" spans="1:91" ht="14.25" customHeight="1" x14ac:dyDescent="0.3">
      <c r="A1185" s="1" t="s">
        <v>7073</v>
      </c>
      <c r="B1185" s="1" t="s">
        <v>123</v>
      </c>
      <c r="C1185" s="1" t="s">
        <v>124</v>
      </c>
      <c r="E1185" s="1" t="s">
        <v>7074</v>
      </c>
      <c r="F1185" s="1" t="s">
        <v>95</v>
      </c>
      <c r="G1185" s="1" t="s">
        <v>127</v>
      </c>
      <c r="H1185" s="1">
        <v>0</v>
      </c>
      <c r="I1185" s="1" t="s">
        <v>109</v>
      </c>
      <c r="L1185" s="1" t="s">
        <v>7075</v>
      </c>
      <c r="M1185" s="1" t="s">
        <v>426</v>
      </c>
      <c r="N1185" s="1">
        <v>1</v>
      </c>
      <c r="O1185" s="1">
        <v>0</v>
      </c>
      <c r="P1185" s="1" t="s">
        <v>211</v>
      </c>
      <c r="Q1185" s="1" t="s">
        <v>184</v>
      </c>
      <c r="R1185" s="1" t="s">
        <v>7076</v>
      </c>
      <c r="S1185" s="1" t="s">
        <v>7064</v>
      </c>
      <c r="T1185" s="1">
        <v>1</v>
      </c>
      <c r="U1185" s="1">
        <v>1</v>
      </c>
      <c r="V1185" s="1">
        <v>0</v>
      </c>
      <c r="W1185" s="1">
        <v>0</v>
      </c>
      <c r="X1185" s="1">
        <v>1</v>
      </c>
      <c r="Y1185" s="1">
        <v>7</v>
      </c>
      <c r="Z1185" s="1">
        <v>7</v>
      </c>
      <c r="AA1185" s="1" t="s">
        <v>104</v>
      </c>
      <c r="AB1185" s="1">
        <v>6</v>
      </c>
      <c r="AC1185" s="1" t="s">
        <v>104</v>
      </c>
      <c r="AD1185" s="1" t="s">
        <v>104</v>
      </c>
      <c r="AE1185" s="1" t="s">
        <v>104</v>
      </c>
      <c r="AF1185" s="1" t="s">
        <v>104</v>
      </c>
      <c r="AG1185" s="1">
        <v>6</v>
      </c>
      <c r="AH1185" s="1">
        <v>7</v>
      </c>
      <c r="AI1185" s="1">
        <v>6</v>
      </c>
      <c r="AJ1185" s="1" t="s">
        <v>104</v>
      </c>
      <c r="AK1185" s="1" t="s">
        <v>104</v>
      </c>
      <c r="AL1185" s="1" t="s">
        <v>104</v>
      </c>
      <c r="AM1185" s="1" t="s">
        <v>104</v>
      </c>
      <c r="AO1185" s="1">
        <v>7</v>
      </c>
      <c r="AR1185" s="1">
        <v>0</v>
      </c>
      <c r="AS1185" s="1">
        <v>0</v>
      </c>
      <c r="AT1185" s="1">
        <v>0</v>
      </c>
      <c r="AU1185" s="1">
        <v>0</v>
      </c>
      <c r="AV1185" s="1">
        <v>0</v>
      </c>
      <c r="AW1185" s="1">
        <v>0</v>
      </c>
      <c r="AX1185" s="1">
        <v>0</v>
      </c>
      <c r="AY1185" s="1">
        <v>0</v>
      </c>
      <c r="AZ1185" s="1">
        <v>0</v>
      </c>
      <c r="BA1185" s="1">
        <v>0</v>
      </c>
      <c r="BB1185" s="1">
        <v>0</v>
      </c>
      <c r="BC1185" s="1">
        <v>0</v>
      </c>
      <c r="BD1185" s="1">
        <v>0</v>
      </c>
      <c r="BE1185" s="1">
        <v>0</v>
      </c>
      <c r="BF1185" s="1">
        <v>0</v>
      </c>
      <c r="BG1185" s="1">
        <v>0</v>
      </c>
      <c r="BH1185" s="1">
        <v>0</v>
      </c>
      <c r="BI1185" s="1">
        <v>0</v>
      </c>
      <c r="BJ1185" s="1">
        <v>0</v>
      </c>
      <c r="BK1185" s="1">
        <v>0</v>
      </c>
      <c r="BL1185" s="1">
        <v>0</v>
      </c>
      <c r="BM1185" s="1">
        <v>0</v>
      </c>
      <c r="BN1185" s="1">
        <v>0</v>
      </c>
      <c r="BO1185" s="1">
        <v>0</v>
      </c>
      <c r="BP1185" s="1">
        <v>0</v>
      </c>
      <c r="BQ1185" s="1" t="s">
        <v>104</v>
      </c>
      <c r="BR1185" s="1">
        <v>1238</v>
      </c>
      <c r="BS1185" s="1" t="s">
        <v>104</v>
      </c>
      <c r="BX1185" s="1">
        <v>0</v>
      </c>
      <c r="BY1185" s="1" t="s">
        <v>104</v>
      </c>
      <c r="BZ1185" s="1" t="s">
        <v>104</v>
      </c>
      <c r="CA1185" s="1" t="s">
        <v>104</v>
      </c>
      <c r="CB1185" s="1" t="s">
        <v>104</v>
      </c>
      <c r="CC1185" s="1" t="s">
        <v>104</v>
      </c>
      <c r="CD1185" s="1" t="s">
        <v>104</v>
      </c>
      <c r="CE1185" s="1" t="s">
        <v>104</v>
      </c>
      <c r="CF1185" s="1" t="s">
        <v>104</v>
      </c>
      <c r="CG1185" s="1" t="s">
        <v>104</v>
      </c>
      <c r="CH1185" s="1">
        <v>6</v>
      </c>
      <c r="CJ1185" s="1">
        <v>0</v>
      </c>
      <c r="CK1185" s="1">
        <v>0</v>
      </c>
      <c r="CL1185" s="1">
        <v>0</v>
      </c>
      <c r="CM1185" s="1">
        <v>6</v>
      </c>
    </row>
    <row r="1186" spans="1:91" ht="14.25" customHeight="1" x14ac:dyDescent="0.3">
      <c r="A1186" s="1" t="s">
        <v>7077</v>
      </c>
      <c r="B1186" s="1" t="s">
        <v>216</v>
      </c>
      <c r="D1186" s="1" t="s">
        <v>61</v>
      </c>
      <c r="E1186" s="1" t="s">
        <v>7078</v>
      </c>
      <c r="F1186" s="1" t="s">
        <v>95</v>
      </c>
      <c r="G1186" s="1" t="s">
        <v>116</v>
      </c>
      <c r="H1186" s="1">
        <v>0</v>
      </c>
      <c r="I1186" s="1" t="s">
        <v>109</v>
      </c>
      <c r="K1186" s="1" t="s">
        <v>7079</v>
      </c>
      <c r="M1186" s="1" t="s">
        <v>4641</v>
      </c>
      <c r="N1186" s="1">
        <v>1</v>
      </c>
      <c r="O1186" s="1">
        <v>0</v>
      </c>
      <c r="P1186" s="1" t="s">
        <v>100</v>
      </c>
      <c r="Q1186" s="1" t="s">
        <v>101</v>
      </c>
      <c r="R1186" s="1" t="s">
        <v>7080</v>
      </c>
      <c r="S1186" s="1" t="s">
        <v>7064</v>
      </c>
      <c r="T1186" s="1">
        <v>1</v>
      </c>
      <c r="U1186" s="1">
        <v>1</v>
      </c>
      <c r="V1186" s="1">
        <v>0</v>
      </c>
      <c r="W1186" s="1">
        <v>0</v>
      </c>
      <c r="X1186" s="1">
        <v>0</v>
      </c>
      <c r="Y1186" s="1">
        <v>2</v>
      </c>
      <c r="Z1186" s="1">
        <v>2</v>
      </c>
      <c r="AA1186" s="1" t="s">
        <v>104</v>
      </c>
      <c r="AB1186" s="1" t="s">
        <v>104</v>
      </c>
      <c r="AC1186" s="1" t="s">
        <v>104</v>
      </c>
      <c r="AD1186" s="1" t="s">
        <v>104</v>
      </c>
      <c r="AE1186" s="1" t="s">
        <v>104</v>
      </c>
      <c r="AF1186" s="1" t="s">
        <v>104</v>
      </c>
      <c r="AG1186" s="1" t="s">
        <v>104</v>
      </c>
      <c r="AH1186" s="1">
        <v>2</v>
      </c>
      <c r="AI1186" s="1" t="s">
        <v>104</v>
      </c>
      <c r="AJ1186" s="1" t="s">
        <v>104</v>
      </c>
      <c r="AK1186" s="1" t="s">
        <v>104</v>
      </c>
      <c r="AL1186" s="1" t="s">
        <v>104</v>
      </c>
      <c r="AM1186" s="1" t="s">
        <v>104</v>
      </c>
      <c r="AO1186" s="1">
        <v>2</v>
      </c>
      <c r="AR1186" s="1">
        <v>0</v>
      </c>
      <c r="AS1186" s="1">
        <v>0</v>
      </c>
      <c r="AT1186" s="1">
        <v>0</v>
      </c>
      <c r="AU1186" s="1">
        <v>0</v>
      </c>
      <c r="AV1186" s="1">
        <v>0</v>
      </c>
      <c r="AW1186" s="1">
        <v>0</v>
      </c>
      <c r="AX1186" s="1">
        <v>0</v>
      </c>
      <c r="AY1186" s="1">
        <v>0</v>
      </c>
      <c r="AZ1186" s="1">
        <v>0</v>
      </c>
      <c r="BA1186" s="1">
        <v>0</v>
      </c>
      <c r="BB1186" s="1">
        <v>0</v>
      </c>
      <c r="BC1186" s="1">
        <v>0</v>
      </c>
      <c r="BD1186" s="1">
        <v>0</v>
      </c>
      <c r="BE1186" s="1">
        <v>0</v>
      </c>
      <c r="BF1186" s="1">
        <v>0</v>
      </c>
      <c r="BG1186" s="1">
        <v>0</v>
      </c>
      <c r="BH1186" s="1">
        <v>0</v>
      </c>
      <c r="BI1186" s="1">
        <v>0</v>
      </c>
      <c r="BJ1186" s="1">
        <v>1</v>
      </c>
      <c r="BK1186" s="1">
        <v>0</v>
      </c>
      <c r="BL1186" s="1">
        <v>0</v>
      </c>
      <c r="BM1186" s="1">
        <v>0</v>
      </c>
      <c r="BN1186" s="1">
        <v>0</v>
      </c>
      <c r="BO1186" s="1">
        <v>0</v>
      </c>
      <c r="BP1186" s="1">
        <v>0</v>
      </c>
      <c r="BQ1186" s="1" t="s">
        <v>104</v>
      </c>
      <c r="BR1186" s="1">
        <v>1239</v>
      </c>
      <c r="BS1186" s="1" t="s">
        <v>104</v>
      </c>
      <c r="BX1186" s="1">
        <v>0</v>
      </c>
      <c r="BY1186" s="1" t="s">
        <v>104</v>
      </c>
      <c r="BZ1186" s="1" t="s">
        <v>104</v>
      </c>
      <c r="CA1186" s="1" t="s">
        <v>104</v>
      </c>
      <c r="CB1186" s="1" t="s">
        <v>104</v>
      </c>
      <c r="CC1186" s="1" t="s">
        <v>104</v>
      </c>
      <c r="CD1186" s="1" t="s">
        <v>104</v>
      </c>
      <c r="CE1186" s="1" t="s">
        <v>104</v>
      </c>
      <c r="CF1186" s="1" t="s">
        <v>104</v>
      </c>
      <c r="CG1186" s="1" t="s">
        <v>104</v>
      </c>
      <c r="CH1186" s="1" t="s">
        <v>104</v>
      </c>
      <c r="CJ1186" s="1">
        <v>0</v>
      </c>
      <c r="CK1186" s="1">
        <v>0</v>
      </c>
      <c r="CL1186" s="1">
        <v>0</v>
      </c>
      <c r="CM1186" s="1" t="s">
        <v>104</v>
      </c>
    </row>
    <row r="1187" spans="1:91" ht="14.25" customHeight="1" x14ac:dyDescent="0.3">
      <c r="A1187" s="1" t="s">
        <v>7081</v>
      </c>
      <c r="B1187" s="1" t="s">
        <v>172</v>
      </c>
      <c r="E1187" s="1" t="s">
        <v>7082</v>
      </c>
      <c r="F1187" s="1" t="s">
        <v>255</v>
      </c>
      <c r="G1187" s="1" t="s">
        <v>7083</v>
      </c>
      <c r="H1187" s="1">
        <v>1</v>
      </c>
      <c r="I1187" s="1" t="s">
        <v>128</v>
      </c>
      <c r="L1187" s="1" t="s">
        <v>7084</v>
      </c>
      <c r="M1187" s="1" t="s">
        <v>4400</v>
      </c>
      <c r="N1187" s="1">
        <v>1</v>
      </c>
      <c r="O1187" s="1">
        <v>0</v>
      </c>
      <c r="P1187" s="1" t="s">
        <v>471</v>
      </c>
      <c r="Q1187" s="1" t="s">
        <v>472</v>
      </c>
      <c r="R1187" s="1" t="s">
        <v>7085</v>
      </c>
      <c r="S1187" s="1" t="s">
        <v>7064</v>
      </c>
      <c r="T1187" s="1">
        <v>1</v>
      </c>
      <c r="U1187" s="1">
        <v>1</v>
      </c>
      <c r="V1187" s="1">
        <v>1</v>
      </c>
      <c r="W1187" s="1">
        <v>0</v>
      </c>
      <c r="X1187" s="1">
        <v>0</v>
      </c>
      <c r="Y1187" s="1">
        <v>3</v>
      </c>
      <c r="Z1187" s="1">
        <v>3</v>
      </c>
      <c r="AA1187" s="1">
        <v>4</v>
      </c>
      <c r="AB1187" s="1" t="s">
        <v>104</v>
      </c>
      <c r="AC1187" s="1" t="s">
        <v>104</v>
      </c>
      <c r="AD1187" s="1" t="s">
        <v>104</v>
      </c>
      <c r="AE1187" s="1" t="s">
        <v>104</v>
      </c>
      <c r="AF1187" s="1" t="s">
        <v>104</v>
      </c>
      <c r="AG1187" s="1" t="s">
        <v>104</v>
      </c>
      <c r="AH1187" s="1" t="s">
        <v>104</v>
      </c>
      <c r="AI1187" s="1" t="s">
        <v>104</v>
      </c>
      <c r="AJ1187" s="1">
        <v>4</v>
      </c>
      <c r="AK1187" s="1" t="s">
        <v>104</v>
      </c>
      <c r="AL1187" s="1" t="s">
        <v>104</v>
      </c>
      <c r="AM1187" s="1" t="s">
        <v>104</v>
      </c>
      <c r="AO1187" s="1">
        <v>3</v>
      </c>
      <c r="AR1187" s="1">
        <v>0</v>
      </c>
      <c r="AS1187" s="1">
        <v>0</v>
      </c>
      <c r="AT1187" s="1">
        <v>0</v>
      </c>
      <c r="AU1187" s="1">
        <v>0</v>
      </c>
      <c r="AV1187" s="1">
        <v>0</v>
      </c>
      <c r="AW1187" s="1">
        <v>0</v>
      </c>
      <c r="AX1187" s="1">
        <v>0</v>
      </c>
      <c r="AY1187" s="1">
        <v>0</v>
      </c>
      <c r="AZ1187" s="1">
        <v>0</v>
      </c>
      <c r="BA1187" s="1">
        <v>0</v>
      </c>
      <c r="BB1187" s="1">
        <v>0</v>
      </c>
      <c r="BC1187" s="1">
        <v>0</v>
      </c>
      <c r="BD1187" s="1">
        <v>0</v>
      </c>
      <c r="BE1187" s="1">
        <v>0</v>
      </c>
      <c r="BF1187" s="1">
        <v>0</v>
      </c>
      <c r="BG1187" s="1">
        <v>0</v>
      </c>
      <c r="BH1187" s="1">
        <v>0</v>
      </c>
      <c r="BI1187" s="1">
        <v>0</v>
      </c>
      <c r="BJ1187" s="1">
        <v>0</v>
      </c>
      <c r="BK1187" s="1">
        <v>0</v>
      </c>
      <c r="BL1187" s="1">
        <v>0</v>
      </c>
      <c r="BM1187" s="1">
        <v>0</v>
      </c>
      <c r="BN1187" s="1">
        <v>0</v>
      </c>
      <c r="BO1187" s="1">
        <v>0</v>
      </c>
      <c r="BP1187" s="1">
        <v>0</v>
      </c>
      <c r="BQ1187" s="1" t="s">
        <v>104</v>
      </c>
      <c r="BR1187" s="1">
        <v>1240</v>
      </c>
      <c r="BS1187" s="1">
        <v>100</v>
      </c>
      <c r="BX1187" s="1">
        <v>0</v>
      </c>
      <c r="BY1187" s="1" t="s">
        <v>104</v>
      </c>
      <c r="BZ1187" s="1" t="s">
        <v>104</v>
      </c>
      <c r="CA1187" s="1" t="s">
        <v>104</v>
      </c>
      <c r="CB1187" s="1" t="s">
        <v>104</v>
      </c>
      <c r="CC1187" s="1" t="s">
        <v>104</v>
      </c>
      <c r="CD1187" s="1" t="s">
        <v>104</v>
      </c>
      <c r="CE1187" s="1" t="s">
        <v>104</v>
      </c>
      <c r="CF1187" s="1" t="s">
        <v>104</v>
      </c>
      <c r="CG1187" s="1" t="s">
        <v>104</v>
      </c>
      <c r="CH1187" s="1" t="s">
        <v>104</v>
      </c>
      <c r="CJ1187" s="1">
        <v>0</v>
      </c>
      <c r="CK1187" s="1">
        <v>0</v>
      </c>
      <c r="CL1187" s="1">
        <v>0</v>
      </c>
      <c r="CM1187" s="1" t="s">
        <v>104</v>
      </c>
    </row>
    <row r="1188" spans="1:91" ht="14.25" customHeight="1" x14ac:dyDescent="0.3">
      <c r="A1188" s="1" t="s">
        <v>7086</v>
      </c>
      <c r="B1188" s="1" t="s">
        <v>216</v>
      </c>
      <c r="E1188" s="1" t="s">
        <v>7078</v>
      </c>
      <c r="F1188" s="1" t="s">
        <v>95</v>
      </c>
      <c r="G1188" s="1" t="s">
        <v>7087</v>
      </c>
      <c r="H1188" s="1">
        <v>0</v>
      </c>
      <c r="I1188" s="1" t="s">
        <v>117</v>
      </c>
      <c r="L1188" s="1" t="s">
        <v>1065</v>
      </c>
      <c r="M1188" s="1" t="s">
        <v>119</v>
      </c>
      <c r="N1188" s="1">
        <v>0</v>
      </c>
      <c r="O1188" s="1">
        <v>0</v>
      </c>
      <c r="P1188" s="1" t="s">
        <v>183</v>
      </c>
      <c r="Q1188" s="1" t="s">
        <v>184</v>
      </c>
      <c r="R1188" s="1" t="s">
        <v>7088</v>
      </c>
      <c r="S1188" s="1" t="s">
        <v>7064</v>
      </c>
      <c r="T1188" s="1">
        <v>0</v>
      </c>
      <c r="U1188" s="1">
        <v>1</v>
      </c>
      <c r="V1188" s="1">
        <v>1</v>
      </c>
      <c r="W1188" s="1">
        <v>0</v>
      </c>
      <c r="X1188" s="1">
        <v>0</v>
      </c>
      <c r="Y1188" s="1">
        <v>2</v>
      </c>
      <c r="Z1188" s="1">
        <v>2</v>
      </c>
      <c r="AA1188" s="1" t="s">
        <v>104</v>
      </c>
      <c r="AB1188" s="1" t="s">
        <v>104</v>
      </c>
      <c r="AC1188" s="1" t="s">
        <v>104</v>
      </c>
      <c r="AD1188" s="1" t="s">
        <v>104</v>
      </c>
      <c r="AE1188" s="1" t="s">
        <v>104</v>
      </c>
      <c r="AF1188" s="1" t="s">
        <v>104</v>
      </c>
      <c r="AG1188" s="1" t="s">
        <v>104</v>
      </c>
      <c r="AH1188" s="1">
        <v>2</v>
      </c>
      <c r="AI1188" s="1" t="s">
        <v>104</v>
      </c>
      <c r="AJ1188" s="1" t="s">
        <v>104</v>
      </c>
      <c r="AK1188" s="1" t="s">
        <v>104</v>
      </c>
      <c r="AL1188" s="1" t="s">
        <v>104</v>
      </c>
      <c r="AM1188" s="1" t="s">
        <v>104</v>
      </c>
      <c r="AO1188" s="1">
        <v>2</v>
      </c>
      <c r="AR1188" s="1">
        <v>0</v>
      </c>
      <c r="AS1188" s="1">
        <v>0</v>
      </c>
      <c r="AT1188" s="1">
        <v>0</v>
      </c>
      <c r="AU1188" s="1">
        <v>0</v>
      </c>
      <c r="AV1188" s="1">
        <v>0</v>
      </c>
      <c r="AW1188" s="1">
        <v>0</v>
      </c>
      <c r="AX1188" s="1">
        <v>0</v>
      </c>
      <c r="AY1188" s="1">
        <v>0</v>
      </c>
      <c r="AZ1188" s="1">
        <v>0</v>
      </c>
      <c r="BA1188" s="1">
        <v>0</v>
      </c>
      <c r="BB1188" s="1">
        <v>0</v>
      </c>
      <c r="BC1188" s="1">
        <v>0</v>
      </c>
      <c r="BD1188" s="1">
        <v>0</v>
      </c>
      <c r="BE1188" s="1">
        <v>0</v>
      </c>
      <c r="BF1188" s="1">
        <v>0</v>
      </c>
      <c r="BG1188" s="1">
        <v>0</v>
      </c>
      <c r="BH1188" s="1">
        <v>0</v>
      </c>
      <c r="BI1188" s="1">
        <v>0</v>
      </c>
      <c r="BJ1188" s="1">
        <v>0</v>
      </c>
      <c r="BK1188" s="1">
        <v>0</v>
      </c>
      <c r="BL1188" s="1">
        <v>0</v>
      </c>
      <c r="BM1188" s="1">
        <v>0</v>
      </c>
      <c r="BN1188" s="1">
        <v>0</v>
      </c>
      <c r="BO1188" s="1">
        <v>0</v>
      </c>
      <c r="BP1188" s="1">
        <v>0</v>
      </c>
      <c r="BQ1188" s="1" t="s">
        <v>104</v>
      </c>
      <c r="BR1188" s="1">
        <v>1241</v>
      </c>
      <c r="BS1188" s="1" t="s">
        <v>104</v>
      </c>
      <c r="BX1188" s="1">
        <v>0</v>
      </c>
      <c r="BY1188" s="1" t="s">
        <v>104</v>
      </c>
      <c r="BZ1188" s="1" t="s">
        <v>104</v>
      </c>
      <c r="CA1188" s="1" t="s">
        <v>104</v>
      </c>
      <c r="CB1188" s="1" t="s">
        <v>104</v>
      </c>
      <c r="CC1188" s="1" t="s">
        <v>104</v>
      </c>
      <c r="CD1188" s="1" t="s">
        <v>104</v>
      </c>
      <c r="CE1188" s="1" t="s">
        <v>104</v>
      </c>
      <c r="CF1188" s="1" t="s">
        <v>104</v>
      </c>
      <c r="CG1188" s="1" t="s">
        <v>104</v>
      </c>
      <c r="CH1188" s="1" t="s">
        <v>104</v>
      </c>
      <c r="CJ1188" s="1">
        <v>0</v>
      </c>
      <c r="CK1188" s="1">
        <v>0</v>
      </c>
      <c r="CL1188" s="1">
        <v>0</v>
      </c>
      <c r="CM1188" s="1" t="s">
        <v>104</v>
      </c>
    </row>
    <row r="1189" spans="1:91" ht="14.25" customHeight="1" x14ac:dyDescent="0.3">
      <c r="A1189" s="1" t="s">
        <v>7089</v>
      </c>
      <c r="B1189" s="1" t="s">
        <v>172</v>
      </c>
      <c r="E1189" s="1" t="s">
        <v>7090</v>
      </c>
      <c r="F1189" s="1" t="s">
        <v>95</v>
      </c>
      <c r="G1189" s="1" t="s">
        <v>7091</v>
      </c>
      <c r="H1189" s="1">
        <v>0</v>
      </c>
      <c r="I1189" s="1" t="s">
        <v>128</v>
      </c>
      <c r="L1189" s="1" t="s">
        <v>374</v>
      </c>
      <c r="M1189" s="1" t="s">
        <v>119</v>
      </c>
      <c r="N1189" s="1">
        <v>0</v>
      </c>
      <c r="O1189" s="1">
        <v>0</v>
      </c>
      <c r="P1189" s="1" t="s">
        <v>100</v>
      </c>
      <c r="Q1189" s="1" t="s">
        <v>131</v>
      </c>
      <c r="R1189" s="1" t="s">
        <v>7092</v>
      </c>
      <c r="S1189" s="1" t="s">
        <v>7064</v>
      </c>
      <c r="T1189" s="1">
        <v>1</v>
      </c>
      <c r="U1189" s="1">
        <v>1</v>
      </c>
      <c r="V1189" s="1">
        <v>1</v>
      </c>
      <c r="W1189" s="1">
        <v>0</v>
      </c>
      <c r="X1189" s="1">
        <v>0</v>
      </c>
      <c r="Y1189" s="1">
        <v>1</v>
      </c>
      <c r="Z1189" s="1">
        <v>1</v>
      </c>
      <c r="AA1189" s="1" t="s">
        <v>104</v>
      </c>
      <c r="AB1189" s="1" t="s">
        <v>104</v>
      </c>
      <c r="AC1189" s="1" t="s">
        <v>104</v>
      </c>
      <c r="AD1189" s="1" t="s">
        <v>104</v>
      </c>
      <c r="AE1189" s="1" t="s">
        <v>104</v>
      </c>
      <c r="AF1189" s="1">
        <v>1</v>
      </c>
      <c r="AG1189" s="1" t="s">
        <v>104</v>
      </c>
      <c r="AH1189" s="1" t="s">
        <v>104</v>
      </c>
      <c r="AI1189" s="1">
        <v>1</v>
      </c>
      <c r="AJ1189" s="1" t="s">
        <v>104</v>
      </c>
      <c r="AK1189" s="1" t="s">
        <v>104</v>
      </c>
      <c r="AL1189" s="1" t="s">
        <v>104</v>
      </c>
      <c r="AM1189" s="1" t="s">
        <v>104</v>
      </c>
      <c r="AO1189" s="1">
        <v>1</v>
      </c>
      <c r="AR1189" s="1">
        <v>0</v>
      </c>
      <c r="AS1189" s="1">
        <v>0</v>
      </c>
      <c r="AT1189" s="1">
        <v>0</v>
      </c>
      <c r="AU1189" s="1">
        <v>0</v>
      </c>
      <c r="AV1189" s="1">
        <v>0</v>
      </c>
      <c r="AW1189" s="1">
        <v>0</v>
      </c>
      <c r="AX1189" s="1">
        <v>0</v>
      </c>
      <c r="AY1189" s="1">
        <v>0</v>
      </c>
      <c r="AZ1189" s="1">
        <v>0</v>
      </c>
      <c r="BA1189" s="1">
        <v>0</v>
      </c>
      <c r="BB1189" s="1">
        <v>0</v>
      </c>
      <c r="BC1189" s="1">
        <v>0</v>
      </c>
      <c r="BD1189" s="1">
        <v>0</v>
      </c>
      <c r="BE1189" s="1">
        <v>0</v>
      </c>
      <c r="BF1189" s="1">
        <v>0</v>
      </c>
      <c r="BG1189" s="1">
        <v>0</v>
      </c>
      <c r="BH1189" s="1">
        <v>0</v>
      </c>
      <c r="BI1189" s="1">
        <v>0</v>
      </c>
      <c r="BJ1189" s="1">
        <v>0</v>
      </c>
      <c r="BK1189" s="1">
        <v>0</v>
      </c>
      <c r="BL1189" s="1">
        <v>0</v>
      </c>
      <c r="BM1189" s="1">
        <v>0</v>
      </c>
      <c r="BN1189" s="1">
        <v>0</v>
      </c>
      <c r="BO1189" s="1">
        <v>0</v>
      </c>
      <c r="BP1189" s="1">
        <v>0</v>
      </c>
      <c r="BQ1189" s="1" t="s">
        <v>104</v>
      </c>
      <c r="BR1189" s="1">
        <v>1242</v>
      </c>
      <c r="BS1189" s="1" t="s">
        <v>104</v>
      </c>
      <c r="BX1189" s="1">
        <v>0</v>
      </c>
      <c r="BY1189" s="1" t="s">
        <v>104</v>
      </c>
      <c r="BZ1189" s="1" t="s">
        <v>104</v>
      </c>
      <c r="CA1189" s="1" t="s">
        <v>104</v>
      </c>
      <c r="CB1189" s="1" t="s">
        <v>104</v>
      </c>
      <c r="CC1189" s="1" t="s">
        <v>104</v>
      </c>
      <c r="CD1189" s="1" t="s">
        <v>104</v>
      </c>
      <c r="CE1189" s="1" t="s">
        <v>104</v>
      </c>
      <c r="CF1189" s="1" t="s">
        <v>104</v>
      </c>
      <c r="CG1189" s="1" t="s">
        <v>104</v>
      </c>
      <c r="CH1189" s="1" t="s">
        <v>104</v>
      </c>
      <c r="CJ1189" s="1">
        <v>0</v>
      </c>
      <c r="CK1189" s="1">
        <v>0</v>
      </c>
      <c r="CL1189" s="1">
        <v>0</v>
      </c>
      <c r="CM1189" s="1" t="s">
        <v>104</v>
      </c>
    </row>
    <row r="1190" spans="1:91" ht="14.25" customHeight="1" x14ac:dyDescent="0.3">
      <c r="A1190" s="1" t="s">
        <v>7093</v>
      </c>
      <c r="B1190" s="1" t="s">
        <v>123</v>
      </c>
      <c r="C1190" s="1" t="s">
        <v>124</v>
      </c>
      <c r="D1190" s="1" t="s">
        <v>125</v>
      </c>
      <c r="E1190" s="1" t="s">
        <v>7094</v>
      </c>
      <c r="F1190" s="1" t="s">
        <v>287</v>
      </c>
      <c r="G1190" s="1" t="s">
        <v>7095</v>
      </c>
      <c r="H1190" s="1">
        <v>1</v>
      </c>
      <c r="I1190" s="1" t="s">
        <v>157</v>
      </c>
      <c r="L1190" s="1" t="s">
        <v>6465</v>
      </c>
      <c r="M1190" s="1" t="s">
        <v>7096</v>
      </c>
      <c r="N1190" s="1">
        <v>0</v>
      </c>
      <c r="O1190" s="1">
        <v>0</v>
      </c>
      <c r="R1190" s="1" t="s">
        <v>7097</v>
      </c>
      <c r="S1190" s="1" t="s">
        <v>7064</v>
      </c>
      <c r="T1190" s="1">
        <v>1</v>
      </c>
      <c r="U1190" s="1">
        <v>1</v>
      </c>
      <c r="V1190" s="1">
        <v>1</v>
      </c>
      <c r="W1190" s="1">
        <v>0</v>
      </c>
      <c r="X1190" s="1">
        <v>0</v>
      </c>
      <c r="Y1190" s="1">
        <v>5</v>
      </c>
      <c r="Z1190" s="1">
        <v>5</v>
      </c>
      <c r="AA1190" s="1" t="s">
        <v>104</v>
      </c>
      <c r="AB1190" s="1" t="s">
        <v>104</v>
      </c>
      <c r="AC1190" s="1" t="s">
        <v>104</v>
      </c>
      <c r="AD1190" s="1">
        <v>3</v>
      </c>
      <c r="AE1190" s="1" t="s">
        <v>104</v>
      </c>
      <c r="AF1190" s="1" t="s">
        <v>104</v>
      </c>
      <c r="AG1190" s="1" t="s">
        <v>104</v>
      </c>
      <c r="AH1190" s="1" t="s">
        <v>104</v>
      </c>
      <c r="AI1190" s="1" t="s">
        <v>104</v>
      </c>
      <c r="AJ1190" s="1" t="s">
        <v>104</v>
      </c>
      <c r="AK1190" s="1" t="s">
        <v>104</v>
      </c>
      <c r="AL1190" s="1" t="s">
        <v>104</v>
      </c>
      <c r="AM1190" s="1" t="s">
        <v>104</v>
      </c>
      <c r="AO1190" s="1">
        <v>5</v>
      </c>
      <c r="AR1190" s="1">
        <v>0</v>
      </c>
      <c r="AS1190" s="1">
        <v>0</v>
      </c>
      <c r="AT1190" s="1">
        <v>0</v>
      </c>
      <c r="AU1190" s="1">
        <v>0</v>
      </c>
      <c r="AV1190" s="1">
        <v>0</v>
      </c>
      <c r="AW1190" s="1">
        <v>0</v>
      </c>
      <c r="AX1190" s="1">
        <v>0</v>
      </c>
      <c r="AY1190" s="1">
        <v>0</v>
      </c>
      <c r="AZ1190" s="1">
        <v>0</v>
      </c>
      <c r="BA1190" s="1">
        <v>0</v>
      </c>
      <c r="BB1190" s="1">
        <v>0</v>
      </c>
      <c r="BC1190" s="1">
        <v>0</v>
      </c>
      <c r="BD1190" s="1">
        <v>0</v>
      </c>
      <c r="BE1190" s="1">
        <v>0</v>
      </c>
      <c r="BF1190" s="1">
        <v>0</v>
      </c>
      <c r="BG1190" s="1">
        <v>0</v>
      </c>
      <c r="BH1190" s="1">
        <v>0</v>
      </c>
      <c r="BI1190" s="1">
        <v>0</v>
      </c>
      <c r="BJ1190" s="1">
        <v>0</v>
      </c>
      <c r="BK1190" s="1">
        <v>1</v>
      </c>
      <c r="BL1190" s="1">
        <v>0</v>
      </c>
      <c r="BM1190" s="1">
        <v>0</v>
      </c>
      <c r="BN1190" s="1">
        <v>0</v>
      </c>
      <c r="BO1190" s="1">
        <v>0</v>
      </c>
      <c r="BP1190" s="1">
        <v>0</v>
      </c>
      <c r="BQ1190" s="1" t="s">
        <v>104</v>
      </c>
      <c r="BR1190" s="1">
        <v>1243</v>
      </c>
      <c r="BS1190" s="1">
        <v>500</v>
      </c>
      <c r="BX1190" s="1">
        <v>0</v>
      </c>
      <c r="BY1190" s="1" t="s">
        <v>104</v>
      </c>
      <c r="BZ1190" s="1" t="s">
        <v>104</v>
      </c>
      <c r="CA1190" s="1" t="s">
        <v>104</v>
      </c>
      <c r="CB1190" s="1" t="s">
        <v>104</v>
      </c>
      <c r="CC1190" s="1" t="s">
        <v>104</v>
      </c>
      <c r="CD1190" s="1" t="s">
        <v>104</v>
      </c>
      <c r="CE1190" s="1" t="s">
        <v>104</v>
      </c>
      <c r="CF1190" s="1" t="s">
        <v>104</v>
      </c>
      <c r="CG1190" s="1" t="s">
        <v>104</v>
      </c>
      <c r="CH1190" s="1" t="s">
        <v>104</v>
      </c>
      <c r="CJ1190" s="1">
        <v>0</v>
      </c>
      <c r="CK1190" s="1">
        <v>0</v>
      </c>
      <c r="CL1190" s="1">
        <v>0</v>
      </c>
      <c r="CM1190" s="1" t="s">
        <v>104</v>
      </c>
    </row>
    <row r="1191" spans="1:91" ht="14.25" customHeight="1" x14ac:dyDescent="0.3">
      <c r="A1191" s="1" t="s">
        <v>7098</v>
      </c>
      <c r="B1191" s="1" t="s">
        <v>216</v>
      </c>
      <c r="E1191" s="1" t="s">
        <v>7099</v>
      </c>
      <c r="F1191" s="1" t="s">
        <v>95</v>
      </c>
      <c r="G1191" s="1" t="s">
        <v>7100</v>
      </c>
      <c r="H1191" s="1">
        <v>0</v>
      </c>
      <c r="I1191" s="1" t="s">
        <v>128</v>
      </c>
      <c r="L1191" s="1" t="s">
        <v>7101</v>
      </c>
      <c r="M1191" s="1" t="s">
        <v>2330</v>
      </c>
      <c r="N1191" s="1">
        <v>0</v>
      </c>
      <c r="O1191" s="1">
        <v>0</v>
      </c>
      <c r="P1191" s="1" t="s">
        <v>375</v>
      </c>
      <c r="Q1191" s="1" t="s">
        <v>184</v>
      </c>
      <c r="R1191" s="1" t="s">
        <v>7102</v>
      </c>
      <c r="S1191" s="1" t="s">
        <v>7064</v>
      </c>
      <c r="T1191" s="1">
        <v>1</v>
      </c>
      <c r="U1191" s="1">
        <v>1</v>
      </c>
      <c r="V1191" s="1">
        <v>1</v>
      </c>
      <c r="W1191" s="1">
        <v>0</v>
      </c>
      <c r="X1191" s="1">
        <v>0</v>
      </c>
      <c r="Y1191" s="1" t="s">
        <v>104</v>
      </c>
      <c r="Z1191" s="1" t="s">
        <v>104</v>
      </c>
      <c r="AA1191" s="1">
        <v>3</v>
      </c>
      <c r="AB1191" s="1" t="s">
        <v>104</v>
      </c>
      <c r="AC1191" s="1" t="s">
        <v>104</v>
      </c>
      <c r="AD1191" s="1" t="s">
        <v>104</v>
      </c>
      <c r="AE1191" s="1" t="s">
        <v>104</v>
      </c>
      <c r="AF1191" s="1" t="s">
        <v>104</v>
      </c>
      <c r="AG1191" s="1" t="s">
        <v>104</v>
      </c>
      <c r="AH1191" s="1">
        <v>3</v>
      </c>
      <c r="AI1191" s="1" t="s">
        <v>104</v>
      </c>
      <c r="AJ1191" s="1">
        <v>3</v>
      </c>
      <c r="AK1191" s="1" t="s">
        <v>104</v>
      </c>
      <c r="AL1191" s="1" t="s">
        <v>104</v>
      </c>
      <c r="AM1191" s="1" t="s">
        <v>104</v>
      </c>
      <c r="AO1191" s="1">
        <v>3</v>
      </c>
      <c r="AR1191" s="1">
        <v>0</v>
      </c>
      <c r="AS1191" s="1">
        <v>0</v>
      </c>
      <c r="AT1191" s="1">
        <v>0</v>
      </c>
      <c r="AU1191" s="1">
        <v>0</v>
      </c>
      <c r="AV1191" s="1">
        <v>0</v>
      </c>
      <c r="AW1191" s="1">
        <v>0</v>
      </c>
      <c r="AX1191" s="1">
        <v>0</v>
      </c>
      <c r="AY1191" s="1">
        <v>0</v>
      </c>
      <c r="AZ1191" s="1">
        <v>0</v>
      </c>
      <c r="BA1191" s="1">
        <v>0</v>
      </c>
      <c r="BB1191" s="1">
        <v>0</v>
      </c>
      <c r="BC1191" s="1">
        <v>0</v>
      </c>
      <c r="BD1191" s="1">
        <v>0</v>
      </c>
      <c r="BE1191" s="1">
        <v>0</v>
      </c>
      <c r="BF1191" s="1">
        <v>0</v>
      </c>
      <c r="BG1191" s="1">
        <v>0</v>
      </c>
      <c r="BH1191" s="1">
        <v>0</v>
      </c>
      <c r="BI1191" s="1">
        <v>0</v>
      </c>
      <c r="BJ1191" s="1">
        <v>0</v>
      </c>
      <c r="BK1191" s="1">
        <v>0</v>
      </c>
      <c r="BL1191" s="1">
        <v>0</v>
      </c>
      <c r="BM1191" s="1">
        <v>0</v>
      </c>
      <c r="BN1191" s="1">
        <v>0</v>
      </c>
      <c r="BO1191" s="1">
        <v>0</v>
      </c>
      <c r="BP1191" s="1">
        <v>0</v>
      </c>
      <c r="BQ1191" s="1" t="s">
        <v>104</v>
      </c>
      <c r="BR1191" s="1">
        <v>1244</v>
      </c>
      <c r="BS1191" s="1" t="s">
        <v>104</v>
      </c>
      <c r="BX1191" s="1">
        <v>0</v>
      </c>
      <c r="BY1191" s="1" t="s">
        <v>104</v>
      </c>
      <c r="BZ1191" s="1" t="s">
        <v>104</v>
      </c>
      <c r="CA1191" s="1" t="s">
        <v>104</v>
      </c>
      <c r="CB1191" s="1" t="s">
        <v>104</v>
      </c>
      <c r="CC1191" s="1" t="s">
        <v>104</v>
      </c>
      <c r="CD1191" s="1" t="s">
        <v>104</v>
      </c>
      <c r="CE1191" s="1" t="s">
        <v>104</v>
      </c>
      <c r="CF1191" s="1" t="s">
        <v>104</v>
      </c>
      <c r="CG1191" s="1" t="s">
        <v>104</v>
      </c>
      <c r="CH1191" s="1" t="s">
        <v>104</v>
      </c>
      <c r="CJ1191" s="1">
        <v>0</v>
      </c>
      <c r="CK1191" s="1">
        <v>0</v>
      </c>
      <c r="CL1191" s="1">
        <v>0</v>
      </c>
      <c r="CM1191" s="1" t="s">
        <v>104</v>
      </c>
    </row>
    <row r="1192" spans="1:91" ht="14.25" customHeight="1" x14ac:dyDescent="0.3">
      <c r="A1192" s="1" t="s">
        <v>7103</v>
      </c>
      <c r="B1192" s="1" t="s">
        <v>123</v>
      </c>
      <c r="C1192" s="1" t="s">
        <v>124</v>
      </c>
      <c r="D1192" s="1" t="s">
        <v>125</v>
      </c>
      <c r="E1192" s="1" t="s">
        <v>7104</v>
      </c>
      <c r="F1192" s="1" t="s">
        <v>95</v>
      </c>
      <c r="G1192" s="1" t="s">
        <v>127</v>
      </c>
      <c r="H1192" s="1">
        <v>0</v>
      </c>
      <c r="I1192" s="1" t="s">
        <v>128</v>
      </c>
      <c r="L1192" s="1" t="s">
        <v>374</v>
      </c>
      <c r="M1192" s="1" t="s">
        <v>111</v>
      </c>
      <c r="N1192" s="1">
        <v>0</v>
      </c>
      <c r="O1192" s="1">
        <v>0</v>
      </c>
      <c r="P1192" s="1" t="s">
        <v>375</v>
      </c>
      <c r="Q1192" s="1" t="s">
        <v>184</v>
      </c>
      <c r="R1192" s="1" t="s">
        <v>7105</v>
      </c>
      <c r="S1192" s="1" t="s">
        <v>7064</v>
      </c>
      <c r="T1192" s="1">
        <v>1</v>
      </c>
      <c r="U1192" s="1">
        <v>1</v>
      </c>
      <c r="V1192" s="1">
        <v>0</v>
      </c>
      <c r="W1192" s="1">
        <v>0</v>
      </c>
      <c r="X1192" s="1">
        <v>1</v>
      </c>
      <c r="Y1192" s="1" t="s">
        <v>104</v>
      </c>
      <c r="Z1192" s="1" t="s">
        <v>104</v>
      </c>
      <c r="AA1192" s="1">
        <v>2</v>
      </c>
      <c r="AB1192" s="1" t="s">
        <v>104</v>
      </c>
      <c r="AC1192" s="1" t="s">
        <v>104</v>
      </c>
      <c r="AD1192" s="1" t="s">
        <v>104</v>
      </c>
      <c r="AE1192" s="1">
        <v>1</v>
      </c>
      <c r="AF1192" s="1">
        <v>2</v>
      </c>
      <c r="AG1192" s="1" t="s">
        <v>104</v>
      </c>
      <c r="AH1192" s="1">
        <v>2</v>
      </c>
      <c r="AI1192" s="1">
        <v>1</v>
      </c>
      <c r="AJ1192" s="1">
        <v>2</v>
      </c>
      <c r="AK1192" s="1" t="s">
        <v>104</v>
      </c>
      <c r="AL1192" s="1" t="s">
        <v>104</v>
      </c>
      <c r="AM1192" s="1" t="s">
        <v>104</v>
      </c>
      <c r="AO1192" s="1">
        <v>2</v>
      </c>
      <c r="AR1192" s="1">
        <v>0</v>
      </c>
      <c r="AS1192" s="1">
        <v>0</v>
      </c>
      <c r="AT1192" s="1">
        <v>0</v>
      </c>
      <c r="AU1192" s="1">
        <v>0</v>
      </c>
      <c r="AV1192" s="1">
        <v>0</v>
      </c>
      <c r="AW1192" s="1">
        <v>0</v>
      </c>
      <c r="AX1192" s="1">
        <v>0</v>
      </c>
      <c r="AY1192" s="1">
        <v>0</v>
      </c>
      <c r="AZ1192" s="1">
        <v>0</v>
      </c>
      <c r="BA1192" s="1">
        <v>0</v>
      </c>
      <c r="BB1192" s="1">
        <v>0</v>
      </c>
      <c r="BC1192" s="1">
        <v>0</v>
      </c>
      <c r="BD1192" s="1">
        <v>0</v>
      </c>
      <c r="BE1192" s="1">
        <v>0</v>
      </c>
      <c r="BF1192" s="1">
        <v>0</v>
      </c>
      <c r="BG1192" s="1">
        <v>0</v>
      </c>
      <c r="BH1192" s="1">
        <v>0</v>
      </c>
      <c r="BI1192" s="1">
        <v>0</v>
      </c>
      <c r="BJ1192" s="1">
        <v>0</v>
      </c>
      <c r="BK1192" s="1">
        <v>1</v>
      </c>
      <c r="BL1192" s="1">
        <v>0</v>
      </c>
      <c r="BM1192" s="1">
        <v>0</v>
      </c>
      <c r="BN1192" s="1">
        <v>0</v>
      </c>
      <c r="BO1192" s="1">
        <v>0</v>
      </c>
      <c r="BP1192" s="1">
        <v>0</v>
      </c>
      <c r="BQ1192" s="1" t="s">
        <v>104</v>
      </c>
      <c r="BR1192" s="1">
        <v>1245</v>
      </c>
      <c r="BS1192" s="1" t="s">
        <v>104</v>
      </c>
      <c r="BX1192" s="1">
        <v>0</v>
      </c>
      <c r="BY1192" s="1" t="s">
        <v>104</v>
      </c>
      <c r="BZ1192" s="1" t="s">
        <v>104</v>
      </c>
      <c r="CA1192" s="1" t="s">
        <v>104</v>
      </c>
      <c r="CB1192" s="1" t="s">
        <v>104</v>
      </c>
      <c r="CC1192" s="1" t="s">
        <v>104</v>
      </c>
      <c r="CD1192" s="1" t="s">
        <v>104</v>
      </c>
      <c r="CE1192" s="1" t="s">
        <v>104</v>
      </c>
      <c r="CF1192" s="1" t="s">
        <v>104</v>
      </c>
      <c r="CG1192" s="1" t="s">
        <v>104</v>
      </c>
      <c r="CH1192" s="1" t="s">
        <v>104</v>
      </c>
      <c r="CJ1192" s="1">
        <v>0</v>
      </c>
      <c r="CK1192" s="1">
        <v>0</v>
      </c>
      <c r="CL1192" s="1">
        <v>0</v>
      </c>
      <c r="CM1192" s="1" t="s">
        <v>104</v>
      </c>
    </row>
    <row r="1193" spans="1:91" ht="14.25" customHeight="1" x14ac:dyDescent="0.3">
      <c r="A1193" s="1" t="s">
        <v>7106</v>
      </c>
      <c r="B1193" s="1" t="s">
        <v>507</v>
      </c>
      <c r="C1193" s="1" t="s">
        <v>1767</v>
      </c>
      <c r="E1193" s="1" t="s">
        <v>7107</v>
      </c>
      <c r="F1193" s="1" t="s">
        <v>4199</v>
      </c>
      <c r="G1193" s="1" t="s">
        <v>7108</v>
      </c>
      <c r="H1193" s="1">
        <v>1</v>
      </c>
      <c r="I1193" s="1" t="s">
        <v>128</v>
      </c>
      <c r="L1193" s="1" t="s">
        <v>7109</v>
      </c>
      <c r="M1193" s="1" t="s">
        <v>7110</v>
      </c>
      <c r="N1193" s="1">
        <v>0</v>
      </c>
      <c r="O1193" s="1">
        <v>0</v>
      </c>
      <c r="P1193" s="1" t="s">
        <v>471</v>
      </c>
      <c r="Q1193" s="1" t="s">
        <v>472</v>
      </c>
      <c r="R1193" s="1" t="s">
        <v>7111</v>
      </c>
      <c r="S1193" s="1" t="s">
        <v>7064</v>
      </c>
      <c r="T1193" s="1">
        <v>1</v>
      </c>
      <c r="U1193" s="1">
        <v>1</v>
      </c>
      <c r="V1193" s="1">
        <v>0</v>
      </c>
      <c r="W1193" s="1">
        <v>0</v>
      </c>
      <c r="X1193" s="1">
        <v>0</v>
      </c>
      <c r="Y1193" s="1">
        <v>3</v>
      </c>
      <c r="Z1193" s="1">
        <v>3</v>
      </c>
      <c r="AA1193" s="1" t="s">
        <v>104</v>
      </c>
      <c r="AB1193" s="1" t="s">
        <v>104</v>
      </c>
      <c r="AC1193" s="1" t="s">
        <v>104</v>
      </c>
      <c r="AD1193" s="1">
        <v>3</v>
      </c>
      <c r="AE1193" s="1" t="s">
        <v>104</v>
      </c>
      <c r="AF1193" s="1" t="s">
        <v>104</v>
      </c>
      <c r="AG1193" s="1" t="s">
        <v>104</v>
      </c>
      <c r="AH1193" s="1" t="s">
        <v>104</v>
      </c>
      <c r="AI1193" s="1" t="s">
        <v>104</v>
      </c>
      <c r="AJ1193" s="1" t="s">
        <v>104</v>
      </c>
      <c r="AK1193" s="1" t="s">
        <v>104</v>
      </c>
      <c r="AL1193" s="1" t="s">
        <v>104</v>
      </c>
      <c r="AM1193" s="1" t="s">
        <v>104</v>
      </c>
      <c r="AO1193" s="1">
        <v>3</v>
      </c>
      <c r="AR1193" s="1">
        <v>0</v>
      </c>
      <c r="AS1193" s="1">
        <v>0</v>
      </c>
      <c r="AT1193" s="1">
        <v>0</v>
      </c>
      <c r="AU1193" s="1">
        <v>0</v>
      </c>
      <c r="AV1193" s="1">
        <v>0</v>
      </c>
      <c r="AW1193" s="1">
        <v>0</v>
      </c>
      <c r="AX1193" s="1">
        <v>0</v>
      </c>
      <c r="AY1193" s="1">
        <v>0</v>
      </c>
      <c r="AZ1193" s="1">
        <v>0</v>
      </c>
      <c r="BA1193" s="1">
        <v>0</v>
      </c>
      <c r="BB1193" s="1">
        <v>0</v>
      </c>
      <c r="BC1193" s="1">
        <v>0</v>
      </c>
      <c r="BD1193" s="1">
        <v>0</v>
      </c>
      <c r="BE1193" s="1">
        <v>0</v>
      </c>
      <c r="BF1193" s="1">
        <v>0</v>
      </c>
      <c r="BG1193" s="1">
        <v>0</v>
      </c>
      <c r="BH1193" s="1">
        <v>0</v>
      </c>
      <c r="BI1193" s="1">
        <v>0</v>
      </c>
      <c r="BJ1193" s="1">
        <v>0</v>
      </c>
      <c r="BK1193" s="1">
        <v>0</v>
      </c>
      <c r="BL1193" s="1">
        <v>0</v>
      </c>
      <c r="BM1193" s="1">
        <v>0</v>
      </c>
      <c r="BN1193" s="1">
        <v>0</v>
      </c>
      <c r="BO1193" s="1">
        <v>0</v>
      </c>
      <c r="BP1193" s="1">
        <v>0</v>
      </c>
      <c r="BQ1193" s="1" t="s">
        <v>104</v>
      </c>
      <c r="BR1193" s="1">
        <v>1246</v>
      </c>
      <c r="BS1193" s="1">
        <v>500</v>
      </c>
      <c r="BX1193" s="1">
        <v>0</v>
      </c>
      <c r="BY1193" s="1" t="s">
        <v>104</v>
      </c>
      <c r="BZ1193" s="1" t="s">
        <v>104</v>
      </c>
      <c r="CA1193" s="1" t="s">
        <v>104</v>
      </c>
      <c r="CB1193" s="1" t="s">
        <v>104</v>
      </c>
      <c r="CC1193" s="1" t="s">
        <v>104</v>
      </c>
      <c r="CD1193" s="1" t="s">
        <v>104</v>
      </c>
      <c r="CE1193" s="1" t="s">
        <v>104</v>
      </c>
      <c r="CF1193" s="1" t="s">
        <v>104</v>
      </c>
      <c r="CG1193" s="1" t="s">
        <v>104</v>
      </c>
      <c r="CH1193" s="1" t="s">
        <v>104</v>
      </c>
      <c r="CJ1193" s="1">
        <v>0</v>
      </c>
      <c r="CK1193" s="1">
        <v>0</v>
      </c>
      <c r="CL1193" s="1">
        <v>0</v>
      </c>
      <c r="CM1193" s="1" t="s">
        <v>104</v>
      </c>
    </row>
    <row r="1194" spans="1:91" ht="14.25" customHeight="1" x14ac:dyDescent="0.3">
      <c r="A1194" s="1" t="s">
        <v>7112</v>
      </c>
      <c r="B1194" s="1" t="s">
        <v>137</v>
      </c>
      <c r="E1194" s="1" t="s">
        <v>7113</v>
      </c>
      <c r="F1194" s="1" t="s">
        <v>95</v>
      </c>
      <c r="G1194" s="1" t="s">
        <v>7114</v>
      </c>
      <c r="H1194" s="1">
        <v>0</v>
      </c>
      <c r="I1194" s="1" t="s">
        <v>157</v>
      </c>
      <c r="L1194" s="1" t="s">
        <v>158</v>
      </c>
      <c r="M1194" s="1" t="s">
        <v>2330</v>
      </c>
      <c r="N1194" s="1">
        <v>0</v>
      </c>
      <c r="O1194" s="1">
        <v>0</v>
      </c>
      <c r="R1194" s="1" t="s">
        <v>7115</v>
      </c>
      <c r="S1194" s="1" t="s">
        <v>7064</v>
      </c>
      <c r="T1194" s="1">
        <v>1</v>
      </c>
      <c r="U1194" s="1">
        <v>1</v>
      </c>
      <c r="V1194" s="1">
        <v>1</v>
      </c>
      <c r="W1194" s="1">
        <v>0</v>
      </c>
      <c r="X1194" s="1">
        <v>0</v>
      </c>
      <c r="Y1194" s="1">
        <v>3</v>
      </c>
      <c r="Z1194" s="1">
        <v>3</v>
      </c>
      <c r="AA1194" s="1" t="s">
        <v>104</v>
      </c>
      <c r="AB1194" s="1" t="s">
        <v>104</v>
      </c>
      <c r="AC1194" s="1" t="s">
        <v>104</v>
      </c>
      <c r="AD1194" s="1" t="s">
        <v>104</v>
      </c>
      <c r="AE1194" s="1" t="s">
        <v>104</v>
      </c>
      <c r="AF1194" s="1">
        <v>2</v>
      </c>
      <c r="AG1194" s="1" t="s">
        <v>104</v>
      </c>
      <c r="AH1194" s="1">
        <v>3</v>
      </c>
      <c r="AI1194" s="1" t="s">
        <v>104</v>
      </c>
      <c r="AJ1194" s="1" t="s">
        <v>104</v>
      </c>
      <c r="AK1194" s="1" t="s">
        <v>104</v>
      </c>
      <c r="AL1194" s="1">
        <v>3</v>
      </c>
      <c r="AM1194" s="1" t="s">
        <v>104</v>
      </c>
      <c r="AO1194" s="1">
        <v>3</v>
      </c>
      <c r="AR1194" s="1">
        <v>0</v>
      </c>
      <c r="AS1194" s="1">
        <v>0</v>
      </c>
      <c r="AT1194" s="1">
        <v>0</v>
      </c>
      <c r="AU1194" s="1">
        <v>0</v>
      </c>
      <c r="AV1194" s="1">
        <v>0</v>
      </c>
      <c r="AW1194" s="1">
        <v>0</v>
      </c>
      <c r="AX1194" s="1">
        <v>0</v>
      </c>
      <c r="AY1194" s="1">
        <v>0</v>
      </c>
      <c r="AZ1194" s="1">
        <v>0</v>
      </c>
      <c r="BA1194" s="1">
        <v>0</v>
      </c>
      <c r="BB1194" s="1">
        <v>0</v>
      </c>
      <c r="BC1194" s="1">
        <v>0</v>
      </c>
      <c r="BD1194" s="1">
        <v>0</v>
      </c>
      <c r="BE1194" s="1">
        <v>0</v>
      </c>
      <c r="BF1194" s="1">
        <v>0</v>
      </c>
      <c r="BG1194" s="1">
        <v>0</v>
      </c>
      <c r="BH1194" s="1">
        <v>0</v>
      </c>
      <c r="BI1194" s="1">
        <v>0</v>
      </c>
      <c r="BJ1194" s="1">
        <v>0</v>
      </c>
      <c r="BK1194" s="1">
        <v>0</v>
      </c>
      <c r="BL1194" s="1">
        <v>0</v>
      </c>
      <c r="BM1194" s="1">
        <v>0</v>
      </c>
      <c r="BN1194" s="1">
        <v>0</v>
      </c>
      <c r="BO1194" s="1">
        <v>0</v>
      </c>
      <c r="BP1194" s="1">
        <v>0</v>
      </c>
      <c r="BQ1194" s="1" t="s">
        <v>104</v>
      </c>
      <c r="BR1194" s="1">
        <v>1247</v>
      </c>
      <c r="BS1194" s="1" t="s">
        <v>104</v>
      </c>
      <c r="BX1194" s="1">
        <v>0</v>
      </c>
      <c r="BY1194" s="1" t="s">
        <v>104</v>
      </c>
      <c r="BZ1194" s="1" t="s">
        <v>104</v>
      </c>
      <c r="CA1194" s="1" t="s">
        <v>104</v>
      </c>
      <c r="CB1194" s="1" t="s">
        <v>104</v>
      </c>
      <c r="CC1194" s="1" t="s">
        <v>104</v>
      </c>
      <c r="CD1194" s="1" t="s">
        <v>104</v>
      </c>
      <c r="CE1194" s="1" t="s">
        <v>104</v>
      </c>
      <c r="CF1194" s="1" t="s">
        <v>104</v>
      </c>
      <c r="CG1194" s="1" t="s">
        <v>104</v>
      </c>
      <c r="CH1194" s="1" t="s">
        <v>104</v>
      </c>
      <c r="CJ1194" s="1">
        <v>0</v>
      </c>
      <c r="CK1194" s="1">
        <v>0</v>
      </c>
      <c r="CL1194" s="1">
        <v>0</v>
      </c>
      <c r="CM1194" s="1" t="s">
        <v>104</v>
      </c>
    </row>
    <row r="1195" spans="1:91" ht="14.25" customHeight="1" x14ac:dyDescent="0.3">
      <c r="A1195" s="1" t="s">
        <v>7116</v>
      </c>
      <c r="B1195" s="1" t="s">
        <v>137</v>
      </c>
      <c r="E1195" s="1" t="s">
        <v>7117</v>
      </c>
      <c r="F1195" s="1" t="s">
        <v>95</v>
      </c>
      <c r="G1195" s="1" t="s">
        <v>7118</v>
      </c>
      <c r="H1195" s="1">
        <v>0</v>
      </c>
      <c r="I1195" s="1" t="s">
        <v>4900</v>
      </c>
      <c r="J1195" s="1" t="s">
        <v>7119</v>
      </c>
      <c r="M1195" s="1" t="s">
        <v>341</v>
      </c>
      <c r="N1195" s="1">
        <v>0</v>
      </c>
      <c r="O1195" s="1">
        <v>0</v>
      </c>
      <c r="P1195" s="1" t="s">
        <v>471</v>
      </c>
      <c r="Q1195" s="1" t="s">
        <v>472</v>
      </c>
      <c r="R1195" s="1" t="s">
        <v>7120</v>
      </c>
      <c r="S1195" s="1" t="s">
        <v>7121</v>
      </c>
      <c r="T1195" s="1">
        <v>1</v>
      </c>
      <c r="U1195" s="1">
        <v>1</v>
      </c>
      <c r="V1195" s="1">
        <v>1</v>
      </c>
      <c r="W1195" s="1">
        <v>0</v>
      </c>
      <c r="X1195" s="1">
        <v>0</v>
      </c>
      <c r="Y1195" s="1">
        <v>3</v>
      </c>
      <c r="Z1195" s="1">
        <v>3</v>
      </c>
      <c r="AA1195" s="1">
        <v>3</v>
      </c>
      <c r="AB1195" s="1" t="s">
        <v>104</v>
      </c>
      <c r="AC1195" s="1" t="s">
        <v>104</v>
      </c>
      <c r="AD1195" s="1">
        <v>3</v>
      </c>
      <c r="AE1195" s="1" t="s">
        <v>104</v>
      </c>
      <c r="AF1195" s="1" t="s">
        <v>104</v>
      </c>
      <c r="AG1195" s="1" t="s">
        <v>104</v>
      </c>
      <c r="AH1195" s="1" t="s">
        <v>104</v>
      </c>
      <c r="AI1195" s="1" t="s">
        <v>104</v>
      </c>
      <c r="AJ1195" s="1">
        <v>3</v>
      </c>
      <c r="AK1195" s="1" t="s">
        <v>104</v>
      </c>
      <c r="AL1195" s="1" t="s">
        <v>104</v>
      </c>
      <c r="AM1195" s="1" t="s">
        <v>104</v>
      </c>
      <c r="AO1195" s="1">
        <v>3</v>
      </c>
      <c r="AR1195" s="1">
        <v>0</v>
      </c>
      <c r="AS1195" s="1">
        <v>0</v>
      </c>
      <c r="AT1195" s="1">
        <v>0</v>
      </c>
      <c r="AU1195" s="1">
        <v>0</v>
      </c>
      <c r="AV1195" s="1">
        <v>0</v>
      </c>
      <c r="AW1195" s="1">
        <v>0</v>
      </c>
      <c r="AX1195" s="1">
        <v>0</v>
      </c>
      <c r="AY1195" s="1">
        <v>0</v>
      </c>
      <c r="AZ1195" s="1">
        <v>0</v>
      </c>
      <c r="BA1195" s="1">
        <v>0</v>
      </c>
      <c r="BB1195" s="1">
        <v>0</v>
      </c>
      <c r="BC1195" s="1">
        <v>0</v>
      </c>
      <c r="BD1195" s="1">
        <v>0</v>
      </c>
      <c r="BE1195" s="1">
        <v>0</v>
      </c>
      <c r="BF1195" s="1">
        <v>0</v>
      </c>
      <c r="BG1195" s="1">
        <v>0</v>
      </c>
      <c r="BH1195" s="1">
        <v>0</v>
      </c>
      <c r="BI1195" s="1">
        <v>0</v>
      </c>
      <c r="BJ1195" s="1">
        <v>0</v>
      </c>
      <c r="BK1195" s="1">
        <v>0</v>
      </c>
      <c r="BL1195" s="1">
        <v>0</v>
      </c>
      <c r="BM1195" s="1">
        <v>0</v>
      </c>
      <c r="BN1195" s="1">
        <v>0</v>
      </c>
      <c r="BO1195" s="1">
        <v>0</v>
      </c>
      <c r="BP1195" s="1">
        <v>0</v>
      </c>
      <c r="BQ1195" s="1" t="s">
        <v>104</v>
      </c>
      <c r="BR1195" s="1">
        <v>1248</v>
      </c>
      <c r="BS1195" s="1" t="s">
        <v>104</v>
      </c>
      <c r="BX1195" s="1">
        <v>0</v>
      </c>
      <c r="BY1195" s="1" t="s">
        <v>104</v>
      </c>
      <c r="BZ1195" s="1" t="s">
        <v>104</v>
      </c>
      <c r="CA1195" s="1" t="s">
        <v>104</v>
      </c>
      <c r="CB1195" s="1" t="s">
        <v>104</v>
      </c>
      <c r="CC1195" s="1" t="s">
        <v>104</v>
      </c>
      <c r="CD1195" s="1" t="s">
        <v>104</v>
      </c>
      <c r="CE1195" s="1" t="s">
        <v>104</v>
      </c>
      <c r="CF1195" s="1" t="s">
        <v>104</v>
      </c>
      <c r="CG1195" s="1" t="s">
        <v>104</v>
      </c>
      <c r="CH1195" s="1" t="s">
        <v>104</v>
      </c>
      <c r="CJ1195" s="1">
        <v>0</v>
      </c>
      <c r="CK1195" s="1">
        <v>0</v>
      </c>
      <c r="CL1195" s="1">
        <v>0</v>
      </c>
      <c r="CM1195" s="1" t="s">
        <v>104</v>
      </c>
    </row>
    <row r="1196" spans="1:91" ht="14.25" customHeight="1" x14ac:dyDescent="0.3">
      <c r="A1196" s="1" t="s">
        <v>7122</v>
      </c>
      <c r="B1196" s="1" t="s">
        <v>434</v>
      </c>
      <c r="D1196" s="1" t="s">
        <v>5456</v>
      </c>
      <c r="E1196" s="1" t="s">
        <v>7123</v>
      </c>
      <c r="F1196" s="1" t="s">
        <v>95</v>
      </c>
      <c r="G1196" s="1" t="s">
        <v>7124</v>
      </c>
      <c r="H1196" s="1">
        <v>0</v>
      </c>
      <c r="I1196" s="1" t="s">
        <v>157</v>
      </c>
      <c r="L1196" s="1" t="s">
        <v>158</v>
      </c>
      <c r="M1196" s="1" t="s">
        <v>7125</v>
      </c>
      <c r="N1196" s="1">
        <v>0</v>
      </c>
      <c r="O1196" s="1">
        <v>0</v>
      </c>
      <c r="P1196" s="1" t="s">
        <v>550</v>
      </c>
      <c r="Q1196" s="1" t="s">
        <v>184</v>
      </c>
      <c r="R1196" s="1" t="s">
        <v>7126</v>
      </c>
      <c r="S1196" s="1" t="s">
        <v>7121</v>
      </c>
      <c r="T1196" s="1">
        <v>1</v>
      </c>
      <c r="U1196" s="1">
        <v>1</v>
      </c>
      <c r="V1196" s="1">
        <v>1</v>
      </c>
      <c r="W1196" s="1">
        <v>0</v>
      </c>
      <c r="X1196" s="1">
        <v>0</v>
      </c>
      <c r="Y1196" s="1">
        <v>2</v>
      </c>
      <c r="Z1196" s="1">
        <v>2</v>
      </c>
      <c r="AA1196" s="1" t="s">
        <v>104</v>
      </c>
      <c r="AB1196" s="1">
        <v>2</v>
      </c>
      <c r="AC1196" s="1" t="s">
        <v>104</v>
      </c>
      <c r="AD1196" s="1" t="s">
        <v>104</v>
      </c>
      <c r="AE1196" s="1" t="s">
        <v>104</v>
      </c>
      <c r="AF1196" s="1">
        <v>2</v>
      </c>
      <c r="AG1196" s="1" t="s">
        <v>104</v>
      </c>
      <c r="AH1196" s="1" t="s">
        <v>104</v>
      </c>
      <c r="AI1196" s="1" t="s">
        <v>104</v>
      </c>
      <c r="AJ1196" s="1" t="s">
        <v>104</v>
      </c>
      <c r="AK1196" s="1" t="s">
        <v>104</v>
      </c>
      <c r="AL1196" s="1" t="s">
        <v>104</v>
      </c>
      <c r="AM1196" s="1" t="s">
        <v>104</v>
      </c>
      <c r="AO1196" s="1">
        <v>2</v>
      </c>
      <c r="AR1196" s="1">
        <v>0</v>
      </c>
      <c r="AS1196" s="1">
        <v>1</v>
      </c>
      <c r="AT1196" s="1">
        <v>0</v>
      </c>
      <c r="AU1196" s="1">
        <v>0</v>
      </c>
      <c r="AV1196" s="1">
        <v>0</v>
      </c>
      <c r="AW1196" s="1">
        <v>0</v>
      </c>
      <c r="AX1196" s="1">
        <v>0</v>
      </c>
      <c r="AY1196" s="1">
        <v>0</v>
      </c>
      <c r="AZ1196" s="1">
        <v>0</v>
      </c>
      <c r="BA1196" s="1">
        <v>0</v>
      </c>
      <c r="BB1196" s="1">
        <v>0</v>
      </c>
      <c r="BC1196" s="1">
        <v>0</v>
      </c>
      <c r="BD1196" s="1">
        <v>0</v>
      </c>
      <c r="BE1196" s="1">
        <v>1</v>
      </c>
      <c r="BF1196" s="1">
        <v>0</v>
      </c>
      <c r="BG1196" s="1">
        <v>0</v>
      </c>
      <c r="BH1196" s="1">
        <v>0</v>
      </c>
      <c r="BI1196" s="1">
        <v>0</v>
      </c>
      <c r="BJ1196" s="1">
        <v>0</v>
      </c>
      <c r="BK1196" s="1">
        <v>0</v>
      </c>
      <c r="BL1196" s="1">
        <v>0</v>
      </c>
      <c r="BM1196" s="1">
        <v>0</v>
      </c>
      <c r="BN1196" s="1">
        <v>0</v>
      </c>
      <c r="BO1196" s="1">
        <v>0</v>
      </c>
      <c r="BP1196" s="1">
        <v>0</v>
      </c>
      <c r="BQ1196" s="1" t="s">
        <v>104</v>
      </c>
      <c r="BR1196" s="1">
        <v>1249</v>
      </c>
      <c r="BS1196" s="1" t="s">
        <v>104</v>
      </c>
      <c r="BX1196" s="1">
        <v>0</v>
      </c>
      <c r="BY1196" s="1" t="s">
        <v>104</v>
      </c>
      <c r="BZ1196" s="1" t="s">
        <v>104</v>
      </c>
      <c r="CA1196" s="1" t="s">
        <v>104</v>
      </c>
      <c r="CB1196" s="1" t="s">
        <v>104</v>
      </c>
      <c r="CC1196" s="1" t="s">
        <v>104</v>
      </c>
      <c r="CD1196" s="1" t="s">
        <v>104</v>
      </c>
      <c r="CE1196" s="1" t="s">
        <v>104</v>
      </c>
      <c r="CF1196" s="1" t="s">
        <v>104</v>
      </c>
      <c r="CG1196" s="1" t="s">
        <v>104</v>
      </c>
      <c r="CH1196" s="1">
        <v>2</v>
      </c>
      <c r="CJ1196" s="1">
        <v>0</v>
      </c>
      <c r="CK1196" s="1">
        <v>0</v>
      </c>
      <c r="CL1196" s="1">
        <v>0</v>
      </c>
      <c r="CM1196" s="1" t="s">
        <v>104</v>
      </c>
    </row>
    <row r="1197" spans="1:91" ht="14.25" customHeight="1" x14ac:dyDescent="0.3">
      <c r="A1197" s="1" t="s">
        <v>7127</v>
      </c>
      <c r="B1197" s="1" t="s">
        <v>216</v>
      </c>
      <c r="E1197" s="1" t="s">
        <v>7078</v>
      </c>
      <c r="F1197" s="1" t="s">
        <v>95</v>
      </c>
      <c r="G1197" s="1" t="s">
        <v>7128</v>
      </c>
      <c r="H1197" s="1">
        <v>0</v>
      </c>
      <c r="I1197" s="1" t="s">
        <v>697</v>
      </c>
      <c r="L1197" s="1" t="s">
        <v>5827</v>
      </c>
      <c r="M1197" s="1" t="s">
        <v>7129</v>
      </c>
      <c r="N1197" s="1">
        <v>0</v>
      </c>
      <c r="O1197" s="1">
        <v>0</v>
      </c>
      <c r="P1197" s="1" t="s">
        <v>100</v>
      </c>
      <c r="Q1197" s="1" t="s">
        <v>184</v>
      </c>
      <c r="R1197" s="1" t="s">
        <v>7130</v>
      </c>
      <c r="S1197" s="1" t="s">
        <v>7121</v>
      </c>
      <c r="T1197" s="1">
        <v>1</v>
      </c>
      <c r="U1197" s="1">
        <v>1</v>
      </c>
      <c r="V1197" s="1">
        <v>1</v>
      </c>
      <c r="W1197" s="1">
        <v>0</v>
      </c>
      <c r="X1197" s="1">
        <v>0</v>
      </c>
      <c r="Y1197" s="1">
        <v>2</v>
      </c>
      <c r="Z1197" s="1">
        <v>2</v>
      </c>
      <c r="AA1197" s="1" t="s">
        <v>104</v>
      </c>
      <c r="AB1197" s="1" t="s">
        <v>104</v>
      </c>
      <c r="AC1197" s="1" t="s">
        <v>104</v>
      </c>
      <c r="AD1197" s="1" t="s">
        <v>104</v>
      </c>
      <c r="AE1197" s="1" t="s">
        <v>104</v>
      </c>
      <c r="AF1197" s="1" t="s">
        <v>104</v>
      </c>
      <c r="AG1197" s="1" t="s">
        <v>104</v>
      </c>
      <c r="AH1197" s="1">
        <v>2</v>
      </c>
      <c r="AI1197" s="1" t="s">
        <v>104</v>
      </c>
      <c r="AJ1197" s="1" t="s">
        <v>104</v>
      </c>
      <c r="AK1197" s="1" t="s">
        <v>104</v>
      </c>
      <c r="AL1197" s="1" t="s">
        <v>104</v>
      </c>
      <c r="AM1197" s="1" t="s">
        <v>104</v>
      </c>
      <c r="AO1197" s="1">
        <v>2</v>
      </c>
      <c r="AR1197" s="1">
        <v>0</v>
      </c>
      <c r="AS1197" s="1">
        <v>0</v>
      </c>
      <c r="AT1197" s="1">
        <v>0</v>
      </c>
      <c r="AU1197" s="1">
        <v>0</v>
      </c>
      <c r="AV1197" s="1">
        <v>0</v>
      </c>
      <c r="AW1197" s="1">
        <v>0</v>
      </c>
      <c r="AX1197" s="1">
        <v>0</v>
      </c>
      <c r="AY1197" s="1">
        <v>0</v>
      </c>
      <c r="AZ1197" s="1">
        <v>0</v>
      </c>
      <c r="BA1197" s="1">
        <v>0</v>
      </c>
      <c r="BB1197" s="1">
        <v>0</v>
      </c>
      <c r="BC1197" s="1">
        <v>0</v>
      </c>
      <c r="BD1197" s="1">
        <v>0</v>
      </c>
      <c r="BE1197" s="1">
        <v>0</v>
      </c>
      <c r="BF1197" s="1">
        <v>0</v>
      </c>
      <c r="BG1197" s="1">
        <v>0</v>
      </c>
      <c r="BH1197" s="1">
        <v>0</v>
      </c>
      <c r="BI1197" s="1">
        <v>0</v>
      </c>
      <c r="BJ1197" s="1">
        <v>0</v>
      </c>
      <c r="BK1197" s="1">
        <v>0</v>
      </c>
      <c r="BL1197" s="1">
        <v>0</v>
      </c>
      <c r="BM1197" s="1">
        <v>0</v>
      </c>
      <c r="BN1197" s="1">
        <v>0</v>
      </c>
      <c r="BO1197" s="1">
        <v>0</v>
      </c>
      <c r="BP1197" s="1">
        <v>0</v>
      </c>
      <c r="BQ1197" s="1" t="s">
        <v>104</v>
      </c>
      <c r="BR1197" s="1">
        <v>1250</v>
      </c>
      <c r="BS1197" s="1" t="s">
        <v>104</v>
      </c>
      <c r="BX1197" s="1">
        <v>0</v>
      </c>
      <c r="BY1197" s="1" t="s">
        <v>104</v>
      </c>
      <c r="BZ1197" s="1" t="s">
        <v>104</v>
      </c>
      <c r="CA1197" s="1" t="s">
        <v>104</v>
      </c>
      <c r="CB1197" s="1" t="s">
        <v>104</v>
      </c>
      <c r="CC1197" s="1" t="s">
        <v>104</v>
      </c>
      <c r="CD1197" s="1" t="s">
        <v>104</v>
      </c>
      <c r="CE1197" s="1" t="s">
        <v>104</v>
      </c>
      <c r="CF1197" s="1" t="s">
        <v>104</v>
      </c>
      <c r="CG1197" s="1" t="s">
        <v>104</v>
      </c>
      <c r="CH1197" s="1" t="s">
        <v>104</v>
      </c>
      <c r="CJ1197" s="1">
        <v>0</v>
      </c>
      <c r="CK1197" s="1">
        <v>0</v>
      </c>
      <c r="CL1197" s="1">
        <v>0</v>
      </c>
      <c r="CM1197" s="1" t="s">
        <v>104</v>
      </c>
    </row>
    <row r="1198" spans="1:91" ht="14.25" customHeight="1" x14ac:dyDescent="0.3">
      <c r="A1198" s="1" t="s">
        <v>7131</v>
      </c>
      <c r="B1198" s="1" t="s">
        <v>162</v>
      </c>
      <c r="E1198" s="1" t="s">
        <v>2513</v>
      </c>
      <c r="F1198" s="1" t="s">
        <v>95</v>
      </c>
      <c r="G1198" s="1" t="s">
        <v>7132</v>
      </c>
      <c r="H1198" s="1">
        <v>1</v>
      </c>
      <c r="I1198" s="1" t="s">
        <v>256</v>
      </c>
      <c r="J1198" s="1" t="s">
        <v>257</v>
      </c>
      <c r="M1198" s="1" t="s">
        <v>620</v>
      </c>
      <c r="N1198" s="1">
        <v>1</v>
      </c>
      <c r="O1198" s="1">
        <v>0</v>
      </c>
      <c r="P1198" s="1" t="s">
        <v>100</v>
      </c>
      <c r="Q1198" s="1" t="s">
        <v>145</v>
      </c>
      <c r="R1198" s="1" t="s">
        <v>7133</v>
      </c>
      <c r="S1198" s="1" t="s">
        <v>7134</v>
      </c>
      <c r="T1198" s="1">
        <v>1</v>
      </c>
      <c r="U1198" s="1">
        <v>1</v>
      </c>
      <c r="V1198" s="1">
        <v>0</v>
      </c>
      <c r="W1198" s="1">
        <v>0</v>
      </c>
      <c r="X1198" s="1">
        <v>0</v>
      </c>
      <c r="Y1198" s="1">
        <v>9</v>
      </c>
      <c r="Z1198" s="1">
        <v>9</v>
      </c>
      <c r="AA1198" s="1" t="s">
        <v>104</v>
      </c>
      <c r="AB1198" s="1" t="s">
        <v>104</v>
      </c>
      <c r="AC1198" s="1" t="s">
        <v>104</v>
      </c>
      <c r="AD1198" s="1" t="s">
        <v>104</v>
      </c>
      <c r="AE1198" s="1" t="s">
        <v>104</v>
      </c>
      <c r="AF1198" s="1" t="s">
        <v>104</v>
      </c>
      <c r="AG1198" s="1" t="s">
        <v>104</v>
      </c>
      <c r="AH1198" s="1" t="s">
        <v>104</v>
      </c>
      <c r="AI1198" s="1" t="s">
        <v>104</v>
      </c>
      <c r="AJ1198" s="1" t="s">
        <v>104</v>
      </c>
      <c r="AK1198" s="1" t="s">
        <v>104</v>
      </c>
      <c r="AL1198" s="1" t="s">
        <v>104</v>
      </c>
      <c r="AM1198" s="1" t="s">
        <v>104</v>
      </c>
      <c r="AO1198" s="1">
        <v>9</v>
      </c>
      <c r="AR1198" s="1">
        <v>0</v>
      </c>
      <c r="AS1198" s="1">
        <v>0</v>
      </c>
      <c r="AT1198" s="1">
        <v>0</v>
      </c>
      <c r="AU1198" s="1">
        <v>0</v>
      </c>
      <c r="AV1198" s="1">
        <v>0</v>
      </c>
      <c r="AW1198" s="1">
        <v>0</v>
      </c>
      <c r="AX1198" s="1">
        <v>0</v>
      </c>
      <c r="AY1198" s="1">
        <v>0</v>
      </c>
      <c r="AZ1198" s="1">
        <v>0</v>
      </c>
      <c r="BA1198" s="1">
        <v>0</v>
      </c>
      <c r="BB1198" s="1">
        <v>0</v>
      </c>
      <c r="BC1198" s="1">
        <v>0</v>
      </c>
      <c r="BD1198" s="1">
        <v>0</v>
      </c>
      <c r="BE1198" s="1">
        <v>0</v>
      </c>
      <c r="BF1198" s="1">
        <v>0</v>
      </c>
      <c r="BG1198" s="1">
        <v>0</v>
      </c>
      <c r="BH1198" s="1">
        <v>0</v>
      </c>
      <c r="BI1198" s="1">
        <v>0</v>
      </c>
      <c r="BJ1198" s="1">
        <v>0</v>
      </c>
      <c r="BK1198" s="1">
        <v>0</v>
      </c>
      <c r="BL1198" s="1">
        <v>0</v>
      </c>
      <c r="BM1198" s="1">
        <v>0</v>
      </c>
      <c r="BN1198" s="1">
        <v>0</v>
      </c>
      <c r="BO1198" s="1">
        <v>0</v>
      </c>
      <c r="BP1198" s="1">
        <v>0</v>
      </c>
      <c r="BQ1198" s="1" t="s">
        <v>104</v>
      </c>
      <c r="BR1198" s="1">
        <v>1251</v>
      </c>
      <c r="BS1198" s="1">
        <v>1000</v>
      </c>
      <c r="BV1198" s="1" t="s">
        <v>7135</v>
      </c>
      <c r="BX1198" s="1">
        <v>1</v>
      </c>
      <c r="BY1198" s="1" t="s">
        <v>104</v>
      </c>
      <c r="BZ1198" s="1" t="s">
        <v>104</v>
      </c>
      <c r="CA1198" s="1" t="s">
        <v>104</v>
      </c>
      <c r="CB1198" s="1" t="s">
        <v>104</v>
      </c>
      <c r="CC1198" s="1" t="s">
        <v>104</v>
      </c>
      <c r="CD1198" s="1" t="s">
        <v>104</v>
      </c>
      <c r="CE1198" s="1" t="s">
        <v>104</v>
      </c>
      <c r="CF1198" s="1" t="s">
        <v>104</v>
      </c>
      <c r="CG1198" s="1" t="s">
        <v>104</v>
      </c>
      <c r="CH1198" s="1" t="s">
        <v>104</v>
      </c>
      <c r="CJ1198" s="1">
        <v>0</v>
      </c>
      <c r="CK1198" s="1">
        <v>0</v>
      </c>
      <c r="CL1198" s="1">
        <v>0</v>
      </c>
      <c r="CM1198" s="1" t="s">
        <v>104</v>
      </c>
    </row>
    <row r="1199" spans="1:91" ht="14.25" customHeight="1" x14ac:dyDescent="0.3">
      <c r="A1199" s="1" t="s">
        <v>7136</v>
      </c>
      <c r="B1199" s="1" t="s">
        <v>137</v>
      </c>
      <c r="E1199" s="1" t="s">
        <v>7137</v>
      </c>
      <c r="F1199" s="1" t="s">
        <v>95</v>
      </c>
      <c r="G1199" s="1" t="s">
        <v>237</v>
      </c>
      <c r="H1199" s="1">
        <v>0</v>
      </c>
      <c r="I1199" s="1" t="s">
        <v>157</v>
      </c>
      <c r="L1199" s="1" t="s">
        <v>158</v>
      </c>
      <c r="M1199" s="1" t="s">
        <v>119</v>
      </c>
      <c r="N1199" s="1">
        <v>0</v>
      </c>
      <c r="O1199" s="1">
        <v>0</v>
      </c>
      <c r="R1199" s="1" t="s">
        <v>7138</v>
      </c>
      <c r="S1199" s="1" t="s">
        <v>7134</v>
      </c>
      <c r="T1199" s="1">
        <v>1</v>
      </c>
      <c r="U1199" s="1">
        <v>0</v>
      </c>
      <c r="V1199" s="1">
        <v>0</v>
      </c>
      <c r="W1199" s="1">
        <v>0</v>
      </c>
      <c r="X1199" s="1">
        <v>0</v>
      </c>
      <c r="Y1199" s="1" t="s">
        <v>104</v>
      </c>
      <c r="Z1199" s="1" t="s">
        <v>104</v>
      </c>
      <c r="AA1199" s="1" t="s">
        <v>104</v>
      </c>
      <c r="AB1199" s="1" t="s">
        <v>104</v>
      </c>
      <c r="AC1199" s="1" t="s">
        <v>104</v>
      </c>
      <c r="AD1199" s="1">
        <v>2</v>
      </c>
      <c r="AE1199" s="1" t="s">
        <v>104</v>
      </c>
      <c r="AF1199" s="1" t="s">
        <v>104</v>
      </c>
      <c r="AG1199" s="1" t="s">
        <v>104</v>
      </c>
      <c r="AH1199" s="1" t="s">
        <v>104</v>
      </c>
      <c r="AI1199" s="1" t="s">
        <v>104</v>
      </c>
      <c r="AJ1199" s="1" t="s">
        <v>104</v>
      </c>
      <c r="AK1199" s="1" t="s">
        <v>104</v>
      </c>
      <c r="AL1199" s="1">
        <v>2</v>
      </c>
      <c r="AM1199" s="1" t="s">
        <v>104</v>
      </c>
      <c r="AO1199" s="1">
        <v>2</v>
      </c>
      <c r="AR1199" s="1">
        <v>0</v>
      </c>
      <c r="AS1199" s="1">
        <v>0</v>
      </c>
      <c r="AT1199" s="1">
        <v>0</v>
      </c>
      <c r="AU1199" s="1">
        <v>0</v>
      </c>
      <c r="AV1199" s="1">
        <v>0</v>
      </c>
      <c r="AW1199" s="1">
        <v>0</v>
      </c>
      <c r="AX1199" s="1">
        <v>0</v>
      </c>
      <c r="AY1199" s="1">
        <v>0</v>
      </c>
      <c r="AZ1199" s="1">
        <v>0</v>
      </c>
      <c r="BA1199" s="1">
        <v>0</v>
      </c>
      <c r="BB1199" s="1">
        <v>0</v>
      </c>
      <c r="BC1199" s="1">
        <v>0</v>
      </c>
      <c r="BD1199" s="1">
        <v>0</v>
      </c>
      <c r="BE1199" s="1">
        <v>0</v>
      </c>
      <c r="BF1199" s="1">
        <v>0</v>
      </c>
      <c r="BG1199" s="1">
        <v>0</v>
      </c>
      <c r="BH1199" s="1">
        <v>0</v>
      </c>
      <c r="BI1199" s="1">
        <v>0</v>
      </c>
      <c r="BJ1199" s="1">
        <v>0</v>
      </c>
      <c r="BK1199" s="1">
        <v>0</v>
      </c>
      <c r="BL1199" s="1">
        <v>0</v>
      </c>
      <c r="BM1199" s="1">
        <v>0</v>
      </c>
      <c r="BN1199" s="1">
        <v>0</v>
      </c>
      <c r="BO1199" s="1">
        <v>0</v>
      </c>
      <c r="BP1199" s="1">
        <v>0</v>
      </c>
      <c r="BQ1199" s="1" t="s">
        <v>104</v>
      </c>
      <c r="BR1199" s="1">
        <v>1252</v>
      </c>
      <c r="BS1199" s="1" t="s">
        <v>104</v>
      </c>
      <c r="BX1199" s="1">
        <v>0</v>
      </c>
      <c r="BY1199" s="1" t="s">
        <v>104</v>
      </c>
      <c r="BZ1199" s="1" t="s">
        <v>104</v>
      </c>
      <c r="CA1199" s="1" t="s">
        <v>104</v>
      </c>
      <c r="CB1199" s="1" t="s">
        <v>104</v>
      </c>
      <c r="CC1199" s="1" t="s">
        <v>104</v>
      </c>
      <c r="CD1199" s="1" t="s">
        <v>104</v>
      </c>
      <c r="CE1199" s="1" t="s">
        <v>104</v>
      </c>
      <c r="CF1199" s="1" t="s">
        <v>104</v>
      </c>
      <c r="CG1199" s="1" t="s">
        <v>104</v>
      </c>
      <c r="CH1199" s="1" t="s">
        <v>104</v>
      </c>
      <c r="CJ1199" s="1">
        <v>0</v>
      </c>
      <c r="CK1199" s="1">
        <v>0</v>
      </c>
      <c r="CL1199" s="1">
        <v>0</v>
      </c>
      <c r="CM1199" s="1" t="s">
        <v>104</v>
      </c>
    </row>
    <row r="1200" spans="1:91" ht="14.25" customHeight="1" x14ac:dyDescent="0.3">
      <c r="A1200" s="1" t="s">
        <v>7139</v>
      </c>
      <c r="B1200" s="1" t="s">
        <v>137</v>
      </c>
      <c r="E1200" s="1" t="s">
        <v>7140</v>
      </c>
      <c r="F1200" s="1" t="s">
        <v>95</v>
      </c>
      <c r="G1200" s="1" t="s">
        <v>237</v>
      </c>
      <c r="H1200" s="1">
        <v>0</v>
      </c>
      <c r="I1200" s="1" t="s">
        <v>157</v>
      </c>
      <c r="L1200" s="1" t="s">
        <v>158</v>
      </c>
      <c r="M1200" s="1" t="s">
        <v>119</v>
      </c>
      <c r="N1200" s="1">
        <v>0</v>
      </c>
      <c r="O1200" s="1">
        <v>0</v>
      </c>
      <c r="R1200" s="1" t="s">
        <v>7141</v>
      </c>
      <c r="S1200" s="1" t="s">
        <v>7134</v>
      </c>
      <c r="T1200" s="1">
        <v>1</v>
      </c>
      <c r="U1200" s="1">
        <v>0</v>
      </c>
      <c r="V1200" s="1">
        <v>0</v>
      </c>
      <c r="W1200" s="1">
        <v>0</v>
      </c>
      <c r="X1200" s="1">
        <v>0</v>
      </c>
      <c r="Y1200" s="1" t="s">
        <v>104</v>
      </c>
      <c r="Z1200" s="1" t="s">
        <v>104</v>
      </c>
      <c r="AA1200" s="1" t="s">
        <v>104</v>
      </c>
      <c r="AB1200" s="1" t="s">
        <v>104</v>
      </c>
      <c r="AC1200" s="1" t="s">
        <v>104</v>
      </c>
      <c r="AD1200" s="1">
        <v>5</v>
      </c>
      <c r="AE1200" s="1" t="s">
        <v>104</v>
      </c>
      <c r="AF1200" s="1" t="s">
        <v>104</v>
      </c>
      <c r="AG1200" s="1" t="s">
        <v>104</v>
      </c>
      <c r="AH1200" s="1" t="s">
        <v>104</v>
      </c>
      <c r="AI1200" s="1" t="s">
        <v>104</v>
      </c>
      <c r="AJ1200" s="1" t="s">
        <v>104</v>
      </c>
      <c r="AK1200" s="1" t="s">
        <v>104</v>
      </c>
      <c r="AL1200" s="1">
        <v>5</v>
      </c>
      <c r="AM1200" s="1" t="s">
        <v>104</v>
      </c>
      <c r="AO1200" s="1">
        <v>5</v>
      </c>
      <c r="AR1200" s="1">
        <v>0</v>
      </c>
      <c r="AS1200" s="1">
        <v>0</v>
      </c>
      <c r="AT1200" s="1">
        <v>0</v>
      </c>
      <c r="AU1200" s="1">
        <v>0</v>
      </c>
      <c r="AV1200" s="1">
        <v>0</v>
      </c>
      <c r="AW1200" s="1">
        <v>0</v>
      </c>
      <c r="AX1200" s="1">
        <v>0</v>
      </c>
      <c r="AY1200" s="1">
        <v>0</v>
      </c>
      <c r="AZ1200" s="1">
        <v>0</v>
      </c>
      <c r="BA1200" s="1">
        <v>0</v>
      </c>
      <c r="BB1200" s="1">
        <v>0</v>
      </c>
      <c r="BC1200" s="1">
        <v>0</v>
      </c>
      <c r="BD1200" s="1">
        <v>0</v>
      </c>
      <c r="BE1200" s="1">
        <v>0</v>
      </c>
      <c r="BF1200" s="1">
        <v>0</v>
      </c>
      <c r="BG1200" s="1">
        <v>0</v>
      </c>
      <c r="BH1200" s="1">
        <v>0</v>
      </c>
      <c r="BI1200" s="1">
        <v>0</v>
      </c>
      <c r="BJ1200" s="1">
        <v>0</v>
      </c>
      <c r="BK1200" s="1">
        <v>0</v>
      </c>
      <c r="BL1200" s="1">
        <v>0</v>
      </c>
      <c r="BM1200" s="1">
        <v>0</v>
      </c>
      <c r="BN1200" s="1">
        <v>0</v>
      </c>
      <c r="BO1200" s="1">
        <v>0</v>
      </c>
      <c r="BP1200" s="1">
        <v>0</v>
      </c>
      <c r="BQ1200" s="1" t="s">
        <v>104</v>
      </c>
      <c r="BR1200" s="1">
        <v>1253</v>
      </c>
      <c r="BS1200" s="1" t="s">
        <v>104</v>
      </c>
      <c r="BX1200" s="1">
        <v>0</v>
      </c>
      <c r="BY1200" s="1" t="s">
        <v>104</v>
      </c>
      <c r="BZ1200" s="1" t="s">
        <v>104</v>
      </c>
      <c r="CA1200" s="1" t="s">
        <v>104</v>
      </c>
      <c r="CB1200" s="1" t="s">
        <v>104</v>
      </c>
      <c r="CC1200" s="1" t="s">
        <v>104</v>
      </c>
      <c r="CD1200" s="1" t="s">
        <v>104</v>
      </c>
      <c r="CE1200" s="1" t="s">
        <v>104</v>
      </c>
      <c r="CF1200" s="1" t="s">
        <v>104</v>
      </c>
      <c r="CG1200" s="1" t="s">
        <v>104</v>
      </c>
      <c r="CH1200" s="1" t="s">
        <v>104</v>
      </c>
      <c r="CJ1200" s="1">
        <v>0</v>
      </c>
      <c r="CK1200" s="1">
        <v>0</v>
      </c>
      <c r="CL1200" s="1">
        <v>0</v>
      </c>
      <c r="CM1200" s="1" t="s">
        <v>104</v>
      </c>
    </row>
    <row r="1201" spans="1:91" ht="14.25" customHeight="1" x14ac:dyDescent="0.3">
      <c r="A1201" s="1" t="s">
        <v>7142</v>
      </c>
      <c r="B1201" s="1" t="s">
        <v>137</v>
      </c>
      <c r="D1201" s="1" t="s">
        <v>66</v>
      </c>
      <c r="E1201" s="1" t="s">
        <v>7143</v>
      </c>
      <c r="F1201" s="1" t="s">
        <v>95</v>
      </c>
      <c r="G1201" s="1" t="s">
        <v>7144</v>
      </c>
      <c r="H1201" s="1">
        <v>0</v>
      </c>
      <c r="I1201" s="1" t="s">
        <v>7145</v>
      </c>
      <c r="K1201" s="1" t="s">
        <v>7146</v>
      </c>
      <c r="M1201" s="1" t="s">
        <v>7147</v>
      </c>
      <c r="N1201" s="1">
        <v>0</v>
      </c>
      <c r="O1201" s="1">
        <v>0</v>
      </c>
      <c r="P1201" s="1" t="s">
        <v>7148</v>
      </c>
      <c r="Q1201" s="1" t="s">
        <v>7149</v>
      </c>
      <c r="R1201" s="1" t="s">
        <v>7150</v>
      </c>
      <c r="S1201" s="1" t="s">
        <v>7134</v>
      </c>
      <c r="T1201" s="1">
        <v>1</v>
      </c>
      <c r="U1201" s="1">
        <v>1</v>
      </c>
      <c r="V1201" s="1">
        <v>1</v>
      </c>
      <c r="W1201" s="1">
        <v>0</v>
      </c>
      <c r="X1201" s="1">
        <v>0</v>
      </c>
      <c r="Y1201" s="1">
        <v>3</v>
      </c>
      <c r="Z1201" s="1">
        <v>3</v>
      </c>
      <c r="AA1201" s="1" t="s">
        <v>104</v>
      </c>
      <c r="AB1201" s="1">
        <v>4</v>
      </c>
      <c r="AC1201" s="1">
        <v>3</v>
      </c>
      <c r="AD1201" s="1" t="s">
        <v>104</v>
      </c>
      <c r="AE1201" s="1" t="s">
        <v>104</v>
      </c>
      <c r="AF1201" s="1" t="s">
        <v>104</v>
      </c>
      <c r="AG1201" s="1" t="s">
        <v>104</v>
      </c>
      <c r="AH1201" s="1">
        <v>4</v>
      </c>
      <c r="AI1201" s="1" t="s">
        <v>104</v>
      </c>
      <c r="AJ1201" s="1" t="s">
        <v>104</v>
      </c>
      <c r="AK1201" s="1" t="s">
        <v>104</v>
      </c>
      <c r="AL1201" s="1" t="s">
        <v>104</v>
      </c>
      <c r="AM1201" s="1" t="s">
        <v>104</v>
      </c>
      <c r="AO1201" s="1">
        <v>3</v>
      </c>
      <c r="AR1201" s="1">
        <v>0</v>
      </c>
      <c r="AS1201" s="1">
        <v>0</v>
      </c>
      <c r="AT1201" s="1">
        <v>0</v>
      </c>
      <c r="AU1201" s="1">
        <v>0</v>
      </c>
      <c r="AV1201" s="1">
        <v>0</v>
      </c>
      <c r="AW1201" s="1">
        <v>0</v>
      </c>
      <c r="AX1201" s="1">
        <v>0</v>
      </c>
      <c r="AY1201" s="1">
        <v>0</v>
      </c>
      <c r="AZ1201" s="1">
        <v>0</v>
      </c>
      <c r="BA1201" s="1">
        <v>0</v>
      </c>
      <c r="BB1201" s="1">
        <v>0</v>
      </c>
      <c r="BC1201" s="1">
        <v>0</v>
      </c>
      <c r="BD1201" s="1">
        <v>0</v>
      </c>
      <c r="BE1201" s="1">
        <v>0</v>
      </c>
      <c r="BF1201" s="1">
        <v>0</v>
      </c>
      <c r="BG1201" s="1">
        <v>0</v>
      </c>
      <c r="BH1201" s="1">
        <v>0</v>
      </c>
      <c r="BI1201" s="1">
        <v>0</v>
      </c>
      <c r="BJ1201" s="1">
        <v>0</v>
      </c>
      <c r="BK1201" s="1">
        <v>0</v>
      </c>
      <c r="BL1201" s="1">
        <v>0</v>
      </c>
      <c r="BM1201" s="1">
        <v>0</v>
      </c>
      <c r="BN1201" s="1">
        <v>0</v>
      </c>
      <c r="BO1201" s="1">
        <v>1</v>
      </c>
      <c r="BP1201" s="1">
        <v>0</v>
      </c>
      <c r="BQ1201" s="1" t="s">
        <v>104</v>
      </c>
      <c r="BR1201" s="1">
        <v>1254</v>
      </c>
      <c r="BS1201" s="1" t="s">
        <v>104</v>
      </c>
      <c r="BX1201" s="1">
        <v>0</v>
      </c>
      <c r="BY1201" s="1" t="s">
        <v>104</v>
      </c>
      <c r="BZ1201" s="1" t="s">
        <v>104</v>
      </c>
      <c r="CA1201" s="1" t="s">
        <v>104</v>
      </c>
      <c r="CB1201" s="1" t="s">
        <v>104</v>
      </c>
      <c r="CC1201" s="1" t="s">
        <v>104</v>
      </c>
      <c r="CD1201" s="1" t="s">
        <v>104</v>
      </c>
      <c r="CE1201" s="1" t="s">
        <v>104</v>
      </c>
      <c r="CF1201" s="1" t="s">
        <v>104</v>
      </c>
      <c r="CG1201" s="1" t="s">
        <v>104</v>
      </c>
      <c r="CH1201" s="1">
        <v>3</v>
      </c>
      <c r="CJ1201" s="1">
        <v>0</v>
      </c>
      <c r="CK1201" s="1">
        <v>0</v>
      </c>
      <c r="CL1201" s="1">
        <v>0</v>
      </c>
      <c r="CM1201" s="1" t="s">
        <v>104</v>
      </c>
    </row>
    <row r="1202" spans="1:91" ht="14.25" customHeight="1" x14ac:dyDescent="0.3">
      <c r="A1202" s="1" t="s">
        <v>7151</v>
      </c>
      <c r="B1202" s="1" t="s">
        <v>137</v>
      </c>
      <c r="E1202" s="1" t="s">
        <v>7152</v>
      </c>
      <c r="F1202" s="1" t="s">
        <v>4934</v>
      </c>
      <c r="G1202" s="1" t="s">
        <v>116</v>
      </c>
      <c r="H1202" s="1">
        <v>0</v>
      </c>
      <c r="I1202" s="1" t="s">
        <v>7153</v>
      </c>
      <c r="L1202" s="1" t="s">
        <v>7154</v>
      </c>
      <c r="M1202" s="1" t="s">
        <v>119</v>
      </c>
      <c r="N1202" s="1">
        <v>0</v>
      </c>
      <c r="O1202" s="1">
        <v>0</v>
      </c>
      <c r="R1202" s="1" t="s">
        <v>7155</v>
      </c>
      <c r="S1202" s="1" t="s">
        <v>7134</v>
      </c>
      <c r="T1202" s="1">
        <v>1</v>
      </c>
      <c r="U1202" s="1">
        <v>1</v>
      </c>
      <c r="V1202" s="1">
        <v>0</v>
      </c>
      <c r="W1202" s="1">
        <v>0</v>
      </c>
      <c r="X1202" s="1">
        <v>0</v>
      </c>
      <c r="Y1202" s="1" t="s">
        <v>104</v>
      </c>
      <c r="Z1202" s="1" t="s">
        <v>104</v>
      </c>
      <c r="AA1202" s="1" t="s">
        <v>104</v>
      </c>
      <c r="AB1202" s="1" t="s">
        <v>104</v>
      </c>
      <c r="AC1202" s="1">
        <v>1</v>
      </c>
      <c r="AD1202" s="1">
        <v>1</v>
      </c>
      <c r="AE1202" s="1" t="s">
        <v>104</v>
      </c>
      <c r="AF1202" s="1" t="s">
        <v>104</v>
      </c>
      <c r="AG1202" s="1" t="s">
        <v>104</v>
      </c>
      <c r="AH1202" s="1" t="s">
        <v>104</v>
      </c>
      <c r="AI1202" s="1" t="s">
        <v>104</v>
      </c>
      <c r="AJ1202" s="1" t="s">
        <v>104</v>
      </c>
      <c r="AK1202" s="1" t="s">
        <v>104</v>
      </c>
      <c r="AL1202" s="1">
        <v>1</v>
      </c>
      <c r="AM1202" s="1" t="s">
        <v>104</v>
      </c>
      <c r="AO1202" s="1">
        <v>1</v>
      </c>
      <c r="AR1202" s="1">
        <v>0</v>
      </c>
      <c r="AS1202" s="1">
        <v>0</v>
      </c>
      <c r="AT1202" s="1">
        <v>0</v>
      </c>
      <c r="AU1202" s="1">
        <v>0</v>
      </c>
      <c r="AV1202" s="1">
        <v>0</v>
      </c>
      <c r="AW1202" s="1">
        <v>0</v>
      </c>
      <c r="AX1202" s="1">
        <v>0</v>
      </c>
      <c r="AY1202" s="1">
        <v>0</v>
      </c>
      <c r="AZ1202" s="1">
        <v>0</v>
      </c>
      <c r="BA1202" s="1">
        <v>0</v>
      </c>
      <c r="BB1202" s="1">
        <v>0</v>
      </c>
      <c r="BC1202" s="1">
        <v>0</v>
      </c>
      <c r="BD1202" s="1">
        <v>0</v>
      </c>
      <c r="BE1202" s="1">
        <v>0</v>
      </c>
      <c r="BF1202" s="1">
        <v>0</v>
      </c>
      <c r="BG1202" s="1">
        <v>0</v>
      </c>
      <c r="BH1202" s="1">
        <v>0</v>
      </c>
      <c r="BI1202" s="1">
        <v>0</v>
      </c>
      <c r="BJ1202" s="1">
        <v>0</v>
      </c>
      <c r="BK1202" s="1">
        <v>0</v>
      </c>
      <c r="BL1202" s="1">
        <v>0</v>
      </c>
      <c r="BM1202" s="1">
        <v>0</v>
      </c>
      <c r="BN1202" s="1">
        <v>0</v>
      </c>
      <c r="BO1202" s="1">
        <v>0</v>
      </c>
      <c r="BP1202" s="1">
        <v>0</v>
      </c>
      <c r="BQ1202" s="1" t="s">
        <v>104</v>
      </c>
      <c r="BR1202" s="1">
        <v>1255</v>
      </c>
      <c r="BS1202" s="1" t="s">
        <v>104</v>
      </c>
      <c r="BX1202" s="1">
        <v>0</v>
      </c>
      <c r="BY1202" s="1" t="s">
        <v>104</v>
      </c>
      <c r="BZ1202" s="1" t="s">
        <v>104</v>
      </c>
      <c r="CA1202" s="1" t="s">
        <v>104</v>
      </c>
      <c r="CB1202" s="1" t="s">
        <v>104</v>
      </c>
      <c r="CC1202" s="1" t="s">
        <v>104</v>
      </c>
      <c r="CD1202" s="1" t="s">
        <v>104</v>
      </c>
      <c r="CE1202" s="1" t="s">
        <v>104</v>
      </c>
      <c r="CF1202" s="1" t="s">
        <v>104</v>
      </c>
      <c r="CG1202" s="1" t="s">
        <v>104</v>
      </c>
      <c r="CH1202" s="1">
        <v>1</v>
      </c>
      <c r="CJ1202" s="1">
        <v>0</v>
      </c>
      <c r="CK1202" s="1">
        <v>0</v>
      </c>
      <c r="CL1202" s="1">
        <v>0</v>
      </c>
      <c r="CM1202" s="1" t="s">
        <v>104</v>
      </c>
    </row>
    <row r="1203" spans="1:91" ht="14.25" customHeight="1" x14ac:dyDescent="0.3">
      <c r="A1203" s="1" t="s">
        <v>7156</v>
      </c>
      <c r="B1203" s="1" t="s">
        <v>137</v>
      </c>
      <c r="D1203" s="1" t="s">
        <v>58</v>
      </c>
      <c r="E1203" s="1" t="s">
        <v>7157</v>
      </c>
      <c r="F1203" s="1" t="s">
        <v>95</v>
      </c>
      <c r="G1203" s="1" t="s">
        <v>7158</v>
      </c>
      <c r="H1203" s="1">
        <v>0</v>
      </c>
      <c r="I1203" s="1" t="s">
        <v>128</v>
      </c>
      <c r="L1203" s="1" t="s">
        <v>2037</v>
      </c>
      <c r="M1203" s="1" t="s">
        <v>2330</v>
      </c>
      <c r="N1203" s="1">
        <v>0</v>
      </c>
      <c r="O1203" s="1">
        <v>0</v>
      </c>
      <c r="P1203" s="1" t="s">
        <v>183</v>
      </c>
      <c r="Q1203" s="1" t="s">
        <v>101</v>
      </c>
      <c r="R1203" s="1" t="s">
        <v>7159</v>
      </c>
      <c r="S1203" s="1" t="s">
        <v>7134</v>
      </c>
      <c r="T1203" s="1">
        <v>1</v>
      </c>
      <c r="U1203" s="1">
        <v>1</v>
      </c>
      <c r="V1203" s="1">
        <v>1</v>
      </c>
      <c r="W1203" s="1">
        <v>0</v>
      </c>
      <c r="X1203" s="1">
        <v>0</v>
      </c>
      <c r="Y1203" s="1" t="s">
        <v>104</v>
      </c>
      <c r="Z1203" s="1" t="s">
        <v>104</v>
      </c>
      <c r="AA1203" s="1">
        <v>4</v>
      </c>
      <c r="AB1203" s="1" t="s">
        <v>104</v>
      </c>
      <c r="AC1203" s="1" t="s">
        <v>104</v>
      </c>
      <c r="AD1203" s="1" t="s">
        <v>104</v>
      </c>
      <c r="AE1203" s="1">
        <v>4</v>
      </c>
      <c r="AF1203" s="1" t="s">
        <v>104</v>
      </c>
      <c r="AG1203" s="1" t="s">
        <v>104</v>
      </c>
      <c r="AH1203" s="1" t="s">
        <v>104</v>
      </c>
      <c r="AI1203" s="1">
        <v>4</v>
      </c>
      <c r="AJ1203" s="1">
        <v>4</v>
      </c>
      <c r="AK1203" s="1" t="s">
        <v>104</v>
      </c>
      <c r="AL1203" s="1" t="s">
        <v>104</v>
      </c>
      <c r="AM1203" s="1" t="s">
        <v>104</v>
      </c>
      <c r="AO1203" s="1">
        <v>4</v>
      </c>
      <c r="AR1203" s="1">
        <v>0</v>
      </c>
      <c r="AS1203" s="1">
        <v>0</v>
      </c>
      <c r="AT1203" s="1">
        <v>0</v>
      </c>
      <c r="AU1203" s="1">
        <v>0</v>
      </c>
      <c r="AV1203" s="1">
        <v>0</v>
      </c>
      <c r="AW1203" s="1">
        <v>0</v>
      </c>
      <c r="AX1203" s="1">
        <v>0</v>
      </c>
      <c r="AY1203" s="1">
        <v>0</v>
      </c>
      <c r="AZ1203" s="1">
        <v>0</v>
      </c>
      <c r="BA1203" s="1">
        <v>0</v>
      </c>
      <c r="BB1203" s="1">
        <v>0</v>
      </c>
      <c r="BC1203" s="1">
        <v>0</v>
      </c>
      <c r="BD1203" s="1">
        <v>0</v>
      </c>
      <c r="BE1203" s="1">
        <v>0</v>
      </c>
      <c r="BF1203" s="1">
        <v>0</v>
      </c>
      <c r="BG1203" s="1">
        <v>1</v>
      </c>
      <c r="BH1203" s="1">
        <v>0</v>
      </c>
      <c r="BI1203" s="1">
        <v>0</v>
      </c>
      <c r="BJ1203" s="1">
        <v>0</v>
      </c>
      <c r="BK1203" s="1">
        <v>0</v>
      </c>
      <c r="BL1203" s="1">
        <v>0</v>
      </c>
      <c r="BM1203" s="1">
        <v>0</v>
      </c>
      <c r="BN1203" s="1">
        <v>0</v>
      </c>
      <c r="BO1203" s="1">
        <v>0</v>
      </c>
      <c r="BP1203" s="1">
        <v>0</v>
      </c>
      <c r="BQ1203" s="1" t="s">
        <v>104</v>
      </c>
      <c r="BR1203" s="1">
        <v>1256</v>
      </c>
      <c r="BS1203" s="1" t="s">
        <v>104</v>
      </c>
      <c r="BV1203" s="1" t="s">
        <v>7160</v>
      </c>
      <c r="BW1203" s="1" t="s">
        <v>7161</v>
      </c>
      <c r="BX1203" s="1">
        <v>1</v>
      </c>
      <c r="BY1203" s="1" t="s">
        <v>104</v>
      </c>
      <c r="BZ1203" s="1" t="s">
        <v>104</v>
      </c>
      <c r="CA1203" s="1" t="s">
        <v>104</v>
      </c>
      <c r="CB1203" s="1" t="s">
        <v>104</v>
      </c>
      <c r="CC1203" s="1" t="s">
        <v>104</v>
      </c>
      <c r="CD1203" s="1" t="s">
        <v>104</v>
      </c>
      <c r="CE1203" s="1" t="s">
        <v>104</v>
      </c>
      <c r="CF1203" s="1" t="s">
        <v>104</v>
      </c>
      <c r="CG1203" s="1" t="s">
        <v>104</v>
      </c>
      <c r="CH1203" s="1" t="s">
        <v>104</v>
      </c>
      <c r="CJ1203" s="1">
        <v>0</v>
      </c>
      <c r="CK1203" s="1">
        <v>0</v>
      </c>
      <c r="CL1203" s="1">
        <v>0</v>
      </c>
      <c r="CM1203" s="1" t="s">
        <v>104</v>
      </c>
    </row>
    <row r="1204" spans="1:91" ht="14.25" customHeight="1" x14ac:dyDescent="0.3">
      <c r="A1204" s="1" t="s">
        <v>7162</v>
      </c>
      <c r="B1204" s="1" t="s">
        <v>92</v>
      </c>
      <c r="C1204" s="1" t="s">
        <v>903</v>
      </c>
      <c r="D1204" s="1" t="s">
        <v>58</v>
      </c>
      <c r="E1204" s="1" t="s">
        <v>7163</v>
      </c>
      <c r="F1204" s="1" t="s">
        <v>95</v>
      </c>
      <c r="G1204" s="1" t="s">
        <v>7164</v>
      </c>
      <c r="H1204" s="1">
        <v>0</v>
      </c>
      <c r="I1204" s="1" t="s">
        <v>157</v>
      </c>
      <c r="L1204" s="1" t="s">
        <v>158</v>
      </c>
      <c r="M1204" s="1" t="s">
        <v>7165</v>
      </c>
      <c r="N1204" s="1">
        <v>0</v>
      </c>
      <c r="O1204" s="1">
        <v>0</v>
      </c>
      <c r="R1204" s="1" t="s">
        <v>7166</v>
      </c>
      <c r="S1204" s="1" t="s">
        <v>7134</v>
      </c>
      <c r="T1204" s="1">
        <v>1</v>
      </c>
      <c r="U1204" s="1">
        <v>1</v>
      </c>
      <c r="V1204" s="1">
        <v>1</v>
      </c>
      <c r="W1204" s="1">
        <v>0</v>
      </c>
      <c r="X1204" s="1">
        <v>0</v>
      </c>
      <c r="Y1204" s="1" t="s">
        <v>104</v>
      </c>
      <c r="Z1204" s="1" t="s">
        <v>104</v>
      </c>
      <c r="AA1204" s="1">
        <v>6</v>
      </c>
      <c r="AB1204" s="1" t="s">
        <v>104</v>
      </c>
      <c r="AC1204" s="1" t="s">
        <v>104</v>
      </c>
      <c r="AD1204" s="1" t="s">
        <v>104</v>
      </c>
      <c r="AE1204" s="1">
        <v>4</v>
      </c>
      <c r="AF1204" s="1" t="s">
        <v>104</v>
      </c>
      <c r="AG1204" s="1">
        <v>5</v>
      </c>
      <c r="AH1204" s="1" t="s">
        <v>104</v>
      </c>
      <c r="AI1204" s="1" t="s">
        <v>104</v>
      </c>
      <c r="AJ1204" s="1">
        <v>6</v>
      </c>
      <c r="AK1204" s="1" t="s">
        <v>104</v>
      </c>
      <c r="AL1204" s="1" t="s">
        <v>104</v>
      </c>
      <c r="AM1204" s="1" t="s">
        <v>104</v>
      </c>
      <c r="AO1204" s="1">
        <v>6</v>
      </c>
      <c r="AR1204" s="1">
        <v>0</v>
      </c>
      <c r="AS1204" s="1">
        <v>0</v>
      </c>
      <c r="AT1204" s="1">
        <v>0</v>
      </c>
      <c r="AU1204" s="1">
        <v>0</v>
      </c>
      <c r="AV1204" s="1">
        <v>0</v>
      </c>
      <c r="AW1204" s="1">
        <v>0</v>
      </c>
      <c r="AX1204" s="1">
        <v>0</v>
      </c>
      <c r="AY1204" s="1">
        <v>0</v>
      </c>
      <c r="AZ1204" s="1">
        <v>0</v>
      </c>
      <c r="BA1204" s="1">
        <v>0</v>
      </c>
      <c r="BB1204" s="1">
        <v>0</v>
      </c>
      <c r="BC1204" s="1">
        <v>0</v>
      </c>
      <c r="BD1204" s="1">
        <v>0</v>
      </c>
      <c r="BE1204" s="1">
        <v>0</v>
      </c>
      <c r="BF1204" s="1">
        <v>0</v>
      </c>
      <c r="BG1204" s="1">
        <v>1</v>
      </c>
      <c r="BH1204" s="1">
        <v>0</v>
      </c>
      <c r="BI1204" s="1">
        <v>0</v>
      </c>
      <c r="BJ1204" s="1">
        <v>0</v>
      </c>
      <c r="BK1204" s="1">
        <v>0</v>
      </c>
      <c r="BL1204" s="1">
        <v>0</v>
      </c>
      <c r="BM1204" s="1">
        <v>0</v>
      </c>
      <c r="BN1204" s="1">
        <v>0</v>
      </c>
      <c r="BO1204" s="1">
        <v>0</v>
      </c>
      <c r="BP1204" s="1">
        <v>0</v>
      </c>
      <c r="BQ1204" s="1" t="s">
        <v>104</v>
      </c>
      <c r="BR1204" s="1">
        <v>1257</v>
      </c>
      <c r="BS1204" s="1" t="s">
        <v>104</v>
      </c>
      <c r="BX1204" s="1">
        <v>0</v>
      </c>
      <c r="BY1204" s="1" t="s">
        <v>104</v>
      </c>
      <c r="BZ1204" s="1" t="s">
        <v>104</v>
      </c>
      <c r="CA1204" s="1" t="s">
        <v>104</v>
      </c>
      <c r="CB1204" s="1" t="s">
        <v>104</v>
      </c>
      <c r="CC1204" s="1" t="s">
        <v>104</v>
      </c>
      <c r="CD1204" s="1" t="s">
        <v>104</v>
      </c>
      <c r="CE1204" s="1" t="s">
        <v>104</v>
      </c>
      <c r="CF1204" s="1" t="s">
        <v>104</v>
      </c>
      <c r="CG1204" s="1" t="s">
        <v>104</v>
      </c>
      <c r="CH1204" s="1" t="s">
        <v>104</v>
      </c>
      <c r="CJ1204" s="1">
        <v>0</v>
      </c>
      <c r="CK1204" s="1">
        <v>0</v>
      </c>
      <c r="CL1204" s="1">
        <v>0</v>
      </c>
      <c r="CM1204" s="1">
        <v>5</v>
      </c>
    </row>
    <row r="1205" spans="1:91" ht="14.25" customHeight="1" x14ac:dyDescent="0.3">
      <c r="A1205" s="1" t="s">
        <v>7167</v>
      </c>
      <c r="B1205" s="1" t="s">
        <v>137</v>
      </c>
      <c r="E1205" s="1" t="s">
        <v>7078</v>
      </c>
      <c r="F1205" s="1" t="s">
        <v>95</v>
      </c>
      <c r="G1205" s="1" t="s">
        <v>7168</v>
      </c>
      <c r="H1205" s="1">
        <v>0</v>
      </c>
      <c r="I1205" s="1" t="s">
        <v>117</v>
      </c>
      <c r="L1205" s="1" t="s">
        <v>1065</v>
      </c>
      <c r="M1205" s="1" t="s">
        <v>111</v>
      </c>
      <c r="N1205" s="1">
        <v>0</v>
      </c>
      <c r="O1205" s="1">
        <v>0</v>
      </c>
      <c r="P1205" s="1" t="s">
        <v>211</v>
      </c>
      <c r="Q1205" s="1" t="s">
        <v>184</v>
      </c>
      <c r="R1205" s="1" t="s">
        <v>7169</v>
      </c>
      <c r="S1205" s="1" t="s">
        <v>7134</v>
      </c>
      <c r="T1205" s="1">
        <v>1</v>
      </c>
      <c r="U1205" s="1">
        <v>1</v>
      </c>
      <c r="V1205" s="1">
        <v>1</v>
      </c>
      <c r="W1205" s="1">
        <v>0</v>
      </c>
      <c r="X1205" s="1">
        <v>0</v>
      </c>
      <c r="Y1205" s="1">
        <v>2</v>
      </c>
      <c r="Z1205" s="1">
        <v>2</v>
      </c>
      <c r="AA1205" s="1" t="s">
        <v>104</v>
      </c>
      <c r="AB1205" s="1" t="s">
        <v>104</v>
      </c>
      <c r="AC1205" s="1" t="s">
        <v>104</v>
      </c>
      <c r="AD1205" s="1" t="s">
        <v>104</v>
      </c>
      <c r="AE1205" s="1" t="s">
        <v>104</v>
      </c>
      <c r="AF1205" s="1" t="s">
        <v>104</v>
      </c>
      <c r="AG1205" s="1" t="s">
        <v>104</v>
      </c>
      <c r="AH1205" s="1">
        <v>2</v>
      </c>
      <c r="AI1205" s="1" t="s">
        <v>104</v>
      </c>
      <c r="AJ1205" s="1" t="s">
        <v>104</v>
      </c>
      <c r="AK1205" s="1" t="s">
        <v>104</v>
      </c>
      <c r="AL1205" s="1" t="s">
        <v>104</v>
      </c>
      <c r="AM1205" s="1" t="s">
        <v>104</v>
      </c>
      <c r="AO1205" s="1">
        <v>2</v>
      </c>
      <c r="AR1205" s="1">
        <v>0</v>
      </c>
      <c r="AS1205" s="1">
        <v>0</v>
      </c>
      <c r="AT1205" s="1">
        <v>0</v>
      </c>
      <c r="AU1205" s="1">
        <v>0</v>
      </c>
      <c r="AV1205" s="1">
        <v>0</v>
      </c>
      <c r="AW1205" s="1">
        <v>0</v>
      </c>
      <c r="AX1205" s="1">
        <v>0</v>
      </c>
      <c r="AY1205" s="1">
        <v>0</v>
      </c>
      <c r="AZ1205" s="1">
        <v>0</v>
      </c>
      <c r="BA1205" s="1">
        <v>0</v>
      </c>
      <c r="BB1205" s="1">
        <v>0</v>
      </c>
      <c r="BC1205" s="1">
        <v>0</v>
      </c>
      <c r="BD1205" s="1">
        <v>0</v>
      </c>
      <c r="BE1205" s="1">
        <v>0</v>
      </c>
      <c r="BF1205" s="1">
        <v>0</v>
      </c>
      <c r="BG1205" s="1">
        <v>0</v>
      </c>
      <c r="BH1205" s="1">
        <v>0</v>
      </c>
      <c r="BI1205" s="1">
        <v>0</v>
      </c>
      <c r="BJ1205" s="1">
        <v>0</v>
      </c>
      <c r="BK1205" s="1">
        <v>0</v>
      </c>
      <c r="BL1205" s="1">
        <v>0</v>
      </c>
      <c r="BM1205" s="1">
        <v>0</v>
      </c>
      <c r="BN1205" s="1">
        <v>0</v>
      </c>
      <c r="BO1205" s="1">
        <v>0</v>
      </c>
      <c r="BP1205" s="1">
        <v>0</v>
      </c>
      <c r="BQ1205" s="1" t="s">
        <v>104</v>
      </c>
      <c r="BR1205" s="1">
        <v>1258</v>
      </c>
      <c r="BS1205" s="1" t="s">
        <v>104</v>
      </c>
      <c r="BX1205" s="1">
        <v>0</v>
      </c>
      <c r="BY1205" s="1" t="s">
        <v>104</v>
      </c>
      <c r="BZ1205" s="1" t="s">
        <v>104</v>
      </c>
      <c r="CA1205" s="1" t="s">
        <v>104</v>
      </c>
      <c r="CB1205" s="1" t="s">
        <v>104</v>
      </c>
      <c r="CC1205" s="1" t="s">
        <v>104</v>
      </c>
      <c r="CD1205" s="1" t="s">
        <v>104</v>
      </c>
      <c r="CE1205" s="1" t="s">
        <v>104</v>
      </c>
      <c r="CF1205" s="1" t="s">
        <v>104</v>
      </c>
      <c r="CG1205" s="1" t="s">
        <v>104</v>
      </c>
      <c r="CH1205" s="1" t="s">
        <v>104</v>
      </c>
      <c r="CJ1205" s="1">
        <v>0</v>
      </c>
      <c r="CK1205" s="1">
        <v>0</v>
      </c>
      <c r="CL1205" s="1">
        <v>0</v>
      </c>
      <c r="CM1205" s="1" t="s">
        <v>104</v>
      </c>
    </row>
    <row r="1206" spans="1:91" ht="14.25" customHeight="1" x14ac:dyDescent="0.3">
      <c r="A1206" s="1" t="s">
        <v>7170</v>
      </c>
      <c r="B1206" s="1" t="s">
        <v>137</v>
      </c>
      <c r="E1206" s="1" t="s">
        <v>1864</v>
      </c>
      <c r="F1206" s="1" t="s">
        <v>95</v>
      </c>
      <c r="G1206" s="1" t="s">
        <v>7168</v>
      </c>
      <c r="H1206" s="1">
        <v>0</v>
      </c>
      <c r="I1206" s="1" t="s">
        <v>109</v>
      </c>
      <c r="J1206" s="1" t="s">
        <v>541</v>
      </c>
      <c r="M1206" s="1" t="s">
        <v>2330</v>
      </c>
      <c r="N1206" s="1">
        <v>0</v>
      </c>
      <c r="O1206" s="1">
        <v>0</v>
      </c>
      <c r="P1206" s="1" t="s">
        <v>211</v>
      </c>
      <c r="Q1206" s="1" t="s">
        <v>184</v>
      </c>
      <c r="R1206" s="1" t="s">
        <v>7171</v>
      </c>
      <c r="S1206" s="1" t="s">
        <v>7134</v>
      </c>
      <c r="T1206" s="1">
        <v>1</v>
      </c>
      <c r="U1206" s="1">
        <v>1</v>
      </c>
      <c r="V1206" s="1">
        <v>1</v>
      </c>
      <c r="W1206" s="1">
        <v>0</v>
      </c>
      <c r="X1206" s="1">
        <v>0</v>
      </c>
      <c r="Y1206" s="1">
        <v>6</v>
      </c>
      <c r="Z1206" s="1">
        <v>6</v>
      </c>
      <c r="AA1206" s="1" t="s">
        <v>104</v>
      </c>
      <c r="AB1206" s="1" t="s">
        <v>104</v>
      </c>
      <c r="AC1206" s="1" t="s">
        <v>104</v>
      </c>
      <c r="AD1206" s="1" t="s">
        <v>104</v>
      </c>
      <c r="AE1206" s="1" t="s">
        <v>104</v>
      </c>
      <c r="AF1206" s="1" t="s">
        <v>104</v>
      </c>
      <c r="AG1206" s="1" t="s">
        <v>104</v>
      </c>
      <c r="AH1206" s="1">
        <v>6</v>
      </c>
      <c r="AI1206" s="1" t="s">
        <v>104</v>
      </c>
      <c r="AJ1206" s="1" t="s">
        <v>104</v>
      </c>
      <c r="AK1206" s="1" t="s">
        <v>104</v>
      </c>
      <c r="AL1206" s="1" t="s">
        <v>104</v>
      </c>
      <c r="AM1206" s="1" t="s">
        <v>104</v>
      </c>
      <c r="AO1206" s="1">
        <v>6</v>
      </c>
      <c r="AR1206" s="1">
        <v>0</v>
      </c>
      <c r="AS1206" s="1">
        <v>0</v>
      </c>
      <c r="AT1206" s="1">
        <v>0</v>
      </c>
      <c r="AU1206" s="1">
        <v>0</v>
      </c>
      <c r="AV1206" s="1">
        <v>0</v>
      </c>
      <c r="AW1206" s="1">
        <v>0</v>
      </c>
      <c r="AX1206" s="1">
        <v>0</v>
      </c>
      <c r="AY1206" s="1">
        <v>0</v>
      </c>
      <c r="AZ1206" s="1">
        <v>0</v>
      </c>
      <c r="BA1206" s="1">
        <v>0</v>
      </c>
      <c r="BB1206" s="1">
        <v>0</v>
      </c>
      <c r="BC1206" s="1">
        <v>0</v>
      </c>
      <c r="BD1206" s="1">
        <v>0</v>
      </c>
      <c r="BE1206" s="1">
        <v>0</v>
      </c>
      <c r="BF1206" s="1">
        <v>0</v>
      </c>
      <c r="BG1206" s="1">
        <v>0</v>
      </c>
      <c r="BH1206" s="1">
        <v>0</v>
      </c>
      <c r="BI1206" s="1">
        <v>0</v>
      </c>
      <c r="BJ1206" s="1">
        <v>0</v>
      </c>
      <c r="BK1206" s="1">
        <v>0</v>
      </c>
      <c r="BL1206" s="1">
        <v>0</v>
      </c>
      <c r="BM1206" s="1">
        <v>0</v>
      </c>
      <c r="BN1206" s="1">
        <v>0</v>
      </c>
      <c r="BO1206" s="1">
        <v>0</v>
      </c>
      <c r="BP1206" s="1">
        <v>0</v>
      </c>
      <c r="BQ1206" s="1" t="s">
        <v>104</v>
      </c>
      <c r="BR1206" s="1">
        <v>1259</v>
      </c>
      <c r="BS1206" s="1" t="s">
        <v>104</v>
      </c>
      <c r="BX1206" s="1">
        <v>0</v>
      </c>
      <c r="BY1206" s="1" t="s">
        <v>104</v>
      </c>
      <c r="BZ1206" s="1" t="s">
        <v>104</v>
      </c>
      <c r="CA1206" s="1" t="s">
        <v>104</v>
      </c>
      <c r="CB1206" s="1" t="s">
        <v>104</v>
      </c>
      <c r="CC1206" s="1" t="s">
        <v>104</v>
      </c>
      <c r="CD1206" s="1" t="s">
        <v>104</v>
      </c>
      <c r="CE1206" s="1" t="s">
        <v>104</v>
      </c>
      <c r="CF1206" s="1" t="s">
        <v>104</v>
      </c>
      <c r="CG1206" s="1" t="s">
        <v>104</v>
      </c>
      <c r="CH1206" s="1" t="s">
        <v>104</v>
      </c>
      <c r="CJ1206" s="1">
        <v>0</v>
      </c>
      <c r="CK1206" s="1">
        <v>0</v>
      </c>
      <c r="CL1206" s="1">
        <v>0</v>
      </c>
      <c r="CM1206" s="1" t="s">
        <v>104</v>
      </c>
    </row>
    <row r="1207" spans="1:91" ht="14.25" customHeight="1" x14ac:dyDescent="0.3">
      <c r="A1207" s="1" t="s">
        <v>7172</v>
      </c>
      <c r="B1207" s="1" t="s">
        <v>137</v>
      </c>
      <c r="C1207" s="1" t="s">
        <v>154</v>
      </c>
      <c r="E1207" s="1" t="s">
        <v>749</v>
      </c>
      <c r="F1207" s="1" t="s">
        <v>95</v>
      </c>
      <c r="G1207" s="1" t="s">
        <v>7173</v>
      </c>
      <c r="H1207" s="1">
        <v>0</v>
      </c>
      <c r="I1207" s="1" t="s">
        <v>117</v>
      </c>
      <c r="L1207" s="1" t="s">
        <v>7174</v>
      </c>
      <c r="M1207" s="1" t="s">
        <v>111</v>
      </c>
      <c r="N1207" s="1">
        <v>0</v>
      </c>
      <c r="O1207" s="1">
        <v>0</v>
      </c>
      <c r="P1207" s="1" t="s">
        <v>183</v>
      </c>
      <c r="Q1207" s="1" t="s">
        <v>184</v>
      </c>
      <c r="R1207" s="1" t="s">
        <v>7175</v>
      </c>
      <c r="S1207" s="1" t="s">
        <v>7134</v>
      </c>
      <c r="T1207" s="1">
        <v>1</v>
      </c>
      <c r="U1207" s="1">
        <v>1</v>
      </c>
      <c r="V1207" s="1">
        <v>1</v>
      </c>
      <c r="W1207" s="1">
        <v>0</v>
      </c>
      <c r="X1207" s="1">
        <v>0</v>
      </c>
      <c r="Y1207" s="1">
        <v>2</v>
      </c>
      <c r="Z1207" s="1">
        <v>2</v>
      </c>
      <c r="AA1207" s="1" t="s">
        <v>104</v>
      </c>
      <c r="AB1207" s="1" t="s">
        <v>104</v>
      </c>
      <c r="AC1207" s="1" t="s">
        <v>104</v>
      </c>
      <c r="AD1207" s="1" t="s">
        <v>104</v>
      </c>
      <c r="AE1207" s="1" t="s">
        <v>104</v>
      </c>
      <c r="AF1207" s="1" t="s">
        <v>104</v>
      </c>
      <c r="AG1207" s="1" t="s">
        <v>104</v>
      </c>
      <c r="AH1207" s="1" t="s">
        <v>104</v>
      </c>
      <c r="AI1207" s="1" t="s">
        <v>104</v>
      </c>
      <c r="AJ1207" s="1" t="s">
        <v>104</v>
      </c>
      <c r="AK1207" s="1" t="s">
        <v>104</v>
      </c>
      <c r="AL1207" s="1" t="s">
        <v>104</v>
      </c>
      <c r="AM1207" s="1" t="s">
        <v>104</v>
      </c>
      <c r="AO1207" s="1">
        <v>2</v>
      </c>
      <c r="AR1207" s="1">
        <v>0</v>
      </c>
      <c r="AS1207" s="1">
        <v>0</v>
      </c>
      <c r="AT1207" s="1">
        <v>0</v>
      </c>
      <c r="AU1207" s="1">
        <v>0</v>
      </c>
      <c r="AV1207" s="1">
        <v>0</v>
      </c>
      <c r="AW1207" s="1">
        <v>0</v>
      </c>
      <c r="AX1207" s="1">
        <v>0</v>
      </c>
      <c r="AY1207" s="1">
        <v>0</v>
      </c>
      <c r="AZ1207" s="1">
        <v>0</v>
      </c>
      <c r="BA1207" s="1">
        <v>0</v>
      </c>
      <c r="BB1207" s="1">
        <v>0</v>
      </c>
      <c r="BC1207" s="1">
        <v>0</v>
      </c>
      <c r="BD1207" s="1">
        <v>0</v>
      </c>
      <c r="BE1207" s="1">
        <v>0</v>
      </c>
      <c r="BF1207" s="1">
        <v>0</v>
      </c>
      <c r="BG1207" s="1">
        <v>0</v>
      </c>
      <c r="BH1207" s="1">
        <v>0</v>
      </c>
      <c r="BI1207" s="1">
        <v>0</v>
      </c>
      <c r="BJ1207" s="1">
        <v>0</v>
      </c>
      <c r="BK1207" s="1">
        <v>0</v>
      </c>
      <c r="BL1207" s="1">
        <v>0</v>
      </c>
      <c r="BM1207" s="1">
        <v>0</v>
      </c>
      <c r="BN1207" s="1">
        <v>0</v>
      </c>
      <c r="BO1207" s="1">
        <v>0</v>
      </c>
      <c r="BP1207" s="1">
        <v>0</v>
      </c>
      <c r="BQ1207" s="1" t="s">
        <v>104</v>
      </c>
      <c r="BR1207" s="1">
        <v>1260</v>
      </c>
      <c r="BS1207" s="1" t="s">
        <v>104</v>
      </c>
      <c r="BV1207" s="1" t="s">
        <v>7176</v>
      </c>
      <c r="BW1207" s="1" t="s">
        <v>7177</v>
      </c>
      <c r="BX1207" s="1">
        <v>1</v>
      </c>
      <c r="BY1207" s="1" t="s">
        <v>104</v>
      </c>
      <c r="BZ1207" s="1" t="s">
        <v>104</v>
      </c>
      <c r="CA1207" s="1" t="s">
        <v>104</v>
      </c>
      <c r="CB1207" s="1" t="s">
        <v>104</v>
      </c>
      <c r="CC1207" s="1" t="s">
        <v>104</v>
      </c>
      <c r="CD1207" s="1" t="s">
        <v>104</v>
      </c>
      <c r="CE1207" s="1" t="s">
        <v>104</v>
      </c>
      <c r="CF1207" s="1" t="s">
        <v>104</v>
      </c>
      <c r="CG1207" s="1" t="s">
        <v>104</v>
      </c>
      <c r="CH1207" s="1" t="s">
        <v>104</v>
      </c>
      <c r="CJ1207" s="1">
        <v>0</v>
      </c>
      <c r="CK1207" s="1">
        <v>0</v>
      </c>
      <c r="CL1207" s="1">
        <v>0</v>
      </c>
      <c r="CM1207" s="1" t="s">
        <v>104</v>
      </c>
    </row>
    <row r="1208" spans="1:91" ht="14.25" customHeight="1" x14ac:dyDescent="0.3">
      <c r="A1208" s="1" t="s">
        <v>7178</v>
      </c>
      <c r="B1208" s="1" t="s">
        <v>434</v>
      </c>
      <c r="D1208" s="1" t="s">
        <v>57</v>
      </c>
      <c r="E1208" s="1" t="s">
        <v>7179</v>
      </c>
      <c r="F1208" s="1" t="s">
        <v>4934</v>
      </c>
      <c r="G1208" s="1" t="s">
        <v>116</v>
      </c>
      <c r="H1208" s="1">
        <v>0</v>
      </c>
      <c r="I1208" s="1" t="s">
        <v>7180</v>
      </c>
      <c r="L1208" s="1" t="s">
        <v>5827</v>
      </c>
      <c r="M1208" s="1" t="s">
        <v>119</v>
      </c>
      <c r="N1208" s="1">
        <v>0</v>
      </c>
      <c r="O1208" s="1">
        <v>0</v>
      </c>
      <c r="P1208" s="1" t="s">
        <v>1080</v>
      </c>
      <c r="Q1208" s="1" t="s">
        <v>184</v>
      </c>
      <c r="R1208" s="1" t="s">
        <v>7181</v>
      </c>
      <c r="S1208" s="1" t="s">
        <v>7134</v>
      </c>
      <c r="T1208" s="1">
        <v>1</v>
      </c>
      <c r="U1208" s="1">
        <v>1</v>
      </c>
      <c r="V1208" s="1">
        <v>0</v>
      </c>
      <c r="W1208" s="1">
        <v>0</v>
      </c>
      <c r="X1208" s="1">
        <v>0</v>
      </c>
      <c r="Y1208" s="1" t="s">
        <v>104</v>
      </c>
      <c r="Z1208" s="1" t="s">
        <v>104</v>
      </c>
      <c r="AA1208" s="1">
        <v>4</v>
      </c>
      <c r="AB1208" s="1" t="s">
        <v>104</v>
      </c>
      <c r="AC1208" s="1" t="s">
        <v>104</v>
      </c>
      <c r="AD1208" s="1" t="s">
        <v>104</v>
      </c>
      <c r="AE1208" s="1">
        <v>4</v>
      </c>
      <c r="AF1208" s="1" t="s">
        <v>104</v>
      </c>
      <c r="AG1208" s="1" t="s">
        <v>104</v>
      </c>
      <c r="AH1208" s="1" t="s">
        <v>104</v>
      </c>
      <c r="AI1208" s="1">
        <v>4</v>
      </c>
      <c r="AJ1208" s="1">
        <v>4</v>
      </c>
      <c r="AK1208" s="1" t="s">
        <v>104</v>
      </c>
      <c r="AL1208" s="1">
        <v>4</v>
      </c>
      <c r="AM1208" s="1" t="s">
        <v>104</v>
      </c>
      <c r="AO1208" s="1">
        <v>4</v>
      </c>
      <c r="AR1208" s="1">
        <v>0</v>
      </c>
      <c r="AS1208" s="1">
        <v>0</v>
      </c>
      <c r="AT1208" s="1">
        <v>0</v>
      </c>
      <c r="AU1208" s="1">
        <v>0</v>
      </c>
      <c r="AV1208" s="1">
        <v>0</v>
      </c>
      <c r="AW1208" s="1">
        <v>0</v>
      </c>
      <c r="AX1208" s="1">
        <v>0</v>
      </c>
      <c r="AY1208" s="1">
        <v>0</v>
      </c>
      <c r="AZ1208" s="1">
        <v>0</v>
      </c>
      <c r="BA1208" s="1">
        <v>0</v>
      </c>
      <c r="BB1208" s="1">
        <v>0</v>
      </c>
      <c r="BC1208" s="1">
        <v>0</v>
      </c>
      <c r="BD1208" s="1">
        <v>0</v>
      </c>
      <c r="BE1208" s="1">
        <v>0</v>
      </c>
      <c r="BF1208" s="1">
        <v>1</v>
      </c>
      <c r="BG1208" s="1">
        <v>0</v>
      </c>
      <c r="BH1208" s="1">
        <v>0</v>
      </c>
      <c r="BI1208" s="1">
        <v>0</v>
      </c>
      <c r="BJ1208" s="1">
        <v>0</v>
      </c>
      <c r="BK1208" s="1">
        <v>0</v>
      </c>
      <c r="BL1208" s="1">
        <v>0</v>
      </c>
      <c r="BM1208" s="1">
        <v>0</v>
      </c>
      <c r="BN1208" s="1">
        <v>0</v>
      </c>
      <c r="BO1208" s="1">
        <v>0</v>
      </c>
      <c r="BP1208" s="1">
        <v>0</v>
      </c>
      <c r="BQ1208" s="1" t="s">
        <v>104</v>
      </c>
      <c r="BR1208" s="1">
        <v>1261</v>
      </c>
      <c r="BS1208" s="1" t="s">
        <v>104</v>
      </c>
      <c r="BX1208" s="1">
        <v>0</v>
      </c>
      <c r="BY1208" s="1" t="s">
        <v>104</v>
      </c>
      <c r="BZ1208" s="1" t="s">
        <v>104</v>
      </c>
      <c r="CA1208" s="1" t="s">
        <v>104</v>
      </c>
      <c r="CB1208" s="1" t="s">
        <v>104</v>
      </c>
      <c r="CC1208" s="1" t="s">
        <v>104</v>
      </c>
      <c r="CD1208" s="1" t="s">
        <v>104</v>
      </c>
      <c r="CE1208" s="1" t="s">
        <v>104</v>
      </c>
      <c r="CF1208" s="1" t="s">
        <v>104</v>
      </c>
      <c r="CG1208" s="1" t="s">
        <v>104</v>
      </c>
      <c r="CH1208" s="1" t="s">
        <v>104</v>
      </c>
      <c r="CJ1208" s="1">
        <v>0</v>
      </c>
      <c r="CK1208" s="1">
        <v>0</v>
      </c>
      <c r="CL1208" s="1">
        <v>0</v>
      </c>
      <c r="CM1208" s="1" t="s">
        <v>104</v>
      </c>
    </row>
    <row r="1209" spans="1:91" ht="14.25" customHeight="1" x14ac:dyDescent="0.3">
      <c r="A1209" s="1" t="s">
        <v>7182</v>
      </c>
      <c r="B1209" s="1" t="s">
        <v>216</v>
      </c>
      <c r="E1209" s="1" t="s">
        <v>7183</v>
      </c>
      <c r="F1209" s="1" t="s">
        <v>95</v>
      </c>
      <c r="G1209" s="1" t="s">
        <v>7184</v>
      </c>
      <c r="H1209" s="1">
        <v>0</v>
      </c>
      <c r="I1209" s="1" t="s">
        <v>117</v>
      </c>
      <c r="K1209" s="1" t="s">
        <v>7185</v>
      </c>
      <c r="M1209" s="1" t="s">
        <v>111</v>
      </c>
      <c r="N1209" s="1">
        <v>0</v>
      </c>
      <c r="O1209" s="1">
        <v>0</v>
      </c>
      <c r="P1209" s="1" t="s">
        <v>100</v>
      </c>
      <c r="Q1209" s="1" t="s">
        <v>184</v>
      </c>
      <c r="R1209" s="1" t="s">
        <v>7186</v>
      </c>
      <c r="S1209" s="1" t="s">
        <v>7134</v>
      </c>
      <c r="T1209" s="1">
        <v>1</v>
      </c>
      <c r="U1209" s="1">
        <v>1</v>
      </c>
      <c r="V1209" s="1">
        <v>1</v>
      </c>
      <c r="W1209" s="1">
        <v>0</v>
      </c>
      <c r="X1209" s="1">
        <v>0</v>
      </c>
      <c r="Y1209" s="1">
        <v>4</v>
      </c>
      <c r="Z1209" s="1">
        <v>4</v>
      </c>
      <c r="AA1209" s="1" t="s">
        <v>104</v>
      </c>
      <c r="AB1209" s="1" t="s">
        <v>104</v>
      </c>
      <c r="AC1209" s="1" t="s">
        <v>104</v>
      </c>
      <c r="AD1209" s="1" t="s">
        <v>104</v>
      </c>
      <c r="AE1209" s="1" t="s">
        <v>104</v>
      </c>
      <c r="AF1209" s="1" t="s">
        <v>104</v>
      </c>
      <c r="AG1209" s="1" t="s">
        <v>104</v>
      </c>
      <c r="AH1209" s="1">
        <v>4</v>
      </c>
      <c r="AI1209" s="1" t="s">
        <v>104</v>
      </c>
      <c r="AJ1209" s="1" t="s">
        <v>104</v>
      </c>
      <c r="AK1209" s="1" t="s">
        <v>104</v>
      </c>
      <c r="AL1209" s="1" t="s">
        <v>104</v>
      </c>
      <c r="AM1209" s="1" t="s">
        <v>104</v>
      </c>
      <c r="AO1209" s="1">
        <v>4</v>
      </c>
      <c r="AR1209" s="1">
        <v>0</v>
      </c>
      <c r="AS1209" s="1">
        <v>0</v>
      </c>
      <c r="AT1209" s="1">
        <v>0</v>
      </c>
      <c r="AU1209" s="1">
        <v>0</v>
      </c>
      <c r="AV1209" s="1">
        <v>0</v>
      </c>
      <c r="AW1209" s="1">
        <v>0</v>
      </c>
      <c r="AX1209" s="1">
        <v>0</v>
      </c>
      <c r="AY1209" s="1">
        <v>0</v>
      </c>
      <c r="AZ1209" s="1">
        <v>0</v>
      </c>
      <c r="BA1209" s="1">
        <v>0</v>
      </c>
      <c r="BB1209" s="1">
        <v>0</v>
      </c>
      <c r="BC1209" s="1">
        <v>0</v>
      </c>
      <c r="BD1209" s="1">
        <v>0</v>
      </c>
      <c r="BE1209" s="1">
        <v>0</v>
      </c>
      <c r="BF1209" s="1">
        <v>0</v>
      </c>
      <c r="BG1209" s="1">
        <v>0</v>
      </c>
      <c r="BH1209" s="1">
        <v>0</v>
      </c>
      <c r="BI1209" s="1">
        <v>0</v>
      </c>
      <c r="BJ1209" s="1">
        <v>0</v>
      </c>
      <c r="BK1209" s="1">
        <v>0</v>
      </c>
      <c r="BL1209" s="1">
        <v>0</v>
      </c>
      <c r="BM1209" s="1">
        <v>0</v>
      </c>
      <c r="BN1209" s="1">
        <v>0</v>
      </c>
      <c r="BO1209" s="1">
        <v>0</v>
      </c>
      <c r="BP1209" s="1">
        <v>0</v>
      </c>
      <c r="BQ1209" s="1" t="s">
        <v>104</v>
      </c>
      <c r="BR1209" s="1">
        <v>1262</v>
      </c>
      <c r="BS1209" s="1" t="s">
        <v>104</v>
      </c>
      <c r="BX1209" s="1">
        <v>0</v>
      </c>
      <c r="BY1209" s="1" t="s">
        <v>104</v>
      </c>
      <c r="BZ1209" s="1" t="s">
        <v>104</v>
      </c>
      <c r="CA1209" s="1" t="s">
        <v>104</v>
      </c>
      <c r="CB1209" s="1" t="s">
        <v>104</v>
      </c>
      <c r="CC1209" s="1" t="s">
        <v>104</v>
      </c>
      <c r="CD1209" s="1" t="s">
        <v>104</v>
      </c>
      <c r="CE1209" s="1" t="s">
        <v>104</v>
      </c>
      <c r="CF1209" s="1" t="s">
        <v>104</v>
      </c>
      <c r="CG1209" s="1" t="s">
        <v>104</v>
      </c>
      <c r="CH1209" s="1" t="s">
        <v>104</v>
      </c>
      <c r="CJ1209" s="1">
        <v>0</v>
      </c>
      <c r="CK1209" s="1">
        <v>0</v>
      </c>
      <c r="CL1209" s="1">
        <v>0</v>
      </c>
      <c r="CM1209" s="1" t="s">
        <v>104</v>
      </c>
    </row>
    <row r="1210" spans="1:91" ht="14.25" customHeight="1" x14ac:dyDescent="0.3">
      <c r="A1210" s="1" t="s">
        <v>7187</v>
      </c>
      <c r="B1210" s="1" t="s">
        <v>137</v>
      </c>
      <c r="C1210" s="1" t="s">
        <v>154</v>
      </c>
      <c r="E1210" s="1" t="s">
        <v>7188</v>
      </c>
      <c r="F1210" s="1" t="s">
        <v>95</v>
      </c>
      <c r="G1210" s="1" t="s">
        <v>7189</v>
      </c>
      <c r="H1210" s="1">
        <v>0</v>
      </c>
      <c r="I1210" s="1" t="s">
        <v>157</v>
      </c>
      <c r="L1210" s="1" t="s">
        <v>158</v>
      </c>
      <c r="M1210" s="1" t="s">
        <v>111</v>
      </c>
      <c r="N1210" s="1">
        <v>0</v>
      </c>
      <c r="O1210" s="1">
        <v>0</v>
      </c>
      <c r="R1210" s="1" t="s">
        <v>7190</v>
      </c>
      <c r="S1210" s="1" t="s">
        <v>7134</v>
      </c>
      <c r="T1210" s="1">
        <v>1</v>
      </c>
      <c r="U1210" s="1">
        <v>1</v>
      </c>
      <c r="V1210" s="1">
        <v>1</v>
      </c>
      <c r="W1210" s="1">
        <v>0</v>
      </c>
      <c r="X1210" s="1">
        <v>0</v>
      </c>
      <c r="Y1210" s="1">
        <v>5</v>
      </c>
      <c r="Z1210" s="1">
        <v>5</v>
      </c>
      <c r="AA1210" s="1">
        <v>5</v>
      </c>
      <c r="AB1210" s="1">
        <v>5</v>
      </c>
      <c r="AC1210" s="1" t="s">
        <v>104</v>
      </c>
      <c r="AD1210" s="1" t="s">
        <v>104</v>
      </c>
      <c r="AE1210" s="1" t="s">
        <v>104</v>
      </c>
      <c r="AF1210" s="1" t="s">
        <v>104</v>
      </c>
      <c r="AG1210" s="1">
        <v>5</v>
      </c>
      <c r="AH1210" s="1" t="s">
        <v>104</v>
      </c>
      <c r="AI1210" s="1" t="s">
        <v>104</v>
      </c>
      <c r="AJ1210" s="1">
        <v>5</v>
      </c>
      <c r="AK1210" s="1" t="s">
        <v>104</v>
      </c>
      <c r="AL1210" s="1" t="s">
        <v>104</v>
      </c>
      <c r="AM1210" s="1" t="s">
        <v>104</v>
      </c>
      <c r="AO1210" s="1">
        <v>5</v>
      </c>
      <c r="AR1210" s="1">
        <v>0</v>
      </c>
      <c r="AS1210" s="1">
        <v>0</v>
      </c>
      <c r="AT1210" s="1">
        <v>0</v>
      </c>
      <c r="AU1210" s="1">
        <v>0</v>
      </c>
      <c r="AV1210" s="1">
        <v>0</v>
      </c>
      <c r="AW1210" s="1">
        <v>0</v>
      </c>
      <c r="AX1210" s="1">
        <v>0</v>
      </c>
      <c r="AY1210" s="1">
        <v>0</v>
      </c>
      <c r="AZ1210" s="1">
        <v>0</v>
      </c>
      <c r="BA1210" s="1">
        <v>0</v>
      </c>
      <c r="BB1210" s="1">
        <v>0</v>
      </c>
      <c r="BC1210" s="1">
        <v>0</v>
      </c>
      <c r="BD1210" s="1">
        <v>0</v>
      </c>
      <c r="BE1210" s="1">
        <v>0</v>
      </c>
      <c r="BF1210" s="1">
        <v>0</v>
      </c>
      <c r="BG1210" s="1">
        <v>0</v>
      </c>
      <c r="BH1210" s="1">
        <v>0</v>
      </c>
      <c r="BI1210" s="1">
        <v>0</v>
      </c>
      <c r="BJ1210" s="1">
        <v>0</v>
      </c>
      <c r="BK1210" s="1">
        <v>0</v>
      </c>
      <c r="BL1210" s="1">
        <v>0</v>
      </c>
      <c r="BM1210" s="1">
        <v>0</v>
      </c>
      <c r="BN1210" s="1">
        <v>0</v>
      </c>
      <c r="BO1210" s="1">
        <v>0</v>
      </c>
      <c r="BP1210" s="1">
        <v>0</v>
      </c>
      <c r="BQ1210" s="1" t="s">
        <v>104</v>
      </c>
      <c r="BR1210" s="1">
        <v>1263</v>
      </c>
      <c r="BS1210" s="1" t="s">
        <v>104</v>
      </c>
      <c r="BX1210" s="1">
        <v>0</v>
      </c>
      <c r="BY1210" s="1" t="s">
        <v>104</v>
      </c>
      <c r="BZ1210" s="1" t="s">
        <v>104</v>
      </c>
      <c r="CA1210" s="1" t="s">
        <v>104</v>
      </c>
      <c r="CB1210" s="1" t="s">
        <v>104</v>
      </c>
      <c r="CC1210" s="1" t="s">
        <v>104</v>
      </c>
      <c r="CD1210" s="1" t="s">
        <v>104</v>
      </c>
      <c r="CE1210" s="1" t="s">
        <v>104</v>
      </c>
      <c r="CF1210" s="1" t="s">
        <v>104</v>
      </c>
      <c r="CG1210" s="1" t="s">
        <v>104</v>
      </c>
      <c r="CH1210" s="1">
        <v>5</v>
      </c>
      <c r="CJ1210" s="1">
        <v>0</v>
      </c>
      <c r="CK1210" s="1">
        <v>0</v>
      </c>
      <c r="CL1210" s="1">
        <v>0</v>
      </c>
      <c r="CM1210" s="1">
        <v>5</v>
      </c>
    </row>
    <row r="1211" spans="1:91" ht="14.25" customHeight="1" x14ac:dyDescent="0.3">
      <c r="A1211" s="1" t="s">
        <v>7191</v>
      </c>
      <c r="B1211" s="1" t="s">
        <v>434</v>
      </c>
      <c r="D1211" s="1" t="s">
        <v>7192</v>
      </c>
      <c r="E1211" s="1" t="s">
        <v>843</v>
      </c>
      <c r="F1211" s="1" t="s">
        <v>95</v>
      </c>
      <c r="G1211" s="1" t="s">
        <v>7193</v>
      </c>
      <c r="H1211" s="1">
        <v>0</v>
      </c>
      <c r="I1211" s="1" t="s">
        <v>117</v>
      </c>
      <c r="J1211" s="1" t="s">
        <v>7194</v>
      </c>
      <c r="M1211" s="1" t="s">
        <v>426</v>
      </c>
      <c r="N1211" s="1">
        <v>1</v>
      </c>
      <c r="O1211" s="1">
        <v>0</v>
      </c>
      <c r="P1211" s="1" t="s">
        <v>100</v>
      </c>
      <c r="Q1211" s="1" t="s">
        <v>6424</v>
      </c>
      <c r="R1211" s="1" t="s">
        <v>7195</v>
      </c>
      <c r="S1211" s="1" t="s">
        <v>7134</v>
      </c>
      <c r="T1211" s="1">
        <v>1</v>
      </c>
      <c r="U1211" s="1">
        <v>1</v>
      </c>
      <c r="V1211" s="1">
        <v>1</v>
      </c>
      <c r="W1211" s="1">
        <v>0</v>
      </c>
      <c r="X1211" s="1">
        <v>0</v>
      </c>
      <c r="Y1211" s="1">
        <v>7</v>
      </c>
      <c r="Z1211" s="1">
        <v>7</v>
      </c>
      <c r="AA1211" s="1" t="s">
        <v>104</v>
      </c>
      <c r="AB1211" s="1" t="s">
        <v>104</v>
      </c>
      <c r="AC1211" s="1" t="s">
        <v>104</v>
      </c>
      <c r="AD1211" s="1" t="s">
        <v>104</v>
      </c>
      <c r="AE1211" s="1" t="s">
        <v>104</v>
      </c>
      <c r="AF1211" s="1" t="s">
        <v>104</v>
      </c>
      <c r="AG1211" s="1" t="s">
        <v>104</v>
      </c>
      <c r="AH1211" s="1" t="s">
        <v>104</v>
      </c>
      <c r="AI1211" s="1" t="s">
        <v>104</v>
      </c>
      <c r="AJ1211" s="1" t="s">
        <v>104</v>
      </c>
      <c r="AK1211" s="1" t="s">
        <v>104</v>
      </c>
      <c r="AL1211" s="1" t="s">
        <v>104</v>
      </c>
      <c r="AM1211" s="1" t="s">
        <v>104</v>
      </c>
      <c r="AO1211" s="1">
        <v>7</v>
      </c>
      <c r="AR1211" s="1">
        <v>0</v>
      </c>
      <c r="AS1211" s="1">
        <v>0</v>
      </c>
      <c r="AT1211" s="1">
        <v>0</v>
      </c>
      <c r="AU1211" s="1">
        <v>0</v>
      </c>
      <c r="AV1211" s="1">
        <v>0</v>
      </c>
      <c r="AW1211" s="1">
        <v>1</v>
      </c>
      <c r="AX1211" s="1">
        <v>0</v>
      </c>
      <c r="AY1211" s="1">
        <v>0</v>
      </c>
      <c r="AZ1211" s="1">
        <v>0</v>
      </c>
      <c r="BA1211" s="1">
        <v>0</v>
      </c>
      <c r="BB1211" s="1">
        <v>0</v>
      </c>
      <c r="BC1211" s="1">
        <v>0</v>
      </c>
      <c r="BD1211" s="1">
        <v>0</v>
      </c>
      <c r="BE1211" s="1">
        <v>0</v>
      </c>
      <c r="BF1211" s="1">
        <v>1</v>
      </c>
      <c r="BG1211" s="1">
        <v>0</v>
      </c>
      <c r="BH1211" s="1">
        <v>0</v>
      </c>
      <c r="BI1211" s="1">
        <v>0</v>
      </c>
      <c r="BJ1211" s="1">
        <v>0</v>
      </c>
      <c r="BK1211" s="1">
        <v>0</v>
      </c>
      <c r="BL1211" s="1">
        <v>0</v>
      </c>
      <c r="BM1211" s="1">
        <v>0</v>
      </c>
      <c r="BN1211" s="1">
        <v>0</v>
      </c>
      <c r="BO1211" s="1">
        <v>0</v>
      </c>
      <c r="BP1211" s="1">
        <v>0</v>
      </c>
      <c r="BQ1211" s="1" t="s">
        <v>104</v>
      </c>
      <c r="BR1211" s="1">
        <v>1264</v>
      </c>
      <c r="BS1211" s="1" t="s">
        <v>104</v>
      </c>
      <c r="BX1211" s="1">
        <v>0</v>
      </c>
      <c r="BY1211" s="1" t="s">
        <v>104</v>
      </c>
      <c r="BZ1211" s="1" t="s">
        <v>104</v>
      </c>
      <c r="CA1211" s="1" t="s">
        <v>104</v>
      </c>
      <c r="CB1211" s="1" t="s">
        <v>104</v>
      </c>
      <c r="CC1211" s="1" t="s">
        <v>104</v>
      </c>
      <c r="CD1211" s="1" t="s">
        <v>104</v>
      </c>
      <c r="CE1211" s="1" t="s">
        <v>104</v>
      </c>
      <c r="CF1211" s="1" t="s">
        <v>104</v>
      </c>
      <c r="CG1211" s="1" t="s">
        <v>104</v>
      </c>
      <c r="CH1211" s="1" t="s">
        <v>104</v>
      </c>
      <c r="CJ1211" s="1">
        <v>0</v>
      </c>
      <c r="CK1211" s="1">
        <v>0</v>
      </c>
      <c r="CL1211" s="1">
        <v>0</v>
      </c>
      <c r="CM1211" s="1" t="s">
        <v>104</v>
      </c>
    </row>
    <row r="1212" spans="1:91" ht="14.25" customHeight="1" x14ac:dyDescent="0.3">
      <c r="A1212" s="1" t="s">
        <v>7196</v>
      </c>
      <c r="B1212" s="1" t="s">
        <v>172</v>
      </c>
      <c r="E1212" s="1" t="s">
        <v>7197</v>
      </c>
      <c r="F1212" s="1" t="s">
        <v>95</v>
      </c>
      <c r="G1212" s="1" t="s">
        <v>7198</v>
      </c>
      <c r="H1212" s="1">
        <v>0</v>
      </c>
      <c r="I1212" s="1" t="s">
        <v>157</v>
      </c>
      <c r="L1212" s="1" t="s">
        <v>158</v>
      </c>
      <c r="M1212" s="1" t="s">
        <v>2330</v>
      </c>
      <c r="N1212" s="1">
        <v>0</v>
      </c>
      <c r="O1212" s="1">
        <v>0</v>
      </c>
      <c r="R1212" s="1" t="s">
        <v>7199</v>
      </c>
      <c r="S1212" s="1" t="s">
        <v>7134</v>
      </c>
      <c r="T1212" s="1">
        <v>1</v>
      </c>
      <c r="U1212" s="1">
        <v>1</v>
      </c>
      <c r="V1212" s="1">
        <v>1</v>
      </c>
      <c r="W1212" s="1">
        <v>0</v>
      </c>
      <c r="X1212" s="1">
        <v>0</v>
      </c>
      <c r="Y1212" s="1" t="s">
        <v>104</v>
      </c>
      <c r="Z1212" s="1" t="s">
        <v>104</v>
      </c>
      <c r="AA1212" s="1" t="s">
        <v>104</v>
      </c>
      <c r="AB1212" s="1" t="s">
        <v>104</v>
      </c>
      <c r="AC1212" s="1">
        <v>2</v>
      </c>
      <c r="AD1212" s="1" t="s">
        <v>104</v>
      </c>
      <c r="AE1212" s="1" t="s">
        <v>104</v>
      </c>
      <c r="AF1212" s="1" t="s">
        <v>104</v>
      </c>
      <c r="AG1212" s="1" t="s">
        <v>104</v>
      </c>
      <c r="AH1212" s="1" t="s">
        <v>104</v>
      </c>
      <c r="AI1212" s="1">
        <v>2</v>
      </c>
      <c r="AJ1212" s="1" t="s">
        <v>104</v>
      </c>
      <c r="AK1212" s="1" t="s">
        <v>104</v>
      </c>
      <c r="AL1212" s="1" t="s">
        <v>104</v>
      </c>
      <c r="AM1212" s="1" t="s">
        <v>104</v>
      </c>
      <c r="AO1212" s="1">
        <v>2</v>
      </c>
      <c r="AR1212" s="1">
        <v>0</v>
      </c>
      <c r="AS1212" s="1">
        <v>0</v>
      </c>
      <c r="AT1212" s="1">
        <v>0</v>
      </c>
      <c r="AU1212" s="1">
        <v>0</v>
      </c>
      <c r="AV1212" s="1">
        <v>0</v>
      </c>
      <c r="AW1212" s="1">
        <v>0</v>
      </c>
      <c r="AX1212" s="1">
        <v>0</v>
      </c>
      <c r="AY1212" s="1">
        <v>0</v>
      </c>
      <c r="AZ1212" s="1">
        <v>0</v>
      </c>
      <c r="BA1212" s="1">
        <v>0</v>
      </c>
      <c r="BB1212" s="1">
        <v>0</v>
      </c>
      <c r="BC1212" s="1">
        <v>0</v>
      </c>
      <c r="BD1212" s="1">
        <v>0</v>
      </c>
      <c r="BE1212" s="1">
        <v>0</v>
      </c>
      <c r="BF1212" s="1">
        <v>0</v>
      </c>
      <c r="BG1212" s="1">
        <v>0</v>
      </c>
      <c r="BH1212" s="1">
        <v>0</v>
      </c>
      <c r="BI1212" s="1">
        <v>0</v>
      </c>
      <c r="BJ1212" s="1">
        <v>0</v>
      </c>
      <c r="BK1212" s="1">
        <v>0</v>
      </c>
      <c r="BL1212" s="1">
        <v>0</v>
      </c>
      <c r="BM1212" s="1">
        <v>0</v>
      </c>
      <c r="BN1212" s="1">
        <v>0</v>
      </c>
      <c r="BO1212" s="1">
        <v>0</v>
      </c>
      <c r="BP1212" s="1">
        <v>0</v>
      </c>
      <c r="BQ1212" s="1" t="s">
        <v>104</v>
      </c>
      <c r="BR1212" s="1">
        <v>1265</v>
      </c>
      <c r="BS1212" s="1" t="s">
        <v>104</v>
      </c>
      <c r="BX1212" s="1">
        <v>0</v>
      </c>
      <c r="BY1212" s="1" t="s">
        <v>104</v>
      </c>
      <c r="BZ1212" s="1" t="s">
        <v>104</v>
      </c>
      <c r="CA1212" s="1" t="s">
        <v>104</v>
      </c>
      <c r="CB1212" s="1" t="s">
        <v>104</v>
      </c>
      <c r="CC1212" s="1" t="s">
        <v>104</v>
      </c>
      <c r="CD1212" s="1" t="s">
        <v>104</v>
      </c>
      <c r="CE1212" s="1" t="s">
        <v>104</v>
      </c>
      <c r="CF1212" s="1" t="s">
        <v>104</v>
      </c>
      <c r="CG1212" s="1" t="s">
        <v>104</v>
      </c>
      <c r="CH1212" s="1">
        <v>2</v>
      </c>
      <c r="CJ1212" s="1">
        <v>0</v>
      </c>
      <c r="CK1212" s="1">
        <v>0</v>
      </c>
      <c r="CL1212" s="1">
        <v>0</v>
      </c>
      <c r="CM1212" s="1" t="s">
        <v>104</v>
      </c>
    </row>
    <row r="1213" spans="1:91" ht="14.25" customHeight="1" x14ac:dyDescent="0.3">
      <c r="A1213" s="1" t="s">
        <v>7200</v>
      </c>
      <c r="B1213" s="1" t="s">
        <v>137</v>
      </c>
      <c r="E1213" s="1" t="s">
        <v>7201</v>
      </c>
      <c r="F1213" s="1" t="s">
        <v>2690</v>
      </c>
      <c r="G1213" s="1" t="s">
        <v>7202</v>
      </c>
      <c r="H1213" s="1">
        <v>1</v>
      </c>
      <c r="I1213" s="1" t="s">
        <v>128</v>
      </c>
      <c r="L1213" s="1" t="s">
        <v>7203</v>
      </c>
      <c r="M1213" s="1" t="s">
        <v>201</v>
      </c>
      <c r="N1213" s="1">
        <v>0</v>
      </c>
      <c r="O1213" s="1">
        <v>0</v>
      </c>
      <c r="P1213" s="1" t="s">
        <v>100</v>
      </c>
      <c r="Q1213" s="1" t="s">
        <v>101</v>
      </c>
      <c r="R1213" s="1" t="s">
        <v>7204</v>
      </c>
      <c r="S1213" s="1" t="s">
        <v>7134</v>
      </c>
      <c r="T1213" s="1">
        <v>1</v>
      </c>
      <c r="U1213" s="1">
        <v>1</v>
      </c>
      <c r="V1213" s="1">
        <v>1</v>
      </c>
      <c r="W1213" s="1">
        <v>0</v>
      </c>
      <c r="X1213" s="1">
        <v>0</v>
      </c>
      <c r="Y1213" s="1">
        <v>6</v>
      </c>
      <c r="Z1213" s="1">
        <v>6</v>
      </c>
      <c r="AA1213" s="1">
        <v>6</v>
      </c>
      <c r="AB1213" s="1" t="s">
        <v>104</v>
      </c>
      <c r="AC1213" s="1" t="s">
        <v>104</v>
      </c>
      <c r="AD1213" s="1" t="s">
        <v>104</v>
      </c>
      <c r="AE1213" s="1" t="s">
        <v>104</v>
      </c>
      <c r="AF1213" s="1" t="s">
        <v>104</v>
      </c>
      <c r="AG1213" s="1" t="s">
        <v>104</v>
      </c>
      <c r="AH1213" s="1" t="s">
        <v>104</v>
      </c>
      <c r="AI1213" s="1" t="s">
        <v>104</v>
      </c>
      <c r="AJ1213" s="1">
        <v>6</v>
      </c>
      <c r="AK1213" s="1" t="s">
        <v>104</v>
      </c>
      <c r="AL1213" s="1">
        <v>5</v>
      </c>
      <c r="AM1213" s="1" t="s">
        <v>104</v>
      </c>
      <c r="AO1213" s="1">
        <v>6</v>
      </c>
      <c r="AR1213" s="1">
        <v>0</v>
      </c>
      <c r="AS1213" s="1">
        <v>0</v>
      </c>
      <c r="AT1213" s="1">
        <v>0</v>
      </c>
      <c r="AU1213" s="1">
        <v>0</v>
      </c>
      <c r="AV1213" s="1">
        <v>0</v>
      </c>
      <c r="AW1213" s="1">
        <v>0</v>
      </c>
      <c r="AX1213" s="1">
        <v>0</v>
      </c>
      <c r="AY1213" s="1">
        <v>0</v>
      </c>
      <c r="AZ1213" s="1">
        <v>0</v>
      </c>
      <c r="BA1213" s="1">
        <v>0</v>
      </c>
      <c r="BB1213" s="1">
        <v>0</v>
      </c>
      <c r="BC1213" s="1">
        <v>0</v>
      </c>
      <c r="BD1213" s="1">
        <v>0</v>
      </c>
      <c r="BE1213" s="1">
        <v>0</v>
      </c>
      <c r="BF1213" s="1">
        <v>0</v>
      </c>
      <c r="BG1213" s="1">
        <v>0</v>
      </c>
      <c r="BH1213" s="1">
        <v>0</v>
      </c>
      <c r="BI1213" s="1">
        <v>0</v>
      </c>
      <c r="BJ1213" s="1">
        <v>0</v>
      </c>
      <c r="BK1213" s="1">
        <v>0</v>
      </c>
      <c r="BL1213" s="1">
        <v>0</v>
      </c>
      <c r="BM1213" s="1">
        <v>0</v>
      </c>
      <c r="BN1213" s="1">
        <v>0</v>
      </c>
      <c r="BO1213" s="1">
        <v>0</v>
      </c>
      <c r="BP1213" s="1">
        <v>0</v>
      </c>
      <c r="BQ1213" s="1" t="s">
        <v>104</v>
      </c>
      <c r="BR1213" s="1">
        <v>1267</v>
      </c>
      <c r="BS1213" s="1">
        <v>1000</v>
      </c>
      <c r="BX1213" s="1">
        <v>0</v>
      </c>
      <c r="BY1213" s="1" t="s">
        <v>104</v>
      </c>
      <c r="BZ1213" s="1" t="s">
        <v>104</v>
      </c>
      <c r="CA1213" s="1" t="s">
        <v>104</v>
      </c>
      <c r="CB1213" s="1" t="s">
        <v>104</v>
      </c>
      <c r="CC1213" s="1" t="s">
        <v>104</v>
      </c>
      <c r="CD1213" s="1" t="s">
        <v>104</v>
      </c>
      <c r="CE1213" s="1" t="s">
        <v>104</v>
      </c>
      <c r="CF1213" s="1" t="s">
        <v>104</v>
      </c>
      <c r="CG1213" s="1" t="s">
        <v>104</v>
      </c>
      <c r="CH1213" s="1" t="s">
        <v>104</v>
      </c>
      <c r="CJ1213" s="1">
        <v>0</v>
      </c>
      <c r="CK1213" s="1">
        <v>0</v>
      </c>
      <c r="CL1213" s="1">
        <v>0</v>
      </c>
      <c r="CM1213" s="1" t="s">
        <v>104</v>
      </c>
    </row>
    <row r="1214" spans="1:91" ht="14.25" customHeight="1" x14ac:dyDescent="0.3">
      <c r="A1214" s="1" t="s">
        <v>7205</v>
      </c>
      <c r="B1214" s="1" t="s">
        <v>216</v>
      </c>
      <c r="D1214" s="1" t="s">
        <v>54</v>
      </c>
      <c r="E1214" s="1" t="s">
        <v>7206</v>
      </c>
      <c r="F1214" s="1" t="s">
        <v>95</v>
      </c>
      <c r="G1214" s="1" t="s">
        <v>7207</v>
      </c>
      <c r="H1214" s="1">
        <v>0</v>
      </c>
      <c r="I1214" s="1" t="s">
        <v>7208</v>
      </c>
      <c r="K1214" s="1" t="s">
        <v>7209</v>
      </c>
      <c r="M1214" s="1" t="s">
        <v>111</v>
      </c>
      <c r="N1214" s="1">
        <v>0</v>
      </c>
      <c r="O1214" s="1">
        <v>0</v>
      </c>
      <c r="P1214" s="1" t="s">
        <v>7210</v>
      </c>
      <c r="Q1214" s="1" t="s">
        <v>101</v>
      </c>
      <c r="R1214" s="1" t="s">
        <v>7211</v>
      </c>
      <c r="S1214" s="1" t="s">
        <v>7134</v>
      </c>
      <c r="T1214" s="1">
        <v>1</v>
      </c>
      <c r="U1214" s="1">
        <v>1</v>
      </c>
      <c r="V1214" s="1">
        <v>1</v>
      </c>
      <c r="W1214" s="1">
        <v>0</v>
      </c>
      <c r="X1214" s="1">
        <v>1</v>
      </c>
      <c r="Y1214" s="1">
        <v>5</v>
      </c>
      <c r="Z1214" s="1">
        <v>5</v>
      </c>
      <c r="AA1214" s="1">
        <v>5</v>
      </c>
      <c r="AB1214" s="1" t="s">
        <v>104</v>
      </c>
      <c r="AC1214" s="1" t="s">
        <v>104</v>
      </c>
      <c r="AD1214" s="1" t="s">
        <v>104</v>
      </c>
      <c r="AE1214" s="1" t="s">
        <v>104</v>
      </c>
      <c r="AF1214" s="1" t="s">
        <v>104</v>
      </c>
      <c r="AG1214" s="1" t="s">
        <v>104</v>
      </c>
      <c r="AH1214" s="1">
        <v>5</v>
      </c>
      <c r="AI1214" s="1" t="s">
        <v>104</v>
      </c>
      <c r="AJ1214" s="1">
        <v>5</v>
      </c>
      <c r="AK1214" s="1" t="s">
        <v>104</v>
      </c>
      <c r="AL1214" s="1" t="s">
        <v>104</v>
      </c>
      <c r="AM1214" s="1" t="s">
        <v>104</v>
      </c>
      <c r="AO1214" s="1">
        <v>5</v>
      </c>
      <c r="AR1214" s="1">
        <v>0</v>
      </c>
      <c r="AS1214" s="1">
        <v>0</v>
      </c>
      <c r="AT1214" s="1">
        <v>0</v>
      </c>
      <c r="AU1214" s="1">
        <v>0</v>
      </c>
      <c r="AV1214" s="1">
        <v>0</v>
      </c>
      <c r="AW1214" s="1">
        <v>0</v>
      </c>
      <c r="AX1214" s="1">
        <v>0</v>
      </c>
      <c r="AY1214" s="1">
        <v>0</v>
      </c>
      <c r="AZ1214" s="1">
        <v>0</v>
      </c>
      <c r="BA1214" s="1">
        <v>0</v>
      </c>
      <c r="BB1214" s="1">
        <v>0</v>
      </c>
      <c r="BC1214" s="1">
        <v>1</v>
      </c>
      <c r="BD1214" s="1">
        <v>0</v>
      </c>
      <c r="BE1214" s="1">
        <v>0</v>
      </c>
      <c r="BF1214" s="1">
        <v>0</v>
      </c>
      <c r="BG1214" s="1">
        <v>0</v>
      </c>
      <c r="BH1214" s="1">
        <v>0</v>
      </c>
      <c r="BI1214" s="1">
        <v>0</v>
      </c>
      <c r="BJ1214" s="1">
        <v>0</v>
      </c>
      <c r="BK1214" s="1">
        <v>0</v>
      </c>
      <c r="BL1214" s="1">
        <v>0</v>
      </c>
      <c r="BM1214" s="1">
        <v>0</v>
      </c>
      <c r="BN1214" s="1">
        <v>0</v>
      </c>
      <c r="BO1214" s="1">
        <v>0</v>
      </c>
      <c r="BP1214" s="1">
        <v>0</v>
      </c>
      <c r="BQ1214" s="1" t="s">
        <v>104</v>
      </c>
      <c r="BR1214" s="1">
        <v>1268</v>
      </c>
      <c r="BS1214" s="1" t="s">
        <v>104</v>
      </c>
      <c r="BX1214" s="1">
        <v>0</v>
      </c>
      <c r="BY1214" s="1" t="s">
        <v>104</v>
      </c>
      <c r="BZ1214" s="1" t="s">
        <v>104</v>
      </c>
      <c r="CA1214" s="1" t="s">
        <v>104</v>
      </c>
      <c r="CB1214" s="1" t="s">
        <v>104</v>
      </c>
      <c r="CC1214" s="1" t="s">
        <v>104</v>
      </c>
      <c r="CD1214" s="1" t="s">
        <v>104</v>
      </c>
      <c r="CE1214" s="1" t="s">
        <v>104</v>
      </c>
      <c r="CF1214" s="1" t="s">
        <v>104</v>
      </c>
      <c r="CG1214" s="1" t="s">
        <v>104</v>
      </c>
      <c r="CH1214" s="1" t="s">
        <v>104</v>
      </c>
      <c r="CJ1214" s="1">
        <v>0</v>
      </c>
      <c r="CK1214" s="1">
        <v>0</v>
      </c>
      <c r="CL1214" s="1">
        <v>0</v>
      </c>
      <c r="CM1214" s="1" t="s">
        <v>104</v>
      </c>
    </row>
    <row r="1215" spans="1:91" ht="14.25" customHeight="1" x14ac:dyDescent="0.3">
      <c r="A1215" s="1" t="s">
        <v>7212</v>
      </c>
      <c r="B1215" s="1" t="s">
        <v>137</v>
      </c>
      <c r="E1215" s="1" t="s">
        <v>7213</v>
      </c>
      <c r="F1215" s="1" t="s">
        <v>95</v>
      </c>
      <c r="G1215" s="1" t="s">
        <v>7214</v>
      </c>
      <c r="H1215" s="1">
        <v>1</v>
      </c>
      <c r="I1215" s="1" t="s">
        <v>128</v>
      </c>
      <c r="J1215" s="1" t="s">
        <v>7215</v>
      </c>
      <c r="M1215" s="1" t="s">
        <v>111</v>
      </c>
      <c r="N1215" s="1">
        <v>0</v>
      </c>
      <c r="O1215" s="1">
        <v>0</v>
      </c>
      <c r="P1215" s="1" t="s">
        <v>211</v>
      </c>
      <c r="Q1215" s="1" t="s">
        <v>184</v>
      </c>
      <c r="R1215" s="1" t="s">
        <v>7216</v>
      </c>
      <c r="S1215" s="1" t="s">
        <v>7134</v>
      </c>
      <c r="T1215" s="1">
        <v>1</v>
      </c>
      <c r="U1215" s="1">
        <v>1</v>
      </c>
      <c r="V1215" s="1">
        <v>1</v>
      </c>
      <c r="W1215" s="1">
        <v>0</v>
      </c>
      <c r="X1215" s="1">
        <v>0</v>
      </c>
      <c r="Y1215" s="1" t="s">
        <v>104</v>
      </c>
      <c r="Z1215" s="1" t="s">
        <v>104</v>
      </c>
      <c r="AA1215" s="1" t="s">
        <v>104</v>
      </c>
      <c r="AB1215" s="1">
        <v>4</v>
      </c>
      <c r="AC1215" s="1" t="s">
        <v>104</v>
      </c>
      <c r="AD1215" s="1">
        <v>4</v>
      </c>
      <c r="AE1215" s="1" t="s">
        <v>104</v>
      </c>
      <c r="AF1215" s="1" t="s">
        <v>104</v>
      </c>
      <c r="AG1215" s="1" t="s">
        <v>104</v>
      </c>
      <c r="AH1215" s="1" t="s">
        <v>104</v>
      </c>
      <c r="AI1215" s="1" t="s">
        <v>104</v>
      </c>
      <c r="AJ1215" s="1" t="s">
        <v>104</v>
      </c>
      <c r="AK1215" s="1" t="s">
        <v>104</v>
      </c>
      <c r="AL1215" s="1" t="s">
        <v>104</v>
      </c>
      <c r="AM1215" s="1" t="s">
        <v>104</v>
      </c>
      <c r="AO1215" s="1">
        <v>4</v>
      </c>
      <c r="AR1215" s="1">
        <v>0</v>
      </c>
      <c r="AS1215" s="1">
        <v>0</v>
      </c>
      <c r="AT1215" s="1">
        <v>0</v>
      </c>
      <c r="AU1215" s="1">
        <v>0</v>
      </c>
      <c r="AV1215" s="1">
        <v>0</v>
      </c>
      <c r="AW1215" s="1">
        <v>0</v>
      </c>
      <c r="AX1215" s="1">
        <v>0</v>
      </c>
      <c r="AY1215" s="1">
        <v>0</v>
      </c>
      <c r="AZ1215" s="1">
        <v>0</v>
      </c>
      <c r="BA1215" s="1">
        <v>0</v>
      </c>
      <c r="BB1215" s="1">
        <v>0</v>
      </c>
      <c r="BC1215" s="1">
        <v>0</v>
      </c>
      <c r="BD1215" s="1">
        <v>0</v>
      </c>
      <c r="BE1215" s="1">
        <v>0</v>
      </c>
      <c r="BF1215" s="1">
        <v>0</v>
      </c>
      <c r="BG1215" s="1">
        <v>0</v>
      </c>
      <c r="BH1215" s="1">
        <v>0</v>
      </c>
      <c r="BI1215" s="1">
        <v>0</v>
      </c>
      <c r="BJ1215" s="1">
        <v>0</v>
      </c>
      <c r="BK1215" s="1">
        <v>0</v>
      </c>
      <c r="BL1215" s="1">
        <v>0</v>
      </c>
      <c r="BM1215" s="1">
        <v>0</v>
      </c>
      <c r="BN1215" s="1">
        <v>0</v>
      </c>
      <c r="BO1215" s="1">
        <v>0</v>
      </c>
      <c r="BP1215" s="1">
        <v>0</v>
      </c>
      <c r="BQ1215" s="1" t="s">
        <v>104</v>
      </c>
      <c r="BR1215" s="1">
        <v>1269</v>
      </c>
      <c r="BS1215" s="1">
        <v>100</v>
      </c>
      <c r="BX1215" s="1">
        <v>0</v>
      </c>
      <c r="BY1215" s="1" t="s">
        <v>104</v>
      </c>
      <c r="BZ1215" s="1" t="s">
        <v>104</v>
      </c>
      <c r="CA1215" s="1" t="s">
        <v>104</v>
      </c>
      <c r="CB1215" s="1" t="s">
        <v>104</v>
      </c>
      <c r="CC1215" s="1" t="s">
        <v>104</v>
      </c>
      <c r="CD1215" s="1" t="s">
        <v>104</v>
      </c>
      <c r="CE1215" s="1" t="s">
        <v>104</v>
      </c>
      <c r="CF1215" s="1" t="s">
        <v>104</v>
      </c>
      <c r="CG1215" s="1" t="s">
        <v>104</v>
      </c>
      <c r="CH1215" s="1">
        <v>4</v>
      </c>
      <c r="CJ1215" s="1">
        <v>0</v>
      </c>
      <c r="CK1215" s="1">
        <v>0</v>
      </c>
      <c r="CL1215" s="1">
        <v>0</v>
      </c>
      <c r="CM1215" s="1" t="s">
        <v>104</v>
      </c>
    </row>
    <row r="1216" spans="1:91" ht="14.25" customHeight="1" x14ac:dyDescent="0.3">
      <c r="A1216" s="1" t="s">
        <v>7217</v>
      </c>
      <c r="B1216" s="1" t="s">
        <v>92</v>
      </c>
      <c r="D1216" s="1" t="s">
        <v>5171</v>
      </c>
      <c r="E1216" s="1" t="s">
        <v>7218</v>
      </c>
      <c r="F1216" s="1" t="s">
        <v>191</v>
      </c>
      <c r="G1216" s="1" t="s">
        <v>127</v>
      </c>
      <c r="H1216" s="1">
        <v>0</v>
      </c>
      <c r="I1216" s="1" t="s">
        <v>7219</v>
      </c>
      <c r="L1216" s="1" t="s">
        <v>7220</v>
      </c>
      <c r="M1216" s="1" t="s">
        <v>2330</v>
      </c>
      <c r="N1216" s="1">
        <v>0</v>
      </c>
      <c r="O1216" s="1">
        <v>0</v>
      </c>
      <c r="P1216" s="1" t="s">
        <v>276</v>
      </c>
      <c r="Q1216" s="1" t="s">
        <v>184</v>
      </c>
      <c r="R1216" s="1" t="s">
        <v>7221</v>
      </c>
      <c r="S1216" s="1" t="s">
        <v>7134</v>
      </c>
      <c r="T1216" s="1">
        <v>1</v>
      </c>
      <c r="U1216" s="1">
        <v>1</v>
      </c>
      <c r="V1216" s="1">
        <v>0</v>
      </c>
      <c r="W1216" s="1">
        <v>0</v>
      </c>
      <c r="X1216" s="1">
        <v>1</v>
      </c>
      <c r="Y1216" s="1" t="s">
        <v>104</v>
      </c>
      <c r="Z1216" s="1" t="s">
        <v>104</v>
      </c>
      <c r="AA1216" s="1">
        <v>3</v>
      </c>
      <c r="AB1216" s="1" t="s">
        <v>104</v>
      </c>
      <c r="AC1216" s="1" t="s">
        <v>104</v>
      </c>
      <c r="AD1216" s="1" t="s">
        <v>104</v>
      </c>
      <c r="AE1216" s="1">
        <v>2</v>
      </c>
      <c r="AF1216" s="1" t="s">
        <v>104</v>
      </c>
      <c r="AG1216" s="1" t="s">
        <v>104</v>
      </c>
      <c r="AH1216" s="1" t="s">
        <v>104</v>
      </c>
      <c r="AI1216" s="1">
        <v>3</v>
      </c>
      <c r="AJ1216" s="1">
        <v>3</v>
      </c>
      <c r="AK1216" s="1" t="s">
        <v>104</v>
      </c>
      <c r="AL1216" s="1" t="s">
        <v>104</v>
      </c>
      <c r="AM1216" s="1" t="s">
        <v>104</v>
      </c>
      <c r="AO1216" s="1">
        <v>3</v>
      </c>
      <c r="AR1216" s="1">
        <v>0</v>
      </c>
      <c r="AS1216" s="1">
        <v>0</v>
      </c>
      <c r="AT1216" s="1">
        <v>0</v>
      </c>
      <c r="AU1216" s="1">
        <v>0</v>
      </c>
      <c r="AV1216" s="1">
        <v>0</v>
      </c>
      <c r="AW1216" s="1">
        <v>0</v>
      </c>
      <c r="AX1216" s="1">
        <v>0</v>
      </c>
      <c r="AY1216" s="1">
        <v>0</v>
      </c>
      <c r="AZ1216" s="1">
        <v>0</v>
      </c>
      <c r="BA1216" s="1">
        <v>0</v>
      </c>
      <c r="BB1216" s="1">
        <v>0</v>
      </c>
      <c r="BC1216" s="1">
        <v>0</v>
      </c>
      <c r="BD1216" s="1">
        <v>0</v>
      </c>
      <c r="BE1216" s="1">
        <v>0</v>
      </c>
      <c r="BF1216" s="1">
        <v>0</v>
      </c>
      <c r="BG1216" s="1">
        <v>1</v>
      </c>
      <c r="BH1216" s="1">
        <v>0</v>
      </c>
      <c r="BI1216" s="1">
        <v>0</v>
      </c>
      <c r="BJ1216" s="1">
        <v>1</v>
      </c>
      <c r="BK1216" s="1">
        <v>0</v>
      </c>
      <c r="BL1216" s="1">
        <v>0</v>
      </c>
      <c r="BM1216" s="1">
        <v>0</v>
      </c>
      <c r="BN1216" s="1">
        <v>0</v>
      </c>
      <c r="BO1216" s="1">
        <v>0</v>
      </c>
      <c r="BP1216" s="1">
        <v>0</v>
      </c>
      <c r="BQ1216" s="1" t="s">
        <v>104</v>
      </c>
      <c r="BR1216" s="1">
        <v>1270</v>
      </c>
      <c r="BS1216" s="1" t="s">
        <v>104</v>
      </c>
      <c r="BX1216" s="1">
        <v>0</v>
      </c>
      <c r="BY1216" s="1" t="s">
        <v>104</v>
      </c>
      <c r="BZ1216" s="1" t="s">
        <v>104</v>
      </c>
      <c r="CA1216" s="1" t="s">
        <v>104</v>
      </c>
      <c r="CB1216" s="1" t="s">
        <v>104</v>
      </c>
      <c r="CC1216" s="1" t="s">
        <v>104</v>
      </c>
      <c r="CD1216" s="1" t="s">
        <v>104</v>
      </c>
      <c r="CE1216" s="1" t="s">
        <v>104</v>
      </c>
      <c r="CF1216" s="1" t="s">
        <v>104</v>
      </c>
      <c r="CG1216" s="1" t="s">
        <v>104</v>
      </c>
      <c r="CH1216" s="1" t="s">
        <v>104</v>
      </c>
      <c r="CJ1216" s="1">
        <v>0</v>
      </c>
      <c r="CK1216" s="1">
        <v>0</v>
      </c>
      <c r="CL1216" s="1">
        <v>0</v>
      </c>
      <c r="CM1216" s="1" t="s">
        <v>104</v>
      </c>
    </row>
    <row r="1217" spans="1:91" ht="14.25" customHeight="1" x14ac:dyDescent="0.3">
      <c r="A1217" s="1" t="s">
        <v>7222</v>
      </c>
      <c r="B1217" s="1" t="s">
        <v>123</v>
      </c>
      <c r="C1217" s="1" t="s">
        <v>124</v>
      </c>
      <c r="D1217" s="1" t="s">
        <v>125</v>
      </c>
      <c r="E1217" s="1" t="s">
        <v>1846</v>
      </c>
      <c r="F1217" s="1" t="s">
        <v>95</v>
      </c>
      <c r="G1217" s="1" t="s">
        <v>7223</v>
      </c>
      <c r="H1217" s="1">
        <v>0</v>
      </c>
      <c r="I1217" s="1" t="s">
        <v>117</v>
      </c>
      <c r="L1217" s="1" t="s">
        <v>5827</v>
      </c>
      <c r="M1217" s="1" t="s">
        <v>111</v>
      </c>
      <c r="N1217" s="1">
        <v>0</v>
      </c>
      <c r="O1217" s="1">
        <v>0</v>
      </c>
      <c r="P1217" s="1" t="s">
        <v>211</v>
      </c>
      <c r="Q1217" s="1" t="s">
        <v>184</v>
      </c>
      <c r="R1217" s="1" t="s">
        <v>7224</v>
      </c>
      <c r="S1217" s="1" t="s">
        <v>7134</v>
      </c>
      <c r="T1217" s="1">
        <v>1</v>
      </c>
      <c r="U1217" s="1">
        <v>1</v>
      </c>
      <c r="V1217" s="1">
        <v>1</v>
      </c>
      <c r="W1217" s="1">
        <v>0</v>
      </c>
      <c r="X1217" s="1">
        <v>0</v>
      </c>
      <c r="Y1217" s="1" t="s">
        <v>104</v>
      </c>
      <c r="Z1217" s="1" t="s">
        <v>104</v>
      </c>
      <c r="AA1217" s="1" t="s">
        <v>104</v>
      </c>
      <c r="AB1217" s="1" t="s">
        <v>104</v>
      </c>
      <c r="AC1217" s="1" t="s">
        <v>104</v>
      </c>
      <c r="AD1217" s="1">
        <v>3</v>
      </c>
      <c r="AE1217" s="1" t="s">
        <v>104</v>
      </c>
      <c r="AF1217" s="1" t="s">
        <v>104</v>
      </c>
      <c r="AG1217" s="1" t="s">
        <v>104</v>
      </c>
      <c r="AH1217" s="1" t="s">
        <v>104</v>
      </c>
      <c r="AI1217" s="1" t="s">
        <v>104</v>
      </c>
      <c r="AJ1217" s="1" t="s">
        <v>104</v>
      </c>
      <c r="AK1217" s="1" t="s">
        <v>104</v>
      </c>
      <c r="AL1217" s="1" t="s">
        <v>104</v>
      </c>
      <c r="AM1217" s="1" t="s">
        <v>104</v>
      </c>
      <c r="AO1217" s="1">
        <v>3</v>
      </c>
      <c r="AR1217" s="1">
        <v>0</v>
      </c>
      <c r="AS1217" s="1">
        <v>0</v>
      </c>
      <c r="AT1217" s="1">
        <v>0</v>
      </c>
      <c r="AU1217" s="1">
        <v>0</v>
      </c>
      <c r="AV1217" s="1">
        <v>0</v>
      </c>
      <c r="AW1217" s="1">
        <v>0</v>
      </c>
      <c r="AX1217" s="1">
        <v>0</v>
      </c>
      <c r="AY1217" s="1">
        <v>0</v>
      </c>
      <c r="AZ1217" s="1">
        <v>0</v>
      </c>
      <c r="BA1217" s="1">
        <v>0</v>
      </c>
      <c r="BB1217" s="1">
        <v>0</v>
      </c>
      <c r="BC1217" s="1">
        <v>0</v>
      </c>
      <c r="BD1217" s="1">
        <v>0</v>
      </c>
      <c r="BE1217" s="1">
        <v>0</v>
      </c>
      <c r="BF1217" s="1">
        <v>0</v>
      </c>
      <c r="BG1217" s="1">
        <v>0</v>
      </c>
      <c r="BH1217" s="1">
        <v>0</v>
      </c>
      <c r="BI1217" s="1">
        <v>0</v>
      </c>
      <c r="BJ1217" s="1">
        <v>0</v>
      </c>
      <c r="BK1217" s="1">
        <v>1</v>
      </c>
      <c r="BL1217" s="1">
        <v>0</v>
      </c>
      <c r="BM1217" s="1">
        <v>0</v>
      </c>
      <c r="BN1217" s="1">
        <v>0</v>
      </c>
      <c r="BO1217" s="1">
        <v>0</v>
      </c>
      <c r="BP1217" s="1">
        <v>0</v>
      </c>
      <c r="BQ1217" s="1" t="s">
        <v>104</v>
      </c>
      <c r="BR1217" s="1">
        <v>1271</v>
      </c>
      <c r="BS1217" s="1" t="s">
        <v>104</v>
      </c>
      <c r="BX1217" s="1">
        <v>0</v>
      </c>
      <c r="BY1217" s="1" t="s">
        <v>104</v>
      </c>
      <c r="BZ1217" s="1" t="s">
        <v>104</v>
      </c>
      <c r="CA1217" s="1" t="s">
        <v>104</v>
      </c>
      <c r="CB1217" s="1" t="s">
        <v>104</v>
      </c>
      <c r="CC1217" s="1" t="s">
        <v>104</v>
      </c>
      <c r="CD1217" s="1" t="s">
        <v>104</v>
      </c>
      <c r="CE1217" s="1" t="s">
        <v>104</v>
      </c>
      <c r="CF1217" s="1" t="s">
        <v>104</v>
      </c>
      <c r="CG1217" s="1" t="s">
        <v>104</v>
      </c>
      <c r="CH1217" s="1" t="s">
        <v>104</v>
      </c>
      <c r="CJ1217" s="1">
        <v>0</v>
      </c>
      <c r="CK1217" s="1">
        <v>0</v>
      </c>
      <c r="CL1217" s="1">
        <v>0</v>
      </c>
      <c r="CM1217" s="1" t="s">
        <v>104</v>
      </c>
    </row>
    <row r="1218" spans="1:91" ht="14.25" customHeight="1" x14ac:dyDescent="0.3">
      <c r="A1218" s="1" t="s">
        <v>7225</v>
      </c>
      <c r="B1218" s="1" t="s">
        <v>137</v>
      </c>
      <c r="D1218" s="1" t="s">
        <v>58</v>
      </c>
      <c r="E1218" s="1" t="s">
        <v>5774</v>
      </c>
      <c r="F1218" s="1" t="s">
        <v>1502</v>
      </c>
      <c r="G1218" s="1" t="s">
        <v>237</v>
      </c>
      <c r="H1218" s="1">
        <v>0</v>
      </c>
      <c r="I1218" s="1" t="s">
        <v>157</v>
      </c>
      <c r="L1218" s="1" t="s">
        <v>158</v>
      </c>
      <c r="M1218" s="1" t="s">
        <v>111</v>
      </c>
      <c r="N1218" s="1">
        <v>0</v>
      </c>
      <c r="O1218" s="1">
        <v>0</v>
      </c>
      <c r="P1218" s="1" t="s">
        <v>100</v>
      </c>
      <c r="Q1218" s="1" t="s">
        <v>101</v>
      </c>
      <c r="R1218" s="1" t="s">
        <v>7226</v>
      </c>
      <c r="S1218" s="1" t="s">
        <v>7134</v>
      </c>
      <c r="T1218" s="1">
        <v>1</v>
      </c>
      <c r="U1218" s="1">
        <v>0</v>
      </c>
      <c r="V1218" s="1">
        <v>0</v>
      </c>
      <c r="W1218" s="1">
        <v>0</v>
      </c>
      <c r="X1218" s="1">
        <v>0</v>
      </c>
      <c r="Y1218" s="1" t="s">
        <v>104</v>
      </c>
      <c r="Z1218" s="1" t="s">
        <v>104</v>
      </c>
      <c r="AA1218" s="1">
        <v>2</v>
      </c>
      <c r="AB1218" s="1" t="s">
        <v>104</v>
      </c>
      <c r="AC1218" s="1" t="s">
        <v>104</v>
      </c>
      <c r="AD1218" s="1" t="s">
        <v>104</v>
      </c>
      <c r="AE1218" s="1">
        <v>2</v>
      </c>
      <c r="AF1218" s="1" t="s">
        <v>104</v>
      </c>
      <c r="AG1218" s="1" t="s">
        <v>104</v>
      </c>
      <c r="AH1218" s="1" t="s">
        <v>104</v>
      </c>
      <c r="AI1218" s="1" t="s">
        <v>104</v>
      </c>
      <c r="AJ1218" s="1">
        <v>2</v>
      </c>
      <c r="AK1218" s="1" t="s">
        <v>104</v>
      </c>
      <c r="AL1218" s="1" t="s">
        <v>104</v>
      </c>
      <c r="AM1218" s="1" t="s">
        <v>104</v>
      </c>
      <c r="AO1218" s="1">
        <v>2</v>
      </c>
      <c r="AR1218" s="1">
        <v>0</v>
      </c>
      <c r="AS1218" s="1">
        <v>0</v>
      </c>
      <c r="AT1218" s="1">
        <v>0</v>
      </c>
      <c r="AU1218" s="1">
        <v>0</v>
      </c>
      <c r="AV1218" s="1">
        <v>0</v>
      </c>
      <c r="AW1218" s="1">
        <v>0</v>
      </c>
      <c r="AX1218" s="1">
        <v>0</v>
      </c>
      <c r="AY1218" s="1">
        <v>0</v>
      </c>
      <c r="AZ1218" s="1">
        <v>0</v>
      </c>
      <c r="BA1218" s="1">
        <v>0</v>
      </c>
      <c r="BB1218" s="1">
        <v>0</v>
      </c>
      <c r="BC1218" s="1">
        <v>0</v>
      </c>
      <c r="BD1218" s="1">
        <v>0</v>
      </c>
      <c r="BE1218" s="1">
        <v>0</v>
      </c>
      <c r="BF1218" s="1">
        <v>0</v>
      </c>
      <c r="BG1218" s="1">
        <v>1</v>
      </c>
      <c r="BH1218" s="1">
        <v>0</v>
      </c>
      <c r="BI1218" s="1">
        <v>0</v>
      </c>
      <c r="BJ1218" s="1">
        <v>0</v>
      </c>
      <c r="BK1218" s="1">
        <v>0</v>
      </c>
      <c r="BL1218" s="1">
        <v>0</v>
      </c>
      <c r="BM1218" s="1">
        <v>0</v>
      </c>
      <c r="BN1218" s="1">
        <v>0</v>
      </c>
      <c r="BO1218" s="1">
        <v>0</v>
      </c>
      <c r="BP1218" s="1">
        <v>0</v>
      </c>
      <c r="BQ1218" s="1" t="s">
        <v>104</v>
      </c>
      <c r="BR1218" s="1">
        <v>1272</v>
      </c>
      <c r="BS1218" s="1" t="s">
        <v>104</v>
      </c>
      <c r="BU1218" s="1" t="s">
        <v>7227</v>
      </c>
      <c r="BX1218" s="1">
        <v>0</v>
      </c>
      <c r="BY1218" s="1" t="s">
        <v>104</v>
      </c>
      <c r="BZ1218" s="1" t="s">
        <v>104</v>
      </c>
      <c r="CA1218" s="1" t="s">
        <v>104</v>
      </c>
      <c r="CB1218" s="1" t="s">
        <v>104</v>
      </c>
      <c r="CC1218" s="1" t="s">
        <v>104</v>
      </c>
      <c r="CD1218" s="1" t="s">
        <v>104</v>
      </c>
      <c r="CE1218" s="1" t="s">
        <v>104</v>
      </c>
      <c r="CF1218" s="1" t="s">
        <v>104</v>
      </c>
      <c r="CG1218" s="1" t="s">
        <v>104</v>
      </c>
      <c r="CH1218" s="1" t="s">
        <v>104</v>
      </c>
      <c r="CJ1218" s="1">
        <v>0</v>
      </c>
      <c r="CK1218" s="1">
        <v>0</v>
      </c>
      <c r="CL1218" s="1">
        <v>0</v>
      </c>
      <c r="CM1218" s="1" t="s">
        <v>104</v>
      </c>
    </row>
    <row r="1219" spans="1:91" ht="14.25" customHeight="1" x14ac:dyDescent="0.3">
      <c r="A1219" s="1" t="s">
        <v>7228</v>
      </c>
      <c r="B1219" s="1" t="s">
        <v>92</v>
      </c>
      <c r="C1219" s="1" t="s">
        <v>523</v>
      </c>
      <c r="D1219" s="1" t="s">
        <v>66</v>
      </c>
      <c r="E1219" s="1" t="s">
        <v>7229</v>
      </c>
      <c r="F1219" s="1" t="s">
        <v>95</v>
      </c>
      <c r="G1219" s="1" t="s">
        <v>7230</v>
      </c>
      <c r="H1219" s="1">
        <v>0</v>
      </c>
      <c r="I1219" s="1" t="s">
        <v>697</v>
      </c>
      <c r="J1219" s="1" t="s">
        <v>7231</v>
      </c>
      <c r="M1219" s="1" t="s">
        <v>7232</v>
      </c>
      <c r="N1219" s="1">
        <v>0</v>
      </c>
      <c r="O1219" s="1">
        <v>0</v>
      </c>
      <c r="P1219" s="1" t="s">
        <v>100</v>
      </c>
      <c r="Q1219" s="1" t="s">
        <v>131</v>
      </c>
      <c r="R1219" s="1" t="s">
        <v>7233</v>
      </c>
      <c r="S1219" s="1" t="s">
        <v>7134</v>
      </c>
      <c r="T1219" s="1">
        <v>1</v>
      </c>
      <c r="U1219" s="1">
        <v>1</v>
      </c>
      <c r="V1219" s="1">
        <v>1</v>
      </c>
      <c r="W1219" s="1">
        <v>0</v>
      </c>
      <c r="X1219" s="1">
        <v>0</v>
      </c>
      <c r="Y1219" s="1" t="s">
        <v>104</v>
      </c>
      <c r="Z1219" s="1" t="s">
        <v>104</v>
      </c>
      <c r="AA1219" s="1">
        <v>6</v>
      </c>
      <c r="AB1219" s="1" t="s">
        <v>104</v>
      </c>
      <c r="AC1219" s="1" t="s">
        <v>104</v>
      </c>
      <c r="AD1219" s="1">
        <v>5</v>
      </c>
      <c r="AE1219" s="1" t="s">
        <v>104</v>
      </c>
      <c r="AF1219" s="1" t="s">
        <v>104</v>
      </c>
      <c r="AG1219" s="1" t="s">
        <v>104</v>
      </c>
      <c r="AH1219" s="1" t="s">
        <v>104</v>
      </c>
      <c r="AI1219" s="1" t="s">
        <v>104</v>
      </c>
      <c r="AJ1219" s="1">
        <v>6</v>
      </c>
      <c r="AK1219" s="1" t="s">
        <v>104</v>
      </c>
      <c r="AL1219" s="1" t="s">
        <v>104</v>
      </c>
      <c r="AM1219" s="1" t="s">
        <v>104</v>
      </c>
      <c r="AO1219" s="1">
        <v>6</v>
      </c>
      <c r="AR1219" s="1">
        <v>0</v>
      </c>
      <c r="AS1219" s="1">
        <v>0</v>
      </c>
      <c r="AT1219" s="1">
        <v>0</v>
      </c>
      <c r="AU1219" s="1">
        <v>0</v>
      </c>
      <c r="AV1219" s="1">
        <v>0</v>
      </c>
      <c r="AW1219" s="1">
        <v>0</v>
      </c>
      <c r="AX1219" s="1">
        <v>0</v>
      </c>
      <c r="AY1219" s="1">
        <v>0</v>
      </c>
      <c r="AZ1219" s="1">
        <v>0</v>
      </c>
      <c r="BA1219" s="1">
        <v>0</v>
      </c>
      <c r="BB1219" s="1">
        <v>0</v>
      </c>
      <c r="BC1219" s="1">
        <v>0</v>
      </c>
      <c r="BD1219" s="1">
        <v>0</v>
      </c>
      <c r="BE1219" s="1">
        <v>0</v>
      </c>
      <c r="BF1219" s="1">
        <v>0</v>
      </c>
      <c r="BG1219" s="1">
        <v>0</v>
      </c>
      <c r="BH1219" s="1">
        <v>0</v>
      </c>
      <c r="BI1219" s="1">
        <v>0</v>
      </c>
      <c r="BJ1219" s="1">
        <v>0</v>
      </c>
      <c r="BK1219" s="1">
        <v>0</v>
      </c>
      <c r="BL1219" s="1">
        <v>0</v>
      </c>
      <c r="BM1219" s="1">
        <v>0</v>
      </c>
      <c r="BN1219" s="1">
        <v>0</v>
      </c>
      <c r="BO1219" s="1">
        <v>1</v>
      </c>
      <c r="BP1219" s="1">
        <v>0</v>
      </c>
      <c r="BQ1219" s="1" t="s">
        <v>104</v>
      </c>
      <c r="BR1219" s="1">
        <v>1273</v>
      </c>
      <c r="BS1219" s="1" t="s">
        <v>104</v>
      </c>
      <c r="BX1219" s="1">
        <v>0</v>
      </c>
      <c r="BY1219" s="1" t="s">
        <v>104</v>
      </c>
      <c r="BZ1219" s="1" t="s">
        <v>104</v>
      </c>
      <c r="CA1219" s="1" t="s">
        <v>104</v>
      </c>
      <c r="CB1219" s="1" t="s">
        <v>104</v>
      </c>
      <c r="CC1219" s="1" t="s">
        <v>104</v>
      </c>
      <c r="CD1219" s="1" t="s">
        <v>104</v>
      </c>
      <c r="CE1219" s="1" t="s">
        <v>104</v>
      </c>
      <c r="CF1219" s="1" t="s">
        <v>104</v>
      </c>
      <c r="CG1219" s="1" t="s">
        <v>104</v>
      </c>
      <c r="CH1219" s="1" t="s">
        <v>104</v>
      </c>
      <c r="CJ1219" s="1">
        <v>0</v>
      </c>
      <c r="CK1219" s="1">
        <v>0</v>
      </c>
      <c r="CL1219" s="1">
        <v>0</v>
      </c>
      <c r="CM1219" s="1" t="s">
        <v>104</v>
      </c>
    </row>
    <row r="1220" spans="1:91" ht="14.25" customHeight="1" x14ac:dyDescent="0.3">
      <c r="A1220" s="1" t="s">
        <v>7234</v>
      </c>
      <c r="B1220" s="1" t="s">
        <v>137</v>
      </c>
      <c r="E1220" s="1" t="s">
        <v>4399</v>
      </c>
      <c r="F1220" s="1" t="s">
        <v>95</v>
      </c>
      <c r="G1220" s="1" t="s">
        <v>7235</v>
      </c>
      <c r="H1220" s="1">
        <v>1</v>
      </c>
      <c r="I1220" s="1" t="s">
        <v>157</v>
      </c>
      <c r="L1220" s="1" t="s">
        <v>158</v>
      </c>
      <c r="M1220" s="1" t="s">
        <v>201</v>
      </c>
      <c r="N1220" s="1">
        <v>0</v>
      </c>
      <c r="O1220" s="1">
        <v>0</v>
      </c>
      <c r="R1220" s="1" t="s">
        <v>7236</v>
      </c>
      <c r="S1220" s="1" t="s">
        <v>7134</v>
      </c>
      <c r="T1220" s="1">
        <v>1</v>
      </c>
      <c r="U1220" s="1">
        <v>1</v>
      </c>
      <c r="V1220" s="1">
        <v>1</v>
      </c>
      <c r="W1220" s="1">
        <v>0</v>
      </c>
      <c r="X1220" s="1">
        <v>0</v>
      </c>
      <c r="Y1220" s="1" t="s">
        <v>104</v>
      </c>
      <c r="Z1220" s="1" t="s">
        <v>104</v>
      </c>
      <c r="AA1220" s="1" t="s">
        <v>104</v>
      </c>
      <c r="AB1220" s="1" t="s">
        <v>104</v>
      </c>
      <c r="AC1220" s="1" t="s">
        <v>104</v>
      </c>
      <c r="AD1220" s="1" t="s">
        <v>104</v>
      </c>
      <c r="AE1220" s="1" t="s">
        <v>104</v>
      </c>
      <c r="AF1220" s="1">
        <v>3</v>
      </c>
      <c r="AG1220" s="1" t="s">
        <v>104</v>
      </c>
      <c r="AH1220" s="1" t="s">
        <v>104</v>
      </c>
      <c r="AI1220" s="1" t="s">
        <v>104</v>
      </c>
      <c r="AJ1220" s="1" t="s">
        <v>104</v>
      </c>
      <c r="AK1220" s="1" t="s">
        <v>104</v>
      </c>
      <c r="AL1220" s="1" t="s">
        <v>104</v>
      </c>
      <c r="AM1220" s="1" t="s">
        <v>104</v>
      </c>
      <c r="AO1220" s="1">
        <v>3</v>
      </c>
      <c r="AR1220" s="1">
        <v>0</v>
      </c>
      <c r="AS1220" s="1">
        <v>0</v>
      </c>
      <c r="AT1220" s="1">
        <v>0</v>
      </c>
      <c r="AU1220" s="1">
        <v>0</v>
      </c>
      <c r="AV1220" s="1">
        <v>0</v>
      </c>
      <c r="AW1220" s="1">
        <v>0</v>
      </c>
      <c r="AX1220" s="1">
        <v>0</v>
      </c>
      <c r="AY1220" s="1">
        <v>0</v>
      </c>
      <c r="AZ1220" s="1">
        <v>0</v>
      </c>
      <c r="BA1220" s="1">
        <v>0</v>
      </c>
      <c r="BB1220" s="1">
        <v>0</v>
      </c>
      <c r="BC1220" s="1">
        <v>0</v>
      </c>
      <c r="BD1220" s="1">
        <v>0</v>
      </c>
      <c r="BE1220" s="1">
        <v>0</v>
      </c>
      <c r="BF1220" s="1">
        <v>0</v>
      </c>
      <c r="BG1220" s="1">
        <v>0</v>
      </c>
      <c r="BH1220" s="1">
        <v>0</v>
      </c>
      <c r="BI1220" s="1">
        <v>0</v>
      </c>
      <c r="BJ1220" s="1">
        <v>0</v>
      </c>
      <c r="BK1220" s="1">
        <v>0</v>
      </c>
      <c r="BL1220" s="1">
        <v>0</v>
      </c>
      <c r="BM1220" s="1">
        <v>0</v>
      </c>
      <c r="BN1220" s="1">
        <v>0</v>
      </c>
      <c r="BO1220" s="1">
        <v>0</v>
      </c>
      <c r="BP1220" s="1">
        <v>0</v>
      </c>
      <c r="BQ1220" s="1" t="s">
        <v>104</v>
      </c>
      <c r="BR1220" s="1">
        <v>1274</v>
      </c>
      <c r="BS1220" s="1">
        <v>500</v>
      </c>
      <c r="BX1220" s="1">
        <v>0</v>
      </c>
      <c r="BY1220" s="1" t="s">
        <v>104</v>
      </c>
      <c r="BZ1220" s="1" t="s">
        <v>104</v>
      </c>
      <c r="CA1220" s="1" t="s">
        <v>104</v>
      </c>
      <c r="CB1220" s="1" t="s">
        <v>104</v>
      </c>
      <c r="CC1220" s="1" t="s">
        <v>104</v>
      </c>
      <c r="CD1220" s="1" t="s">
        <v>104</v>
      </c>
      <c r="CE1220" s="1" t="s">
        <v>104</v>
      </c>
      <c r="CF1220" s="1" t="s">
        <v>104</v>
      </c>
      <c r="CG1220" s="1" t="s">
        <v>104</v>
      </c>
      <c r="CH1220" s="1" t="s">
        <v>104</v>
      </c>
      <c r="CJ1220" s="1">
        <v>0</v>
      </c>
      <c r="CK1220" s="1">
        <v>0</v>
      </c>
      <c r="CL1220" s="1">
        <v>0</v>
      </c>
      <c r="CM1220" s="1" t="s">
        <v>104</v>
      </c>
    </row>
    <row r="1221" spans="1:91" ht="14.25" customHeight="1" x14ac:dyDescent="0.3">
      <c r="A1221" s="1" t="s">
        <v>7237</v>
      </c>
      <c r="B1221" s="1" t="s">
        <v>123</v>
      </c>
      <c r="C1221" s="1" t="s">
        <v>124</v>
      </c>
      <c r="D1221" s="1" t="s">
        <v>125</v>
      </c>
      <c r="E1221" s="1" t="s">
        <v>7238</v>
      </c>
      <c r="F1221" s="1" t="s">
        <v>95</v>
      </c>
      <c r="G1221" s="1" t="s">
        <v>7239</v>
      </c>
      <c r="H1221" s="1">
        <v>0</v>
      </c>
      <c r="I1221" s="1" t="s">
        <v>7240</v>
      </c>
      <c r="L1221" s="1" t="s">
        <v>7241</v>
      </c>
      <c r="M1221" s="1" t="s">
        <v>111</v>
      </c>
      <c r="N1221" s="1">
        <v>0</v>
      </c>
      <c r="O1221" s="1">
        <v>0</v>
      </c>
      <c r="P1221" s="1" t="s">
        <v>211</v>
      </c>
      <c r="Q1221" s="1" t="s">
        <v>184</v>
      </c>
      <c r="R1221" s="1" t="s">
        <v>7242</v>
      </c>
      <c r="S1221" s="1" t="s">
        <v>7134</v>
      </c>
      <c r="T1221" s="1">
        <v>1</v>
      </c>
      <c r="U1221" s="1">
        <v>1</v>
      </c>
      <c r="V1221" s="1">
        <v>1</v>
      </c>
      <c r="W1221" s="1">
        <v>0</v>
      </c>
      <c r="X1221" s="1">
        <v>0</v>
      </c>
      <c r="Y1221" s="1">
        <v>3</v>
      </c>
      <c r="Z1221" s="1">
        <v>3</v>
      </c>
      <c r="AA1221" s="1" t="s">
        <v>104</v>
      </c>
      <c r="AB1221" s="1" t="s">
        <v>104</v>
      </c>
      <c r="AC1221" s="1" t="s">
        <v>104</v>
      </c>
      <c r="AD1221" s="1">
        <v>2</v>
      </c>
      <c r="AE1221" s="1" t="s">
        <v>104</v>
      </c>
      <c r="AF1221" s="1" t="s">
        <v>104</v>
      </c>
      <c r="AG1221" s="1" t="s">
        <v>104</v>
      </c>
      <c r="AH1221" s="1">
        <v>3</v>
      </c>
      <c r="AI1221" s="1" t="s">
        <v>104</v>
      </c>
      <c r="AJ1221" s="1" t="s">
        <v>104</v>
      </c>
      <c r="AK1221" s="1" t="s">
        <v>104</v>
      </c>
      <c r="AL1221" s="1" t="s">
        <v>104</v>
      </c>
      <c r="AM1221" s="1" t="s">
        <v>104</v>
      </c>
      <c r="AO1221" s="1">
        <v>3</v>
      </c>
      <c r="AR1221" s="1">
        <v>0</v>
      </c>
      <c r="AS1221" s="1">
        <v>0</v>
      </c>
      <c r="AT1221" s="1">
        <v>0</v>
      </c>
      <c r="AU1221" s="1">
        <v>0</v>
      </c>
      <c r="AV1221" s="1">
        <v>0</v>
      </c>
      <c r="AW1221" s="1">
        <v>0</v>
      </c>
      <c r="AX1221" s="1">
        <v>0</v>
      </c>
      <c r="AY1221" s="1">
        <v>0</v>
      </c>
      <c r="AZ1221" s="1">
        <v>0</v>
      </c>
      <c r="BA1221" s="1">
        <v>0</v>
      </c>
      <c r="BB1221" s="1">
        <v>0</v>
      </c>
      <c r="BC1221" s="1">
        <v>0</v>
      </c>
      <c r="BD1221" s="1">
        <v>0</v>
      </c>
      <c r="BE1221" s="1">
        <v>0</v>
      </c>
      <c r="BF1221" s="1">
        <v>0</v>
      </c>
      <c r="BG1221" s="1">
        <v>0</v>
      </c>
      <c r="BH1221" s="1">
        <v>0</v>
      </c>
      <c r="BI1221" s="1">
        <v>0</v>
      </c>
      <c r="BJ1221" s="1">
        <v>0</v>
      </c>
      <c r="BK1221" s="1">
        <v>1</v>
      </c>
      <c r="BL1221" s="1">
        <v>0</v>
      </c>
      <c r="BM1221" s="1">
        <v>0</v>
      </c>
      <c r="BN1221" s="1">
        <v>0</v>
      </c>
      <c r="BO1221" s="1">
        <v>0</v>
      </c>
      <c r="BP1221" s="1">
        <v>0</v>
      </c>
      <c r="BQ1221" s="1" t="s">
        <v>104</v>
      </c>
      <c r="BR1221" s="1">
        <v>1275</v>
      </c>
      <c r="BS1221" s="1" t="s">
        <v>104</v>
      </c>
      <c r="BX1221" s="1">
        <v>0</v>
      </c>
      <c r="BY1221" s="1" t="s">
        <v>104</v>
      </c>
      <c r="BZ1221" s="1" t="s">
        <v>104</v>
      </c>
      <c r="CA1221" s="1" t="s">
        <v>104</v>
      </c>
      <c r="CB1221" s="1" t="s">
        <v>104</v>
      </c>
      <c r="CC1221" s="1" t="s">
        <v>104</v>
      </c>
      <c r="CD1221" s="1" t="s">
        <v>104</v>
      </c>
      <c r="CE1221" s="1" t="s">
        <v>104</v>
      </c>
      <c r="CF1221" s="1" t="s">
        <v>104</v>
      </c>
      <c r="CG1221" s="1" t="s">
        <v>104</v>
      </c>
      <c r="CH1221" s="1" t="s">
        <v>104</v>
      </c>
      <c r="CJ1221" s="1">
        <v>0</v>
      </c>
      <c r="CK1221" s="1">
        <v>0</v>
      </c>
      <c r="CL1221" s="1">
        <v>0</v>
      </c>
      <c r="CM1221" s="1" t="s">
        <v>104</v>
      </c>
    </row>
    <row r="1222" spans="1:91" ht="14.25" customHeight="1" x14ac:dyDescent="0.3">
      <c r="A1222" s="1" t="s">
        <v>7243</v>
      </c>
      <c r="B1222" s="1" t="s">
        <v>507</v>
      </c>
      <c r="C1222" s="1" t="s">
        <v>65</v>
      </c>
      <c r="D1222" s="1" t="s">
        <v>48</v>
      </c>
      <c r="E1222" s="1" t="s">
        <v>7244</v>
      </c>
      <c r="F1222" s="1" t="s">
        <v>95</v>
      </c>
      <c r="G1222" s="1" t="s">
        <v>7245</v>
      </c>
      <c r="H1222" s="1">
        <v>0</v>
      </c>
      <c r="I1222" s="1" t="s">
        <v>705</v>
      </c>
      <c r="K1222" s="1" t="s">
        <v>7246</v>
      </c>
      <c r="M1222" s="1" t="s">
        <v>111</v>
      </c>
      <c r="N1222" s="1">
        <v>0</v>
      </c>
      <c r="O1222" s="1">
        <v>0</v>
      </c>
      <c r="P1222" s="1" t="s">
        <v>1902</v>
      </c>
      <c r="Q1222" s="1" t="s">
        <v>101</v>
      </c>
      <c r="R1222" s="1" t="s">
        <v>7247</v>
      </c>
      <c r="S1222" s="1" t="s">
        <v>7134</v>
      </c>
      <c r="T1222" s="1">
        <v>1</v>
      </c>
      <c r="U1222" s="1">
        <v>1</v>
      </c>
      <c r="V1222" s="1">
        <v>1</v>
      </c>
      <c r="W1222" s="1">
        <v>0</v>
      </c>
      <c r="X1222" s="1">
        <v>0</v>
      </c>
      <c r="Y1222" s="1">
        <v>4</v>
      </c>
      <c r="Z1222" s="1">
        <v>4</v>
      </c>
      <c r="AA1222" s="1">
        <v>4</v>
      </c>
      <c r="AB1222" s="1" t="s">
        <v>104</v>
      </c>
      <c r="AC1222" s="1" t="s">
        <v>104</v>
      </c>
      <c r="AD1222" s="1" t="s">
        <v>104</v>
      </c>
      <c r="AE1222" s="1" t="s">
        <v>104</v>
      </c>
      <c r="AF1222" s="1" t="s">
        <v>104</v>
      </c>
      <c r="AG1222" s="1" t="s">
        <v>104</v>
      </c>
      <c r="AH1222" s="1" t="s">
        <v>104</v>
      </c>
      <c r="AI1222" s="1">
        <v>4</v>
      </c>
      <c r="AJ1222" s="1">
        <v>4</v>
      </c>
      <c r="AK1222" s="1" t="s">
        <v>104</v>
      </c>
      <c r="AL1222" s="1" t="s">
        <v>104</v>
      </c>
      <c r="AM1222" s="1" t="s">
        <v>104</v>
      </c>
      <c r="AO1222" s="1">
        <v>4</v>
      </c>
      <c r="AR1222" s="1">
        <v>0</v>
      </c>
      <c r="AS1222" s="1">
        <v>0</v>
      </c>
      <c r="AT1222" s="1">
        <v>0</v>
      </c>
      <c r="AU1222" s="1">
        <v>0</v>
      </c>
      <c r="AV1222" s="1">
        <v>0</v>
      </c>
      <c r="AW1222" s="1">
        <v>1</v>
      </c>
      <c r="AX1222" s="1">
        <v>0</v>
      </c>
      <c r="AY1222" s="1">
        <v>0</v>
      </c>
      <c r="AZ1222" s="1">
        <v>0</v>
      </c>
      <c r="BA1222" s="1">
        <v>0</v>
      </c>
      <c r="BB1222" s="1">
        <v>0</v>
      </c>
      <c r="BC1222" s="1">
        <v>0</v>
      </c>
      <c r="BD1222" s="1">
        <v>0</v>
      </c>
      <c r="BE1222" s="1">
        <v>0</v>
      </c>
      <c r="BF1222" s="1">
        <v>0</v>
      </c>
      <c r="BG1222" s="1">
        <v>0</v>
      </c>
      <c r="BH1222" s="1">
        <v>0</v>
      </c>
      <c r="BI1222" s="1">
        <v>0</v>
      </c>
      <c r="BJ1222" s="1">
        <v>0</v>
      </c>
      <c r="BK1222" s="1">
        <v>0</v>
      </c>
      <c r="BL1222" s="1">
        <v>0</v>
      </c>
      <c r="BM1222" s="1">
        <v>0</v>
      </c>
      <c r="BN1222" s="1">
        <v>0</v>
      </c>
      <c r="BO1222" s="1">
        <v>0</v>
      </c>
      <c r="BP1222" s="1">
        <v>0</v>
      </c>
      <c r="BQ1222" s="1" t="s">
        <v>104</v>
      </c>
      <c r="BR1222" s="1">
        <v>1276</v>
      </c>
      <c r="BS1222" s="1" t="s">
        <v>104</v>
      </c>
      <c r="BX1222" s="1">
        <v>0</v>
      </c>
      <c r="BY1222" s="1" t="s">
        <v>104</v>
      </c>
      <c r="BZ1222" s="1" t="s">
        <v>104</v>
      </c>
      <c r="CA1222" s="1" t="s">
        <v>104</v>
      </c>
      <c r="CB1222" s="1" t="s">
        <v>104</v>
      </c>
      <c r="CC1222" s="1" t="s">
        <v>104</v>
      </c>
      <c r="CD1222" s="1" t="s">
        <v>104</v>
      </c>
      <c r="CE1222" s="1" t="s">
        <v>104</v>
      </c>
      <c r="CF1222" s="1" t="s">
        <v>104</v>
      </c>
      <c r="CG1222" s="1" t="s">
        <v>104</v>
      </c>
      <c r="CH1222" s="1" t="s">
        <v>104</v>
      </c>
      <c r="CJ1222" s="1">
        <v>0</v>
      </c>
      <c r="CK1222" s="1">
        <v>0</v>
      </c>
      <c r="CL1222" s="1">
        <v>0</v>
      </c>
      <c r="CM1222" s="1" t="s">
        <v>104</v>
      </c>
    </row>
    <row r="1223" spans="1:91" ht="14.25" customHeight="1" x14ac:dyDescent="0.3">
      <c r="A1223" s="1" t="s">
        <v>7248</v>
      </c>
      <c r="B1223" s="1" t="s">
        <v>434</v>
      </c>
      <c r="D1223" s="1" t="s">
        <v>57</v>
      </c>
      <c r="E1223" s="1" t="s">
        <v>7249</v>
      </c>
      <c r="F1223" s="1" t="s">
        <v>95</v>
      </c>
      <c r="G1223" s="1" t="s">
        <v>7250</v>
      </c>
      <c r="H1223" s="1">
        <v>1</v>
      </c>
      <c r="I1223" s="1" t="s">
        <v>914</v>
      </c>
      <c r="L1223" s="1" t="s">
        <v>5827</v>
      </c>
      <c r="M1223" s="1" t="s">
        <v>7251</v>
      </c>
      <c r="N1223" s="1">
        <v>0</v>
      </c>
      <c r="O1223" s="1">
        <v>0</v>
      </c>
      <c r="P1223" s="1" t="s">
        <v>7252</v>
      </c>
      <c r="Q1223" s="1" t="s">
        <v>184</v>
      </c>
      <c r="R1223" s="1" t="s">
        <v>7253</v>
      </c>
      <c r="S1223" s="1" t="s">
        <v>7134</v>
      </c>
      <c r="T1223" s="1">
        <v>1</v>
      </c>
      <c r="U1223" s="1">
        <v>1</v>
      </c>
      <c r="V1223" s="1">
        <v>1</v>
      </c>
      <c r="W1223" s="1">
        <v>0</v>
      </c>
      <c r="X1223" s="1">
        <v>0</v>
      </c>
      <c r="Y1223" s="1" t="s">
        <v>104</v>
      </c>
      <c r="Z1223" s="1" t="s">
        <v>104</v>
      </c>
      <c r="AA1223" s="1" t="s">
        <v>104</v>
      </c>
      <c r="AB1223" s="1" t="s">
        <v>104</v>
      </c>
      <c r="AC1223" s="1" t="s">
        <v>104</v>
      </c>
      <c r="AD1223" s="1" t="s">
        <v>104</v>
      </c>
      <c r="AE1223" s="1" t="s">
        <v>104</v>
      </c>
      <c r="AF1223" s="1" t="s">
        <v>104</v>
      </c>
      <c r="AG1223" s="1" t="s">
        <v>104</v>
      </c>
      <c r="AH1223" s="1" t="s">
        <v>104</v>
      </c>
      <c r="AI1223" s="1" t="s">
        <v>104</v>
      </c>
      <c r="AJ1223" s="1" t="s">
        <v>104</v>
      </c>
      <c r="AK1223" s="1" t="s">
        <v>104</v>
      </c>
      <c r="AL1223" s="1">
        <v>3</v>
      </c>
      <c r="AM1223" s="1" t="s">
        <v>104</v>
      </c>
      <c r="AO1223" s="1">
        <v>3</v>
      </c>
      <c r="AR1223" s="1">
        <v>0</v>
      </c>
      <c r="AS1223" s="1">
        <v>0</v>
      </c>
      <c r="AT1223" s="1">
        <v>0</v>
      </c>
      <c r="AU1223" s="1">
        <v>0</v>
      </c>
      <c r="AV1223" s="1">
        <v>0</v>
      </c>
      <c r="AW1223" s="1">
        <v>0</v>
      </c>
      <c r="AX1223" s="1">
        <v>0</v>
      </c>
      <c r="AY1223" s="1">
        <v>0</v>
      </c>
      <c r="AZ1223" s="1">
        <v>0</v>
      </c>
      <c r="BA1223" s="1">
        <v>0</v>
      </c>
      <c r="BB1223" s="1">
        <v>0</v>
      </c>
      <c r="BC1223" s="1">
        <v>0</v>
      </c>
      <c r="BD1223" s="1">
        <v>0</v>
      </c>
      <c r="BE1223" s="1">
        <v>0</v>
      </c>
      <c r="BF1223" s="1">
        <v>1</v>
      </c>
      <c r="BG1223" s="1">
        <v>0</v>
      </c>
      <c r="BH1223" s="1">
        <v>0</v>
      </c>
      <c r="BI1223" s="1">
        <v>0</v>
      </c>
      <c r="BJ1223" s="1">
        <v>0</v>
      </c>
      <c r="BK1223" s="1">
        <v>0</v>
      </c>
      <c r="BL1223" s="1">
        <v>0</v>
      </c>
      <c r="BM1223" s="1">
        <v>0</v>
      </c>
      <c r="BN1223" s="1">
        <v>0</v>
      </c>
      <c r="BO1223" s="1">
        <v>0</v>
      </c>
      <c r="BP1223" s="1">
        <v>0</v>
      </c>
      <c r="BQ1223" s="1" t="s">
        <v>104</v>
      </c>
      <c r="BR1223" s="1">
        <v>1277</v>
      </c>
      <c r="BS1223" s="1">
        <v>100</v>
      </c>
      <c r="BX1223" s="1">
        <v>0</v>
      </c>
      <c r="BY1223" s="1" t="s">
        <v>104</v>
      </c>
      <c r="BZ1223" s="1" t="s">
        <v>104</v>
      </c>
      <c r="CA1223" s="1" t="s">
        <v>104</v>
      </c>
      <c r="CB1223" s="1" t="s">
        <v>104</v>
      </c>
      <c r="CC1223" s="1" t="s">
        <v>104</v>
      </c>
      <c r="CD1223" s="1" t="s">
        <v>104</v>
      </c>
      <c r="CE1223" s="1" t="s">
        <v>104</v>
      </c>
      <c r="CF1223" s="1" t="s">
        <v>104</v>
      </c>
      <c r="CG1223" s="1" t="s">
        <v>104</v>
      </c>
      <c r="CH1223" s="1" t="s">
        <v>104</v>
      </c>
      <c r="CJ1223" s="1">
        <v>0</v>
      </c>
      <c r="CK1223" s="1">
        <v>0</v>
      </c>
      <c r="CL1223" s="1">
        <v>0</v>
      </c>
      <c r="CM1223" s="1" t="s">
        <v>104</v>
      </c>
    </row>
    <row r="1224" spans="1:91" ht="14.25" customHeight="1" x14ac:dyDescent="0.3">
      <c r="A1224" s="1" t="s">
        <v>7254</v>
      </c>
      <c r="B1224" s="1" t="s">
        <v>162</v>
      </c>
      <c r="E1224" s="1" t="s">
        <v>7206</v>
      </c>
      <c r="F1224" s="1" t="s">
        <v>95</v>
      </c>
      <c r="G1224" s="1" t="s">
        <v>7255</v>
      </c>
      <c r="H1224" s="1">
        <v>0</v>
      </c>
      <c r="I1224" s="1" t="s">
        <v>128</v>
      </c>
      <c r="L1224" s="1" t="s">
        <v>374</v>
      </c>
      <c r="M1224" s="1" t="s">
        <v>119</v>
      </c>
      <c r="N1224" s="1">
        <v>0</v>
      </c>
      <c r="O1224" s="1">
        <v>0</v>
      </c>
      <c r="P1224" s="1" t="s">
        <v>100</v>
      </c>
      <c r="Q1224" s="1" t="s">
        <v>101</v>
      </c>
      <c r="R1224" s="1" t="s">
        <v>7256</v>
      </c>
      <c r="S1224" s="1" t="s">
        <v>7134</v>
      </c>
      <c r="T1224" s="1">
        <v>1</v>
      </c>
      <c r="U1224" s="1">
        <v>1</v>
      </c>
      <c r="V1224" s="1">
        <v>1</v>
      </c>
      <c r="W1224" s="1">
        <v>0</v>
      </c>
      <c r="X1224" s="1">
        <v>0</v>
      </c>
      <c r="Y1224" s="1">
        <v>5</v>
      </c>
      <c r="Z1224" s="1">
        <v>5</v>
      </c>
      <c r="AA1224" s="1">
        <v>5</v>
      </c>
      <c r="AB1224" s="1" t="s">
        <v>104</v>
      </c>
      <c r="AC1224" s="1" t="s">
        <v>104</v>
      </c>
      <c r="AD1224" s="1" t="s">
        <v>104</v>
      </c>
      <c r="AE1224" s="1" t="s">
        <v>104</v>
      </c>
      <c r="AF1224" s="1" t="s">
        <v>104</v>
      </c>
      <c r="AG1224" s="1" t="s">
        <v>104</v>
      </c>
      <c r="AH1224" s="1">
        <v>5</v>
      </c>
      <c r="AI1224" s="1" t="s">
        <v>104</v>
      </c>
      <c r="AJ1224" s="1">
        <v>5</v>
      </c>
      <c r="AK1224" s="1" t="s">
        <v>104</v>
      </c>
      <c r="AL1224" s="1" t="s">
        <v>104</v>
      </c>
      <c r="AM1224" s="1" t="s">
        <v>104</v>
      </c>
      <c r="AO1224" s="1">
        <v>5</v>
      </c>
      <c r="AR1224" s="1">
        <v>0</v>
      </c>
      <c r="AS1224" s="1">
        <v>0</v>
      </c>
      <c r="AT1224" s="1">
        <v>0</v>
      </c>
      <c r="AU1224" s="1">
        <v>0</v>
      </c>
      <c r="AV1224" s="1">
        <v>0</v>
      </c>
      <c r="AW1224" s="1">
        <v>0</v>
      </c>
      <c r="AX1224" s="1">
        <v>0</v>
      </c>
      <c r="AY1224" s="1">
        <v>0</v>
      </c>
      <c r="AZ1224" s="1">
        <v>0</v>
      </c>
      <c r="BA1224" s="1">
        <v>0</v>
      </c>
      <c r="BB1224" s="1">
        <v>0</v>
      </c>
      <c r="BC1224" s="1">
        <v>0</v>
      </c>
      <c r="BD1224" s="1">
        <v>0</v>
      </c>
      <c r="BE1224" s="1">
        <v>0</v>
      </c>
      <c r="BF1224" s="1">
        <v>0</v>
      </c>
      <c r="BG1224" s="1">
        <v>0</v>
      </c>
      <c r="BH1224" s="1">
        <v>0</v>
      </c>
      <c r="BI1224" s="1">
        <v>0</v>
      </c>
      <c r="BJ1224" s="1">
        <v>0</v>
      </c>
      <c r="BK1224" s="1">
        <v>0</v>
      </c>
      <c r="BL1224" s="1">
        <v>0</v>
      </c>
      <c r="BM1224" s="1">
        <v>0</v>
      </c>
      <c r="BN1224" s="1">
        <v>0</v>
      </c>
      <c r="BO1224" s="1">
        <v>0</v>
      </c>
      <c r="BP1224" s="1">
        <v>0</v>
      </c>
      <c r="BQ1224" s="1" t="s">
        <v>104</v>
      </c>
      <c r="BR1224" s="1">
        <v>1278</v>
      </c>
      <c r="BS1224" s="1" t="s">
        <v>104</v>
      </c>
      <c r="BX1224" s="1">
        <v>0</v>
      </c>
      <c r="BY1224" s="1" t="s">
        <v>104</v>
      </c>
      <c r="BZ1224" s="1" t="s">
        <v>104</v>
      </c>
      <c r="CA1224" s="1" t="s">
        <v>104</v>
      </c>
      <c r="CB1224" s="1" t="s">
        <v>104</v>
      </c>
      <c r="CC1224" s="1" t="s">
        <v>104</v>
      </c>
      <c r="CD1224" s="1" t="s">
        <v>104</v>
      </c>
      <c r="CE1224" s="1" t="s">
        <v>104</v>
      </c>
      <c r="CF1224" s="1" t="s">
        <v>104</v>
      </c>
      <c r="CG1224" s="1" t="s">
        <v>104</v>
      </c>
      <c r="CH1224" s="1" t="s">
        <v>104</v>
      </c>
      <c r="CJ1224" s="1">
        <v>0</v>
      </c>
      <c r="CK1224" s="1">
        <v>0</v>
      </c>
      <c r="CL1224" s="1">
        <v>0</v>
      </c>
      <c r="CM1224" s="1" t="s">
        <v>104</v>
      </c>
    </row>
    <row r="1225" spans="1:91" ht="14.25" customHeight="1" x14ac:dyDescent="0.3">
      <c r="A1225" s="1" t="s">
        <v>7257</v>
      </c>
      <c r="B1225" s="1" t="s">
        <v>92</v>
      </c>
      <c r="C1225" s="1" t="s">
        <v>523</v>
      </c>
      <c r="E1225" s="1" t="s">
        <v>4785</v>
      </c>
      <c r="F1225" s="1" t="s">
        <v>95</v>
      </c>
      <c r="G1225" s="1" t="s">
        <v>116</v>
      </c>
      <c r="H1225" s="1">
        <v>0</v>
      </c>
      <c r="I1225" s="1" t="s">
        <v>117</v>
      </c>
      <c r="L1225" s="1" t="s">
        <v>4741</v>
      </c>
      <c r="M1225" s="1" t="s">
        <v>7258</v>
      </c>
      <c r="N1225" s="1">
        <v>0</v>
      </c>
      <c r="O1225" s="1">
        <v>0</v>
      </c>
      <c r="R1225" s="1" t="s">
        <v>7259</v>
      </c>
      <c r="S1225" s="1" t="s">
        <v>7134</v>
      </c>
      <c r="T1225" s="1">
        <v>1</v>
      </c>
      <c r="U1225" s="1">
        <v>1</v>
      </c>
      <c r="V1225" s="1">
        <v>0</v>
      </c>
      <c r="W1225" s="1">
        <v>0</v>
      </c>
      <c r="X1225" s="1">
        <v>0</v>
      </c>
      <c r="Y1225" s="1" t="s">
        <v>104</v>
      </c>
      <c r="Z1225" s="1" t="s">
        <v>104</v>
      </c>
      <c r="AA1225" s="1" t="s">
        <v>104</v>
      </c>
      <c r="AB1225" s="1" t="s">
        <v>104</v>
      </c>
      <c r="AC1225" s="1" t="s">
        <v>104</v>
      </c>
      <c r="AD1225" s="1">
        <v>4</v>
      </c>
      <c r="AE1225" s="1" t="s">
        <v>104</v>
      </c>
      <c r="AF1225" s="1" t="s">
        <v>104</v>
      </c>
      <c r="AG1225" s="1" t="s">
        <v>104</v>
      </c>
      <c r="AH1225" s="1" t="s">
        <v>104</v>
      </c>
      <c r="AI1225" s="1" t="s">
        <v>104</v>
      </c>
      <c r="AJ1225" s="1" t="s">
        <v>104</v>
      </c>
      <c r="AK1225" s="1" t="s">
        <v>104</v>
      </c>
      <c r="AL1225" s="1" t="s">
        <v>104</v>
      </c>
      <c r="AM1225" s="1" t="s">
        <v>104</v>
      </c>
      <c r="AO1225" s="1">
        <v>4</v>
      </c>
      <c r="AR1225" s="1">
        <v>0</v>
      </c>
      <c r="AS1225" s="1">
        <v>0</v>
      </c>
      <c r="AT1225" s="1">
        <v>0</v>
      </c>
      <c r="AU1225" s="1">
        <v>0</v>
      </c>
      <c r="AV1225" s="1">
        <v>0</v>
      </c>
      <c r="AW1225" s="1">
        <v>0</v>
      </c>
      <c r="AX1225" s="1">
        <v>0</v>
      </c>
      <c r="AY1225" s="1">
        <v>0</v>
      </c>
      <c r="AZ1225" s="1">
        <v>0</v>
      </c>
      <c r="BA1225" s="1">
        <v>0</v>
      </c>
      <c r="BB1225" s="1">
        <v>0</v>
      </c>
      <c r="BC1225" s="1">
        <v>0</v>
      </c>
      <c r="BD1225" s="1">
        <v>0</v>
      </c>
      <c r="BE1225" s="1">
        <v>0</v>
      </c>
      <c r="BF1225" s="1">
        <v>0</v>
      </c>
      <c r="BG1225" s="1">
        <v>0</v>
      </c>
      <c r="BH1225" s="1">
        <v>0</v>
      </c>
      <c r="BI1225" s="1">
        <v>0</v>
      </c>
      <c r="BJ1225" s="1">
        <v>0</v>
      </c>
      <c r="BK1225" s="1">
        <v>0</v>
      </c>
      <c r="BL1225" s="1">
        <v>0</v>
      </c>
      <c r="BM1225" s="1">
        <v>0</v>
      </c>
      <c r="BN1225" s="1">
        <v>0</v>
      </c>
      <c r="BO1225" s="1">
        <v>0</v>
      </c>
      <c r="BP1225" s="1">
        <v>0</v>
      </c>
      <c r="BQ1225" s="1" t="s">
        <v>104</v>
      </c>
      <c r="BR1225" s="1">
        <v>1279</v>
      </c>
      <c r="BS1225" s="1" t="s">
        <v>104</v>
      </c>
      <c r="BX1225" s="1">
        <v>0</v>
      </c>
      <c r="BY1225" s="1" t="s">
        <v>104</v>
      </c>
      <c r="BZ1225" s="1" t="s">
        <v>104</v>
      </c>
      <c r="CA1225" s="1" t="s">
        <v>104</v>
      </c>
      <c r="CB1225" s="1" t="s">
        <v>104</v>
      </c>
      <c r="CC1225" s="1" t="s">
        <v>104</v>
      </c>
      <c r="CD1225" s="1" t="s">
        <v>104</v>
      </c>
      <c r="CE1225" s="1" t="s">
        <v>104</v>
      </c>
      <c r="CF1225" s="1" t="s">
        <v>104</v>
      </c>
      <c r="CG1225" s="1" t="s">
        <v>104</v>
      </c>
      <c r="CH1225" s="1" t="s">
        <v>104</v>
      </c>
      <c r="CJ1225" s="1">
        <v>0</v>
      </c>
      <c r="CK1225" s="1">
        <v>0</v>
      </c>
      <c r="CL1225" s="1">
        <v>0</v>
      </c>
      <c r="CM1225" s="1" t="s">
        <v>104</v>
      </c>
    </row>
    <row r="1226" spans="1:91" ht="14.25" customHeight="1" x14ac:dyDescent="0.3">
      <c r="A1226" s="1" t="s">
        <v>7260</v>
      </c>
      <c r="B1226" s="1" t="s">
        <v>162</v>
      </c>
      <c r="E1226" s="1" t="s">
        <v>6358</v>
      </c>
      <c r="F1226" s="1" t="s">
        <v>255</v>
      </c>
      <c r="G1226" s="1" t="s">
        <v>7261</v>
      </c>
      <c r="H1226" s="1">
        <v>0</v>
      </c>
      <c r="I1226" s="1" t="s">
        <v>157</v>
      </c>
      <c r="L1226" s="1" t="s">
        <v>158</v>
      </c>
      <c r="M1226" s="1" t="s">
        <v>111</v>
      </c>
      <c r="N1226" s="1">
        <v>0</v>
      </c>
      <c r="O1226" s="1">
        <v>0</v>
      </c>
      <c r="R1226" s="1" t="s">
        <v>7262</v>
      </c>
      <c r="S1226" s="1" t="s">
        <v>7134</v>
      </c>
      <c r="T1226" s="1">
        <v>1</v>
      </c>
      <c r="U1226" s="1">
        <v>1</v>
      </c>
      <c r="V1226" s="1">
        <v>1</v>
      </c>
      <c r="W1226" s="1">
        <v>0</v>
      </c>
      <c r="X1226" s="1">
        <v>0</v>
      </c>
      <c r="Y1226" s="1">
        <v>5</v>
      </c>
      <c r="Z1226" s="1">
        <v>5</v>
      </c>
      <c r="AA1226" s="1" t="s">
        <v>104</v>
      </c>
      <c r="AB1226" s="1" t="s">
        <v>104</v>
      </c>
      <c r="AC1226" s="1" t="s">
        <v>104</v>
      </c>
      <c r="AD1226" s="1" t="s">
        <v>104</v>
      </c>
      <c r="AE1226" s="1" t="s">
        <v>104</v>
      </c>
      <c r="AF1226" s="1" t="s">
        <v>104</v>
      </c>
      <c r="AG1226" s="1" t="s">
        <v>104</v>
      </c>
      <c r="AH1226" s="1" t="s">
        <v>104</v>
      </c>
      <c r="AI1226" s="1" t="s">
        <v>104</v>
      </c>
      <c r="AJ1226" s="1" t="s">
        <v>104</v>
      </c>
      <c r="AK1226" s="1" t="s">
        <v>104</v>
      </c>
      <c r="AL1226" s="1" t="s">
        <v>104</v>
      </c>
      <c r="AM1226" s="1" t="s">
        <v>104</v>
      </c>
      <c r="AO1226" s="1">
        <v>5</v>
      </c>
      <c r="AR1226" s="1">
        <v>0</v>
      </c>
      <c r="AS1226" s="1">
        <v>0</v>
      </c>
      <c r="AT1226" s="1">
        <v>0</v>
      </c>
      <c r="AU1226" s="1">
        <v>0</v>
      </c>
      <c r="AV1226" s="1">
        <v>0</v>
      </c>
      <c r="AW1226" s="1">
        <v>0</v>
      </c>
      <c r="AX1226" s="1">
        <v>0</v>
      </c>
      <c r="AY1226" s="1">
        <v>0</v>
      </c>
      <c r="AZ1226" s="1">
        <v>0</v>
      </c>
      <c r="BA1226" s="1">
        <v>0</v>
      </c>
      <c r="BB1226" s="1">
        <v>0</v>
      </c>
      <c r="BC1226" s="1">
        <v>0</v>
      </c>
      <c r="BD1226" s="1">
        <v>0</v>
      </c>
      <c r="BE1226" s="1">
        <v>0</v>
      </c>
      <c r="BF1226" s="1">
        <v>0</v>
      </c>
      <c r="BG1226" s="1">
        <v>0</v>
      </c>
      <c r="BH1226" s="1">
        <v>0</v>
      </c>
      <c r="BI1226" s="1">
        <v>0</v>
      </c>
      <c r="BJ1226" s="1">
        <v>0</v>
      </c>
      <c r="BK1226" s="1">
        <v>0</v>
      </c>
      <c r="BL1226" s="1">
        <v>0</v>
      </c>
      <c r="BM1226" s="1">
        <v>0</v>
      </c>
      <c r="BN1226" s="1">
        <v>0</v>
      </c>
      <c r="BO1226" s="1">
        <v>0</v>
      </c>
      <c r="BP1226" s="1">
        <v>0</v>
      </c>
      <c r="BQ1226" s="1" t="s">
        <v>104</v>
      </c>
      <c r="BR1226" s="1">
        <v>1280</v>
      </c>
      <c r="BS1226" s="1" t="s">
        <v>104</v>
      </c>
      <c r="BX1226" s="1">
        <v>0</v>
      </c>
      <c r="BY1226" s="1" t="s">
        <v>104</v>
      </c>
      <c r="BZ1226" s="1" t="s">
        <v>104</v>
      </c>
      <c r="CA1226" s="1" t="s">
        <v>104</v>
      </c>
      <c r="CB1226" s="1" t="s">
        <v>104</v>
      </c>
      <c r="CC1226" s="1" t="s">
        <v>104</v>
      </c>
      <c r="CD1226" s="1" t="s">
        <v>104</v>
      </c>
      <c r="CE1226" s="1" t="s">
        <v>104</v>
      </c>
      <c r="CF1226" s="1" t="s">
        <v>104</v>
      </c>
      <c r="CG1226" s="1" t="s">
        <v>104</v>
      </c>
      <c r="CH1226" s="1" t="s">
        <v>104</v>
      </c>
      <c r="CJ1226" s="1">
        <v>0</v>
      </c>
      <c r="CK1226" s="1">
        <v>0</v>
      </c>
      <c r="CL1226" s="1">
        <v>0</v>
      </c>
      <c r="CM1226" s="1" t="s">
        <v>104</v>
      </c>
    </row>
    <row r="1227" spans="1:91" ht="14.25" customHeight="1" x14ac:dyDescent="0.3">
      <c r="A1227" s="1" t="s">
        <v>7263</v>
      </c>
      <c r="B1227" s="1" t="s">
        <v>162</v>
      </c>
      <c r="E1227" s="1" t="s">
        <v>1688</v>
      </c>
      <c r="F1227" s="1" t="s">
        <v>255</v>
      </c>
      <c r="G1227" s="1" t="s">
        <v>7261</v>
      </c>
      <c r="H1227" s="1">
        <v>0</v>
      </c>
      <c r="I1227" s="1" t="s">
        <v>157</v>
      </c>
      <c r="L1227" s="1" t="s">
        <v>158</v>
      </c>
      <c r="M1227" s="1" t="s">
        <v>111</v>
      </c>
      <c r="N1227" s="1">
        <v>0</v>
      </c>
      <c r="O1227" s="1">
        <v>0</v>
      </c>
      <c r="R1227" s="1" t="s">
        <v>7264</v>
      </c>
      <c r="S1227" s="1" t="s">
        <v>7134</v>
      </c>
      <c r="T1227" s="1">
        <v>1</v>
      </c>
      <c r="U1227" s="1">
        <v>1</v>
      </c>
      <c r="V1227" s="1">
        <v>1</v>
      </c>
      <c r="W1227" s="1">
        <v>0</v>
      </c>
      <c r="X1227" s="1">
        <v>0</v>
      </c>
      <c r="Y1227" s="1">
        <v>8</v>
      </c>
      <c r="Z1227" s="1">
        <v>8</v>
      </c>
      <c r="AA1227" s="1" t="s">
        <v>104</v>
      </c>
      <c r="AB1227" s="1" t="s">
        <v>104</v>
      </c>
      <c r="AC1227" s="1" t="s">
        <v>104</v>
      </c>
      <c r="AD1227" s="1" t="s">
        <v>104</v>
      </c>
      <c r="AE1227" s="1" t="s">
        <v>104</v>
      </c>
      <c r="AF1227" s="1" t="s">
        <v>104</v>
      </c>
      <c r="AG1227" s="1" t="s">
        <v>104</v>
      </c>
      <c r="AH1227" s="1" t="s">
        <v>104</v>
      </c>
      <c r="AI1227" s="1" t="s">
        <v>104</v>
      </c>
      <c r="AJ1227" s="1" t="s">
        <v>104</v>
      </c>
      <c r="AK1227" s="1" t="s">
        <v>104</v>
      </c>
      <c r="AL1227" s="1" t="s">
        <v>104</v>
      </c>
      <c r="AM1227" s="1" t="s">
        <v>104</v>
      </c>
      <c r="AO1227" s="1">
        <v>8</v>
      </c>
      <c r="AR1227" s="1">
        <v>0</v>
      </c>
      <c r="AS1227" s="1">
        <v>0</v>
      </c>
      <c r="AT1227" s="1">
        <v>0</v>
      </c>
      <c r="AU1227" s="1">
        <v>0</v>
      </c>
      <c r="AV1227" s="1">
        <v>0</v>
      </c>
      <c r="AW1227" s="1">
        <v>0</v>
      </c>
      <c r="AX1227" s="1">
        <v>0</v>
      </c>
      <c r="AY1227" s="1">
        <v>0</v>
      </c>
      <c r="AZ1227" s="1">
        <v>0</v>
      </c>
      <c r="BA1227" s="1">
        <v>0</v>
      </c>
      <c r="BB1227" s="1">
        <v>0</v>
      </c>
      <c r="BC1227" s="1">
        <v>0</v>
      </c>
      <c r="BD1227" s="1">
        <v>0</v>
      </c>
      <c r="BE1227" s="1">
        <v>0</v>
      </c>
      <c r="BF1227" s="1">
        <v>0</v>
      </c>
      <c r="BG1227" s="1">
        <v>0</v>
      </c>
      <c r="BH1227" s="1">
        <v>0</v>
      </c>
      <c r="BI1227" s="1">
        <v>0</v>
      </c>
      <c r="BJ1227" s="1">
        <v>0</v>
      </c>
      <c r="BK1227" s="1">
        <v>0</v>
      </c>
      <c r="BL1227" s="1">
        <v>0</v>
      </c>
      <c r="BM1227" s="1">
        <v>0</v>
      </c>
      <c r="BN1227" s="1">
        <v>0</v>
      </c>
      <c r="BO1227" s="1">
        <v>0</v>
      </c>
      <c r="BP1227" s="1">
        <v>0</v>
      </c>
      <c r="BQ1227" s="1" t="s">
        <v>104</v>
      </c>
      <c r="BR1227" s="1">
        <v>1281</v>
      </c>
      <c r="BS1227" s="1" t="s">
        <v>104</v>
      </c>
      <c r="BX1227" s="1">
        <v>0</v>
      </c>
      <c r="BY1227" s="1" t="s">
        <v>104</v>
      </c>
      <c r="BZ1227" s="1" t="s">
        <v>104</v>
      </c>
      <c r="CA1227" s="1" t="s">
        <v>104</v>
      </c>
      <c r="CB1227" s="1" t="s">
        <v>104</v>
      </c>
      <c r="CC1227" s="1" t="s">
        <v>104</v>
      </c>
      <c r="CD1227" s="1" t="s">
        <v>104</v>
      </c>
      <c r="CE1227" s="1" t="s">
        <v>104</v>
      </c>
      <c r="CF1227" s="1" t="s">
        <v>104</v>
      </c>
      <c r="CG1227" s="1" t="s">
        <v>104</v>
      </c>
      <c r="CH1227" s="1" t="s">
        <v>104</v>
      </c>
      <c r="CJ1227" s="1">
        <v>0</v>
      </c>
      <c r="CK1227" s="1">
        <v>0</v>
      </c>
      <c r="CL1227" s="1">
        <v>0</v>
      </c>
      <c r="CM1227" s="1" t="s">
        <v>104</v>
      </c>
    </row>
    <row r="1228" spans="1:91" ht="14.25" customHeight="1" x14ac:dyDescent="0.3">
      <c r="A1228" s="1" t="s">
        <v>7265</v>
      </c>
      <c r="B1228" s="1" t="s">
        <v>162</v>
      </c>
      <c r="E1228" s="1" t="s">
        <v>4360</v>
      </c>
      <c r="F1228" s="1" t="s">
        <v>95</v>
      </c>
      <c r="G1228" s="1" t="s">
        <v>7266</v>
      </c>
      <c r="H1228" s="1">
        <v>0</v>
      </c>
      <c r="I1228" s="1" t="s">
        <v>109</v>
      </c>
      <c r="J1228" s="1" t="s">
        <v>1559</v>
      </c>
      <c r="M1228" s="1" t="s">
        <v>4992</v>
      </c>
      <c r="N1228" s="1">
        <v>1</v>
      </c>
      <c r="O1228" s="1">
        <v>1</v>
      </c>
      <c r="R1228" s="1" t="s">
        <v>7267</v>
      </c>
      <c r="S1228" s="1" t="s">
        <v>7134</v>
      </c>
      <c r="T1228" s="1">
        <v>1</v>
      </c>
      <c r="U1228" s="1">
        <v>1</v>
      </c>
      <c r="V1228" s="1">
        <v>1</v>
      </c>
      <c r="W1228" s="1">
        <v>0</v>
      </c>
      <c r="X1228" s="1">
        <v>0</v>
      </c>
      <c r="Y1228" s="1">
        <v>8</v>
      </c>
      <c r="Z1228" s="1">
        <v>8</v>
      </c>
      <c r="AA1228" s="1">
        <v>8</v>
      </c>
      <c r="AB1228" s="1" t="s">
        <v>104</v>
      </c>
      <c r="AC1228" s="1" t="s">
        <v>104</v>
      </c>
      <c r="AD1228" s="1" t="s">
        <v>104</v>
      </c>
      <c r="AE1228" s="1" t="s">
        <v>104</v>
      </c>
      <c r="AF1228" s="1" t="s">
        <v>104</v>
      </c>
      <c r="AG1228" s="1" t="s">
        <v>104</v>
      </c>
      <c r="AH1228" s="1" t="s">
        <v>104</v>
      </c>
      <c r="AI1228" s="1" t="s">
        <v>104</v>
      </c>
      <c r="AJ1228" s="1">
        <v>8</v>
      </c>
      <c r="AK1228" s="1" t="s">
        <v>104</v>
      </c>
      <c r="AL1228" s="1" t="s">
        <v>104</v>
      </c>
      <c r="AM1228" s="1" t="s">
        <v>104</v>
      </c>
      <c r="AO1228" s="1">
        <v>8</v>
      </c>
      <c r="AR1228" s="1">
        <v>0</v>
      </c>
      <c r="AS1228" s="1">
        <v>0</v>
      </c>
      <c r="AT1228" s="1">
        <v>0</v>
      </c>
      <c r="AU1228" s="1">
        <v>0</v>
      </c>
      <c r="AV1228" s="1">
        <v>0</v>
      </c>
      <c r="AW1228" s="1">
        <v>0</v>
      </c>
      <c r="AX1228" s="1">
        <v>0</v>
      </c>
      <c r="AY1228" s="1">
        <v>0</v>
      </c>
      <c r="AZ1228" s="1">
        <v>0</v>
      </c>
      <c r="BA1228" s="1">
        <v>0</v>
      </c>
      <c r="BB1228" s="1">
        <v>0</v>
      </c>
      <c r="BC1228" s="1">
        <v>0</v>
      </c>
      <c r="BD1228" s="1">
        <v>0</v>
      </c>
      <c r="BE1228" s="1">
        <v>0</v>
      </c>
      <c r="BF1228" s="1">
        <v>0</v>
      </c>
      <c r="BG1228" s="1">
        <v>0</v>
      </c>
      <c r="BH1228" s="1">
        <v>0</v>
      </c>
      <c r="BI1228" s="1">
        <v>0</v>
      </c>
      <c r="BJ1228" s="1">
        <v>0</v>
      </c>
      <c r="BK1228" s="1">
        <v>0</v>
      </c>
      <c r="BL1228" s="1">
        <v>0</v>
      </c>
      <c r="BM1228" s="1">
        <v>0</v>
      </c>
      <c r="BN1228" s="1">
        <v>0</v>
      </c>
      <c r="BO1228" s="1">
        <v>0</v>
      </c>
      <c r="BP1228" s="1">
        <v>0</v>
      </c>
      <c r="BQ1228" s="1" t="s">
        <v>104</v>
      </c>
      <c r="BR1228" s="1">
        <v>1282</v>
      </c>
      <c r="BS1228" s="1" t="s">
        <v>104</v>
      </c>
      <c r="BX1228" s="1">
        <v>0</v>
      </c>
      <c r="BY1228" s="1" t="s">
        <v>104</v>
      </c>
      <c r="BZ1228" s="1" t="s">
        <v>104</v>
      </c>
      <c r="CA1228" s="1" t="s">
        <v>104</v>
      </c>
      <c r="CB1228" s="1" t="s">
        <v>104</v>
      </c>
      <c r="CC1228" s="1" t="s">
        <v>104</v>
      </c>
      <c r="CD1228" s="1" t="s">
        <v>104</v>
      </c>
      <c r="CE1228" s="1" t="s">
        <v>104</v>
      </c>
      <c r="CF1228" s="1" t="s">
        <v>104</v>
      </c>
      <c r="CG1228" s="1" t="s">
        <v>104</v>
      </c>
      <c r="CH1228" s="1" t="s">
        <v>104</v>
      </c>
      <c r="CJ1228" s="1">
        <v>0</v>
      </c>
      <c r="CK1228" s="1">
        <v>0</v>
      </c>
      <c r="CL1228" s="1">
        <v>0</v>
      </c>
      <c r="CM1228" s="1" t="s">
        <v>104</v>
      </c>
    </row>
    <row r="1229" spans="1:91" ht="14.25" customHeight="1" x14ac:dyDescent="0.3">
      <c r="A1229" s="1" t="s">
        <v>7268</v>
      </c>
      <c r="B1229" s="1" t="s">
        <v>162</v>
      </c>
      <c r="E1229" s="1" t="s">
        <v>7269</v>
      </c>
      <c r="F1229" s="1" t="s">
        <v>95</v>
      </c>
      <c r="G1229" s="1" t="s">
        <v>7266</v>
      </c>
      <c r="H1229" s="1">
        <v>0</v>
      </c>
      <c r="I1229" s="1" t="s">
        <v>256</v>
      </c>
      <c r="J1229" s="1" t="s">
        <v>3086</v>
      </c>
      <c r="M1229" s="1" t="s">
        <v>111</v>
      </c>
      <c r="N1229" s="1">
        <v>0</v>
      </c>
      <c r="O1229" s="1">
        <v>0</v>
      </c>
      <c r="R1229" s="1" t="s">
        <v>7270</v>
      </c>
      <c r="S1229" s="1" t="s">
        <v>7134</v>
      </c>
      <c r="T1229" s="1">
        <v>1</v>
      </c>
      <c r="U1229" s="1">
        <v>1</v>
      </c>
      <c r="V1229" s="1">
        <v>1</v>
      </c>
      <c r="W1229" s="1">
        <v>0</v>
      </c>
      <c r="X1229" s="1">
        <v>0</v>
      </c>
      <c r="Y1229" s="1">
        <v>4</v>
      </c>
      <c r="Z1229" s="1">
        <v>4</v>
      </c>
      <c r="AA1229" s="1">
        <v>4</v>
      </c>
      <c r="AB1229" s="1" t="s">
        <v>104</v>
      </c>
      <c r="AC1229" s="1" t="s">
        <v>104</v>
      </c>
      <c r="AD1229" s="1" t="s">
        <v>104</v>
      </c>
      <c r="AE1229" s="1" t="s">
        <v>104</v>
      </c>
      <c r="AF1229" s="1" t="s">
        <v>104</v>
      </c>
      <c r="AG1229" s="1" t="s">
        <v>104</v>
      </c>
      <c r="AH1229" s="1" t="s">
        <v>104</v>
      </c>
      <c r="AI1229" s="1" t="s">
        <v>104</v>
      </c>
      <c r="AJ1229" s="1">
        <v>4</v>
      </c>
      <c r="AK1229" s="1" t="s">
        <v>104</v>
      </c>
      <c r="AL1229" s="1" t="s">
        <v>104</v>
      </c>
      <c r="AM1229" s="1" t="s">
        <v>104</v>
      </c>
      <c r="AO1229" s="1">
        <v>4</v>
      </c>
      <c r="AR1229" s="1">
        <v>0</v>
      </c>
      <c r="AS1229" s="1">
        <v>0</v>
      </c>
      <c r="AT1229" s="1">
        <v>0</v>
      </c>
      <c r="AU1229" s="1">
        <v>0</v>
      </c>
      <c r="AV1229" s="1">
        <v>0</v>
      </c>
      <c r="AW1229" s="1">
        <v>0</v>
      </c>
      <c r="AX1229" s="1">
        <v>0</v>
      </c>
      <c r="AY1229" s="1">
        <v>0</v>
      </c>
      <c r="AZ1229" s="1">
        <v>0</v>
      </c>
      <c r="BA1229" s="1">
        <v>0</v>
      </c>
      <c r="BB1229" s="1">
        <v>0</v>
      </c>
      <c r="BC1229" s="1">
        <v>0</v>
      </c>
      <c r="BD1229" s="1">
        <v>0</v>
      </c>
      <c r="BE1229" s="1">
        <v>0</v>
      </c>
      <c r="BF1229" s="1">
        <v>0</v>
      </c>
      <c r="BG1229" s="1">
        <v>0</v>
      </c>
      <c r="BH1229" s="1">
        <v>0</v>
      </c>
      <c r="BI1229" s="1">
        <v>0</v>
      </c>
      <c r="BJ1229" s="1">
        <v>0</v>
      </c>
      <c r="BK1229" s="1">
        <v>0</v>
      </c>
      <c r="BL1229" s="1">
        <v>0</v>
      </c>
      <c r="BM1229" s="1">
        <v>0</v>
      </c>
      <c r="BN1229" s="1">
        <v>0</v>
      </c>
      <c r="BO1229" s="1">
        <v>0</v>
      </c>
      <c r="BP1229" s="1">
        <v>0</v>
      </c>
      <c r="BQ1229" s="1" t="s">
        <v>104</v>
      </c>
      <c r="BR1229" s="1">
        <v>1283</v>
      </c>
      <c r="BS1229" s="1" t="s">
        <v>104</v>
      </c>
      <c r="BX1229" s="1">
        <v>0</v>
      </c>
      <c r="BY1229" s="1" t="s">
        <v>104</v>
      </c>
      <c r="BZ1229" s="1" t="s">
        <v>104</v>
      </c>
      <c r="CA1229" s="1" t="s">
        <v>104</v>
      </c>
      <c r="CB1229" s="1" t="s">
        <v>104</v>
      </c>
      <c r="CC1229" s="1" t="s">
        <v>104</v>
      </c>
      <c r="CD1229" s="1" t="s">
        <v>104</v>
      </c>
      <c r="CE1229" s="1" t="s">
        <v>104</v>
      </c>
      <c r="CF1229" s="1" t="s">
        <v>104</v>
      </c>
      <c r="CG1229" s="1" t="s">
        <v>104</v>
      </c>
      <c r="CH1229" s="1" t="s">
        <v>104</v>
      </c>
      <c r="CJ1229" s="1">
        <v>0</v>
      </c>
      <c r="CK1229" s="1">
        <v>0</v>
      </c>
      <c r="CL1229" s="1">
        <v>0</v>
      </c>
      <c r="CM1229" s="1" t="s">
        <v>104</v>
      </c>
    </row>
    <row r="1230" spans="1:91" ht="14.25" customHeight="1" x14ac:dyDescent="0.3">
      <c r="A1230" s="1" t="s">
        <v>7271</v>
      </c>
      <c r="B1230" s="1" t="s">
        <v>137</v>
      </c>
      <c r="E1230" s="1" t="s">
        <v>7272</v>
      </c>
      <c r="F1230" s="1" t="s">
        <v>191</v>
      </c>
      <c r="G1230" s="1" t="s">
        <v>7273</v>
      </c>
      <c r="H1230" s="1">
        <v>1</v>
      </c>
      <c r="I1230" s="1" t="s">
        <v>7274</v>
      </c>
      <c r="K1230" s="1" t="s">
        <v>7275</v>
      </c>
      <c r="M1230" s="1" t="s">
        <v>119</v>
      </c>
      <c r="N1230" s="1">
        <v>0</v>
      </c>
      <c r="O1230" s="1">
        <v>0</v>
      </c>
      <c r="P1230" s="1" t="s">
        <v>100</v>
      </c>
      <c r="Q1230" s="1" t="s">
        <v>101</v>
      </c>
      <c r="R1230" s="1" t="s">
        <v>7276</v>
      </c>
      <c r="S1230" s="1" t="s">
        <v>7134</v>
      </c>
      <c r="T1230" s="1">
        <v>1</v>
      </c>
      <c r="U1230" s="1">
        <v>1</v>
      </c>
      <c r="V1230" s="1">
        <v>1</v>
      </c>
      <c r="W1230" s="1">
        <v>0</v>
      </c>
      <c r="X1230" s="1">
        <v>0</v>
      </c>
      <c r="Y1230" s="1">
        <v>2</v>
      </c>
      <c r="Z1230" s="1">
        <v>2</v>
      </c>
      <c r="AA1230" s="1" t="s">
        <v>104</v>
      </c>
      <c r="AB1230" s="1" t="s">
        <v>104</v>
      </c>
      <c r="AC1230" s="1" t="s">
        <v>104</v>
      </c>
      <c r="AD1230" s="1">
        <v>2</v>
      </c>
      <c r="AE1230" s="1" t="s">
        <v>104</v>
      </c>
      <c r="AF1230" s="1">
        <v>2</v>
      </c>
      <c r="AG1230" s="1" t="s">
        <v>104</v>
      </c>
      <c r="AH1230" s="1">
        <v>2</v>
      </c>
      <c r="AI1230" s="1" t="s">
        <v>104</v>
      </c>
      <c r="AJ1230" s="1" t="s">
        <v>104</v>
      </c>
      <c r="AK1230" s="1" t="s">
        <v>104</v>
      </c>
      <c r="AL1230" s="1" t="s">
        <v>104</v>
      </c>
      <c r="AM1230" s="1" t="s">
        <v>104</v>
      </c>
      <c r="AO1230" s="1">
        <v>2</v>
      </c>
      <c r="AR1230" s="1">
        <v>0</v>
      </c>
      <c r="AS1230" s="1">
        <v>0</v>
      </c>
      <c r="AT1230" s="1">
        <v>0</v>
      </c>
      <c r="AU1230" s="1">
        <v>0</v>
      </c>
      <c r="AV1230" s="1">
        <v>0</v>
      </c>
      <c r="AW1230" s="1">
        <v>0</v>
      </c>
      <c r="AX1230" s="1">
        <v>0</v>
      </c>
      <c r="AY1230" s="1">
        <v>0</v>
      </c>
      <c r="AZ1230" s="1">
        <v>0</v>
      </c>
      <c r="BA1230" s="1">
        <v>0</v>
      </c>
      <c r="BB1230" s="1">
        <v>0</v>
      </c>
      <c r="BC1230" s="1">
        <v>0</v>
      </c>
      <c r="BD1230" s="1">
        <v>0</v>
      </c>
      <c r="BE1230" s="1">
        <v>0</v>
      </c>
      <c r="BF1230" s="1">
        <v>0</v>
      </c>
      <c r="BG1230" s="1">
        <v>0</v>
      </c>
      <c r="BH1230" s="1">
        <v>0</v>
      </c>
      <c r="BI1230" s="1">
        <v>0</v>
      </c>
      <c r="BJ1230" s="1">
        <v>0</v>
      </c>
      <c r="BK1230" s="1">
        <v>0</v>
      </c>
      <c r="BL1230" s="1">
        <v>0</v>
      </c>
      <c r="BM1230" s="1">
        <v>0</v>
      </c>
      <c r="BN1230" s="1">
        <v>0</v>
      </c>
      <c r="BO1230" s="1">
        <v>0</v>
      </c>
      <c r="BP1230" s="1">
        <v>0</v>
      </c>
      <c r="BQ1230" s="1" t="s">
        <v>104</v>
      </c>
      <c r="BR1230" s="1">
        <v>1284</v>
      </c>
      <c r="BS1230" s="1">
        <v>500</v>
      </c>
      <c r="BX1230" s="1">
        <v>0</v>
      </c>
      <c r="BY1230" s="1" t="s">
        <v>104</v>
      </c>
      <c r="BZ1230" s="1" t="s">
        <v>104</v>
      </c>
      <c r="CA1230" s="1" t="s">
        <v>104</v>
      </c>
      <c r="CB1230" s="1" t="s">
        <v>104</v>
      </c>
      <c r="CC1230" s="1" t="s">
        <v>104</v>
      </c>
      <c r="CD1230" s="1" t="s">
        <v>104</v>
      </c>
      <c r="CE1230" s="1" t="s">
        <v>104</v>
      </c>
      <c r="CF1230" s="1" t="s">
        <v>104</v>
      </c>
      <c r="CG1230" s="1" t="s">
        <v>104</v>
      </c>
      <c r="CH1230" s="1" t="s">
        <v>104</v>
      </c>
      <c r="CJ1230" s="1">
        <v>0</v>
      </c>
      <c r="CK1230" s="1">
        <v>0</v>
      </c>
      <c r="CL1230" s="1">
        <v>0</v>
      </c>
      <c r="CM1230" s="1" t="s">
        <v>104</v>
      </c>
    </row>
    <row r="1231" spans="1:91" ht="14.25" customHeight="1" x14ac:dyDescent="0.3">
      <c r="A1231" s="1" t="s">
        <v>7277</v>
      </c>
      <c r="B1231" s="1" t="s">
        <v>137</v>
      </c>
      <c r="E1231" s="1" t="s">
        <v>7278</v>
      </c>
      <c r="F1231" s="1" t="s">
        <v>95</v>
      </c>
      <c r="G1231" s="1" t="s">
        <v>7279</v>
      </c>
      <c r="H1231" s="1">
        <v>0</v>
      </c>
      <c r="I1231" s="1" t="s">
        <v>128</v>
      </c>
      <c r="L1231" s="1" t="s">
        <v>7280</v>
      </c>
      <c r="M1231" s="1" t="s">
        <v>119</v>
      </c>
      <c r="N1231" s="1">
        <v>0</v>
      </c>
      <c r="O1231" s="1">
        <v>0</v>
      </c>
      <c r="P1231" s="1" t="s">
        <v>183</v>
      </c>
      <c r="Q1231" s="1" t="s">
        <v>184</v>
      </c>
      <c r="R1231" s="1" t="s">
        <v>7281</v>
      </c>
      <c r="S1231" s="1" t="s">
        <v>7134</v>
      </c>
      <c r="T1231" s="1">
        <v>1</v>
      </c>
      <c r="U1231" s="1">
        <v>1</v>
      </c>
      <c r="V1231" s="1">
        <v>1</v>
      </c>
      <c r="W1231" s="1">
        <v>0</v>
      </c>
      <c r="X1231" s="1">
        <v>0</v>
      </c>
      <c r="Y1231" s="1">
        <v>1</v>
      </c>
      <c r="Z1231" s="1">
        <v>1</v>
      </c>
      <c r="AA1231" s="1" t="s">
        <v>104</v>
      </c>
      <c r="AB1231" s="1" t="s">
        <v>104</v>
      </c>
      <c r="AC1231" s="1" t="s">
        <v>104</v>
      </c>
      <c r="AD1231" s="1">
        <v>1</v>
      </c>
      <c r="AE1231" s="1" t="s">
        <v>104</v>
      </c>
      <c r="AF1231" s="1" t="s">
        <v>104</v>
      </c>
      <c r="AG1231" s="1" t="s">
        <v>104</v>
      </c>
      <c r="AH1231" s="1">
        <v>1</v>
      </c>
      <c r="AI1231" s="1" t="s">
        <v>104</v>
      </c>
      <c r="AJ1231" s="1" t="s">
        <v>104</v>
      </c>
      <c r="AK1231" s="1" t="s">
        <v>104</v>
      </c>
      <c r="AL1231" s="1" t="s">
        <v>104</v>
      </c>
      <c r="AM1231" s="1" t="s">
        <v>104</v>
      </c>
      <c r="AO1231" s="1">
        <v>1</v>
      </c>
      <c r="AR1231" s="1">
        <v>0</v>
      </c>
      <c r="AS1231" s="1">
        <v>0</v>
      </c>
      <c r="AT1231" s="1">
        <v>0</v>
      </c>
      <c r="AU1231" s="1">
        <v>0</v>
      </c>
      <c r="AV1231" s="1">
        <v>0</v>
      </c>
      <c r="AW1231" s="1">
        <v>0</v>
      </c>
      <c r="AX1231" s="1">
        <v>0</v>
      </c>
      <c r="AY1231" s="1">
        <v>0</v>
      </c>
      <c r="AZ1231" s="1">
        <v>0</v>
      </c>
      <c r="BA1231" s="1">
        <v>0</v>
      </c>
      <c r="BB1231" s="1">
        <v>0</v>
      </c>
      <c r="BC1231" s="1">
        <v>0</v>
      </c>
      <c r="BD1231" s="1">
        <v>0</v>
      </c>
      <c r="BE1231" s="1">
        <v>0</v>
      </c>
      <c r="BF1231" s="1">
        <v>0</v>
      </c>
      <c r="BG1231" s="1">
        <v>0</v>
      </c>
      <c r="BH1231" s="1">
        <v>0</v>
      </c>
      <c r="BI1231" s="1">
        <v>0</v>
      </c>
      <c r="BJ1231" s="1">
        <v>0</v>
      </c>
      <c r="BK1231" s="1">
        <v>0</v>
      </c>
      <c r="BL1231" s="1">
        <v>0</v>
      </c>
      <c r="BM1231" s="1">
        <v>0</v>
      </c>
      <c r="BN1231" s="1">
        <v>0</v>
      </c>
      <c r="BO1231" s="1">
        <v>0</v>
      </c>
      <c r="BP1231" s="1">
        <v>0</v>
      </c>
      <c r="BQ1231" s="1" t="s">
        <v>104</v>
      </c>
      <c r="BR1231" s="1">
        <v>1285</v>
      </c>
      <c r="BS1231" s="1" t="s">
        <v>104</v>
      </c>
      <c r="BX1231" s="1">
        <v>0</v>
      </c>
      <c r="BY1231" s="1" t="s">
        <v>104</v>
      </c>
      <c r="BZ1231" s="1" t="s">
        <v>104</v>
      </c>
      <c r="CA1231" s="1" t="s">
        <v>104</v>
      </c>
      <c r="CB1231" s="1" t="s">
        <v>104</v>
      </c>
      <c r="CC1231" s="1" t="s">
        <v>104</v>
      </c>
      <c r="CD1231" s="1" t="s">
        <v>104</v>
      </c>
      <c r="CE1231" s="1" t="s">
        <v>104</v>
      </c>
      <c r="CF1231" s="1" t="s">
        <v>104</v>
      </c>
      <c r="CG1231" s="1" t="s">
        <v>104</v>
      </c>
      <c r="CH1231" s="1" t="s">
        <v>104</v>
      </c>
      <c r="CJ1231" s="1">
        <v>0</v>
      </c>
      <c r="CK1231" s="1">
        <v>0</v>
      </c>
      <c r="CL1231" s="1">
        <v>0</v>
      </c>
      <c r="CM1231" s="1" t="s">
        <v>104</v>
      </c>
    </row>
    <row r="1232" spans="1:91" ht="14.25" customHeight="1" x14ac:dyDescent="0.3">
      <c r="A1232" s="1" t="s">
        <v>7282</v>
      </c>
      <c r="B1232" s="1" t="s">
        <v>434</v>
      </c>
      <c r="D1232" s="1" t="s">
        <v>46</v>
      </c>
      <c r="E1232" s="1" t="s">
        <v>4378</v>
      </c>
      <c r="F1232" s="1" t="s">
        <v>95</v>
      </c>
      <c r="G1232" s="1" t="s">
        <v>116</v>
      </c>
      <c r="H1232" s="1">
        <v>0</v>
      </c>
      <c r="I1232" s="1" t="s">
        <v>97</v>
      </c>
      <c r="K1232" s="1" t="s">
        <v>7283</v>
      </c>
      <c r="M1232" s="1" t="s">
        <v>7284</v>
      </c>
      <c r="N1232" s="1">
        <v>0</v>
      </c>
      <c r="O1232" s="1">
        <v>0</v>
      </c>
      <c r="P1232" s="1" t="s">
        <v>100</v>
      </c>
      <c r="Q1232" s="1" t="s">
        <v>184</v>
      </c>
      <c r="R1232" s="1" t="s">
        <v>7285</v>
      </c>
      <c r="S1232" s="1" t="s">
        <v>7134</v>
      </c>
      <c r="T1232" s="1">
        <v>1</v>
      </c>
      <c r="U1232" s="1">
        <v>1</v>
      </c>
      <c r="V1232" s="1">
        <v>0</v>
      </c>
      <c r="W1232" s="1">
        <v>0</v>
      </c>
      <c r="X1232" s="1">
        <v>0</v>
      </c>
      <c r="Y1232" s="1">
        <v>3</v>
      </c>
      <c r="Z1232" s="1">
        <v>3</v>
      </c>
      <c r="AA1232" s="1" t="s">
        <v>104</v>
      </c>
      <c r="AB1232" s="1">
        <v>3</v>
      </c>
      <c r="AC1232" s="1" t="s">
        <v>104</v>
      </c>
      <c r="AD1232" s="1" t="s">
        <v>104</v>
      </c>
      <c r="AE1232" s="1" t="s">
        <v>104</v>
      </c>
      <c r="AF1232" s="1" t="s">
        <v>104</v>
      </c>
      <c r="AG1232" s="1" t="s">
        <v>104</v>
      </c>
      <c r="AH1232" s="1" t="s">
        <v>104</v>
      </c>
      <c r="AI1232" s="1" t="s">
        <v>104</v>
      </c>
      <c r="AJ1232" s="1" t="s">
        <v>104</v>
      </c>
      <c r="AK1232" s="1" t="s">
        <v>104</v>
      </c>
      <c r="AL1232" s="1" t="s">
        <v>104</v>
      </c>
      <c r="AM1232" s="1" t="s">
        <v>104</v>
      </c>
      <c r="AO1232" s="1">
        <v>3</v>
      </c>
      <c r="AR1232" s="1">
        <v>0</v>
      </c>
      <c r="AS1232" s="1">
        <v>0</v>
      </c>
      <c r="AT1232" s="1">
        <v>0</v>
      </c>
      <c r="AU1232" s="1">
        <v>1</v>
      </c>
      <c r="AV1232" s="1">
        <v>0</v>
      </c>
      <c r="AW1232" s="1">
        <v>0</v>
      </c>
      <c r="AX1232" s="1">
        <v>0</v>
      </c>
      <c r="AY1232" s="1">
        <v>0</v>
      </c>
      <c r="AZ1232" s="1">
        <v>0</v>
      </c>
      <c r="BA1232" s="1">
        <v>0</v>
      </c>
      <c r="BB1232" s="1">
        <v>0</v>
      </c>
      <c r="BC1232" s="1">
        <v>0</v>
      </c>
      <c r="BD1232" s="1">
        <v>0</v>
      </c>
      <c r="BE1232" s="1">
        <v>0</v>
      </c>
      <c r="BF1232" s="1">
        <v>0</v>
      </c>
      <c r="BG1232" s="1">
        <v>0</v>
      </c>
      <c r="BH1232" s="1">
        <v>0</v>
      </c>
      <c r="BI1232" s="1">
        <v>0</v>
      </c>
      <c r="BJ1232" s="1">
        <v>0</v>
      </c>
      <c r="BK1232" s="1">
        <v>0</v>
      </c>
      <c r="BL1232" s="1">
        <v>0</v>
      </c>
      <c r="BM1232" s="1">
        <v>0</v>
      </c>
      <c r="BN1232" s="1">
        <v>0</v>
      </c>
      <c r="BO1232" s="1">
        <v>0</v>
      </c>
      <c r="BP1232" s="1">
        <v>0</v>
      </c>
      <c r="BQ1232" s="1" t="s">
        <v>104</v>
      </c>
      <c r="BR1232" s="1">
        <v>1286</v>
      </c>
      <c r="BS1232" s="1" t="s">
        <v>104</v>
      </c>
      <c r="BX1232" s="1">
        <v>0</v>
      </c>
      <c r="BY1232" s="1" t="s">
        <v>104</v>
      </c>
      <c r="BZ1232" s="1" t="s">
        <v>104</v>
      </c>
      <c r="CA1232" s="1" t="s">
        <v>104</v>
      </c>
      <c r="CB1232" s="1" t="s">
        <v>104</v>
      </c>
      <c r="CC1232" s="1" t="s">
        <v>104</v>
      </c>
      <c r="CD1232" s="1" t="s">
        <v>104</v>
      </c>
      <c r="CE1232" s="1" t="s">
        <v>104</v>
      </c>
      <c r="CF1232" s="1" t="s">
        <v>104</v>
      </c>
      <c r="CG1232" s="1" t="s">
        <v>104</v>
      </c>
      <c r="CH1232" s="1">
        <v>3</v>
      </c>
      <c r="CJ1232" s="1">
        <v>0</v>
      </c>
      <c r="CK1232" s="1">
        <v>0</v>
      </c>
      <c r="CL1232" s="1">
        <v>0</v>
      </c>
      <c r="CM1232" s="1" t="s">
        <v>104</v>
      </c>
    </row>
    <row r="1233" spans="1:91" ht="14.25" customHeight="1" x14ac:dyDescent="0.3">
      <c r="A1233" s="1" t="s">
        <v>7286</v>
      </c>
      <c r="B1233" s="1" t="s">
        <v>137</v>
      </c>
      <c r="E1233" s="1" t="s">
        <v>5134</v>
      </c>
      <c r="F1233" s="1" t="s">
        <v>95</v>
      </c>
      <c r="G1233" s="1" t="s">
        <v>7287</v>
      </c>
      <c r="H1233" s="1">
        <v>0</v>
      </c>
      <c r="I1233" s="1" t="s">
        <v>157</v>
      </c>
      <c r="L1233" s="1" t="s">
        <v>158</v>
      </c>
      <c r="M1233" s="1" t="s">
        <v>7288</v>
      </c>
      <c r="N1233" s="1">
        <v>0</v>
      </c>
      <c r="O1233" s="1">
        <v>0</v>
      </c>
      <c r="R1233" s="1" t="s">
        <v>7289</v>
      </c>
      <c r="S1233" s="1" t="s">
        <v>7134</v>
      </c>
      <c r="T1233" s="1">
        <v>1</v>
      </c>
      <c r="U1233" s="1">
        <v>1</v>
      </c>
      <c r="V1233" s="1">
        <v>1</v>
      </c>
      <c r="W1233" s="1">
        <v>0</v>
      </c>
      <c r="X1233" s="1">
        <v>0</v>
      </c>
      <c r="Y1233" s="1" t="s">
        <v>104</v>
      </c>
      <c r="Z1233" s="1" t="s">
        <v>104</v>
      </c>
      <c r="AA1233" s="1" t="s">
        <v>104</v>
      </c>
      <c r="AB1233" s="1" t="s">
        <v>104</v>
      </c>
      <c r="AC1233" s="1">
        <v>3</v>
      </c>
      <c r="AD1233" s="1" t="s">
        <v>104</v>
      </c>
      <c r="AE1233" s="1" t="s">
        <v>104</v>
      </c>
      <c r="AF1233" s="1" t="s">
        <v>104</v>
      </c>
      <c r="AG1233" s="1" t="s">
        <v>104</v>
      </c>
      <c r="AH1233" s="1" t="s">
        <v>104</v>
      </c>
      <c r="AI1233" s="1" t="s">
        <v>104</v>
      </c>
      <c r="AJ1233" s="1" t="s">
        <v>104</v>
      </c>
      <c r="AK1233" s="1" t="s">
        <v>104</v>
      </c>
      <c r="AL1233" s="1" t="s">
        <v>104</v>
      </c>
      <c r="AM1233" s="1" t="s">
        <v>104</v>
      </c>
      <c r="AO1233" s="1">
        <v>3</v>
      </c>
      <c r="AR1233" s="1">
        <v>0</v>
      </c>
      <c r="AS1233" s="1">
        <v>0</v>
      </c>
      <c r="AT1233" s="1">
        <v>0</v>
      </c>
      <c r="AU1233" s="1">
        <v>0</v>
      </c>
      <c r="AV1233" s="1">
        <v>0</v>
      </c>
      <c r="AW1233" s="1">
        <v>0</v>
      </c>
      <c r="AX1233" s="1">
        <v>0</v>
      </c>
      <c r="AY1233" s="1">
        <v>0</v>
      </c>
      <c r="AZ1233" s="1">
        <v>0</v>
      </c>
      <c r="BA1233" s="1">
        <v>0</v>
      </c>
      <c r="BB1233" s="1">
        <v>0</v>
      </c>
      <c r="BC1233" s="1">
        <v>0</v>
      </c>
      <c r="BD1233" s="1">
        <v>0</v>
      </c>
      <c r="BE1233" s="1">
        <v>0</v>
      </c>
      <c r="BF1233" s="1">
        <v>0</v>
      </c>
      <c r="BG1233" s="1">
        <v>0</v>
      </c>
      <c r="BH1233" s="1">
        <v>0</v>
      </c>
      <c r="BI1233" s="1">
        <v>0</v>
      </c>
      <c r="BJ1233" s="1">
        <v>0</v>
      </c>
      <c r="BK1233" s="1">
        <v>0</v>
      </c>
      <c r="BL1233" s="1">
        <v>0</v>
      </c>
      <c r="BM1233" s="1">
        <v>0</v>
      </c>
      <c r="BN1233" s="1">
        <v>0</v>
      </c>
      <c r="BO1233" s="1">
        <v>0</v>
      </c>
      <c r="BP1233" s="1">
        <v>0</v>
      </c>
      <c r="BQ1233" s="1" t="s">
        <v>104</v>
      </c>
      <c r="BR1233" s="1">
        <v>1287</v>
      </c>
      <c r="BS1233" s="1" t="s">
        <v>104</v>
      </c>
      <c r="BX1233" s="1">
        <v>0</v>
      </c>
      <c r="BY1233" s="1" t="s">
        <v>104</v>
      </c>
      <c r="BZ1233" s="1" t="s">
        <v>104</v>
      </c>
      <c r="CA1233" s="1" t="s">
        <v>104</v>
      </c>
      <c r="CB1233" s="1" t="s">
        <v>104</v>
      </c>
      <c r="CC1233" s="1" t="s">
        <v>104</v>
      </c>
      <c r="CD1233" s="1" t="s">
        <v>104</v>
      </c>
      <c r="CE1233" s="1" t="s">
        <v>104</v>
      </c>
      <c r="CF1233" s="1" t="s">
        <v>104</v>
      </c>
      <c r="CG1233" s="1" t="s">
        <v>104</v>
      </c>
      <c r="CH1233" s="1">
        <v>3</v>
      </c>
      <c r="CJ1233" s="1">
        <v>0</v>
      </c>
      <c r="CK1233" s="1">
        <v>0</v>
      </c>
      <c r="CL1233" s="1">
        <v>0</v>
      </c>
      <c r="CM1233" s="1" t="s">
        <v>104</v>
      </c>
    </row>
    <row r="1234" spans="1:91" ht="14.25" customHeight="1" x14ac:dyDescent="0.3">
      <c r="A1234" s="1" t="s">
        <v>7290</v>
      </c>
      <c r="B1234" s="1" t="s">
        <v>137</v>
      </c>
      <c r="E1234" s="1" t="s">
        <v>7291</v>
      </c>
      <c r="F1234" s="1" t="s">
        <v>255</v>
      </c>
      <c r="G1234" s="1" t="s">
        <v>7292</v>
      </c>
      <c r="H1234" s="1">
        <v>0</v>
      </c>
      <c r="I1234" s="1" t="s">
        <v>128</v>
      </c>
      <c r="L1234" s="1" t="s">
        <v>7293</v>
      </c>
      <c r="M1234" s="1" t="s">
        <v>2330</v>
      </c>
      <c r="N1234" s="1">
        <v>0</v>
      </c>
      <c r="O1234" s="1">
        <v>0</v>
      </c>
      <c r="P1234" s="1" t="s">
        <v>148</v>
      </c>
      <c r="Q1234" s="1" t="s">
        <v>149</v>
      </c>
      <c r="R1234" s="1" t="s">
        <v>7294</v>
      </c>
      <c r="S1234" s="1" t="s">
        <v>7134</v>
      </c>
      <c r="T1234" s="1">
        <v>1</v>
      </c>
      <c r="U1234" s="1">
        <v>1</v>
      </c>
      <c r="V1234" s="1">
        <v>0</v>
      </c>
      <c r="W1234" s="1">
        <v>0</v>
      </c>
      <c r="X1234" s="1">
        <v>0</v>
      </c>
      <c r="Y1234" s="1" t="s">
        <v>104</v>
      </c>
      <c r="Z1234" s="1" t="s">
        <v>104</v>
      </c>
      <c r="AA1234" s="1">
        <v>1</v>
      </c>
      <c r="AB1234" s="1" t="s">
        <v>104</v>
      </c>
      <c r="AC1234" s="1" t="s">
        <v>104</v>
      </c>
      <c r="AD1234" s="1">
        <v>1</v>
      </c>
      <c r="AE1234" s="1" t="s">
        <v>104</v>
      </c>
      <c r="AF1234" s="1" t="s">
        <v>104</v>
      </c>
      <c r="AG1234" s="1" t="s">
        <v>104</v>
      </c>
      <c r="AH1234" s="1" t="s">
        <v>104</v>
      </c>
      <c r="AI1234" s="1">
        <v>1</v>
      </c>
      <c r="AJ1234" s="1">
        <v>1</v>
      </c>
      <c r="AK1234" s="1" t="s">
        <v>104</v>
      </c>
      <c r="AL1234" s="1">
        <v>1</v>
      </c>
      <c r="AM1234" s="1" t="s">
        <v>104</v>
      </c>
      <c r="AO1234" s="1">
        <v>1</v>
      </c>
      <c r="AR1234" s="1">
        <v>0</v>
      </c>
      <c r="AS1234" s="1">
        <v>0</v>
      </c>
      <c r="AT1234" s="1">
        <v>0</v>
      </c>
      <c r="AU1234" s="1">
        <v>0</v>
      </c>
      <c r="AV1234" s="1">
        <v>0</v>
      </c>
      <c r="AW1234" s="1">
        <v>0</v>
      </c>
      <c r="AX1234" s="1">
        <v>0</v>
      </c>
      <c r="AY1234" s="1">
        <v>0</v>
      </c>
      <c r="AZ1234" s="1">
        <v>0</v>
      </c>
      <c r="BA1234" s="1">
        <v>0</v>
      </c>
      <c r="BB1234" s="1">
        <v>0</v>
      </c>
      <c r="BC1234" s="1">
        <v>0</v>
      </c>
      <c r="BD1234" s="1">
        <v>0</v>
      </c>
      <c r="BE1234" s="1">
        <v>0</v>
      </c>
      <c r="BF1234" s="1">
        <v>0</v>
      </c>
      <c r="BG1234" s="1">
        <v>0</v>
      </c>
      <c r="BH1234" s="1">
        <v>0</v>
      </c>
      <c r="BI1234" s="1">
        <v>0</v>
      </c>
      <c r="BJ1234" s="1">
        <v>0</v>
      </c>
      <c r="BK1234" s="1">
        <v>0</v>
      </c>
      <c r="BL1234" s="1">
        <v>0</v>
      </c>
      <c r="BM1234" s="1">
        <v>0</v>
      </c>
      <c r="BN1234" s="1">
        <v>0</v>
      </c>
      <c r="BO1234" s="1">
        <v>0</v>
      </c>
      <c r="BP1234" s="1">
        <v>0</v>
      </c>
      <c r="BQ1234" s="1" t="s">
        <v>104</v>
      </c>
      <c r="BR1234" s="1">
        <v>1288</v>
      </c>
      <c r="BS1234" s="1" t="s">
        <v>104</v>
      </c>
      <c r="BX1234" s="1">
        <v>0</v>
      </c>
      <c r="BY1234" s="1" t="s">
        <v>104</v>
      </c>
      <c r="BZ1234" s="1" t="s">
        <v>104</v>
      </c>
      <c r="CA1234" s="1" t="s">
        <v>104</v>
      </c>
      <c r="CB1234" s="1" t="s">
        <v>104</v>
      </c>
      <c r="CC1234" s="1" t="s">
        <v>104</v>
      </c>
      <c r="CD1234" s="1" t="s">
        <v>104</v>
      </c>
      <c r="CE1234" s="1" t="s">
        <v>104</v>
      </c>
      <c r="CF1234" s="1" t="s">
        <v>104</v>
      </c>
      <c r="CG1234" s="1" t="s">
        <v>104</v>
      </c>
      <c r="CH1234" s="1" t="s">
        <v>104</v>
      </c>
      <c r="CJ1234" s="1">
        <v>0</v>
      </c>
      <c r="CK1234" s="1">
        <v>0</v>
      </c>
      <c r="CL1234" s="1">
        <v>0</v>
      </c>
      <c r="CM1234" s="1" t="s">
        <v>104</v>
      </c>
    </row>
    <row r="1235" spans="1:91" ht="14.25" customHeight="1" x14ac:dyDescent="0.3">
      <c r="A1235" s="1" t="s">
        <v>7295</v>
      </c>
      <c r="B1235" s="1" t="s">
        <v>137</v>
      </c>
      <c r="E1235" s="1" t="s">
        <v>281</v>
      </c>
      <c r="F1235" s="1" t="s">
        <v>95</v>
      </c>
      <c r="G1235" s="1" t="s">
        <v>7296</v>
      </c>
      <c r="H1235" s="1">
        <v>0</v>
      </c>
      <c r="I1235" s="1" t="s">
        <v>117</v>
      </c>
      <c r="J1235" s="1" t="s">
        <v>425</v>
      </c>
      <c r="M1235" s="1" t="s">
        <v>2330</v>
      </c>
      <c r="N1235" s="1">
        <v>0</v>
      </c>
      <c r="O1235" s="1">
        <v>0</v>
      </c>
      <c r="P1235" s="1" t="s">
        <v>211</v>
      </c>
      <c r="Q1235" s="1" t="s">
        <v>184</v>
      </c>
      <c r="R1235" s="1" t="s">
        <v>7297</v>
      </c>
      <c r="S1235" s="1" t="s">
        <v>7134</v>
      </c>
      <c r="T1235" s="1">
        <v>1</v>
      </c>
      <c r="U1235" s="1">
        <v>1</v>
      </c>
      <c r="V1235" s="1">
        <v>1</v>
      </c>
      <c r="W1235" s="1">
        <v>0</v>
      </c>
      <c r="X1235" s="1">
        <v>0</v>
      </c>
      <c r="Y1235" s="1" t="s">
        <v>104</v>
      </c>
      <c r="Z1235" s="1" t="s">
        <v>104</v>
      </c>
      <c r="AA1235" s="1" t="s">
        <v>104</v>
      </c>
      <c r="AB1235" s="1">
        <v>4</v>
      </c>
      <c r="AC1235" s="1" t="s">
        <v>104</v>
      </c>
      <c r="AD1235" s="1" t="s">
        <v>104</v>
      </c>
      <c r="AE1235" s="1" t="s">
        <v>104</v>
      </c>
      <c r="AF1235" s="1" t="s">
        <v>104</v>
      </c>
      <c r="AG1235" s="1" t="s">
        <v>104</v>
      </c>
      <c r="AH1235" s="1" t="s">
        <v>104</v>
      </c>
      <c r="AI1235" s="1" t="s">
        <v>104</v>
      </c>
      <c r="AJ1235" s="1" t="s">
        <v>104</v>
      </c>
      <c r="AK1235" s="1" t="s">
        <v>104</v>
      </c>
      <c r="AL1235" s="1" t="s">
        <v>104</v>
      </c>
      <c r="AM1235" s="1" t="s">
        <v>104</v>
      </c>
      <c r="AO1235" s="1">
        <v>4</v>
      </c>
      <c r="AR1235" s="1">
        <v>0</v>
      </c>
      <c r="AS1235" s="1">
        <v>0</v>
      </c>
      <c r="AT1235" s="1">
        <v>0</v>
      </c>
      <c r="AU1235" s="1">
        <v>0</v>
      </c>
      <c r="AV1235" s="1">
        <v>0</v>
      </c>
      <c r="AW1235" s="1">
        <v>0</v>
      </c>
      <c r="AX1235" s="1">
        <v>0</v>
      </c>
      <c r="AY1235" s="1">
        <v>0</v>
      </c>
      <c r="AZ1235" s="1">
        <v>0</v>
      </c>
      <c r="BA1235" s="1">
        <v>0</v>
      </c>
      <c r="BB1235" s="1">
        <v>0</v>
      </c>
      <c r="BC1235" s="1">
        <v>0</v>
      </c>
      <c r="BD1235" s="1">
        <v>0</v>
      </c>
      <c r="BE1235" s="1">
        <v>0</v>
      </c>
      <c r="BF1235" s="1">
        <v>0</v>
      </c>
      <c r="BG1235" s="1">
        <v>0</v>
      </c>
      <c r="BH1235" s="1">
        <v>0</v>
      </c>
      <c r="BI1235" s="1">
        <v>0</v>
      </c>
      <c r="BJ1235" s="1">
        <v>0</v>
      </c>
      <c r="BK1235" s="1">
        <v>0</v>
      </c>
      <c r="BL1235" s="1">
        <v>0</v>
      </c>
      <c r="BM1235" s="1">
        <v>0</v>
      </c>
      <c r="BN1235" s="1">
        <v>0</v>
      </c>
      <c r="BO1235" s="1">
        <v>0</v>
      </c>
      <c r="BP1235" s="1">
        <v>0</v>
      </c>
      <c r="BQ1235" s="1" t="s">
        <v>104</v>
      </c>
      <c r="BR1235" s="1">
        <v>1289</v>
      </c>
      <c r="BS1235" s="1" t="s">
        <v>104</v>
      </c>
      <c r="BX1235" s="1">
        <v>0</v>
      </c>
      <c r="BY1235" s="1" t="s">
        <v>104</v>
      </c>
      <c r="BZ1235" s="1" t="s">
        <v>104</v>
      </c>
      <c r="CA1235" s="1" t="s">
        <v>104</v>
      </c>
      <c r="CB1235" s="1" t="s">
        <v>104</v>
      </c>
      <c r="CC1235" s="1" t="s">
        <v>104</v>
      </c>
      <c r="CD1235" s="1" t="s">
        <v>104</v>
      </c>
      <c r="CE1235" s="1" t="s">
        <v>104</v>
      </c>
      <c r="CF1235" s="1" t="s">
        <v>104</v>
      </c>
      <c r="CG1235" s="1" t="s">
        <v>104</v>
      </c>
      <c r="CH1235" s="1">
        <v>4</v>
      </c>
      <c r="CJ1235" s="1">
        <v>0</v>
      </c>
      <c r="CK1235" s="1">
        <v>0</v>
      </c>
      <c r="CL1235" s="1">
        <v>0</v>
      </c>
      <c r="CM1235" s="1" t="s">
        <v>104</v>
      </c>
    </row>
    <row r="1236" spans="1:91" ht="14.25" customHeight="1" x14ac:dyDescent="0.3">
      <c r="A1236" s="1" t="s">
        <v>7298</v>
      </c>
      <c r="B1236" s="1" t="s">
        <v>92</v>
      </c>
      <c r="C1236" s="1" t="s">
        <v>93</v>
      </c>
      <c r="D1236" s="1" t="s">
        <v>57</v>
      </c>
      <c r="E1236" s="1" t="s">
        <v>7299</v>
      </c>
      <c r="F1236" s="1" t="s">
        <v>95</v>
      </c>
      <c r="G1236" s="1" t="s">
        <v>7300</v>
      </c>
      <c r="H1236" s="1">
        <v>0</v>
      </c>
      <c r="I1236" s="1" t="s">
        <v>128</v>
      </c>
      <c r="L1236" s="1" t="s">
        <v>374</v>
      </c>
      <c r="M1236" s="1" t="s">
        <v>2591</v>
      </c>
      <c r="N1236" s="1">
        <v>0</v>
      </c>
      <c r="O1236" s="1">
        <v>0</v>
      </c>
      <c r="P1236" s="1" t="s">
        <v>375</v>
      </c>
      <c r="Q1236" s="1" t="s">
        <v>101</v>
      </c>
      <c r="R1236" s="1" t="s">
        <v>7301</v>
      </c>
      <c r="S1236" s="1" t="s">
        <v>7302</v>
      </c>
      <c r="T1236" s="1">
        <v>1</v>
      </c>
      <c r="U1236" s="1">
        <v>1</v>
      </c>
      <c r="V1236" s="1">
        <v>1</v>
      </c>
      <c r="W1236" s="1">
        <v>0</v>
      </c>
      <c r="X1236" s="1">
        <v>0</v>
      </c>
      <c r="Y1236" s="1">
        <v>3</v>
      </c>
      <c r="Z1236" s="1">
        <v>3</v>
      </c>
      <c r="AA1236" s="1" t="s">
        <v>104</v>
      </c>
      <c r="AB1236" s="1" t="s">
        <v>104</v>
      </c>
      <c r="AC1236" s="1" t="s">
        <v>104</v>
      </c>
      <c r="AD1236" s="1" t="s">
        <v>104</v>
      </c>
      <c r="AE1236" s="1" t="s">
        <v>104</v>
      </c>
      <c r="AF1236" s="1">
        <v>2</v>
      </c>
      <c r="AG1236" s="1">
        <v>2</v>
      </c>
      <c r="AH1236" s="1" t="s">
        <v>104</v>
      </c>
      <c r="AI1236" s="1" t="s">
        <v>104</v>
      </c>
      <c r="AJ1236" s="1" t="s">
        <v>104</v>
      </c>
      <c r="AK1236" s="1" t="s">
        <v>104</v>
      </c>
      <c r="AL1236" s="1">
        <v>2</v>
      </c>
      <c r="AM1236" s="1" t="s">
        <v>104</v>
      </c>
      <c r="AO1236" s="1">
        <v>3</v>
      </c>
      <c r="AQ1236" s="1" t="s">
        <v>7303</v>
      </c>
      <c r="AR1236" s="1">
        <v>0</v>
      </c>
      <c r="AS1236" s="1">
        <v>0</v>
      </c>
      <c r="AT1236" s="1">
        <v>0</v>
      </c>
      <c r="AU1236" s="1">
        <v>0</v>
      </c>
      <c r="AV1236" s="1">
        <v>0</v>
      </c>
      <c r="AW1236" s="1">
        <v>0</v>
      </c>
      <c r="AX1236" s="1">
        <v>0</v>
      </c>
      <c r="AY1236" s="1">
        <v>0</v>
      </c>
      <c r="AZ1236" s="1">
        <v>0</v>
      </c>
      <c r="BA1236" s="1">
        <v>0</v>
      </c>
      <c r="BB1236" s="1">
        <v>0</v>
      </c>
      <c r="BC1236" s="1">
        <v>0</v>
      </c>
      <c r="BD1236" s="1">
        <v>0</v>
      </c>
      <c r="BE1236" s="1">
        <v>0</v>
      </c>
      <c r="BF1236" s="1">
        <v>1</v>
      </c>
      <c r="BG1236" s="1">
        <v>0</v>
      </c>
      <c r="BH1236" s="1">
        <v>0</v>
      </c>
      <c r="BI1236" s="1">
        <v>0</v>
      </c>
      <c r="BJ1236" s="1">
        <v>0</v>
      </c>
      <c r="BK1236" s="1">
        <v>0</v>
      </c>
      <c r="BL1236" s="1">
        <v>0</v>
      </c>
      <c r="BM1236" s="1">
        <v>0</v>
      </c>
      <c r="BN1236" s="1">
        <v>0</v>
      </c>
      <c r="BO1236" s="1">
        <v>0</v>
      </c>
      <c r="BP1236" s="1">
        <v>0</v>
      </c>
      <c r="BQ1236" s="2" t="str">
        <f>HYPERLINK("http://www.d20pfsrd.com/magic/all-spells/a/ablative-barrier","Ablative Barrier")</f>
        <v>Ablative Barrier</v>
      </c>
      <c r="BR1236" s="1">
        <v>1290</v>
      </c>
      <c r="BS1236" s="1" t="s">
        <v>104</v>
      </c>
      <c r="BV1236" s="1" t="s">
        <v>7304</v>
      </c>
      <c r="BX1236" s="1">
        <v>1</v>
      </c>
      <c r="BY1236" s="1">
        <v>2</v>
      </c>
      <c r="BZ1236" s="1" t="s">
        <v>104</v>
      </c>
      <c r="CA1236" s="1">
        <v>3</v>
      </c>
      <c r="CB1236" s="1" t="s">
        <v>104</v>
      </c>
      <c r="CC1236" s="1" t="s">
        <v>104</v>
      </c>
      <c r="CD1236" s="1">
        <v>2</v>
      </c>
      <c r="CE1236" s="1" t="s">
        <v>104</v>
      </c>
      <c r="CF1236" s="1" t="s">
        <v>104</v>
      </c>
      <c r="CG1236" s="1" t="s">
        <v>104</v>
      </c>
      <c r="CH1236" s="1" t="s">
        <v>104</v>
      </c>
      <c r="CJ1236" s="1">
        <v>0</v>
      </c>
      <c r="CK1236" s="1">
        <v>0</v>
      </c>
      <c r="CL1236" s="1">
        <v>0</v>
      </c>
      <c r="CM1236" s="1">
        <v>3</v>
      </c>
    </row>
    <row r="1237" spans="1:91" ht="14.25" customHeight="1" x14ac:dyDescent="0.3">
      <c r="A1237" s="1" t="s">
        <v>7305</v>
      </c>
      <c r="B1237" s="1" t="s">
        <v>216</v>
      </c>
      <c r="E1237" s="1" t="s">
        <v>7306</v>
      </c>
      <c r="F1237" s="1" t="s">
        <v>95</v>
      </c>
      <c r="G1237" s="1" t="s">
        <v>7307</v>
      </c>
      <c r="H1237" s="1">
        <v>0</v>
      </c>
      <c r="I1237" s="1" t="s">
        <v>157</v>
      </c>
      <c r="L1237" s="1" t="s">
        <v>158</v>
      </c>
      <c r="M1237" s="1" t="s">
        <v>7067</v>
      </c>
      <c r="N1237" s="1">
        <v>0</v>
      </c>
      <c r="O1237" s="1">
        <v>0</v>
      </c>
      <c r="P1237" s="1" t="s">
        <v>145</v>
      </c>
      <c r="Q1237" s="1" t="s">
        <v>101</v>
      </c>
      <c r="R1237" s="1" t="s">
        <v>7308</v>
      </c>
      <c r="S1237" s="1" t="s">
        <v>7302</v>
      </c>
      <c r="T1237" s="1">
        <v>1</v>
      </c>
      <c r="U1237" s="1">
        <v>1</v>
      </c>
      <c r="V1237" s="1">
        <v>1</v>
      </c>
      <c r="W1237" s="1">
        <v>0</v>
      </c>
      <c r="X1237" s="1">
        <v>0</v>
      </c>
      <c r="Y1237" s="1">
        <v>5</v>
      </c>
      <c r="Z1237" s="1">
        <v>5</v>
      </c>
      <c r="AA1237" s="1" t="s">
        <v>104</v>
      </c>
      <c r="AB1237" s="1">
        <v>4</v>
      </c>
      <c r="AC1237" s="1" t="s">
        <v>104</v>
      </c>
      <c r="AD1237" s="1" t="s">
        <v>104</v>
      </c>
      <c r="AE1237" s="1" t="s">
        <v>104</v>
      </c>
      <c r="AF1237" s="1">
        <v>3</v>
      </c>
      <c r="AG1237" s="1" t="s">
        <v>104</v>
      </c>
      <c r="AH1237" s="1">
        <v>4</v>
      </c>
      <c r="AI1237" s="1" t="s">
        <v>104</v>
      </c>
      <c r="AJ1237" s="1" t="s">
        <v>104</v>
      </c>
      <c r="AK1237" s="1" t="s">
        <v>104</v>
      </c>
      <c r="AL1237" s="1" t="s">
        <v>104</v>
      </c>
      <c r="AM1237" s="1" t="s">
        <v>104</v>
      </c>
      <c r="AO1237" s="1">
        <v>4</v>
      </c>
      <c r="AQ1237" s="1" t="s">
        <v>7309</v>
      </c>
      <c r="AR1237" s="1">
        <v>0</v>
      </c>
      <c r="AS1237" s="1">
        <v>0</v>
      </c>
      <c r="AT1237" s="1">
        <v>0</v>
      </c>
      <c r="AU1237" s="1">
        <v>0</v>
      </c>
      <c r="AV1237" s="1">
        <v>0</v>
      </c>
      <c r="AW1237" s="1">
        <v>0</v>
      </c>
      <c r="AX1237" s="1">
        <v>0</v>
      </c>
      <c r="AY1237" s="1">
        <v>0</v>
      </c>
      <c r="AZ1237" s="1">
        <v>0</v>
      </c>
      <c r="BA1237" s="1">
        <v>0</v>
      </c>
      <c r="BB1237" s="1">
        <v>0</v>
      </c>
      <c r="BC1237" s="1">
        <v>0</v>
      </c>
      <c r="BD1237" s="1">
        <v>0</v>
      </c>
      <c r="BE1237" s="1">
        <v>0</v>
      </c>
      <c r="BF1237" s="1">
        <v>0</v>
      </c>
      <c r="BG1237" s="1">
        <v>0</v>
      </c>
      <c r="BH1237" s="1">
        <v>0</v>
      </c>
      <c r="BI1237" s="1">
        <v>0</v>
      </c>
      <c r="BJ1237" s="1">
        <v>0</v>
      </c>
      <c r="BK1237" s="1">
        <v>0</v>
      </c>
      <c r="BL1237" s="1">
        <v>0</v>
      </c>
      <c r="BM1237" s="1">
        <v>0</v>
      </c>
      <c r="BN1237" s="1">
        <v>0</v>
      </c>
      <c r="BO1237" s="1">
        <v>0</v>
      </c>
      <c r="BP1237" s="1">
        <v>0</v>
      </c>
      <c r="BQ1237" s="2" t="str">
        <f>HYPERLINK("http://www.d20pfsrd.com/magic/all-spells/a/absorb-toxicity","Absorb Toxicity")</f>
        <v>Absorb Toxicity</v>
      </c>
      <c r="BR1237" s="1">
        <v>1291</v>
      </c>
      <c r="BS1237" s="1" t="s">
        <v>104</v>
      </c>
      <c r="BX1237" s="1">
        <v>0</v>
      </c>
      <c r="BY1237" s="1" t="s">
        <v>104</v>
      </c>
      <c r="BZ1237" s="1" t="s">
        <v>104</v>
      </c>
      <c r="CA1237" s="1">
        <v>5</v>
      </c>
      <c r="CB1237" s="1" t="s">
        <v>104</v>
      </c>
      <c r="CC1237" s="1" t="s">
        <v>104</v>
      </c>
      <c r="CD1237" s="1" t="s">
        <v>104</v>
      </c>
      <c r="CE1237" s="1" t="s">
        <v>104</v>
      </c>
      <c r="CF1237" s="1" t="s">
        <v>104</v>
      </c>
      <c r="CG1237" s="1" t="s">
        <v>104</v>
      </c>
      <c r="CH1237" s="1">
        <v>4</v>
      </c>
      <c r="CJ1237" s="1">
        <v>0</v>
      </c>
      <c r="CK1237" s="1">
        <v>0</v>
      </c>
      <c r="CL1237" s="1">
        <v>0</v>
      </c>
      <c r="CM1237" s="1" t="s">
        <v>104</v>
      </c>
    </row>
    <row r="1238" spans="1:91" ht="14.25" customHeight="1" x14ac:dyDescent="0.3">
      <c r="A1238" s="1" t="s">
        <v>7310</v>
      </c>
      <c r="B1238" s="1" t="s">
        <v>92</v>
      </c>
      <c r="C1238" s="1" t="s">
        <v>903</v>
      </c>
      <c r="E1238" s="1" t="s">
        <v>7311</v>
      </c>
      <c r="F1238" s="1" t="s">
        <v>95</v>
      </c>
      <c r="G1238" s="1" t="s">
        <v>7312</v>
      </c>
      <c r="H1238" s="1">
        <v>0</v>
      </c>
      <c r="L1238" s="1" t="s">
        <v>7313</v>
      </c>
      <c r="M1238" s="1" t="s">
        <v>2330</v>
      </c>
      <c r="N1238" s="1">
        <v>0</v>
      </c>
      <c r="O1238" s="1">
        <v>0</v>
      </c>
      <c r="P1238" s="1" t="s">
        <v>100</v>
      </c>
      <c r="Q1238" s="1" t="s">
        <v>101</v>
      </c>
      <c r="R1238" s="1" t="s">
        <v>7314</v>
      </c>
      <c r="S1238" s="1" t="s">
        <v>7302</v>
      </c>
      <c r="T1238" s="1">
        <v>1</v>
      </c>
      <c r="U1238" s="1">
        <v>1</v>
      </c>
      <c r="V1238" s="1">
        <v>1</v>
      </c>
      <c r="W1238" s="1">
        <v>0</v>
      </c>
      <c r="X1238" s="1">
        <v>1</v>
      </c>
      <c r="Y1238" s="1">
        <v>1</v>
      </c>
      <c r="Z1238" s="1">
        <v>1</v>
      </c>
      <c r="AA1238" s="1">
        <v>1</v>
      </c>
      <c r="AB1238" s="1" t="s">
        <v>104</v>
      </c>
      <c r="AC1238" s="1">
        <v>1</v>
      </c>
      <c r="AD1238" s="1">
        <v>1</v>
      </c>
      <c r="AE1238" s="1" t="s">
        <v>104</v>
      </c>
      <c r="AF1238" s="1" t="s">
        <v>104</v>
      </c>
      <c r="AG1238" s="1" t="s">
        <v>104</v>
      </c>
      <c r="AH1238" s="1" t="s">
        <v>104</v>
      </c>
      <c r="AI1238" s="1" t="s">
        <v>104</v>
      </c>
      <c r="AJ1238" s="1">
        <v>1</v>
      </c>
      <c r="AK1238" s="1" t="s">
        <v>104</v>
      </c>
      <c r="AL1238" s="1" t="s">
        <v>104</v>
      </c>
      <c r="AM1238" s="1" t="s">
        <v>104</v>
      </c>
      <c r="AO1238" s="1">
        <v>1</v>
      </c>
      <c r="AQ1238" s="1" t="s">
        <v>7315</v>
      </c>
      <c r="AR1238" s="1">
        <v>0</v>
      </c>
      <c r="AS1238" s="1">
        <v>0</v>
      </c>
      <c r="AT1238" s="1">
        <v>0</v>
      </c>
      <c r="AU1238" s="1">
        <v>0</v>
      </c>
      <c r="AV1238" s="1">
        <v>0</v>
      </c>
      <c r="AW1238" s="1">
        <v>0</v>
      </c>
      <c r="AX1238" s="1">
        <v>0</v>
      </c>
      <c r="AY1238" s="1">
        <v>0</v>
      </c>
      <c r="AZ1238" s="1">
        <v>0</v>
      </c>
      <c r="BA1238" s="1">
        <v>0</v>
      </c>
      <c r="BB1238" s="1">
        <v>0</v>
      </c>
      <c r="BC1238" s="1">
        <v>0</v>
      </c>
      <c r="BD1238" s="1">
        <v>0</v>
      </c>
      <c r="BE1238" s="1">
        <v>0</v>
      </c>
      <c r="BF1238" s="1">
        <v>0</v>
      </c>
      <c r="BG1238" s="1">
        <v>0</v>
      </c>
      <c r="BH1238" s="1">
        <v>0</v>
      </c>
      <c r="BI1238" s="1">
        <v>0</v>
      </c>
      <c r="BJ1238" s="1">
        <v>0</v>
      </c>
      <c r="BK1238" s="1">
        <v>0</v>
      </c>
      <c r="BL1238" s="1">
        <v>0</v>
      </c>
      <c r="BM1238" s="1">
        <v>0</v>
      </c>
      <c r="BN1238" s="1">
        <v>0</v>
      </c>
      <c r="BO1238" s="1">
        <v>0</v>
      </c>
      <c r="BP1238" s="1">
        <v>0</v>
      </c>
      <c r="BQ1238" s="2" t="str">
        <f>HYPERLINK("http://www.d20pfsrd.com/magic/all-spells/a/abundant-ammunition","Abundant Ammunition")</f>
        <v>Abundant Ammunition</v>
      </c>
      <c r="BR1238" s="1">
        <v>1292</v>
      </c>
      <c r="BS1238" s="1" t="s">
        <v>104</v>
      </c>
      <c r="BX1238" s="1">
        <v>0</v>
      </c>
      <c r="BY1238" s="1" t="s">
        <v>104</v>
      </c>
      <c r="BZ1238" s="1" t="s">
        <v>104</v>
      </c>
      <c r="CA1238" s="1">
        <v>1</v>
      </c>
      <c r="CB1238" s="1" t="s">
        <v>104</v>
      </c>
      <c r="CC1238" s="1" t="s">
        <v>104</v>
      </c>
      <c r="CD1238" s="1" t="s">
        <v>104</v>
      </c>
      <c r="CE1238" s="1" t="s">
        <v>104</v>
      </c>
      <c r="CF1238" s="1" t="s">
        <v>104</v>
      </c>
      <c r="CG1238" s="1" t="s">
        <v>104</v>
      </c>
      <c r="CH1238" s="1">
        <v>1</v>
      </c>
      <c r="CJ1238" s="1">
        <v>0</v>
      </c>
      <c r="CK1238" s="1">
        <v>0</v>
      </c>
      <c r="CL1238" s="1">
        <v>0</v>
      </c>
      <c r="CM1238" s="1" t="s">
        <v>104</v>
      </c>
    </row>
    <row r="1239" spans="1:91" ht="14.25" customHeight="1" x14ac:dyDescent="0.3">
      <c r="A1239" s="1" t="s">
        <v>7316</v>
      </c>
      <c r="B1239" s="1" t="s">
        <v>162</v>
      </c>
      <c r="D1239" s="1" t="s">
        <v>57</v>
      </c>
      <c r="E1239" s="1" t="s">
        <v>7317</v>
      </c>
      <c r="F1239" s="1" t="s">
        <v>95</v>
      </c>
      <c r="G1239" s="1" t="s">
        <v>7318</v>
      </c>
      <c r="H1239" s="1">
        <v>0</v>
      </c>
      <c r="I1239" s="1" t="s">
        <v>157</v>
      </c>
      <c r="L1239" s="1" t="s">
        <v>158</v>
      </c>
      <c r="M1239" s="1" t="s">
        <v>5119</v>
      </c>
      <c r="N1239" s="1">
        <v>0</v>
      </c>
      <c r="O1239" s="1">
        <v>0</v>
      </c>
      <c r="R1239" s="1" t="s">
        <v>7319</v>
      </c>
      <c r="S1239" s="1" t="s">
        <v>7302</v>
      </c>
      <c r="T1239" s="1">
        <v>1</v>
      </c>
      <c r="U1239" s="1">
        <v>1</v>
      </c>
      <c r="V1239" s="1">
        <v>1</v>
      </c>
      <c r="W1239" s="1">
        <v>0</v>
      </c>
      <c r="X1239" s="1">
        <v>0</v>
      </c>
      <c r="Y1239" s="1">
        <v>1</v>
      </c>
      <c r="Z1239" s="1">
        <v>1</v>
      </c>
      <c r="AA1239" s="1" t="s">
        <v>104</v>
      </c>
      <c r="AB1239" s="1" t="s">
        <v>104</v>
      </c>
      <c r="AC1239" s="1" t="s">
        <v>104</v>
      </c>
      <c r="AD1239" s="1">
        <v>1</v>
      </c>
      <c r="AE1239" s="1" t="s">
        <v>104</v>
      </c>
      <c r="AF1239" s="1">
        <v>1</v>
      </c>
      <c r="AG1239" s="1" t="s">
        <v>104</v>
      </c>
      <c r="AH1239" s="1" t="s">
        <v>104</v>
      </c>
      <c r="AI1239" s="1" t="s">
        <v>104</v>
      </c>
      <c r="AJ1239" s="1" t="s">
        <v>104</v>
      </c>
      <c r="AK1239" s="1" t="s">
        <v>104</v>
      </c>
      <c r="AL1239" s="1">
        <v>1</v>
      </c>
      <c r="AM1239" s="1" t="s">
        <v>104</v>
      </c>
      <c r="AO1239" s="1">
        <v>1</v>
      </c>
      <c r="AQ1239" s="1" t="s">
        <v>7320</v>
      </c>
      <c r="AR1239" s="1">
        <v>0</v>
      </c>
      <c r="AS1239" s="1">
        <v>0</v>
      </c>
      <c r="AT1239" s="1">
        <v>0</v>
      </c>
      <c r="AU1239" s="1">
        <v>0</v>
      </c>
      <c r="AV1239" s="1">
        <v>0</v>
      </c>
      <c r="AW1239" s="1">
        <v>0</v>
      </c>
      <c r="AX1239" s="1">
        <v>0</v>
      </c>
      <c r="AY1239" s="1">
        <v>0</v>
      </c>
      <c r="AZ1239" s="1">
        <v>0</v>
      </c>
      <c r="BA1239" s="1">
        <v>0</v>
      </c>
      <c r="BB1239" s="1">
        <v>0</v>
      </c>
      <c r="BC1239" s="1">
        <v>0</v>
      </c>
      <c r="BD1239" s="1">
        <v>0</v>
      </c>
      <c r="BE1239" s="1">
        <v>0</v>
      </c>
      <c r="BF1239" s="1">
        <v>0</v>
      </c>
      <c r="BG1239" s="1">
        <v>0</v>
      </c>
      <c r="BH1239" s="1">
        <v>0</v>
      </c>
      <c r="BI1239" s="1">
        <v>0</v>
      </c>
      <c r="BJ1239" s="1">
        <v>0</v>
      </c>
      <c r="BK1239" s="1">
        <v>0</v>
      </c>
      <c r="BL1239" s="1">
        <v>0</v>
      </c>
      <c r="BM1239" s="1">
        <v>0</v>
      </c>
      <c r="BN1239" s="1">
        <v>0</v>
      </c>
      <c r="BO1239" s="1">
        <v>0</v>
      </c>
      <c r="BP1239" s="1">
        <v>0</v>
      </c>
      <c r="BQ1239" s="2" t="str">
        <f>HYPERLINK("http://www.d20pfsrd.com/magic/all-spells/a/adjuring-step","Adjuring Step")</f>
        <v>Adjuring Step</v>
      </c>
      <c r="BR1239" s="1">
        <v>1293</v>
      </c>
      <c r="BS1239" s="1" t="s">
        <v>104</v>
      </c>
      <c r="BX1239" s="1">
        <v>0</v>
      </c>
      <c r="BY1239" s="1" t="s">
        <v>104</v>
      </c>
      <c r="BZ1239" s="1" t="s">
        <v>104</v>
      </c>
      <c r="CA1239" s="1">
        <v>1</v>
      </c>
      <c r="CB1239" s="1" t="s">
        <v>104</v>
      </c>
      <c r="CC1239" s="1" t="s">
        <v>104</v>
      </c>
      <c r="CD1239" s="1">
        <v>1</v>
      </c>
      <c r="CE1239" s="1" t="s">
        <v>104</v>
      </c>
      <c r="CF1239" s="1" t="s">
        <v>104</v>
      </c>
      <c r="CG1239" s="1" t="s">
        <v>104</v>
      </c>
      <c r="CH1239" s="1" t="s">
        <v>104</v>
      </c>
      <c r="CJ1239" s="1">
        <v>0</v>
      </c>
      <c r="CK1239" s="1">
        <v>0</v>
      </c>
      <c r="CL1239" s="1">
        <v>0</v>
      </c>
      <c r="CM1239" s="1" t="s">
        <v>104</v>
      </c>
    </row>
    <row r="1240" spans="1:91" ht="14.25" customHeight="1" x14ac:dyDescent="0.3">
      <c r="A1240" s="1" t="s">
        <v>7321</v>
      </c>
      <c r="B1240" s="1" t="s">
        <v>123</v>
      </c>
      <c r="D1240" s="1" t="s">
        <v>6034</v>
      </c>
      <c r="E1240" s="1" t="s">
        <v>6873</v>
      </c>
      <c r="F1240" s="1" t="s">
        <v>95</v>
      </c>
      <c r="G1240" s="1" t="s">
        <v>116</v>
      </c>
      <c r="H1240" s="1">
        <v>0</v>
      </c>
      <c r="I1240" s="1" t="s">
        <v>117</v>
      </c>
      <c r="L1240" s="1" t="s">
        <v>1065</v>
      </c>
      <c r="M1240" s="1" t="s">
        <v>2330</v>
      </c>
      <c r="N1240" s="1">
        <v>0</v>
      </c>
      <c r="O1240" s="1">
        <v>0</v>
      </c>
      <c r="P1240" s="1" t="s">
        <v>375</v>
      </c>
      <c r="Q1240" s="1" t="s">
        <v>184</v>
      </c>
      <c r="R1240" s="1" t="s">
        <v>7322</v>
      </c>
      <c r="S1240" s="1" t="s">
        <v>7302</v>
      </c>
      <c r="T1240" s="1">
        <v>1</v>
      </c>
      <c r="U1240" s="1">
        <v>1</v>
      </c>
      <c r="V1240" s="1">
        <v>0</v>
      </c>
      <c r="W1240" s="1">
        <v>0</v>
      </c>
      <c r="X1240" s="1">
        <v>0</v>
      </c>
      <c r="Y1240" s="1">
        <v>2</v>
      </c>
      <c r="Z1240" s="1">
        <v>2</v>
      </c>
      <c r="AA1240" s="1" t="s">
        <v>104</v>
      </c>
      <c r="AB1240" s="1" t="s">
        <v>104</v>
      </c>
      <c r="AC1240" s="1" t="s">
        <v>104</v>
      </c>
      <c r="AD1240" s="1">
        <v>1</v>
      </c>
      <c r="AE1240" s="1" t="s">
        <v>104</v>
      </c>
      <c r="AF1240" s="1" t="s">
        <v>104</v>
      </c>
      <c r="AG1240" s="1" t="s">
        <v>104</v>
      </c>
      <c r="AH1240" s="1">
        <v>2</v>
      </c>
      <c r="AI1240" s="1" t="s">
        <v>104</v>
      </c>
      <c r="AJ1240" s="1" t="s">
        <v>104</v>
      </c>
      <c r="AK1240" s="1" t="s">
        <v>104</v>
      </c>
      <c r="AL1240" s="1" t="s">
        <v>104</v>
      </c>
      <c r="AM1240" s="1" t="s">
        <v>104</v>
      </c>
      <c r="AO1240" s="1">
        <v>2</v>
      </c>
      <c r="AQ1240" s="1" t="s">
        <v>7323</v>
      </c>
      <c r="AR1240" s="1">
        <v>0</v>
      </c>
      <c r="AS1240" s="1">
        <v>0</v>
      </c>
      <c r="AT1240" s="1">
        <v>0</v>
      </c>
      <c r="AU1240" s="1">
        <v>0</v>
      </c>
      <c r="AV1240" s="1">
        <v>0</v>
      </c>
      <c r="AW1240" s="1">
        <v>0</v>
      </c>
      <c r="AX1240" s="1">
        <v>0</v>
      </c>
      <c r="AY1240" s="1">
        <v>0</v>
      </c>
      <c r="AZ1240" s="1">
        <v>0</v>
      </c>
      <c r="BA1240" s="1">
        <v>0</v>
      </c>
      <c r="BB1240" s="1">
        <v>1</v>
      </c>
      <c r="BC1240" s="1">
        <v>0</v>
      </c>
      <c r="BD1240" s="1">
        <v>0</v>
      </c>
      <c r="BE1240" s="1">
        <v>0</v>
      </c>
      <c r="BF1240" s="1">
        <v>0</v>
      </c>
      <c r="BG1240" s="1">
        <v>0</v>
      </c>
      <c r="BH1240" s="1">
        <v>0</v>
      </c>
      <c r="BI1240" s="1">
        <v>0</v>
      </c>
      <c r="BJ1240" s="1">
        <v>0</v>
      </c>
      <c r="BK1240" s="1">
        <v>1</v>
      </c>
      <c r="BL1240" s="1">
        <v>0</v>
      </c>
      <c r="BM1240" s="1">
        <v>0</v>
      </c>
      <c r="BN1240" s="1">
        <v>0</v>
      </c>
      <c r="BO1240" s="1">
        <v>0</v>
      </c>
      <c r="BP1240" s="1">
        <v>0</v>
      </c>
      <c r="BQ1240" s="2" t="str">
        <f>HYPERLINK("http://www.d20pfsrd.com/magic/all-spells/a/adoration","Adoration")</f>
        <v>Adoration</v>
      </c>
      <c r="BR1240" s="1">
        <v>1294</v>
      </c>
      <c r="BS1240" s="1" t="s">
        <v>104</v>
      </c>
      <c r="BX1240" s="1">
        <v>0</v>
      </c>
      <c r="BY1240" s="1" t="s">
        <v>104</v>
      </c>
      <c r="BZ1240" s="1" t="s">
        <v>104</v>
      </c>
      <c r="CA1240" s="1">
        <v>2</v>
      </c>
      <c r="CB1240" s="1" t="s">
        <v>104</v>
      </c>
      <c r="CC1240" s="1">
        <v>1</v>
      </c>
      <c r="CD1240" s="1" t="s">
        <v>104</v>
      </c>
      <c r="CE1240" s="1" t="s">
        <v>104</v>
      </c>
      <c r="CF1240" s="1" t="s">
        <v>104</v>
      </c>
      <c r="CG1240" s="1" t="s">
        <v>104</v>
      </c>
      <c r="CH1240" s="1" t="s">
        <v>104</v>
      </c>
      <c r="CJ1240" s="1">
        <v>0</v>
      </c>
      <c r="CK1240" s="1">
        <v>0</v>
      </c>
      <c r="CL1240" s="1">
        <v>0</v>
      </c>
      <c r="CM1240" s="1" t="s">
        <v>104</v>
      </c>
    </row>
    <row r="1241" spans="1:91" ht="14.25" customHeight="1" x14ac:dyDescent="0.3">
      <c r="A1241" s="1" t="s">
        <v>7324</v>
      </c>
      <c r="B1241" s="1" t="s">
        <v>92</v>
      </c>
      <c r="C1241" s="1" t="s">
        <v>93</v>
      </c>
      <c r="E1241" s="1" t="s">
        <v>7325</v>
      </c>
      <c r="F1241" s="1" t="s">
        <v>95</v>
      </c>
      <c r="G1241" s="1" t="s">
        <v>7326</v>
      </c>
      <c r="H1241" s="1">
        <v>0</v>
      </c>
      <c r="I1241" s="1" t="s">
        <v>128</v>
      </c>
      <c r="L1241" s="1" t="s">
        <v>7327</v>
      </c>
      <c r="M1241" s="1" t="s">
        <v>2330</v>
      </c>
      <c r="N1241" s="1">
        <v>0</v>
      </c>
      <c r="O1241" s="1">
        <v>0</v>
      </c>
      <c r="P1241" s="1" t="s">
        <v>375</v>
      </c>
      <c r="Q1241" s="1" t="s">
        <v>131</v>
      </c>
      <c r="R1241" s="1" t="s">
        <v>7328</v>
      </c>
      <c r="S1241" s="1" t="s">
        <v>7302</v>
      </c>
      <c r="T1241" s="1">
        <v>0</v>
      </c>
      <c r="U1241" s="1">
        <v>1</v>
      </c>
      <c r="V1241" s="1">
        <v>1</v>
      </c>
      <c r="W1241" s="1">
        <v>0</v>
      </c>
      <c r="X1241" s="1">
        <v>1</v>
      </c>
      <c r="Y1241" s="1">
        <v>1</v>
      </c>
      <c r="Z1241" s="1">
        <v>1</v>
      </c>
      <c r="AA1241" s="1">
        <v>1</v>
      </c>
      <c r="AB1241" s="1">
        <v>1</v>
      </c>
      <c r="AC1241" s="1">
        <v>1</v>
      </c>
      <c r="AD1241" s="1" t="s">
        <v>104</v>
      </c>
      <c r="AE1241" s="1" t="s">
        <v>104</v>
      </c>
      <c r="AF1241" s="1" t="s">
        <v>104</v>
      </c>
      <c r="AG1241" s="1" t="s">
        <v>104</v>
      </c>
      <c r="AH1241" s="1">
        <v>1</v>
      </c>
      <c r="AI1241" s="1" t="s">
        <v>104</v>
      </c>
      <c r="AJ1241" s="1">
        <v>1</v>
      </c>
      <c r="AK1241" s="1" t="s">
        <v>104</v>
      </c>
      <c r="AL1241" s="1" t="s">
        <v>104</v>
      </c>
      <c r="AM1241" s="1" t="s">
        <v>104</v>
      </c>
      <c r="AO1241" s="1">
        <v>1</v>
      </c>
      <c r="AQ1241" s="1" t="s">
        <v>7329</v>
      </c>
      <c r="AR1241" s="1">
        <v>0</v>
      </c>
      <c r="AS1241" s="1">
        <v>0</v>
      </c>
      <c r="AT1241" s="1">
        <v>0</v>
      </c>
      <c r="AU1241" s="1">
        <v>0</v>
      </c>
      <c r="AV1241" s="1">
        <v>0</v>
      </c>
      <c r="AW1241" s="1">
        <v>0</v>
      </c>
      <c r="AX1241" s="1">
        <v>0</v>
      </c>
      <c r="AY1241" s="1">
        <v>0</v>
      </c>
      <c r="AZ1241" s="1">
        <v>0</v>
      </c>
      <c r="BA1241" s="1">
        <v>0</v>
      </c>
      <c r="BB1241" s="1">
        <v>0</v>
      </c>
      <c r="BC1241" s="1">
        <v>0</v>
      </c>
      <c r="BD1241" s="1">
        <v>0</v>
      </c>
      <c r="BE1241" s="1">
        <v>0</v>
      </c>
      <c r="BF1241" s="1">
        <v>0</v>
      </c>
      <c r="BG1241" s="1">
        <v>0</v>
      </c>
      <c r="BH1241" s="1">
        <v>0</v>
      </c>
      <c r="BI1241" s="1">
        <v>0</v>
      </c>
      <c r="BJ1241" s="1">
        <v>0</v>
      </c>
      <c r="BK1241" s="1">
        <v>0</v>
      </c>
      <c r="BL1241" s="1">
        <v>0</v>
      </c>
      <c r="BM1241" s="1">
        <v>0</v>
      </c>
      <c r="BN1241" s="1">
        <v>0</v>
      </c>
      <c r="BO1241" s="1">
        <v>0</v>
      </c>
      <c r="BP1241" s="1">
        <v>0</v>
      </c>
      <c r="BQ1241" s="2" t="str">
        <f>HYPERLINK("http://www.d20pfsrd.com/magic/all-spells/a/air-bubble","Air Bubble")</f>
        <v>Air Bubble</v>
      </c>
      <c r="BR1241" s="1">
        <v>1295</v>
      </c>
      <c r="BS1241" s="1" t="s">
        <v>104</v>
      </c>
      <c r="BX1241" s="1">
        <v>0</v>
      </c>
      <c r="BY1241" s="1" t="s">
        <v>104</v>
      </c>
      <c r="BZ1241" s="1" t="s">
        <v>104</v>
      </c>
      <c r="CA1241" s="1">
        <v>1</v>
      </c>
      <c r="CB1241" s="1" t="s">
        <v>104</v>
      </c>
      <c r="CC1241" s="1" t="s">
        <v>104</v>
      </c>
      <c r="CD1241" s="1" t="s">
        <v>104</v>
      </c>
      <c r="CE1241" s="1" t="s">
        <v>104</v>
      </c>
      <c r="CF1241" s="1" t="s">
        <v>104</v>
      </c>
      <c r="CG1241" s="1" t="s">
        <v>104</v>
      </c>
      <c r="CH1241" s="1">
        <v>1</v>
      </c>
      <c r="CJ1241" s="1">
        <v>0</v>
      </c>
      <c r="CK1241" s="1">
        <v>0</v>
      </c>
      <c r="CL1241" s="1">
        <v>0</v>
      </c>
      <c r="CM1241" s="1" t="s">
        <v>104</v>
      </c>
    </row>
    <row r="1242" spans="1:91" ht="14.25" customHeight="1" x14ac:dyDescent="0.3">
      <c r="A1242" s="1" t="s">
        <v>7330</v>
      </c>
      <c r="B1242" s="1" t="s">
        <v>137</v>
      </c>
      <c r="D1242" s="1" t="s">
        <v>44</v>
      </c>
      <c r="E1242" s="1" t="s">
        <v>7331</v>
      </c>
      <c r="F1242" s="1" t="s">
        <v>95</v>
      </c>
      <c r="G1242" s="1" t="s">
        <v>127</v>
      </c>
      <c r="H1242" s="1">
        <v>0</v>
      </c>
      <c r="I1242" s="1" t="s">
        <v>128</v>
      </c>
      <c r="L1242" s="1" t="s">
        <v>7332</v>
      </c>
      <c r="M1242" s="1" t="s">
        <v>140</v>
      </c>
      <c r="N1242" s="1">
        <v>0</v>
      </c>
      <c r="O1242" s="1">
        <v>0</v>
      </c>
      <c r="P1242" s="1" t="s">
        <v>100</v>
      </c>
      <c r="Q1242" s="1" t="s">
        <v>131</v>
      </c>
      <c r="R1242" s="1" t="s">
        <v>7333</v>
      </c>
      <c r="S1242" s="1" t="s">
        <v>7302</v>
      </c>
      <c r="T1242" s="1">
        <v>1</v>
      </c>
      <c r="U1242" s="1">
        <v>1</v>
      </c>
      <c r="V1242" s="1">
        <v>0</v>
      </c>
      <c r="W1242" s="1">
        <v>0</v>
      </c>
      <c r="X1242" s="1">
        <v>1</v>
      </c>
      <c r="Y1242" s="1" t="s">
        <v>104</v>
      </c>
      <c r="Z1242" s="1" t="s">
        <v>104</v>
      </c>
      <c r="AA1242" s="1">
        <v>5</v>
      </c>
      <c r="AB1242" s="1">
        <v>5</v>
      </c>
      <c r="AC1242" s="1" t="s">
        <v>104</v>
      </c>
      <c r="AD1242" s="1" t="s">
        <v>104</v>
      </c>
      <c r="AE1242" s="1" t="s">
        <v>104</v>
      </c>
      <c r="AF1242" s="1">
        <v>5</v>
      </c>
      <c r="AG1242" s="1" t="s">
        <v>104</v>
      </c>
      <c r="AH1242" s="1" t="s">
        <v>104</v>
      </c>
      <c r="AI1242" s="1" t="s">
        <v>104</v>
      </c>
      <c r="AJ1242" s="1">
        <v>5</v>
      </c>
      <c r="AK1242" s="1" t="s">
        <v>104</v>
      </c>
      <c r="AL1242" s="1" t="s">
        <v>104</v>
      </c>
      <c r="AM1242" s="1" t="s">
        <v>104</v>
      </c>
      <c r="AO1242" s="1">
        <v>5</v>
      </c>
      <c r="AQ1242" s="1" t="s">
        <v>7334</v>
      </c>
      <c r="AR1242" s="1">
        <v>0</v>
      </c>
      <c r="AS1242" s="1">
        <v>1</v>
      </c>
      <c r="AT1242" s="1">
        <v>0</v>
      </c>
      <c r="AU1242" s="1">
        <v>0</v>
      </c>
      <c r="AV1242" s="1">
        <v>0</v>
      </c>
      <c r="AW1242" s="1">
        <v>0</v>
      </c>
      <c r="AX1242" s="1">
        <v>0</v>
      </c>
      <c r="AY1242" s="1">
        <v>0</v>
      </c>
      <c r="AZ1242" s="1">
        <v>0</v>
      </c>
      <c r="BA1242" s="1">
        <v>0</v>
      </c>
      <c r="BB1242" s="1">
        <v>0</v>
      </c>
      <c r="BC1242" s="1">
        <v>0</v>
      </c>
      <c r="BD1242" s="1">
        <v>0</v>
      </c>
      <c r="BE1242" s="1">
        <v>0</v>
      </c>
      <c r="BF1242" s="1">
        <v>0</v>
      </c>
      <c r="BG1242" s="1">
        <v>0</v>
      </c>
      <c r="BH1242" s="1">
        <v>0</v>
      </c>
      <c r="BI1242" s="1">
        <v>0</v>
      </c>
      <c r="BJ1242" s="1">
        <v>0</v>
      </c>
      <c r="BK1242" s="1">
        <v>0</v>
      </c>
      <c r="BL1242" s="1">
        <v>0</v>
      </c>
      <c r="BM1242" s="1">
        <v>0</v>
      </c>
      <c r="BN1242" s="1">
        <v>0</v>
      </c>
      <c r="BO1242" s="1">
        <v>0</v>
      </c>
      <c r="BP1242" s="1">
        <v>0</v>
      </c>
      <c r="BQ1242" s="2" t="str">
        <f>HYPERLINK("http://www.d20pfsrd.com/magic/all-spells/a/air-walk#TOC-Air-Walk-Communal","Air Walk, Communal")</f>
        <v>Air Walk, Communal</v>
      </c>
      <c r="BR1242" s="1">
        <v>1296</v>
      </c>
      <c r="BS1242" s="1" t="s">
        <v>104</v>
      </c>
      <c r="BX1242" s="1">
        <v>0</v>
      </c>
      <c r="BY1242" s="1" t="s">
        <v>104</v>
      </c>
      <c r="BZ1242" s="1" t="s">
        <v>104</v>
      </c>
      <c r="CA1242" s="1" t="s">
        <v>104</v>
      </c>
      <c r="CB1242" s="1" t="s">
        <v>104</v>
      </c>
      <c r="CC1242" s="1" t="s">
        <v>104</v>
      </c>
      <c r="CD1242" s="1">
        <v>5</v>
      </c>
      <c r="CE1242" s="1" t="s">
        <v>104</v>
      </c>
      <c r="CF1242" s="1" t="s">
        <v>104</v>
      </c>
      <c r="CG1242" s="1" t="s">
        <v>104</v>
      </c>
      <c r="CH1242" s="1">
        <v>5</v>
      </c>
      <c r="CJ1242" s="1">
        <v>0</v>
      </c>
      <c r="CK1242" s="1">
        <v>0</v>
      </c>
      <c r="CL1242" s="1">
        <v>0</v>
      </c>
      <c r="CM1242" s="1" t="s">
        <v>104</v>
      </c>
    </row>
    <row r="1243" spans="1:91" ht="14.25" customHeight="1" x14ac:dyDescent="0.3">
      <c r="A1243" s="1" t="s">
        <v>7335</v>
      </c>
      <c r="B1243" s="1" t="s">
        <v>137</v>
      </c>
      <c r="C1243" s="1" t="s">
        <v>154</v>
      </c>
      <c r="E1243" s="1" t="s">
        <v>7336</v>
      </c>
      <c r="F1243" s="1" t="s">
        <v>95</v>
      </c>
      <c r="G1243" s="1" t="s">
        <v>7337</v>
      </c>
      <c r="H1243" s="1">
        <v>0</v>
      </c>
      <c r="I1243" s="1" t="s">
        <v>157</v>
      </c>
      <c r="L1243" s="1" t="s">
        <v>158</v>
      </c>
      <c r="M1243" s="1" t="s">
        <v>4641</v>
      </c>
      <c r="N1243" s="1">
        <v>1</v>
      </c>
      <c r="O1243" s="1">
        <v>0</v>
      </c>
      <c r="P1243" s="1" t="s">
        <v>100</v>
      </c>
      <c r="Q1243" s="1" t="s">
        <v>131</v>
      </c>
      <c r="R1243" s="1" t="s">
        <v>7338</v>
      </c>
      <c r="S1243" s="1" t="s">
        <v>7302</v>
      </c>
      <c r="T1243" s="1">
        <v>1</v>
      </c>
      <c r="U1243" s="1">
        <v>1</v>
      </c>
      <c r="V1243" s="1">
        <v>1</v>
      </c>
      <c r="W1243" s="1">
        <v>0</v>
      </c>
      <c r="X1243" s="1">
        <v>1</v>
      </c>
      <c r="Y1243" s="1">
        <v>2</v>
      </c>
      <c r="Z1243" s="1">
        <v>2</v>
      </c>
      <c r="AA1243" s="1" t="s">
        <v>104</v>
      </c>
      <c r="AB1243" s="1">
        <v>2</v>
      </c>
      <c r="AC1243" s="1">
        <v>2</v>
      </c>
      <c r="AD1243" s="1" t="s">
        <v>104</v>
      </c>
      <c r="AE1243" s="1" t="s">
        <v>104</v>
      </c>
      <c r="AF1243" s="1">
        <v>2</v>
      </c>
      <c r="AG1243" s="1" t="s">
        <v>104</v>
      </c>
      <c r="AH1243" s="1" t="s">
        <v>104</v>
      </c>
      <c r="AI1243" s="1" t="s">
        <v>104</v>
      </c>
      <c r="AJ1243" s="1" t="s">
        <v>104</v>
      </c>
      <c r="AK1243" s="1" t="s">
        <v>104</v>
      </c>
      <c r="AL1243" s="1">
        <v>2</v>
      </c>
      <c r="AM1243" s="1" t="s">
        <v>104</v>
      </c>
      <c r="AO1243" s="1">
        <v>2</v>
      </c>
      <c r="AQ1243" s="1" t="s">
        <v>7339</v>
      </c>
      <c r="AR1243" s="1">
        <v>0</v>
      </c>
      <c r="AS1243" s="1">
        <v>0</v>
      </c>
      <c r="AT1243" s="1">
        <v>0</v>
      </c>
      <c r="AU1243" s="1">
        <v>0</v>
      </c>
      <c r="AV1243" s="1">
        <v>0</v>
      </c>
      <c r="AW1243" s="1">
        <v>0</v>
      </c>
      <c r="AX1243" s="1">
        <v>0</v>
      </c>
      <c r="AY1243" s="1">
        <v>0</v>
      </c>
      <c r="AZ1243" s="1">
        <v>0</v>
      </c>
      <c r="BA1243" s="1">
        <v>0</v>
      </c>
      <c r="BB1243" s="1">
        <v>0</v>
      </c>
      <c r="BC1243" s="1">
        <v>0</v>
      </c>
      <c r="BD1243" s="1">
        <v>0</v>
      </c>
      <c r="BE1243" s="1">
        <v>0</v>
      </c>
      <c r="BF1243" s="1">
        <v>0</v>
      </c>
      <c r="BG1243" s="1">
        <v>0</v>
      </c>
      <c r="BH1243" s="1">
        <v>0</v>
      </c>
      <c r="BI1243" s="1">
        <v>0</v>
      </c>
      <c r="BJ1243" s="1">
        <v>0</v>
      </c>
      <c r="BK1243" s="1">
        <v>0</v>
      </c>
      <c r="BL1243" s="1">
        <v>0</v>
      </c>
      <c r="BM1243" s="1">
        <v>0</v>
      </c>
      <c r="BN1243" s="1">
        <v>0</v>
      </c>
      <c r="BO1243" s="1">
        <v>0</v>
      </c>
      <c r="BP1243" s="1">
        <v>0</v>
      </c>
      <c r="BQ1243" s="2" t="str">
        <f>HYPERLINK("http://www.d20pfsrd.com/magic/all-spells/a/animal-aspect","Animal Aspect")</f>
        <v>Animal Aspect</v>
      </c>
      <c r="BR1243" s="1">
        <v>1297</v>
      </c>
      <c r="BS1243" s="1" t="s">
        <v>104</v>
      </c>
      <c r="BV1243" s="1" t="s">
        <v>7340</v>
      </c>
      <c r="BX1243" s="1">
        <v>1</v>
      </c>
      <c r="BY1243" s="1">
        <v>2</v>
      </c>
      <c r="BZ1243" s="1" t="s">
        <v>104</v>
      </c>
      <c r="CA1243" s="1">
        <v>2</v>
      </c>
      <c r="CB1243" s="1" t="s">
        <v>104</v>
      </c>
      <c r="CC1243" s="1" t="s">
        <v>104</v>
      </c>
      <c r="CD1243" s="1" t="s">
        <v>104</v>
      </c>
      <c r="CE1243" s="1" t="s">
        <v>104</v>
      </c>
      <c r="CF1243" s="1" t="s">
        <v>104</v>
      </c>
      <c r="CG1243" s="1" t="s">
        <v>104</v>
      </c>
      <c r="CH1243" s="1">
        <v>2</v>
      </c>
      <c r="CJ1243" s="1">
        <v>0</v>
      </c>
      <c r="CK1243" s="1">
        <v>0</v>
      </c>
      <c r="CL1243" s="1">
        <v>0</v>
      </c>
      <c r="CM1243" s="1" t="s">
        <v>104</v>
      </c>
    </row>
    <row r="1244" spans="1:91" ht="14.25" customHeight="1" x14ac:dyDescent="0.3">
      <c r="A1244" s="1" t="s">
        <v>7341</v>
      </c>
      <c r="B1244" s="1" t="s">
        <v>137</v>
      </c>
      <c r="C1244" s="1" t="s">
        <v>154</v>
      </c>
      <c r="E1244" s="1" t="s">
        <v>7342</v>
      </c>
      <c r="F1244" s="1" t="s">
        <v>95</v>
      </c>
      <c r="G1244" s="1" t="s">
        <v>7337</v>
      </c>
      <c r="H1244" s="1">
        <v>0</v>
      </c>
      <c r="I1244" s="1" t="s">
        <v>157</v>
      </c>
      <c r="L1244" s="1" t="s">
        <v>158</v>
      </c>
      <c r="M1244" s="1" t="s">
        <v>4641</v>
      </c>
      <c r="N1244" s="1">
        <v>1</v>
      </c>
      <c r="O1244" s="1">
        <v>0</v>
      </c>
      <c r="P1244" s="1" t="s">
        <v>100</v>
      </c>
      <c r="Q1244" s="1" t="s">
        <v>131</v>
      </c>
      <c r="R1244" s="1" t="s">
        <v>7343</v>
      </c>
      <c r="S1244" s="1" t="s">
        <v>7302</v>
      </c>
      <c r="T1244" s="1">
        <v>1</v>
      </c>
      <c r="U1244" s="1">
        <v>1</v>
      </c>
      <c r="V1244" s="1">
        <v>1</v>
      </c>
      <c r="W1244" s="1">
        <v>0</v>
      </c>
      <c r="X1244" s="1">
        <v>1</v>
      </c>
      <c r="Y1244" s="1">
        <v>4</v>
      </c>
      <c r="Z1244" s="1">
        <v>4</v>
      </c>
      <c r="AA1244" s="1" t="s">
        <v>104</v>
      </c>
      <c r="AB1244" s="1">
        <v>3</v>
      </c>
      <c r="AC1244" s="1">
        <v>3</v>
      </c>
      <c r="AD1244" s="1" t="s">
        <v>104</v>
      </c>
      <c r="AE1244" s="1" t="s">
        <v>104</v>
      </c>
      <c r="AF1244" s="1">
        <v>3</v>
      </c>
      <c r="AG1244" s="1" t="s">
        <v>104</v>
      </c>
      <c r="AH1244" s="1" t="s">
        <v>104</v>
      </c>
      <c r="AI1244" s="1" t="s">
        <v>104</v>
      </c>
      <c r="AJ1244" s="1" t="s">
        <v>104</v>
      </c>
      <c r="AK1244" s="1" t="s">
        <v>104</v>
      </c>
      <c r="AL1244" s="1">
        <v>3</v>
      </c>
      <c r="AM1244" s="1" t="s">
        <v>104</v>
      </c>
      <c r="AO1244" s="1">
        <v>4</v>
      </c>
      <c r="AP1244" s="1" t="s">
        <v>7344</v>
      </c>
      <c r="AQ1244" s="1" t="s">
        <v>7345</v>
      </c>
      <c r="AR1244" s="1">
        <v>0</v>
      </c>
      <c r="AS1244" s="1">
        <v>0</v>
      </c>
      <c r="AT1244" s="1">
        <v>0</v>
      </c>
      <c r="AU1244" s="1">
        <v>0</v>
      </c>
      <c r="AV1244" s="1">
        <v>0</v>
      </c>
      <c r="AW1244" s="1">
        <v>0</v>
      </c>
      <c r="AX1244" s="1">
        <v>0</v>
      </c>
      <c r="AY1244" s="1">
        <v>0</v>
      </c>
      <c r="AZ1244" s="1">
        <v>0</v>
      </c>
      <c r="BA1244" s="1">
        <v>0</v>
      </c>
      <c r="BB1244" s="1">
        <v>0</v>
      </c>
      <c r="BC1244" s="1">
        <v>0</v>
      </c>
      <c r="BD1244" s="1">
        <v>0</v>
      </c>
      <c r="BE1244" s="1">
        <v>0</v>
      </c>
      <c r="BF1244" s="1">
        <v>0</v>
      </c>
      <c r="BG1244" s="1">
        <v>0</v>
      </c>
      <c r="BH1244" s="1">
        <v>0</v>
      </c>
      <c r="BI1244" s="1">
        <v>0</v>
      </c>
      <c r="BJ1244" s="1">
        <v>0</v>
      </c>
      <c r="BK1244" s="1">
        <v>0</v>
      </c>
      <c r="BL1244" s="1">
        <v>0</v>
      </c>
      <c r="BM1244" s="1">
        <v>0</v>
      </c>
      <c r="BN1244" s="1">
        <v>0</v>
      </c>
      <c r="BO1244" s="1">
        <v>0</v>
      </c>
      <c r="BP1244" s="1">
        <v>0</v>
      </c>
      <c r="BQ1244" s="2" t="str">
        <f>HYPERLINK("http://www.d20pfsrd.com/magic/all-spells/a/animal-aspect#TOC-Animal-Aspect-Greater","Animal Aspect, Greater")</f>
        <v>Animal Aspect, Greater</v>
      </c>
      <c r="BR1244" s="1">
        <v>1298</v>
      </c>
      <c r="BS1244" s="1" t="s">
        <v>104</v>
      </c>
      <c r="BX1244" s="1">
        <v>0</v>
      </c>
      <c r="BY1244" s="1">
        <v>3</v>
      </c>
      <c r="BZ1244" s="1" t="s">
        <v>104</v>
      </c>
      <c r="CA1244" s="1">
        <v>4</v>
      </c>
      <c r="CB1244" s="1" t="s">
        <v>104</v>
      </c>
      <c r="CC1244" s="1" t="s">
        <v>104</v>
      </c>
      <c r="CD1244" s="1" t="s">
        <v>104</v>
      </c>
      <c r="CE1244" s="1" t="s">
        <v>104</v>
      </c>
      <c r="CF1244" s="1" t="s">
        <v>104</v>
      </c>
      <c r="CG1244" s="1" t="s">
        <v>104</v>
      </c>
      <c r="CH1244" s="1">
        <v>3</v>
      </c>
      <c r="CJ1244" s="1">
        <v>0</v>
      </c>
      <c r="CK1244" s="1">
        <v>0</v>
      </c>
      <c r="CL1244" s="1">
        <v>0</v>
      </c>
      <c r="CM1244" s="1" t="s">
        <v>104</v>
      </c>
    </row>
    <row r="1245" spans="1:91" ht="14.25" customHeight="1" x14ac:dyDescent="0.3">
      <c r="A1245" s="1" t="s">
        <v>7346</v>
      </c>
      <c r="B1245" s="1" t="s">
        <v>137</v>
      </c>
      <c r="E1245" s="1" t="s">
        <v>7347</v>
      </c>
      <c r="F1245" s="1" t="s">
        <v>95</v>
      </c>
      <c r="G1245" s="1" t="s">
        <v>4437</v>
      </c>
      <c r="H1245" s="1">
        <v>0</v>
      </c>
      <c r="I1245" s="1" t="s">
        <v>128</v>
      </c>
      <c r="L1245" s="1" t="s">
        <v>7332</v>
      </c>
      <c r="M1245" s="1" t="s">
        <v>166</v>
      </c>
      <c r="N1245" s="1">
        <v>0</v>
      </c>
      <c r="O1245" s="1">
        <v>0</v>
      </c>
      <c r="P1245" s="1" t="s">
        <v>1058</v>
      </c>
      <c r="Q1245" s="1" t="s">
        <v>131</v>
      </c>
      <c r="R1245" s="1" t="s">
        <v>7348</v>
      </c>
      <c r="S1245" s="1" t="s">
        <v>7302</v>
      </c>
      <c r="T1245" s="1">
        <v>1</v>
      </c>
      <c r="U1245" s="1">
        <v>1</v>
      </c>
      <c r="V1245" s="1">
        <v>1</v>
      </c>
      <c r="W1245" s="1">
        <v>0</v>
      </c>
      <c r="X1245" s="1">
        <v>1</v>
      </c>
      <c r="Y1245" s="1">
        <v>2</v>
      </c>
      <c r="Z1245" s="1">
        <v>2</v>
      </c>
      <c r="AA1245" s="1">
        <v>2</v>
      </c>
      <c r="AB1245" s="1">
        <v>2</v>
      </c>
      <c r="AC1245" s="1">
        <v>2</v>
      </c>
      <c r="AD1245" s="1" t="s">
        <v>104</v>
      </c>
      <c r="AE1245" s="1" t="s">
        <v>104</v>
      </c>
      <c r="AF1245" s="1">
        <v>2</v>
      </c>
      <c r="AG1245" s="1">
        <v>2</v>
      </c>
      <c r="AH1245" s="1" t="s">
        <v>104</v>
      </c>
      <c r="AI1245" s="1" t="s">
        <v>104</v>
      </c>
      <c r="AJ1245" s="1">
        <v>2</v>
      </c>
      <c r="AK1245" s="1" t="s">
        <v>104</v>
      </c>
      <c r="AL1245" s="1" t="s">
        <v>104</v>
      </c>
      <c r="AM1245" s="1" t="s">
        <v>104</v>
      </c>
      <c r="AO1245" s="1">
        <v>2</v>
      </c>
      <c r="AQ1245" s="1" t="s">
        <v>7349</v>
      </c>
      <c r="AR1245" s="1">
        <v>0</v>
      </c>
      <c r="AS1245" s="1">
        <v>0</v>
      </c>
      <c r="AT1245" s="1">
        <v>0</v>
      </c>
      <c r="AU1245" s="1">
        <v>0</v>
      </c>
      <c r="AV1245" s="1">
        <v>0</v>
      </c>
      <c r="AW1245" s="1">
        <v>0</v>
      </c>
      <c r="AX1245" s="1">
        <v>0</v>
      </c>
      <c r="AY1245" s="1">
        <v>0</v>
      </c>
      <c r="AZ1245" s="1">
        <v>0</v>
      </c>
      <c r="BA1245" s="1">
        <v>0</v>
      </c>
      <c r="BB1245" s="1">
        <v>0</v>
      </c>
      <c r="BC1245" s="1">
        <v>0</v>
      </c>
      <c r="BD1245" s="1">
        <v>0</v>
      </c>
      <c r="BE1245" s="1">
        <v>0</v>
      </c>
      <c r="BF1245" s="1">
        <v>0</v>
      </c>
      <c r="BG1245" s="1">
        <v>0</v>
      </c>
      <c r="BH1245" s="1">
        <v>0</v>
      </c>
      <c r="BI1245" s="1">
        <v>0</v>
      </c>
      <c r="BJ1245" s="1">
        <v>0</v>
      </c>
      <c r="BK1245" s="1">
        <v>0</v>
      </c>
      <c r="BL1245" s="1">
        <v>0</v>
      </c>
      <c r="BM1245" s="1">
        <v>0</v>
      </c>
      <c r="BN1245" s="1">
        <v>0</v>
      </c>
      <c r="BO1245" s="1">
        <v>0</v>
      </c>
      <c r="BP1245" s="1">
        <v>0</v>
      </c>
      <c r="BQ1245" s="2" t="str">
        <f>HYPERLINK("http://www.d20pfsrd.com/magic/all-spells/a/ant-haul#TOC-Ant-Haul-Communal","Ant Haul, Communal")</f>
        <v>Ant Haul, Communal</v>
      </c>
      <c r="BR1245" s="1">
        <v>1299</v>
      </c>
      <c r="BS1245" s="1" t="s">
        <v>104</v>
      </c>
      <c r="BX1245" s="1">
        <v>0</v>
      </c>
      <c r="BY1245" s="1" t="s">
        <v>104</v>
      </c>
      <c r="BZ1245" s="1" t="s">
        <v>104</v>
      </c>
      <c r="CA1245" s="1">
        <v>2</v>
      </c>
      <c r="CB1245" s="1" t="s">
        <v>104</v>
      </c>
      <c r="CC1245" s="1" t="s">
        <v>104</v>
      </c>
      <c r="CD1245" s="1">
        <v>2</v>
      </c>
      <c r="CE1245" s="1" t="s">
        <v>104</v>
      </c>
      <c r="CF1245" s="1" t="s">
        <v>104</v>
      </c>
      <c r="CG1245" s="1" t="s">
        <v>104</v>
      </c>
      <c r="CH1245" s="1">
        <v>2</v>
      </c>
      <c r="CJ1245" s="1">
        <v>0</v>
      </c>
      <c r="CK1245" s="1">
        <v>0</v>
      </c>
      <c r="CL1245" s="1">
        <v>0</v>
      </c>
      <c r="CM1245" s="1">
        <v>2</v>
      </c>
    </row>
    <row r="1246" spans="1:91" ht="14.25" customHeight="1" x14ac:dyDescent="0.3">
      <c r="A1246" s="1" t="s">
        <v>7350</v>
      </c>
      <c r="B1246" s="1" t="s">
        <v>137</v>
      </c>
      <c r="E1246" s="1" t="s">
        <v>843</v>
      </c>
      <c r="F1246" s="1" t="s">
        <v>255</v>
      </c>
      <c r="G1246" s="1" t="s">
        <v>7351</v>
      </c>
      <c r="H1246" s="1">
        <v>1</v>
      </c>
      <c r="I1246" s="1" t="s">
        <v>117</v>
      </c>
      <c r="K1246" s="1" t="s">
        <v>7352</v>
      </c>
      <c r="M1246" s="1" t="s">
        <v>111</v>
      </c>
      <c r="N1246" s="1">
        <v>0</v>
      </c>
      <c r="O1246" s="1">
        <v>0</v>
      </c>
      <c r="P1246" s="1" t="s">
        <v>100</v>
      </c>
      <c r="Q1246" s="1" t="s">
        <v>101</v>
      </c>
      <c r="R1246" s="1" t="s">
        <v>7353</v>
      </c>
      <c r="S1246" s="1" t="s">
        <v>7302</v>
      </c>
      <c r="T1246" s="1">
        <v>1</v>
      </c>
      <c r="U1246" s="1">
        <v>1</v>
      </c>
      <c r="V1246" s="1">
        <v>0</v>
      </c>
      <c r="W1246" s="1">
        <v>0</v>
      </c>
      <c r="X1246" s="1">
        <v>0</v>
      </c>
      <c r="Y1246" s="1">
        <v>7</v>
      </c>
      <c r="Z1246" s="1">
        <v>7</v>
      </c>
      <c r="AA1246" s="1" t="s">
        <v>104</v>
      </c>
      <c r="AB1246" s="1" t="s">
        <v>104</v>
      </c>
      <c r="AC1246" s="1" t="s">
        <v>104</v>
      </c>
      <c r="AD1246" s="1" t="s">
        <v>104</v>
      </c>
      <c r="AE1246" s="1" t="s">
        <v>104</v>
      </c>
      <c r="AF1246" s="1" t="s">
        <v>104</v>
      </c>
      <c r="AG1246" s="1" t="s">
        <v>104</v>
      </c>
      <c r="AH1246" s="1" t="s">
        <v>104</v>
      </c>
      <c r="AI1246" s="1" t="s">
        <v>104</v>
      </c>
      <c r="AJ1246" s="1" t="s">
        <v>104</v>
      </c>
      <c r="AK1246" s="1" t="s">
        <v>104</v>
      </c>
      <c r="AL1246" s="1" t="s">
        <v>104</v>
      </c>
      <c r="AM1246" s="1" t="s">
        <v>104</v>
      </c>
      <c r="AO1246" s="1">
        <v>7</v>
      </c>
      <c r="AQ1246" s="1" t="s">
        <v>7354</v>
      </c>
      <c r="AR1246" s="1">
        <v>0</v>
      </c>
      <c r="AS1246" s="1">
        <v>0</v>
      </c>
      <c r="AT1246" s="1">
        <v>0</v>
      </c>
      <c r="AU1246" s="1">
        <v>0</v>
      </c>
      <c r="AV1246" s="1">
        <v>0</v>
      </c>
      <c r="AW1246" s="1">
        <v>0</v>
      </c>
      <c r="AX1246" s="1">
        <v>0</v>
      </c>
      <c r="AY1246" s="1">
        <v>0</v>
      </c>
      <c r="AZ1246" s="1">
        <v>0</v>
      </c>
      <c r="BA1246" s="1">
        <v>0</v>
      </c>
      <c r="BB1246" s="1">
        <v>0</v>
      </c>
      <c r="BC1246" s="1">
        <v>0</v>
      </c>
      <c r="BD1246" s="1">
        <v>0</v>
      </c>
      <c r="BE1246" s="1">
        <v>0</v>
      </c>
      <c r="BF1246" s="1">
        <v>0</v>
      </c>
      <c r="BG1246" s="1">
        <v>0</v>
      </c>
      <c r="BH1246" s="1">
        <v>0</v>
      </c>
      <c r="BI1246" s="1">
        <v>0</v>
      </c>
      <c r="BJ1246" s="1">
        <v>0</v>
      </c>
      <c r="BK1246" s="1">
        <v>0</v>
      </c>
      <c r="BL1246" s="1">
        <v>0</v>
      </c>
      <c r="BM1246" s="1">
        <v>0</v>
      </c>
      <c r="BN1246" s="1">
        <v>0</v>
      </c>
      <c r="BO1246" s="1">
        <v>0</v>
      </c>
      <c r="BP1246" s="1">
        <v>0</v>
      </c>
      <c r="BQ1246" s="2" t="str">
        <f>HYPERLINK("http://www.d20pfsrd.com/magic/all-spells/a/arcane-cannon","Arcane Cannon")</f>
        <v>Arcane Cannon</v>
      </c>
      <c r="BR1246" s="1">
        <v>1300</v>
      </c>
      <c r="BS1246" s="1">
        <v>5000</v>
      </c>
      <c r="BX1246" s="1">
        <v>0</v>
      </c>
      <c r="BY1246" s="1" t="s">
        <v>104</v>
      </c>
      <c r="BZ1246" s="1" t="s">
        <v>104</v>
      </c>
      <c r="CA1246" s="1" t="s">
        <v>104</v>
      </c>
      <c r="CB1246" s="1" t="s">
        <v>104</v>
      </c>
      <c r="CC1246" s="1" t="s">
        <v>104</v>
      </c>
      <c r="CD1246" s="1" t="s">
        <v>104</v>
      </c>
      <c r="CE1246" s="1" t="s">
        <v>104</v>
      </c>
      <c r="CF1246" s="1" t="s">
        <v>104</v>
      </c>
      <c r="CG1246" s="1" t="s">
        <v>104</v>
      </c>
      <c r="CH1246" s="1" t="s">
        <v>104</v>
      </c>
      <c r="CJ1246" s="1">
        <v>0</v>
      </c>
      <c r="CK1246" s="1">
        <v>0</v>
      </c>
      <c r="CL1246" s="1">
        <v>0</v>
      </c>
      <c r="CM1246" s="1" t="s">
        <v>104</v>
      </c>
    </row>
    <row r="1247" spans="1:91" ht="14.25" customHeight="1" x14ac:dyDescent="0.3">
      <c r="A1247" s="1" t="s">
        <v>7355</v>
      </c>
      <c r="B1247" s="1" t="s">
        <v>123</v>
      </c>
      <c r="C1247" s="1" t="s">
        <v>124</v>
      </c>
      <c r="D1247" s="1" t="s">
        <v>125</v>
      </c>
      <c r="E1247" s="1" t="s">
        <v>7356</v>
      </c>
      <c r="F1247" s="1" t="s">
        <v>95</v>
      </c>
      <c r="G1247" s="1" t="s">
        <v>7357</v>
      </c>
      <c r="H1247" s="1">
        <v>0</v>
      </c>
      <c r="I1247" s="1" t="s">
        <v>117</v>
      </c>
      <c r="L1247" s="1" t="s">
        <v>1065</v>
      </c>
      <c r="M1247" s="1" t="s">
        <v>2330</v>
      </c>
      <c r="N1247" s="1">
        <v>0</v>
      </c>
      <c r="O1247" s="1">
        <v>0</v>
      </c>
      <c r="P1247" s="1" t="s">
        <v>375</v>
      </c>
      <c r="Q1247" s="1" t="s">
        <v>131</v>
      </c>
      <c r="R1247" s="1" t="s">
        <v>7358</v>
      </c>
      <c r="S1247" s="1" t="s">
        <v>7302</v>
      </c>
      <c r="T1247" s="1">
        <v>1</v>
      </c>
      <c r="U1247" s="1">
        <v>1</v>
      </c>
      <c r="V1247" s="1">
        <v>1</v>
      </c>
      <c r="W1247" s="1">
        <v>0</v>
      </c>
      <c r="X1247" s="1">
        <v>0</v>
      </c>
      <c r="Y1247" s="1">
        <v>2</v>
      </c>
      <c r="Z1247" s="1">
        <v>2</v>
      </c>
      <c r="AA1247" s="1">
        <v>2</v>
      </c>
      <c r="AB1247" s="1" t="s">
        <v>104</v>
      </c>
      <c r="AC1247" s="1" t="s">
        <v>104</v>
      </c>
      <c r="AD1247" s="1" t="s">
        <v>104</v>
      </c>
      <c r="AE1247" s="1">
        <v>2</v>
      </c>
      <c r="AF1247" s="1">
        <v>2</v>
      </c>
      <c r="AG1247" s="1" t="s">
        <v>104</v>
      </c>
      <c r="AH1247" s="1">
        <v>2</v>
      </c>
      <c r="AI1247" s="1">
        <v>2</v>
      </c>
      <c r="AJ1247" s="1">
        <v>2</v>
      </c>
      <c r="AK1247" s="1">
        <v>2</v>
      </c>
      <c r="AL1247" s="1">
        <v>2</v>
      </c>
      <c r="AM1247" s="1" t="s">
        <v>104</v>
      </c>
      <c r="AO1247" s="1">
        <v>2</v>
      </c>
      <c r="AQ1247" s="1" t="s">
        <v>7359</v>
      </c>
      <c r="AR1247" s="1">
        <v>0</v>
      </c>
      <c r="AS1247" s="1">
        <v>0</v>
      </c>
      <c r="AT1247" s="1">
        <v>0</v>
      </c>
      <c r="AU1247" s="1">
        <v>0</v>
      </c>
      <c r="AV1247" s="1">
        <v>0</v>
      </c>
      <c r="AW1247" s="1">
        <v>0</v>
      </c>
      <c r="AX1247" s="1">
        <v>0</v>
      </c>
      <c r="AY1247" s="1">
        <v>0</v>
      </c>
      <c r="AZ1247" s="1">
        <v>0</v>
      </c>
      <c r="BA1247" s="1">
        <v>0</v>
      </c>
      <c r="BB1247" s="1">
        <v>0</v>
      </c>
      <c r="BC1247" s="1">
        <v>0</v>
      </c>
      <c r="BD1247" s="1">
        <v>0</v>
      </c>
      <c r="BE1247" s="1">
        <v>0</v>
      </c>
      <c r="BF1247" s="1">
        <v>0</v>
      </c>
      <c r="BG1247" s="1">
        <v>0</v>
      </c>
      <c r="BH1247" s="1">
        <v>0</v>
      </c>
      <c r="BI1247" s="1">
        <v>0</v>
      </c>
      <c r="BJ1247" s="1">
        <v>0</v>
      </c>
      <c r="BK1247" s="1">
        <v>1</v>
      </c>
      <c r="BL1247" s="1">
        <v>0</v>
      </c>
      <c r="BM1247" s="1">
        <v>0</v>
      </c>
      <c r="BN1247" s="1">
        <v>0</v>
      </c>
      <c r="BO1247" s="1">
        <v>0</v>
      </c>
      <c r="BP1247" s="1">
        <v>0</v>
      </c>
      <c r="BQ1247" s="2" t="str">
        <f>HYPERLINK("http://www.d20pfsrd.com/magic/all-spells/b/bestow-weapon-proficiency","Bestow Weapon Proficiency")</f>
        <v>Bestow Weapon Proficiency</v>
      </c>
      <c r="BR1247" s="1">
        <v>1301</v>
      </c>
      <c r="BS1247" s="1" t="s">
        <v>104</v>
      </c>
      <c r="BX1247" s="1">
        <v>0</v>
      </c>
      <c r="BY1247" s="1" t="s">
        <v>104</v>
      </c>
      <c r="BZ1247" s="1" t="s">
        <v>104</v>
      </c>
      <c r="CA1247" s="1">
        <v>2</v>
      </c>
      <c r="CB1247" s="1">
        <v>2</v>
      </c>
      <c r="CC1247" s="1" t="s">
        <v>104</v>
      </c>
      <c r="CD1247" s="1">
        <v>2</v>
      </c>
      <c r="CE1247" s="1" t="s">
        <v>104</v>
      </c>
      <c r="CF1247" s="1" t="s">
        <v>104</v>
      </c>
      <c r="CG1247" s="1" t="s">
        <v>104</v>
      </c>
      <c r="CH1247" s="1" t="s">
        <v>104</v>
      </c>
      <c r="CJ1247" s="1">
        <v>0</v>
      </c>
      <c r="CK1247" s="1">
        <v>0</v>
      </c>
      <c r="CL1247" s="1">
        <v>0</v>
      </c>
      <c r="CM1247" s="1" t="s">
        <v>104</v>
      </c>
    </row>
    <row r="1248" spans="1:91" ht="14.25" customHeight="1" x14ac:dyDescent="0.3">
      <c r="A1248" s="1" t="s">
        <v>7360</v>
      </c>
      <c r="B1248" s="1" t="s">
        <v>434</v>
      </c>
      <c r="D1248" s="1" t="s">
        <v>7361</v>
      </c>
      <c r="E1248" s="1" t="s">
        <v>7362</v>
      </c>
      <c r="F1248" s="1" t="s">
        <v>95</v>
      </c>
      <c r="G1248" s="1" t="s">
        <v>116</v>
      </c>
      <c r="H1248" s="1">
        <v>0</v>
      </c>
      <c r="I1248" s="1" t="s">
        <v>157</v>
      </c>
      <c r="J1248" s="1" t="s">
        <v>7363</v>
      </c>
      <c r="M1248" s="1" t="s">
        <v>119</v>
      </c>
      <c r="N1248" s="1">
        <v>0</v>
      </c>
      <c r="O1248" s="1">
        <v>0</v>
      </c>
      <c r="P1248" s="1" t="s">
        <v>4649</v>
      </c>
      <c r="Q1248" s="1" t="s">
        <v>7364</v>
      </c>
      <c r="R1248" s="1" t="s">
        <v>7365</v>
      </c>
      <c r="S1248" s="1" t="s">
        <v>7302</v>
      </c>
      <c r="T1248" s="1">
        <v>1</v>
      </c>
      <c r="U1248" s="1">
        <v>1</v>
      </c>
      <c r="V1248" s="1">
        <v>0</v>
      </c>
      <c r="W1248" s="1">
        <v>0</v>
      </c>
      <c r="X1248" s="1">
        <v>0</v>
      </c>
      <c r="Y1248" s="1" t="s">
        <v>104</v>
      </c>
      <c r="Z1248" s="1" t="s">
        <v>104</v>
      </c>
      <c r="AA1248" s="1" t="s">
        <v>104</v>
      </c>
      <c r="AB1248" s="1" t="s">
        <v>104</v>
      </c>
      <c r="AC1248" s="1" t="s">
        <v>104</v>
      </c>
      <c r="AD1248" s="1">
        <v>2</v>
      </c>
      <c r="AE1248" s="1" t="s">
        <v>104</v>
      </c>
      <c r="AF1248" s="1">
        <v>2</v>
      </c>
      <c r="AG1248" s="1" t="s">
        <v>104</v>
      </c>
      <c r="AH1248" s="1" t="s">
        <v>104</v>
      </c>
      <c r="AI1248" s="1">
        <v>2</v>
      </c>
      <c r="AJ1248" s="1" t="s">
        <v>104</v>
      </c>
      <c r="AK1248" s="1" t="s">
        <v>104</v>
      </c>
      <c r="AL1248" s="1" t="s">
        <v>104</v>
      </c>
      <c r="AM1248" s="1" t="s">
        <v>104</v>
      </c>
      <c r="AO1248" s="1">
        <v>2</v>
      </c>
      <c r="AQ1248" s="1" t="s">
        <v>7366</v>
      </c>
      <c r="AR1248" s="1">
        <v>0</v>
      </c>
      <c r="AS1248" s="1">
        <v>0</v>
      </c>
      <c r="AT1248" s="1">
        <v>0</v>
      </c>
      <c r="AU1248" s="1">
        <v>0</v>
      </c>
      <c r="AV1248" s="1">
        <v>0</v>
      </c>
      <c r="AW1248" s="1">
        <v>0</v>
      </c>
      <c r="AX1248" s="1">
        <v>0</v>
      </c>
      <c r="AY1248" s="1">
        <v>0</v>
      </c>
      <c r="AZ1248" s="1">
        <v>0</v>
      </c>
      <c r="BA1248" s="1">
        <v>0</v>
      </c>
      <c r="BB1248" s="1">
        <v>0</v>
      </c>
      <c r="BC1248" s="1">
        <v>0</v>
      </c>
      <c r="BD1248" s="1">
        <v>0</v>
      </c>
      <c r="BE1248" s="1">
        <v>1</v>
      </c>
      <c r="BF1248" s="1">
        <v>0</v>
      </c>
      <c r="BG1248" s="1">
        <v>0</v>
      </c>
      <c r="BH1248" s="1">
        <v>1</v>
      </c>
      <c r="BI1248" s="1">
        <v>0</v>
      </c>
      <c r="BJ1248" s="1">
        <v>0</v>
      </c>
      <c r="BK1248" s="1">
        <v>0</v>
      </c>
      <c r="BL1248" s="1">
        <v>0</v>
      </c>
      <c r="BM1248" s="1">
        <v>0</v>
      </c>
      <c r="BN1248" s="1">
        <v>0</v>
      </c>
      <c r="BO1248" s="1">
        <v>0</v>
      </c>
      <c r="BP1248" s="1">
        <v>0</v>
      </c>
      <c r="BQ1248" s="2" t="str">
        <f>HYPERLINK("http://www.d20pfsrd.com/magic/all-spells/b/blistering-invective","Blistering Invective")</f>
        <v>Blistering Invective</v>
      </c>
      <c r="BR1248" s="1">
        <v>1302</v>
      </c>
      <c r="BS1248" s="1" t="s">
        <v>104</v>
      </c>
      <c r="BV1248" s="1" t="s">
        <v>7367</v>
      </c>
      <c r="BW1248" s="1" t="s">
        <v>7368</v>
      </c>
      <c r="BX1248" s="1">
        <v>1</v>
      </c>
      <c r="BY1248" s="1" t="s">
        <v>104</v>
      </c>
      <c r="BZ1248" s="1" t="s">
        <v>104</v>
      </c>
      <c r="CA1248" s="1" t="s">
        <v>104</v>
      </c>
      <c r="CB1248" s="1" t="s">
        <v>104</v>
      </c>
      <c r="CC1248" s="1">
        <v>2</v>
      </c>
      <c r="CD1248" s="1" t="s">
        <v>104</v>
      </c>
      <c r="CE1248" s="1" t="s">
        <v>104</v>
      </c>
      <c r="CF1248" s="1" t="s">
        <v>104</v>
      </c>
      <c r="CG1248" s="1" t="s">
        <v>104</v>
      </c>
      <c r="CH1248" s="1" t="s">
        <v>104</v>
      </c>
      <c r="CJ1248" s="1">
        <v>0</v>
      </c>
      <c r="CK1248" s="1">
        <v>0</v>
      </c>
      <c r="CL1248" s="1">
        <v>0</v>
      </c>
      <c r="CM1248" s="1" t="s">
        <v>104</v>
      </c>
    </row>
    <row r="1249" spans="1:91" ht="14.25" customHeight="1" x14ac:dyDescent="0.3">
      <c r="A1249" s="1" t="s">
        <v>7369</v>
      </c>
      <c r="B1249" s="1" t="s">
        <v>137</v>
      </c>
      <c r="E1249" s="1" t="s">
        <v>7370</v>
      </c>
      <c r="F1249" s="1" t="s">
        <v>4934</v>
      </c>
      <c r="G1249" s="1" t="s">
        <v>237</v>
      </c>
      <c r="H1249" s="1">
        <v>0</v>
      </c>
      <c r="I1249" s="1" t="s">
        <v>157</v>
      </c>
      <c r="L1249" s="1" t="s">
        <v>7371</v>
      </c>
      <c r="M1249" s="1" t="s">
        <v>426</v>
      </c>
      <c r="N1249" s="1">
        <v>1</v>
      </c>
      <c r="O1249" s="1">
        <v>0</v>
      </c>
      <c r="P1249" s="1" t="s">
        <v>148</v>
      </c>
      <c r="Q1249" s="1" t="s">
        <v>149</v>
      </c>
      <c r="R1249" s="1" t="s">
        <v>7372</v>
      </c>
      <c r="S1249" s="1" t="s">
        <v>7302</v>
      </c>
      <c r="T1249" s="1">
        <v>1</v>
      </c>
      <c r="U1249" s="1">
        <v>0</v>
      </c>
      <c r="V1249" s="1">
        <v>0</v>
      </c>
      <c r="W1249" s="1">
        <v>0</v>
      </c>
      <c r="X1249" s="1">
        <v>0</v>
      </c>
      <c r="Y1249" s="1" t="s">
        <v>104</v>
      </c>
      <c r="Z1249" s="1" t="s">
        <v>104</v>
      </c>
      <c r="AA1249" s="1" t="s">
        <v>104</v>
      </c>
      <c r="AB1249" s="1" t="s">
        <v>104</v>
      </c>
      <c r="AC1249" s="1">
        <v>1</v>
      </c>
      <c r="AD1249" s="1" t="s">
        <v>104</v>
      </c>
      <c r="AE1249" s="1">
        <v>1</v>
      </c>
      <c r="AF1249" s="1" t="s">
        <v>104</v>
      </c>
      <c r="AG1249" s="1" t="s">
        <v>104</v>
      </c>
      <c r="AH1249" s="1" t="s">
        <v>104</v>
      </c>
      <c r="AI1249" s="1">
        <v>1</v>
      </c>
      <c r="AJ1249" s="1" t="s">
        <v>104</v>
      </c>
      <c r="AK1249" s="1" t="s">
        <v>104</v>
      </c>
      <c r="AL1249" s="1" t="s">
        <v>104</v>
      </c>
      <c r="AM1249" s="1" t="s">
        <v>104</v>
      </c>
      <c r="AO1249" s="1">
        <v>1</v>
      </c>
      <c r="AQ1249" s="1" t="s">
        <v>7373</v>
      </c>
      <c r="AR1249" s="1">
        <v>0</v>
      </c>
      <c r="AS1249" s="1">
        <v>0</v>
      </c>
      <c r="AT1249" s="1">
        <v>0</v>
      </c>
      <c r="AU1249" s="1">
        <v>0</v>
      </c>
      <c r="AV1249" s="1">
        <v>0</v>
      </c>
      <c r="AW1249" s="1">
        <v>0</v>
      </c>
      <c r="AX1249" s="1">
        <v>0</v>
      </c>
      <c r="AY1249" s="1">
        <v>0</v>
      </c>
      <c r="AZ1249" s="1">
        <v>0</v>
      </c>
      <c r="BA1249" s="1">
        <v>0</v>
      </c>
      <c r="BB1249" s="1">
        <v>0</v>
      </c>
      <c r="BC1249" s="1">
        <v>0</v>
      </c>
      <c r="BD1249" s="1">
        <v>0</v>
      </c>
      <c r="BE1249" s="1">
        <v>0</v>
      </c>
      <c r="BF1249" s="1">
        <v>0</v>
      </c>
      <c r="BG1249" s="1">
        <v>0</v>
      </c>
      <c r="BH1249" s="1">
        <v>0</v>
      </c>
      <c r="BI1249" s="1">
        <v>0</v>
      </c>
      <c r="BJ1249" s="1">
        <v>0</v>
      </c>
      <c r="BK1249" s="1">
        <v>0</v>
      </c>
      <c r="BL1249" s="1">
        <v>0</v>
      </c>
      <c r="BM1249" s="1">
        <v>0</v>
      </c>
      <c r="BN1249" s="1">
        <v>0</v>
      </c>
      <c r="BO1249" s="1">
        <v>0</v>
      </c>
      <c r="BP1249" s="1">
        <v>0</v>
      </c>
      <c r="BQ1249" s="2" t="str">
        <f>HYPERLINK("http://www.d20pfsrd.com/magic/all-spells/b/bowstaff","Bowstaff")</f>
        <v>Bowstaff</v>
      </c>
      <c r="BR1249" s="1">
        <v>1303</v>
      </c>
      <c r="BS1249" s="1" t="s">
        <v>104</v>
      </c>
      <c r="BX1249" s="1">
        <v>0</v>
      </c>
      <c r="BY1249" s="1" t="s">
        <v>104</v>
      </c>
      <c r="BZ1249" s="1" t="s">
        <v>104</v>
      </c>
      <c r="CA1249" s="1" t="s">
        <v>104</v>
      </c>
      <c r="CB1249" s="1" t="s">
        <v>104</v>
      </c>
      <c r="CC1249" s="1" t="s">
        <v>104</v>
      </c>
      <c r="CD1249" s="1">
        <v>2</v>
      </c>
      <c r="CE1249" s="1" t="s">
        <v>104</v>
      </c>
      <c r="CF1249" s="1" t="s">
        <v>104</v>
      </c>
      <c r="CG1249" s="1" t="s">
        <v>104</v>
      </c>
      <c r="CH1249" s="1">
        <v>1</v>
      </c>
      <c r="CJ1249" s="1">
        <v>0</v>
      </c>
      <c r="CK1249" s="1">
        <v>0</v>
      </c>
      <c r="CL1249" s="1">
        <v>0</v>
      </c>
      <c r="CM1249" s="1" t="s">
        <v>104</v>
      </c>
    </row>
    <row r="1250" spans="1:91" ht="14.25" customHeight="1" x14ac:dyDescent="0.3">
      <c r="A1250" s="1" t="s">
        <v>7374</v>
      </c>
      <c r="B1250" s="1" t="s">
        <v>216</v>
      </c>
      <c r="E1250" s="1" t="s">
        <v>7375</v>
      </c>
      <c r="F1250" s="1" t="s">
        <v>95</v>
      </c>
      <c r="G1250" s="1" t="s">
        <v>116</v>
      </c>
      <c r="H1250" s="1">
        <v>0</v>
      </c>
      <c r="I1250" s="1" t="s">
        <v>128</v>
      </c>
      <c r="J1250" s="1" t="s">
        <v>7376</v>
      </c>
      <c r="M1250" s="1" t="s">
        <v>5119</v>
      </c>
      <c r="N1250" s="1">
        <v>0</v>
      </c>
      <c r="O1250" s="1">
        <v>0</v>
      </c>
      <c r="P1250" s="1" t="s">
        <v>148</v>
      </c>
      <c r="Q1250" s="1" t="s">
        <v>149</v>
      </c>
      <c r="R1250" s="1" t="s">
        <v>7377</v>
      </c>
      <c r="S1250" s="1" t="s">
        <v>7302</v>
      </c>
      <c r="T1250" s="1">
        <v>1</v>
      </c>
      <c r="U1250" s="1">
        <v>1</v>
      </c>
      <c r="V1250" s="1">
        <v>0</v>
      </c>
      <c r="W1250" s="1">
        <v>0</v>
      </c>
      <c r="X1250" s="1">
        <v>0</v>
      </c>
      <c r="Y1250" s="1">
        <v>2</v>
      </c>
      <c r="Z1250" s="1">
        <v>2</v>
      </c>
      <c r="AA1250" s="1" t="s">
        <v>104</v>
      </c>
      <c r="AB1250" s="1" t="s">
        <v>104</v>
      </c>
      <c r="AC1250" s="1">
        <v>2</v>
      </c>
      <c r="AD1250" s="1" t="s">
        <v>104</v>
      </c>
      <c r="AE1250" s="1" t="s">
        <v>104</v>
      </c>
      <c r="AF1250" s="1" t="s">
        <v>104</v>
      </c>
      <c r="AG1250" s="1" t="s">
        <v>104</v>
      </c>
      <c r="AH1250" s="1" t="s">
        <v>104</v>
      </c>
      <c r="AI1250" s="1">
        <v>2</v>
      </c>
      <c r="AJ1250" s="1" t="s">
        <v>104</v>
      </c>
      <c r="AK1250" s="1" t="s">
        <v>104</v>
      </c>
      <c r="AL1250" s="1">
        <v>2</v>
      </c>
      <c r="AM1250" s="1" t="s">
        <v>104</v>
      </c>
      <c r="AO1250" s="1">
        <v>2</v>
      </c>
      <c r="AQ1250" s="1" t="s">
        <v>7378</v>
      </c>
      <c r="AR1250" s="1">
        <v>0</v>
      </c>
      <c r="AS1250" s="1">
        <v>0</v>
      </c>
      <c r="AT1250" s="1">
        <v>0</v>
      </c>
      <c r="AU1250" s="1">
        <v>0</v>
      </c>
      <c r="AV1250" s="1">
        <v>0</v>
      </c>
      <c r="AW1250" s="1">
        <v>0</v>
      </c>
      <c r="AX1250" s="1">
        <v>0</v>
      </c>
      <c r="AY1250" s="1">
        <v>0</v>
      </c>
      <c r="AZ1250" s="1">
        <v>0</v>
      </c>
      <c r="BA1250" s="1">
        <v>0</v>
      </c>
      <c r="BB1250" s="1">
        <v>0</v>
      </c>
      <c r="BC1250" s="1">
        <v>0</v>
      </c>
      <c r="BD1250" s="1">
        <v>0</v>
      </c>
      <c r="BE1250" s="1">
        <v>0</v>
      </c>
      <c r="BF1250" s="1">
        <v>0</v>
      </c>
      <c r="BG1250" s="1">
        <v>0</v>
      </c>
      <c r="BH1250" s="1">
        <v>0</v>
      </c>
      <c r="BI1250" s="1">
        <v>0</v>
      </c>
      <c r="BJ1250" s="1">
        <v>0</v>
      </c>
      <c r="BK1250" s="1">
        <v>0</v>
      </c>
      <c r="BL1250" s="1">
        <v>0</v>
      </c>
      <c r="BM1250" s="1">
        <v>0</v>
      </c>
      <c r="BN1250" s="1">
        <v>0</v>
      </c>
      <c r="BO1250" s="1">
        <v>0</v>
      </c>
      <c r="BP1250" s="1">
        <v>0</v>
      </c>
      <c r="BQ1250" s="2" t="str">
        <f>HYPERLINK("http://www.d20pfsrd.com/magic/all-spells/b/brow-gasher","Brow Gasher")</f>
        <v>Brow Gasher</v>
      </c>
      <c r="BR1250" s="1">
        <v>1304</v>
      </c>
      <c r="BS1250" s="1" t="s">
        <v>104</v>
      </c>
      <c r="BX1250" s="1">
        <v>0</v>
      </c>
      <c r="BY1250" s="1">
        <v>2</v>
      </c>
      <c r="BZ1250" s="1" t="s">
        <v>104</v>
      </c>
      <c r="CA1250" s="1" t="s">
        <v>104</v>
      </c>
      <c r="CB1250" s="1" t="s">
        <v>104</v>
      </c>
      <c r="CC1250" s="1" t="s">
        <v>104</v>
      </c>
      <c r="CD1250" s="1">
        <v>2</v>
      </c>
      <c r="CE1250" s="1" t="s">
        <v>104</v>
      </c>
      <c r="CF1250" s="1" t="s">
        <v>104</v>
      </c>
      <c r="CG1250" s="1" t="s">
        <v>104</v>
      </c>
      <c r="CH1250" s="1">
        <v>2</v>
      </c>
      <c r="CJ1250" s="1">
        <v>0</v>
      </c>
      <c r="CK1250" s="1">
        <v>0</v>
      </c>
      <c r="CL1250" s="1">
        <v>0</v>
      </c>
      <c r="CM1250" s="1" t="s">
        <v>104</v>
      </c>
    </row>
    <row r="1251" spans="1:91" ht="14.25" customHeight="1" x14ac:dyDescent="0.3">
      <c r="A1251" s="1" t="s">
        <v>7379</v>
      </c>
      <c r="B1251" s="1" t="s">
        <v>162</v>
      </c>
      <c r="E1251" s="1" t="s">
        <v>7380</v>
      </c>
      <c r="F1251" s="1" t="s">
        <v>95</v>
      </c>
      <c r="G1251" s="1" t="s">
        <v>7381</v>
      </c>
      <c r="H1251" s="1">
        <v>0</v>
      </c>
      <c r="I1251" s="1" t="s">
        <v>128</v>
      </c>
      <c r="L1251" s="1" t="s">
        <v>374</v>
      </c>
      <c r="M1251" s="1" t="s">
        <v>4992</v>
      </c>
      <c r="N1251" s="1">
        <v>1</v>
      </c>
      <c r="O1251" s="1">
        <v>0</v>
      </c>
      <c r="P1251" s="1" t="s">
        <v>375</v>
      </c>
      <c r="Q1251" s="1" t="s">
        <v>131</v>
      </c>
      <c r="R1251" s="1" t="s">
        <v>7382</v>
      </c>
      <c r="S1251" s="1" t="s">
        <v>7302</v>
      </c>
      <c r="T1251" s="1">
        <v>1</v>
      </c>
      <c r="U1251" s="1">
        <v>1</v>
      </c>
      <c r="V1251" s="1">
        <v>1</v>
      </c>
      <c r="W1251" s="1">
        <v>0</v>
      </c>
      <c r="X1251" s="1">
        <v>0</v>
      </c>
      <c r="Y1251" s="1">
        <v>2</v>
      </c>
      <c r="Z1251" s="1">
        <v>2</v>
      </c>
      <c r="AA1251" s="1" t="s">
        <v>104</v>
      </c>
      <c r="AB1251" s="1" t="s">
        <v>104</v>
      </c>
      <c r="AC1251" s="1" t="s">
        <v>104</v>
      </c>
      <c r="AD1251" s="1" t="s">
        <v>104</v>
      </c>
      <c r="AE1251" s="1" t="s">
        <v>104</v>
      </c>
      <c r="AF1251" s="1">
        <v>2</v>
      </c>
      <c r="AG1251" s="1" t="s">
        <v>104</v>
      </c>
      <c r="AH1251" s="1" t="s">
        <v>104</v>
      </c>
      <c r="AI1251" s="1" t="s">
        <v>104</v>
      </c>
      <c r="AJ1251" s="1" t="s">
        <v>104</v>
      </c>
      <c r="AK1251" s="1" t="s">
        <v>104</v>
      </c>
      <c r="AL1251" s="1" t="s">
        <v>104</v>
      </c>
      <c r="AM1251" s="1" t="s">
        <v>104</v>
      </c>
      <c r="AO1251" s="1">
        <v>2</v>
      </c>
      <c r="AQ1251" s="1" t="s">
        <v>7383</v>
      </c>
      <c r="AR1251" s="1">
        <v>0</v>
      </c>
      <c r="AS1251" s="1">
        <v>0</v>
      </c>
      <c r="AT1251" s="1">
        <v>0</v>
      </c>
      <c r="AU1251" s="1">
        <v>0</v>
      </c>
      <c r="AV1251" s="1">
        <v>0</v>
      </c>
      <c r="AW1251" s="1">
        <v>0</v>
      </c>
      <c r="AX1251" s="1">
        <v>0</v>
      </c>
      <c r="AY1251" s="1">
        <v>0</v>
      </c>
      <c r="AZ1251" s="1">
        <v>0</v>
      </c>
      <c r="BA1251" s="1">
        <v>0</v>
      </c>
      <c r="BB1251" s="1">
        <v>0</v>
      </c>
      <c r="BC1251" s="1">
        <v>0</v>
      </c>
      <c r="BD1251" s="1">
        <v>0</v>
      </c>
      <c r="BE1251" s="1">
        <v>0</v>
      </c>
      <c r="BF1251" s="1">
        <v>0</v>
      </c>
      <c r="BG1251" s="1">
        <v>0</v>
      </c>
      <c r="BH1251" s="1">
        <v>0</v>
      </c>
      <c r="BI1251" s="1">
        <v>0</v>
      </c>
      <c r="BJ1251" s="1">
        <v>0</v>
      </c>
      <c r="BK1251" s="1">
        <v>0</v>
      </c>
      <c r="BL1251" s="1">
        <v>0</v>
      </c>
      <c r="BM1251" s="1">
        <v>0</v>
      </c>
      <c r="BN1251" s="1">
        <v>0</v>
      </c>
      <c r="BO1251" s="1">
        <v>0</v>
      </c>
      <c r="BP1251" s="1">
        <v>0</v>
      </c>
      <c r="BQ1251" s="2" t="str">
        <f>HYPERLINK("http://www.d20pfsrd.com/magic/all-spells/b/bullet-shield","Bullet Shield")</f>
        <v>Bullet Shield</v>
      </c>
      <c r="BR1251" s="1">
        <v>1305</v>
      </c>
      <c r="BS1251" s="1" t="s">
        <v>104</v>
      </c>
      <c r="BX1251" s="1">
        <v>0</v>
      </c>
      <c r="BY1251" s="1">
        <v>2</v>
      </c>
      <c r="BZ1251" s="1" t="s">
        <v>104</v>
      </c>
      <c r="CA1251" s="1">
        <v>2</v>
      </c>
      <c r="CB1251" s="1" t="s">
        <v>104</v>
      </c>
      <c r="CC1251" s="1" t="s">
        <v>104</v>
      </c>
      <c r="CD1251" s="1">
        <v>2</v>
      </c>
      <c r="CE1251" s="1" t="s">
        <v>104</v>
      </c>
      <c r="CF1251" s="1" t="s">
        <v>104</v>
      </c>
      <c r="CG1251" s="1" t="s">
        <v>104</v>
      </c>
      <c r="CH1251" s="1" t="s">
        <v>104</v>
      </c>
      <c r="CJ1251" s="1">
        <v>0</v>
      </c>
      <c r="CK1251" s="1">
        <v>0</v>
      </c>
      <c r="CL1251" s="1">
        <v>0</v>
      </c>
      <c r="CM1251" s="1" t="s">
        <v>104</v>
      </c>
    </row>
    <row r="1252" spans="1:91" ht="14.25" customHeight="1" x14ac:dyDescent="0.3">
      <c r="A1252" s="1" t="s">
        <v>7384</v>
      </c>
      <c r="B1252" s="1" t="s">
        <v>137</v>
      </c>
      <c r="E1252" s="1" t="s">
        <v>7385</v>
      </c>
      <c r="F1252" s="1" t="s">
        <v>4934</v>
      </c>
      <c r="G1252" s="1" t="s">
        <v>237</v>
      </c>
      <c r="H1252" s="1">
        <v>0</v>
      </c>
      <c r="I1252" s="1" t="s">
        <v>157</v>
      </c>
      <c r="L1252" s="1" t="s">
        <v>158</v>
      </c>
      <c r="M1252" s="1" t="s">
        <v>145</v>
      </c>
      <c r="N1252" s="1">
        <v>0</v>
      </c>
      <c r="O1252" s="1">
        <v>0</v>
      </c>
      <c r="R1252" s="1" t="s">
        <v>7386</v>
      </c>
      <c r="S1252" s="1" t="s">
        <v>7302</v>
      </c>
      <c r="T1252" s="1">
        <v>1</v>
      </c>
      <c r="U1252" s="1">
        <v>0</v>
      </c>
      <c r="V1252" s="1">
        <v>0</v>
      </c>
      <c r="W1252" s="1">
        <v>0</v>
      </c>
      <c r="X1252" s="1">
        <v>0</v>
      </c>
      <c r="Y1252" s="1" t="s">
        <v>104</v>
      </c>
      <c r="Z1252" s="1" t="s">
        <v>104</v>
      </c>
      <c r="AA1252" s="1" t="s">
        <v>104</v>
      </c>
      <c r="AB1252" s="1" t="s">
        <v>104</v>
      </c>
      <c r="AC1252" s="1">
        <v>3</v>
      </c>
      <c r="AD1252" s="1" t="s">
        <v>104</v>
      </c>
      <c r="AE1252" s="1">
        <v>3</v>
      </c>
      <c r="AF1252" s="1">
        <v>3</v>
      </c>
      <c r="AG1252" s="1" t="s">
        <v>104</v>
      </c>
      <c r="AH1252" s="1" t="s">
        <v>104</v>
      </c>
      <c r="AI1252" s="1">
        <v>3</v>
      </c>
      <c r="AJ1252" s="1" t="s">
        <v>104</v>
      </c>
      <c r="AK1252" s="1">
        <v>3</v>
      </c>
      <c r="AL1252" s="1">
        <v>3</v>
      </c>
      <c r="AM1252" s="1" t="s">
        <v>104</v>
      </c>
      <c r="AO1252" s="1">
        <v>3</v>
      </c>
      <c r="AQ1252" s="1" t="s">
        <v>7387</v>
      </c>
      <c r="AR1252" s="1">
        <v>0</v>
      </c>
      <c r="AS1252" s="1">
        <v>0</v>
      </c>
      <c r="AT1252" s="1">
        <v>0</v>
      </c>
      <c r="AU1252" s="1">
        <v>0</v>
      </c>
      <c r="AV1252" s="1">
        <v>0</v>
      </c>
      <c r="AW1252" s="1">
        <v>0</v>
      </c>
      <c r="AX1252" s="1">
        <v>0</v>
      </c>
      <c r="AY1252" s="1">
        <v>0</v>
      </c>
      <c r="AZ1252" s="1">
        <v>0</v>
      </c>
      <c r="BA1252" s="1">
        <v>0</v>
      </c>
      <c r="BB1252" s="1">
        <v>0</v>
      </c>
      <c r="BC1252" s="1">
        <v>0</v>
      </c>
      <c r="BD1252" s="1">
        <v>0</v>
      </c>
      <c r="BE1252" s="1">
        <v>0</v>
      </c>
      <c r="BF1252" s="1">
        <v>0</v>
      </c>
      <c r="BG1252" s="1">
        <v>0</v>
      </c>
      <c r="BH1252" s="1">
        <v>0</v>
      </c>
      <c r="BI1252" s="1">
        <v>0</v>
      </c>
      <c r="BJ1252" s="1">
        <v>0</v>
      </c>
      <c r="BK1252" s="1">
        <v>0</v>
      </c>
      <c r="BL1252" s="1">
        <v>0</v>
      </c>
      <c r="BM1252" s="1">
        <v>0</v>
      </c>
      <c r="BN1252" s="1">
        <v>0</v>
      </c>
      <c r="BO1252" s="1">
        <v>0</v>
      </c>
      <c r="BP1252" s="1">
        <v>0</v>
      </c>
      <c r="BQ1252" s="2" t="str">
        <f>HYPERLINK("http://www.d20pfsrd.com/magic/all-spells/b/burst-of-speed","Burst of Speed")</f>
        <v>Burst of Speed</v>
      </c>
      <c r="BR1252" s="1">
        <v>1306</v>
      </c>
      <c r="BS1252" s="1" t="s">
        <v>104</v>
      </c>
      <c r="BX1252" s="1">
        <v>0</v>
      </c>
      <c r="BY1252" s="1">
        <v>3</v>
      </c>
      <c r="BZ1252" s="1" t="s">
        <v>104</v>
      </c>
      <c r="CA1252" s="1">
        <v>3</v>
      </c>
      <c r="CB1252" s="1">
        <v>3</v>
      </c>
      <c r="CC1252" s="1" t="s">
        <v>104</v>
      </c>
      <c r="CD1252" s="1" t="s">
        <v>104</v>
      </c>
      <c r="CE1252" s="1" t="s">
        <v>104</v>
      </c>
      <c r="CF1252" s="1" t="s">
        <v>104</v>
      </c>
      <c r="CG1252" s="1" t="s">
        <v>104</v>
      </c>
      <c r="CH1252" s="1">
        <v>3</v>
      </c>
      <c r="CJ1252" s="1">
        <v>0</v>
      </c>
      <c r="CK1252" s="1">
        <v>0</v>
      </c>
      <c r="CL1252" s="1">
        <v>0</v>
      </c>
      <c r="CM1252" s="1" t="s">
        <v>104</v>
      </c>
    </row>
    <row r="1253" spans="1:91" ht="14.25" customHeight="1" x14ac:dyDescent="0.3">
      <c r="A1253" s="1" t="s">
        <v>7388</v>
      </c>
      <c r="B1253" s="1" t="s">
        <v>434</v>
      </c>
      <c r="D1253" s="1" t="s">
        <v>57</v>
      </c>
      <c r="E1253" s="1" t="s">
        <v>5642</v>
      </c>
      <c r="F1253" s="1" t="s">
        <v>95</v>
      </c>
      <c r="G1253" s="1" t="s">
        <v>116</v>
      </c>
      <c r="H1253" s="1">
        <v>0</v>
      </c>
      <c r="I1253" s="1" t="s">
        <v>157</v>
      </c>
      <c r="L1253" s="1" t="s">
        <v>158</v>
      </c>
      <c r="M1253" s="1" t="s">
        <v>111</v>
      </c>
      <c r="N1253" s="1">
        <v>0</v>
      </c>
      <c r="O1253" s="1">
        <v>0</v>
      </c>
      <c r="R1253" s="1" t="s">
        <v>7389</v>
      </c>
      <c r="S1253" s="1" t="s">
        <v>7302</v>
      </c>
      <c r="T1253" s="1">
        <v>1</v>
      </c>
      <c r="U1253" s="1">
        <v>1</v>
      </c>
      <c r="V1253" s="1">
        <v>0</v>
      </c>
      <c r="W1253" s="1">
        <v>0</v>
      </c>
      <c r="X1253" s="1">
        <v>0</v>
      </c>
      <c r="Y1253" s="1" t="s">
        <v>104</v>
      </c>
      <c r="Z1253" s="1" t="s">
        <v>104</v>
      </c>
      <c r="AA1253" s="1" t="s">
        <v>104</v>
      </c>
      <c r="AB1253" s="1" t="s">
        <v>104</v>
      </c>
      <c r="AC1253" s="1" t="s">
        <v>104</v>
      </c>
      <c r="AD1253" s="1" t="s">
        <v>104</v>
      </c>
      <c r="AE1253" s="1" t="s">
        <v>104</v>
      </c>
      <c r="AF1253" s="1">
        <v>6</v>
      </c>
      <c r="AG1253" s="1" t="s">
        <v>104</v>
      </c>
      <c r="AH1253" s="1" t="s">
        <v>104</v>
      </c>
      <c r="AI1253" s="1" t="s">
        <v>104</v>
      </c>
      <c r="AJ1253" s="1" t="s">
        <v>104</v>
      </c>
      <c r="AK1253" s="1" t="s">
        <v>104</v>
      </c>
      <c r="AL1253" s="1" t="s">
        <v>104</v>
      </c>
      <c r="AM1253" s="1" t="s">
        <v>104</v>
      </c>
      <c r="AO1253" s="1">
        <v>6</v>
      </c>
      <c r="AQ1253" s="1" t="s">
        <v>7390</v>
      </c>
      <c r="AR1253" s="1">
        <v>0</v>
      </c>
      <c r="AS1253" s="1">
        <v>0</v>
      </c>
      <c r="AT1253" s="1">
        <v>0</v>
      </c>
      <c r="AU1253" s="1">
        <v>0</v>
      </c>
      <c r="AV1253" s="1">
        <v>0</v>
      </c>
      <c r="AW1253" s="1">
        <v>0</v>
      </c>
      <c r="AX1253" s="1">
        <v>0</v>
      </c>
      <c r="AY1253" s="1">
        <v>0</v>
      </c>
      <c r="AZ1253" s="1">
        <v>0</v>
      </c>
      <c r="BA1253" s="1">
        <v>0</v>
      </c>
      <c r="BB1253" s="1">
        <v>0</v>
      </c>
      <c r="BC1253" s="1">
        <v>0</v>
      </c>
      <c r="BD1253" s="1">
        <v>0</v>
      </c>
      <c r="BE1253" s="1">
        <v>0</v>
      </c>
      <c r="BF1253" s="1">
        <v>1</v>
      </c>
      <c r="BG1253" s="1">
        <v>0</v>
      </c>
      <c r="BH1253" s="1">
        <v>0</v>
      </c>
      <c r="BI1253" s="1">
        <v>0</v>
      </c>
      <c r="BJ1253" s="1">
        <v>0</v>
      </c>
      <c r="BK1253" s="1">
        <v>0</v>
      </c>
      <c r="BL1253" s="1">
        <v>0</v>
      </c>
      <c r="BM1253" s="1">
        <v>0</v>
      </c>
      <c r="BN1253" s="1">
        <v>0</v>
      </c>
      <c r="BO1253" s="1">
        <v>0</v>
      </c>
      <c r="BP1253" s="1">
        <v>0</v>
      </c>
      <c r="BQ1253" s="2" t="str">
        <f>HYPERLINK("http://www.d20pfsrd.com/magic/all-spells/c/caging-bomb-admixture","Caging Bomb Admixture")</f>
        <v>Caging Bomb Admixture</v>
      </c>
      <c r="BR1253" s="1">
        <v>1307</v>
      </c>
      <c r="BS1253" s="1" t="s">
        <v>104</v>
      </c>
      <c r="BX1253" s="1">
        <v>0</v>
      </c>
      <c r="BY1253" s="1" t="s">
        <v>104</v>
      </c>
      <c r="BZ1253" s="1" t="s">
        <v>104</v>
      </c>
      <c r="CA1253" s="1" t="s">
        <v>104</v>
      </c>
      <c r="CB1253" s="1" t="s">
        <v>104</v>
      </c>
      <c r="CC1253" s="1" t="s">
        <v>104</v>
      </c>
      <c r="CD1253" s="1" t="s">
        <v>104</v>
      </c>
      <c r="CE1253" s="1" t="s">
        <v>104</v>
      </c>
      <c r="CF1253" s="1" t="s">
        <v>104</v>
      </c>
      <c r="CG1253" s="1" t="s">
        <v>104</v>
      </c>
      <c r="CH1253" s="1" t="s">
        <v>104</v>
      </c>
      <c r="CJ1253" s="1">
        <v>0</v>
      </c>
      <c r="CK1253" s="1">
        <v>0</v>
      </c>
      <c r="CL1253" s="1">
        <v>0</v>
      </c>
      <c r="CM1253" s="1" t="s">
        <v>104</v>
      </c>
    </row>
    <row r="1254" spans="1:91" ht="14.25" customHeight="1" x14ac:dyDescent="0.3">
      <c r="A1254" s="1" t="s">
        <v>7391</v>
      </c>
      <c r="B1254" s="1" t="s">
        <v>137</v>
      </c>
      <c r="E1254" s="1" t="s">
        <v>7392</v>
      </c>
      <c r="F1254" s="1" t="s">
        <v>95</v>
      </c>
      <c r="G1254" s="1" t="s">
        <v>7393</v>
      </c>
      <c r="H1254" s="1">
        <v>0</v>
      </c>
      <c r="I1254" s="1" t="s">
        <v>128</v>
      </c>
      <c r="L1254" s="1" t="s">
        <v>374</v>
      </c>
      <c r="M1254" s="1" t="s">
        <v>4992</v>
      </c>
      <c r="N1254" s="1">
        <v>1</v>
      </c>
      <c r="O1254" s="1">
        <v>0</v>
      </c>
      <c r="P1254" s="1" t="s">
        <v>375</v>
      </c>
      <c r="Q1254" s="1" t="s">
        <v>131</v>
      </c>
      <c r="R1254" s="1" t="s">
        <v>7394</v>
      </c>
      <c r="S1254" s="1" t="s">
        <v>7302</v>
      </c>
      <c r="T1254" s="1">
        <v>1</v>
      </c>
      <c r="U1254" s="1">
        <v>1</v>
      </c>
      <c r="V1254" s="1">
        <v>1</v>
      </c>
      <c r="W1254" s="1">
        <v>0</v>
      </c>
      <c r="X1254" s="1">
        <v>1</v>
      </c>
      <c r="Y1254" s="1">
        <v>2</v>
      </c>
      <c r="Z1254" s="1">
        <v>2</v>
      </c>
      <c r="AA1254" s="1" t="s">
        <v>104</v>
      </c>
      <c r="AB1254" s="1">
        <v>2</v>
      </c>
      <c r="AC1254" s="1" t="s">
        <v>104</v>
      </c>
      <c r="AD1254" s="1" t="s">
        <v>104</v>
      </c>
      <c r="AE1254" s="1" t="s">
        <v>104</v>
      </c>
      <c r="AF1254" s="1">
        <v>2</v>
      </c>
      <c r="AG1254" s="1" t="s">
        <v>104</v>
      </c>
      <c r="AH1254" s="1" t="s">
        <v>104</v>
      </c>
      <c r="AI1254" s="1" t="s">
        <v>104</v>
      </c>
      <c r="AJ1254" s="1" t="s">
        <v>104</v>
      </c>
      <c r="AK1254" s="1" t="s">
        <v>104</v>
      </c>
      <c r="AL1254" s="1" t="s">
        <v>104</v>
      </c>
      <c r="AM1254" s="1" t="s">
        <v>104</v>
      </c>
      <c r="AO1254" s="1">
        <v>2</v>
      </c>
      <c r="AQ1254" s="1" t="s">
        <v>7395</v>
      </c>
      <c r="AR1254" s="1">
        <v>0</v>
      </c>
      <c r="AS1254" s="1">
        <v>0</v>
      </c>
      <c r="AT1254" s="1">
        <v>0</v>
      </c>
      <c r="AU1254" s="1">
        <v>0</v>
      </c>
      <c r="AV1254" s="1">
        <v>0</v>
      </c>
      <c r="AW1254" s="1">
        <v>0</v>
      </c>
      <c r="AX1254" s="1">
        <v>0</v>
      </c>
      <c r="AY1254" s="1">
        <v>0</v>
      </c>
      <c r="AZ1254" s="1">
        <v>0</v>
      </c>
      <c r="BA1254" s="1">
        <v>0</v>
      </c>
      <c r="BB1254" s="1">
        <v>0</v>
      </c>
      <c r="BC1254" s="1">
        <v>0</v>
      </c>
      <c r="BD1254" s="1">
        <v>0</v>
      </c>
      <c r="BE1254" s="1">
        <v>0</v>
      </c>
      <c r="BF1254" s="1">
        <v>0</v>
      </c>
      <c r="BG1254" s="1">
        <v>0</v>
      </c>
      <c r="BH1254" s="1">
        <v>0</v>
      </c>
      <c r="BI1254" s="1">
        <v>0</v>
      </c>
      <c r="BJ1254" s="1">
        <v>0</v>
      </c>
      <c r="BK1254" s="1">
        <v>0</v>
      </c>
      <c r="BL1254" s="1">
        <v>0</v>
      </c>
      <c r="BM1254" s="1">
        <v>0</v>
      </c>
      <c r="BN1254" s="1">
        <v>0</v>
      </c>
      <c r="BO1254" s="1">
        <v>0</v>
      </c>
      <c r="BP1254" s="1">
        <v>0</v>
      </c>
      <c r="BQ1254" s="2" t="str">
        <f>HYPERLINK("http://www.d20pfsrd.com/magic/all-spells/c/certain-grip","Certain Grip")</f>
        <v>Certain Grip</v>
      </c>
      <c r="BR1254" s="1">
        <v>1308</v>
      </c>
      <c r="BS1254" s="1" t="s">
        <v>104</v>
      </c>
      <c r="BX1254" s="1">
        <v>0</v>
      </c>
      <c r="BY1254" s="1">
        <v>2</v>
      </c>
      <c r="BZ1254" s="1" t="s">
        <v>104</v>
      </c>
      <c r="CA1254" s="1" t="s">
        <v>104</v>
      </c>
      <c r="CB1254" s="1" t="s">
        <v>104</v>
      </c>
      <c r="CC1254" s="1" t="s">
        <v>104</v>
      </c>
      <c r="CD1254" s="1">
        <v>2</v>
      </c>
      <c r="CE1254" s="1" t="s">
        <v>104</v>
      </c>
      <c r="CF1254" s="1" t="s">
        <v>104</v>
      </c>
      <c r="CG1254" s="1" t="s">
        <v>104</v>
      </c>
      <c r="CH1254" s="1">
        <v>2</v>
      </c>
      <c r="CJ1254" s="1">
        <v>0</v>
      </c>
      <c r="CK1254" s="1">
        <v>0</v>
      </c>
      <c r="CL1254" s="1">
        <v>0</v>
      </c>
      <c r="CM1254" s="1" t="s">
        <v>104</v>
      </c>
    </row>
    <row r="1255" spans="1:91" ht="14.25" customHeight="1" x14ac:dyDescent="0.3">
      <c r="A1255" s="1" t="s">
        <v>7396</v>
      </c>
      <c r="B1255" s="1" t="s">
        <v>434</v>
      </c>
      <c r="D1255" s="1" t="s">
        <v>57</v>
      </c>
      <c r="E1255" s="1" t="s">
        <v>7397</v>
      </c>
      <c r="F1255" s="1" t="s">
        <v>95</v>
      </c>
      <c r="G1255" s="1" t="s">
        <v>7398</v>
      </c>
      <c r="H1255" s="1">
        <v>0</v>
      </c>
      <c r="I1255" s="1" t="s">
        <v>117</v>
      </c>
      <c r="K1255" s="1" t="s">
        <v>7399</v>
      </c>
      <c r="M1255" s="1" t="s">
        <v>426</v>
      </c>
      <c r="N1255" s="1">
        <v>1</v>
      </c>
      <c r="O1255" s="1">
        <v>0</v>
      </c>
      <c r="P1255" s="1" t="s">
        <v>100</v>
      </c>
      <c r="Q1255" s="1" t="s">
        <v>184</v>
      </c>
      <c r="R1255" s="1" t="s">
        <v>7400</v>
      </c>
      <c r="S1255" s="1" t="s">
        <v>7302</v>
      </c>
      <c r="T1255" s="1">
        <v>1</v>
      </c>
      <c r="U1255" s="1">
        <v>1</v>
      </c>
      <c r="V1255" s="1">
        <v>1</v>
      </c>
      <c r="W1255" s="1">
        <v>0</v>
      </c>
      <c r="X1255" s="1">
        <v>1</v>
      </c>
      <c r="Y1255" s="1">
        <v>3</v>
      </c>
      <c r="Z1255" s="1">
        <v>3</v>
      </c>
      <c r="AA1255" s="1">
        <v>3</v>
      </c>
      <c r="AB1255" s="1" t="s">
        <v>104</v>
      </c>
      <c r="AC1255" s="1" t="s">
        <v>104</v>
      </c>
      <c r="AD1255" s="1" t="s">
        <v>104</v>
      </c>
      <c r="AE1255" s="1" t="s">
        <v>104</v>
      </c>
      <c r="AF1255" s="1" t="s">
        <v>104</v>
      </c>
      <c r="AG1255" s="1" t="s">
        <v>104</v>
      </c>
      <c r="AH1255" s="1" t="s">
        <v>104</v>
      </c>
      <c r="AI1255" s="1" t="s">
        <v>104</v>
      </c>
      <c r="AJ1255" s="1">
        <v>3</v>
      </c>
      <c r="AK1255" s="1" t="s">
        <v>104</v>
      </c>
      <c r="AL1255" s="1" t="s">
        <v>104</v>
      </c>
      <c r="AM1255" s="1" t="s">
        <v>104</v>
      </c>
      <c r="AO1255" s="1">
        <v>3</v>
      </c>
      <c r="AP1255" s="1" t="s">
        <v>7401</v>
      </c>
      <c r="AQ1255" s="1" t="s">
        <v>7402</v>
      </c>
      <c r="AR1255" s="1">
        <v>0</v>
      </c>
      <c r="AS1255" s="1">
        <v>0</v>
      </c>
      <c r="AT1255" s="1">
        <v>0</v>
      </c>
      <c r="AU1255" s="1">
        <v>0</v>
      </c>
      <c r="AV1255" s="1">
        <v>0</v>
      </c>
      <c r="AW1255" s="1">
        <v>0</v>
      </c>
      <c r="AX1255" s="1">
        <v>0</v>
      </c>
      <c r="AY1255" s="1">
        <v>0</v>
      </c>
      <c r="AZ1255" s="1">
        <v>0</v>
      </c>
      <c r="BA1255" s="1">
        <v>0</v>
      </c>
      <c r="BB1255" s="1">
        <v>0</v>
      </c>
      <c r="BC1255" s="1">
        <v>0</v>
      </c>
      <c r="BD1255" s="1">
        <v>0</v>
      </c>
      <c r="BE1255" s="1">
        <v>0</v>
      </c>
      <c r="BF1255" s="1">
        <v>1</v>
      </c>
      <c r="BG1255" s="1">
        <v>0</v>
      </c>
      <c r="BH1255" s="1">
        <v>0</v>
      </c>
      <c r="BI1255" s="1">
        <v>0</v>
      </c>
      <c r="BJ1255" s="1">
        <v>0</v>
      </c>
      <c r="BK1255" s="1">
        <v>0</v>
      </c>
      <c r="BL1255" s="1">
        <v>0</v>
      </c>
      <c r="BM1255" s="1">
        <v>0</v>
      </c>
      <c r="BN1255" s="1">
        <v>0</v>
      </c>
      <c r="BO1255" s="1">
        <v>0</v>
      </c>
      <c r="BP1255" s="1">
        <v>0</v>
      </c>
      <c r="BQ1255" s="2" t="str">
        <f>HYPERLINK("http://www.d20pfsrd.com/magic/all-spells/c/chain-of-perdition","Chain of Perdition")</f>
        <v>Chain of Perdition</v>
      </c>
      <c r="BR1255" s="1">
        <v>1309</v>
      </c>
      <c r="BS1255" s="1" t="s">
        <v>104</v>
      </c>
      <c r="BX1255" s="1">
        <v>0</v>
      </c>
      <c r="BY1255" s="1">
        <v>3</v>
      </c>
      <c r="BZ1255" s="1" t="s">
        <v>104</v>
      </c>
      <c r="CA1255" s="1">
        <v>3</v>
      </c>
      <c r="CB1255" s="1" t="s">
        <v>104</v>
      </c>
      <c r="CC1255" s="1" t="s">
        <v>104</v>
      </c>
      <c r="CD1255" s="1" t="s">
        <v>104</v>
      </c>
      <c r="CE1255" s="1" t="s">
        <v>104</v>
      </c>
      <c r="CF1255" s="1" t="s">
        <v>104</v>
      </c>
      <c r="CG1255" s="1" t="s">
        <v>104</v>
      </c>
      <c r="CH1255" s="1" t="s">
        <v>104</v>
      </c>
      <c r="CJ1255" s="1">
        <v>0</v>
      </c>
      <c r="CK1255" s="1">
        <v>0</v>
      </c>
      <c r="CL1255" s="1">
        <v>0</v>
      </c>
      <c r="CM1255" s="1" t="s">
        <v>104</v>
      </c>
    </row>
    <row r="1256" spans="1:91" ht="14.25" customHeight="1" x14ac:dyDescent="0.3">
      <c r="A1256" s="1" t="s">
        <v>7403</v>
      </c>
      <c r="B1256" s="1" t="s">
        <v>123</v>
      </c>
      <c r="C1256" s="1" t="s">
        <v>635</v>
      </c>
      <c r="D1256" s="1" t="s">
        <v>125</v>
      </c>
      <c r="E1256" s="1" t="s">
        <v>1170</v>
      </c>
      <c r="F1256" s="1" t="s">
        <v>95</v>
      </c>
      <c r="G1256" s="1" t="s">
        <v>116</v>
      </c>
      <c r="H1256" s="1">
        <v>0</v>
      </c>
      <c r="I1256" s="1" t="s">
        <v>117</v>
      </c>
      <c r="L1256" s="1" t="s">
        <v>7404</v>
      </c>
      <c r="M1256" s="1" t="s">
        <v>2330</v>
      </c>
      <c r="N1256" s="1">
        <v>0</v>
      </c>
      <c r="O1256" s="1">
        <v>0</v>
      </c>
      <c r="R1256" s="1" t="s">
        <v>7405</v>
      </c>
      <c r="S1256" s="1" t="s">
        <v>7302</v>
      </c>
      <c r="T1256" s="1">
        <v>1</v>
      </c>
      <c r="U1256" s="1">
        <v>1</v>
      </c>
      <c r="V1256" s="1">
        <v>0</v>
      </c>
      <c r="W1256" s="1">
        <v>0</v>
      </c>
      <c r="X1256" s="1">
        <v>0</v>
      </c>
      <c r="Y1256" s="1" t="s">
        <v>104</v>
      </c>
      <c r="Z1256" s="1" t="s">
        <v>104</v>
      </c>
      <c r="AA1256" s="1" t="s">
        <v>104</v>
      </c>
      <c r="AB1256" s="1">
        <v>3</v>
      </c>
      <c r="AC1256" s="1">
        <v>3</v>
      </c>
      <c r="AD1256" s="1" t="s">
        <v>104</v>
      </c>
      <c r="AE1256" s="1" t="s">
        <v>104</v>
      </c>
      <c r="AF1256" s="1" t="s">
        <v>104</v>
      </c>
      <c r="AG1256" s="1" t="s">
        <v>104</v>
      </c>
      <c r="AH1256" s="1" t="s">
        <v>104</v>
      </c>
      <c r="AI1256" s="1" t="s">
        <v>104</v>
      </c>
      <c r="AJ1256" s="1" t="s">
        <v>104</v>
      </c>
      <c r="AK1256" s="1" t="s">
        <v>104</v>
      </c>
      <c r="AL1256" s="1" t="s">
        <v>104</v>
      </c>
      <c r="AM1256" s="1" t="s">
        <v>104</v>
      </c>
      <c r="AO1256" s="1">
        <v>3</v>
      </c>
      <c r="AQ1256" s="1" t="s">
        <v>7406</v>
      </c>
      <c r="AR1256" s="1">
        <v>0</v>
      </c>
      <c r="AS1256" s="1">
        <v>0</v>
      </c>
      <c r="AT1256" s="1">
        <v>0</v>
      </c>
      <c r="AU1256" s="1">
        <v>0</v>
      </c>
      <c r="AV1256" s="1">
        <v>0</v>
      </c>
      <c r="AW1256" s="1">
        <v>0</v>
      </c>
      <c r="AX1256" s="1">
        <v>0</v>
      </c>
      <c r="AY1256" s="1">
        <v>0</v>
      </c>
      <c r="AZ1256" s="1">
        <v>0</v>
      </c>
      <c r="BA1256" s="1">
        <v>0</v>
      </c>
      <c r="BB1256" s="1">
        <v>0</v>
      </c>
      <c r="BC1256" s="1">
        <v>0</v>
      </c>
      <c r="BD1256" s="1">
        <v>0</v>
      </c>
      <c r="BE1256" s="1">
        <v>0</v>
      </c>
      <c r="BF1256" s="1">
        <v>0</v>
      </c>
      <c r="BG1256" s="1">
        <v>0</v>
      </c>
      <c r="BH1256" s="1">
        <v>0</v>
      </c>
      <c r="BI1256" s="1">
        <v>0</v>
      </c>
      <c r="BJ1256" s="1">
        <v>0</v>
      </c>
      <c r="BK1256" s="1">
        <v>1</v>
      </c>
      <c r="BL1256" s="1">
        <v>0</v>
      </c>
      <c r="BM1256" s="1">
        <v>0</v>
      </c>
      <c r="BN1256" s="1">
        <v>0</v>
      </c>
      <c r="BO1256" s="1">
        <v>0</v>
      </c>
      <c r="BP1256" s="1">
        <v>0</v>
      </c>
      <c r="BQ1256" s="2" t="str">
        <f>HYPERLINK("http://www.d20pfsrd.com/magic/all-spells/c/companion-mind-link","Companion Mind Link")</f>
        <v>Companion Mind Link</v>
      </c>
      <c r="BR1256" s="1">
        <v>1310</v>
      </c>
      <c r="BS1256" s="1" t="s">
        <v>104</v>
      </c>
      <c r="BX1256" s="1">
        <v>0</v>
      </c>
      <c r="BY1256" s="1" t="s">
        <v>104</v>
      </c>
      <c r="BZ1256" s="1" t="s">
        <v>104</v>
      </c>
      <c r="CA1256" s="1" t="s">
        <v>104</v>
      </c>
      <c r="CB1256" s="1" t="s">
        <v>104</v>
      </c>
      <c r="CC1256" s="1" t="s">
        <v>104</v>
      </c>
      <c r="CD1256" s="1" t="s">
        <v>104</v>
      </c>
      <c r="CE1256" s="1" t="s">
        <v>104</v>
      </c>
      <c r="CF1256" s="1" t="s">
        <v>104</v>
      </c>
      <c r="CG1256" s="1" t="s">
        <v>104</v>
      </c>
      <c r="CH1256" s="1">
        <v>3</v>
      </c>
      <c r="CJ1256" s="1">
        <v>0</v>
      </c>
      <c r="CK1256" s="1">
        <v>0</v>
      </c>
      <c r="CL1256" s="1">
        <v>0</v>
      </c>
      <c r="CM1256" s="1" t="s">
        <v>104</v>
      </c>
    </row>
    <row r="1257" spans="1:91" ht="14.25" customHeight="1" x14ac:dyDescent="0.3">
      <c r="A1257" s="1" t="s">
        <v>7407</v>
      </c>
      <c r="B1257" s="1" t="s">
        <v>123</v>
      </c>
      <c r="C1257" s="1" t="s">
        <v>124</v>
      </c>
      <c r="D1257" s="1" t="s">
        <v>125</v>
      </c>
      <c r="E1257" s="1" t="s">
        <v>7408</v>
      </c>
      <c r="F1257" s="1" t="s">
        <v>95</v>
      </c>
      <c r="G1257" s="1" t="s">
        <v>5322</v>
      </c>
      <c r="H1257" s="1">
        <v>0</v>
      </c>
      <c r="I1257" s="1" t="s">
        <v>157</v>
      </c>
      <c r="L1257" s="1" t="s">
        <v>158</v>
      </c>
      <c r="M1257" s="1" t="s">
        <v>111</v>
      </c>
      <c r="N1257" s="1">
        <v>0</v>
      </c>
      <c r="O1257" s="1">
        <v>0</v>
      </c>
      <c r="P1257" s="1" t="s">
        <v>145</v>
      </c>
      <c r="Q1257" s="1" t="s">
        <v>145</v>
      </c>
      <c r="R1257" s="1" t="s">
        <v>7409</v>
      </c>
      <c r="S1257" s="1" t="s">
        <v>7302</v>
      </c>
      <c r="T1257" s="1">
        <v>1</v>
      </c>
      <c r="U1257" s="1">
        <v>1</v>
      </c>
      <c r="V1257" s="1">
        <v>1</v>
      </c>
      <c r="W1257" s="1">
        <v>0</v>
      </c>
      <c r="X1257" s="1">
        <v>0</v>
      </c>
      <c r="Y1257" s="1" t="s">
        <v>104</v>
      </c>
      <c r="Z1257" s="1" t="s">
        <v>104</v>
      </c>
      <c r="AA1257" s="1">
        <v>1</v>
      </c>
      <c r="AB1257" s="1" t="s">
        <v>104</v>
      </c>
      <c r="AC1257" s="1">
        <v>1</v>
      </c>
      <c r="AD1257" s="1">
        <v>1</v>
      </c>
      <c r="AE1257" s="1">
        <v>1</v>
      </c>
      <c r="AF1257" s="1" t="s">
        <v>104</v>
      </c>
      <c r="AG1257" s="1">
        <v>1</v>
      </c>
      <c r="AH1257" s="1">
        <v>1</v>
      </c>
      <c r="AI1257" s="1">
        <v>1</v>
      </c>
      <c r="AJ1257" s="1">
        <v>1</v>
      </c>
      <c r="AK1257" s="1" t="s">
        <v>104</v>
      </c>
      <c r="AL1257" s="1" t="s">
        <v>104</v>
      </c>
      <c r="AM1257" s="1" t="s">
        <v>104</v>
      </c>
      <c r="AO1257" s="1">
        <v>1</v>
      </c>
      <c r="AQ1257" s="1" t="s">
        <v>7410</v>
      </c>
      <c r="AR1257" s="1">
        <v>0</v>
      </c>
      <c r="AS1257" s="1">
        <v>0</v>
      </c>
      <c r="AT1257" s="1">
        <v>0</v>
      </c>
      <c r="AU1257" s="1">
        <v>0</v>
      </c>
      <c r="AV1257" s="1">
        <v>0</v>
      </c>
      <c r="AW1257" s="1">
        <v>0</v>
      </c>
      <c r="AX1257" s="1">
        <v>0</v>
      </c>
      <c r="AY1257" s="1">
        <v>0</v>
      </c>
      <c r="AZ1257" s="1">
        <v>0</v>
      </c>
      <c r="BA1257" s="1">
        <v>0</v>
      </c>
      <c r="BB1257" s="1">
        <v>0</v>
      </c>
      <c r="BC1257" s="1">
        <v>0</v>
      </c>
      <c r="BD1257" s="1">
        <v>0</v>
      </c>
      <c r="BE1257" s="1">
        <v>0</v>
      </c>
      <c r="BF1257" s="1">
        <v>0</v>
      </c>
      <c r="BG1257" s="1">
        <v>0</v>
      </c>
      <c r="BH1257" s="1">
        <v>0</v>
      </c>
      <c r="BI1257" s="1">
        <v>0</v>
      </c>
      <c r="BJ1257" s="1">
        <v>0</v>
      </c>
      <c r="BK1257" s="1">
        <v>1</v>
      </c>
      <c r="BL1257" s="1">
        <v>0</v>
      </c>
      <c r="BM1257" s="1">
        <v>0</v>
      </c>
      <c r="BN1257" s="1">
        <v>0</v>
      </c>
      <c r="BO1257" s="1">
        <v>0</v>
      </c>
      <c r="BP1257" s="1">
        <v>0</v>
      </c>
      <c r="BQ1257" s="2" t="str">
        <f>HYPERLINK("http://www.d20pfsrd.com/magic/all-spells/c/compel-hostility","Compel Hostility")</f>
        <v>Compel Hostility</v>
      </c>
      <c r="BR1257" s="1">
        <v>1311</v>
      </c>
      <c r="BS1257" s="1" t="s">
        <v>104</v>
      </c>
      <c r="BX1257" s="1">
        <v>0</v>
      </c>
      <c r="BY1257" s="1" t="s">
        <v>104</v>
      </c>
      <c r="BZ1257" s="1" t="s">
        <v>104</v>
      </c>
      <c r="CA1257" s="1">
        <v>1</v>
      </c>
      <c r="CB1257" s="1">
        <v>1</v>
      </c>
      <c r="CC1257" s="1">
        <v>1</v>
      </c>
      <c r="CD1257" s="1" t="s">
        <v>104</v>
      </c>
      <c r="CE1257" s="1" t="s">
        <v>104</v>
      </c>
      <c r="CF1257" s="1" t="s">
        <v>104</v>
      </c>
      <c r="CG1257" s="1" t="s">
        <v>104</v>
      </c>
      <c r="CH1257" s="1">
        <v>1</v>
      </c>
      <c r="CJ1257" s="1">
        <v>0</v>
      </c>
      <c r="CK1257" s="1">
        <v>0</v>
      </c>
      <c r="CL1257" s="1">
        <v>0</v>
      </c>
      <c r="CM1257" s="1">
        <v>1</v>
      </c>
    </row>
    <row r="1258" spans="1:91" ht="14.25" customHeight="1" x14ac:dyDescent="0.3">
      <c r="A1258" s="1" t="s">
        <v>7411</v>
      </c>
      <c r="B1258" s="1" t="s">
        <v>137</v>
      </c>
      <c r="E1258" s="1" t="s">
        <v>7412</v>
      </c>
      <c r="F1258" s="1" t="s">
        <v>95</v>
      </c>
      <c r="G1258" s="1" t="s">
        <v>7413</v>
      </c>
      <c r="H1258" s="1">
        <v>0</v>
      </c>
      <c r="I1258" s="1" t="s">
        <v>117</v>
      </c>
      <c r="L1258" s="1" t="s">
        <v>7414</v>
      </c>
      <c r="M1258" s="1" t="s">
        <v>119</v>
      </c>
      <c r="N1258" s="1">
        <v>0</v>
      </c>
      <c r="O1258" s="1">
        <v>0</v>
      </c>
      <c r="P1258" s="1" t="s">
        <v>471</v>
      </c>
      <c r="Q1258" s="1" t="s">
        <v>472</v>
      </c>
      <c r="R1258" s="1" t="s">
        <v>7415</v>
      </c>
      <c r="S1258" s="1" t="s">
        <v>7302</v>
      </c>
      <c r="T1258" s="1">
        <v>1</v>
      </c>
      <c r="U1258" s="1">
        <v>1</v>
      </c>
      <c r="V1258" s="1">
        <v>1</v>
      </c>
      <c r="W1258" s="1">
        <v>0</v>
      </c>
      <c r="X1258" s="1">
        <v>1</v>
      </c>
      <c r="Y1258" s="1">
        <v>1</v>
      </c>
      <c r="Z1258" s="1">
        <v>1</v>
      </c>
      <c r="AA1258" s="1" t="s">
        <v>104</v>
      </c>
      <c r="AB1258" s="1">
        <v>1</v>
      </c>
      <c r="AC1258" s="1" t="s">
        <v>104</v>
      </c>
      <c r="AD1258" s="1" t="s">
        <v>104</v>
      </c>
      <c r="AE1258" s="1" t="s">
        <v>104</v>
      </c>
      <c r="AF1258" s="1" t="s">
        <v>104</v>
      </c>
      <c r="AG1258" s="1" t="s">
        <v>104</v>
      </c>
      <c r="AH1258" s="1">
        <v>1</v>
      </c>
      <c r="AI1258" s="1" t="s">
        <v>104</v>
      </c>
      <c r="AJ1258" s="1" t="s">
        <v>104</v>
      </c>
      <c r="AK1258" s="1" t="s">
        <v>104</v>
      </c>
      <c r="AL1258" s="1" t="s">
        <v>104</v>
      </c>
      <c r="AM1258" s="1" t="s">
        <v>104</v>
      </c>
      <c r="AO1258" s="1">
        <v>1</v>
      </c>
      <c r="AQ1258" s="1" t="s">
        <v>7416</v>
      </c>
      <c r="AR1258" s="1">
        <v>0</v>
      </c>
      <c r="AS1258" s="1">
        <v>0</v>
      </c>
      <c r="AT1258" s="1">
        <v>0</v>
      </c>
      <c r="AU1258" s="1">
        <v>0</v>
      </c>
      <c r="AV1258" s="1">
        <v>0</v>
      </c>
      <c r="AW1258" s="1">
        <v>0</v>
      </c>
      <c r="AX1258" s="1">
        <v>0</v>
      </c>
      <c r="AY1258" s="1">
        <v>0</v>
      </c>
      <c r="AZ1258" s="1">
        <v>0</v>
      </c>
      <c r="BA1258" s="1">
        <v>0</v>
      </c>
      <c r="BB1258" s="1">
        <v>0</v>
      </c>
      <c r="BC1258" s="1">
        <v>0</v>
      </c>
      <c r="BD1258" s="1">
        <v>0</v>
      </c>
      <c r="BE1258" s="1">
        <v>0</v>
      </c>
      <c r="BF1258" s="1">
        <v>0</v>
      </c>
      <c r="BG1258" s="1">
        <v>0</v>
      </c>
      <c r="BH1258" s="1">
        <v>0</v>
      </c>
      <c r="BI1258" s="1">
        <v>0</v>
      </c>
      <c r="BJ1258" s="1">
        <v>0</v>
      </c>
      <c r="BK1258" s="1">
        <v>0</v>
      </c>
      <c r="BL1258" s="1">
        <v>0</v>
      </c>
      <c r="BM1258" s="1">
        <v>0</v>
      </c>
      <c r="BN1258" s="1">
        <v>0</v>
      </c>
      <c r="BO1258" s="1">
        <v>0</v>
      </c>
      <c r="BP1258" s="1">
        <v>0</v>
      </c>
      <c r="BQ1258" s="2" t="str">
        <f>HYPERLINK("http://www.d20pfsrd.com/magic/all-spells/d/damp-powder","Damp Powder")</f>
        <v>Damp Powder</v>
      </c>
      <c r="BR1258" s="1">
        <v>1312</v>
      </c>
      <c r="BS1258" s="1" t="s">
        <v>104</v>
      </c>
      <c r="BX1258" s="1">
        <v>0</v>
      </c>
      <c r="BY1258" s="1" t="s">
        <v>104</v>
      </c>
      <c r="BZ1258" s="1" t="s">
        <v>104</v>
      </c>
      <c r="CA1258" s="1" t="s">
        <v>104</v>
      </c>
      <c r="CB1258" s="1" t="s">
        <v>104</v>
      </c>
      <c r="CC1258" s="1" t="s">
        <v>104</v>
      </c>
      <c r="CD1258" s="1" t="s">
        <v>104</v>
      </c>
      <c r="CE1258" s="1" t="s">
        <v>104</v>
      </c>
      <c r="CF1258" s="1" t="s">
        <v>104</v>
      </c>
      <c r="CG1258" s="1" t="s">
        <v>104</v>
      </c>
      <c r="CH1258" s="1">
        <v>1</v>
      </c>
      <c r="CJ1258" s="1">
        <v>0</v>
      </c>
      <c r="CK1258" s="1">
        <v>0</v>
      </c>
      <c r="CL1258" s="1">
        <v>0</v>
      </c>
      <c r="CM1258" s="1" t="s">
        <v>104</v>
      </c>
    </row>
    <row r="1259" spans="1:91" ht="14.25" customHeight="1" x14ac:dyDescent="0.3">
      <c r="A1259" s="1" t="s">
        <v>7417</v>
      </c>
      <c r="B1259" s="1" t="s">
        <v>137</v>
      </c>
      <c r="E1259" s="1" t="s">
        <v>7418</v>
      </c>
      <c r="F1259" s="1" t="s">
        <v>95</v>
      </c>
      <c r="G1259" s="1" t="s">
        <v>990</v>
      </c>
      <c r="H1259" s="1">
        <v>0</v>
      </c>
      <c r="I1259" s="1" t="s">
        <v>128</v>
      </c>
      <c r="L1259" s="1" t="s">
        <v>7332</v>
      </c>
      <c r="M1259" s="1" t="s">
        <v>201</v>
      </c>
      <c r="N1259" s="1">
        <v>0</v>
      </c>
      <c r="O1259" s="1">
        <v>0</v>
      </c>
      <c r="P1259" s="1" t="s">
        <v>375</v>
      </c>
      <c r="Q1259" s="1" t="s">
        <v>131</v>
      </c>
      <c r="R1259" s="1" t="s">
        <v>7419</v>
      </c>
      <c r="S1259" s="1" t="s">
        <v>7302</v>
      </c>
      <c r="T1259" s="1">
        <v>1</v>
      </c>
      <c r="U1259" s="1">
        <v>1</v>
      </c>
      <c r="V1259" s="1">
        <v>1</v>
      </c>
      <c r="W1259" s="1">
        <v>0</v>
      </c>
      <c r="X1259" s="1">
        <v>0</v>
      </c>
      <c r="Y1259" s="1">
        <v>3</v>
      </c>
      <c r="Z1259" s="1">
        <v>3</v>
      </c>
      <c r="AA1259" s="1" t="s">
        <v>104</v>
      </c>
      <c r="AB1259" s="1" t="s">
        <v>104</v>
      </c>
      <c r="AC1259" s="1">
        <v>4</v>
      </c>
      <c r="AD1259" s="1" t="s">
        <v>104</v>
      </c>
      <c r="AE1259" s="1" t="s">
        <v>104</v>
      </c>
      <c r="AF1259" s="1">
        <v>3</v>
      </c>
      <c r="AG1259" s="1" t="s">
        <v>104</v>
      </c>
      <c r="AH1259" s="1" t="s">
        <v>104</v>
      </c>
      <c r="AI1259" s="1" t="s">
        <v>104</v>
      </c>
      <c r="AJ1259" s="1" t="s">
        <v>104</v>
      </c>
      <c r="AK1259" s="1">
        <v>3</v>
      </c>
      <c r="AL1259" s="1" t="s">
        <v>104</v>
      </c>
      <c r="AM1259" s="1" t="s">
        <v>104</v>
      </c>
      <c r="AO1259" s="1">
        <v>3</v>
      </c>
      <c r="AQ1259" s="1" t="s">
        <v>7420</v>
      </c>
      <c r="AR1259" s="1">
        <v>0</v>
      </c>
      <c r="AS1259" s="1">
        <v>0</v>
      </c>
      <c r="AT1259" s="1">
        <v>0</v>
      </c>
      <c r="AU1259" s="1">
        <v>0</v>
      </c>
      <c r="AV1259" s="1">
        <v>0</v>
      </c>
      <c r="AW1259" s="1">
        <v>0</v>
      </c>
      <c r="AX1259" s="1">
        <v>0</v>
      </c>
      <c r="AY1259" s="1">
        <v>0</v>
      </c>
      <c r="AZ1259" s="1">
        <v>0</v>
      </c>
      <c r="BA1259" s="1">
        <v>0</v>
      </c>
      <c r="BB1259" s="1">
        <v>0</v>
      </c>
      <c r="BC1259" s="1">
        <v>0</v>
      </c>
      <c r="BD1259" s="1">
        <v>0</v>
      </c>
      <c r="BE1259" s="1">
        <v>0</v>
      </c>
      <c r="BF1259" s="1">
        <v>0</v>
      </c>
      <c r="BG1259" s="1">
        <v>0</v>
      </c>
      <c r="BH1259" s="1">
        <v>0</v>
      </c>
      <c r="BI1259" s="1">
        <v>0</v>
      </c>
      <c r="BJ1259" s="1">
        <v>0</v>
      </c>
      <c r="BK1259" s="1">
        <v>0</v>
      </c>
      <c r="BL1259" s="1">
        <v>0</v>
      </c>
      <c r="BM1259" s="1">
        <v>0</v>
      </c>
      <c r="BN1259" s="1">
        <v>0</v>
      </c>
      <c r="BO1259" s="1">
        <v>0</v>
      </c>
      <c r="BP1259" s="1">
        <v>0</v>
      </c>
      <c r="BQ1259" s="2" t="str">
        <f>HYPERLINK("http://www.d20pfsrd.com/magic/all-spells/d/darkvision#TOC-Darkvision-Communal","Darkvision, Communal")</f>
        <v>Darkvision, Communal</v>
      </c>
      <c r="BR1259" s="1">
        <v>1313</v>
      </c>
      <c r="BS1259" s="1" t="s">
        <v>104</v>
      </c>
      <c r="BX1259" s="1">
        <v>0</v>
      </c>
      <c r="BY1259" s="1" t="s">
        <v>104</v>
      </c>
      <c r="BZ1259" s="1" t="s">
        <v>104</v>
      </c>
      <c r="CA1259" s="1">
        <v>3</v>
      </c>
      <c r="CB1259" s="1" t="s">
        <v>104</v>
      </c>
      <c r="CC1259" s="1" t="s">
        <v>104</v>
      </c>
      <c r="CD1259" s="1">
        <v>3</v>
      </c>
      <c r="CE1259" s="1" t="s">
        <v>104</v>
      </c>
      <c r="CF1259" s="1" t="s">
        <v>104</v>
      </c>
      <c r="CG1259" s="1" t="s">
        <v>104</v>
      </c>
      <c r="CH1259" s="1">
        <v>4</v>
      </c>
      <c r="CJ1259" s="1">
        <v>0</v>
      </c>
      <c r="CK1259" s="1">
        <v>0</v>
      </c>
      <c r="CL1259" s="1">
        <v>0</v>
      </c>
      <c r="CM1259" s="1" t="s">
        <v>104</v>
      </c>
    </row>
    <row r="1260" spans="1:91" ht="14.25" customHeight="1" x14ac:dyDescent="0.3">
      <c r="A1260" s="1" t="s">
        <v>7421</v>
      </c>
      <c r="B1260" s="1" t="s">
        <v>434</v>
      </c>
      <c r="D1260" s="1" t="s">
        <v>61</v>
      </c>
      <c r="E1260" s="1" t="s">
        <v>7422</v>
      </c>
      <c r="F1260" s="1" t="s">
        <v>95</v>
      </c>
      <c r="G1260" s="1" t="s">
        <v>116</v>
      </c>
      <c r="H1260" s="1">
        <v>0</v>
      </c>
      <c r="I1260" s="1" t="s">
        <v>128</v>
      </c>
      <c r="L1260" s="1" t="s">
        <v>7423</v>
      </c>
      <c r="M1260" s="1" t="s">
        <v>4292</v>
      </c>
      <c r="N1260" s="1">
        <v>0</v>
      </c>
      <c r="O1260" s="1">
        <v>0</v>
      </c>
      <c r="P1260" s="1" t="s">
        <v>7424</v>
      </c>
      <c r="Q1260" s="1" t="s">
        <v>149</v>
      </c>
      <c r="R1260" s="1" t="s">
        <v>7425</v>
      </c>
      <c r="S1260" s="1" t="s">
        <v>7302</v>
      </c>
      <c r="T1260" s="1">
        <v>1</v>
      </c>
      <c r="U1260" s="1">
        <v>1</v>
      </c>
      <c r="V1260" s="1">
        <v>0</v>
      </c>
      <c r="W1260" s="1">
        <v>0</v>
      </c>
      <c r="X1260" s="1">
        <v>0</v>
      </c>
      <c r="Y1260" s="1" t="s">
        <v>104</v>
      </c>
      <c r="Z1260" s="1" t="s">
        <v>104</v>
      </c>
      <c r="AA1260" s="1">
        <v>3</v>
      </c>
      <c r="AB1260" s="1" t="s">
        <v>104</v>
      </c>
      <c r="AC1260" s="1" t="s">
        <v>104</v>
      </c>
      <c r="AD1260" s="1" t="s">
        <v>104</v>
      </c>
      <c r="AE1260" s="1">
        <v>3</v>
      </c>
      <c r="AF1260" s="1" t="s">
        <v>104</v>
      </c>
      <c r="AG1260" s="1" t="s">
        <v>104</v>
      </c>
      <c r="AH1260" s="1" t="s">
        <v>104</v>
      </c>
      <c r="AI1260" s="1">
        <v>3</v>
      </c>
      <c r="AJ1260" s="1">
        <v>3</v>
      </c>
      <c r="AK1260" s="1" t="s">
        <v>104</v>
      </c>
      <c r="AL1260" s="1" t="s">
        <v>104</v>
      </c>
      <c r="AM1260" s="1" t="s">
        <v>104</v>
      </c>
      <c r="AO1260" s="1">
        <v>3</v>
      </c>
      <c r="AQ1260" s="1" t="s">
        <v>7426</v>
      </c>
      <c r="AR1260" s="1">
        <v>0</v>
      </c>
      <c r="AS1260" s="1">
        <v>0</v>
      </c>
      <c r="AT1260" s="1">
        <v>0</v>
      </c>
      <c r="AU1260" s="1">
        <v>0</v>
      </c>
      <c r="AV1260" s="1">
        <v>0</v>
      </c>
      <c r="AW1260" s="1">
        <v>0</v>
      </c>
      <c r="AX1260" s="1">
        <v>0</v>
      </c>
      <c r="AY1260" s="1">
        <v>0</v>
      </c>
      <c r="AZ1260" s="1">
        <v>0</v>
      </c>
      <c r="BA1260" s="1">
        <v>0</v>
      </c>
      <c r="BB1260" s="1">
        <v>0</v>
      </c>
      <c r="BC1260" s="1">
        <v>0</v>
      </c>
      <c r="BD1260" s="1">
        <v>0</v>
      </c>
      <c r="BE1260" s="1">
        <v>0</v>
      </c>
      <c r="BF1260" s="1">
        <v>0</v>
      </c>
      <c r="BG1260" s="1">
        <v>0</v>
      </c>
      <c r="BH1260" s="1">
        <v>0</v>
      </c>
      <c r="BI1260" s="1">
        <v>0</v>
      </c>
      <c r="BJ1260" s="1">
        <v>1</v>
      </c>
      <c r="BK1260" s="1">
        <v>0</v>
      </c>
      <c r="BL1260" s="1">
        <v>0</v>
      </c>
      <c r="BM1260" s="1">
        <v>0</v>
      </c>
      <c r="BN1260" s="1">
        <v>0</v>
      </c>
      <c r="BO1260" s="1">
        <v>0</v>
      </c>
      <c r="BP1260" s="1">
        <v>0</v>
      </c>
      <c r="BQ1260" s="2" t="str">
        <f>HYPERLINK("http://www.d20pfsrd.com/magic/all-spells/d/daybreak-arrow","Daybreak Arrow")</f>
        <v>Daybreak Arrow</v>
      </c>
      <c r="BR1260" s="1">
        <v>1314</v>
      </c>
      <c r="BS1260" s="1" t="s">
        <v>104</v>
      </c>
      <c r="BV1260" s="1" t="s">
        <v>7427</v>
      </c>
      <c r="BX1260" s="1">
        <v>1</v>
      </c>
      <c r="BY1260" s="1" t="s">
        <v>104</v>
      </c>
      <c r="BZ1260" s="1" t="s">
        <v>104</v>
      </c>
      <c r="CA1260" s="1" t="s">
        <v>104</v>
      </c>
      <c r="CB1260" s="1" t="s">
        <v>104</v>
      </c>
      <c r="CC1260" s="1" t="s">
        <v>104</v>
      </c>
      <c r="CD1260" s="1">
        <v>3</v>
      </c>
      <c r="CE1260" s="1" t="s">
        <v>104</v>
      </c>
      <c r="CF1260" s="1" t="s">
        <v>104</v>
      </c>
      <c r="CG1260" s="1" t="s">
        <v>104</v>
      </c>
      <c r="CH1260" s="1" t="s">
        <v>104</v>
      </c>
      <c r="CJ1260" s="1">
        <v>0</v>
      </c>
      <c r="CK1260" s="1">
        <v>0</v>
      </c>
      <c r="CL1260" s="1">
        <v>0</v>
      </c>
      <c r="CM1260" s="1" t="s">
        <v>104</v>
      </c>
    </row>
    <row r="1261" spans="1:91" ht="14.25" customHeight="1" x14ac:dyDescent="0.3">
      <c r="A1261" s="1" t="s">
        <v>7428</v>
      </c>
      <c r="B1261" s="1" t="s">
        <v>216</v>
      </c>
      <c r="D1261" s="1" t="s">
        <v>49</v>
      </c>
      <c r="E1261" s="1" t="s">
        <v>7429</v>
      </c>
      <c r="F1261" s="1" t="s">
        <v>95</v>
      </c>
      <c r="G1261" s="1" t="s">
        <v>116</v>
      </c>
      <c r="H1261" s="1">
        <v>0</v>
      </c>
      <c r="I1261" s="1" t="s">
        <v>157</v>
      </c>
      <c r="L1261" s="1" t="s">
        <v>158</v>
      </c>
      <c r="M1261" s="1" t="s">
        <v>2330</v>
      </c>
      <c r="N1261" s="1">
        <v>0</v>
      </c>
      <c r="O1261" s="1">
        <v>0</v>
      </c>
      <c r="R1261" s="1" t="s">
        <v>7430</v>
      </c>
      <c r="S1261" s="1" t="s">
        <v>7302</v>
      </c>
      <c r="T1261" s="1">
        <v>1</v>
      </c>
      <c r="U1261" s="1">
        <v>1</v>
      </c>
      <c r="V1261" s="1">
        <v>0</v>
      </c>
      <c r="W1261" s="1">
        <v>0</v>
      </c>
      <c r="X1261" s="1">
        <v>0</v>
      </c>
      <c r="Y1261" s="1" t="s">
        <v>104</v>
      </c>
      <c r="Z1261" s="1" t="s">
        <v>104</v>
      </c>
      <c r="AA1261" s="1">
        <v>3</v>
      </c>
      <c r="AB1261" s="1" t="s">
        <v>104</v>
      </c>
      <c r="AC1261" s="1" t="s">
        <v>104</v>
      </c>
      <c r="AD1261" s="1" t="s">
        <v>104</v>
      </c>
      <c r="AE1261" s="1">
        <v>3</v>
      </c>
      <c r="AF1261" s="1" t="s">
        <v>104</v>
      </c>
      <c r="AG1261" s="1" t="s">
        <v>104</v>
      </c>
      <c r="AH1261" s="1" t="s">
        <v>104</v>
      </c>
      <c r="AI1261" s="1">
        <v>3</v>
      </c>
      <c r="AJ1261" s="1">
        <v>3</v>
      </c>
      <c r="AK1261" s="1">
        <v>3</v>
      </c>
      <c r="AL1261" s="1" t="s">
        <v>104</v>
      </c>
      <c r="AM1261" s="1" t="s">
        <v>104</v>
      </c>
      <c r="AO1261" s="1">
        <v>3</v>
      </c>
      <c r="AQ1261" s="1" t="s">
        <v>7431</v>
      </c>
      <c r="AR1261" s="1">
        <v>0</v>
      </c>
      <c r="AS1261" s="1">
        <v>0</v>
      </c>
      <c r="AT1261" s="1">
        <v>0</v>
      </c>
      <c r="AU1261" s="1">
        <v>0</v>
      </c>
      <c r="AV1261" s="1">
        <v>0</v>
      </c>
      <c r="AW1261" s="1">
        <v>0</v>
      </c>
      <c r="AX1261" s="1">
        <v>1</v>
      </c>
      <c r="AY1261" s="1">
        <v>0</v>
      </c>
      <c r="AZ1261" s="1">
        <v>0</v>
      </c>
      <c r="BA1261" s="1">
        <v>0</v>
      </c>
      <c r="BB1261" s="1">
        <v>0</v>
      </c>
      <c r="BC1261" s="1">
        <v>0</v>
      </c>
      <c r="BD1261" s="1">
        <v>0</v>
      </c>
      <c r="BE1261" s="1">
        <v>0</v>
      </c>
      <c r="BF1261" s="1">
        <v>0</v>
      </c>
      <c r="BG1261" s="1">
        <v>0</v>
      </c>
      <c r="BH1261" s="1">
        <v>0</v>
      </c>
      <c r="BI1261" s="1">
        <v>0</v>
      </c>
      <c r="BJ1261" s="1">
        <v>0</v>
      </c>
      <c r="BK1261" s="1">
        <v>0</v>
      </c>
      <c r="BL1261" s="1">
        <v>0</v>
      </c>
      <c r="BM1261" s="1">
        <v>0</v>
      </c>
      <c r="BN1261" s="1">
        <v>0</v>
      </c>
      <c r="BO1261" s="1">
        <v>0</v>
      </c>
      <c r="BP1261" s="1">
        <v>0</v>
      </c>
      <c r="BQ1261" s="2" t="str">
        <f>HYPERLINK("http://www.d20pfsrd.com/magic/all-spells/d/deadly-juggernaut","Deadly Juggernaut")</f>
        <v>Deadly Juggernaut</v>
      </c>
      <c r="BR1261" s="1">
        <v>1315</v>
      </c>
      <c r="BS1261" s="1" t="s">
        <v>104</v>
      </c>
      <c r="BX1261" s="1">
        <v>0</v>
      </c>
      <c r="BY1261" s="1" t="s">
        <v>104</v>
      </c>
      <c r="BZ1261" s="1" t="s">
        <v>104</v>
      </c>
      <c r="CA1261" s="1" t="s">
        <v>104</v>
      </c>
      <c r="CB1261" s="1" t="s">
        <v>104</v>
      </c>
      <c r="CC1261" s="1" t="s">
        <v>104</v>
      </c>
      <c r="CD1261" s="1" t="s">
        <v>104</v>
      </c>
      <c r="CE1261" s="1" t="s">
        <v>104</v>
      </c>
      <c r="CF1261" s="1" t="s">
        <v>104</v>
      </c>
      <c r="CG1261" s="1" t="s">
        <v>104</v>
      </c>
      <c r="CH1261" s="1" t="s">
        <v>104</v>
      </c>
      <c r="CJ1261" s="1">
        <v>0</v>
      </c>
      <c r="CK1261" s="1">
        <v>0</v>
      </c>
      <c r="CL1261" s="1">
        <v>0</v>
      </c>
      <c r="CM1261" s="1" t="s">
        <v>104</v>
      </c>
    </row>
    <row r="1262" spans="1:91" ht="14.25" customHeight="1" x14ac:dyDescent="0.3">
      <c r="A1262" s="1" t="s">
        <v>7432</v>
      </c>
      <c r="B1262" s="1" t="s">
        <v>172</v>
      </c>
      <c r="E1262" s="1" t="s">
        <v>7433</v>
      </c>
      <c r="F1262" s="1" t="s">
        <v>255</v>
      </c>
      <c r="G1262" s="1" t="s">
        <v>116</v>
      </c>
      <c r="H1262" s="1">
        <v>0</v>
      </c>
      <c r="I1262" s="1" t="s">
        <v>157</v>
      </c>
      <c r="L1262" s="1" t="s">
        <v>158</v>
      </c>
      <c r="M1262" s="1" t="s">
        <v>201</v>
      </c>
      <c r="N1262" s="1">
        <v>0</v>
      </c>
      <c r="O1262" s="1">
        <v>0</v>
      </c>
      <c r="R1262" s="1" t="s">
        <v>7434</v>
      </c>
      <c r="S1262" s="1" t="s">
        <v>7302</v>
      </c>
      <c r="T1262" s="1">
        <v>1</v>
      </c>
      <c r="U1262" s="1">
        <v>1</v>
      </c>
      <c r="V1262" s="1">
        <v>0</v>
      </c>
      <c r="W1262" s="1">
        <v>0</v>
      </c>
      <c r="X1262" s="1">
        <v>0</v>
      </c>
      <c r="Y1262" s="1" t="s">
        <v>104</v>
      </c>
      <c r="Z1262" s="1" t="s">
        <v>104</v>
      </c>
      <c r="AA1262" s="1">
        <v>1</v>
      </c>
      <c r="AB1262" s="1">
        <v>1</v>
      </c>
      <c r="AC1262" s="1">
        <v>1</v>
      </c>
      <c r="AD1262" s="1">
        <v>1</v>
      </c>
      <c r="AE1262" s="1" t="s">
        <v>104</v>
      </c>
      <c r="AF1262" s="1" t="s">
        <v>104</v>
      </c>
      <c r="AG1262" s="1" t="s">
        <v>104</v>
      </c>
      <c r="AH1262" s="1" t="s">
        <v>104</v>
      </c>
      <c r="AI1262" s="1">
        <v>1</v>
      </c>
      <c r="AJ1262" s="1">
        <v>1</v>
      </c>
      <c r="AK1262" s="1" t="s">
        <v>104</v>
      </c>
      <c r="AL1262" s="1" t="s">
        <v>104</v>
      </c>
      <c r="AM1262" s="1" t="s">
        <v>104</v>
      </c>
      <c r="AO1262" s="1">
        <v>1</v>
      </c>
      <c r="AQ1262" s="1" t="s">
        <v>7435</v>
      </c>
      <c r="AR1262" s="1">
        <v>0</v>
      </c>
      <c r="AS1262" s="1">
        <v>0</v>
      </c>
      <c r="AT1262" s="1">
        <v>0</v>
      </c>
      <c r="AU1262" s="1">
        <v>0</v>
      </c>
      <c r="AV1262" s="1">
        <v>0</v>
      </c>
      <c r="AW1262" s="1">
        <v>0</v>
      </c>
      <c r="AX1262" s="1">
        <v>0</v>
      </c>
      <c r="AY1262" s="1">
        <v>0</v>
      </c>
      <c r="AZ1262" s="1">
        <v>0</v>
      </c>
      <c r="BA1262" s="1">
        <v>0</v>
      </c>
      <c r="BB1262" s="1">
        <v>0</v>
      </c>
      <c r="BC1262" s="1">
        <v>0</v>
      </c>
      <c r="BD1262" s="1">
        <v>0</v>
      </c>
      <c r="BE1262" s="1">
        <v>0</v>
      </c>
      <c r="BF1262" s="1">
        <v>0</v>
      </c>
      <c r="BG1262" s="1">
        <v>0</v>
      </c>
      <c r="BH1262" s="1">
        <v>0</v>
      </c>
      <c r="BI1262" s="1">
        <v>0</v>
      </c>
      <c r="BJ1262" s="1">
        <v>0</v>
      </c>
      <c r="BK1262" s="1">
        <v>0</v>
      </c>
      <c r="BL1262" s="1">
        <v>0</v>
      </c>
      <c r="BM1262" s="1">
        <v>0</v>
      </c>
      <c r="BN1262" s="1">
        <v>0</v>
      </c>
      <c r="BO1262" s="1">
        <v>0</v>
      </c>
      <c r="BP1262" s="1">
        <v>0</v>
      </c>
      <c r="BQ1262" s="2" t="str">
        <f>HYPERLINK("http://www.d20pfsrd.com/magic/all-spells/d/deadeye's-lore","Deadeye's Lore")</f>
        <v>Deadeye's Lore</v>
      </c>
      <c r="BR1262" s="1">
        <v>1316</v>
      </c>
      <c r="BS1262" s="1" t="s">
        <v>104</v>
      </c>
      <c r="BX1262" s="1">
        <v>0</v>
      </c>
      <c r="BY1262" s="1" t="s">
        <v>104</v>
      </c>
      <c r="BZ1262" s="1" t="s">
        <v>104</v>
      </c>
      <c r="CA1262" s="1" t="s">
        <v>104</v>
      </c>
      <c r="CB1262" s="1" t="s">
        <v>104</v>
      </c>
      <c r="CC1262" s="1" t="s">
        <v>104</v>
      </c>
      <c r="CD1262" s="1" t="s">
        <v>104</v>
      </c>
      <c r="CE1262" s="1" t="s">
        <v>104</v>
      </c>
      <c r="CF1262" s="1" t="s">
        <v>104</v>
      </c>
      <c r="CG1262" s="1" t="s">
        <v>104</v>
      </c>
      <c r="CH1262" s="1">
        <v>1</v>
      </c>
      <c r="CJ1262" s="1">
        <v>0</v>
      </c>
      <c r="CK1262" s="1">
        <v>0</v>
      </c>
      <c r="CL1262" s="1">
        <v>0</v>
      </c>
      <c r="CM1262" s="1" t="s">
        <v>104</v>
      </c>
    </row>
    <row r="1263" spans="1:91" ht="14.25" customHeight="1" x14ac:dyDescent="0.3">
      <c r="A1263" s="1" t="s">
        <v>7436</v>
      </c>
      <c r="B1263" s="1" t="s">
        <v>123</v>
      </c>
      <c r="C1263" s="1" t="s">
        <v>124</v>
      </c>
      <c r="D1263" s="1" t="s">
        <v>125</v>
      </c>
      <c r="E1263" s="1" t="s">
        <v>7437</v>
      </c>
      <c r="F1263" s="1" t="s">
        <v>95</v>
      </c>
      <c r="G1263" s="1" t="s">
        <v>127</v>
      </c>
      <c r="H1263" s="1">
        <v>0</v>
      </c>
      <c r="I1263" s="1" t="s">
        <v>109</v>
      </c>
      <c r="L1263" s="1" t="s">
        <v>1065</v>
      </c>
      <c r="M1263" s="1" t="s">
        <v>7438</v>
      </c>
      <c r="N1263" s="1">
        <v>1</v>
      </c>
      <c r="O1263" s="1">
        <v>0</v>
      </c>
      <c r="P1263" s="1" t="s">
        <v>100</v>
      </c>
      <c r="Q1263" s="1" t="s">
        <v>184</v>
      </c>
      <c r="R1263" s="1" t="s">
        <v>7439</v>
      </c>
      <c r="S1263" s="1" t="s">
        <v>7302</v>
      </c>
      <c r="T1263" s="1">
        <v>1</v>
      </c>
      <c r="U1263" s="1">
        <v>1</v>
      </c>
      <c r="V1263" s="1">
        <v>0</v>
      </c>
      <c r="W1263" s="1">
        <v>0</v>
      </c>
      <c r="X1263" s="1">
        <v>1</v>
      </c>
      <c r="Y1263" s="1" t="s">
        <v>104</v>
      </c>
      <c r="Z1263" s="1" t="s">
        <v>104</v>
      </c>
      <c r="AA1263" s="1">
        <v>4</v>
      </c>
      <c r="AB1263" s="1" t="s">
        <v>104</v>
      </c>
      <c r="AC1263" s="1" t="s">
        <v>104</v>
      </c>
      <c r="AD1263" s="1" t="s">
        <v>104</v>
      </c>
      <c r="AE1263" s="1" t="s">
        <v>104</v>
      </c>
      <c r="AF1263" s="1" t="s">
        <v>104</v>
      </c>
      <c r="AG1263" s="1" t="s">
        <v>104</v>
      </c>
      <c r="AH1263" s="1">
        <v>4</v>
      </c>
      <c r="AI1263" s="1" t="s">
        <v>104</v>
      </c>
      <c r="AJ1263" s="1">
        <v>4</v>
      </c>
      <c r="AK1263" s="1" t="s">
        <v>104</v>
      </c>
      <c r="AL1263" s="1" t="s">
        <v>104</v>
      </c>
      <c r="AM1263" s="1" t="s">
        <v>104</v>
      </c>
      <c r="AO1263" s="1">
        <v>4</v>
      </c>
      <c r="AQ1263" s="1" t="s">
        <v>7440</v>
      </c>
      <c r="AR1263" s="1">
        <v>0</v>
      </c>
      <c r="AS1263" s="1">
        <v>0</v>
      </c>
      <c r="AT1263" s="1">
        <v>0</v>
      </c>
      <c r="AU1263" s="1">
        <v>0</v>
      </c>
      <c r="AV1263" s="1">
        <v>0</v>
      </c>
      <c r="AW1263" s="1">
        <v>0</v>
      </c>
      <c r="AX1263" s="1">
        <v>0</v>
      </c>
      <c r="AY1263" s="1">
        <v>0</v>
      </c>
      <c r="AZ1263" s="1">
        <v>0</v>
      </c>
      <c r="BA1263" s="1">
        <v>0</v>
      </c>
      <c r="BB1263" s="1">
        <v>0</v>
      </c>
      <c r="BC1263" s="1">
        <v>0</v>
      </c>
      <c r="BD1263" s="1">
        <v>0</v>
      </c>
      <c r="BE1263" s="1">
        <v>0</v>
      </c>
      <c r="BF1263" s="1">
        <v>0</v>
      </c>
      <c r="BG1263" s="1">
        <v>0</v>
      </c>
      <c r="BH1263" s="1">
        <v>0</v>
      </c>
      <c r="BI1263" s="1">
        <v>0</v>
      </c>
      <c r="BJ1263" s="1">
        <v>0</v>
      </c>
      <c r="BK1263" s="1">
        <v>1</v>
      </c>
      <c r="BL1263" s="1">
        <v>0</v>
      </c>
      <c r="BM1263" s="1">
        <v>0</v>
      </c>
      <c r="BN1263" s="1">
        <v>0</v>
      </c>
      <c r="BO1263" s="1">
        <v>0</v>
      </c>
      <c r="BP1263" s="1">
        <v>0</v>
      </c>
      <c r="BQ1263" s="2" t="str">
        <f>HYPERLINK("http://www.d20pfsrd.com/magic/all-spells/d/debilitating-portent","Debilitating Portent")</f>
        <v>Debilitating Portent</v>
      </c>
      <c r="BR1263" s="1">
        <v>1317</v>
      </c>
      <c r="BS1263" s="1" t="s">
        <v>104</v>
      </c>
      <c r="BX1263" s="1">
        <v>0</v>
      </c>
      <c r="BY1263" s="1" t="s">
        <v>104</v>
      </c>
      <c r="BZ1263" s="1" t="s">
        <v>104</v>
      </c>
      <c r="CA1263" s="1">
        <v>4</v>
      </c>
      <c r="CB1263" s="1" t="s">
        <v>104</v>
      </c>
      <c r="CC1263" s="1" t="s">
        <v>104</v>
      </c>
      <c r="CD1263" s="1" t="s">
        <v>104</v>
      </c>
      <c r="CE1263" s="1">
        <v>4</v>
      </c>
      <c r="CF1263" s="1" t="s">
        <v>104</v>
      </c>
      <c r="CG1263" s="1" t="s">
        <v>104</v>
      </c>
      <c r="CH1263" s="1" t="s">
        <v>104</v>
      </c>
      <c r="CJ1263" s="1">
        <v>0</v>
      </c>
      <c r="CK1263" s="1">
        <v>0</v>
      </c>
      <c r="CL1263" s="1">
        <v>0</v>
      </c>
      <c r="CM1263" s="1" t="s">
        <v>104</v>
      </c>
    </row>
    <row r="1264" spans="1:91" ht="14.25" customHeight="1" x14ac:dyDescent="0.3">
      <c r="A1264" s="1" t="s">
        <v>7441</v>
      </c>
      <c r="B1264" s="1" t="s">
        <v>92</v>
      </c>
      <c r="C1264" s="1" t="s">
        <v>523</v>
      </c>
      <c r="E1264" s="1" t="s">
        <v>7442</v>
      </c>
      <c r="F1264" s="1" t="s">
        <v>95</v>
      </c>
      <c r="G1264" s="1" t="s">
        <v>127</v>
      </c>
      <c r="H1264" s="1">
        <v>0</v>
      </c>
      <c r="I1264" s="1" t="s">
        <v>128</v>
      </c>
      <c r="L1264" s="1" t="s">
        <v>7332</v>
      </c>
      <c r="M1264" s="1" t="s">
        <v>201</v>
      </c>
      <c r="N1264" s="1">
        <v>0</v>
      </c>
      <c r="O1264" s="1">
        <v>0</v>
      </c>
      <c r="P1264" s="1" t="s">
        <v>1058</v>
      </c>
      <c r="Q1264" s="1" t="s">
        <v>131</v>
      </c>
      <c r="R1264" s="1" t="s">
        <v>7443</v>
      </c>
      <c r="S1264" s="1" t="s">
        <v>7302</v>
      </c>
      <c r="T1264" s="1">
        <v>1</v>
      </c>
      <c r="U1264" s="1">
        <v>1</v>
      </c>
      <c r="V1264" s="1">
        <v>0</v>
      </c>
      <c r="W1264" s="1">
        <v>0</v>
      </c>
      <c r="X1264" s="1">
        <v>1</v>
      </c>
      <c r="Y1264" s="1" t="s">
        <v>104</v>
      </c>
      <c r="Z1264" s="1" t="s">
        <v>104</v>
      </c>
      <c r="AA1264" s="1">
        <v>3</v>
      </c>
      <c r="AB1264" s="1">
        <v>3</v>
      </c>
      <c r="AC1264" s="1">
        <v>3</v>
      </c>
      <c r="AD1264" s="1">
        <v>3</v>
      </c>
      <c r="AE1264" s="1">
        <v>3</v>
      </c>
      <c r="AF1264" s="1">
        <v>3</v>
      </c>
      <c r="AG1264" s="1" t="s">
        <v>104</v>
      </c>
      <c r="AH1264" s="1">
        <v>3</v>
      </c>
      <c r="AI1264" s="1">
        <v>3</v>
      </c>
      <c r="AJ1264" s="1">
        <v>3</v>
      </c>
      <c r="AK1264" s="1" t="s">
        <v>104</v>
      </c>
      <c r="AL1264" s="1" t="s">
        <v>104</v>
      </c>
      <c r="AM1264" s="1" t="s">
        <v>104</v>
      </c>
      <c r="AO1264" s="1">
        <v>3</v>
      </c>
      <c r="AQ1264" s="1" t="s">
        <v>7444</v>
      </c>
      <c r="AR1264" s="1">
        <v>0</v>
      </c>
      <c r="AS1264" s="1">
        <v>0</v>
      </c>
      <c r="AT1264" s="1">
        <v>0</v>
      </c>
      <c r="AU1264" s="1">
        <v>0</v>
      </c>
      <c r="AV1264" s="1">
        <v>0</v>
      </c>
      <c r="AW1264" s="1">
        <v>0</v>
      </c>
      <c r="AX1264" s="1">
        <v>0</v>
      </c>
      <c r="AY1264" s="1">
        <v>0</v>
      </c>
      <c r="AZ1264" s="1">
        <v>0</v>
      </c>
      <c r="BA1264" s="1">
        <v>0</v>
      </c>
      <c r="BB1264" s="1">
        <v>0</v>
      </c>
      <c r="BC1264" s="1">
        <v>0</v>
      </c>
      <c r="BD1264" s="1">
        <v>0</v>
      </c>
      <c r="BE1264" s="1">
        <v>0</v>
      </c>
      <c r="BF1264" s="1">
        <v>0</v>
      </c>
      <c r="BG1264" s="1">
        <v>0</v>
      </c>
      <c r="BH1264" s="1">
        <v>0</v>
      </c>
      <c r="BI1264" s="1">
        <v>0</v>
      </c>
      <c r="BJ1264" s="1">
        <v>0</v>
      </c>
      <c r="BK1264" s="1">
        <v>0</v>
      </c>
      <c r="BL1264" s="1">
        <v>0</v>
      </c>
      <c r="BM1264" s="1">
        <v>0</v>
      </c>
      <c r="BN1264" s="1">
        <v>0</v>
      </c>
      <c r="BO1264" s="1">
        <v>0</v>
      </c>
      <c r="BP1264" s="1">
        <v>0</v>
      </c>
      <c r="BQ1264" s="2" t="str">
        <f>HYPERLINK("http://www.d20pfsrd.com/magic/all-spells/d/delay-poison#TOC-Delay-Poison-Communal","Delay Poison, Communal")</f>
        <v>Delay Poison, Communal</v>
      </c>
      <c r="BR1264" s="1">
        <v>1318</v>
      </c>
      <c r="BS1264" s="1" t="s">
        <v>104</v>
      </c>
      <c r="BX1264" s="1">
        <v>0</v>
      </c>
      <c r="BY1264" s="1" t="s">
        <v>104</v>
      </c>
      <c r="BZ1264" s="1" t="s">
        <v>104</v>
      </c>
      <c r="CA1264" s="1" t="s">
        <v>104</v>
      </c>
      <c r="CB1264" s="1" t="s">
        <v>104</v>
      </c>
      <c r="CC1264" s="1" t="s">
        <v>104</v>
      </c>
      <c r="CD1264" s="1" t="s">
        <v>104</v>
      </c>
      <c r="CE1264" s="1" t="s">
        <v>104</v>
      </c>
      <c r="CF1264" s="1" t="s">
        <v>104</v>
      </c>
      <c r="CG1264" s="1" t="s">
        <v>104</v>
      </c>
      <c r="CH1264" s="1">
        <v>3</v>
      </c>
      <c r="CJ1264" s="1">
        <v>0</v>
      </c>
      <c r="CK1264" s="1">
        <v>0</v>
      </c>
      <c r="CL1264" s="1">
        <v>0</v>
      </c>
      <c r="CM1264" s="1" t="s">
        <v>104</v>
      </c>
    </row>
    <row r="1265" spans="1:91" ht="14.25" customHeight="1" x14ac:dyDescent="0.3">
      <c r="A1265" s="1" t="s">
        <v>7445</v>
      </c>
      <c r="B1265" s="1" t="s">
        <v>137</v>
      </c>
      <c r="E1265" s="1" t="s">
        <v>7078</v>
      </c>
      <c r="F1265" s="1" t="s">
        <v>95</v>
      </c>
      <c r="G1265" s="1" t="s">
        <v>7446</v>
      </c>
      <c r="H1265" s="1">
        <v>0</v>
      </c>
      <c r="I1265" s="1" t="s">
        <v>117</v>
      </c>
      <c r="L1265" s="1" t="s">
        <v>7414</v>
      </c>
      <c r="M1265" s="1" t="s">
        <v>119</v>
      </c>
      <c r="N1265" s="1">
        <v>0</v>
      </c>
      <c r="O1265" s="1">
        <v>0</v>
      </c>
      <c r="P1265" s="1" t="s">
        <v>471</v>
      </c>
      <c r="Q1265" s="1" t="s">
        <v>472</v>
      </c>
      <c r="R1265" s="1" t="s">
        <v>7447</v>
      </c>
      <c r="S1265" s="1" t="s">
        <v>7302</v>
      </c>
      <c r="T1265" s="1">
        <v>1</v>
      </c>
      <c r="U1265" s="1">
        <v>1</v>
      </c>
      <c r="V1265" s="1">
        <v>1</v>
      </c>
      <c r="W1265" s="1">
        <v>0</v>
      </c>
      <c r="X1265" s="1">
        <v>0</v>
      </c>
      <c r="Y1265" s="1">
        <v>2</v>
      </c>
      <c r="Z1265" s="1">
        <v>2</v>
      </c>
      <c r="AA1265" s="1" t="s">
        <v>104</v>
      </c>
      <c r="AB1265" s="1" t="s">
        <v>104</v>
      </c>
      <c r="AC1265" s="1" t="s">
        <v>104</v>
      </c>
      <c r="AD1265" s="1" t="s">
        <v>104</v>
      </c>
      <c r="AE1265" s="1" t="s">
        <v>104</v>
      </c>
      <c r="AF1265" s="1" t="s">
        <v>104</v>
      </c>
      <c r="AG1265" s="1" t="s">
        <v>104</v>
      </c>
      <c r="AH1265" s="1">
        <v>2</v>
      </c>
      <c r="AI1265" s="1" t="s">
        <v>104</v>
      </c>
      <c r="AJ1265" s="1" t="s">
        <v>104</v>
      </c>
      <c r="AK1265" s="1" t="s">
        <v>104</v>
      </c>
      <c r="AL1265" s="1" t="s">
        <v>104</v>
      </c>
      <c r="AM1265" s="1" t="s">
        <v>104</v>
      </c>
      <c r="AO1265" s="1">
        <v>2</v>
      </c>
      <c r="AQ1265" s="1" t="s">
        <v>7448</v>
      </c>
      <c r="AR1265" s="1">
        <v>0</v>
      </c>
      <c r="AS1265" s="1">
        <v>0</v>
      </c>
      <c r="AT1265" s="1">
        <v>0</v>
      </c>
      <c r="AU1265" s="1">
        <v>0</v>
      </c>
      <c r="AV1265" s="1">
        <v>0</v>
      </c>
      <c r="AW1265" s="1">
        <v>0</v>
      </c>
      <c r="AX1265" s="1">
        <v>0</v>
      </c>
      <c r="AY1265" s="1">
        <v>0</v>
      </c>
      <c r="AZ1265" s="1">
        <v>0</v>
      </c>
      <c r="BA1265" s="1">
        <v>0</v>
      </c>
      <c r="BB1265" s="1">
        <v>0</v>
      </c>
      <c r="BC1265" s="1">
        <v>0</v>
      </c>
      <c r="BD1265" s="1">
        <v>0</v>
      </c>
      <c r="BE1265" s="1">
        <v>0</v>
      </c>
      <c r="BF1265" s="1">
        <v>0</v>
      </c>
      <c r="BG1265" s="1">
        <v>0</v>
      </c>
      <c r="BH1265" s="1">
        <v>0</v>
      </c>
      <c r="BI1265" s="1">
        <v>0</v>
      </c>
      <c r="BJ1265" s="1">
        <v>0</v>
      </c>
      <c r="BK1265" s="1">
        <v>0</v>
      </c>
      <c r="BL1265" s="1">
        <v>0</v>
      </c>
      <c r="BM1265" s="1">
        <v>0</v>
      </c>
      <c r="BN1265" s="1">
        <v>0</v>
      </c>
      <c r="BO1265" s="1">
        <v>0</v>
      </c>
      <c r="BP1265" s="1">
        <v>0</v>
      </c>
      <c r="BQ1265" s="2" t="str">
        <f>HYPERLINK("http://www.d20pfsrd.com/magic/all-spells/d/destabilize-powder","Destabilize Powder")</f>
        <v>Destabilize Powder</v>
      </c>
      <c r="BR1265" s="1">
        <v>1319</v>
      </c>
      <c r="BS1265" s="1" t="s">
        <v>104</v>
      </c>
      <c r="BX1265" s="1">
        <v>0</v>
      </c>
      <c r="BY1265" s="1" t="s">
        <v>104</v>
      </c>
      <c r="BZ1265" s="1" t="s">
        <v>104</v>
      </c>
      <c r="CA1265" s="1" t="s">
        <v>104</v>
      </c>
      <c r="CB1265" s="1" t="s">
        <v>104</v>
      </c>
      <c r="CC1265" s="1" t="s">
        <v>104</v>
      </c>
      <c r="CD1265" s="1" t="s">
        <v>104</v>
      </c>
      <c r="CE1265" s="1" t="s">
        <v>104</v>
      </c>
      <c r="CF1265" s="1" t="s">
        <v>104</v>
      </c>
      <c r="CG1265" s="1" t="s">
        <v>104</v>
      </c>
      <c r="CH1265" s="1" t="s">
        <v>104</v>
      </c>
      <c r="CJ1265" s="1">
        <v>0</v>
      </c>
      <c r="CK1265" s="1">
        <v>0</v>
      </c>
      <c r="CL1265" s="1">
        <v>0</v>
      </c>
      <c r="CM1265" s="1" t="s">
        <v>104</v>
      </c>
    </row>
    <row r="1266" spans="1:91" ht="14.25" customHeight="1" x14ac:dyDescent="0.3">
      <c r="A1266" s="1" t="s">
        <v>7449</v>
      </c>
      <c r="B1266" s="1" t="s">
        <v>434</v>
      </c>
      <c r="D1266" s="1" t="s">
        <v>61</v>
      </c>
      <c r="E1266" s="1" t="s">
        <v>7450</v>
      </c>
      <c r="F1266" s="1" t="s">
        <v>255</v>
      </c>
      <c r="G1266" s="1" t="s">
        <v>116</v>
      </c>
      <c r="H1266" s="1">
        <v>0</v>
      </c>
      <c r="I1266" s="1" t="s">
        <v>128</v>
      </c>
      <c r="L1266" s="1" t="s">
        <v>983</v>
      </c>
      <c r="M1266" s="1" t="s">
        <v>4292</v>
      </c>
      <c r="N1266" s="1">
        <v>0</v>
      </c>
      <c r="O1266" s="1">
        <v>0</v>
      </c>
      <c r="P1266" s="1" t="s">
        <v>100</v>
      </c>
      <c r="Q1266" s="1" t="s">
        <v>101</v>
      </c>
      <c r="R1266" s="1" t="s">
        <v>7451</v>
      </c>
      <c r="S1266" s="1" t="s">
        <v>7302</v>
      </c>
      <c r="T1266" s="1">
        <v>1</v>
      </c>
      <c r="U1266" s="1">
        <v>1</v>
      </c>
      <c r="V1266" s="1">
        <v>0</v>
      </c>
      <c r="W1266" s="1">
        <v>0</v>
      </c>
      <c r="X1266" s="1">
        <v>0</v>
      </c>
      <c r="Y1266" s="1" t="s">
        <v>104</v>
      </c>
      <c r="Z1266" s="1" t="s">
        <v>104</v>
      </c>
      <c r="AA1266" s="1">
        <v>3</v>
      </c>
      <c r="AB1266" s="1" t="s">
        <v>104</v>
      </c>
      <c r="AC1266" s="1" t="s">
        <v>104</v>
      </c>
      <c r="AD1266" s="1">
        <v>2</v>
      </c>
      <c r="AE1266" s="1" t="s">
        <v>104</v>
      </c>
      <c r="AF1266" s="1" t="s">
        <v>104</v>
      </c>
      <c r="AG1266" s="1" t="s">
        <v>104</v>
      </c>
      <c r="AH1266" s="1" t="s">
        <v>104</v>
      </c>
      <c r="AI1266" s="1">
        <v>2</v>
      </c>
      <c r="AJ1266" s="1">
        <v>3</v>
      </c>
      <c r="AK1266" s="1" t="s">
        <v>104</v>
      </c>
      <c r="AL1266" s="1" t="s">
        <v>104</v>
      </c>
      <c r="AM1266" s="1" t="s">
        <v>104</v>
      </c>
      <c r="AO1266" s="1">
        <v>3</v>
      </c>
      <c r="AQ1266" s="1" t="s">
        <v>7452</v>
      </c>
      <c r="AR1266" s="1">
        <v>0</v>
      </c>
      <c r="AS1266" s="1">
        <v>0</v>
      </c>
      <c r="AT1266" s="1">
        <v>0</v>
      </c>
      <c r="AU1266" s="1">
        <v>0</v>
      </c>
      <c r="AV1266" s="1">
        <v>0</v>
      </c>
      <c r="AW1266" s="1">
        <v>0</v>
      </c>
      <c r="AX1266" s="1">
        <v>0</v>
      </c>
      <c r="AY1266" s="1">
        <v>0</v>
      </c>
      <c r="AZ1266" s="1">
        <v>0</v>
      </c>
      <c r="BA1266" s="1">
        <v>0</v>
      </c>
      <c r="BB1266" s="1">
        <v>0</v>
      </c>
      <c r="BC1266" s="1">
        <v>0</v>
      </c>
      <c r="BD1266" s="1">
        <v>0</v>
      </c>
      <c r="BE1266" s="1">
        <v>0</v>
      </c>
      <c r="BF1266" s="1">
        <v>0</v>
      </c>
      <c r="BG1266" s="1">
        <v>0</v>
      </c>
      <c r="BH1266" s="1">
        <v>0</v>
      </c>
      <c r="BI1266" s="1">
        <v>0</v>
      </c>
      <c r="BJ1266" s="1">
        <v>1</v>
      </c>
      <c r="BK1266" s="1">
        <v>0</v>
      </c>
      <c r="BL1266" s="1">
        <v>0</v>
      </c>
      <c r="BM1266" s="1">
        <v>0</v>
      </c>
      <c r="BN1266" s="1">
        <v>0</v>
      </c>
      <c r="BO1266" s="1">
        <v>0</v>
      </c>
      <c r="BP1266" s="1">
        <v>0</v>
      </c>
      <c r="BQ1266" s="2" t="str">
        <f>HYPERLINK("http://www.d20pfsrd.com/magic/all-spells/d/discovery-torch","Discovery Torch")</f>
        <v>Discovery Torch</v>
      </c>
      <c r="BR1266" s="1">
        <v>1320</v>
      </c>
      <c r="BS1266" s="1" t="s">
        <v>104</v>
      </c>
      <c r="BX1266" s="1">
        <v>0</v>
      </c>
      <c r="BY1266" s="1" t="s">
        <v>104</v>
      </c>
      <c r="BZ1266" s="1" t="s">
        <v>104</v>
      </c>
      <c r="CA1266" s="1" t="s">
        <v>104</v>
      </c>
      <c r="CB1266" s="1" t="s">
        <v>104</v>
      </c>
      <c r="CC1266" s="1" t="s">
        <v>104</v>
      </c>
      <c r="CD1266" s="1" t="s">
        <v>104</v>
      </c>
      <c r="CE1266" s="1" t="s">
        <v>104</v>
      </c>
      <c r="CF1266" s="1" t="s">
        <v>104</v>
      </c>
      <c r="CG1266" s="1" t="s">
        <v>104</v>
      </c>
      <c r="CH1266" s="1" t="s">
        <v>104</v>
      </c>
      <c r="CJ1266" s="1">
        <v>0</v>
      </c>
      <c r="CK1266" s="1">
        <v>0</v>
      </c>
      <c r="CL1266" s="1">
        <v>0</v>
      </c>
      <c r="CM1266" s="1" t="s">
        <v>104</v>
      </c>
    </row>
    <row r="1267" spans="1:91" ht="14.25" customHeight="1" x14ac:dyDescent="0.3">
      <c r="A1267" s="1" t="s">
        <v>7453</v>
      </c>
      <c r="B1267" s="1" t="s">
        <v>137</v>
      </c>
      <c r="D1267" s="1" t="s">
        <v>58</v>
      </c>
      <c r="E1267" s="1" t="s">
        <v>4471</v>
      </c>
      <c r="F1267" s="1" t="s">
        <v>95</v>
      </c>
      <c r="G1267" s="1" t="s">
        <v>116</v>
      </c>
      <c r="H1267" s="1">
        <v>0</v>
      </c>
      <c r="I1267" s="1" t="s">
        <v>128</v>
      </c>
      <c r="L1267" s="1" t="s">
        <v>7454</v>
      </c>
      <c r="M1267" s="1" t="s">
        <v>5119</v>
      </c>
      <c r="N1267" s="1">
        <v>0</v>
      </c>
      <c r="O1267" s="1">
        <v>0</v>
      </c>
      <c r="P1267" s="1" t="s">
        <v>100</v>
      </c>
      <c r="Q1267" s="1" t="s">
        <v>101</v>
      </c>
      <c r="R1267" s="1" t="s">
        <v>7455</v>
      </c>
      <c r="S1267" s="1" t="s">
        <v>7302</v>
      </c>
      <c r="T1267" s="1">
        <v>1</v>
      </c>
      <c r="U1267" s="1">
        <v>1</v>
      </c>
      <c r="V1267" s="1">
        <v>0</v>
      </c>
      <c r="W1267" s="1">
        <v>0</v>
      </c>
      <c r="X1267" s="1">
        <v>0</v>
      </c>
      <c r="Y1267" s="1" t="s">
        <v>104</v>
      </c>
      <c r="Z1267" s="1" t="s">
        <v>104</v>
      </c>
      <c r="AA1267" s="1" t="s">
        <v>104</v>
      </c>
      <c r="AB1267" s="1" t="s">
        <v>104</v>
      </c>
      <c r="AC1267" s="1" t="s">
        <v>104</v>
      </c>
      <c r="AD1267" s="1" t="s">
        <v>104</v>
      </c>
      <c r="AE1267" s="1">
        <v>2</v>
      </c>
      <c r="AF1267" s="1" t="s">
        <v>104</v>
      </c>
      <c r="AG1267" s="1" t="s">
        <v>104</v>
      </c>
      <c r="AH1267" s="1" t="s">
        <v>104</v>
      </c>
      <c r="AI1267" s="1" t="s">
        <v>104</v>
      </c>
      <c r="AJ1267" s="1" t="s">
        <v>104</v>
      </c>
      <c r="AK1267" s="1" t="s">
        <v>104</v>
      </c>
      <c r="AL1267" s="1" t="s">
        <v>104</v>
      </c>
      <c r="AM1267" s="1" t="s">
        <v>104</v>
      </c>
      <c r="AO1267" s="1">
        <v>2</v>
      </c>
      <c r="AQ1267" s="1" t="s">
        <v>7456</v>
      </c>
      <c r="AR1267" s="1">
        <v>0</v>
      </c>
      <c r="AS1267" s="1">
        <v>0</v>
      </c>
      <c r="AT1267" s="1">
        <v>0</v>
      </c>
      <c r="AU1267" s="1">
        <v>0</v>
      </c>
      <c r="AV1267" s="1">
        <v>0</v>
      </c>
      <c r="AW1267" s="1">
        <v>0</v>
      </c>
      <c r="AX1267" s="1">
        <v>0</v>
      </c>
      <c r="AY1267" s="1">
        <v>0</v>
      </c>
      <c r="AZ1267" s="1">
        <v>0</v>
      </c>
      <c r="BA1267" s="1">
        <v>0</v>
      </c>
      <c r="BB1267" s="1">
        <v>0</v>
      </c>
      <c r="BC1267" s="1">
        <v>0</v>
      </c>
      <c r="BD1267" s="1">
        <v>0</v>
      </c>
      <c r="BE1267" s="1">
        <v>0</v>
      </c>
      <c r="BF1267" s="1">
        <v>0</v>
      </c>
      <c r="BG1267" s="1">
        <v>1</v>
      </c>
      <c r="BH1267" s="1">
        <v>0</v>
      </c>
      <c r="BI1267" s="1">
        <v>0</v>
      </c>
      <c r="BJ1267" s="1">
        <v>0</v>
      </c>
      <c r="BK1267" s="1">
        <v>0</v>
      </c>
      <c r="BL1267" s="1">
        <v>0</v>
      </c>
      <c r="BM1267" s="1">
        <v>0</v>
      </c>
      <c r="BN1267" s="1">
        <v>0</v>
      </c>
      <c r="BO1267" s="1">
        <v>0</v>
      </c>
      <c r="BP1267" s="1">
        <v>0</v>
      </c>
      <c r="BQ1267" s="2" t="str">
        <f>HYPERLINK("http://www.d20pfsrd.com/magic/all-spells/d/divine-arrow","Divine Arrow")</f>
        <v>Divine Arrow</v>
      </c>
      <c r="BR1267" s="1">
        <v>1321</v>
      </c>
      <c r="BS1267" s="1" t="s">
        <v>104</v>
      </c>
      <c r="BX1267" s="1">
        <v>0</v>
      </c>
      <c r="BY1267" s="1" t="s">
        <v>104</v>
      </c>
      <c r="BZ1267" s="1" t="s">
        <v>104</v>
      </c>
      <c r="CA1267" s="1" t="s">
        <v>104</v>
      </c>
      <c r="CB1267" s="1" t="s">
        <v>104</v>
      </c>
      <c r="CC1267" s="1" t="s">
        <v>104</v>
      </c>
      <c r="CD1267" s="1" t="s">
        <v>104</v>
      </c>
      <c r="CE1267" s="1" t="s">
        <v>104</v>
      </c>
      <c r="CF1267" s="1" t="s">
        <v>104</v>
      </c>
      <c r="CG1267" s="1" t="s">
        <v>104</v>
      </c>
      <c r="CH1267" s="1" t="s">
        <v>104</v>
      </c>
      <c r="CJ1267" s="1">
        <v>0</v>
      </c>
      <c r="CK1267" s="1">
        <v>0</v>
      </c>
      <c r="CL1267" s="1">
        <v>0</v>
      </c>
      <c r="CM1267" s="1" t="s">
        <v>104</v>
      </c>
    </row>
    <row r="1268" spans="1:91" ht="14.25" customHeight="1" x14ac:dyDescent="0.3">
      <c r="A1268" s="1" t="s">
        <v>7457</v>
      </c>
      <c r="B1268" s="1" t="s">
        <v>137</v>
      </c>
      <c r="C1268" s="1" t="s">
        <v>154</v>
      </c>
      <c r="E1268" s="1" t="s">
        <v>7458</v>
      </c>
      <c r="F1268" s="1" t="s">
        <v>95</v>
      </c>
      <c r="G1268" s="1" t="s">
        <v>7459</v>
      </c>
      <c r="H1268" s="1">
        <v>0</v>
      </c>
      <c r="I1268" s="1" t="s">
        <v>157</v>
      </c>
      <c r="L1268" s="1" t="s">
        <v>158</v>
      </c>
      <c r="M1268" s="1" t="s">
        <v>111</v>
      </c>
      <c r="N1268" s="1">
        <v>0</v>
      </c>
      <c r="O1268" s="1">
        <v>0</v>
      </c>
      <c r="R1268" s="1" t="s">
        <v>7460</v>
      </c>
      <c r="S1268" s="1" t="s">
        <v>7302</v>
      </c>
      <c r="T1268" s="1">
        <v>1</v>
      </c>
      <c r="U1268" s="1">
        <v>1</v>
      </c>
      <c r="V1268" s="1">
        <v>1</v>
      </c>
      <c r="W1268" s="1">
        <v>0</v>
      </c>
      <c r="X1268" s="1">
        <v>0</v>
      </c>
      <c r="Y1268" s="1" t="s">
        <v>104</v>
      </c>
      <c r="Z1268" s="1" t="s">
        <v>104</v>
      </c>
      <c r="AA1268" s="1">
        <v>6</v>
      </c>
      <c r="AB1268" s="1">
        <v>6</v>
      </c>
      <c r="AC1268" s="1" t="s">
        <v>104</v>
      </c>
      <c r="AD1268" s="1" t="s">
        <v>104</v>
      </c>
      <c r="AE1268" s="1" t="s">
        <v>104</v>
      </c>
      <c r="AF1268" s="1">
        <v>5</v>
      </c>
      <c r="AG1268" s="1" t="s">
        <v>104</v>
      </c>
      <c r="AH1268" s="1">
        <v>6</v>
      </c>
      <c r="AI1268" s="1" t="s">
        <v>104</v>
      </c>
      <c r="AJ1268" s="1">
        <v>6</v>
      </c>
      <c r="AK1268" s="1" t="s">
        <v>104</v>
      </c>
      <c r="AL1268" s="1" t="s">
        <v>104</v>
      </c>
      <c r="AM1268" s="1" t="s">
        <v>104</v>
      </c>
      <c r="AO1268" s="1">
        <v>6</v>
      </c>
      <c r="AQ1268" s="1" t="s">
        <v>7461</v>
      </c>
      <c r="AR1268" s="1">
        <v>0</v>
      </c>
      <c r="AS1268" s="1">
        <v>0</v>
      </c>
      <c r="AT1268" s="1">
        <v>0</v>
      </c>
      <c r="AU1268" s="1">
        <v>0</v>
      </c>
      <c r="AV1268" s="1">
        <v>0</v>
      </c>
      <c r="AW1268" s="1">
        <v>0</v>
      </c>
      <c r="AX1268" s="1">
        <v>0</v>
      </c>
      <c r="AY1268" s="1">
        <v>0</v>
      </c>
      <c r="AZ1268" s="1">
        <v>0</v>
      </c>
      <c r="BA1268" s="1">
        <v>0</v>
      </c>
      <c r="BB1268" s="1">
        <v>0</v>
      </c>
      <c r="BC1268" s="1">
        <v>0</v>
      </c>
      <c r="BD1268" s="1">
        <v>0</v>
      </c>
      <c r="BE1268" s="1">
        <v>0</v>
      </c>
      <c r="BF1268" s="1">
        <v>0</v>
      </c>
      <c r="BG1268" s="1">
        <v>0</v>
      </c>
      <c r="BH1268" s="1">
        <v>0</v>
      </c>
      <c r="BI1268" s="1">
        <v>0</v>
      </c>
      <c r="BJ1268" s="1">
        <v>0</v>
      </c>
      <c r="BK1268" s="1">
        <v>0</v>
      </c>
      <c r="BL1268" s="1">
        <v>0</v>
      </c>
      <c r="BM1268" s="1">
        <v>0</v>
      </c>
      <c r="BN1268" s="1">
        <v>0</v>
      </c>
      <c r="BO1268" s="1">
        <v>0</v>
      </c>
      <c r="BP1268" s="1">
        <v>0</v>
      </c>
      <c r="BQ1268" s="2" t="str">
        <f>HYPERLINK("http://www.d20pfsrd.com/magic/all-spells/d/dust-form","Dust Form")</f>
        <v>Dust Form</v>
      </c>
      <c r="BR1268" s="1">
        <v>1322</v>
      </c>
      <c r="BS1268" s="1" t="s">
        <v>104</v>
      </c>
      <c r="BX1268" s="1">
        <v>0</v>
      </c>
      <c r="BY1268" s="1" t="s">
        <v>104</v>
      </c>
      <c r="BZ1268" s="1" t="s">
        <v>104</v>
      </c>
      <c r="CA1268" s="1">
        <v>6</v>
      </c>
      <c r="CB1268" s="1" t="s">
        <v>104</v>
      </c>
      <c r="CC1268" s="1" t="s">
        <v>104</v>
      </c>
      <c r="CD1268" s="1" t="s">
        <v>104</v>
      </c>
      <c r="CE1268" s="1" t="s">
        <v>104</v>
      </c>
      <c r="CF1268" s="1" t="s">
        <v>104</v>
      </c>
      <c r="CG1268" s="1" t="s">
        <v>104</v>
      </c>
      <c r="CH1268" s="1">
        <v>6</v>
      </c>
      <c r="CJ1268" s="1">
        <v>0</v>
      </c>
      <c r="CK1268" s="1">
        <v>0</v>
      </c>
      <c r="CL1268" s="1">
        <v>0</v>
      </c>
      <c r="CM1268" s="1" t="s">
        <v>104</v>
      </c>
    </row>
    <row r="1269" spans="1:91" ht="14.25" customHeight="1" x14ac:dyDescent="0.3">
      <c r="A1269" s="1" t="s">
        <v>7462</v>
      </c>
      <c r="B1269" s="1" t="s">
        <v>137</v>
      </c>
      <c r="E1269" s="1" t="s">
        <v>7463</v>
      </c>
      <c r="F1269" s="1" t="s">
        <v>95</v>
      </c>
      <c r="G1269" s="1" t="s">
        <v>116</v>
      </c>
      <c r="H1269" s="1">
        <v>0</v>
      </c>
      <c r="I1269" s="1" t="s">
        <v>157</v>
      </c>
      <c r="L1269" s="1" t="s">
        <v>158</v>
      </c>
      <c r="M1269" s="1" t="s">
        <v>2330</v>
      </c>
      <c r="N1269" s="1">
        <v>0</v>
      </c>
      <c r="O1269" s="1">
        <v>0</v>
      </c>
      <c r="R1269" s="1" t="s">
        <v>7464</v>
      </c>
      <c r="S1269" s="1" t="s">
        <v>7302</v>
      </c>
      <c r="T1269" s="1">
        <v>1</v>
      </c>
      <c r="U1269" s="1">
        <v>1</v>
      </c>
      <c r="V1269" s="1">
        <v>0</v>
      </c>
      <c r="W1269" s="1">
        <v>0</v>
      </c>
      <c r="X1269" s="1">
        <v>0</v>
      </c>
      <c r="Y1269" s="1" t="s">
        <v>104</v>
      </c>
      <c r="Z1269" s="1" t="s">
        <v>104</v>
      </c>
      <c r="AA1269" s="1">
        <v>2</v>
      </c>
      <c r="AB1269" s="1" t="s">
        <v>104</v>
      </c>
      <c r="AC1269" s="1">
        <v>2</v>
      </c>
      <c r="AD1269" s="1" t="s">
        <v>104</v>
      </c>
      <c r="AE1269" s="1">
        <v>2</v>
      </c>
      <c r="AF1269" s="1" t="s">
        <v>104</v>
      </c>
      <c r="AG1269" s="1" t="s">
        <v>104</v>
      </c>
      <c r="AH1269" s="1" t="s">
        <v>104</v>
      </c>
      <c r="AI1269" s="1">
        <v>2</v>
      </c>
      <c r="AJ1269" s="1">
        <v>2</v>
      </c>
      <c r="AK1269" s="1" t="s">
        <v>104</v>
      </c>
      <c r="AL1269" s="1">
        <v>2</v>
      </c>
      <c r="AM1269" s="1" t="s">
        <v>104</v>
      </c>
      <c r="AO1269" s="1">
        <v>2</v>
      </c>
      <c r="AQ1269" s="1" t="s">
        <v>7465</v>
      </c>
      <c r="AR1269" s="1">
        <v>0</v>
      </c>
      <c r="AS1269" s="1">
        <v>0</v>
      </c>
      <c r="AT1269" s="1">
        <v>0</v>
      </c>
      <c r="AU1269" s="1">
        <v>0</v>
      </c>
      <c r="AV1269" s="1">
        <v>0</v>
      </c>
      <c r="AW1269" s="1">
        <v>0</v>
      </c>
      <c r="AX1269" s="1">
        <v>0</v>
      </c>
      <c r="AY1269" s="1">
        <v>0</v>
      </c>
      <c r="AZ1269" s="1">
        <v>0</v>
      </c>
      <c r="BA1269" s="1">
        <v>0</v>
      </c>
      <c r="BB1269" s="1">
        <v>0</v>
      </c>
      <c r="BC1269" s="1">
        <v>0</v>
      </c>
      <c r="BD1269" s="1">
        <v>0</v>
      </c>
      <c r="BE1269" s="1">
        <v>0</v>
      </c>
      <c r="BF1269" s="1">
        <v>0</v>
      </c>
      <c r="BG1269" s="1">
        <v>0</v>
      </c>
      <c r="BH1269" s="1">
        <v>0</v>
      </c>
      <c r="BI1269" s="1">
        <v>0</v>
      </c>
      <c r="BJ1269" s="1">
        <v>0</v>
      </c>
      <c r="BK1269" s="1">
        <v>0</v>
      </c>
      <c r="BL1269" s="1">
        <v>0</v>
      </c>
      <c r="BM1269" s="1">
        <v>0</v>
      </c>
      <c r="BN1269" s="1">
        <v>0</v>
      </c>
      <c r="BO1269" s="1">
        <v>0</v>
      </c>
      <c r="BP1269" s="1">
        <v>0</v>
      </c>
      <c r="BQ1269" s="2" t="str">
        <f>HYPERLINK("http://www.d20pfsrd.com/magic/all-spells/e/effortless-armor","Effortless Armor")</f>
        <v>Effortless Armor</v>
      </c>
      <c r="BR1269" s="1">
        <v>1323</v>
      </c>
      <c r="BS1269" s="1" t="s">
        <v>104</v>
      </c>
      <c r="BX1269" s="1">
        <v>0</v>
      </c>
      <c r="BY1269" s="1" t="s">
        <v>104</v>
      </c>
      <c r="BZ1269" s="1" t="s">
        <v>104</v>
      </c>
      <c r="CA1269" s="1">
        <v>2</v>
      </c>
      <c r="CB1269" s="1" t="s">
        <v>104</v>
      </c>
      <c r="CC1269" s="1" t="s">
        <v>104</v>
      </c>
      <c r="CD1269" s="1">
        <v>2</v>
      </c>
      <c r="CE1269" s="1" t="s">
        <v>104</v>
      </c>
      <c r="CF1269" s="1" t="s">
        <v>104</v>
      </c>
      <c r="CG1269" s="1" t="s">
        <v>104</v>
      </c>
      <c r="CH1269" s="1">
        <v>2</v>
      </c>
      <c r="CJ1269" s="1">
        <v>0</v>
      </c>
      <c r="CK1269" s="1">
        <v>0</v>
      </c>
      <c r="CL1269" s="1">
        <v>0</v>
      </c>
      <c r="CM1269" s="1" t="s">
        <v>104</v>
      </c>
    </row>
    <row r="1270" spans="1:91" ht="14.25" customHeight="1" x14ac:dyDescent="0.3">
      <c r="A1270" s="1" t="s">
        <v>7466</v>
      </c>
      <c r="B1270" s="1" t="s">
        <v>162</v>
      </c>
      <c r="E1270" s="1" t="s">
        <v>7467</v>
      </c>
      <c r="F1270" s="1" t="s">
        <v>95</v>
      </c>
      <c r="G1270" s="1" t="s">
        <v>116</v>
      </c>
      <c r="H1270" s="1">
        <v>0</v>
      </c>
      <c r="I1270" s="1" t="s">
        <v>128</v>
      </c>
      <c r="L1270" s="1" t="s">
        <v>7332</v>
      </c>
      <c r="M1270" s="1" t="s">
        <v>341</v>
      </c>
      <c r="N1270" s="1">
        <v>0</v>
      </c>
      <c r="O1270" s="1">
        <v>0</v>
      </c>
      <c r="P1270" s="1" t="s">
        <v>375</v>
      </c>
      <c r="Q1270" s="1" t="s">
        <v>131</v>
      </c>
      <c r="R1270" s="1" t="s">
        <v>7468</v>
      </c>
      <c r="S1270" s="1" t="s">
        <v>7302</v>
      </c>
      <c r="T1270" s="1">
        <v>1</v>
      </c>
      <c r="U1270" s="1">
        <v>1</v>
      </c>
      <c r="V1270" s="1">
        <v>0</v>
      </c>
      <c r="W1270" s="1">
        <v>0</v>
      </c>
      <c r="X1270" s="1">
        <v>0</v>
      </c>
      <c r="Y1270" s="1">
        <v>2</v>
      </c>
      <c r="Z1270" s="1">
        <v>2</v>
      </c>
      <c r="AA1270" s="1">
        <v>2</v>
      </c>
      <c r="AB1270" s="1">
        <v>2</v>
      </c>
      <c r="AC1270" s="1">
        <v>2</v>
      </c>
      <c r="AD1270" s="1" t="s">
        <v>104</v>
      </c>
      <c r="AE1270" s="1">
        <v>2</v>
      </c>
      <c r="AF1270" s="1">
        <v>3</v>
      </c>
      <c r="AG1270" s="1" t="s">
        <v>104</v>
      </c>
      <c r="AH1270" s="1" t="s">
        <v>104</v>
      </c>
      <c r="AI1270" s="1" t="s">
        <v>104</v>
      </c>
      <c r="AJ1270" s="1">
        <v>2</v>
      </c>
      <c r="AK1270" s="1" t="s">
        <v>104</v>
      </c>
      <c r="AL1270" s="1" t="s">
        <v>104</v>
      </c>
      <c r="AM1270" s="1" t="s">
        <v>104</v>
      </c>
      <c r="AO1270" s="1">
        <v>2</v>
      </c>
      <c r="AQ1270" s="1" t="s">
        <v>7469</v>
      </c>
      <c r="AR1270" s="1">
        <v>0</v>
      </c>
      <c r="AS1270" s="1">
        <v>0</v>
      </c>
      <c r="AT1270" s="1">
        <v>0</v>
      </c>
      <c r="AU1270" s="1">
        <v>0</v>
      </c>
      <c r="AV1270" s="1">
        <v>0</v>
      </c>
      <c r="AW1270" s="1">
        <v>0</v>
      </c>
      <c r="AX1270" s="1">
        <v>0</v>
      </c>
      <c r="AY1270" s="1">
        <v>0</v>
      </c>
      <c r="AZ1270" s="1">
        <v>0</v>
      </c>
      <c r="BA1270" s="1">
        <v>0</v>
      </c>
      <c r="BB1270" s="1">
        <v>0</v>
      </c>
      <c r="BC1270" s="1">
        <v>0</v>
      </c>
      <c r="BD1270" s="1">
        <v>0</v>
      </c>
      <c r="BE1270" s="1">
        <v>0</v>
      </c>
      <c r="BF1270" s="1">
        <v>0</v>
      </c>
      <c r="BG1270" s="1">
        <v>0</v>
      </c>
      <c r="BH1270" s="1">
        <v>0</v>
      </c>
      <c r="BI1270" s="1">
        <v>0</v>
      </c>
      <c r="BJ1270" s="1">
        <v>0</v>
      </c>
      <c r="BK1270" s="1">
        <v>0</v>
      </c>
      <c r="BL1270" s="1">
        <v>0</v>
      </c>
      <c r="BM1270" s="1">
        <v>0</v>
      </c>
      <c r="BN1270" s="1">
        <v>0</v>
      </c>
      <c r="BO1270" s="1">
        <v>0</v>
      </c>
      <c r="BP1270" s="1">
        <v>0</v>
      </c>
      <c r="BQ1270" s="2" t="str">
        <f>HYPERLINK("http://www.d20pfsrd.com/magic/all-spells/e/endure-elements#TOC-Endure-Elements-Communal","Endure Elements, Communal")</f>
        <v>Endure Elements, Communal</v>
      </c>
      <c r="BR1270" s="1">
        <v>1324</v>
      </c>
      <c r="BS1270" s="1" t="s">
        <v>104</v>
      </c>
      <c r="BX1270" s="1">
        <v>0</v>
      </c>
      <c r="BY1270" s="1" t="s">
        <v>104</v>
      </c>
      <c r="BZ1270" s="1" t="s">
        <v>104</v>
      </c>
      <c r="CA1270" s="1">
        <v>2</v>
      </c>
      <c r="CB1270" s="1" t="s">
        <v>104</v>
      </c>
      <c r="CC1270" s="1" t="s">
        <v>104</v>
      </c>
      <c r="CD1270" s="1" t="s">
        <v>104</v>
      </c>
      <c r="CE1270" s="1" t="s">
        <v>104</v>
      </c>
      <c r="CF1270" s="1" t="s">
        <v>104</v>
      </c>
      <c r="CG1270" s="1" t="s">
        <v>104</v>
      </c>
      <c r="CH1270" s="1">
        <v>2</v>
      </c>
      <c r="CJ1270" s="1">
        <v>0</v>
      </c>
      <c r="CK1270" s="1">
        <v>0</v>
      </c>
      <c r="CL1270" s="1">
        <v>0</v>
      </c>
      <c r="CM1270" s="1" t="s">
        <v>104</v>
      </c>
    </row>
    <row r="1271" spans="1:91" ht="14.25" customHeight="1" x14ac:dyDescent="0.3">
      <c r="A1271" s="1" t="s">
        <v>7470</v>
      </c>
      <c r="B1271" s="1" t="s">
        <v>137</v>
      </c>
      <c r="D1271" s="1" t="s">
        <v>7471</v>
      </c>
      <c r="E1271" s="1" t="s">
        <v>7472</v>
      </c>
      <c r="F1271" s="1" t="s">
        <v>287</v>
      </c>
      <c r="G1271" s="1" t="s">
        <v>7473</v>
      </c>
      <c r="H1271" s="1">
        <v>0</v>
      </c>
      <c r="I1271" s="1" t="s">
        <v>117</v>
      </c>
      <c r="L1271" s="1" t="s">
        <v>7474</v>
      </c>
      <c r="M1271" s="1" t="s">
        <v>5923</v>
      </c>
      <c r="N1271" s="1">
        <v>0</v>
      </c>
      <c r="O1271" s="1">
        <v>0</v>
      </c>
      <c r="P1271" s="1" t="s">
        <v>7424</v>
      </c>
      <c r="Q1271" s="1" t="s">
        <v>7475</v>
      </c>
      <c r="R1271" s="1" t="s">
        <v>7476</v>
      </c>
      <c r="S1271" s="1" t="s">
        <v>7302</v>
      </c>
      <c r="T1271" s="1">
        <v>1</v>
      </c>
      <c r="U1271" s="1">
        <v>1</v>
      </c>
      <c r="V1271" s="1">
        <v>1</v>
      </c>
      <c r="W1271" s="1">
        <v>0</v>
      </c>
      <c r="X1271" s="1">
        <v>0</v>
      </c>
      <c r="Y1271" s="1">
        <v>5</v>
      </c>
      <c r="Z1271" s="1">
        <v>5</v>
      </c>
      <c r="AA1271" s="1" t="s">
        <v>104</v>
      </c>
      <c r="AB1271" s="1" t="s">
        <v>104</v>
      </c>
      <c r="AC1271" s="1" t="s">
        <v>104</v>
      </c>
      <c r="AD1271" s="1" t="s">
        <v>104</v>
      </c>
      <c r="AE1271" s="1" t="s">
        <v>104</v>
      </c>
      <c r="AF1271" s="1" t="s">
        <v>104</v>
      </c>
      <c r="AG1271" s="1">
        <v>5</v>
      </c>
      <c r="AH1271" s="1" t="s">
        <v>104</v>
      </c>
      <c r="AI1271" s="1" t="s">
        <v>104</v>
      </c>
      <c r="AJ1271" s="1" t="s">
        <v>104</v>
      </c>
      <c r="AK1271" s="1" t="s">
        <v>104</v>
      </c>
      <c r="AL1271" s="1" t="s">
        <v>104</v>
      </c>
      <c r="AM1271" s="1" t="s">
        <v>104</v>
      </c>
      <c r="AO1271" s="1">
        <v>5</v>
      </c>
      <c r="AQ1271" s="1" t="s">
        <v>7477</v>
      </c>
      <c r="AR1271" s="1">
        <v>0</v>
      </c>
      <c r="AS1271" s="1">
        <v>0</v>
      </c>
      <c r="AT1271" s="1">
        <v>0</v>
      </c>
      <c r="AU1271" s="1">
        <v>0</v>
      </c>
      <c r="AV1271" s="1">
        <v>0</v>
      </c>
      <c r="AW1271" s="1">
        <v>0</v>
      </c>
      <c r="AX1271" s="1">
        <v>0</v>
      </c>
      <c r="AY1271" s="1">
        <v>0</v>
      </c>
      <c r="AZ1271" s="1">
        <v>0</v>
      </c>
      <c r="BA1271" s="1">
        <v>0</v>
      </c>
      <c r="BB1271" s="1">
        <v>0</v>
      </c>
      <c r="BC1271" s="1">
        <v>0</v>
      </c>
      <c r="BD1271" s="1">
        <v>0</v>
      </c>
      <c r="BE1271" s="1">
        <v>0</v>
      </c>
      <c r="BF1271" s="1">
        <v>0</v>
      </c>
      <c r="BG1271" s="1">
        <v>0</v>
      </c>
      <c r="BH1271" s="1">
        <v>0</v>
      </c>
      <c r="BI1271" s="1">
        <v>0</v>
      </c>
      <c r="BJ1271" s="1">
        <v>0</v>
      </c>
      <c r="BK1271" s="1">
        <v>0</v>
      </c>
      <c r="BL1271" s="1">
        <v>0</v>
      </c>
      <c r="BM1271" s="1">
        <v>0</v>
      </c>
      <c r="BN1271" s="1">
        <v>0</v>
      </c>
      <c r="BO1271" s="1">
        <v>0</v>
      </c>
      <c r="BP1271" s="1">
        <v>0</v>
      </c>
      <c r="BQ1271" s="2" t="str">
        <f>HYPERLINK("http://www.d20pfsrd.com/magic/all-spells/e/energy-siege-shot","Energy Siege Shot")</f>
        <v>Energy Siege Shot</v>
      </c>
      <c r="BR1271" s="1">
        <v>1325</v>
      </c>
      <c r="BS1271" s="1" t="s">
        <v>104</v>
      </c>
      <c r="BX1271" s="1">
        <v>0</v>
      </c>
      <c r="BY1271" s="1" t="s">
        <v>104</v>
      </c>
      <c r="BZ1271" s="1" t="s">
        <v>104</v>
      </c>
      <c r="CA1271" s="1" t="s">
        <v>104</v>
      </c>
      <c r="CB1271" s="1" t="s">
        <v>104</v>
      </c>
      <c r="CC1271" s="1" t="s">
        <v>104</v>
      </c>
      <c r="CD1271" s="1">
        <v>5</v>
      </c>
      <c r="CE1271" s="1" t="s">
        <v>104</v>
      </c>
      <c r="CF1271" s="1" t="s">
        <v>104</v>
      </c>
      <c r="CG1271" s="1" t="s">
        <v>104</v>
      </c>
      <c r="CH1271" s="1" t="s">
        <v>104</v>
      </c>
      <c r="CJ1271" s="1">
        <v>0</v>
      </c>
      <c r="CK1271" s="1">
        <v>0</v>
      </c>
      <c r="CL1271" s="1">
        <v>0</v>
      </c>
      <c r="CM1271" s="1">
        <v>5</v>
      </c>
    </row>
    <row r="1272" spans="1:91" ht="14.25" customHeight="1" x14ac:dyDescent="0.3">
      <c r="A1272" s="1" t="s">
        <v>7478</v>
      </c>
      <c r="B1272" s="1" t="s">
        <v>137</v>
      </c>
      <c r="D1272" s="1" t="s">
        <v>7471</v>
      </c>
      <c r="E1272" s="1" t="s">
        <v>7479</v>
      </c>
      <c r="F1272" s="1" t="s">
        <v>287</v>
      </c>
      <c r="G1272" s="1" t="s">
        <v>7473</v>
      </c>
      <c r="H1272" s="1">
        <v>0</v>
      </c>
      <c r="I1272" s="1" t="s">
        <v>117</v>
      </c>
      <c r="L1272" s="1" t="s">
        <v>7480</v>
      </c>
      <c r="M1272" s="1" t="s">
        <v>5923</v>
      </c>
      <c r="N1272" s="1">
        <v>0</v>
      </c>
      <c r="O1272" s="1">
        <v>0</v>
      </c>
      <c r="P1272" s="1" t="s">
        <v>7424</v>
      </c>
      <c r="Q1272" s="1" t="s">
        <v>7475</v>
      </c>
      <c r="R1272" s="1" t="s">
        <v>7481</v>
      </c>
      <c r="S1272" s="1" t="s">
        <v>7302</v>
      </c>
      <c r="T1272" s="1">
        <v>1</v>
      </c>
      <c r="U1272" s="1">
        <v>1</v>
      </c>
      <c r="V1272" s="1">
        <v>1</v>
      </c>
      <c r="W1272" s="1">
        <v>0</v>
      </c>
      <c r="X1272" s="1">
        <v>0</v>
      </c>
      <c r="Y1272" s="1">
        <v>6</v>
      </c>
      <c r="Z1272" s="1">
        <v>6</v>
      </c>
      <c r="AA1272" s="1" t="s">
        <v>104</v>
      </c>
      <c r="AB1272" s="1" t="s">
        <v>104</v>
      </c>
      <c r="AC1272" s="1" t="s">
        <v>104</v>
      </c>
      <c r="AD1272" s="1" t="s">
        <v>104</v>
      </c>
      <c r="AE1272" s="1" t="s">
        <v>104</v>
      </c>
      <c r="AF1272" s="1" t="s">
        <v>104</v>
      </c>
      <c r="AG1272" s="1">
        <v>6</v>
      </c>
      <c r="AH1272" s="1" t="s">
        <v>104</v>
      </c>
      <c r="AI1272" s="1" t="s">
        <v>104</v>
      </c>
      <c r="AJ1272" s="1" t="s">
        <v>104</v>
      </c>
      <c r="AK1272" s="1" t="s">
        <v>104</v>
      </c>
      <c r="AL1272" s="1" t="s">
        <v>104</v>
      </c>
      <c r="AM1272" s="1" t="s">
        <v>104</v>
      </c>
      <c r="AO1272" s="1">
        <v>6</v>
      </c>
      <c r="AQ1272" s="1" t="s">
        <v>7482</v>
      </c>
      <c r="AR1272" s="1">
        <v>0</v>
      </c>
      <c r="AS1272" s="1">
        <v>0</v>
      </c>
      <c r="AT1272" s="1">
        <v>0</v>
      </c>
      <c r="AU1272" s="1">
        <v>0</v>
      </c>
      <c r="AV1272" s="1">
        <v>0</v>
      </c>
      <c r="AW1272" s="1">
        <v>0</v>
      </c>
      <c r="AX1272" s="1">
        <v>0</v>
      </c>
      <c r="AY1272" s="1">
        <v>0</v>
      </c>
      <c r="AZ1272" s="1">
        <v>0</v>
      </c>
      <c r="BA1272" s="1">
        <v>0</v>
      </c>
      <c r="BB1272" s="1">
        <v>0</v>
      </c>
      <c r="BC1272" s="1">
        <v>0</v>
      </c>
      <c r="BD1272" s="1">
        <v>0</v>
      </c>
      <c r="BE1272" s="1">
        <v>0</v>
      </c>
      <c r="BF1272" s="1">
        <v>0</v>
      </c>
      <c r="BG1272" s="1">
        <v>0</v>
      </c>
      <c r="BH1272" s="1">
        <v>0</v>
      </c>
      <c r="BI1272" s="1">
        <v>0</v>
      </c>
      <c r="BJ1272" s="1">
        <v>0</v>
      </c>
      <c r="BK1272" s="1">
        <v>0</v>
      </c>
      <c r="BL1272" s="1">
        <v>0</v>
      </c>
      <c r="BM1272" s="1">
        <v>0</v>
      </c>
      <c r="BN1272" s="1">
        <v>0</v>
      </c>
      <c r="BO1272" s="1">
        <v>0</v>
      </c>
      <c r="BP1272" s="1">
        <v>0</v>
      </c>
      <c r="BQ1272" s="2" t="str">
        <f>HYPERLINK("http://www.d20pfsrd.com/magic/all-spells/e/energy-siege-shot#TOC-Energy-Siege-Shot-Greater","Energy Siege Shot, Greater")</f>
        <v>Energy Siege Shot, Greater</v>
      </c>
      <c r="BR1272" s="1">
        <v>1326</v>
      </c>
      <c r="BS1272" s="1" t="s">
        <v>104</v>
      </c>
      <c r="BX1272" s="1">
        <v>0</v>
      </c>
      <c r="BY1272" s="1" t="s">
        <v>104</v>
      </c>
      <c r="BZ1272" s="1" t="s">
        <v>104</v>
      </c>
      <c r="CA1272" s="1" t="s">
        <v>104</v>
      </c>
      <c r="CB1272" s="1" t="s">
        <v>104</v>
      </c>
      <c r="CC1272" s="1" t="s">
        <v>104</v>
      </c>
      <c r="CD1272" s="1">
        <v>6</v>
      </c>
      <c r="CE1272" s="1" t="s">
        <v>104</v>
      </c>
      <c r="CF1272" s="1" t="s">
        <v>104</v>
      </c>
      <c r="CG1272" s="1" t="s">
        <v>104</v>
      </c>
      <c r="CH1272" s="1" t="s">
        <v>104</v>
      </c>
      <c r="CJ1272" s="1">
        <v>0</v>
      </c>
      <c r="CK1272" s="1">
        <v>0</v>
      </c>
      <c r="CL1272" s="1">
        <v>0</v>
      </c>
      <c r="CM1272" s="1">
        <v>6</v>
      </c>
    </row>
    <row r="1273" spans="1:91" ht="14.25" customHeight="1" x14ac:dyDescent="0.3">
      <c r="A1273" s="1" t="s">
        <v>7483</v>
      </c>
      <c r="B1273" s="1" t="s">
        <v>137</v>
      </c>
      <c r="E1273" s="1" t="s">
        <v>5537</v>
      </c>
      <c r="F1273" s="1" t="s">
        <v>255</v>
      </c>
      <c r="G1273" s="1" t="s">
        <v>7484</v>
      </c>
      <c r="H1273" s="1">
        <v>1</v>
      </c>
      <c r="I1273" s="1" t="s">
        <v>128</v>
      </c>
      <c r="L1273" s="1" t="s">
        <v>7485</v>
      </c>
      <c r="M1273" s="1" t="s">
        <v>119</v>
      </c>
      <c r="N1273" s="1">
        <v>0</v>
      </c>
      <c r="O1273" s="1">
        <v>0</v>
      </c>
      <c r="P1273" s="1" t="s">
        <v>100</v>
      </c>
      <c r="Q1273" s="1" t="s">
        <v>101</v>
      </c>
      <c r="R1273" s="1" t="s">
        <v>7486</v>
      </c>
      <c r="S1273" s="1" t="s">
        <v>7302</v>
      </c>
      <c r="T1273" s="1">
        <v>1</v>
      </c>
      <c r="U1273" s="1">
        <v>1</v>
      </c>
      <c r="V1273" s="1">
        <v>1</v>
      </c>
      <c r="W1273" s="1">
        <v>0</v>
      </c>
      <c r="X1273" s="1">
        <v>0</v>
      </c>
      <c r="Y1273" s="1">
        <v>1</v>
      </c>
      <c r="Z1273" s="1">
        <v>1</v>
      </c>
      <c r="AA1273" s="1" t="s">
        <v>104</v>
      </c>
      <c r="AB1273" s="1" t="s">
        <v>104</v>
      </c>
      <c r="AC1273" s="1" t="s">
        <v>104</v>
      </c>
      <c r="AD1273" s="1" t="s">
        <v>104</v>
      </c>
      <c r="AE1273" s="1" t="s">
        <v>104</v>
      </c>
      <c r="AF1273" s="1" t="s">
        <v>104</v>
      </c>
      <c r="AG1273" s="1" t="s">
        <v>104</v>
      </c>
      <c r="AH1273" s="1" t="s">
        <v>104</v>
      </c>
      <c r="AI1273" s="1" t="s">
        <v>104</v>
      </c>
      <c r="AJ1273" s="1" t="s">
        <v>104</v>
      </c>
      <c r="AK1273" s="1" t="s">
        <v>104</v>
      </c>
      <c r="AL1273" s="1" t="s">
        <v>104</v>
      </c>
      <c r="AM1273" s="1" t="s">
        <v>104</v>
      </c>
      <c r="AO1273" s="1">
        <v>1</v>
      </c>
      <c r="AQ1273" s="1" t="s">
        <v>7487</v>
      </c>
      <c r="AR1273" s="1">
        <v>0</v>
      </c>
      <c r="AS1273" s="1">
        <v>0</v>
      </c>
      <c r="AT1273" s="1">
        <v>0</v>
      </c>
      <c r="AU1273" s="1">
        <v>0</v>
      </c>
      <c r="AV1273" s="1">
        <v>0</v>
      </c>
      <c r="AW1273" s="1">
        <v>0</v>
      </c>
      <c r="AX1273" s="1">
        <v>0</v>
      </c>
      <c r="AY1273" s="1">
        <v>0</v>
      </c>
      <c r="AZ1273" s="1">
        <v>0</v>
      </c>
      <c r="BA1273" s="1">
        <v>0</v>
      </c>
      <c r="BB1273" s="1">
        <v>0</v>
      </c>
      <c r="BC1273" s="1">
        <v>0</v>
      </c>
      <c r="BD1273" s="1">
        <v>0</v>
      </c>
      <c r="BE1273" s="1">
        <v>0</v>
      </c>
      <c r="BF1273" s="1">
        <v>0</v>
      </c>
      <c r="BG1273" s="1">
        <v>0</v>
      </c>
      <c r="BH1273" s="1">
        <v>0</v>
      </c>
      <c r="BI1273" s="1">
        <v>0</v>
      </c>
      <c r="BJ1273" s="1">
        <v>0</v>
      </c>
      <c r="BK1273" s="1">
        <v>0</v>
      </c>
      <c r="BL1273" s="1">
        <v>0</v>
      </c>
      <c r="BM1273" s="1">
        <v>0</v>
      </c>
      <c r="BN1273" s="1">
        <v>0</v>
      </c>
      <c r="BO1273" s="1">
        <v>0</v>
      </c>
      <c r="BP1273" s="1">
        <v>0</v>
      </c>
      <c r="BQ1273" s="2" t="str">
        <f>HYPERLINK("http://www.d20pfsrd.com/magic/all-spells/f/fabricate-bullets","Fabricate Bullets")</f>
        <v>Fabricate Bullets</v>
      </c>
      <c r="BR1273" s="1">
        <v>1327</v>
      </c>
      <c r="BS1273" s="1">
        <v>2</v>
      </c>
      <c r="BX1273" s="1">
        <v>0</v>
      </c>
      <c r="BY1273" s="1" t="s">
        <v>104</v>
      </c>
      <c r="BZ1273" s="1" t="s">
        <v>104</v>
      </c>
      <c r="CA1273" s="1" t="s">
        <v>104</v>
      </c>
      <c r="CB1273" s="1" t="s">
        <v>104</v>
      </c>
      <c r="CC1273" s="1" t="s">
        <v>104</v>
      </c>
      <c r="CD1273" s="1" t="s">
        <v>104</v>
      </c>
      <c r="CE1273" s="1" t="s">
        <v>104</v>
      </c>
      <c r="CF1273" s="1" t="s">
        <v>104</v>
      </c>
      <c r="CG1273" s="1" t="s">
        <v>104</v>
      </c>
      <c r="CH1273" s="1" t="s">
        <v>104</v>
      </c>
      <c r="CJ1273" s="1">
        <v>0</v>
      </c>
      <c r="CK1273" s="1">
        <v>0</v>
      </c>
      <c r="CL1273" s="1">
        <v>0</v>
      </c>
      <c r="CM1273" s="1" t="s">
        <v>104</v>
      </c>
    </row>
    <row r="1274" spans="1:91" ht="14.25" customHeight="1" x14ac:dyDescent="0.3">
      <c r="A1274" s="1" t="s">
        <v>7488</v>
      </c>
      <c r="B1274" s="1" t="s">
        <v>92</v>
      </c>
      <c r="C1274" s="1" t="s">
        <v>93</v>
      </c>
      <c r="D1274" s="1" t="s">
        <v>56</v>
      </c>
      <c r="E1274" s="1" t="s">
        <v>749</v>
      </c>
      <c r="F1274" s="1" t="s">
        <v>95</v>
      </c>
      <c r="G1274" s="1" t="s">
        <v>7489</v>
      </c>
      <c r="H1274" s="1">
        <v>0</v>
      </c>
      <c r="I1274" s="1" t="s">
        <v>117</v>
      </c>
      <c r="K1274" s="1" t="s">
        <v>7490</v>
      </c>
      <c r="M1274" s="1" t="s">
        <v>426</v>
      </c>
      <c r="N1274" s="1">
        <v>1</v>
      </c>
      <c r="O1274" s="1">
        <v>0</v>
      </c>
      <c r="P1274" s="1" t="s">
        <v>100</v>
      </c>
      <c r="Q1274" s="1" t="s">
        <v>184</v>
      </c>
      <c r="R1274" s="1" t="s">
        <v>7491</v>
      </c>
      <c r="S1274" s="1" t="s">
        <v>7302</v>
      </c>
      <c r="T1274" s="1">
        <v>1</v>
      </c>
      <c r="U1274" s="1">
        <v>1</v>
      </c>
      <c r="V1274" s="1">
        <v>1</v>
      </c>
      <c r="W1274" s="1">
        <v>0</v>
      </c>
      <c r="X1274" s="1">
        <v>0</v>
      </c>
      <c r="Y1274" s="1">
        <v>2</v>
      </c>
      <c r="Z1274" s="1">
        <v>2</v>
      </c>
      <c r="AA1274" s="1" t="s">
        <v>104</v>
      </c>
      <c r="AB1274" s="1" t="s">
        <v>104</v>
      </c>
      <c r="AC1274" s="1" t="s">
        <v>104</v>
      </c>
      <c r="AD1274" s="1" t="s">
        <v>104</v>
      </c>
      <c r="AE1274" s="1" t="s">
        <v>104</v>
      </c>
      <c r="AF1274" s="1" t="s">
        <v>104</v>
      </c>
      <c r="AG1274" s="1" t="s">
        <v>104</v>
      </c>
      <c r="AH1274" s="1" t="s">
        <v>104</v>
      </c>
      <c r="AI1274" s="1" t="s">
        <v>104</v>
      </c>
      <c r="AJ1274" s="1" t="s">
        <v>104</v>
      </c>
      <c r="AK1274" s="1" t="s">
        <v>104</v>
      </c>
      <c r="AL1274" s="1" t="s">
        <v>104</v>
      </c>
      <c r="AM1274" s="1" t="s">
        <v>104</v>
      </c>
      <c r="AO1274" s="1">
        <v>2</v>
      </c>
      <c r="AQ1274" s="1" t="s">
        <v>7492</v>
      </c>
      <c r="AR1274" s="1">
        <v>0</v>
      </c>
      <c r="AS1274" s="1">
        <v>0</v>
      </c>
      <c r="AT1274" s="1">
        <v>0</v>
      </c>
      <c r="AU1274" s="1">
        <v>0</v>
      </c>
      <c r="AV1274" s="1">
        <v>0</v>
      </c>
      <c r="AW1274" s="1">
        <v>0</v>
      </c>
      <c r="AX1274" s="1">
        <v>0</v>
      </c>
      <c r="AY1274" s="1">
        <v>0</v>
      </c>
      <c r="AZ1274" s="1">
        <v>0</v>
      </c>
      <c r="BA1274" s="1">
        <v>0</v>
      </c>
      <c r="BB1274" s="1">
        <v>0</v>
      </c>
      <c r="BC1274" s="1">
        <v>0</v>
      </c>
      <c r="BD1274" s="1">
        <v>0</v>
      </c>
      <c r="BE1274" s="1">
        <v>1</v>
      </c>
      <c r="BF1274" s="1">
        <v>0</v>
      </c>
      <c r="BG1274" s="1">
        <v>0</v>
      </c>
      <c r="BH1274" s="1">
        <v>0</v>
      </c>
      <c r="BI1274" s="1">
        <v>0</v>
      </c>
      <c r="BJ1274" s="1">
        <v>0</v>
      </c>
      <c r="BK1274" s="1">
        <v>0</v>
      </c>
      <c r="BL1274" s="1">
        <v>0</v>
      </c>
      <c r="BM1274" s="1">
        <v>0</v>
      </c>
      <c r="BN1274" s="1">
        <v>0</v>
      </c>
      <c r="BO1274" s="1">
        <v>0</v>
      </c>
      <c r="BP1274" s="1">
        <v>0</v>
      </c>
      <c r="BQ1274" s="2" t="str">
        <f>HYPERLINK("http://www.d20pfsrd.com/magic/all-spells/f/fiery-shuriken","Fiery Shuriken")</f>
        <v>Fiery Shuriken</v>
      </c>
      <c r="BR1274" s="1">
        <v>1328</v>
      </c>
      <c r="BS1274" s="1" t="s">
        <v>104</v>
      </c>
      <c r="BX1274" s="1">
        <v>0</v>
      </c>
      <c r="BY1274" s="1" t="s">
        <v>104</v>
      </c>
      <c r="BZ1274" s="1" t="s">
        <v>104</v>
      </c>
      <c r="CA1274" s="1" t="s">
        <v>104</v>
      </c>
      <c r="CB1274" s="1" t="s">
        <v>104</v>
      </c>
      <c r="CC1274" s="1" t="s">
        <v>104</v>
      </c>
      <c r="CD1274" s="1" t="s">
        <v>104</v>
      </c>
      <c r="CE1274" s="1" t="s">
        <v>104</v>
      </c>
      <c r="CF1274" s="1" t="s">
        <v>104</v>
      </c>
      <c r="CG1274" s="1" t="s">
        <v>104</v>
      </c>
      <c r="CH1274" s="1" t="s">
        <v>104</v>
      </c>
      <c r="CJ1274" s="1">
        <v>0</v>
      </c>
      <c r="CK1274" s="1">
        <v>0</v>
      </c>
      <c r="CL1274" s="1">
        <v>0</v>
      </c>
      <c r="CM1274" s="1" t="s">
        <v>104</v>
      </c>
    </row>
    <row r="1275" spans="1:91" ht="14.25" customHeight="1" x14ac:dyDescent="0.3">
      <c r="A1275" s="1" t="s">
        <v>7493</v>
      </c>
      <c r="B1275" s="1" t="s">
        <v>172</v>
      </c>
      <c r="E1275" s="1" t="s">
        <v>7494</v>
      </c>
      <c r="F1275" s="1" t="s">
        <v>95</v>
      </c>
      <c r="G1275" s="1" t="s">
        <v>127</v>
      </c>
      <c r="H1275" s="1">
        <v>0</v>
      </c>
      <c r="I1275" s="1" t="s">
        <v>157</v>
      </c>
      <c r="L1275" s="1" t="s">
        <v>158</v>
      </c>
      <c r="M1275" s="1" t="s">
        <v>119</v>
      </c>
      <c r="N1275" s="1">
        <v>0</v>
      </c>
      <c r="O1275" s="1">
        <v>0</v>
      </c>
      <c r="P1275" s="1" t="s">
        <v>100</v>
      </c>
      <c r="Q1275" s="1" t="s">
        <v>101</v>
      </c>
      <c r="R1275" s="1" t="s">
        <v>7495</v>
      </c>
      <c r="S1275" s="1" t="s">
        <v>7302</v>
      </c>
      <c r="T1275" s="1">
        <v>1</v>
      </c>
      <c r="U1275" s="1">
        <v>1</v>
      </c>
      <c r="V1275" s="1">
        <v>0</v>
      </c>
      <c r="W1275" s="1">
        <v>0</v>
      </c>
      <c r="X1275" s="1">
        <v>1</v>
      </c>
      <c r="Y1275" s="1" t="s">
        <v>104</v>
      </c>
      <c r="Z1275" s="1" t="s">
        <v>104</v>
      </c>
      <c r="AA1275" s="1" t="s">
        <v>104</v>
      </c>
      <c r="AB1275" s="1" t="s">
        <v>104</v>
      </c>
      <c r="AC1275" s="1">
        <v>4</v>
      </c>
      <c r="AD1275" s="1" t="s">
        <v>104</v>
      </c>
      <c r="AE1275" s="1" t="s">
        <v>104</v>
      </c>
      <c r="AF1275" s="1" t="s">
        <v>104</v>
      </c>
      <c r="AG1275" s="1" t="s">
        <v>104</v>
      </c>
      <c r="AH1275" s="1" t="s">
        <v>104</v>
      </c>
      <c r="AI1275" s="1">
        <v>4</v>
      </c>
      <c r="AJ1275" s="1" t="s">
        <v>104</v>
      </c>
      <c r="AK1275" s="1" t="s">
        <v>104</v>
      </c>
      <c r="AL1275" s="1" t="s">
        <v>104</v>
      </c>
      <c r="AM1275" s="1" t="s">
        <v>104</v>
      </c>
      <c r="AO1275" s="1">
        <v>4</v>
      </c>
      <c r="AQ1275" s="1" t="s">
        <v>7496</v>
      </c>
      <c r="AR1275" s="1">
        <v>0</v>
      </c>
      <c r="AS1275" s="1">
        <v>0</v>
      </c>
      <c r="AT1275" s="1">
        <v>0</v>
      </c>
      <c r="AU1275" s="1">
        <v>0</v>
      </c>
      <c r="AV1275" s="1">
        <v>0</v>
      </c>
      <c r="AW1275" s="1">
        <v>0</v>
      </c>
      <c r="AX1275" s="1">
        <v>0</v>
      </c>
      <c r="AY1275" s="1">
        <v>0</v>
      </c>
      <c r="AZ1275" s="1">
        <v>0</v>
      </c>
      <c r="BA1275" s="1">
        <v>0</v>
      </c>
      <c r="BB1275" s="1">
        <v>0</v>
      </c>
      <c r="BC1275" s="1">
        <v>0</v>
      </c>
      <c r="BD1275" s="1">
        <v>0</v>
      </c>
      <c r="BE1275" s="1">
        <v>0</v>
      </c>
      <c r="BF1275" s="1">
        <v>0</v>
      </c>
      <c r="BG1275" s="1">
        <v>0</v>
      </c>
      <c r="BH1275" s="1">
        <v>0</v>
      </c>
      <c r="BI1275" s="1">
        <v>0</v>
      </c>
      <c r="BJ1275" s="1">
        <v>0</v>
      </c>
      <c r="BK1275" s="1">
        <v>0</v>
      </c>
      <c r="BL1275" s="1">
        <v>0</v>
      </c>
      <c r="BM1275" s="1">
        <v>0</v>
      </c>
      <c r="BN1275" s="1">
        <v>0</v>
      </c>
      <c r="BO1275" s="1">
        <v>0</v>
      </c>
      <c r="BP1275" s="1">
        <v>0</v>
      </c>
      <c r="BQ1275" s="2" t="str">
        <f>HYPERLINK("http://www.d20pfsrd.com/magic/all-spells/f/find-quarry","Find Quarry")</f>
        <v>Find Quarry</v>
      </c>
      <c r="BR1275" s="1">
        <v>1329</v>
      </c>
      <c r="BS1275" s="1" t="s">
        <v>104</v>
      </c>
      <c r="BX1275" s="1">
        <v>0</v>
      </c>
      <c r="BY1275" s="1" t="s">
        <v>104</v>
      </c>
      <c r="BZ1275" s="1" t="s">
        <v>104</v>
      </c>
      <c r="CA1275" s="1" t="s">
        <v>104</v>
      </c>
      <c r="CB1275" s="1" t="s">
        <v>104</v>
      </c>
      <c r="CC1275" s="1" t="s">
        <v>104</v>
      </c>
      <c r="CD1275" s="1" t="s">
        <v>104</v>
      </c>
      <c r="CE1275" s="1" t="s">
        <v>104</v>
      </c>
      <c r="CF1275" s="1" t="s">
        <v>104</v>
      </c>
      <c r="CG1275" s="1" t="s">
        <v>104</v>
      </c>
      <c r="CH1275" s="1">
        <v>4</v>
      </c>
      <c r="CJ1275" s="1">
        <v>0</v>
      </c>
      <c r="CK1275" s="1">
        <v>0</v>
      </c>
      <c r="CL1275" s="1">
        <v>0</v>
      </c>
      <c r="CM1275" s="1" t="s">
        <v>104</v>
      </c>
    </row>
    <row r="1276" spans="1:91" ht="14.25" customHeight="1" x14ac:dyDescent="0.3">
      <c r="A1276" s="1" t="s">
        <v>7497</v>
      </c>
      <c r="B1276" s="1" t="s">
        <v>137</v>
      </c>
      <c r="E1276" s="1" t="s">
        <v>7498</v>
      </c>
      <c r="F1276" s="1" t="s">
        <v>95</v>
      </c>
      <c r="G1276" s="1" t="s">
        <v>7499</v>
      </c>
      <c r="H1276" s="1">
        <v>0</v>
      </c>
      <c r="I1276" s="1" t="s">
        <v>117</v>
      </c>
      <c r="L1276" s="1" t="s">
        <v>7500</v>
      </c>
      <c r="M1276" s="1" t="s">
        <v>119</v>
      </c>
      <c r="N1276" s="1">
        <v>0</v>
      </c>
      <c r="O1276" s="1">
        <v>0</v>
      </c>
      <c r="P1276" s="1" t="s">
        <v>7501</v>
      </c>
      <c r="Q1276" s="1" t="s">
        <v>3805</v>
      </c>
      <c r="R1276" s="1" t="s">
        <v>7502</v>
      </c>
      <c r="S1276" s="1" t="s">
        <v>7302</v>
      </c>
      <c r="T1276" s="1">
        <v>1</v>
      </c>
      <c r="U1276" s="1">
        <v>1</v>
      </c>
      <c r="V1276" s="1">
        <v>1</v>
      </c>
      <c r="W1276" s="1">
        <v>0</v>
      </c>
      <c r="X1276" s="1">
        <v>0</v>
      </c>
      <c r="Y1276" s="1">
        <v>3</v>
      </c>
      <c r="Z1276" s="1">
        <v>3</v>
      </c>
      <c r="AA1276" s="1" t="s">
        <v>104</v>
      </c>
      <c r="AB1276" s="1" t="s">
        <v>104</v>
      </c>
      <c r="AC1276" s="1" t="s">
        <v>104</v>
      </c>
      <c r="AD1276" s="1" t="s">
        <v>104</v>
      </c>
      <c r="AE1276" s="1" t="s">
        <v>104</v>
      </c>
      <c r="AF1276" s="1" t="s">
        <v>104</v>
      </c>
      <c r="AG1276" s="1" t="s">
        <v>104</v>
      </c>
      <c r="AH1276" s="1">
        <v>3</v>
      </c>
      <c r="AI1276" s="1" t="s">
        <v>104</v>
      </c>
      <c r="AJ1276" s="1" t="s">
        <v>104</v>
      </c>
      <c r="AK1276" s="1" t="s">
        <v>104</v>
      </c>
      <c r="AL1276" s="1" t="s">
        <v>104</v>
      </c>
      <c r="AM1276" s="1" t="s">
        <v>104</v>
      </c>
      <c r="AO1276" s="1">
        <v>3</v>
      </c>
      <c r="AQ1276" s="1" t="s">
        <v>7503</v>
      </c>
      <c r="AR1276" s="1">
        <v>0</v>
      </c>
      <c r="AS1276" s="1">
        <v>0</v>
      </c>
      <c r="AT1276" s="1">
        <v>0</v>
      </c>
      <c r="AU1276" s="1">
        <v>0</v>
      </c>
      <c r="AV1276" s="1">
        <v>0</v>
      </c>
      <c r="AW1276" s="1">
        <v>0</v>
      </c>
      <c r="AX1276" s="1">
        <v>0</v>
      </c>
      <c r="AY1276" s="1">
        <v>0</v>
      </c>
      <c r="AZ1276" s="1">
        <v>0</v>
      </c>
      <c r="BA1276" s="1">
        <v>0</v>
      </c>
      <c r="BB1276" s="1">
        <v>0</v>
      </c>
      <c r="BC1276" s="1">
        <v>0</v>
      </c>
      <c r="BD1276" s="1">
        <v>0</v>
      </c>
      <c r="BE1276" s="1">
        <v>0</v>
      </c>
      <c r="BF1276" s="1">
        <v>0</v>
      </c>
      <c r="BG1276" s="1">
        <v>0</v>
      </c>
      <c r="BH1276" s="1">
        <v>0</v>
      </c>
      <c r="BI1276" s="1">
        <v>0</v>
      </c>
      <c r="BJ1276" s="1">
        <v>0</v>
      </c>
      <c r="BK1276" s="1">
        <v>0</v>
      </c>
      <c r="BL1276" s="1">
        <v>0</v>
      </c>
      <c r="BM1276" s="1">
        <v>0</v>
      </c>
      <c r="BN1276" s="1">
        <v>0</v>
      </c>
      <c r="BO1276" s="1">
        <v>0</v>
      </c>
      <c r="BP1276" s="1">
        <v>0</v>
      </c>
      <c r="BQ1276" s="2" t="str">
        <f>HYPERLINK("http://www.d20pfsrd.com/magic/all-spells/f/flash-fire","Flash Fire")</f>
        <v>Flash Fire</v>
      </c>
      <c r="BR1276" s="1">
        <v>1330</v>
      </c>
      <c r="BS1276" s="1" t="s">
        <v>104</v>
      </c>
      <c r="BX1276" s="1">
        <v>0</v>
      </c>
      <c r="BY1276" s="1" t="s">
        <v>104</v>
      </c>
      <c r="BZ1276" s="1" t="s">
        <v>104</v>
      </c>
      <c r="CA1276" s="1" t="s">
        <v>104</v>
      </c>
      <c r="CB1276" s="1" t="s">
        <v>104</v>
      </c>
      <c r="CC1276" s="1" t="s">
        <v>104</v>
      </c>
      <c r="CD1276" s="1" t="s">
        <v>104</v>
      </c>
      <c r="CE1276" s="1" t="s">
        <v>104</v>
      </c>
      <c r="CF1276" s="1" t="s">
        <v>104</v>
      </c>
      <c r="CG1276" s="1" t="s">
        <v>104</v>
      </c>
      <c r="CH1276" s="1" t="s">
        <v>104</v>
      </c>
      <c r="CJ1276" s="1">
        <v>0</v>
      </c>
      <c r="CK1276" s="1">
        <v>0</v>
      </c>
      <c r="CL1276" s="1">
        <v>0</v>
      </c>
      <c r="CM1276" s="1" t="s">
        <v>104</v>
      </c>
    </row>
    <row r="1277" spans="1:91" ht="14.25" customHeight="1" x14ac:dyDescent="0.3">
      <c r="A1277" s="1" t="s">
        <v>7504</v>
      </c>
      <c r="B1277" s="1" t="s">
        <v>162</v>
      </c>
      <c r="E1277" s="1" t="s">
        <v>3695</v>
      </c>
      <c r="F1277" s="1" t="s">
        <v>255</v>
      </c>
      <c r="G1277" s="1" t="s">
        <v>7505</v>
      </c>
      <c r="H1277" s="1">
        <v>0</v>
      </c>
      <c r="I1277" s="1" t="s">
        <v>117</v>
      </c>
      <c r="L1277" s="1" t="s">
        <v>7506</v>
      </c>
      <c r="M1277" s="1" t="s">
        <v>2330</v>
      </c>
      <c r="N1277" s="1">
        <v>0</v>
      </c>
      <c r="O1277" s="1">
        <v>0</v>
      </c>
      <c r="P1277" s="1" t="s">
        <v>100</v>
      </c>
      <c r="Q1277" s="1" t="s">
        <v>101</v>
      </c>
      <c r="R1277" s="1" t="s">
        <v>7507</v>
      </c>
      <c r="S1277" s="1" t="s">
        <v>7302</v>
      </c>
      <c r="T1277" s="1">
        <v>1</v>
      </c>
      <c r="U1277" s="1">
        <v>1</v>
      </c>
      <c r="V1277" s="1">
        <v>1</v>
      </c>
      <c r="W1277" s="1">
        <v>0</v>
      </c>
      <c r="X1277" s="1">
        <v>0</v>
      </c>
      <c r="Y1277" s="1" t="s">
        <v>104</v>
      </c>
      <c r="Z1277" s="1" t="s">
        <v>104</v>
      </c>
      <c r="AA1277" s="1" t="s">
        <v>104</v>
      </c>
      <c r="AB1277" s="1">
        <v>2</v>
      </c>
      <c r="AC1277" s="1">
        <v>2</v>
      </c>
      <c r="AD1277" s="1" t="s">
        <v>104</v>
      </c>
      <c r="AE1277" s="1" t="s">
        <v>104</v>
      </c>
      <c r="AF1277" s="1" t="s">
        <v>104</v>
      </c>
      <c r="AG1277" s="1" t="s">
        <v>104</v>
      </c>
      <c r="AH1277" s="1" t="s">
        <v>104</v>
      </c>
      <c r="AI1277" s="1" t="s">
        <v>104</v>
      </c>
      <c r="AJ1277" s="1" t="s">
        <v>104</v>
      </c>
      <c r="AK1277" s="1" t="s">
        <v>104</v>
      </c>
      <c r="AL1277" s="1" t="s">
        <v>104</v>
      </c>
      <c r="AM1277" s="1" t="s">
        <v>104</v>
      </c>
      <c r="AO1277" s="1">
        <v>2</v>
      </c>
      <c r="AQ1277" s="1" t="s">
        <v>7508</v>
      </c>
      <c r="AR1277" s="1">
        <v>0</v>
      </c>
      <c r="AS1277" s="1">
        <v>0</v>
      </c>
      <c r="AT1277" s="1">
        <v>0</v>
      </c>
      <c r="AU1277" s="1">
        <v>0</v>
      </c>
      <c r="AV1277" s="1">
        <v>0</v>
      </c>
      <c r="AW1277" s="1">
        <v>0</v>
      </c>
      <c r="AX1277" s="1">
        <v>0</v>
      </c>
      <c r="AY1277" s="1">
        <v>0</v>
      </c>
      <c r="AZ1277" s="1">
        <v>0</v>
      </c>
      <c r="BA1277" s="1">
        <v>0</v>
      </c>
      <c r="BB1277" s="1">
        <v>0</v>
      </c>
      <c r="BC1277" s="1">
        <v>0</v>
      </c>
      <c r="BD1277" s="1">
        <v>0</v>
      </c>
      <c r="BE1277" s="1">
        <v>0</v>
      </c>
      <c r="BF1277" s="1">
        <v>0</v>
      </c>
      <c r="BG1277" s="1">
        <v>0</v>
      </c>
      <c r="BH1277" s="1">
        <v>0</v>
      </c>
      <c r="BI1277" s="1">
        <v>0</v>
      </c>
      <c r="BJ1277" s="1">
        <v>0</v>
      </c>
      <c r="BK1277" s="1">
        <v>0</v>
      </c>
      <c r="BL1277" s="1">
        <v>0</v>
      </c>
      <c r="BM1277" s="1">
        <v>0</v>
      </c>
      <c r="BN1277" s="1">
        <v>0</v>
      </c>
      <c r="BO1277" s="1">
        <v>0</v>
      </c>
      <c r="BP1277" s="1">
        <v>0</v>
      </c>
      <c r="BQ1277" s="2" t="str">
        <f>HYPERLINK("http://www.d20pfsrd.com/magic/all-spells/f/forest-friend","Forest Friend")</f>
        <v>Forest Friend</v>
      </c>
      <c r="BR1277" s="1">
        <v>1331</v>
      </c>
      <c r="BS1277" s="1" t="s">
        <v>104</v>
      </c>
      <c r="BX1277" s="1">
        <v>0</v>
      </c>
      <c r="BY1277" s="1" t="s">
        <v>104</v>
      </c>
      <c r="BZ1277" s="1" t="s">
        <v>104</v>
      </c>
      <c r="CA1277" s="1" t="s">
        <v>104</v>
      </c>
      <c r="CB1277" s="1" t="s">
        <v>104</v>
      </c>
      <c r="CC1277" s="1" t="s">
        <v>104</v>
      </c>
      <c r="CD1277" s="1" t="s">
        <v>104</v>
      </c>
      <c r="CE1277" s="1" t="s">
        <v>104</v>
      </c>
      <c r="CF1277" s="1" t="s">
        <v>104</v>
      </c>
      <c r="CG1277" s="1" t="s">
        <v>104</v>
      </c>
      <c r="CH1277" s="1">
        <v>2</v>
      </c>
      <c r="CJ1277" s="1">
        <v>0</v>
      </c>
      <c r="CK1277" s="1">
        <v>0</v>
      </c>
      <c r="CL1277" s="1">
        <v>0</v>
      </c>
      <c r="CM1277" s="1" t="s">
        <v>104</v>
      </c>
    </row>
    <row r="1278" spans="1:91" ht="14.25" customHeight="1" x14ac:dyDescent="0.3">
      <c r="A1278" s="1" t="s">
        <v>7509</v>
      </c>
      <c r="B1278" s="1" t="s">
        <v>137</v>
      </c>
      <c r="C1278" s="1" t="s">
        <v>154</v>
      </c>
      <c r="E1278" s="1" t="s">
        <v>7510</v>
      </c>
      <c r="F1278" s="1" t="s">
        <v>95</v>
      </c>
      <c r="G1278" s="1" t="s">
        <v>7511</v>
      </c>
      <c r="H1278" s="1">
        <v>0</v>
      </c>
      <c r="I1278" s="1" t="s">
        <v>157</v>
      </c>
      <c r="L1278" s="1" t="s">
        <v>158</v>
      </c>
      <c r="M1278" s="1" t="s">
        <v>2330</v>
      </c>
      <c r="N1278" s="1">
        <v>0</v>
      </c>
      <c r="O1278" s="1">
        <v>0</v>
      </c>
      <c r="R1278" s="1" t="s">
        <v>7512</v>
      </c>
      <c r="S1278" s="1" t="s">
        <v>7302</v>
      </c>
      <c r="T1278" s="1">
        <v>1</v>
      </c>
      <c r="U1278" s="1">
        <v>1</v>
      </c>
      <c r="V1278" s="1">
        <v>1</v>
      </c>
      <c r="W1278" s="1">
        <v>0</v>
      </c>
      <c r="X1278" s="1">
        <v>0</v>
      </c>
      <c r="Y1278" s="1">
        <v>8</v>
      </c>
      <c r="Z1278" s="1">
        <v>8</v>
      </c>
      <c r="AA1278" s="1">
        <v>8</v>
      </c>
      <c r="AB1278" s="1">
        <v>8</v>
      </c>
      <c r="AC1278" s="1" t="s">
        <v>104</v>
      </c>
      <c r="AD1278" s="1" t="s">
        <v>104</v>
      </c>
      <c r="AE1278" s="1" t="s">
        <v>104</v>
      </c>
      <c r="AF1278" s="1" t="s">
        <v>104</v>
      </c>
      <c r="AG1278" s="1" t="s">
        <v>104</v>
      </c>
      <c r="AH1278" s="1">
        <v>8</v>
      </c>
      <c r="AI1278" s="1" t="s">
        <v>104</v>
      </c>
      <c r="AJ1278" s="1">
        <v>8</v>
      </c>
      <c r="AK1278" s="1" t="s">
        <v>104</v>
      </c>
      <c r="AL1278" s="1" t="s">
        <v>104</v>
      </c>
      <c r="AM1278" s="1" t="s">
        <v>104</v>
      </c>
      <c r="AO1278" s="1">
        <v>8</v>
      </c>
      <c r="AQ1278" s="1" t="s">
        <v>7513</v>
      </c>
      <c r="AR1278" s="1">
        <v>0</v>
      </c>
      <c r="AS1278" s="1">
        <v>0</v>
      </c>
      <c r="AT1278" s="1">
        <v>0</v>
      </c>
      <c r="AU1278" s="1">
        <v>0</v>
      </c>
      <c r="AV1278" s="1">
        <v>0</v>
      </c>
      <c r="AW1278" s="1">
        <v>0</v>
      </c>
      <c r="AX1278" s="1">
        <v>0</v>
      </c>
      <c r="AY1278" s="1">
        <v>0</v>
      </c>
      <c r="AZ1278" s="1">
        <v>0</v>
      </c>
      <c r="BA1278" s="1">
        <v>0</v>
      </c>
      <c r="BB1278" s="1">
        <v>0</v>
      </c>
      <c r="BC1278" s="1">
        <v>0</v>
      </c>
      <c r="BD1278" s="1">
        <v>0</v>
      </c>
      <c r="BE1278" s="1">
        <v>0</v>
      </c>
      <c r="BF1278" s="1">
        <v>0</v>
      </c>
      <c r="BG1278" s="1">
        <v>0</v>
      </c>
      <c r="BH1278" s="1">
        <v>0</v>
      </c>
      <c r="BI1278" s="1">
        <v>0</v>
      </c>
      <c r="BJ1278" s="1">
        <v>0</v>
      </c>
      <c r="BK1278" s="1">
        <v>0</v>
      </c>
      <c r="BL1278" s="1">
        <v>0</v>
      </c>
      <c r="BM1278" s="1">
        <v>0</v>
      </c>
      <c r="BN1278" s="1">
        <v>0</v>
      </c>
      <c r="BO1278" s="1">
        <v>0</v>
      </c>
      <c r="BP1278" s="1">
        <v>0</v>
      </c>
      <c r="BQ1278" s="2" t="str">
        <f>HYPERLINK("http://www.d20pfsrd.com/magic/all-spells/f/frightful-aspect","Frightful Aspect")</f>
        <v>Frightful Aspect</v>
      </c>
      <c r="BR1278" s="1">
        <v>1332</v>
      </c>
      <c r="BS1278" s="1" t="s">
        <v>104</v>
      </c>
      <c r="BX1278" s="1">
        <v>0</v>
      </c>
      <c r="BY1278" s="1" t="s">
        <v>104</v>
      </c>
      <c r="BZ1278" s="1" t="s">
        <v>104</v>
      </c>
      <c r="CA1278" s="1">
        <v>8</v>
      </c>
      <c r="CB1278" s="1" t="s">
        <v>104</v>
      </c>
      <c r="CC1278" s="1" t="s">
        <v>104</v>
      </c>
      <c r="CD1278" s="1" t="s">
        <v>104</v>
      </c>
      <c r="CE1278" s="1" t="s">
        <v>104</v>
      </c>
      <c r="CF1278" s="1" t="s">
        <v>104</v>
      </c>
      <c r="CG1278" s="1" t="s">
        <v>104</v>
      </c>
      <c r="CH1278" s="1" t="s">
        <v>104</v>
      </c>
      <c r="CJ1278" s="1">
        <v>0</v>
      </c>
      <c r="CK1278" s="1">
        <v>0</v>
      </c>
      <c r="CL1278" s="1">
        <v>0</v>
      </c>
      <c r="CM1278" s="1" t="s">
        <v>104</v>
      </c>
    </row>
    <row r="1279" spans="1:91" ht="14.25" customHeight="1" x14ac:dyDescent="0.3">
      <c r="A1279" s="1" t="s">
        <v>7514</v>
      </c>
      <c r="B1279" s="1" t="s">
        <v>434</v>
      </c>
      <c r="D1279" s="1" t="s">
        <v>46</v>
      </c>
      <c r="E1279" s="1" t="s">
        <v>7515</v>
      </c>
      <c r="F1279" s="1" t="s">
        <v>95</v>
      </c>
      <c r="G1279" s="1" t="s">
        <v>116</v>
      </c>
      <c r="H1279" s="1">
        <v>0</v>
      </c>
      <c r="I1279" s="1" t="s">
        <v>117</v>
      </c>
      <c r="J1279" s="1" t="s">
        <v>7516</v>
      </c>
      <c r="M1279" s="1" t="s">
        <v>7517</v>
      </c>
      <c r="N1279" s="1">
        <v>0</v>
      </c>
      <c r="O1279" s="1">
        <v>0</v>
      </c>
      <c r="P1279" s="1" t="s">
        <v>1080</v>
      </c>
      <c r="Q1279" s="1" t="s">
        <v>184</v>
      </c>
      <c r="R1279" s="1" t="s">
        <v>7518</v>
      </c>
      <c r="S1279" s="1" t="s">
        <v>7302</v>
      </c>
      <c r="T1279" s="1">
        <v>1</v>
      </c>
      <c r="U1279" s="1">
        <v>1</v>
      </c>
      <c r="V1279" s="1">
        <v>0</v>
      </c>
      <c r="W1279" s="1">
        <v>0</v>
      </c>
      <c r="X1279" s="1">
        <v>0</v>
      </c>
      <c r="Y1279" s="1">
        <v>2</v>
      </c>
      <c r="Z1279" s="1">
        <v>2</v>
      </c>
      <c r="AA1279" s="1" t="s">
        <v>104</v>
      </c>
      <c r="AB1279" s="1">
        <v>2</v>
      </c>
      <c r="AC1279" s="1" t="s">
        <v>104</v>
      </c>
      <c r="AD1279" s="1" t="s">
        <v>104</v>
      </c>
      <c r="AE1279" s="1" t="s">
        <v>104</v>
      </c>
      <c r="AF1279" s="1" t="s">
        <v>104</v>
      </c>
      <c r="AG1279" s="1" t="s">
        <v>104</v>
      </c>
      <c r="AH1279" s="1">
        <v>2</v>
      </c>
      <c r="AI1279" s="1" t="s">
        <v>104</v>
      </c>
      <c r="AJ1279" s="1" t="s">
        <v>104</v>
      </c>
      <c r="AK1279" s="1" t="s">
        <v>104</v>
      </c>
      <c r="AL1279" s="1" t="s">
        <v>104</v>
      </c>
      <c r="AM1279" s="1" t="s">
        <v>104</v>
      </c>
      <c r="AO1279" s="1">
        <v>2</v>
      </c>
      <c r="AQ1279" s="1" t="s">
        <v>7519</v>
      </c>
      <c r="AR1279" s="1">
        <v>0</v>
      </c>
      <c r="AS1279" s="1">
        <v>0</v>
      </c>
      <c r="AT1279" s="1">
        <v>0</v>
      </c>
      <c r="AU1279" s="1">
        <v>1</v>
      </c>
      <c r="AV1279" s="1">
        <v>0</v>
      </c>
      <c r="AW1279" s="1">
        <v>0</v>
      </c>
      <c r="AX1279" s="1">
        <v>0</v>
      </c>
      <c r="AY1279" s="1">
        <v>0</v>
      </c>
      <c r="AZ1279" s="1">
        <v>0</v>
      </c>
      <c r="BA1279" s="1">
        <v>0</v>
      </c>
      <c r="BB1279" s="1">
        <v>0</v>
      </c>
      <c r="BC1279" s="1">
        <v>0</v>
      </c>
      <c r="BD1279" s="1">
        <v>0</v>
      </c>
      <c r="BE1279" s="1">
        <v>0</v>
      </c>
      <c r="BF1279" s="1">
        <v>0</v>
      </c>
      <c r="BG1279" s="1">
        <v>0</v>
      </c>
      <c r="BH1279" s="1">
        <v>0</v>
      </c>
      <c r="BI1279" s="1">
        <v>0</v>
      </c>
      <c r="BJ1279" s="1">
        <v>0</v>
      </c>
      <c r="BK1279" s="1">
        <v>0</v>
      </c>
      <c r="BL1279" s="1">
        <v>0</v>
      </c>
      <c r="BM1279" s="1">
        <v>0</v>
      </c>
      <c r="BN1279" s="1">
        <v>0</v>
      </c>
      <c r="BO1279" s="1">
        <v>0</v>
      </c>
      <c r="BP1279" s="1">
        <v>0</v>
      </c>
      <c r="BQ1279" s="2" t="str">
        <f>HYPERLINK("http://www.d20pfsrd.com/magic/all-spells/f/frost-fall","Frost Fall")</f>
        <v>Frost Fall</v>
      </c>
      <c r="BR1279" s="1">
        <v>1333</v>
      </c>
      <c r="BS1279" s="1" t="s">
        <v>104</v>
      </c>
      <c r="BX1279" s="1">
        <v>0</v>
      </c>
      <c r="BY1279" s="1" t="s">
        <v>104</v>
      </c>
      <c r="BZ1279" s="1" t="s">
        <v>104</v>
      </c>
      <c r="CA1279" s="1" t="s">
        <v>104</v>
      </c>
      <c r="CB1279" s="1" t="s">
        <v>104</v>
      </c>
      <c r="CC1279" s="1" t="s">
        <v>104</v>
      </c>
      <c r="CD1279" s="1">
        <v>2</v>
      </c>
      <c r="CE1279" s="1" t="s">
        <v>104</v>
      </c>
      <c r="CF1279" s="1" t="s">
        <v>104</v>
      </c>
      <c r="CG1279" s="1" t="s">
        <v>104</v>
      </c>
      <c r="CH1279" s="1">
        <v>2</v>
      </c>
      <c r="CJ1279" s="1">
        <v>0</v>
      </c>
      <c r="CK1279" s="1">
        <v>0</v>
      </c>
      <c r="CL1279" s="1">
        <v>0</v>
      </c>
      <c r="CM1279" s="1" t="s">
        <v>104</v>
      </c>
    </row>
    <row r="1280" spans="1:91" ht="14.25" customHeight="1" x14ac:dyDescent="0.3">
      <c r="A1280" s="1" t="s">
        <v>7520</v>
      </c>
      <c r="B1280" s="1" t="s">
        <v>507</v>
      </c>
      <c r="C1280" s="1" t="s">
        <v>508</v>
      </c>
      <c r="E1280" s="1" t="s">
        <v>7521</v>
      </c>
      <c r="F1280" s="1" t="s">
        <v>95</v>
      </c>
      <c r="G1280" s="1" t="s">
        <v>1802</v>
      </c>
      <c r="H1280" s="1">
        <v>0</v>
      </c>
      <c r="I1280" s="1" t="s">
        <v>7522</v>
      </c>
      <c r="L1280" s="1" t="s">
        <v>7523</v>
      </c>
      <c r="M1280" s="1" t="s">
        <v>426</v>
      </c>
      <c r="N1280" s="1">
        <v>1</v>
      </c>
      <c r="O1280" s="1">
        <v>0</v>
      </c>
      <c r="R1280" s="1" t="s">
        <v>7524</v>
      </c>
      <c r="S1280" s="1" t="s">
        <v>7302</v>
      </c>
      <c r="T1280" s="1">
        <v>0</v>
      </c>
      <c r="U1280" s="1">
        <v>1</v>
      </c>
      <c r="V1280" s="1">
        <v>0</v>
      </c>
      <c r="W1280" s="1">
        <v>0</v>
      </c>
      <c r="X1280" s="1">
        <v>0</v>
      </c>
      <c r="Y1280" s="1">
        <v>0</v>
      </c>
      <c r="Z1280" s="1">
        <v>0</v>
      </c>
      <c r="AA1280" s="1" t="s">
        <v>104</v>
      </c>
      <c r="AB1280" s="1" t="s">
        <v>104</v>
      </c>
      <c r="AC1280" s="1" t="s">
        <v>104</v>
      </c>
      <c r="AD1280" s="1">
        <v>0</v>
      </c>
      <c r="AE1280" s="1" t="s">
        <v>104</v>
      </c>
      <c r="AF1280" s="1" t="s">
        <v>104</v>
      </c>
      <c r="AG1280" s="1" t="s">
        <v>104</v>
      </c>
      <c r="AH1280" s="1" t="s">
        <v>104</v>
      </c>
      <c r="AI1280" s="1" t="s">
        <v>104</v>
      </c>
      <c r="AJ1280" s="1" t="s">
        <v>104</v>
      </c>
      <c r="AK1280" s="1" t="s">
        <v>104</v>
      </c>
      <c r="AL1280" s="1" t="s">
        <v>104</v>
      </c>
      <c r="AM1280" s="1" t="s">
        <v>104</v>
      </c>
      <c r="AO1280" s="1">
        <v>0</v>
      </c>
      <c r="AQ1280" s="1" t="s">
        <v>7525</v>
      </c>
      <c r="AR1280" s="1">
        <v>0</v>
      </c>
      <c r="AS1280" s="1">
        <v>0</v>
      </c>
      <c r="AT1280" s="1">
        <v>0</v>
      </c>
      <c r="AU1280" s="1">
        <v>0</v>
      </c>
      <c r="AV1280" s="1">
        <v>0</v>
      </c>
      <c r="AW1280" s="1">
        <v>0</v>
      </c>
      <c r="AX1280" s="1">
        <v>0</v>
      </c>
      <c r="AY1280" s="1">
        <v>0</v>
      </c>
      <c r="AZ1280" s="1">
        <v>0</v>
      </c>
      <c r="BA1280" s="1">
        <v>0</v>
      </c>
      <c r="BB1280" s="1">
        <v>0</v>
      </c>
      <c r="BC1280" s="1">
        <v>0</v>
      </c>
      <c r="BD1280" s="1">
        <v>0</v>
      </c>
      <c r="BE1280" s="1">
        <v>0</v>
      </c>
      <c r="BF1280" s="1">
        <v>0</v>
      </c>
      <c r="BG1280" s="1">
        <v>0</v>
      </c>
      <c r="BH1280" s="1">
        <v>0</v>
      </c>
      <c r="BI1280" s="1">
        <v>0</v>
      </c>
      <c r="BJ1280" s="1">
        <v>0</v>
      </c>
      <c r="BK1280" s="1">
        <v>0</v>
      </c>
      <c r="BL1280" s="1">
        <v>0</v>
      </c>
      <c r="BM1280" s="1">
        <v>0</v>
      </c>
      <c r="BN1280" s="1">
        <v>0</v>
      </c>
      <c r="BO1280" s="1">
        <v>0</v>
      </c>
      <c r="BP1280" s="1">
        <v>0</v>
      </c>
      <c r="BQ1280" s="2" t="str">
        <f>HYPERLINK("http://www.d20pfsrd.com/magic/all-spells/h/haunted-fey-aspect","Haunted Fey Aspect")</f>
        <v>Haunted Fey Aspect</v>
      </c>
      <c r="BR1280" s="1">
        <v>1334</v>
      </c>
      <c r="BS1280" s="1" t="s">
        <v>104</v>
      </c>
      <c r="BX1280" s="1">
        <v>0</v>
      </c>
      <c r="BY1280" s="1" t="s">
        <v>104</v>
      </c>
      <c r="BZ1280" s="1" t="s">
        <v>104</v>
      </c>
      <c r="CA1280" s="1">
        <v>0</v>
      </c>
      <c r="CB1280" s="1">
        <v>0</v>
      </c>
      <c r="CC1280" s="1">
        <v>0</v>
      </c>
      <c r="CD1280" s="1" t="s">
        <v>104</v>
      </c>
      <c r="CE1280" s="1" t="s">
        <v>104</v>
      </c>
      <c r="CF1280" s="1" t="s">
        <v>104</v>
      </c>
      <c r="CG1280" s="1" t="s">
        <v>104</v>
      </c>
      <c r="CH1280" s="1" t="s">
        <v>104</v>
      </c>
      <c r="CJ1280" s="1">
        <v>0</v>
      </c>
      <c r="CK1280" s="1">
        <v>0</v>
      </c>
      <c r="CL1280" s="1">
        <v>0</v>
      </c>
      <c r="CM1280" s="1" t="s">
        <v>104</v>
      </c>
    </row>
    <row r="1281" spans="1:91" ht="14.25" customHeight="1" x14ac:dyDescent="0.3">
      <c r="A1281" s="1" t="s">
        <v>7526</v>
      </c>
      <c r="B1281" s="1" t="s">
        <v>216</v>
      </c>
      <c r="E1281" s="1" t="s">
        <v>7527</v>
      </c>
      <c r="F1281" s="1" t="s">
        <v>95</v>
      </c>
      <c r="G1281" s="1" t="s">
        <v>7528</v>
      </c>
      <c r="H1281" s="1">
        <v>0</v>
      </c>
      <c r="I1281" s="1" t="s">
        <v>128</v>
      </c>
      <c r="L1281" s="1" t="s">
        <v>374</v>
      </c>
      <c r="M1281" s="1" t="s">
        <v>5119</v>
      </c>
      <c r="N1281" s="1">
        <v>0</v>
      </c>
      <c r="O1281" s="1">
        <v>0</v>
      </c>
      <c r="P1281" s="1" t="s">
        <v>100</v>
      </c>
      <c r="Q1281" s="1" t="s">
        <v>184</v>
      </c>
      <c r="R1281" s="1" t="s">
        <v>7529</v>
      </c>
      <c r="S1281" s="1" t="s">
        <v>7302</v>
      </c>
      <c r="T1281" s="1">
        <v>1</v>
      </c>
      <c r="U1281" s="1">
        <v>1</v>
      </c>
      <c r="V1281" s="1">
        <v>1</v>
      </c>
      <c r="W1281" s="1">
        <v>0</v>
      </c>
      <c r="X1281" s="1">
        <v>0</v>
      </c>
      <c r="Y1281" s="1">
        <v>3</v>
      </c>
      <c r="Z1281" s="1">
        <v>3</v>
      </c>
      <c r="AA1281" s="1" t="s">
        <v>104</v>
      </c>
      <c r="AB1281" s="1" t="s">
        <v>104</v>
      </c>
      <c r="AC1281" s="1" t="s">
        <v>104</v>
      </c>
      <c r="AD1281" s="1" t="s">
        <v>104</v>
      </c>
      <c r="AE1281" s="1" t="s">
        <v>104</v>
      </c>
      <c r="AF1281" s="1" t="s">
        <v>104</v>
      </c>
      <c r="AG1281" s="1" t="s">
        <v>104</v>
      </c>
      <c r="AH1281" s="1">
        <v>3</v>
      </c>
      <c r="AI1281" s="1" t="s">
        <v>104</v>
      </c>
      <c r="AJ1281" s="1" t="s">
        <v>104</v>
      </c>
      <c r="AK1281" s="1" t="s">
        <v>104</v>
      </c>
      <c r="AL1281" s="1" t="s">
        <v>104</v>
      </c>
      <c r="AM1281" s="1" t="s">
        <v>104</v>
      </c>
      <c r="AO1281" s="1">
        <v>3</v>
      </c>
      <c r="AQ1281" s="1" t="s">
        <v>7530</v>
      </c>
      <c r="AR1281" s="1">
        <v>0</v>
      </c>
      <c r="AS1281" s="1">
        <v>0</v>
      </c>
      <c r="AT1281" s="1">
        <v>0</v>
      </c>
      <c r="AU1281" s="1">
        <v>0</v>
      </c>
      <c r="AV1281" s="1">
        <v>0</v>
      </c>
      <c r="AW1281" s="1">
        <v>0</v>
      </c>
      <c r="AX1281" s="1">
        <v>0</v>
      </c>
      <c r="AY1281" s="1">
        <v>0</v>
      </c>
      <c r="AZ1281" s="1">
        <v>0</v>
      </c>
      <c r="BA1281" s="1">
        <v>0</v>
      </c>
      <c r="BB1281" s="1">
        <v>0</v>
      </c>
      <c r="BC1281" s="1">
        <v>0</v>
      </c>
      <c r="BD1281" s="1">
        <v>0</v>
      </c>
      <c r="BE1281" s="1">
        <v>0</v>
      </c>
      <c r="BF1281" s="1">
        <v>0</v>
      </c>
      <c r="BG1281" s="1">
        <v>0</v>
      </c>
      <c r="BH1281" s="1">
        <v>0</v>
      </c>
      <c r="BI1281" s="1">
        <v>0</v>
      </c>
      <c r="BJ1281" s="1">
        <v>0</v>
      </c>
      <c r="BK1281" s="1">
        <v>0</v>
      </c>
      <c r="BL1281" s="1">
        <v>0</v>
      </c>
      <c r="BM1281" s="1">
        <v>0</v>
      </c>
      <c r="BN1281" s="1">
        <v>0</v>
      </c>
      <c r="BO1281" s="1">
        <v>0</v>
      </c>
      <c r="BP1281" s="1">
        <v>0</v>
      </c>
      <c r="BQ1281" s="2" t="str">
        <f>HYPERLINK("http://www.d20pfsrd.com/magic/all-spells/h/healing-thief","Healing Thief")</f>
        <v>Healing Thief</v>
      </c>
      <c r="BR1281" s="1">
        <v>1335</v>
      </c>
      <c r="BS1281" s="1" t="s">
        <v>104</v>
      </c>
      <c r="BV1281" s="1" t="s">
        <v>7531</v>
      </c>
      <c r="BW1281" s="1" t="s">
        <v>7532</v>
      </c>
      <c r="BX1281" s="1">
        <v>1</v>
      </c>
      <c r="BY1281" s="1" t="s">
        <v>104</v>
      </c>
      <c r="BZ1281" s="1" t="s">
        <v>104</v>
      </c>
      <c r="CA1281" s="1">
        <v>3</v>
      </c>
      <c r="CB1281" s="1" t="s">
        <v>104</v>
      </c>
      <c r="CC1281" s="1">
        <v>1</v>
      </c>
      <c r="CD1281" s="1">
        <v>3</v>
      </c>
      <c r="CE1281" s="1" t="s">
        <v>104</v>
      </c>
      <c r="CF1281" s="1" t="s">
        <v>104</v>
      </c>
      <c r="CG1281" s="1" t="s">
        <v>104</v>
      </c>
      <c r="CH1281" s="1" t="s">
        <v>104</v>
      </c>
      <c r="CJ1281" s="1">
        <v>0</v>
      </c>
      <c r="CK1281" s="1">
        <v>0</v>
      </c>
      <c r="CL1281" s="1">
        <v>0</v>
      </c>
      <c r="CM1281" s="1" t="s">
        <v>104</v>
      </c>
    </row>
    <row r="1282" spans="1:91" ht="14.25" customHeight="1" x14ac:dyDescent="0.3">
      <c r="A1282" s="1" t="s">
        <v>7533</v>
      </c>
      <c r="B1282" s="1" t="s">
        <v>123</v>
      </c>
      <c r="C1282" s="1" t="s">
        <v>124</v>
      </c>
      <c r="D1282" s="1" t="s">
        <v>125</v>
      </c>
      <c r="E1282" s="1" t="s">
        <v>2007</v>
      </c>
      <c r="F1282" s="1" t="s">
        <v>287</v>
      </c>
      <c r="G1282" s="1" t="s">
        <v>116</v>
      </c>
      <c r="H1282" s="1">
        <v>0</v>
      </c>
      <c r="I1282" s="1" t="s">
        <v>117</v>
      </c>
      <c r="L1282" s="1" t="s">
        <v>1930</v>
      </c>
      <c r="M1282" s="1" t="s">
        <v>7534</v>
      </c>
      <c r="N1282" s="1">
        <v>0</v>
      </c>
      <c r="O1282" s="1">
        <v>0</v>
      </c>
      <c r="P1282" s="1" t="s">
        <v>375</v>
      </c>
      <c r="Q1282" s="1" t="s">
        <v>131</v>
      </c>
      <c r="R1282" s="1" t="s">
        <v>7535</v>
      </c>
      <c r="S1282" s="1" t="s">
        <v>7302</v>
      </c>
      <c r="T1282" s="1">
        <v>1</v>
      </c>
      <c r="U1282" s="1">
        <v>1</v>
      </c>
      <c r="V1282" s="1">
        <v>0</v>
      </c>
      <c r="W1282" s="1">
        <v>0</v>
      </c>
      <c r="X1282" s="1">
        <v>0</v>
      </c>
      <c r="Y1282" s="1">
        <v>9</v>
      </c>
      <c r="Z1282" s="1">
        <v>9</v>
      </c>
      <c r="AA1282" s="1" t="s">
        <v>104</v>
      </c>
      <c r="AB1282" s="1" t="s">
        <v>104</v>
      </c>
      <c r="AC1282" s="1" t="s">
        <v>104</v>
      </c>
      <c r="AD1282" s="1" t="s">
        <v>104</v>
      </c>
      <c r="AE1282" s="1" t="s">
        <v>104</v>
      </c>
      <c r="AF1282" s="1" t="s">
        <v>104</v>
      </c>
      <c r="AG1282" s="1" t="s">
        <v>104</v>
      </c>
      <c r="AH1282" s="1">
        <v>9</v>
      </c>
      <c r="AI1282" s="1" t="s">
        <v>104</v>
      </c>
      <c r="AJ1282" s="1" t="s">
        <v>104</v>
      </c>
      <c r="AK1282" s="1" t="s">
        <v>104</v>
      </c>
      <c r="AL1282" s="1" t="s">
        <v>104</v>
      </c>
      <c r="AM1282" s="1" t="s">
        <v>104</v>
      </c>
      <c r="AO1282" s="1">
        <v>9</v>
      </c>
      <c r="AQ1282" s="1" t="s">
        <v>7536</v>
      </c>
      <c r="AR1282" s="1">
        <v>0</v>
      </c>
      <c r="AS1282" s="1">
        <v>0</v>
      </c>
      <c r="AT1282" s="1">
        <v>0</v>
      </c>
      <c r="AU1282" s="1">
        <v>0</v>
      </c>
      <c r="AV1282" s="1">
        <v>0</v>
      </c>
      <c r="AW1282" s="1">
        <v>0</v>
      </c>
      <c r="AX1282" s="1">
        <v>0</v>
      </c>
      <c r="AY1282" s="1">
        <v>0</v>
      </c>
      <c r="AZ1282" s="1">
        <v>0</v>
      </c>
      <c r="BA1282" s="1">
        <v>0</v>
      </c>
      <c r="BB1282" s="1">
        <v>0</v>
      </c>
      <c r="BC1282" s="1">
        <v>0</v>
      </c>
      <c r="BD1282" s="1">
        <v>0</v>
      </c>
      <c r="BE1282" s="1">
        <v>0</v>
      </c>
      <c r="BF1282" s="1">
        <v>0</v>
      </c>
      <c r="BG1282" s="1">
        <v>0</v>
      </c>
      <c r="BH1282" s="1">
        <v>0</v>
      </c>
      <c r="BI1282" s="1">
        <v>0</v>
      </c>
      <c r="BJ1282" s="1">
        <v>0</v>
      </c>
      <c r="BK1282" s="1">
        <v>1</v>
      </c>
      <c r="BL1282" s="1">
        <v>0</v>
      </c>
      <c r="BM1282" s="1">
        <v>0</v>
      </c>
      <c r="BN1282" s="1">
        <v>0</v>
      </c>
      <c r="BO1282" s="1">
        <v>0</v>
      </c>
      <c r="BP1282" s="1">
        <v>0</v>
      </c>
      <c r="BQ1282" s="2" t="str">
        <f>HYPERLINK("http://www.d20pfsrd.com/magic/all-spells/h/heroic-invocation","Heroic Invocation")</f>
        <v>Heroic Invocation</v>
      </c>
      <c r="BR1282" s="1">
        <v>1336</v>
      </c>
      <c r="BS1282" s="1" t="s">
        <v>104</v>
      </c>
      <c r="BX1282" s="1">
        <v>0</v>
      </c>
      <c r="BY1282" s="1" t="s">
        <v>104</v>
      </c>
      <c r="BZ1282" s="1" t="s">
        <v>104</v>
      </c>
      <c r="CA1282" s="1">
        <v>9</v>
      </c>
      <c r="CB1282" s="1" t="s">
        <v>104</v>
      </c>
      <c r="CC1282" s="1" t="s">
        <v>104</v>
      </c>
      <c r="CD1282" s="1" t="s">
        <v>104</v>
      </c>
      <c r="CE1282" s="1" t="s">
        <v>104</v>
      </c>
      <c r="CF1282" s="1" t="s">
        <v>104</v>
      </c>
      <c r="CG1282" s="1" t="s">
        <v>104</v>
      </c>
      <c r="CH1282" s="1" t="s">
        <v>104</v>
      </c>
      <c r="CJ1282" s="1">
        <v>0</v>
      </c>
      <c r="CK1282" s="1">
        <v>0</v>
      </c>
      <c r="CL1282" s="1">
        <v>0</v>
      </c>
      <c r="CM1282" s="1" t="s">
        <v>104</v>
      </c>
    </row>
    <row r="1283" spans="1:91" ht="14.25" customHeight="1" x14ac:dyDescent="0.3">
      <c r="A1283" s="1" t="s">
        <v>7537</v>
      </c>
      <c r="B1283" s="1" t="s">
        <v>92</v>
      </c>
      <c r="C1283" s="1" t="s">
        <v>1160</v>
      </c>
      <c r="E1283" s="1" t="s">
        <v>7538</v>
      </c>
      <c r="F1283" s="1" t="s">
        <v>95</v>
      </c>
      <c r="G1283" s="1" t="s">
        <v>7539</v>
      </c>
      <c r="H1283" s="1">
        <v>0</v>
      </c>
      <c r="I1283" s="1" t="s">
        <v>117</v>
      </c>
      <c r="L1283" s="1" t="s">
        <v>7540</v>
      </c>
      <c r="M1283" s="1" t="s">
        <v>5119</v>
      </c>
      <c r="N1283" s="1">
        <v>0</v>
      </c>
      <c r="O1283" s="1">
        <v>0</v>
      </c>
      <c r="P1283" s="1" t="s">
        <v>211</v>
      </c>
      <c r="Q1283" s="1" t="s">
        <v>184</v>
      </c>
      <c r="R1283" s="1" t="s">
        <v>7541</v>
      </c>
      <c r="S1283" s="1" t="s">
        <v>7302</v>
      </c>
      <c r="T1283" s="1">
        <v>1</v>
      </c>
      <c r="U1283" s="1">
        <v>1</v>
      </c>
      <c r="V1283" s="1">
        <v>1</v>
      </c>
      <c r="W1283" s="1">
        <v>0</v>
      </c>
      <c r="X1283" s="1">
        <v>0</v>
      </c>
      <c r="Y1283" s="1">
        <v>5</v>
      </c>
      <c r="Z1283" s="1">
        <v>5</v>
      </c>
      <c r="AA1283" s="1" t="s">
        <v>104</v>
      </c>
      <c r="AB1283" s="1" t="s">
        <v>104</v>
      </c>
      <c r="AC1283" s="1" t="s">
        <v>104</v>
      </c>
      <c r="AD1283" s="1" t="s">
        <v>104</v>
      </c>
      <c r="AE1283" s="1" t="s">
        <v>104</v>
      </c>
      <c r="AF1283" s="1" t="s">
        <v>104</v>
      </c>
      <c r="AG1283" s="1">
        <v>4</v>
      </c>
      <c r="AH1283" s="1">
        <v>5</v>
      </c>
      <c r="AI1283" s="1" t="s">
        <v>104</v>
      </c>
      <c r="AJ1283" s="1" t="s">
        <v>104</v>
      </c>
      <c r="AK1283" s="1" t="s">
        <v>104</v>
      </c>
      <c r="AL1283" s="1" t="s">
        <v>104</v>
      </c>
      <c r="AM1283" s="1" t="s">
        <v>104</v>
      </c>
      <c r="AO1283" s="1">
        <v>5</v>
      </c>
      <c r="AQ1283" s="1" t="s">
        <v>7542</v>
      </c>
      <c r="AR1283" s="1">
        <v>0</v>
      </c>
      <c r="AS1283" s="1">
        <v>0</v>
      </c>
      <c r="AT1283" s="1">
        <v>0</v>
      </c>
      <c r="AU1283" s="1">
        <v>0</v>
      </c>
      <c r="AV1283" s="1">
        <v>0</v>
      </c>
      <c r="AW1283" s="1">
        <v>0</v>
      </c>
      <c r="AX1283" s="1">
        <v>0</v>
      </c>
      <c r="AY1283" s="1">
        <v>0</v>
      </c>
      <c r="AZ1283" s="1">
        <v>0</v>
      </c>
      <c r="BA1283" s="1">
        <v>0</v>
      </c>
      <c r="BB1283" s="1">
        <v>0</v>
      </c>
      <c r="BC1283" s="1">
        <v>0</v>
      </c>
      <c r="BD1283" s="1">
        <v>0</v>
      </c>
      <c r="BE1283" s="1">
        <v>0</v>
      </c>
      <c r="BF1283" s="1">
        <v>0</v>
      </c>
      <c r="BG1283" s="1">
        <v>0</v>
      </c>
      <c r="BH1283" s="1">
        <v>0</v>
      </c>
      <c r="BI1283" s="1">
        <v>0</v>
      </c>
      <c r="BJ1283" s="1">
        <v>0</v>
      </c>
      <c r="BK1283" s="1">
        <v>0</v>
      </c>
      <c r="BL1283" s="1">
        <v>0</v>
      </c>
      <c r="BM1283" s="1">
        <v>0</v>
      </c>
      <c r="BN1283" s="1">
        <v>0</v>
      </c>
      <c r="BO1283" s="1">
        <v>0</v>
      </c>
      <c r="BP1283" s="1">
        <v>0</v>
      </c>
      <c r="BQ1283" s="2" t="str">
        <f>HYPERLINK("http://www.d20pfsrd.com/magic/all-spells/h/hostile-juxtaposition","Hostile Juxtaposition")</f>
        <v>Hostile Juxtaposition</v>
      </c>
      <c r="BR1283" s="1">
        <v>1337</v>
      </c>
      <c r="BS1283" s="1" t="s">
        <v>104</v>
      </c>
      <c r="BX1283" s="1">
        <v>0</v>
      </c>
      <c r="BY1283" s="1" t="s">
        <v>104</v>
      </c>
      <c r="BZ1283" s="1" t="s">
        <v>104</v>
      </c>
      <c r="CA1283" s="1">
        <v>5</v>
      </c>
      <c r="CB1283" s="1" t="s">
        <v>104</v>
      </c>
      <c r="CC1283" s="1" t="s">
        <v>104</v>
      </c>
      <c r="CD1283" s="1" t="s">
        <v>104</v>
      </c>
      <c r="CE1283" s="1" t="s">
        <v>104</v>
      </c>
      <c r="CF1283" s="1" t="s">
        <v>104</v>
      </c>
      <c r="CG1283" s="1" t="s">
        <v>104</v>
      </c>
      <c r="CH1283" s="1" t="s">
        <v>104</v>
      </c>
      <c r="CJ1283" s="1">
        <v>0</v>
      </c>
      <c r="CK1283" s="1">
        <v>0</v>
      </c>
      <c r="CL1283" s="1">
        <v>0</v>
      </c>
      <c r="CM1283" s="1">
        <v>5</v>
      </c>
    </row>
    <row r="1284" spans="1:91" ht="14.25" customHeight="1" x14ac:dyDescent="0.3">
      <c r="A1284" s="1" t="s">
        <v>7543</v>
      </c>
      <c r="B1284" s="1" t="s">
        <v>92</v>
      </c>
      <c r="C1284" s="1" t="s">
        <v>1160</v>
      </c>
      <c r="E1284" s="1" t="s">
        <v>7544</v>
      </c>
      <c r="F1284" s="1" t="s">
        <v>95</v>
      </c>
      <c r="G1284" s="1" t="s">
        <v>7539</v>
      </c>
      <c r="H1284" s="1">
        <v>0</v>
      </c>
      <c r="I1284" s="1" t="s">
        <v>117</v>
      </c>
      <c r="L1284" s="1" t="s">
        <v>7545</v>
      </c>
      <c r="M1284" s="1" t="s">
        <v>5119</v>
      </c>
      <c r="N1284" s="1">
        <v>0</v>
      </c>
      <c r="O1284" s="1">
        <v>0</v>
      </c>
      <c r="P1284" s="1" t="s">
        <v>211</v>
      </c>
      <c r="Q1284" s="1" t="s">
        <v>184</v>
      </c>
      <c r="R1284" s="1" t="s">
        <v>7546</v>
      </c>
      <c r="S1284" s="1" t="s">
        <v>7302</v>
      </c>
      <c r="T1284" s="1">
        <v>1</v>
      </c>
      <c r="U1284" s="1">
        <v>1</v>
      </c>
      <c r="V1284" s="1">
        <v>1</v>
      </c>
      <c r="W1284" s="1">
        <v>0</v>
      </c>
      <c r="X1284" s="1">
        <v>0</v>
      </c>
      <c r="Y1284" s="1">
        <v>7</v>
      </c>
      <c r="Z1284" s="1">
        <v>7</v>
      </c>
      <c r="AA1284" s="1" t="s">
        <v>104</v>
      </c>
      <c r="AB1284" s="1" t="s">
        <v>104</v>
      </c>
      <c r="AC1284" s="1" t="s">
        <v>104</v>
      </c>
      <c r="AD1284" s="1" t="s">
        <v>104</v>
      </c>
      <c r="AE1284" s="1" t="s">
        <v>104</v>
      </c>
      <c r="AF1284" s="1" t="s">
        <v>104</v>
      </c>
      <c r="AG1284" s="1">
        <v>6</v>
      </c>
      <c r="AH1284" s="1">
        <v>7</v>
      </c>
      <c r="AI1284" s="1" t="s">
        <v>104</v>
      </c>
      <c r="AJ1284" s="1" t="s">
        <v>104</v>
      </c>
      <c r="AK1284" s="1" t="s">
        <v>104</v>
      </c>
      <c r="AL1284" s="1" t="s">
        <v>104</v>
      </c>
      <c r="AM1284" s="1" t="s">
        <v>104</v>
      </c>
      <c r="AO1284" s="1">
        <v>7</v>
      </c>
      <c r="AQ1284" s="1" t="s">
        <v>7547</v>
      </c>
      <c r="AR1284" s="1">
        <v>0</v>
      </c>
      <c r="AS1284" s="1">
        <v>0</v>
      </c>
      <c r="AT1284" s="1">
        <v>0</v>
      </c>
      <c r="AU1284" s="1">
        <v>0</v>
      </c>
      <c r="AV1284" s="1">
        <v>0</v>
      </c>
      <c r="AW1284" s="1">
        <v>0</v>
      </c>
      <c r="AX1284" s="1">
        <v>0</v>
      </c>
      <c r="AY1284" s="1">
        <v>0</v>
      </c>
      <c r="AZ1284" s="1">
        <v>0</v>
      </c>
      <c r="BA1284" s="1">
        <v>0</v>
      </c>
      <c r="BB1284" s="1">
        <v>0</v>
      </c>
      <c r="BC1284" s="1">
        <v>0</v>
      </c>
      <c r="BD1284" s="1">
        <v>0</v>
      </c>
      <c r="BE1284" s="1">
        <v>0</v>
      </c>
      <c r="BF1284" s="1">
        <v>0</v>
      </c>
      <c r="BG1284" s="1">
        <v>0</v>
      </c>
      <c r="BH1284" s="1">
        <v>0</v>
      </c>
      <c r="BI1284" s="1">
        <v>0</v>
      </c>
      <c r="BJ1284" s="1">
        <v>0</v>
      </c>
      <c r="BK1284" s="1">
        <v>0</v>
      </c>
      <c r="BL1284" s="1">
        <v>0</v>
      </c>
      <c r="BM1284" s="1">
        <v>0</v>
      </c>
      <c r="BN1284" s="1">
        <v>0</v>
      </c>
      <c r="BO1284" s="1">
        <v>0</v>
      </c>
      <c r="BP1284" s="1">
        <v>0</v>
      </c>
      <c r="BQ1284" s="2" t="str">
        <f>HYPERLINK("http://www.d20pfsrd.com/magic/all-spells/h/hostile-juxtaposition#TOC-Hostile-Juxtaposition-Greater","Hostile Juxtaposition, Greater")</f>
        <v>Hostile Juxtaposition, Greater</v>
      </c>
      <c r="BR1284" s="1">
        <v>1338</v>
      </c>
      <c r="BS1284" s="1" t="s">
        <v>104</v>
      </c>
      <c r="BX1284" s="1">
        <v>0</v>
      </c>
      <c r="BY1284" s="1" t="s">
        <v>104</v>
      </c>
      <c r="BZ1284" s="1" t="s">
        <v>104</v>
      </c>
      <c r="CA1284" s="1">
        <v>7</v>
      </c>
      <c r="CB1284" s="1" t="s">
        <v>104</v>
      </c>
      <c r="CC1284" s="1">
        <v>4</v>
      </c>
      <c r="CD1284" s="1" t="s">
        <v>104</v>
      </c>
      <c r="CE1284" s="1" t="s">
        <v>104</v>
      </c>
      <c r="CF1284" s="1" t="s">
        <v>104</v>
      </c>
      <c r="CG1284" s="1" t="s">
        <v>104</v>
      </c>
      <c r="CH1284" s="1" t="s">
        <v>104</v>
      </c>
      <c r="CJ1284" s="1">
        <v>0</v>
      </c>
      <c r="CK1284" s="1">
        <v>0</v>
      </c>
      <c r="CL1284" s="1">
        <v>0</v>
      </c>
      <c r="CM1284" s="1">
        <v>6</v>
      </c>
    </row>
    <row r="1285" spans="1:91" ht="14.25" customHeight="1" x14ac:dyDescent="0.3">
      <c r="A1285" s="1" t="s">
        <v>7548</v>
      </c>
      <c r="B1285" s="1" t="s">
        <v>137</v>
      </c>
      <c r="E1285" s="1" t="s">
        <v>7549</v>
      </c>
      <c r="F1285" s="1" t="s">
        <v>95</v>
      </c>
      <c r="G1285" s="1" t="s">
        <v>7550</v>
      </c>
      <c r="H1285" s="1">
        <v>0</v>
      </c>
      <c r="I1285" s="1" t="s">
        <v>117</v>
      </c>
      <c r="L1285" s="1" t="s">
        <v>1065</v>
      </c>
      <c r="M1285" s="1" t="s">
        <v>111</v>
      </c>
      <c r="N1285" s="1">
        <v>0</v>
      </c>
      <c r="O1285" s="1">
        <v>0</v>
      </c>
      <c r="P1285" s="1" t="s">
        <v>211</v>
      </c>
      <c r="Q1285" s="1" t="s">
        <v>184</v>
      </c>
      <c r="R1285" s="1" t="s">
        <v>7551</v>
      </c>
      <c r="S1285" s="1" t="s">
        <v>7302</v>
      </c>
      <c r="T1285" s="1">
        <v>1</v>
      </c>
      <c r="U1285" s="1">
        <v>1</v>
      </c>
      <c r="V1285" s="1">
        <v>1</v>
      </c>
      <c r="W1285" s="1">
        <v>0</v>
      </c>
      <c r="X1285" s="1">
        <v>0</v>
      </c>
      <c r="Y1285" s="1">
        <v>3</v>
      </c>
      <c r="Z1285" s="1">
        <v>3</v>
      </c>
      <c r="AA1285" s="1" t="s">
        <v>104</v>
      </c>
      <c r="AB1285" s="1" t="s">
        <v>104</v>
      </c>
      <c r="AC1285" s="1" t="s">
        <v>104</v>
      </c>
      <c r="AD1285" s="1" t="s">
        <v>104</v>
      </c>
      <c r="AE1285" s="1" t="s">
        <v>104</v>
      </c>
      <c r="AF1285" s="1" t="s">
        <v>104</v>
      </c>
      <c r="AG1285" s="1" t="s">
        <v>104</v>
      </c>
      <c r="AH1285" s="1">
        <v>3</v>
      </c>
      <c r="AI1285" s="1" t="s">
        <v>104</v>
      </c>
      <c r="AJ1285" s="1" t="s">
        <v>104</v>
      </c>
      <c r="AK1285" s="1" t="s">
        <v>104</v>
      </c>
      <c r="AL1285" s="1" t="s">
        <v>104</v>
      </c>
      <c r="AM1285" s="1" t="s">
        <v>104</v>
      </c>
      <c r="AO1285" s="1">
        <v>3</v>
      </c>
      <c r="AQ1285" s="1" t="s">
        <v>7552</v>
      </c>
      <c r="AR1285" s="1">
        <v>0</v>
      </c>
      <c r="AS1285" s="1">
        <v>0</v>
      </c>
      <c r="AT1285" s="1">
        <v>0</v>
      </c>
      <c r="AU1285" s="1">
        <v>0</v>
      </c>
      <c r="AV1285" s="1">
        <v>0</v>
      </c>
      <c r="AW1285" s="1">
        <v>0</v>
      </c>
      <c r="AX1285" s="1">
        <v>0</v>
      </c>
      <c r="AY1285" s="1">
        <v>0</v>
      </c>
      <c r="AZ1285" s="1">
        <v>0</v>
      </c>
      <c r="BA1285" s="1">
        <v>0</v>
      </c>
      <c r="BB1285" s="1">
        <v>0</v>
      </c>
      <c r="BC1285" s="1">
        <v>0</v>
      </c>
      <c r="BD1285" s="1">
        <v>0</v>
      </c>
      <c r="BE1285" s="1">
        <v>0</v>
      </c>
      <c r="BF1285" s="1">
        <v>0</v>
      </c>
      <c r="BG1285" s="1">
        <v>0</v>
      </c>
      <c r="BH1285" s="1">
        <v>0</v>
      </c>
      <c r="BI1285" s="1">
        <v>0</v>
      </c>
      <c r="BJ1285" s="1">
        <v>0</v>
      </c>
      <c r="BK1285" s="1">
        <v>0</v>
      </c>
      <c r="BL1285" s="1">
        <v>0</v>
      </c>
      <c r="BM1285" s="1">
        <v>0</v>
      </c>
      <c r="BN1285" s="1">
        <v>0</v>
      </c>
      <c r="BO1285" s="1">
        <v>0</v>
      </c>
      <c r="BP1285" s="1">
        <v>0</v>
      </c>
      <c r="BQ1285" s="2" t="str">
        <f>HYPERLINK("http://www.d20pfsrd.com/magic/all-spells/h/hostile-levitation","Hostile Levitation")</f>
        <v>Hostile Levitation</v>
      </c>
      <c r="BR1285" s="1">
        <v>1339</v>
      </c>
      <c r="BS1285" s="1" t="s">
        <v>104</v>
      </c>
      <c r="BX1285" s="1">
        <v>0</v>
      </c>
      <c r="BY1285" s="1">
        <v>3</v>
      </c>
      <c r="BZ1285" s="1" t="s">
        <v>104</v>
      </c>
      <c r="CA1285" s="1">
        <v>3</v>
      </c>
      <c r="CB1285" s="1">
        <v>2</v>
      </c>
      <c r="CC1285" s="1">
        <v>3</v>
      </c>
      <c r="CD1285" s="1">
        <v>3</v>
      </c>
      <c r="CE1285" s="1">
        <v>3</v>
      </c>
      <c r="CF1285" s="1" t="s">
        <v>104</v>
      </c>
      <c r="CG1285" s="1" t="s">
        <v>104</v>
      </c>
      <c r="CH1285" s="1" t="s">
        <v>104</v>
      </c>
      <c r="CJ1285" s="1">
        <v>0</v>
      </c>
      <c r="CK1285" s="1">
        <v>0</v>
      </c>
      <c r="CL1285" s="1">
        <v>0</v>
      </c>
      <c r="CM1285" s="1" t="s">
        <v>104</v>
      </c>
    </row>
    <row r="1286" spans="1:91" ht="14.25" customHeight="1" x14ac:dyDescent="0.3">
      <c r="A1286" s="1" t="s">
        <v>7553</v>
      </c>
      <c r="B1286" s="1" t="s">
        <v>507</v>
      </c>
      <c r="C1286" s="1" t="s">
        <v>1767</v>
      </c>
      <c r="E1286" s="1" t="s">
        <v>7554</v>
      </c>
      <c r="F1286" s="1" t="s">
        <v>95</v>
      </c>
      <c r="G1286" s="1" t="s">
        <v>116</v>
      </c>
      <c r="H1286" s="1">
        <v>0</v>
      </c>
      <c r="I1286" s="1" t="s">
        <v>157</v>
      </c>
      <c r="L1286" s="1" t="s">
        <v>158</v>
      </c>
      <c r="M1286" s="1" t="s">
        <v>2330</v>
      </c>
      <c r="N1286" s="1">
        <v>0</v>
      </c>
      <c r="O1286" s="1">
        <v>0</v>
      </c>
      <c r="P1286" s="1" t="s">
        <v>7555</v>
      </c>
      <c r="Q1286" s="1" t="s">
        <v>101</v>
      </c>
      <c r="R1286" s="1" t="s">
        <v>7556</v>
      </c>
      <c r="S1286" s="1" t="s">
        <v>7302</v>
      </c>
      <c r="T1286" s="1">
        <v>1</v>
      </c>
      <c r="U1286" s="1">
        <v>1</v>
      </c>
      <c r="V1286" s="1">
        <v>0</v>
      </c>
      <c r="W1286" s="1">
        <v>0</v>
      </c>
      <c r="X1286" s="1">
        <v>0</v>
      </c>
      <c r="Y1286" s="1">
        <v>1</v>
      </c>
      <c r="Z1286" s="1">
        <v>1</v>
      </c>
      <c r="AA1286" s="1" t="s">
        <v>104</v>
      </c>
      <c r="AB1286" s="1" t="s">
        <v>104</v>
      </c>
      <c r="AC1286" s="1" t="s">
        <v>104</v>
      </c>
      <c r="AD1286" s="1" t="s">
        <v>104</v>
      </c>
      <c r="AE1286" s="1" t="s">
        <v>104</v>
      </c>
      <c r="AF1286" s="1">
        <v>1</v>
      </c>
      <c r="AG1286" s="1" t="s">
        <v>104</v>
      </c>
      <c r="AH1286" s="1" t="s">
        <v>104</v>
      </c>
      <c r="AI1286" s="1" t="s">
        <v>104</v>
      </c>
      <c r="AJ1286" s="1" t="s">
        <v>104</v>
      </c>
      <c r="AK1286" s="1" t="s">
        <v>104</v>
      </c>
      <c r="AL1286" s="1">
        <v>1</v>
      </c>
      <c r="AM1286" s="1" t="s">
        <v>104</v>
      </c>
      <c r="AO1286" s="1">
        <v>1</v>
      </c>
      <c r="AQ1286" s="1" t="s">
        <v>7557</v>
      </c>
      <c r="AR1286" s="1">
        <v>0</v>
      </c>
      <c r="AS1286" s="1">
        <v>0</v>
      </c>
      <c r="AT1286" s="1">
        <v>0</v>
      </c>
      <c r="AU1286" s="1">
        <v>0</v>
      </c>
      <c r="AV1286" s="1">
        <v>0</v>
      </c>
      <c r="AW1286" s="1">
        <v>0</v>
      </c>
      <c r="AX1286" s="1">
        <v>0</v>
      </c>
      <c r="AY1286" s="1">
        <v>0</v>
      </c>
      <c r="AZ1286" s="1">
        <v>0</v>
      </c>
      <c r="BA1286" s="1">
        <v>0</v>
      </c>
      <c r="BB1286" s="1">
        <v>0</v>
      </c>
      <c r="BC1286" s="1">
        <v>0</v>
      </c>
      <c r="BD1286" s="1">
        <v>0</v>
      </c>
      <c r="BE1286" s="1">
        <v>0</v>
      </c>
      <c r="BF1286" s="1">
        <v>0</v>
      </c>
      <c r="BG1286" s="1">
        <v>0</v>
      </c>
      <c r="BH1286" s="1">
        <v>0</v>
      </c>
      <c r="BI1286" s="1">
        <v>0</v>
      </c>
      <c r="BJ1286" s="1">
        <v>0</v>
      </c>
      <c r="BK1286" s="1">
        <v>0</v>
      </c>
      <c r="BL1286" s="1">
        <v>0</v>
      </c>
      <c r="BM1286" s="1">
        <v>0</v>
      </c>
      <c r="BN1286" s="1">
        <v>0</v>
      </c>
      <c r="BO1286" s="1">
        <v>0</v>
      </c>
      <c r="BP1286" s="1">
        <v>0</v>
      </c>
      <c r="BQ1286" s="2" t="str">
        <f>HYPERLINK("http://www.d20pfsrd.com/magic/all-spells/i/illusion-of-calm","Illusion of Calm")</f>
        <v>Illusion of Calm</v>
      </c>
      <c r="BR1286" s="1">
        <v>1340</v>
      </c>
      <c r="BS1286" s="1" t="s">
        <v>104</v>
      </c>
      <c r="BX1286" s="1">
        <v>0</v>
      </c>
      <c r="BY1286" s="1" t="s">
        <v>104</v>
      </c>
      <c r="BZ1286" s="1" t="s">
        <v>104</v>
      </c>
      <c r="CA1286" s="1">
        <v>1</v>
      </c>
      <c r="CB1286" s="1" t="s">
        <v>104</v>
      </c>
      <c r="CC1286" s="1">
        <v>1</v>
      </c>
      <c r="CD1286" s="1">
        <v>1</v>
      </c>
      <c r="CE1286" s="1" t="s">
        <v>104</v>
      </c>
      <c r="CF1286" s="1" t="s">
        <v>104</v>
      </c>
      <c r="CG1286" s="1" t="s">
        <v>104</v>
      </c>
      <c r="CH1286" s="1" t="s">
        <v>104</v>
      </c>
      <c r="CJ1286" s="1">
        <v>0</v>
      </c>
      <c r="CK1286" s="1">
        <v>0</v>
      </c>
      <c r="CL1286" s="1">
        <v>0</v>
      </c>
      <c r="CM1286" s="1" t="s">
        <v>104</v>
      </c>
    </row>
    <row r="1287" spans="1:91" ht="14.25" customHeight="1" x14ac:dyDescent="0.3">
      <c r="A1287" s="1" t="s">
        <v>7558</v>
      </c>
      <c r="B1287" s="1" t="s">
        <v>137</v>
      </c>
      <c r="E1287" s="1" t="s">
        <v>146</v>
      </c>
      <c r="F1287" s="1" t="s">
        <v>95</v>
      </c>
      <c r="G1287" s="1" t="s">
        <v>116</v>
      </c>
      <c r="H1287" s="1">
        <v>0</v>
      </c>
      <c r="I1287" s="1" t="s">
        <v>128</v>
      </c>
      <c r="L1287" s="1" t="s">
        <v>479</v>
      </c>
      <c r="M1287" s="1" t="s">
        <v>7559</v>
      </c>
      <c r="N1287" s="1">
        <v>0</v>
      </c>
      <c r="O1287" s="1">
        <v>0</v>
      </c>
      <c r="P1287" s="1" t="s">
        <v>7560</v>
      </c>
      <c r="Q1287" s="1" t="s">
        <v>7561</v>
      </c>
      <c r="R1287" s="1" t="s">
        <v>7562</v>
      </c>
      <c r="S1287" s="1" t="s">
        <v>7302</v>
      </c>
      <c r="T1287" s="1">
        <v>1</v>
      </c>
      <c r="U1287" s="1">
        <v>1</v>
      </c>
      <c r="V1287" s="1">
        <v>0</v>
      </c>
      <c r="W1287" s="1">
        <v>0</v>
      </c>
      <c r="X1287" s="1">
        <v>0</v>
      </c>
      <c r="Y1287" s="1" t="s">
        <v>104</v>
      </c>
      <c r="Z1287" s="1" t="s">
        <v>104</v>
      </c>
      <c r="AA1287" s="1">
        <v>2</v>
      </c>
      <c r="AB1287" s="1" t="s">
        <v>104</v>
      </c>
      <c r="AC1287" s="1" t="s">
        <v>104</v>
      </c>
      <c r="AD1287" s="1" t="s">
        <v>104</v>
      </c>
      <c r="AE1287" s="1" t="s">
        <v>104</v>
      </c>
      <c r="AF1287" s="1" t="s">
        <v>104</v>
      </c>
      <c r="AG1287" s="1" t="s">
        <v>104</v>
      </c>
      <c r="AH1287" s="1" t="s">
        <v>104</v>
      </c>
      <c r="AI1287" s="1">
        <v>2</v>
      </c>
      <c r="AJ1287" s="1">
        <v>2</v>
      </c>
      <c r="AK1287" s="1" t="s">
        <v>104</v>
      </c>
      <c r="AL1287" s="1" t="s">
        <v>104</v>
      </c>
      <c r="AM1287" s="1" t="s">
        <v>104</v>
      </c>
      <c r="AO1287" s="1">
        <v>2</v>
      </c>
      <c r="AP1287" s="1" t="s">
        <v>7563</v>
      </c>
      <c r="AQ1287" s="1" t="s">
        <v>7564</v>
      </c>
      <c r="AR1287" s="1">
        <v>0</v>
      </c>
      <c r="AS1287" s="1">
        <v>0</v>
      </c>
      <c r="AT1287" s="1">
        <v>0</v>
      </c>
      <c r="AU1287" s="1">
        <v>0</v>
      </c>
      <c r="AV1287" s="1">
        <v>0</v>
      </c>
      <c r="AW1287" s="1">
        <v>0</v>
      </c>
      <c r="AX1287" s="1">
        <v>0</v>
      </c>
      <c r="AY1287" s="1">
        <v>0</v>
      </c>
      <c r="AZ1287" s="1">
        <v>0</v>
      </c>
      <c r="BA1287" s="1">
        <v>0</v>
      </c>
      <c r="BB1287" s="1">
        <v>0</v>
      </c>
      <c r="BC1287" s="1">
        <v>0</v>
      </c>
      <c r="BD1287" s="1">
        <v>0</v>
      </c>
      <c r="BE1287" s="1">
        <v>0</v>
      </c>
      <c r="BF1287" s="1">
        <v>0</v>
      </c>
      <c r="BG1287" s="1">
        <v>0</v>
      </c>
      <c r="BH1287" s="1">
        <v>0</v>
      </c>
      <c r="BI1287" s="1">
        <v>0</v>
      </c>
      <c r="BJ1287" s="1">
        <v>0</v>
      </c>
      <c r="BK1287" s="1">
        <v>0</v>
      </c>
      <c r="BL1287" s="1">
        <v>0</v>
      </c>
      <c r="BM1287" s="1">
        <v>0</v>
      </c>
      <c r="BN1287" s="1">
        <v>0</v>
      </c>
      <c r="BO1287" s="1">
        <v>0</v>
      </c>
      <c r="BP1287" s="1">
        <v>0</v>
      </c>
      <c r="BQ1287" s="2" t="str">
        <f>HYPERLINK("http://www.d20pfsrd.com/magic/all-spells/i/instrument-of-agony","Instrument of Agony")</f>
        <v>Instrument of Agony</v>
      </c>
      <c r="BR1287" s="1">
        <v>1341</v>
      </c>
      <c r="BS1287" s="1" t="s">
        <v>104</v>
      </c>
      <c r="BX1287" s="1">
        <v>0</v>
      </c>
      <c r="BY1287" s="1" t="s">
        <v>104</v>
      </c>
      <c r="BZ1287" s="1" t="s">
        <v>104</v>
      </c>
      <c r="CA1287" s="1" t="s">
        <v>104</v>
      </c>
      <c r="CB1287" s="1" t="s">
        <v>104</v>
      </c>
      <c r="CC1287" s="1" t="s">
        <v>104</v>
      </c>
      <c r="CD1287" s="1" t="s">
        <v>104</v>
      </c>
      <c r="CE1287" s="1" t="s">
        <v>104</v>
      </c>
      <c r="CF1287" s="1" t="s">
        <v>104</v>
      </c>
      <c r="CG1287" s="1" t="s">
        <v>104</v>
      </c>
      <c r="CH1287" s="1" t="s">
        <v>104</v>
      </c>
      <c r="CJ1287" s="1">
        <v>0</v>
      </c>
      <c r="CK1287" s="1">
        <v>0</v>
      </c>
      <c r="CL1287" s="1">
        <v>0</v>
      </c>
      <c r="CM1287" s="1" t="s">
        <v>104</v>
      </c>
    </row>
    <row r="1288" spans="1:91" ht="14.25" customHeight="1" x14ac:dyDescent="0.3">
      <c r="A1288" s="1" t="s">
        <v>7565</v>
      </c>
      <c r="B1288" s="1" t="s">
        <v>434</v>
      </c>
      <c r="D1288" s="1" t="s">
        <v>52</v>
      </c>
      <c r="E1288" s="1" t="s">
        <v>4280</v>
      </c>
      <c r="F1288" s="1" t="s">
        <v>95</v>
      </c>
      <c r="G1288" s="1" t="s">
        <v>127</v>
      </c>
      <c r="H1288" s="1">
        <v>0</v>
      </c>
      <c r="I1288" s="1" t="s">
        <v>109</v>
      </c>
      <c r="L1288" s="1" t="s">
        <v>1065</v>
      </c>
      <c r="M1288" s="1" t="s">
        <v>7438</v>
      </c>
      <c r="N1288" s="1">
        <v>1</v>
      </c>
      <c r="O1288" s="1">
        <v>0</v>
      </c>
      <c r="P1288" s="1" t="s">
        <v>100</v>
      </c>
      <c r="Q1288" s="1" t="s">
        <v>184</v>
      </c>
      <c r="R1288" s="1" t="s">
        <v>7566</v>
      </c>
      <c r="S1288" s="1" t="s">
        <v>7302</v>
      </c>
      <c r="T1288" s="1">
        <v>1</v>
      </c>
      <c r="U1288" s="1">
        <v>1</v>
      </c>
      <c r="V1288" s="1">
        <v>0</v>
      </c>
      <c r="W1288" s="1">
        <v>0</v>
      </c>
      <c r="X1288" s="1">
        <v>1</v>
      </c>
      <c r="Y1288" s="1" t="s">
        <v>104</v>
      </c>
      <c r="Z1288" s="1" t="s">
        <v>104</v>
      </c>
      <c r="AA1288" s="1">
        <v>7</v>
      </c>
      <c r="AB1288" s="1" t="s">
        <v>104</v>
      </c>
      <c r="AC1288" s="1" t="s">
        <v>104</v>
      </c>
      <c r="AD1288" s="1" t="s">
        <v>104</v>
      </c>
      <c r="AE1288" s="1" t="s">
        <v>104</v>
      </c>
      <c r="AF1288" s="1" t="s">
        <v>104</v>
      </c>
      <c r="AG1288" s="1" t="s">
        <v>104</v>
      </c>
      <c r="AH1288" s="1" t="s">
        <v>104</v>
      </c>
      <c r="AI1288" s="1" t="s">
        <v>104</v>
      </c>
      <c r="AJ1288" s="1">
        <v>7</v>
      </c>
      <c r="AK1288" s="1" t="s">
        <v>104</v>
      </c>
      <c r="AL1288" s="1" t="s">
        <v>104</v>
      </c>
      <c r="AM1288" s="1" t="s">
        <v>104</v>
      </c>
      <c r="AO1288" s="1">
        <v>7</v>
      </c>
      <c r="AQ1288" s="1" t="s">
        <v>7567</v>
      </c>
      <c r="AR1288" s="1">
        <v>0</v>
      </c>
      <c r="AS1288" s="1">
        <v>0</v>
      </c>
      <c r="AT1288" s="1">
        <v>0</v>
      </c>
      <c r="AU1288" s="1">
        <v>0</v>
      </c>
      <c r="AV1288" s="1">
        <v>0</v>
      </c>
      <c r="AW1288" s="1">
        <v>0</v>
      </c>
      <c r="AX1288" s="1">
        <v>0</v>
      </c>
      <c r="AY1288" s="1">
        <v>0</v>
      </c>
      <c r="AZ1288" s="1">
        <v>0</v>
      </c>
      <c r="BA1288" s="1">
        <v>1</v>
      </c>
      <c r="BB1288" s="1">
        <v>0</v>
      </c>
      <c r="BC1288" s="1">
        <v>0</v>
      </c>
      <c r="BD1288" s="1">
        <v>0</v>
      </c>
      <c r="BE1288" s="1">
        <v>0</v>
      </c>
      <c r="BF1288" s="1">
        <v>0</v>
      </c>
      <c r="BG1288" s="1">
        <v>0</v>
      </c>
      <c r="BH1288" s="1">
        <v>0</v>
      </c>
      <c r="BI1288" s="1">
        <v>0</v>
      </c>
      <c r="BJ1288" s="1">
        <v>0</v>
      </c>
      <c r="BK1288" s="1">
        <v>0</v>
      </c>
      <c r="BL1288" s="1">
        <v>0</v>
      </c>
      <c r="BM1288" s="1">
        <v>0</v>
      </c>
      <c r="BN1288" s="1">
        <v>0</v>
      </c>
      <c r="BO1288" s="1">
        <v>0</v>
      </c>
      <c r="BP1288" s="1">
        <v>0</v>
      </c>
      <c r="BQ1288" s="2" t="str">
        <f>HYPERLINK("http://www.d20pfsrd.com/magic/all-spells/j/jolting-portent","Jolting Portent")</f>
        <v>Jolting Portent</v>
      </c>
      <c r="BR1288" s="1">
        <v>1342</v>
      </c>
      <c r="BS1288" s="1" t="s">
        <v>104</v>
      </c>
      <c r="BX1288" s="1">
        <v>0</v>
      </c>
      <c r="BY1288" s="1" t="s">
        <v>104</v>
      </c>
      <c r="BZ1288" s="1" t="s">
        <v>104</v>
      </c>
      <c r="CA1288" s="1" t="s">
        <v>104</v>
      </c>
      <c r="CB1288" s="1" t="s">
        <v>104</v>
      </c>
      <c r="CC1288" s="1" t="s">
        <v>104</v>
      </c>
      <c r="CD1288" s="1" t="s">
        <v>104</v>
      </c>
      <c r="CE1288" s="1" t="s">
        <v>104</v>
      </c>
      <c r="CF1288" s="1" t="s">
        <v>104</v>
      </c>
      <c r="CG1288" s="1" t="s">
        <v>104</v>
      </c>
      <c r="CH1288" s="1" t="s">
        <v>104</v>
      </c>
      <c r="CJ1288" s="1">
        <v>0</v>
      </c>
      <c r="CK1288" s="1">
        <v>0</v>
      </c>
      <c r="CL1288" s="1">
        <v>0</v>
      </c>
      <c r="CM1288" s="1" t="s">
        <v>104</v>
      </c>
    </row>
    <row r="1289" spans="1:91" ht="14.25" customHeight="1" x14ac:dyDescent="0.3">
      <c r="A1289" s="1" t="s">
        <v>7568</v>
      </c>
      <c r="B1289" s="1" t="s">
        <v>434</v>
      </c>
      <c r="D1289" s="1" t="s">
        <v>61</v>
      </c>
      <c r="E1289" s="1" t="s">
        <v>4560</v>
      </c>
      <c r="F1289" s="1" t="s">
        <v>95</v>
      </c>
      <c r="G1289" s="1" t="s">
        <v>116</v>
      </c>
      <c r="H1289" s="1">
        <v>0</v>
      </c>
      <c r="I1289" s="1" t="s">
        <v>157</v>
      </c>
      <c r="J1289" s="1" t="s">
        <v>4454</v>
      </c>
      <c r="M1289" s="1" t="s">
        <v>7569</v>
      </c>
      <c r="N1289" s="1">
        <v>0</v>
      </c>
      <c r="O1289" s="1">
        <v>0</v>
      </c>
      <c r="P1289" s="1" t="s">
        <v>145</v>
      </c>
      <c r="Q1289" s="1" t="s">
        <v>184</v>
      </c>
      <c r="R1289" s="1" t="s">
        <v>7570</v>
      </c>
      <c r="S1289" s="1" t="s">
        <v>7302</v>
      </c>
      <c r="T1289" s="1">
        <v>1</v>
      </c>
      <c r="U1289" s="1">
        <v>1</v>
      </c>
      <c r="V1289" s="1">
        <v>0</v>
      </c>
      <c r="W1289" s="1">
        <v>0</v>
      </c>
      <c r="X1289" s="1">
        <v>0</v>
      </c>
      <c r="Y1289" s="1" t="s">
        <v>104</v>
      </c>
      <c r="Z1289" s="1" t="s">
        <v>104</v>
      </c>
      <c r="AA1289" s="1" t="s">
        <v>104</v>
      </c>
      <c r="AB1289" s="1" t="s">
        <v>104</v>
      </c>
      <c r="AC1289" s="1" t="s">
        <v>104</v>
      </c>
      <c r="AD1289" s="1" t="s">
        <v>104</v>
      </c>
      <c r="AE1289" s="1" t="s">
        <v>104</v>
      </c>
      <c r="AF1289" s="1" t="s">
        <v>104</v>
      </c>
      <c r="AG1289" s="1" t="s">
        <v>104</v>
      </c>
      <c r="AH1289" s="1" t="s">
        <v>104</v>
      </c>
      <c r="AI1289" s="1">
        <v>4</v>
      </c>
      <c r="AJ1289" s="1" t="s">
        <v>104</v>
      </c>
      <c r="AK1289" s="1" t="s">
        <v>104</v>
      </c>
      <c r="AL1289" s="1" t="s">
        <v>104</v>
      </c>
      <c r="AM1289" s="1" t="s">
        <v>104</v>
      </c>
      <c r="AO1289" s="1">
        <v>4</v>
      </c>
      <c r="AQ1289" s="1" t="s">
        <v>7571</v>
      </c>
      <c r="AR1289" s="1">
        <v>0</v>
      </c>
      <c r="AS1289" s="1">
        <v>0</v>
      </c>
      <c r="AT1289" s="1">
        <v>0</v>
      </c>
      <c r="AU1289" s="1">
        <v>0</v>
      </c>
      <c r="AV1289" s="1">
        <v>0</v>
      </c>
      <c r="AW1289" s="1">
        <v>0</v>
      </c>
      <c r="AX1289" s="1">
        <v>0</v>
      </c>
      <c r="AY1289" s="1">
        <v>0</v>
      </c>
      <c r="AZ1289" s="1">
        <v>0</v>
      </c>
      <c r="BA1289" s="1">
        <v>0</v>
      </c>
      <c r="BB1289" s="1">
        <v>0</v>
      </c>
      <c r="BC1289" s="1">
        <v>0</v>
      </c>
      <c r="BD1289" s="1">
        <v>0</v>
      </c>
      <c r="BE1289" s="1">
        <v>0</v>
      </c>
      <c r="BF1289" s="1">
        <v>0</v>
      </c>
      <c r="BG1289" s="1">
        <v>0</v>
      </c>
      <c r="BH1289" s="1">
        <v>0</v>
      </c>
      <c r="BI1289" s="1">
        <v>0</v>
      </c>
      <c r="BJ1289" s="1">
        <v>1</v>
      </c>
      <c r="BK1289" s="1">
        <v>0</v>
      </c>
      <c r="BL1289" s="1">
        <v>0</v>
      </c>
      <c r="BM1289" s="1">
        <v>0</v>
      </c>
      <c r="BN1289" s="1">
        <v>0</v>
      </c>
      <c r="BO1289" s="1">
        <v>0</v>
      </c>
      <c r="BP1289" s="1">
        <v>0</v>
      </c>
      <c r="BQ1289" s="2" t="str">
        <f>HYPERLINK("http://www.d20pfsrd.com/magic/all-spells/j/judgment-light","Judgment Light")</f>
        <v>Judgment Light</v>
      </c>
      <c r="BR1289" s="1">
        <v>1343</v>
      </c>
      <c r="BS1289" s="1" t="s">
        <v>104</v>
      </c>
      <c r="BX1289" s="1">
        <v>0</v>
      </c>
      <c r="BY1289" s="1" t="s">
        <v>104</v>
      </c>
      <c r="BZ1289" s="1" t="s">
        <v>104</v>
      </c>
      <c r="CA1289" s="1" t="s">
        <v>104</v>
      </c>
      <c r="CB1289" s="1" t="s">
        <v>104</v>
      </c>
      <c r="CC1289" s="1" t="s">
        <v>104</v>
      </c>
      <c r="CD1289" s="1" t="s">
        <v>104</v>
      </c>
      <c r="CE1289" s="1" t="s">
        <v>104</v>
      </c>
      <c r="CF1289" s="1" t="s">
        <v>104</v>
      </c>
      <c r="CG1289" s="1" t="s">
        <v>104</v>
      </c>
      <c r="CH1289" s="1" t="s">
        <v>104</v>
      </c>
      <c r="CJ1289" s="1">
        <v>0</v>
      </c>
      <c r="CK1289" s="1">
        <v>0</v>
      </c>
      <c r="CL1289" s="1">
        <v>0</v>
      </c>
      <c r="CM1289" s="1" t="s">
        <v>104</v>
      </c>
    </row>
    <row r="1290" spans="1:91" ht="14.25" customHeight="1" x14ac:dyDescent="0.3">
      <c r="A1290" s="1" t="s">
        <v>7572</v>
      </c>
      <c r="B1290" s="1" t="s">
        <v>137</v>
      </c>
      <c r="E1290" s="1" t="s">
        <v>7573</v>
      </c>
      <c r="F1290" s="1" t="s">
        <v>95</v>
      </c>
      <c r="G1290" s="1" t="s">
        <v>7574</v>
      </c>
      <c r="H1290" s="1">
        <v>0</v>
      </c>
      <c r="I1290" s="1" t="s">
        <v>128</v>
      </c>
      <c r="L1290" s="1" t="s">
        <v>7575</v>
      </c>
      <c r="M1290" s="1" t="s">
        <v>111</v>
      </c>
      <c r="N1290" s="1">
        <v>0</v>
      </c>
      <c r="O1290" s="1">
        <v>0</v>
      </c>
      <c r="P1290" s="1" t="s">
        <v>148</v>
      </c>
      <c r="Q1290" s="1" t="s">
        <v>149</v>
      </c>
      <c r="R1290" s="1" t="s">
        <v>7576</v>
      </c>
      <c r="S1290" s="1" t="s">
        <v>7302</v>
      </c>
      <c r="T1290" s="1">
        <v>1</v>
      </c>
      <c r="U1290" s="1">
        <v>1</v>
      </c>
      <c r="V1290" s="1">
        <v>1</v>
      </c>
      <c r="W1290" s="1">
        <v>0</v>
      </c>
      <c r="X1290" s="1">
        <v>0</v>
      </c>
      <c r="Y1290" s="1">
        <v>1</v>
      </c>
      <c r="Z1290" s="1">
        <v>1</v>
      </c>
      <c r="AA1290" s="1" t="s">
        <v>104</v>
      </c>
      <c r="AB1290" s="1" t="s">
        <v>104</v>
      </c>
      <c r="AC1290" s="1" t="s">
        <v>104</v>
      </c>
      <c r="AD1290" s="1">
        <v>1</v>
      </c>
      <c r="AE1290" s="1" t="s">
        <v>104</v>
      </c>
      <c r="AF1290" s="1" t="s">
        <v>104</v>
      </c>
      <c r="AG1290" s="1">
        <v>1</v>
      </c>
      <c r="AH1290" s="1">
        <v>1</v>
      </c>
      <c r="AI1290" s="1" t="s">
        <v>104</v>
      </c>
      <c r="AJ1290" s="1" t="s">
        <v>104</v>
      </c>
      <c r="AK1290" s="1" t="s">
        <v>104</v>
      </c>
      <c r="AL1290" s="1">
        <v>1</v>
      </c>
      <c r="AM1290" s="1" t="s">
        <v>104</v>
      </c>
      <c r="AO1290" s="1">
        <v>1</v>
      </c>
      <c r="AQ1290" s="1" t="s">
        <v>7577</v>
      </c>
      <c r="AR1290" s="1">
        <v>0</v>
      </c>
      <c r="AS1290" s="1">
        <v>0</v>
      </c>
      <c r="AT1290" s="1">
        <v>0</v>
      </c>
      <c r="AU1290" s="1">
        <v>0</v>
      </c>
      <c r="AV1290" s="1">
        <v>0</v>
      </c>
      <c r="AW1290" s="1">
        <v>0</v>
      </c>
      <c r="AX1290" s="1">
        <v>0</v>
      </c>
      <c r="AY1290" s="1">
        <v>0</v>
      </c>
      <c r="AZ1290" s="1">
        <v>0</v>
      </c>
      <c r="BA1290" s="1">
        <v>0</v>
      </c>
      <c r="BB1290" s="1">
        <v>0</v>
      </c>
      <c r="BC1290" s="1">
        <v>0</v>
      </c>
      <c r="BD1290" s="1">
        <v>0</v>
      </c>
      <c r="BE1290" s="1">
        <v>0</v>
      </c>
      <c r="BF1290" s="1">
        <v>0</v>
      </c>
      <c r="BG1290" s="1">
        <v>0</v>
      </c>
      <c r="BH1290" s="1">
        <v>0</v>
      </c>
      <c r="BI1290" s="1">
        <v>0</v>
      </c>
      <c r="BJ1290" s="1">
        <v>0</v>
      </c>
      <c r="BK1290" s="1">
        <v>0</v>
      </c>
      <c r="BL1290" s="1">
        <v>0</v>
      </c>
      <c r="BM1290" s="1">
        <v>0</v>
      </c>
      <c r="BN1290" s="1">
        <v>0</v>
      </c>
      <c r="BO1290" s="1">
        <v>0</v>
      </c>
      <c r="BP1290" s="1">
        <v>0</v>
      </c>
      <c r="BQ1290" s="2" t="str">
        <f>HYPERLINK("http://www.d20pfsrd.com/magic/all-spells/j/jury-rig","Jury-Rig")</f>
        <v>Jury-Rig</v>
      </c>
      <c r="BR1290" s="1">
        <v>1344</v>
      </c>
      <c r="BS1290" s="1" t="s">
        <v>104</v>
      </c>
      <c r="BX1290" s="1">
        <v>0</v>
      </c>
      <c r="BY1290" s="1" t="s">
        <v>104</v>
      </c>
      <c r="BZ1290" s="1" t="s">
        <v>104</v>
      </c>
      <c r="CA1290" s="1">
        <v>1</v>
      </c>
      <c r="CB1290" s="1" t="s">
        <v>104</v>
      </c>
      <c r="CC1290" s="1" t="s">
        <v>104</v>
      </c>
      <c r="CD1290" s="1">
        <v>1</v>
      </c>
      <c r="CE1290" s="1" t="s">
        <v>104</v>
      </c>
      <c r="CF1290" s="1" t="s">
        <v>104</v>
      </c>
      <c r="CG1290" s="1" t="s">
        <v>104</v>
      </c>
      <c r="CH1290" s="1" t="s">
        <v>104</v>
      </c>
      <c r="CJ1290" s="1">
        <v>0</v>
      </c>
      <c r="CK1290" s="1">
        <v>0</v>
      </c>
      <c r="CL1290" s="1">
        <v>0</v>
      </c>
      <c r="CM1290" s="1">
        <v>1</v>
      </c>
    </row>
    <row r="1291" spans="1:91" ht="14.25" customHeight="1" x14ac:dyDescent="0.3">
      <c r="A1291" s="1" t="s">
        <v>7578</v>
      </c>
      <c r="B1291" s="1" t="s">
        <v>137</v>
      </c>
      <c r="E1291" s="1" t="s">
        <v>7579</v>
      </c>
      <c r="F1291" s="1" t="s">
        <v>95</v>
      </c>
      <c r="G1291" s="1" t="s">
        <v>7580</v>
      </c>
      <c r="H1291" s="1">
        <v>0</v>
      </c>
      <c r="I1291" s="1" t="s">
        <v>128</v>
      </c>
      <c r="L1291" s="1" t="s">
        <v>374</v>
      </c>
      <c r="M1291" s="1" t="s">
        <v>111</v>
      </c>
      <c r="N1291" s="1">
        <v>0</v>
      </c>
      <c r="O1291" s="1">
        <v>0</v>
      </c>
      <c r="P1291" s="1" t="s">
        <v>4401</v>
      </c>
      <c r="Q1291" s="1" t="s">
        <v>472</v>
      </c>
      <c r="R1291" s="1" t="s">
        <v>7581</v>
      </c>
      <c r="S1291" s="1" t="s">
        <v>7302</v>
      </c>
      <c r="T1291" s="1">
        <v>1</v>
      </c>
      <c r="U1291" s="1">
        <v>1</v>
      </c>
      <c r="V1291" s="1">
        <v>1</v>
      </c>
      <c r="W1291" s="1">
        <v>0</v>
      </c>
      <c r="X1291" s="1">
        <v>0</v>
      </c>
      <c r="Y1291" s="1">
        <v>2</v>
      </c>
      <c r="Z1291" s="1">
        <v>2</v>
      </c>
      <c r="AA1291" s="1" t="s">
        <v>104</v>
      </c>
      <c r="AB1291" s="1" t="s">
        <v>104</v>
      </c>
      <c r="AC1291" s="1" t="s">
        <v>104</v>
      </c>
      <c r="AD1291" s="1" t="s">
        <v>104</v>
      </c>
      <c r="AE1291" s="1" t="s">
        <v>104</v>
      </c>
      <c r="AF1291" s="1">
        <v>2</v>
      </c>
      <c r="AG1291" s="1" t="s">
        <v>104</v>
      </c>
      <c r="AH1291" s="1" t="s">
        <v>104</v>
      </c>
      <c r="AI1291" s="1" t="s">
        <v>104</v>
      </c>
      <c r="AJ1291" s="1" t="s">
        <v>104</v>
      </c>
      <c r="AK1291" s="1" t="s">
        <v>104</v>
      </c>
      <c r="AL1291" s="1" t="s">
        <v>104</v>
      </c>
      <c r="AM1291" s="1" t="s">
        <v>104</v>
      </c>
      <c r="AO1291" s="1">
        <v>2</v>
      </c>
      <c r="AQ1291" s="1" t="s">
        <v>7582</v>
      </c>
      <c r="AR1291" s="1">
        <v>0</v>
      </c>
      <c r="AS1291" s="1">
        <v>0</v>
      </c>
      <c r="AT1291" s="1">
        <v>0</v>
      </c>
      <c r="AU1291" s="1">
        <v>0</v>
      </c>
      <c r="AV1291" s="1">
        <v>0</v>
      </c>
      <c r="AW1291" s="1">
        <v>0</v>
      </c>
      <c r="AX1291" s="1">
        <v>0</v>
      </c>
      <c r="AY1291" s="1">
        <v>0</v>
      </c>
      <c r="AZ1291" s="1">
        <v>0</v>
      </c>
      <c r="BA1291" s="1">
        <v>0</v>
      </c>
      <c r="BB1291" s="1">
        <v>0</v>
      </c>
      <c r="BC1291" s="1">
        <v>0</v>
      </c>
      <c r="BD1291" s="1">
        <v>0</v>
      </c>
      <c r="BE1291" s="1">
        <v>0</v>
      </c>
      <c r="BF1291" s="1">
        <v>0</v>
      </c>
      <c r="BG1291" s="1">
        <v>0</v>
      </c>
      <c r="BH1291" s="1">
        <v>0</v>
      </c>
      <c r="BI1291" s="1">
        <v>0</v>
      </c>
      <c r="BJ1291" s="1">
        <v>0</v>
      </c>
      <c r="BK1291" s="1">
        <v>0</v>
      </c>
      <c r="BL1291" s="1">
        <v>0</v>
      </c>
      <c r="BM1291" s="1">
        <v>0</v>
      </c>
      <c r="BN1291" s="1">
        <v>0</v>
      </c>
      <c r="BO1291" s="1">
        <v>0</v>
      </c>
      <c r="BP1291" s="1">
        <v>0</v>
      </c>
      <c r="BQ1291" s="2" t="str">
        <f>HYPERLINK("http://www.d20pfsrd.com/magic/all-spells/k/kinetic-reverberation","Kinetic Reverberation")</f>
        <v>Kinetic Reverberation</v>
      </c>
      <c r="BR1291" s="1">
        <v>1345</v>
      </c>
      <c r="BS1291" s="1" t="s">
        <v>104</v>
      </c>
      <c r="BX1291" s="1">
        <v>0</v>
      </c>
      <c r="BY1291" s="1" t="s">
        <v>104</v>
      </c>
      <c r="BZ1291" s="1" t="s">
        <v>104</v>
      </c>
      <c r="CA1291" s="1">
        <v>2</v>
      </c>
      <c r="CB1291" s="1" t="s">
        <v>104</v>
      </c>
      <c r="CC1291" s="1" t="s">
        <v>104</v>
      </c>
      <c r="CD1291" s="1" t="s">
        <v>104</v>
      </c>
      <c r="CE1291" s="1" t="s">
        <v>104</v>
      </c>
      <c r="CF1291" s="1" t="s">
        <v>104</v>
      </c>
      <c r="CG1291" s="1" t="s">
        <v>104</v>
      </c>
      <c r="CH1291" s="1" t="s">
        <v>104</v>
      </c>
      <c r="CJ1291" s="1">
        <v>0</v>
      </c>
      <c r="CK1291" s="1">
        <v>0</v>
      </c>
      <c r="CL1291" s="1">
        <v>0</v>
      </c>
      <c r="CM1291" s="1" t="s">
        <v>104</v>
      </c>
    </row>
    <row r="1292" spans="1:91" ht="14.25" customHeight="1" x14ac:dyDescent="0.3">
      <c r="A1292" s="1" t="s">
        <v>7583</v>
      </c>
      <c r="B1292" s="1" t="s">
        <v>123</v>
      </c>
      <c r="C1292" s="1" t="s">
        <v>124</v>
      </c>
      <c r="D1292" s="1" t="s">
        <v>125</v>
      </c>
      <c r="E1292" s="1" t="s">
        <v>4757</v>
      </c>
      <c r="F1292" s="1" t="s">
        <v>95</v>
      </c>
      <c r="G1292" s="1" t="s">
        <v>116</v>
      </c>
      <c r="H1292" s="1">
        <v>0</v>
      </c>
      <c r="I1292" s="1" t="s">
        <v>157</v>
      </c>
      <c r="L1292" s="1" t="s">
        <v>158</v>
      </c>
      <c r="M1292" s="1" t="s">
        <v>111</v>
      </c>
      <c r="N1292" s="1">
        <v>0</v>
      </c>
      <c r="O1292" s="1">
        <v>0</v>
      </c>
      <c r="P1292" s="1" t="s">
        <v>7584</v>
      </c>
      <c r="Q1292" s="1" t="s">
        <v>184</v>
      </c>
      <c r="R1292" s="1" t="s">
        <v>7585</v>
      </c>
      <c r="S1292" s="1" t="s">
        <v>7302</v>
      </c>
      <c r="T1292" s="1">
        <v>1</v>
      </c>
      <c r="U1292" s="1">
        <v>1</v>
      </c>
      <c r="V1292" s="1">
        <v>0</v>
      </c>
      <c r="W1292" s="1">
        <v>0</v>
      </c>
      <c r="X1292" s="1">
        <v>0</v>
      </c>
      <c r="Y1292" s="1" t="s">
        <v>104</v>
      </c>
      <c r="Z1292" s="1" t="s">
        <v>104</v>
      </c>
      <c r="AA1292" s="1" t="s">
        <v>104</v>
      </c>
      <c r="AB1292" s="1" t="s">
        <v>104</v>
      </c>
      <c r="AC1292" s="1" t="s">
        <v>104</v>
      </c>
      <c r="AD1292" s="1" t="s">
        <v>104</v>
      </c>
      <c r="AE1292" s="1" t="s">
        <v>104</v>
      </c>
      <c r="AF1292" s="1">
        <v>5</v>
      </c>
      <c r="AG1292" s="1" t="s">
        <v>104</v>
      </c>
      <c r="AH1292" s="1" t="s">
        <v>104</v>
      </c>
      <c r="AI1292" s="1" t="s">
        <v>104</v>
      </c>
      <c r="AJ1292" s="1" t="s">
        <v>104</v>
      </c>
      <c r="AK1292" s="1" t="s">
        <v>104</v>
      </c>
      <c r="AL1292" s="1" t="s">
        <v>104</v>
      </c>
      <c r="AM1292" s="1" t="s">
        <v>104</v>
      </c>
      <c r="AO1292" s="1">
        <v>5</v>
      </c>
      <c r="AQ1292" s="1" t="s">
        <v>7586</v>
      </c>
      <c r="AR1292" s="1">
        <v>0</v>
      </c>
      <c r="AS1292" s="1">
        <v>0</v>
      </c>
      <c r="AT1292" s="1">
        <v>0</v>
      </c>
      <c r="AU1292" s="1">
        <v>0</v>
      </c>
      <c r="AV1292" s="1">
        <v>0</v>
      </c>
      <c r="AW1292" s="1">
        <v>0</v>
      </c>
      <c r="AX1292" s="1">
        <v>0</v>
      </c>
      <c r="AY1292" s="1">
        <v>0</v>
      </c>
      <c r="AZ1292" s="1">
        <v>0</v>
      </c>
      <c r="BA1292" s="1">
        <v>0</v>
      </c>
      <c r="BB1292" s="1">
        <v>0</v>
      </c>
      <c r="BC1292" s="1">
        <v>0</v>
      </c>
      <c r="BD1292" s="1">
        <v>0</v>
      </c>
      <c r="BE1292" s="1">
        <v>0</v>
      </c>
      <c r="BF1292" s="1">
        <v>0</v>
      </c>
      <c r="BG1292" s="1">
        <v>0</v>
      </c>
      <c r="BH1292" s="1">
        <v>0</v>
      </c>
      <c r="BI1292" s="1">
        <v>0</v>
      </c>
      <c r="BJ1292" s="1">
        <v>0</v>
      </c>
      <c r="BK1292" s="1">
        <v>1</v>
      </c>
      <c r="BL1292" s="1">
        <v>0</v>
      </c>
      <c r="BM1292" s="1">
        <v>0</v>
      </c>
      <c r="BN1292" s="1">
        <v>0</v>
      </c>
      <c r="BO1292" s="1">
        <v>0</v>
      </c>
      <c r="BP1292" s="1">
        <v>0</v>
      </c>
      <c r="BQ1292" s="2" t="str">
        <f>HYPERLINK("http://www.d20pfsrd.com/magic/all-spells/l/languid-bomb-admixture","Languid Bomb Admixture")</f>
        <v>Languid Bomb Admixture</v>
      </c>
      <c r="BR1292" s="1">
        <v>1346</v>
      </c>
      <c r="BS1292" s="1" t="s">
        <v>104</v>
      </c>
      <c r="BX1292" s="1">
        <v>0</v>
      </c>
      <c r="BY1292" s="1" t="s">
        <v>104</v>
      </c>
      <c r="BZ1292" s="1" t="s">
        <v>104</v>
      </c>
      <c r="CA1292" s="1" t="s">
        <v>104</v>
      </c>
      <c r="CB1292" s="1" t="s">
        <v>104</v>
      </c>
      <c r="CC1292" s="1" t="s">
        <v>104</v>
      </c>
      <c r="CD1292" s="1" t="s">
        <v>104</v>
      </c>
      <c r="CE1292" s="1" t="s">
        <v>104</v>
      </c>
      <c r="CF1292" s="1" t="s">
        <v>104</v>
      </c>
      <c r="CG1292" s="1" t="s">
        <v>104</v>
      </c>
      <c r="CH1292" s="1" t="s">
        <v>104</v>
      </c>
      <c r="CJ1292" s="1">
        <v>0</v>
      </c>
      <c r="CK1292" s="1">
        <v>0</v>
      </c>
      <c r="CL1292" s="1">
        <v>0</v>
      </c>
      <c r="CM1292" s="1" t="s">
        <v>104</v>
      </c>
    </row>
    <row r="1293" spans="1:91" ht="14.25" customHeight="1" x14ac:dyDescent="0.3">
      <c r="A1293" s="1" t="s">
        <v>7587</v>
      </c>
      <c r="B1293" s="1" t="s">
        <v>137</v>
      </c>
      <c r="E1293" s="1" t="s">
        <v>7588</v>
      </c>
      <c r="F1293" s="1" t="s">
        <v>1502</v>
      </c>
      <c r="G1293" s="1" t="s">
        <v>237</v>
      </c>
      <c r="H1293" s="1">
        <v>0</v>
      </c>
      <c r="I1293" s="1" t="s">
        <v>117</v>
      </c>
      <c r="L1293" s="1" t="s">
        <v>1065</v>
      </c>
      <c r="M1293" s="1" t="s">
        <v>119</v>
      </c>
      <c r="N1293" s="1">
        <v>0</v>
      </c>
      <c r="O1293" s="1">
        <v>0</v>
      </c>
      <c r="P1293" s="1" t="s">
        <v>375</v>
      </c>
      <c r="Q1293" s="1" t="s">
        <v>131</v>
      </c>
      <c r="R1293" s="1" t="s">
        <v>7589</v>
      </c>
      <c r="S1293" s="1" t="s">
        <v>7302</v>
      </c>
      <c r="T1293" s="1">
        <v>1</v>
      </c>
      <c r="U1293" s="1">
        <v>0</v>
      </c>
      <c r="V1293" s="1">
        <v>0</v>
      </c>
      <c r="W1293" s="1">
        <v>0</v>
      </c>
      <c r="X1293" s="1">
        <v>0</v>
      </c>
      <c r="Y1293" s="1">
        <v>1</v>
      </c>
      <c r="Z1293" s="1">
        <v>1</v>
      </c>
      <c r="AA1293" s="1">
        <v>1</v>
      </c>
      <c r="AB1293" s="1">
        <v>1</v>
      </c>
      <c r="AC1293" s="1">
        <v>1</v>
      </c>
      <c r="AD1293" s="1">
        <v>1</v>
      </c>
      <c r="AE1293" s="1">
        <v>1</v>
      </c>
      <c r="AF1293" s="1" t="s">
        <v>104</v>
      </c>
      <c r="AG1293" s="1" t="s">
        <v>104</v>
      </c>
      <c r="AH1293" s="1" t="s">
        <v>104</v>
      </c>
      <c r="AI1293" s="1" t="s">
        <v>104</v>
      </c>
      <c r="AJ1293" s="1">
        <v>1</v>
      </c>
      <c r="AK1293" s="1" t="s">
        <v>104</v>
      </c>
      <c r="AL1293" s="1" t="s">
        <v>104</v>
      </c>
      <c r="AM1293" s="1" t="s">
        <v>104</v>
      </c>
      <c r="AO1293" s="1">
        <v>1</v>
      </c>
      <c r="AQ1293" s="1" t="s">
        <v>7590</v>
      </c>
      <c r="AR1293" s="1">
        <v>0</v>
      </c>
      <c r="AS1293" s="1">
        <v>0</v>
      </c>
      <c r="AT1293" s="1">
        <v>0</v>
      </c>
      <c r="AU1293" s="1">
        <v>0</v>
      </c>
      <c r="AV1293" s="1">
        <v>0</v>
      </c>
      <c r="AW1293" s="1">
        <v>0</v>
      </c>
      <c r="AX1293" s="1">
        <v>0</v>
      </c>
      <c r="AY1293" s="1">
        <v>0</v>
      </c>
      <c r="AZ1293" s="1">
        <v>0</v>
      </c>
      <c r="BA1293" s="1">
        <v>0</v>
      </c>
      <c r="BB1293" s="1">
        <v>0</v>
      </c>
      <c r="BC1293" s="1">
        <v>0</v>
      </c>
      <c r="BD1293" s="1">
        <v>0</v>
      </c>
      <c r="BE1293" s="1">
        <v>0</v>
      </c>
      <c r="BF1293" s="1">
        <v>0</v>
      </c>
      <c r="BG1293" s="1">
        <v>0</v>
      </c>
      <c r="BH1293" s="1">
        <v>0</v>
      </c>
      <c r="BI1293" s="1">
        <v>0</v>
      </c>
      <c r="BJ1293" s="1">
        <v>0</v>
      </c>
      <c r="BK1293" s="1">
        <v>0</v>
      </c>
      <c r="BL1293" s="1">
        <v>0</v>
      </c>
      <c r="BM1293" s="1">
        <v>0</v>
      </c>
      <c r="BN1293" s="1">
        <v>0</v>
      </c>
      <c r="BO1293" s="1">
        <v>0</v>
      </c>
      <c r="BP1293" s="1">
        <v>0</v>
      </c>
      <c r="BQ1293" s="2" t="str">
        <f>HYPERLINK("http://www.d20pfsrd.com/magic/all-spells/l/liberating-command","Liberating Command")</f>
        <v>Liberating Command</v>
      </c>
      <c r="BR1293" s="1">
        <v>1347</v>
      </c>
      <c r="BS1293" s="1" t="s">
        <v>104</v>
      </c>
      <c r="BX1293" s="1">
        <v>0</v>
      </c>
      <c r="BY1293" s="1" t="s">
        <v>104</v>
      </c>
      <c r="BZ1293" s="1" t="s">
        <v>104</v>
      </c>
      <c r="CA1293" s="1">
        <v>1</v>
      </c>
      <c r="CB1293" s="1">
        <v>1</v>
      </c>
      <c r="CC1293" s="1" t="s">
        <v>104</v>
      </c>
      <c r="CD1293" s="1">
        <v>1</v>
      </c>
      <c r="CE1293" s="1" t="s">
        <v>104</v>
      </c>
      <c r="CF1293" s="1" t="s">
        <v>104</v>
      </c>
      <c r="CG1293" s="1" t="s">
        <v>104</v>
      </c>
      <c r="CH1293" s="1">
        <v>1</v>
      </c>
      <c r="CJ1293" s="1">
        <v>0</v>
      </c>
      <c r="CK1293" s="1">
        <v>0</v>
      </c>
      <c r="CL1293" s="1">
        <v>0</v>
      </c>
      <c r="CM1293" s="1" t="s">
        <v>104</v>
      </c>
    </row>
    <row r="1294" spans="1:91" ht="14.25" customHeight="1" x14ac:dyDescent="0.3">
      <c r="A1294" s="1" t="s">
        <v>7591</v>
      </c>
      <c r="B1294" s="1" t="s">
        <v>92</v>
      </c>
      <c r="C1294" s="1" t="s">
        <v>523</v>
      </c>
      <c r="E1294" s="1" t="s">
        <v>5321</v>
      </c>
      <c r="F1294" s="1" t="s">
        <v>95</v>
      </c>
      <c r="G1294" s="1" t="s">
        <v>116</v>
      </c>
      <c r="H1294" s="1">
        <v>0</v>
      </c>
      <c r="I1294" s="1" t="s">
        <v>157</v>
      </c>
      <c r="L1294" s="1" t="s">
        <v>158</v>
      </c>
      <c r="M1294" s="1" t="s">
        <v>111</v>
      </c>
      <c r="N1294" s="1">
        <v>0</v>
      </c>
      <c r="O1294" s="1">
        <v>0</v>
      </c>
      <c r="R1294" s="1" t="s">
        <v>7592</v>
      </c>
      <c r="S1294" s="1" t="s">
        <v>7302</v>
      </c>
      <c r="T1294" s="1">
        <v>1</v>
      </c>
      <c r="U1294" s="1">
        <v>1</v>
      </c>
      <c r="V1294" s="1">
        <v>0</v>
      </c>
      <c r="W1294" s="1">
        <v>0</v>
      </c>
      <c r="X1294" s="1">
        <v>0</v>
      </c>
      <c r="Y1294" s="1" t="s">
        <v>104</v>
      </c>
      <c r="Z1294" s="1" t="s">
        <v>104</v>
      </c>
      <c r="AA1294" s="1" t="s">
        <v>104</v>
      </c>
      <c r="AB1294" s="1" t="s">
        <v>104</v>
      </c>
      <c r="AC1294" s="1" t="s">
        <v>104</v>
      </c>
      <c r="AD1294" s="1" t="s">
        <v>104</v>
      </c>
      <c r="AE1294" s="1" t="s">
        <v>104</v>
      </c>
      <c r="AF1294" s="1" t="s">
        <v>104</v>
      </c>
      <c r="AG1294" s="1">
        <v>1</v>
      </c>
      <c r="AH1294" s="1" t="s">
        <v>104</v>
      </c>
      <c r="AI1294" s="1" t="s">
        <v>104</v>
      </c>
      <c r="AJ1294" s="1" t="s">
        <v>104</v>
      </c>
      <c r="AK1294" s="1" t="s">
        <v>104</v>
      </c>
      <c r="AL1294" s="1" t="s">
        <v>104</v>
      </c>
      <c r="AM1294" s="1" t="s">
        <v>104</v>
      </c>
      <c r="AO1294" s="1">
        <v>1</v>
      </c>
      <c r="AQ1294" s="1" t="s">
        <v>7593</v>
      </c>
      <c r="AR1294" s="1">
        <v>0</v>
      </c>
      <c r="AS1294" s="1">
        <v>0</v>
      </c>
      <c r="AT1294" s="1">
        <v>0</v>
      </c>
      <c r="AU1294" s="1">
        <v>0</v>
      </c>
      <c r="AV1294" s="1">
        <v>0</v>
      </c>
      <c r="AW1294" s="1">
        <v>0</v>
      </c>
      <c r="AX1294" s="1">
        <v>0</v>
      </c>
      <c r="AY1294" s="1">
        <v>0</v>
      </c>
      <c r="AZ1294" s="1">
        <v>0</v>
      </c>
      <c r="BA1294" s="1">
        <v>0</v>
      </c>
      <c r="BB1294" s="1">
        <v>0</v>
      </c>
      <c r="BC1294" s="1">
        <v>0</v>
      </c>
      <c r="BD1294" s="1">
        <v>0</v>
      </c>
      <c r="BE1294" s="1">
        <v>0</v>
      </c>
      <c r="BF1294" s="1">
        <v>0</v>
      </c>
      <c r="BG1294" s="1">
        <v>0</v>
      </c>
      <c r="BH1294" s="1">
        <v>0</v>
      </c>
      <c r="BI1294" s="1">
        <v>0</v>
      </c>
      <c r="BJ1294" s="1">
        <v>0</v>
      </c>
      <c r="BK1294" s="1">
        <v>0</v>
      </c>
      <c r="BL1294" s="1">
        <v>0</v>
      </c>
      <c r="BM1294" s="1">
        <v>0</v>
      </c>
      <c r="BN1294" s="1">
        <v>0</v>
      </c>
      <c r="BO1294" s="1">
        <v>0</v>
      </c>
      <c r="BP1294" s="1">
        <v>0</v>
      </c>
      <c r="BQ1294" s="2" t="str">
        <f>HYPERLINK("http://www.d20pfsrd.com/magic/all-spells/l/life-conduit","Life Conduit")</f>
        <v>Life Conduit</v>
      </c>
      <c r="BR1294" s="1">
        <v>1348</v>
      </c>
      <c r="BS1294" s="1" t="s">
        <v>104</v>
      </c>
      <c r="BX1294" s="1">
        <v>0</v>
      </c>
      <c r="BY1294" s="1" t="s">
        <v>104</v>
      </c>
      <c r="BZ1294" s="1" t="s">
        <v>104</v>
      </c>
      <c r="CA1294" s="1" t="s">
        <v>104</v>
      </c>
      <c r="CB1294" s="1" t="s">
        <v>104</v>
      </c>
      <c r="CC1294" s="1" t="s">
        <v>104</v>
      </c>
      <c r="CD1294" s="1" t="s">
        <v>104</v>
      </c>
      <c r="CE1294" s="1" t="s">
        <v>104</v>
      </c>
      <c r="CF1294" s="1" t="s">
        <v>104</v>
      </c>
      <c r="CG1294" s="1" t="s">
        <v>104</v>
      </c>
      <c r="CH1294" s="1" t="s">
        <v>104</v>
      </c>
      <c r="CJ1294" s="1">
        <v>0</v>
      </c>
      <c r="CK1294" s="1">
        <v>0</v>
      </c>
      <c r="CL1294" s="1">
        <v>0</v>
      </c>
      <c r="CM1294" s="1">
        <v>1</v>
      </c>
    </row>
    <row r="1295" spans="1:91" ht="14.25" customHeight="1" x14ac:dyDescent="0.3">
      <c r="A1295" s="1" t="s">
        <v>7594</v>
      </c>
      <c r="B1295" s="1" t="s">
        <v>92</v>
      </c>
      <c r="C1295" s="1" t="s">
        <v>523</v>
      </c>
      <c r="E1295" s="1" t="s">
        <v>5330</v>
      </c>
      <c r="F1295" s="1" t="s">
        <v>95</v>
      </c>
      <c r="G1295" s="1" t="s">
        <v>116</v>
      </c>
      <c r="H1295" s="1">
        <v>0</v>
      </c>
      <c r="I1295" s="1" t="s">
        <v>157</v>
      </c>
      <c r="L1295" s="1" t="s">
        <v>158</v>
      </c>
      <c r="M1295" s="1" t="s">
        <v>111</v>
      </c>
      <c r="N1295" s="1">
        <v>0</v>
      </c>
      <c r="O1295" s="1">
        <v>0</v>
      </c>
      <c r="R1295" s="1" t="s">
        <v>7595</v>
      </c>
      <c r="S1295" s="1" t="s">
        <v>7302</v>
      </c>
      <c r="T1295" s="1">
        <v>1</v>
      </c>
      <c r="U1295" s="1">
        <v>1</v>
      </c>
      <c r="V1295" s="1">
        <v>0</v>
      </c>
      <c r="W1295" s="1">
        <v>0</v>
      </c>
      <c r="X1295" s="1">
        <v>0</v>
      </c>
      <c r="Y1295" s="1" t="s">
        <v>104</v>
      </c>
      <c r="Z1295" s="1" t="s">
        <v>104</v>
      </c>
      <c r="AA1295" s="1" t="s">
        <v>104</v>
      </c>
      <c r="AB1295" s="1" t="s">
        <v>104</v>
      </c>
      <c r="AC1295" s="1" t="s">
        <v>104</v>
      </c>
      <c r="AD1295" s="1" t="s">
        <v>104</v>
      </c>
      <c r="AE1295" s="1" t="s">
        <v>104</v>
      </c>
      <c r="AF1295" s="1" t="s">
        <v>104</v>
      </c>
      <c r="AG1295" s="1">
        <v>5</v>
      </c>
      <c r="AH1295" s="1" t="s">
        <v>104</v>
      </c>
      <c r="AI1295" s="1" t="s">
        <v>104</v>
      </c>
      <c r="AJ1295" s="1" t="s">
        <v>104</v>
      </c>
      <c r="AK1295" s="1" t="s">
        <v>104</v>
      </c>
      <c r="AL1295" s="1" t="s">
        <v>104</v>
      </c>
      <c r="AM1295" s="1" t="s">
        <v>104</v>
      </c>
      <c r="AO1295" s="1">
        <v>5</v>
      </c>
      <c r="AQ1295" s="1" t="s">
        <v>7596</v>
      </c>
      <c r="AR1295" s="1">
        <v>0</v>
      </c>
      <c r="AS1295" s="1">
        <v>0</v>
      </c>
      <c r="AT1295" s="1">
        <v>0</v>
      </c>
      <c r="AU1295" s="1">
        <v>0</v>
      </c>
      <c r="AV1295" s="1">
        <v>0</v>
      </c>
      <c r="AW1295" s="1">
        <v>0</v>
      </c>
      <c r="AX1295" s="1">
        <v>0</v>
      </c>
      <c r="AY1295" s="1">
        <v>0</v>
      </c>
      <c r="AZ1295" s="1">
        <v>0</v>
      </c>
      <c r="BA1295" s="1">
        <v>0</v>
      </c>
      <c r="BB1295" s="1">
        <v>0</v>
      </c>
      <c r="BC1295" s="1">
        <v>0</v>
      </c>
      <c r="BD1295" s="1">
        <v>0</v>
      </c>
      <c r="BE1295" s="1">
        <v>0</v>
      </c>
      <c r="BF1295" s="1">
        <v>0</v>
      </c>
      <c r="BG1295" s="1">
        <v>0</v>
      </c>
      <c r="BH1295" s="1">
        <v>0</v>
      </c>
      <c r="BI1295" s="1">
        <v>0</v>
      </c>
      <c r="BJ1295" s="1">
        <v>0</v>
      </c>
      <c r="BK1295" s="1">
        <v>0</v>
      </c>
      <c r="BL1295" s="1">
        <v>0</v>
      </c>
      <c r="BM1295" s="1">
        <v>0</v>
      </c>
      <c r="BN1295" s="1">
        <v>0</v>
      </c>
      <c r="BO1295" s="1">
        <v>0</v>
      </c>
      <c r="BP1295" s="1">
        <v>0</v>
      </c>
      <c r="BQ1295" s="2" t="str">
        <f>HYPERLINK("http://www.d20pfsrd.com/magic/all-spells/l/life-conduit#TOC-Life-Conduit-Greater","Life Conduit, Greater")</f>
        <v>Life Conduit, Greater</v>
      </c>
      <c r="BR1295" s="1">
        <v>1349</v>
      </c>
      <c r="BS1295" s="1" t="s">
        <v>104</v>
      </c>
      <c r="BX1295" s="1">
        <v>0</v>
      </c>
      <c r="BY1295" s="1" t="s">
        <v>104</v>
      </c>
      <c r="BZ1295" s="1" t="s">
        <v>104</v>
      </c>
      <c r="CA1295" s="1" t="s">
        <v>104</v>
      </c>
      <c r="CB1295" s="1" t="s">
        <v>104</v>
      </c>
      <c r="CC1295" s="1" t="s">
        <v>104</v>
      </c>
      <c r="CD1295" s="1" t="s">
        <v>104</v>
      </c>
      <c r="CE1295" s="1" t="s">
        <v>104</v>
      </c>
      <c r="CF1295" s="1" t="s">
        <v>104</v>
      </c>
      <c r="CG1295" s="1" t="s">
        <v>104</v>
      </c>
      <c r="CH1295" s="1" t="s">
        <v>104</v>
      </c>
      <c r="CJ1295" s="1">
        <v>0</v>
      </c>
      <c r="CK1295" s="1">
        <v>0</v>
      </c>
      <c r="CL1295" s="1">
        <v>0</v>
      </c>
      <c r="CM1295" s="1">
        <v>5</v>
      </c>
    </row>
    <row r="1296" spans="1:91" ht="14.25" customHeight="1" x14ac:dyDescent="0.3">
      <c r="A1296" s="1" t="s">
        <v>7597</v>
      </c>
      <c r="B1296" s="1" t="s">
        <v>92</v>
      </c>
      <c r="C1296" s="1" t="s">
        <v>523</v>
      </c>
      <c r="E1296" s="1" t="s">
        <v>4878</v>
      </c>
      <c r="F1296" s="1" t="s">
        <v>95</v>
      </c>
      <c r="G1296" s="1" t="s">
        <v>116</v>
      </c>
      <c r="H1296" s="1">
        <v>0</v>
      </c>
      <c r="I1296" s="1" t="s">
        <v>157</v>
      </c>
      <c r="L1296" s="1" t="s">
        <v>158</v>
      </c>
      <c r="M1296" s="1" t="s">
        <v>111</v>
      </c>
      <c r="N1296" s="1">
        <v>0</v>
      </c>
      <c r="O1296" s="1">
        <v>0</v>
      </c>
      <c r="R1296" s="1" t="s">
        <v>7598</v>
      </c>
      <c r="S1296" s="1" t="s">
        <v>7302</v>
      </c>
      <c r="T1296" s="1">
        <v>1</v>
      </c>
      <c r="U1296" s="1">
        <v>1</v>
      </c>
      <c r="V1296" s="1">
        <v>0</v>
      </c>
      <c r="W1296" s="1">
        <v>0</v>
      </c>
      <c r="X1296" s="1">
        <v>0</v>
      </c>
      <c r="Y1296" s="1" t="s">
        <v>104</v>
      </c>
      <c r="Z1296" s="1" t="s">
        <v>104</v>
      </c>
      <c r="AA1296" s="1" t="s">
        <v>104</v>
      </c>
      <c r="AB1296" s="1" t="s">
        <v>104</v>
      </c>
      <c r="AC1296" s="1" t="s">
        <v>104</v>
      </c>
      <c r="AD1296" s="1" t="s">
        <v>104</v>
      </c>
      <c r="AE1296" s="1" t="s">
        <v>104</v>
      </c>
      <c r="AF1296" s="1" t="s">
        <v>104</v>
      </c>
      <c r="AG1296" s="1">
        <v>3</v>
      </c>
      <c r="AH1296" s="1" t="s">
        <v>104</v>
      </c>
      <c r="AI1296" s="1" t="s">
        <v>104</v>
      </c>
      <c r="AJ1296" s="1" t="s">
        <v>104</v>
      </c>
      <c r="AK1296" s="1" t="s">
        <v>104</v>
      </c>
      <c r="AL1296" s="1" t="s">
        <v>104</v>
      </c>
      <c r="AM1296" s="1" t="s">
        <v>104</v>
      </c>
      <c r="AO1296" s="1">
        <v>3</v>
      </c>
      <c r="AQ1296" s="1" t="s">
        <v>7599</v>
      </c>
      <c r="AR1296" s="1">
        <v>0</v>
      </c>
      <c r="AS1296" s="1">
        <v>0</v>
      </c>
      <c r="AT1296" s="1">
        <v>0</v>
      </c>
      <c r="AU1296" s="1">
        <v>0</v>
      </c>
      <c r="AV1296" s="1">
        <v>0</v>
      </c>
      <c r="AW1296" s="1">
        <v>0</v>
      </c>
      <c r="AX1296" s="1">
        <v>0</v>
      </c>
      <c r="AY1296" s="1">
        <v>0</v>
      </c>
      <c r="AZ1296" s="1">
        <v>0</v>
      </c>
      <c r="BA1296" s="1">
        <v>0</v>
      </c>
      <c r="BB1296" s="1">
        <v>0</v>
      </c>
      <c r="BC1296" s="1">
        <v>0</v>
      </c>
      <c r="BD1296" s="1">
        <v>0</v>
      </c>
      <c r="BE1296" s="1">
        <v>0</v>
      </c>
      <c r="BF1296" s="1">
        <v>0</v>
      </c>
      <c r="BG1296" s="1">
        <v>0</v>
      </c>
      <c r="BH1296" s="1">
        <v>0</v>
      </c>
      <c r="BI1296" s="1">
        <v>0</v>
      </c>
      <c r="BJ1296" s="1">
        <v>0</v>
      </c>
      <c r="BK1296" s="1">
        <v>0</v>
      </c>
      <c r="BL1296" s="1">
        <v>0</v>
      </c>
      <c r="BM1296" s="1">
        <v>0</v>
      </c>
      <c r="BN1296" s="1">
        <v>0</v>
      </c>
      <c r="BO1296" s="1">
        <v>0</v>
      </c>
      <c r="BP1296" s="1">
        <v>0</v>
      </c>
      <c r="BQ1296" s="2" t="str">
        <f>HYPERLINK("http://www.d20pfsrd.com/magic/all-spells/l/life-conduit#TOC-Life-Conduit-Improved","Life Conduit, Improved")</f>
        <v>Life Conduit, Improved</v>
      </c>
      <c r="BR1296" s="1">
        <v>1350</v>
      </c>
      <c r="BS1296" s="1" t="s">
        <v>104</v>
      </c>
      <c r="BX1296" s="1">
        <v>0</v>
      </c>
      <c r="BY1296" s="1" t="s">
        <v>104</v>
      </c>
      <c r="BZ1296" s="1" t="s">
        <v>104</v>
      </c>
      <c r="CA1296" s="1" t="s">
        <v>104</v>
      </c>
      <c r="CB1296" s="1" t="s">
        <v>104</v>
      </c>
      <c r="CC1296" s="1" t="s">
        <v>104</v>
      </c>
      <c r="CD1296" s="1" t="s">
        <v>104</v>
      </c>
      <c r="CE1296" s="1" t="s">
        <v>104</v>
      </c>
      <c r="CF1296" s="1" t="s">
        <v>104</v>
      </c>
      <c r="CG1296" s="1" t="s">
        <v>104</v>
      </c>
      <c r="CH1296" s="1" t="s">
        <v>104</v>
      </c>
      <c r="CJ1296" s="1">
        <v>0</v>
      </c>
      <c r="CK1296" s="1">
        <v>0</v>
      </c>
      <c r="CL1296" s="1">
        <v>0</v>
      </c>
      <c r="CM1296" s="1">
        <v>3</v>
      </c>
    </row>
    <row r="1297" spans="1:91" ht="14.25" customHeight="1" x14ac:dyDescent="0.3">
      <c r="A1297" s="1" t="s">
        <v>7600</v>
      </c>
      <c r="B1297" s="1" t="s">
        <v>434</v>
      </c>
      <c r="D1297" s="1" t="s">
        <v>52</v>
      </c>
      <c r="E1297" s="1" t="s">
        <v>4399</v>
      </c>
      <c r="F1297" s="1" t="s">
        <v>95</v>
      </c>
      <c r="G1297" s="1" t="s">
        <v>116</v>
      </c>
      <c r="H1297" s="1">
        <v>0</v>
      </c>
      <c r="I1297" s="1" t="s">
        <v>157</v>
      </c>
      <c r="L1297" s="1" t="s">
        <v>158</v>
      </c>
      <c r="M1297" s="1" t="s">
        <v>111</v>
      </c>
      <c r="N1297" s="1">
        <v>0</v>
      </c>
      <c r="O1297" s="1">
        <v>0</v>
      </c>
      <c r="P1297" s="1" t="s">
        <v>7364</v>
      </c>
      <c r="Q1297" s="1" t="s">
        <v>7364</v>
      </c>
      <c r="R1297" s="1" t="s">
        <v>7601</v>
      </c>
      <c r="S1297" s="1" t="s">
        <v>7302</v>
      </c>
      <c r="T1297" s="1">
        <v>1</v>
      </c>
      <c r="U1297" s="1">
        <v>1</v>
      </c>
      <c r="V1297" s="1">
        <v>0</v>
      </c>
      <c r="W1297" s="1">
        <v>0</v>
      </c>
      <c r="X1297" s="1">
        <v>0</v>
      </c>
      <c r="Y1297" s="1" t="s">
        <v>104</v>
      </c>
      <c r="Z1297" s="1" t="s">
        <v>104</v>
      </c>
      <c r="AA1297" s="1" t="s">
        <v>104</v>
      </c>
      <c r="AB1297" s="1" t="s">
        <v>104</v>
      </c>
      <c r="AC1297" s="1" t="s">
        <v>104</v>
      </c>
      <c r="AD1297" s="1" t="s">
        <v>104</v>
      </c>
      <c r="AE1297" s="1" t="s">
        <v>104</v>
      </c>
      <c r="AF1297" s="1">
        <v>3</v>
      </c>
      <c r="AG1297" s="1" t="s">
        <v>104</v>
      </c>
      <c r="AH1297" s="1" t="s">
        <v>104</v>
      </c>
      <c r="AI1297" s="1" t="s">
        <v>104</v>
      </c>
      <c r="AJ1297" s="1" t="s">
        <v>104</v>
      </c>
      <c r="AK1297" s="1" t="s">
        <v>104</v>
      </c>
      <c r="AL1297" s="1" t="s">
        <v>104</v>
      </c>
      <c r="AM1297" s="1" t="s">
        <v>104</v>
      </c>
      <c r="AO1297" s="1">
        <v>3</v>
      </c>
      <c r="AQ1297" s="1" t="s">
        <v>7602</v>
      </c>
      <c r="AR1297" s="1">
        <v>0</v>
      </c>
      <c r="AS1297" s="1">
        <v>0</v>
      </c>
      <c r="AT1297" s="1">
        <v>0</v>
      </c>
      <c r="AU1297" s="1">
        <v>0</v>
      </c>
      <c r="AV1297" s="1">
        <v>0</v>
      </c>
      <c r="AW1297" s="1">
        <v>0</v>
      </c>
      <c r="AX1297" s="1">
        <v>0</v>
      </c>
      <c r="AY1297" s="1">
        <v>0</v>
      </c>
      <c r="AZ1297" s="1">
        <v>0</v>
      </c>
      <c r="BA1297" s="1">
        <v>1</v>
      </c>
      <c r="BB1297" s="1">
        <v>0</v>
      </c>
      <c r="BC1297" s="1">
        <v>0</v>
      </c>
      <c r="BD1297" s="1">
        <v>0</v>
      </c>
      <c r="BE1297" s="1">
        <v>0</v>
      </c>
      <c r="BF1297" s="1">
        <v>0</v>
      </c>
      <c r="BG1297" s="1">
        <v>0</v>
      </c>
      <c r="BH1297" s="1">
        <v>0</v>
      </c>
      <c r="BI1297" s="1">
        <v>0</v>
      </c>
      <c r="BJ1297" s="1">
        <v>0</v>
      </c>
      <c r="BK1297" s="1">
        <v>0</v>
      </c>
      <c r="BL1297" s="1">
        <v>0</v>
      </c>
      <c r="BM1297" s="1">
        <v>0</v>
      </c>
      <c r="BN1297" s="1">
        <v>0</v>
      </c>
      <c r="BO1297" s="1">
        <v>0</v>
      </c>
      <c r="BP1297" s="1">
        <v>0</v>
      </c>
      <c r="BQ1297" s="2" t="str">
        <f>HYPERLINK("http://www.d20pfsrd.com/magic/all-spells/l/lightning-lash-bomb-admixture","Lightning Lash Bomb Admixture")</f>
        <v>Lightning Lash Bomb Admixture</v>
      </c>
      <c r="BR1297" s="1">
        <v>1351</v>
      </c>
      <c r="BS1297" s="1" t="s">
        <v>104</v>
      </c>
      <c r="BX1297" s="1">
        <v>0</v>
      </c>
      <c r="BY1297" s="1" t="s">
        <v>104</v>
      </c>
      <c r="BZ1297" s="1" t="s">
        <v>104</v>
      </c>
      <c r="CA1297" s="1" t="s">
        <v>104</v>
      </c>
      <c r="CB1297" s="1" t="s">
        <v>104</v>
      </c>
      <c r="CC1297" s="1" t="s">
        <v>104</v>
      </c>
      <c r="CD1297" s="1" t="s">
        <v>104</v>
      </c>
      <c r="CE1297" s="1" t="s">
        <v>104</v>
      </c>
      <c r="CF1297" s="1" t="s">
        <v>104</v>
      </c>
      <c r="CG1297" s="1" t="s">
        <v>104</v>
      </c>
      <c r="CH1297" s="1" t="s">
        <v>104</v>
      </c>
      <c r="CJ1297" s="1">
        <v>0</v>
      </c>
      <c r="CK1297" s="1">
        <v>0</v>
      </c>
      <c r="CL1297" s="1">
        <v>0</v>
      </c>
      <c r="CM1297" s="1" t="s">
        <v>104</v>
      </c>
    </row>
    <row r="1298" spans="1:91" ht="14.25" customHeight="1" x14ac:dyDescent="0.3">
      <c r="A1298" s="1" t="s">
        <v>7603</v>
      </c>
      <c r="B1298" s="1" t="s">
        <v>137</v>
      </c>
      <c r="E1298" s="1" t="s">
        <v>4693</v>
      </c>
      <c r="F1298" s="1" t="s">
        <v>4934</v>
      </c>
      <c r="G1298" s="1" t="s">
        <v>127</v>
      </c>
      <c r="H1298" s="1">
        <v>0</v>
      </c>
      <c r="I1298" s="1" t="s">
        <v>157</v>
      </c>
      <c r="L1298" s="1" t="s">
        <v>158</v>
      </c>
      <c r="M1298" s="1" t="s">
        <v>255</v>
      </c>
      <c r="N1298" s="1">
        <v>0</v>
      </c>
      <c r="O1298" s="1">
        <v>0</v>
      </c>
      <c r="P1298" s="1" t="s">
        <v>101</v>
      </c>
      <c r="Q1298" s="1" t="s">
        <v>184</v>
      </c>
      <c r="R1298" s="1" t="s">
        <v>7604</v>
      </c>
      <c r="S1298" s="1" t="s">
        <v>7302</v>
      </c>
      <c r="T1298" s="1">
        <v>1</v>
      </c>
      <c r="U1298" s="1">
        <v>1</v>
      </c>
      <c r="V1298" s="1">
        <v>0</v>
      </c>
      <c r="W1298" s="1">
        <v>0</v>
      </c>
      <c r="X1298" s="1">
        <v>1</v>
      </c>
      <c r="Y1298" s="1" t="s">
        <v>104</v>
      </c>
      <c r="Z1298" s="1" t="s">
        <v>104</v>
      </c>
      <c r="AA1298" s="1" t="s">
        <v>104</v>
      </c>
      <c r="AB1298" s="1" t="s">
        <v>104</v>
      </c>
      <c r="AC1298" s="1" t="s">
        <v>104</v>
      </c>
      <c r="AD1298" s="1" t="s">
        <v>104</v>
      </c>
      <c r="AE1298" s="1">
        <v>2</v>
      </c>
      <c r="AF1298" s="1" t="s">
        <v>104</v>
      </c>
      <c r="AG1298" s="1" t="s">
        <v>104</v>
      </c>
      <c r="AH1298" s="1" t="s">
        <v>104</v>
      </c>
      <c r="AI1298" s="1">
        <v>2</v>
      </c>
      <c r="AJ1298" s="1" t="s">
        <v>104</v>
      </c>
      <c r="AK1298" s="1">
        <v>2</v>
      </c>
      <c r="AL1298" s="1" t="s">
        <v>104</v>
      </c>
      <c r="AM1298" s="1" t="s">
        <v>104</v>
      </c>
      <c r="AO1298" s="1">
        <v>2</v>
      </c>
      <c r="AQ1298" s="1" t="s">
        <v>7605</v>
      </c>
      <c r="AR1298" s="1">
        <v>0</v>
      </c>
      <c r="AS1298" s="1">
        <v>0</v>
      </c>
      <c r="AT1298" s="1">
        <v>0</v>
      </c>
      <c r="AU1298" s="1">
        <v>0</v>
      </c>
      <c r="AV1298" s="1">
        <v>0</v>
      </c>
      <c r="AW1298" s="1">
        <v>0</v>
      </c>
      <c r="AX1298" s="1">
        <v>0</v>
      </c>
      <c r="AY1298" s="1">
        <v>0</v>
      </c>
      <c r="AZ1298" s="1">
        <v>0</v>
      </c>
      <c r="BA1298" s="1">
        <v>0</v>
      </c>
      <c r="BB1298" s="1">
        <v>0</v>
      </c>
      <c r="BC1298" s="1">
        <v>0</v>
      </c>
      <c r="BD1298" s="1">
        <v>0</v>
      </c>
      <c r="BE1298" s="1">
        <v>0</v>
      </c>
      <c r="BF1298" s="1">
        <v>0</v>
      </c>
      <c r="BG1298" s="1">
        <v>0</v>
      </c>
      <c r="BH1298" s="1">
        <v>0</v>
      </c>
      <c r="BI1298" s="1">
        <v>0</v>
      </c>
      <c r="BJ1298" s="1">
        <v>0</v>
      </c>
      <c r="BK1298" s="1">
        <v>0</v>
      </c>
      <c r="BL1298" s="1">
        <v>0</v>
      </c>
      <c r="BM1298" s="1">
        <v>0</v>
      </c>
      <c r="BN1298" s="1">
        <v>0</v>
      </c>
      <c r="BO1298" s="1">
        <v>0</v>
      </c>
      <c r="BP1298" s="1">
        <v>0</v>
      </c>
      <c r="BQ1298" s="2" t="str">
        <f>HYPERLINK("http://www.d20pfsrd.com/magic/all-spells/l/litany-of-defense","Litany of Defense")</f>
        <v>Litany of Defense</v>
      </c>
      <c r="BR1298" s="1">
        <v>1352</v>
      </c>
      <c r="BS1298" s="1" t="s">
        <v>104</v>
      </c>
      <c r="BX1298" s="1">
        <v>0</v>
      </c>
      <c r="BY1298" s="1" t="s">
        <v>104</v>
      </c>
      <c r="BZ1298" s="1" t="s">
        <v>104</v>
      </c>
      <c r="CA1298" s="1" t="s">
        <v>104</v>
      </c>
      <c r="CB1298" s="1" t="s">
        <v>104</v>
      </c>
      <c r="CC1298" s="1" t="s">
        <v>104</v>
      </c>
      <c r="CD1298" s="1" t="s">
        <v>104</v>
      </c>
      <c r="CE1298" s="1" t="s">
        <v>104</v>
      </c>
      <c r="CF1298" s="1" t="s">
        <v>104</v>
      </c>
      <c r="CG1298" s="1" t="s">
        <v>104</v>
      </c>
      <c r="CH1298" s="1" t="s">
        <v>104</v>
      </c>
      <c r="CJ1298" s="1">
        <v>0</v>
      </c>
      <c r="CK1298" s="1">
        <v>0</v>
      </c>
      <c r="CL1298" s="1">
        <v>0</v>
      </c>
      <c r="CM1298" s="1" t="s">
        <v>104</v>
      </c>
    </row>
    <row r="1299" spans="1:91" ht="14.25" customHeight="1" x14ac:dyDescent="0.3">
      <c r="A1299" s="1" t="s">
        <v>7606</v>
      </c>
      <c r="B1299" s="1" t="s">
        <v>123</v>
      </c>
      <c r="C1299" s="1" t="s">
        <v>635</v>
      </c>
      <c r="D1299" s="1" t="s">
        <v>728</v>
      </c>
      <c r="E1299" s="1" t="s">
        <v>7607</v>
      </c>
      <c r="F1299" s="1" t="s">
        <v>4934</v>
      </c>
      <c r="G1299" s="1" t="s">
        <v>127</v>
      </c>
      <c r="H1299" s="1">
        <v>0</v>
      </c>
      <c r="I1299" s="1" t="s">
        <v>117</v>
      </c>
      <c r="L1299" s="1" t="s">
        <v>1065</v>
      </c>
      <c r="M1299" s="1" t="s">
        <v>255</v>
      </c>
      <c r="N1299" s="1">
        <v>0</v>
      </c>
      <c r="O1299" s="1">
        <v>0</v>
      </c>
      <c r="P1299" s="1" t="s">
        <v>101</v>
      </c>
      <c r="Q1299" s="1" t="s">
        <v>184</v>
      </c>
      <c r="R1299" s="1" t="s">
        <v>7608</v>
      </c>
      <c r="S1299" s="1" t="s">
        <v>7302</v>
      </c>
      <c r="T1299" s="1">
        <v>1</v>
      </c>
      <c r="U1299" s="1">
        <v>1</v>
      </c>
      <c r="V1299" s="1">
        <v>0</v>
      </c>
      <c r="W1299" s="1">
        <v>0</v>
      </c>
      <c r="X1299" s="1">
        <v>1</v>
      </c>
      <c r="Y1299" s="1" t="s">
        <v>104</v>
      </c>
      <c r="Z1299" s="1" t="s">
        <v>104</v>
      </c>
      <c r="AA1299" s="1" t="s">
        <v>104</v>
      </c>
      <c r="AB1299" s="1" t="s">
        <v>104</v>
      </c>
      <c r="AC1299" s="1" t="s">
        <v>104</v>
      </c>
      <c r="AD1299" s="1" t="s">
        <v>104</v>
      </c>
      <c r="AE1299" s="1">
        <v>2</v>
      </c>
      <c r="AF1299" s="1" t="s">
        <v>104</v>
      </c>
      <c r="AG1299" s="1" t="s">
        <v>104</v>
      </c>
      <c r="AH1299" s="1" t="s">
        <v>104</v>
      </c>
      <c r="AI1299" s="1">
        <v>3</v>
      </c>
      <c r="AJ1299" s="1" t="s">
        <v>104</v>
      </c>
      <c r="AK1299" s="1">
        <v>2</v>
      </c>
      <c r="AL1299" s="1" t="s">
        <v>104</v>
      </c>
      <c r="AM1299" s="1" t="s">
        <v>104</v>
      </c>
      <c r="AO1299" s="1">
        <v>2</v>
      </c>
      <c r="AQ1299" s="1" t="s">
        <v>7609</v>
      </c>
      <c r="AR1299" s="1">
        <v>0</v>
      </c>
      <c r="AS1299" s="1">
        <v>0</v>
      </c>
      <c r="AT1299" s="1">
        <v>0</v>
      </c>
      <c r="AU1299" s="1">
        <v>0</v>
      </c>
      <c r="AV1299" s="1">
        <v>0</v>
      </c>
      <c r="AW1299" s="1">
        <v>0</v>
      </c>
      <c r="AX1299" s="1">
        <v>0</v>
      </c>
      <c r="AY1299" s="1">
        <v>0</v>
      </c>
      <c r="AZ1299" s="1">
        <v>0</v>
      </c>
      <c r="BA1299" s="1">
        <v>0</v>
      </c>
      <c r="BB1299" s="1">
        <v>0</v>
      </c>
      <c r="BC1299" s="1">
        <v>0</v>
      </c>
      <c r="BD1299" s="1">
        <v>0</v>
      </c>
      <c r="BE1299" s="1">
        <v>0</v>
      </c>
      <c r="BF1299" s="1">
        <v>0</v>
      </c>
      <c r="BG1299" s="1">
        <v>0</v>
      </c>
      <c r="BH1299" s="1">
        <v>1</v>
      </c>
      <c r="BI1299" s="1">
        <v>0</v>
      </c>
      <c r="BJ1299" s="1">
        <v>0</v>
      </c>
      <c r="BK1299" s="1">
        <v>1</v>
      </c>
      <c r="BL1299" s="1">
        <v>0</v>
      </c>
      <c r="BM1299" s="1">
        <v>0</v>
      </c>
      <c r="BN1299" s="1">
        <v>0</v>
      </c>
      <c r="BO1299" s="1">
        <v>0</v>
      </c>
      <c r="BP1299" s="1">
        <v>0</v>
      </c>
      <c r="BQ1299" s="2" t="str">
        <f>HYPERLINK("http://www.d20pfsrd.com/magic/all-spells/l/litany-of-eloquence","Litany of Eloquence")</f>
        <v>Litany of Eloquence</v>
      </c>
      <c r="BR1299" s="1">
        <v>1353</v>
      </c>
      <c r="BS1299" s="1" t="s">
        <v>104</v>
      </c>
      <c r="BX1299" s="1">
        <v>0</v>
      </c>
      <c r="BY1299" s="1" t="s">
        <v>104</v>
      </c>
      <c r="BZ1299" s="1" t="s">
        <v>104</v>
      </c>
      <c r="CA1299" s="1" t="s">
        <v>104</v>
      </c>
      <c r="CB1299" s="1" t="s">
        <v>104</v>
      </c>
      <c r="CC1299" s="1" t="s">
        <v>104</v>
      </c>
      <c r="CD1299" s="1" t="s">
        <v>104</v>
      </c>
      <c r="CE1299" s="1" t="s">
        <v>104</v>
      </c>
      <c r="CF1299" s="1" t="s">
        <v>104</v>
      </c>
      <c r="CG1299" s="1" t="s">
        <v>104</v>
      </c>
      <c r="CH1299" s="1" t="s">
        <v>104</v>
      </c>
      <c r="CJ1299" s="1">
        <v>0</v>
      </c>
      <c r="CK1299" s="1">
        <v>0</v>
      </c>
      <c r="CL1299" s="1">
        <v>0</v>
      </c>
      <c r="CM1299" s="1" t="s">
        <v>104</v>
      </c>
    </row>
    <row r="1300" spans="1:91" ht="14.25" customHeight="1" x14ac:dyDescent="0.3">
      <c r="A1300" s="1" t="s">
        <v>7610</v>
      </c>
      <c r="B1300" s="1" t="s">
        <v>92</v>
      </c>
      <c r="C1300" s="1" t="s">
        <v>2732</v>
      </c>
      <c r="D1300" s="1" t="s">
        <v>2506</v>
      </c>
      <c r="E1300" s="1" t="s">
        <v>7607</v>
      </c>
      <c r="F1300" s="1" t="s">
        <v>4934</v>
      </c>
      <c r="G1300" s="1" t="s">
        <v>127</v>
      </c>
      <c r="H1300" s="1">
        <v>0</v>
      </c>
      <c r="I1300" s="1" t="s">
        <v>117</v>
      </c>
      <c r="L1300" s="1" t="s">
        <v>1065</v>
      </c>
      <c r="M1300" s="1" t="s">
        <v>255</v>
      </c>
      <c r="N1300" s="1">
        <v>0</v>
      </c>
      <c r="O1300" s="1">
        <v>0</v>
      </c>
      <c r="P1300" s="1" t="s">
        <v>211</v>
      </c>
      <c r="Q1300" s="1" t="s">
        <v>184</v>
      </c>
      <c r="R1300" s="1" t="s">
        <v>7611</v>
      </c>
      <c r="S1300" s="1" t="s">
        <v>7302</v>
      </c>
      <c r="T1300" s="1">
        <v>1</v>
      </c>
      <c r="U1300" s="1">
        <v>1</v>
      </c>
      <c r="V1300" s="1">
        <v>0</v>
      </c>
      <c r="W1300" s="1">
        <v>0</v>
      </c>
      <c r="X1300" s="1">
        <v>1</v>
      </c>
      <c r="Y1300" s="1" t="s">
        <v>104</v>
      </c>
      <c r="Z1300" s="1" t="s">
        <v>104</v>
      </c>
      <c r="AA1300" s="1" t="s">
        <v>104</v>
      </c>
      <c r="AB1300" s="1" t="s">
        <v>104</v>
      </c>
      <c r="AC1300" s="1" t="s">
        <v>104</v>
      </c>
      <c r="AD1300" s="1" t="s">
        <v>104</v>
      </c>
      <c r="AE1300" s="1">
        <v>2</v>
      </c>
      <c r="AF1300" s="1" t="s">
        <v>104</v>
      </c>
      <c r="AG1300" s="1" t="s">
        <v>104</v>
      </c>
      <c r="AH1300" s="1" t="s">
        <v>104</v>
      </c>
      <c r="AI1300" s="1">
        <v>3</v>
      </c>
      <c r="AJ1300" s="1" t="s">
        <v>104</v>
      </c>
      <c r="AK1300" s="1">
        <v>2</v>
      </c>
      <c r="AL1300" s="1" t="s">
        <v>104</v>
      </c>
      <c r="AM1300" s="1" t="s">
        <v>104</v>
      </c>
      <c r="AO1300" s="1">
        <v>2</v>
      </c>
      <c r="AQ1300" s="1" t="s">
        <v>7612</v>
      </c>
      <c r="AR1300" s="1">
        <v>0</v>
      </c>
      <c r="AS1300" s="1">
        <v>0</v>
      </c>
      <c r="AT1300" s="1">
        <v>0</v>
      </c>
      <c r="AU1300" s="1">
        <v>0</v>
      </c>
      <c r="AV1300" s="1">
        <v>0</v>
      </c>
      <c r="AW1300" s="1">
        <v>0</v>
      </c>
      <c r="AX1300" s="1">
        <v>0</v>
      </c>
      <c r="AY1300" s="1">
        <v>0</v>
      </c>
      <c r="AZ1300" s="1">
        <v>0</v>
      </c>
      <c r="BA1300" s="1">
        <v>0</v>
      </c>
      <c r="BB1300" s="1">
        <v>0</v>
      </c>
      <c r="BC1300" s="1">
        <v>0</v>
      </c>
      <c r="BD1300" s="1">
        <v>0</v>
      </c>
      <c r="BE1300" s="1">
        <v>0</v>
      </c>
      <c r="BF1300" s="1">
        <v>0</v>
      </c>
      <c r="BG1300" s="1">
        <v>0</v>
      </c>
      <c r="BH1300" s="1">
        <v>1</v>
      </c>
      <c r="BI1300" s="1">
        <v>0</v>
      </c>
      <c r="BJ1300" s="1">
        <v>0</v>
      </c>
      <c r="BK1300" s="1">
        <v>0</v>
      </c>
      <c r="BL1300" s="1">
        <v>0</v>
      </c>
      <c r="BM1300" s="1">
        <v>0</v>
      </c>
      <c r="BN1300" s="1">
        <v>0</v>
      </c>
      <c r="BO1300" s="1">
        <v>0</v>
      </c>
      <c r="BP1300" s="1">
        <v>0</v>
      </c>
      <c r="BQ1300" s="2" t="str">
        <f>HYPERLINK("http://www.d20pfsrd.com/magic/all-spells/l/litany-of-entanglement","Litany of Entanglement")</f>
        <v>Litany of Entanglement</v>
      </c>
      <c r="BR1300" s="1">
        <v>1354</v>
      </c>
      <c r="BS1300" s="1" t="s">
        <v>104</v>
      </c>
      <c r="BX1300" s="1">
        <v>0</v>
      </c>
      <c r="BY1300" s="1" t="s">
        <v>104</v>
      </c>
      <c r="BZ1300" s="1" t="s">
        <v>104</v>
      </c>
      <c r="CA1300" s="1" t="s">
        <v>104</v>
      </c>
      <c r="CB1300" s="1" t="s">
        <v>104</v>
      </c>
      <c r="CC1300" s="1" t="s">
        <v>104</v>
      </c>
      <c r="CD1300" s="1" t="s">
        <v>104</v>
      </c>
      <c r="CE1300" s="1" t="s">
        <v>104</v>
      </c>
      <c r="CF1300" s="1" t="s">
        <v>104</v>
      </c>
      <c r="CG1300" s="1" t="s">
        <v>104</v>
      </c>
      <c r="CH1300" s="1" t="s">
        <v>104</v>
      </c>
      <c r="CJ1300" s="1">
        <v>0</v>
      </c>
      <c r="CK1300" s="1">
        <v>0</v>
      </c>
      <c r="CL1300" s="1">
        <v>0</v>
      </c>
      <c r="CM1300" s="1" t="s">
        <v>104</v>
      </c>
    </row>
    <row r="1301" spans="1:91" ht="14.25" customHeight="1" x14ac:dyDescent="0.3">
      <c r="A1301" s="1" t="s">
        <v>7613</v>
      </c>
      <c r="B1301" s="1" t="s">
        <v>92</v>
      </c>
      <c r="C1301" s="1" t="s">
        <v>1160</v>
      </c>
      <c r="D1301" s="1" t="s">
        <v>2506</v>
      </c>
      <c r="E1301" s="1" t="s">
        <v>7614</v>
      </c>
      <c r="F1301" s="1" t="s">
        <v>4934</v>
      </c>
      <c r="G1301" s="1" t="s">
        <v>127</v>
      </c>
      <c r="H1301" s="1">
        <v>0</v>
      </c>
      <c r="I1301" s="1" t="s">
        <v>117</v>
      </c>
      <c r="L1301" s="1" t="s">
        <v>7615</v>
      </c>
      <c r="M1301" s="1" t="s">
        <v>119</v>
      </c>
      <c r="N1301" s="1">
        <v>0</v>
      </c>
      <c r="O1301" s="1">
        <v>0</v>
      </c>
      <c r="P1301" s="1" t="s">
        <v>101</v>
      </c>
      <c r="Q1301" s="1" t="s">
        <v>184</v>
      </c>
      <c r="R1301" s="1" t="s">
        <v>7616</v>
      </c>
      <c r="S1301" s="1" t="s">
        <v>7302</v>
      </c>
      <c r="T1301" s="1">
        <v>1</v>
      </c>
      <c r="U1301" s="1">
        <v>1</v>
      </c>
      <c r="V1301" s="1">
        <v>0</v>
      </c>
      <c r="W1301" s="1">
        <v>0</v>
      </c>
      <c r="X1301" s="1">
        <v>1</v>
      </c>
      <c r="Y1301" s="1" t="s">
        <v>104</v>
      </c>
      <c r="Z1301" s="1" t="s">
        <v>104</v>
      </c>
      <c r="AA1301" s="1" t="s">
        <v>104</v>
      </c>
      <c r="AB1301" s="1" t="s">
        <v>104</v>
      </c>
      <c r="AC1301" s="1" t="s">
        <v>104</v>
      </c>
      <c r="AD1301" s="1" t="s">
        <v>104</v>
      </c>
      <c r="AE1301" s="1">
        <v>3</v>
      </c>
      <c r="AF1301" s="1" t="s">
        <v>104</v>
      </c>
      <c r="AG1301" s="1" t="s">
        <v>104</v>
      </c>
      <c r="AH1301" s="1" t="s">
        <v>104</v>
      </c>
      <c r="AI1301" s="1">
        <v>4</v>
      </c>
      <c r="AJ1301" s="1" t="s">
        <v>104</v>
      </c>
      <c r="AK1301" s="1">
        <v>3</v>
      </c>
      <c r="AL1301" s="1" t="s">
        <v>104</v>
      </c>
      <c r="AM1301" s="1" t="s">
        <v>104</v>
      </c>
      <c r="AO1301" s="1">
        <v>3</v>
      </c>
      <c r="AQ1301" s="1" t="s">
        <v>7617</v>
      </c>
      <c r="AR1301" s="1">
        <v>0</v>
      </c>
      <c r="AS1301" s="1">
        <v>0</v>
      </c>
      <c r="AT1301" s="1">
        <v>0</v>
      </c>
      <c r="AU1301" s="1">
        <v>0</v>
      </c>
      <c r="AV1301" s="1">
        <v>0</v>
      </c>
      <c r="AW1301" s="1">
        <v>0</v>
      </c>
      <c r="AX1301" s="1">
        <v>0</v>
      </c>
      <c r="AY1301" s="1">
        <v>0</v>
      </c>
      <c r="AZ1301" s="1">
        <v>0</v>
      </c>
      <c r="BA1301" s="1">
        <v>0</v>
      </c>
      <c r="BB1301" s="1">
        <v>0</v>
      </c>
      <c r="BC1301" s="1">
        <v>0</v>
      </c>
      <c r="BD1301" s="1">
        <v>0</v>
      </c>
      <c r="BE1301" s="1">
        <v>0</v>
      </c>
      <c r="BF1301" s="1">
        <v>0</v>
      </c>
      <c r="BG1301" s="1">
        <v>0</v>
      </c>
      <c r="BH1301" s="1">
        <v>1</v>
      </c>
      <c r="BI1301" s="1">
        <v>0</v>
      </c>
      <c r="BJ1301" s="1">
        <v>0</v>
      </c>
      <c r="BK1301" s="1">
        <v>0</v>
      </c>
      <c r="BL1301" s="1">
        <v>0</v>
      </c>
      <c r="BM1301" s="1">
        <v>0</v>
      </c>
      <c r="BN1301" s="1">
        <v>0</v>
      </c>
      <c r="BO1301" s="1">
        <v>0</v>
      </c>
      <c r="BP1301" s="1">
        <v>0</v>
      </c>
      <c r="BQ1301" s="2" t="str">
        <f>HYPERLINK("http://www.d20pfsrd.com/magic/all-spells/l/litany-of-escape","Litany of Escape")</f>
        <v>Litany of Escape</v>
      </c>
      <c r="BR1301" s="1">
        <v>1355</v>
      </c>
      <c r="BS1301" s="1" t="s">
        <v>104</v>
      </c>
      <c r="BX1301" s="1">
        <v>0</v>
      </c>
      <c r="BY1301" s="1" t="s">
        <v>104</v>
      </c>
      <c r="BZ1301" s="1" t="s">
        <v>104</v>
      </c>
      <c r="CA1301" s="1" t="s">
        <v>104</v>
      </c>
      <c r="CB1301" s="1" t="s">
        <v>104</v>
      </c>
      <c r="CC1301" s="1" t="s">
        <v>104</v>
      </c>
      <c r="CD1301" s="1" t="s">
        <v>104</v>
      </c>
      <c r="CE1301" s="1" t="s">
        <v>104</v>
      </c>
      <c r="CF1301" s="1" t="s">
        <v>104</v>
      </c>
      <c r="CG1301" s="1" t="s">
        <v>104</v>
      </c>
      <c r="CH1301" s="1" t="s">
        <v>104</v>
      </c>
      <c r="CJ1301" s="1">
        <v>0</v>
      </c>
      <c r="CK1301" s="1">
        <v>0</v>
      </c>
      <c r="CL1301" s="1">
        <v>0</v>
      </c>
      <c r="CM1301" s="1" t="s">
        <v>104</v>
      </c>
    </row>
    <row r="1302" spans="1:91" ht="14.25" customHeight="1" x14ac:dyDescent="0.3">
      <c r="A1302" s="1" t="s">
        <v>7618</v>
      </c>
      <c r="B1302" s="1" t="s">
        <v>123</v>
      </c>
      <c r="C1302" s="1" t="s">
        <v>635</v>
      </c>
      <c r="D1302" s="1" t="s">
        <v>728</v>
      </c>
      <c r="E1302" s="1" t="s">
        <v>7619</v>
      </c>
      <c r="F1302" s="1" t="s">
        <v>4934</v>
      </c>
      <c r="G1302" s="1" t="s">
        <v>127</v>
      </c>
      <c r="H1302" s="1">
        <v>0</v>
      </c>
      <c r="I1302" s="1" t="s">
        <v>117</v>
      </c>
      <c r="L1302" s="1" t="s">
        <v>1065</v>
      </c>
      <c r="M1302" s="1" t="s">
        <v>7620</v>
      </c>
      <c r="N1302" s="1">
        <v>0</v>
      </c>
      <c r="O1302" s="1">
        <v>0</v>
      </c>
      <c r="P1302" s="1" t="s">
        <v>7621</v>
      </c>
      <c r="Q1302" s="1" t="s">
        <v>184</v>
      </c>
      <c r="R1302" s="1" t="s">
        <v>7622</v>
      </c>
      <c r="S1302" s="1" t="s">
        <v>7302</v>
      </c>
      <c r="T1302" s="1">
        <v>1</v>
      </c>
      <c r="U1302" s="1">
        <v>1</v>
      </c>
      <c r="V1302" s="1">
        <v>0</v>
      </c>
      <c r="W1302" s="1">
        <v>0</v>
      </c>
      <c r="X1302" s="1">
        <v>1</v>
      </c>
      <c r="Y1302" s="1" t="s">
        <v>104</v>
      </c>
      <c r="Z1302" s="1" t="s">
        <v>104</v>
      </c>
      <c r="AA1302" s="1" t="s">
        <v>104</v>
      </c>
      <c r="AB1302" s="1" t="s">
        <v>104</v>
      </c>
      <c r="AC1302" s="1" t="s">
        <v>104</v>
      </c>
      <c r="AD1302" s="1" t="s">
        <v>104</v>
      </c>
      <c r="AE1302" s="1" t="s">
        <v>104</v>
      </c>
      <c r="AF1302" s="1" t="s">
        <v>104</v>
      </c>
      <c r="AG1302" s="1" t="s">
        <v>104</v>
      </c>
      <c r="AH1302" s="1" t="s">
        <v>104</v>
      </c>
      <c r="AI1302" s="1">
        <v>6</v>
      </c>
      <c r="AJ1302" s="1" t="s">
        <v>104</v>
      </c>
      <c r="AK1302" s="1">
        <v>4</v>
      </c>
      <c r="AL1302" s="1" t="s">
        <v>104</v>
      </c>
      <c r="AM1302" s="1" t="s">
        <v>104</v>
      </c>
      <c r="AO1302" s="1" t="s">
        <v>104</v>
      </c>
      <c r="AQ1302" s="1" t="s">
        <v>7623</v>
      </c>
      <c r="AR1302" s="1">
        <v>0</v>
      </c>
      <c r="AS1302" s="1">
        <v>0</v>
      </c>
      <c r="AT1302" s="1">
        <v>0</v>
      </c>
      <c r="AU1302" s="1">
        <v>0</v>
      </c>
      <c r="AV1302" s="1">
        <v>0</v>
      </c>
      <c r="AW1302" s="1">
        <v>0</v>
      </c>
      <c r="AX1302" s="1">
        <v>0</v>
      </c>
      <c r="AY1302" s="1">
        <v>0</v>
      </c>
      <c r="AZ1302" s="1">
        <v>0</v>
      </c>
      <c r="BA1302" s="1">
        <v>0</v>
      </c>
      <c r="BB1302" s="1">
        <v>0</v>
      </c>
      <c r="BC1302" s="1">
        <v>0</v>
      </c>
      <c r="BD1302" s="1">
        <v>0</v>
      </c>
      <c r="BE1302" s="1">
        <v>0</v>
      </c>
      <c r="BF1302" s="1">
        <v>0</v>
      </c>
      <c r="BG1302" s="1">
        <v>0</v>
      </c>
      <c r="BH1302" s="1">
        <v>1</v>
      </c>
      <c r="BI1302" s="1">
        <v>0</v>
      </c>
      <c r="BJ1302" s="1">
        <v>0</v>
      </c>
      <c r="BK1302" s="1">
        <v>1</v>
      </c>
      <c r="BL1302" s="1">
        <v>0</v>
      </c>
      <c r="BM1302" s="1">
        <v>0</v>
      </c>
      <c r="BN1302" s="1">
        <v>0</v>
      </c>
      <c r="BO1302" s="1">
        <v>0</v>
      </c>
      <c r="BP1302" s="1">
        <v>0</v>
      </c>
      <c r="BQ1302" s="2" t="str">
        <f>HYPERLINK("http://www.d20pfsrd.com/magic/all-spells/l/litany-of-madness","Litany of Madness")</f>
        <v>Litany of Madness</v>
      </c>
      <c r="BR1302" s="1">
        <v>1356</v>
      </c>
      <c r="BS1302" s="1" t="s">
        <v>104</v>
      </c>
      <c r="BX1302" s="1">
        <v>0</v>
      </c>
      <c r="BY1302" s="1" t="s">
        <v>104</v>
      </c>
      <c r="BZ1302" s="1" t="s">
        <v>104</v>
      </c>
      <c r="CA1302" s="1" t="s">
        <v>104</v>
      </c>
      <c r="CB1302" s="1" t="s">
        <v>104</v>
      </c>
      <c r="CC1302" s="1" t="s">
        <v>104</v>
      </c>
      <c r="CD1302" s="1" t="s">
        <v>104</v>
      </c>
      <c r="CE1302" s="1" t="s">
        <v>104</v>
      </c>
      <c r="CF1302" s="1" t="s">
        <v>104</v>
      </c>
      <c r="CG1302" s="1" t="s">
        <v>104</v>
      </c>
      <c r="CH1302" s="1" t="s">
        <v>104</v>
      </c>
      <c r="CJ1302" s="1">
        <v>0</v>
      </c>
      <c r="CK1302" s="1">
        <v>0</v>
      </c>
      <c r="CL1302" s="1">
        <v>0</v>
      </c>
      <c r="CM1302" s="1" t="s">
        <v>104</v>
      </c>
    </row>
    <row r="1303" spans="1:91" ht="14.25" customHeight="1" x14ac:dyDescent="0.3">
      <c r="A1303" s="1" t="s">
        <v>7624</v>
      </c>
      <c r="B1303" s="1" t="s">
        <v>434</v>
      </c>
      <c r="D1303" s="1" t="s">
        <v>7625</v>
      </c>
      <c r="E1303" s="1" t="s">
        <v>5365</v>
      </c>
      <c r="F1303" s="1" t="s">
        <v>4934</v>
      </c>
      <c r="G1303" s="1" t="s">
        <v>127</v>
      </c>
      <c r="H1303" s="1">
        <v>0</v>
      </c>
      <c r="I1303" s="1" t="s">
        <v>117</v>
      </c>
      <c r="L1303" s="1" t="s">
        <v>1065</v>
      </c>
      <c r="M1303" s="1" t="s">
        <v>255</v>
      </c>
      <c r="N1303" s="1">
        <v>0</v>
      </c>
      <c r="O1303" s="1">
        <v>0</v>
      </c>
      <c r="P1303" s="1" t="s">
        <v>211</v>
      </c>
      <c r="Q1303" s="1" t="s">
        <v>184</v>
      </c>
      <c r="R1303" s="1" t="s">
        <v>7626</v>
      </c>
      <c r="S1303" s="1" t="s">
        <v>7302</v>
      </c>
      <c r="T1303" s="1">
        <v>1</v>
      </c>
      <c r="U1303" s="1">
        <v>1</v>
      </c>
      <c r="V1303" s="1">
        <v>0</v>
      </c>
      <c r="W1303" s="1">
        <v>0</v>
      </c>
      <c r="X1303" s="1">
        <v>1</v>
      </c>
      <c r="Y1303" s="1" t="s">
        <v>104</v>
      </c>
      <c r="Z1303" s="1" t="s">
        <v>104</v>
      </c>
      <c r="AA1303" s="1" t="s">
        <v>104</v>
      </c>
      <c r="AB1303" s="1" t="s">
        <v>104</v>
      </c>
      <c r="AC1303" s="1" t="s">
        <v>104</v>
      </c>
      <c r="AD1303" s="1" t="s">
        <v>104</v>
      </c>
      <c r="AE1303" s="1">
        <v>2</v>
      </c>
      <c r="AF1303" s="1" t="s">
        <v>104</v>
      </c>
      <c r="AG1303" s="1" t="s">
        <v>104</v>
      </c>
      <c r="AH1303" s="1" t="s">
        <v>104</v>
      </c>
      <c r="AI1303" s="1">
        <v>3</v>
      </c>
      <c r="AJ1303" s="1" t="s">
        <v>104</v>
      </c>
      <c r="AK1303" s="1" t="s">
        <v>104</v>
      </c>
      <c r="AL1303" s="1" t="s">
        <v>104</v>
      </c>
      <c r="AM1303" s="1" t="s">
        <v>104</v>
      </c>
      <c r="AO1303" s="1">
        <v>2</v>
      </c>
      <c r="AQ1303" s="1" t="s">
        <v>7627</v>
      </c>
      <c r="AR1303" s="1">
        <v>0</v>
      </c>
      <c r="AS1303" s="1">
        <v>0</v>
      </c>
      <c r="AT1303" s="1">
        <v>0</v>
      </c>
      <c r="AU1303" s="1">
        <v>0</v>
      </c>
      <c r="AV1303" s="1">
        <v>0</v>
      </c>
      <c r="AW1303" s="1">
        <v>0</v>
      </c>
      <c r="AX1303" s="1">
        <v>0</v>
      </c>
      <c r="AY1303" s="1">
        <v>0</v>
      </c>
      <c r="AZ1303" s="1">
        <v>0</v>
      </c>
      <c r="BA1303" s="1">
        <v>0</v>
      </c>
      <c r="BB1303" s="1">
        <v>0</v>
      </c>
      <c r="BC1303" s="1">
        <v>0</v>
      </c>
      <c r="BD1303" s="1">
        <v>0</v>
      </c>
      <c r="BE1303" s="1">
        <v>0</v>
      </c>
      <c r="BF1303" s="1">
        <v>0</v>
      </c>
      <c r="BG1303" s="1">
        <v>1</v>
      </c>
      <c r="BH1303" s="1">
        <v>1</v>
      </c>
      <c r="BI1303" s="1">
        <v>0</v>
      </c>
      <c r="BJ1303" s="1">
        <v>0</v>
      </c>
      <c r="BK1303" s="1">
        <v>0</v>
      </c>
      <c r="BL1303" s="1">
        <v>0</v>
      </c>
      <c r="BM1303" s="1">
        <v>0</v>
      </c>
      <c r="BN1303" s="1">
        <v>0</v>
      </c>
      <c r="BO1303" s="1">
        <v>0</v>
      </c>
      <c r="BP1303" s="1">
        <v>0</v>
      </c>
      <c r="BQ1303" s="2" t="str">
        <f>HYPERLINK("http://www.d20pfsrd.com/magic/all-spells/l/litany-of-righteousness","Litany of Righteousness")</f>
        <v>Litany of Righteousness</v>
      </c>
      <c r="BR1303" s="1">
        <v>1357</v>
      </c>
      <c r="BS1303" s="1" t="s">
        <v>104</v>
      </c>
      <c r="BX1303" s="1">
        <v>0</v>
      </c>
      <c r="BY1303" s="1" t="s">
        <v>104</v>
      </c>
      <c r="BZ1303" s="1" t="s">
        <v>104</v>
      </c>
      <c r="CA1303" s="1" t="s">
        <v>104</v>
      </c>
      <c r="CB1303" s="1" t="s">
        <v>104</v>
      </c>
      <c r="CC1303" s="1" t="s">
        <v>104</v>
      </c>
      <c r="CD1303" s="1" t="s">
        <v>104</v>
      </c>
      <c r="CE1303" s="1" t="s">
        <v>104</v>
      </c>
      <c r="CF1303" s="1" t="s">
        <v>104</v>
      </c>
      <c r="CG1303" s="1" t="s">
        <v>104</v>
      </c>
      <c r="CH1303" s="1" t="s">
        <v>104</v>
      </c>
      <c r="CJ1303" s="1">
        <v>0</v>
      </c>
      <c r="CK1303" s="1">
        <v>0</v>
      </c>
      <c r="CL1303" s="1">
        <v>0</v>
      </c>
      <c r="CM1303" s="1" t="s">
        <v>104</v>
      </c>
    </row>
    <row r="1304" spans="1:91" ht="14.25" customHeight="1" x14ac:dyDescent="0.3">
      <c r="A1304" s="1" t="s">
        <v>7628</v>
      </c>
      <c r="B1304" s="1" t="s">
        <v>172</v>
      </c>
      <c r="E1304" s="1" t="s">
        <v>7614</v>
      </c>
      <c r="F1304" s="1" t="s">
        <v>4934</v>
      </c>
      <c r="G1304" s="1" t="s">
        <v>127</v>
      </c>
      <c r="H1304" s="1">
        <v>0</v>
      </c>
      <c r="I1304" s="1" t="s">
        <v>157</v>
      </c>
      <c r="L1304" s="1" t="s">
        <v>158</v>
      </c>
      <c r="M1304" s="1" t="s">
        <v>255</v>
      </c>
      <c r="N1304" s="1">
        <v>0</v>
      </c>
      <c r="O1304" s="1">
        <v>0</v>
      </c>
      <c r="P1304" s="1" t="s">
        <v>101</v>
      </c>
      <c r="Q1304" s="1" t="s">
        <v>184</v>
      </c>
      <c r="R1304" s="1" t="s">
        <v>7629</v>
      </c>
      <c r="S1304" s="1" t="s">
        <v>7302</v>
      </c>
      <c r="T1304" s="1">
        <v>1</v>
      </c>
      <c r="U1304" s="1">
        <v>1</v>
      </c>
      <c r="V1304" s="1">
        <v>0</v>
      </c>
      <c r="W1304" s="1">
        <v>0</v>
      </c>
      <c r="X1304" s="1">
        <v>1</v>
      </c>
      <c r="Y1304" s="1" t="s">
        <v>104</v>
      </c>
      <c r="Z1304" s="1" t="s">
        <v>104</v>
      </c>
      <c r="AA1304" s="1" t="s">
        <v>104</v>
      </c>
      <c r="AB1304" s="1" t="s">
        <v>104</v>
      </c>
      <c r="AC1304" s="1" t="s">
        <v>104</v>
      </c>
      <c r="AD1304" s="1" t="s">
        <v>104</v>
      </c>
      <c r="AE1304" s="1">
        <v>3</v>
      </c>
      <c r="AF1304" s="1" t="s">
        <v>104</v>
      </c>
      <c r="AG1304" s="1" t="s">
        <v>104</v>
      </c>
      <c r="AH1304" s="1" t="s">
        <v>104</v>
      </c>
      <c r="AI1304" s="1">
        <v>4</v>
      </c>
      <c r="AJ1304" s="1" t="s">
        <v>104</v>
      </c>
      <c r="AK1304" s="1">
        <v>3</v>
      </c>
      <c r="AL1304" s="1" t="s">
        <v>104</v>
      </c>
      <c r="AM1304" s="1" t="s">
        <v>104</v>
      </c>
      <c r="AO1304" s="1">
        <v>3</v>
      </c>
      <c r="AQ1304" s="1" t="s">
        <v>7630</v>
      </c>
      <c r="AR1304" s="1">
        <v>0</v>
      </c>
      <c r="AS1304" s="1">
        <v>0</v>
      </c>
      <c r="AT1304" s="1">
        <v>0</v>
      </c>
      <c r="AU1304" s="1">
        <v>0</v>
      </c>
      <c r="AV1304" s="1">
        <v>0</v>
      </c>
      <c r="AW1304" s="1">
        <v>0</v>
      </c>
      <c r="AX1304" s="1">
        <v>0</v>
      </c>
      <c r="AY1304" s="1">
        <v>0</v>
      </c>
      <c r="AZ1304" s="1">
        <v>0</v>
      </c>
      <c r="BA1304" s="1">
        <v>0</v>
      </c>
      <c r="BB1304" s="1">
        <v>0</v>
      </c>
      <c r="BC1304" s="1">
        <v>0</v>
      </c>
      <c r="BD1304" s="1">
        <v>0</v>
      </c>
      <c r="BE1304" s="1">
        <v>0</v>
      </c>
      <c r="BF1304" s="1">
        <v>0</v>
      </c>
      <c r="BG1304" s="1">
        <v>0</v>
      </c>
      <c r="BH1304" s="1">
        <v>0</v>
      </c>
      <c r="BI1304" s="1">
        <v>0</v>
      </c>
      <c r="BJ1304" s="1">
        <v>0</v>
      </c>
      <c r="BK1304" s="1">
        <v>0</v>
      </c>
      <c r="BL1304" s="1">
        <v>0</v>
      </c>
      <c r="BM1304" s="1">
        <v>0</v>
      </c>
      <c r="BN1304" s="1">
        <v>0</v>
      </c>
      <c r="BO1304" s="1">
        <v>0</v>
      </c>
      <c r="BP1304" s="1">
        <v>0</v>
      </c>
      <c r="BQ1304" s="2" t="str">
        <f>HYPERLINK("http://www.d20pfsrd.com/magic/all-spells/l/litany-of-sight","Litany of Sight")</f>
        <v>Litany of Sight</v>
      </c>
      <c r="BR1304" s="1">
        <v>1358</v>
      </c>
      <c r="BS1304" s="1" t="s">
        <v>104</v>
      </c>
      <c r="BX1304" s="1">
        <v>0</v>
      </c>
      <c r="BY1304" s="1" t="s">
        <v>104</v>
      </c>
      <c r="BZ1304" s="1" t="s">
        <v>104</v>
      </c>
      <c r="CA1304" s="1" t="s">
        <v>104</v>
      </c>
      <c r="CB1304" s="1" t="s">
        <v>104</v>
      </c>
      <c r="CC1304" s="1" t="s">
        <v>104</v>
      </c>
      <c r="CD1304" s="1" t="s">
        <v>104</v>
      </c>
      <c r="CE1304" s="1" t="s">
        <v>104</v>
      </c>
      <c r="CF1304" s="1" t="s">
        <v>104</v>
      </c>
      <c r="CG1304" s="1" t="s">
        <v>104</v>
      </c>
      <c r="CH1304" s="1" t="s">
        <v>104</v>
      </c>
      <c r="CJ1304" s="1">
        <v>0</v>
      </c>
      <c r="CK1304" s="1">
        <v>0</v>
      </c>
      <c r="CL1304" s="1">
        <v>0</v>
      </c>
      <c r="CM1304" s="1" t="s">
        <v>104</v>
      </c>
    </row>
    <row r="1305" spans="1:91" ht="14.25" customHeight="1" x14ac:dyDescent="0.3">
      <c r="A1305" s="1" t="s">
        <v>7631</v>
      </c>
      <c r="B1305" s="1" t="s">
        <v>123</v>
      </c>
      <c r="C1305" s="1" t="s">
        <v>124</v>
      </c>
      <c r="D1305" s="1" t="s">
        <v>728</v>
      </c>
      <c r="E1305" s="1" t="s">
        <v>7632</v>
      </c>
      <c r="F1305" s="1" t="s">
        <v>4934</v>
      </c>
      <c r="G1305" s="1" t="s">
        <v>127</v>
      </c>
      <c r="H1305" s="1">
        <v>0</v>
      </c>
      <c r="I1305" s="1" t="s">
        <v>117</v>
      </c>
      <c r="L1305" s="1" t="s">
        <v>1065</v>
      </c>
      <c r="M1305" s="1" t="s">
        <v>255</v>
      </c>
      <c r="N1305" s="1">
        <v>0</v>
      </c>
      <c r="O1305" s="1">
        <v>0</v>
      </c>
      <c r="P1305" s="1" t="s">
        <v>101</v>
      </c>
      <c r="Q1305" s="1" t="s">
        <v>184</v>
      </c>
      <c r="R1305" s="1" t="s">
        <v>7633</v>
      </c>
      <c r="S1305" s="1" t="s">
        <v>7302</v>
      </c>
      <c r="T1305" s="1">
        <v>1</v>
      </c>
      <c r="U1305" s="1">
        <v>1</v>
      </c>
      <c r="V1305" s="1">
        <v>0</v>
      </c>
      <c r="W1305" s="1">
        <v>0</v>
      </c>
      <c r="X1305" s="1">
        <v>1</v>
      </c>
      <c r="Y1305" s="1" t="s">
        <v>104</v>
      </c>
      <c r="Z1305" s="1" t="s">
        <v>104</v>
      </c>
      <c r="AA1305" s="1" t="s">
        <v>104</v>
      </c>
      <c r="AB1305" s="1" t="s">
        <v>104</v>
      </c>
      <c r="AC1305" s="1" t="s">
        <v>104</v>
      </c>
      <c r="AD1305" s="1" t="s">
        <v>104</v>
      </c>
      <c r="AE1305" s="1">
        <v>1</v>
      </c>
      <c r="AF1305" s="1" t="s">
        <v>104</v>
      </c>
      <c r="AG1305" s="1" t="s">
        <v>104</v>
      </c>
      <c r="AH1305" s="1" t="s">
        <v>104</v>
      </c>
      <c r="AI1305" s="1">
        <v>1</v>
      </c>
      <c r="AJ1305" s="1" t="s">
        <v>104</v>
      </c>
      <c r="AK1305" s="1">
        <v>1</v>
      </c>
      <c r="AL1305" s="1" t="s">
        <v>104</v>
      </c>
      <c r="AM1305" s="1" t="s">
        <v>104</v>
      </c>
      <c r="AO1305" s="1">
        <v>1</v>
      </c>
      <c r="AQ1305" s="1" t="s">
        <v>7634</v>
      </c>
      <c r="AR1305" s="1">
        <v>0</v>
      </c>
      <c r="AS1305" s="1">
        <v>0</v>
      </c>
      <c r="AT1305" s="1">
        <v>0</v>
      </c>
      <c r="AU1305" s="1">
        <v>0</v>
      </c>
      <c r="AV1305" s="1">
        <v>0</v>
      </c>
      <c r="AW1305" s="1">
        <v>0</v>
      </c>
      <c r="AX1305" s="1">
        <v>0</v>
      </c>
      <c r="AY1305" s="1">
        <v>0</v>
      </c>
      <c r="AZ1305" s="1">
        <v>0</v>
      </c>
      <c r="BA1305" s="1">
        <v>0</v>
      </c>
      <c r="BB1305" s="1">
        <v>0</v>
      </c>
      <c r="BC1305" s="1">
        <v>0</v>
      </c>
      <c r="BD1305" s="1">
        <v>0</v>
      </c>
      <c r="BE1305" s="1">
        <v>0</v>
      </c>
      <c r="BF1305" s="1">
        <v>0</v>
      </c>
      <c r="BG1305" s="1">
        <v>0</v>
      </c>
      <c r="BH1305" s="1">
        <v>1</v>
      </c>
      <c r="BI1305" s="1">
        <v>0</v>
      </c>
      <c r="BJ1305" s="1">
        <v>0</v>
      </c>
      <c r="BK1305" s="1">
        <v>1</v>
      </c>
      <c r="BL1305" s="1">
        <v>0</v>
      </c>
      <c r="BM1305" s="1">
        <v>0</v>
      </c>
      <c r="BN1305" s="1">
        <v>0</v>
      </c>
      <c r="BO1305" s="1">
        <v>0</v>
      </c>
      <c r="BP1305" s="1">
        <v>0</v>
      </c>
      <c r="BQ1305" s="2" t="str">
        <f>HYPERLINK("http://www.d20pfsrd.com/magic/all-spells/l/litany-of-sloth","Litany of Sloth")</f>
        <v>Litany of Sloth</v>
      </c>
      <c r="BR1305" s="1">
        <v>1359</v>
      </c>
      <c r="BS1305" s="1" t="s">
        <v>104</v>
      </c>
      <c r="BX1305" s="1">
        <v>0</v>
      </c>
      <c r="BY1305" s="1" t="s">
        <v>104</v>
      </c>
      <c r="BZ1305" s="1" t="s">
        <v>104</v>
      </c>
      <c r="CA1305" s="1" t="s">
        <v>104</v>
      </c>
      <c r="CB1305" s="1" t="s">
        <v>104</v>
      </c>
      <c r="CC1305" s="1" t="s">
        <v>104</v>
      </c>
      <c r="CD1305" s="1" t="s">
        <v>104</v>
      </c>
      <c r="CE1305" s="1" t="s">
        <v>104</v>
      </c>
      <c r="CF1305" s="1" t="s">
        <v>104</v>
      </c>
      <c r="CG1305" s="1" t="s">
        <v>104</v>
      </c>
      <c r="CH1305" s="1" t="s">
        <v>104</v>
      </c>
      <c r="CJ1305" s="1">
        <v>0</v>
      </c>
      <c r="CK1305" s="1">
        <v>0</v>
      </c>
      <c r="CL1305" s="1">
        <v>0</v>
      </c>
      <c r="CM1305" s="1" t="s">
        <v>104</v>
      </c>
    </row>
    <row r="1306" spans="1:91" ht="14.25" customHeight="1" x14ac:dyDescent="0.3">
      <c r="A1306" s="1" t="s">
        <v>7635</v>
      </c>
      <c r="B1306" s="1" t="s">
        <v>434</v>
      </c>
      <c r="D1306" s="1" t="s">
        <v>7636</v>
      </c>
      <c r="E1306" s="1" t="s">
        <v>5334</v>
      </c>
      <c r="F1306" s="1" t="s">
        <v>4934</v>
      </c>
      <c r="G1306" s="1" t="s">
        <v>127</v>
      </c>
      <c r="H1306" s="1">
        <v>0</v>
      </c>
      <c r="I1306" s="1" t="s">
        <v>117</v>
      </c>
      <c r="L1306" s="1" t="s">
        <v>1065</v>
      </c>
      <c r="M1306" s="1" t="s">
        <v>255</v>
      </c>
      <c r="N1306" s="1">
        <v>0</v>
      </c>
      <c r="O1306" s="1">
        <v>0</v>
      </c>
      <c r="P1306" s="1" t="s">
        <v>183</v>
      </c>
      <c r="Q1306" s="1" t="s">
        <v>184</v>
      </c>
      <c r="R1306" s="1" t="s">
        <v>7637</v>
      </c>
      <c r="S1306" s="1" t="s">
        <v>7302</v>
      </c>
      <c r="T1306" s="1">
        <v>1</v>
      </c>
      <c r="U1306" s="1">
        <v>1</v>
      </c>
      <c r="V1306" s="1">
        <v>0</v>
      </c>
      <c r="W1306" s="1">
        <v>0</v>
      </c>
      <c r="X1306" s="1">
        <v>1</v>
      </c>
      <c r="Y1306" s="1" t="s">
        <v>104</v>
      </c>
      <c r="Z1306" s="1" t="s">
        <v>104</v>
      </c>
      <c r="AA1306" s="1" t="s">
        <v>104</v>
      </c>
      <c r="AB1306" s="1" t="s">
        <v>104</v>
      </c>
      <c r="AC1306" s="1" t="s">
        <v>104</v>
      </c>
      <c r="AD1306" s="1" t="s">
        <v>104</v>
      </c>
      <c r="AE1306" s="1">
        <v>4</v>
      </c>
      <c r="AF1306" s="1" t="s">
        <v>104</v>
      </c>
      <c r="AG1306" s="1" t="s">
        <v>104</v>
      </c>
      <c r="AH1306" s="1" t="s">
        <v>104</v>
      </c>
      <c r="AI1306" s="1">
        <v>5</v>
      </c>
      <c r="AJ1306" s="1" t="s">
        <v>104</v>
      </c>
      <c r="AK1306" s="1">
        <v>4</v>
      </c>
      <c r="AL1306" s="1" t="s">
        <v>104</v>
      </c>
      <c r="AM1306" s="1" t="s">
        <v>104</v>
      </c>
      <c r="AO1306" s="1">
        <v>4</v>
      </c>
      <c r="AQ1306" s="1" t="s">
        <v>7638</v>
      </c>
      <c r="AR1306" s="1">
        <v>0</v>
      </c>
      <c r="AS1306" s="1">
        <v>0</v>
      </c>
      <c r="AT1306" s="1">
        <v>0</v>
      </c>
      <c r="AU1306" s="1">
        <v>0</v>
      </c>
      <c r="AV1306" s="1">
        <v>0</v>
      </c>
      <c r="AW1306" s="1">
        <v>0</v>
      </c>
      <c r="AX1306" s="1">
        <v>0</v>
      </c>
      <c r="AY1306" s="1">
        <v>0</v>
      </c>
      <c r="AZ1306" s="1">
        <v>0</v>
      </c>
      <c r="BA1306" s="1">
        <v>0</v>
      </c>
      <c r="BB1306" s="1">
        <v>0</v>
      </c>
      <c r="BC1306" s="1">
        <v>0</v>
      </c>
      <c r="BD1306" s="1">
        <v>0</v>
      </c>
      <c r="BE1306" s="1">
        <v>0</v>
      </c>
      <c r="BF1306" s="1">
        <v>0</v>
      </c>
      <c r="BG1306" s="1">
        <v>0</v>
      </c>
      <c r="BH1306" s="1">
        <v>1</v>
      </c>
      <c r="BI1306" s="1">
        <v>0</v>
      </c>
      <c r="BJ1306" s="1">
        <v>0</v>
      </c>
      <c r="BK1306" s="1">
        <v>0</v>
      </c>
      <c r="BL1306" s="1">
        <v>0</v>
      </c>
      <c r="BM1306" s="1">
        <v>0</v>
      </c>
      <c r="BN1306" s="1">
        <v>0</v>
      </c>
      <c r="BO1306" s="1">
        <v>1</v>
      </c>
      <c r="BP1306" s="1">
        <v>0</v>
      </c>
      <c r="BQ1306" s="2" t="str">
        <f>HYPERLINK("http://www.d20pfsrd.com/magic/all-spells/l/litany-of-thunder","Litany of Thunder")</f>
        <v>Litany of Thunder</v>
      </c>
      <c r="BR1306" s="1">
        <v>1360</v>
      </c>
      <c r="BS1306" s="1" t="s">
        <v>104</v>
      </c>
      <c r="BX1306" s="1">
        <v>0</v>
      </c>
      <c r="BY1306" s="1" t="s">
        <v>104</v>
      </c>
      <c r="BZ1306" s="1" t="s">
        <v>104</v>
      </c>
      <c r="CA1306" s="1" t="s">
        <v>104</v>
      </c>
      <c r="CB1306" s="1" t="s">
        <v>104</v>
      </c>
      <c r="CC1306" s="1" t="s">
        <v>104</v>
      </c>
      <c r="CD1306" s="1" t="s">
        <v>104</v>
      </c>
      <c r="CE1306" s="1" t="s">
        <v>104</v>
      </c>
      <c r="CF1306" s="1" t="s">
        <v>104</v>
      </c>
      <c r="CG1306" s="1" t="s">
        <v>104</v>
      </c>
      <c r="CH1306" s="1" t="s">
        <v>104</v>
      </c>
      <c r="CJ1306" s="1">
        <v>0</v>
      </c>
      <c r="CK1306" s="1">
        <v>0</v>
      </c>
      <c r="CL1306" s="1">
        <v>0</v>
      </c>
      <c r="CM1306" s="1" t="s">
        <v>104</v>
      </c>
    </row>
    <row r="1307" spans="1:91" ht="14.25" customHeight="1" x14ac:dyDescent="0.3">
      <c r="A1307" s="1" t="s">
        <v>7639</v>
      </c>
      <c r="B1307" s="1" t="s">
        <v>137</v>
      </c>
      <c r="D1307" s="1" t="s">
        <v>2506</v>
      </c>
      <c r="E1307" s="1" t="s">
        <v>5334</v>
      </c>
      <c r="F1307" s="1" t="s">
        <v>4934</v>
      </c>
      <c r="G1307" s="1" t="s">
        <v>127</v>
      </c>
      <c r="H1307" s="1">
        <v>0</v>
      </c>
      <c r="I1307" s="1" t="s">
        <v>117</v>
      </c>
      <c r="L1307" s="1" t="s">
        <v>1065</v>
      </c>
      <c r="M1307" s="1" t="s">
        <v>255</v>
      </c>
      <c r="N1307" s="1">
        <v>0</v>
      </c>
      <c r="O1307" s="1">
        <v>0</v>
      </c>
      <c r="P1307" s="1" t="s">
        <v>101</v>
      </c>
      <c r="Q1307" s="1" t="s">
        <v>184</v>
      </c>
      <c r="R1307" s="1" t="s">
        <v>7640</v>
      </c>
      <c r="S1307" s="1" t="s">
        <v>7302</v>
      </c>
      <c r="T1307" s="1">
        <v>1</v>
      </c>
      <c r="U1307" s="1">
        <v>1</v>
      </c>
      <c r="V1307" s="1">
        <v>0</v>
      </c>
      <c r="W1307" s="1">
        <v>0</v>
      </c>
      <c r="X1307" s="1">
        <v>1</v>
      </c>
      <c r="Y1307" s="1" t="s">
        <v>104</v>
      </c>
      <c r="Z1307" s="1" t="s">
        <v>104</v>
      </c>
      <c r="AA1307" s="1" t="s">
        <v>104</v>
      </c>
      <c r="AB1307" s="1" t="s">
        <v>104</v>
      </c>
      <c r="AC1307" s="1" t="s">
        <v>104</v>
      </c>
      <c r="AD1307" s="1" t="s">
        <v>104</v>
      </c>
      <c r="AE1307" s="1">
        <v>4</v>
      </c>
      <c r="AF1307" s="1" t="s">
        <v>104</v>
      </c>
      <c r="AG1307" s="1" t="s">
        <v>104</v>
      </c>
      <c r="AH1307" s="1" t="s">
        <v>104</v>
      </c>
      <c r="AI1307" s="1">
        <v>5</v>
      </c>
      <c r="AJ1307" s="1" t="s">
        <v>104</v>
      </c>
      <c r="AK1307" s="1">
        <v>4</v>
      </c>
      <c r="AL1307" s="1" t="s">
        <v>104</v>
      </c>
      <c r="AM1307" s="1" t="s">
        <v>104</v>
      </c>
      <c r="AO1307" s="1">
        <v>4</v>
      </c>
      <c r="AQ1307" s="1" t="s">
        <v>7641</v>
      </c>
      <c r="AR1307" s="1">
        <v>0</v>
      </c>
      <c r="AS1307" s="1">
        <v>0</v>
      </c>
      <c r="AT1307" s="1">
        <v>0</v>
      </c>
      <c r="AU1307" s="1">
        <v>0</v>
      </c>
      <c r="AV1307" s="1">
        <v>0</v>
      </c>
      <c r="AW1307" s="1">
        <v>0</v>
      </c>
      <c r="AX1307" s="1">
        <v>0</v>
      </c>
      <c r="AY1307" s="1">
        <v>0</v>
      </c>
      <c r="AZ1307" s="1">
        <v>0</v>
      </c>
      <c r="BA1307" s="1">
        <v>0</v>
      </c>
      <c r="BB1307" s="1">
        <v>0</v>
      </c>
      <c r="BC1307" s="1">
        <v>0</v>
      </c>
      <c r="BD1307" s="1">
        <v>0</v>
      </c>
      <c r="BE1307" s="1">
        <v>0</v>
      </c>
      <c r="BF1307" s="1">
        <v>0</v>
      </c>
      <c r="BG1307" s="1">
        <v>0</v>
      </c>
      <c r="BH1307" s="1">
        <v>1</v>
      </c>
      <c r="BI1307" s="1">
        <v>0</v>
      </c>
      <c r="BJ1307" s="1">
        <v>0</v>
      </c>
      <c r="BK1307" s="1">
        <v>0</v>
      </c>
      <c r="BL1307" s="1">
        <v>0</v>
      </c>
      <c r="BM1307" s="1">
        <v>0</v>
      </c>
      <c r="BN1307" s="1">
        <v>0</v>
      </c>
      <c r="BO1307" s="1">
        <v>0</v>
      </c>
      <c r="BP1307" s="1">
        <v>0</v>
      </c>
      <c r="BQ1307" s="2" t="str">
        <f>HYPERLINK("http://www.d20pfsrd.com/magic/all-spells/l/litany-of-vengeance","Litany of Vengeance")</f>
        <v>Litany of Vengeance</v>
      </c>
      <c r="BR1307" s="1">
        <v>1361</v>
      </c>
      <c r="BS1307" s="1" t="s">
        <v>104</v>
      </c>
      <c r="BX1307" s="1">
        <v>0</v>
      </c>
      <c r="BY1307" s="1" t="s">
        <v>104</v>
      </c>
      <c r="BZ1307" s="1" t="s">
        <v>104</v>
      </c>
      <c r="CA1307" s="1" t="s">
        <v>104</v>
      </c>
      <c r="CB1307" s="1" t="s">
        <v>104</v>
      </c>
      <c r="CC1307" s="1" t="s">
        <v>104</v>
      </c>
      <c r="CD1307" s="1" t="s">
        <v>104</v>
      </c>
      <c r="CE1307" s="1" t="s">
        <v>104</v>
      </c>
      <c r="CF1307" s="1" t="s">
        <v>104</v>
      </c>
      <c r="CG1307" s="1" t="s">
        <v>104</v>
      </c>
      <c r="CH1307" s="1" t="s">
        <v>104</v>
      </c>
      <c r="CJ1307" s="1">
        <v>0</v>
      </c>
      <c r="CK1307" s="1">
        <v>0</v>
      </c>
      <c r="CL1307" s="1">
        <v>0</v>
      </c>
      <c r="CM1307" s="1" t="s">
        <v>104</v>
      </c>
    </row>
    <row r="1308" spans="1:91" ht="14.25" customHeight="1" x14ac:dyDescent="0.3">
      <c r="A1308" s="1" t="s">
        <v>7642</v>
      </c>
      <c r="B1308" s="1" t="s">
        <v>137</v>
      </c>
      <c r="E1308" s="1" t="s">
        <v>7607</v>
      </c>
      <c r="F1308" s="1" t="s">
        <v>4934</v>
      </c>
      <c r="G1308" s="1" t="s">
        <v>127</v>
      </c>
      <c r="H1308" s="1">
        <v>0</v>
      </c>
      <c r="I1308" s="1" t="s">
        <v>157</v>
      </c>
      <c r="L1308" s="1" t="s">
        <v>158</v>
      </c>
      <c r="M1308" s="1" t="s">
        <v>255</v>
      </c>
      <c r="N1308" s="1">
        <v>0</v>
      </c>
      <c r="O1308" s="1">
        <v>0</v>
      </c>
      <c r="R1308" s="1" t="s">
        <v>7643</v>
      </c>
      <c r="S1308" s="1" t="s">
        <v>7302</v>
      </c>
      <c r="T1308" s="1">
        <v>1</v>
      </c>
      <c r="U1308" s="1">
        <v>1</v>
      </c>
      <c r="V1308" s="1">
        <v>0</v>
      </c>
      <c r="W1308" s="1">
        <v>0</v>
      </c>
      <c r="X1308" s="1">
        <v>1</v>
      </c>
      <c r="Y1308" s="1" t="s">
        <v>104</v>
      </c>
      <c r="Z1308" s="1" t="s">
        <v>104</v>
      </c>
      <c r="AA1308" s="1" t="s">
        <v>104</v>
      </c>
      <c r="AB1308" s="1" t="s">
        <v>104</v>
      </c>
      <c r="AC1308" s="1" t="s">
        <v>104</v>
      </c>
      <c r="AD1308" s="1" t="s">
        <v>104</v>
      </c>
      <c r="AE1308" s="1">
        <v>2</v>
      </c>
      <c r="AF1308" s="1" t="s">
        <v>104</v>
      </c>
      <c r="AG1308" s="1" t="s">
        <v>104</v>
      </c>
      <c r="AH1308" s="1" t="s">
        <v>104</v>
      </c>
      <c r="AI1308" s="1">
        <v>3</v>
      </c>
      <c r="AJ1308" s="1" t="s">
        <v>104</v>
      </c>
      <c r="AK1308" s="1">
        <v>2</v>
      </c>
      <c r="AL1308" s="1" t="s">
        <v>104</v>
      </c>
      <c r="AM1308" s="1" t="s">
        <v>104</v>
      </c>
      <c r="AO1308" s="1">
        <v>2</v>
      </c>
      <c r="AQ1308" s="1" t="s">
        <v>7644</v>
      </c>
      <c r="AR1308" s="1">
        <v>0</v>
      </c>
      <c r="AS1308" s="1">
        <v>0</v>
      </c>
      <c r="AT1308" s="1">
        <v>0</v>
      </c>
      <c r="AU1308" s="1">
        <v>0</v>
      </c>
      <c r="AV1308" s="1">
        <v>0</v>
      </c>
      <c r="AW1308" s="1">
        <v>0</v>
      </c>
      <c r="AX1308" s="1">
        <v>0</v>
      </c>
      <c r="AY1308" s="1">
        <v>0</v>
      </c>
      <c r="AZ1308" s="1">
        <v>0</v>
      </c>
      <c r="BA1308" s="1">
        <v>0</v>
      </c>
      <c r="BB1308" s="1">
        <v>0</v>
      </c>
      <c r="BC1308" s="1">
        <v>0</v>
      </c>
      <c r="BD1308" s="1">
        <v>0</v>
      </c>
      <c r="BE1308" s="1">
        <v>0</v>
      </c>
      <c r="BF1308" s="1">
        <v>0</v>
      </c>
      <c r="BG1308" s="1">
        <v>0</v>
      </c>
      <c r="BH1308" s="1">
        <v>0</v>
      </c>
      <c r="BI1308" s="1">
        <v>0</v>
      </c>
      <c r="BJ1308" s="1">
        <v>0</v>
      </c>
      <c r="BK1308" s="1">
        <v>0</v>
      </c>
      <c r="BL1308" s="1">
        <v>0</v>
      </c>
      <c r="BM1308" s="1">
        <v>0</v>
      </c>
      <c r="BN1308" s="1">
        <v>0</v>
      </c>
      <c r="BO1308" s="1">
        <v>0</v>
      </c>
      <c r="BP1308" s="1">
        <v>0</v>
      </c>
      <c r="BQ1308" s="2" t="str">
        <f>HYPERLINK("http://www.d20pfsrd.com/magic/all-spells/l/litany-of-warding","Litany of Warding")</f>
        <v>Litany of Warding</v>
      </c>
      <c r="BR1308" s="1">
        <v>1362</v>
      </c>
      <c r="BS1308" s="1" t="s">
        <v>104</v>
      </c>
      <c r="BX1308" s="1">
        <v>0</v>
      </c>
      <c r="BY1308" s="1" t="s">
        <v>104</v>
      </c>
      <c r="BZ1308" s="1" t="s">
        <v>104</v>
      </c>
      <c r="CA1308" s="1" t="s">
        <v>104</v>
      </c>
      <c r="CB1308" s="1" t="s">
        <v>104</v>
      </c>
      <c r="CC1308" s="1" t="s">
        <v>104</v>
      </c>
      <c r="CD1308" s="1" t="s">
        <v>104</v>
      </c>
      <c r="CE1308" s="1" t="s">
        <v>104</v>
      </c>
      <c r="CF1308" s="1" t="s">
        <v>104</v>
      </c>
      <c r="CG1308" s="1" t="s">
        <v>104</v>
      </c>
      <c r="CH1308" s="1" t="s">
        <v>104</v>
      </c>
      <c r="CJ1308" s="1">
        <v>0</v>
      </c>
      <c r="CK1308" s="1">
        <v>0</v>
      </c>
      <c r="CL1308" s="1">
        <v>0</v>
      </c>
      <c r="CM1308" s="1" t="s">
        <v>104</v>
      </c>
    </row>
    <row r="1309" spans="1:91" ht="14.25" customHeight="1" x14ac:dyDescent="0.3">
      <c r="A1309" s="1" t="s">
        <v>7645</v>
      </c>
      <c r="B1309" s="1" t="s">
        <v>216</v>
      </c>
      <c r="D1309" s="1" t="s">
        <v>2506</v>
      </c>
      <c r="E1309" s="1" t="s">
        <v>7646</v>
      </c>
      <c r="F1309" s="1" t="s">
        <v>4934</v>
      </c>
      <c r="G1309" s="1" t="s">
        <v>127</v>
      </c>
      <c r="H1309" s="1">
        <v>0</v>
      </c>
      <c r="I1309" s="1" t="s">
        <v>117</v>
      </c>
      <c r="L1309" s="1" t="s">
        <v>1065</v>
      </c>
      <c r="M1309" s="1" t="s">
        <v>255</v>
      </c>
      <c r="N1309" s="1">
        <v>0</v>
      </c>
      <c r="O1309" s="1">
        <v>0</v>
      </c>
      <c r="P1309" s="1" t="s">
        <v>101</v>
      </c>
      <c r="Q1309" s="1" t="s">
        <v>184</v>
      </c>
      <c r="R1309" s="1" t="s">
        <v>7647</v>
      </c>
      <c r="S1309" s="1" t="s">
        <v>7302</v>
      </c>
      <c r="T1309" s="1">
        <v>1</v>
      </c>
      <c r="U1309" s="1">
        <v>1</v>
      </c>
      <c r="V1309" s="1">
        <v>0</v>
      </c>
      <c r="W1309" s="1">
        <v>0</v>
      </c>
      <c r="X1309" s="1">
        <v>1</v>
      </c>
      <c r="Y1309" s="1" t="s">
        <v>104</v>
      </c>
      <c r="Z1309" s="1" t="s">
        <v>104</v>
      </c>
      <c r="AA1309" s="1" t="s">
        <v>104</v>
      </c>
      <c r="AB1309" s="1" t="s">
        <v>104</v>
      </c>
      <c r="AC1309" s="1" t="s">
        <v>104</v>
      </c>
      <c r="AD1309" s="1" t="s">
        <v>104</v>
      </c>
      <c r="AE1309" s="1" t="s">
        <v>104</v>
      </c>
      <c r="AF1309" s="1" t="s">
        <v>104</v>
      </c>
      <c r="AG1309" s="1" t="s">
        <v>104</v>
      </c>
      <c r="AH1309" s="1" t="s">
        <v>104</v>
      </c>
      <c r="AI1309" s="1">
        <v>1</v>
      </c>
      <c r="AJ1309" s="1" t="s">
        <v>104</v>
      </c>
      <c r="AK1309" s="1">
        <v>1</v>
      </c>
      <c r="AL1309" s="1" t="s">
        <v>104</v>
      </c>
      <c r="AM1309" s="1" t="s">
        <v>104</v>
      </c>
      <c r="AO1309" s="1">
        <v>1</v>
      </c>
      <c r="AQ1309" s="1" t="s">
        <v>7648</v>
      </c>
      <c r="AR1309" s="1">
        <v>0</v>
      </c>
      <c r="AS1309" s="1">
        <v>0</v>
      </c>
      <c r="AT1309" s="1">
        <v>0</v>
      </c>
      <c r="AU1309" s="1">
        <v>0</v>
      </c>
      <c r="AV1309" s="1">
        <v>0</v>
      </c>
      <c r="AW1309" s="1">
        <v>0</v>
      </c>
      <c r="AX1309" s="1">
        <v>0</v>
      </c>
      <c r="AY1309" s="1">
        <v>0</v>
      </c>
      <c r="AZ1309" s="1">
        <v>0</v>
      </c>
      <c r="BA1309" s="1">
        <v>0</v>
      </c>
      <c r="BB1309" s="1">
        <v>0</v>
      </c>
      <c r="BC1309" s="1">
        <v>0</v>
      </c>
      <c r="BD1309" s="1">
        <v>0</v>
      </c>
      <c r="BE1309" s="1">
        <v>0</v>
      </c>
      <c r="BF1309" s="1">
        <v>0</v>
      </c>
      <c r="BG1309" s="1">
        <v>0</v>
      </c>
      <c r="BH1309" s="1">
        <v>1</v>
      </c>
      <c r="BI1309" s="1">
        <v>0</v>
      </c>
      <c r="BJ1309" s="1">
        <v>0</v>
      </c>
      <c r="BK1309" s="1">
        <v>0</v>
      </c>
      <c r="BL1309" s="1">
        <v>0</v>
      </c>
      <c r="BM1309" s="1">
        <v>0</v>
      </c>
      <c r="BN1309" s="1">
        <v>0</v>
      </c>
      <c r="BO1309" s="1">
        <v>0</v>
      </c>
      <c r="BP1309" s="1">
        <v>0</v>
      </c>
      <c r="BQ1309" s="2" t="str">
        <f>HYPERLINK("http://www.d20pfsrd.com/magic/all-spells/l/litany-of-weakness","Litany of Weakness")</f>
        <v>Litany of Weakness</v>
      </c>
      <c r="BR1309" s="1">
        <v>1363</v>
      </c>
      <c r="BS1309" s="1" t="s">
        <v>104</v>
      </c>
      <c r="BX1309" s="1">
        <v>0</v>
      </c>
      <c r="BY1309" s="1" t="s">
        <v>104</v>
      </c>
      <c r="BZ1309" s="1" t="s">
        <v>104</v>
      </c>
      <c r="CA1309" s="1" t="s">
        <v>104</v>
      </c>
      <c r="CB1309" s="1" t="s">
        <v>104</v>
      </c>
      <c r="CC1309" s="1" t="s">
        <v>104</v>
      </c>
      <c r="CD1309" s="1" t="s">
        <v>104</v>
      </c>
      <c r="CE1309" s="1" t="s">
        <v>104</v>
      </c>
      <c r="CF1309" s="1" t="s">
        <v>104</v>
      </c>
      <c r="CG1309" s="1" t="s">
        <v>104</v>
      </c>
      <c r="CH1309" s="1" t="s">
        <v>104</v>
      </c>
      <c r="CJ1309" s="1">
        <v>0</v>
      </c>
      <c r="CK1309" s="1">
        <v>0</v>
      </c>
      <c r="CL1309" s="1">
        <v>0</v>
      </c>
      <c r="CM1309" s="1" t="s">
        <v>104</v>
      </c>
    </row>
    <row r="1310" spans="1:91" ht="14.25" customHeight="1" x14ac:dyDescent="0.3">
      <c r="A1310" s="1" t="s">
        <v>7649</v>
      </c>
      <c r="B1310" s="1" t="s">
        <v>172</v>
      </c>
      <c r="E1310" s="1" t="s">
        <v>7650</v>
      </c>
      <c r="F1310" s="1" t="s">
        <v>95</v>
      </c>
      <c r="G1310" s="1" t="s">
        <v>7651</v>
      </c>
      <c r="H1310" s="1">
        <v>0</v>
      </c>
      <c r="I1310" s="1" t="s">
        <v>157</v>
      </c>
      <c r="L1310" s="1" t="s">
        <v>158</v>
      </c>
      <c r="M1310" s="1" t="s">
        <v>2330</v>
      </c>
      <c r="N1310" s="1">
        <v>0</v>
      </c>
      <c r="O1310" s="1">
        <v>0</v>
      </c>
      <c r="R1310" s="1" t="s">
        <v>7652</v>
      </c>
      <c r="S1310" s="1" t="s">
        <v>7302</v>
      </c>
      <c r="T1310" s="1">
        <v>1</v>
      </c>
      <c r="U1310" s="1">
        <v>1</v>
      </c>
      <c r="V1310" s="1">
        <v>1</v>
      </c>
      <c r="W1310" s="1">
        <v>0</v>
      </c>
      <c r="X1310" s="1">
        <v>1</v>
      </c>
      <c r="Y1310" s="1">
        <v>3</v>
      </c>
      <c r="Z1310" s="1">
        <v>3</v>
      </c>
      <c r="AA1310" s="1" t="s">
        <v>104</v>
      </c>
      <c r="AB1310" s="1" t="s">
        <v>104</v>
      </c>
      <c r="AC1310" s="1">
        <v>2</v>
      </c>
      <c r="AD1310" s="1" t="s">
        <v>104</v>
      </c>
      <c r="AE1310" s="1" t="s">
        <v>104</v>
      </c>
      <c r="AF1310" s="1" t="s">
        <v>104</v>
      </c>
      <c r="AG1310" s="1" t="s">
        <v>104</v>
      </c>
      <c r="AH1310" s="1">
        <v>3</v>
      </c>
      <c r="AI1310" s="1">
        <v>3</v>
      </c>
      <c r="AJ1310" s="1" t="s">
        <v>104</v>
      </c>
      <c r="AK1310" s="1" t="s">
        <v>104</v>
      </c>
      <c r="AL1310" s="1">
        <v>3</v>
      </c>
      <c r="AM1310" s="1" t="s">
        <v>104</v>
      </c>
      <c r="AO1310" s="1">
        <v>3</v>
      </c>
      <c r="AQ1310" s="1" t="s">
        <v>7653</v>
      </c>
      <c r="AR1310" s="1">
        <v>0</v>
      </c>
      <c r="AS1310" s="1">
        <v>0</v>
      </c>
      <c r="AT1310" s="1">
        <v>0</v>
      </c>
      <c r="AU1310" s="1">
        <v>0</v>
      </c>
      <c r="AV1310" s="1">
        <v>0</v>
      </c>
      <c r="AW1310" s="1">
        <v>0</v>
      </c>
      <c r="AX1310" s="1">
        <v>0</v>
      </c>
      <c r="AY1310" s="1">
        <v>0</v>
      </c>
      <c r="AZ1310" s="1">
        <v>0</v>
      </c>
      <c r="BA1310" s="1">
        <v>0</v>
      </c>
      <c r="BB1310" s="1">
        <v>0</v>
      </c>
      <c r="BC1310" s="1">
        <v>0</v>
      </c>
      <c r="BD1310" s="1">
        <v>0</v>
      </c>
      <c r="BE1310" s="1">
        <v>0</v>
      </c>
      <c r="BF1310" s="1">
        <v>0</v>
      </c>
      <c r="BG1310" s="1">
        <v>0</v>
      </c>
      <c r="BH1310" s="1">
        <v>0</v>
      </c>
      <c r="BI1310" s="1">
        <v>0</v>
      </c>
      <c r="BJ1310" s="1">
        <v>0</v>
      </c>
      <c r="BK1310" s="1">
        <v>0</v>
      </c>
      <c r="BL1310" s="1">
        <v>0</v>
      </c>
      <c r="BM1310" s="1">
        <v>0</v>
      </c>
      <c r="BN1310" s="1">
        <v>0</v>
      </c>
      <c r="BO1310" s="1">
        <v>0</v>
      </c>
      <c r="BP1310" s="1">
        <v>0</v>
      </c>
      <c r="BQ1310" s="2" t="str">
        <f>HYPERLINK("http://www.d20pfsrd.com/magic/all-spells/l/locate-weakness","Locate Weakness")</f>
        <v>Locate Weakness</v>
      </c>
      <c r="BR1310" s="1">
        <v>1364</v>
      </c>
      <c r="BS1310" s="1" t="s">
        <v>104</v>
      </c>
      <c r="BX1310" s="1">
        <v>0</v>
      </c>
      <c r="BY1310" s="1">
        <v>3</v>
      </c>
      <c r="BZ1310" s="1" t="s">
        <v>104</v>
      </c>
      <c r="CA1310" s="1">
        <v>3</v>
      </c>
      <c r="CB1310" s="1" t="s">
        <v>104</v>
      </c>
      <c r="CC1310" s="1" t="s">
        <v>104</v>
      </c>
      <c r="CD1310" s="1">
        <v>3</v>
      </c>
      <c r="CE1310" s="1" t="s">
        <v>104</v>
      </c>
      <c r="CF1310" s="1" t="s">
        <v>104</v>
      </c>
      <c r="CG1310" s="1" t="s">
        <v>104</v>
      </c>
      <c r="CH1310" s="1">
        <v>2</v>
      </c>
      <c r="CJ1310" s="1">
        <v>0</v>
      </c>
      <c r="CK1310" s="1">
        <v>0</v>
      </c>
      <c r="CL1310" s="1">
        <v>0</v>
      </c>
      <c r="CM1310" s="1" t="s">
        <v>104</v>
      </c>
    </row>
    <row r="1311" spans="1:91" ht="14.25" customHeight="1" x14ac:dyDescent="0.3">
      <c r="A1311" s="1" t="s">
        <v>7654</v>
      </c>
      <c r="B1311" s="1" t="s">
        <v>123</v>
      </c>
      <c r="C1311" s="1" t="s">
        <v>124</v>
      </c>
      <c r="D1311" s="1" t="s">
        <v>125</v>
      </c>
      <c r="E1311" s="1" t="s">
        <v>7655</v>
      </c>
      <c r="F1311" s="1" t="s">
        <v>95</v>
      </c>
      <c r="G1311" s="1" t="s">
        <v>116</v>
      </c>
      <c r="H1311" s="1">
        <v>0</v>
      </c>
      <c r="I1311" s="1" t="s">
        <v>117</v>
      </c>
      <c r="L1311" s="1" t="s">
        <v>1065</v>
      </c>
      <c r="M1311" s="1" t="s">
        <v>111</v>
      </c>
      <c r="N1311" s="1">
        <v>0</v>
      </c>
      <c r="O1311" s="1">
        <v>0</v>
      </c>
      <c r="P1311" s="1" t="s">
        <v>211</v>
      </c>
      <c r="Q1311" s="1" t="s">
        <v>184</v>
      </c>
      <c r="R1311" s="1" t="s">
        <v>7656</v>
      </c>
      <c r="S1311" s="1" t="s">
        <v>7302</v>
      </c>
      <c r="T1311" s="1">
        <v>1</v>
      </c>
      <c r="U1311" s="1">
        <v>1</v>
      </c>
      <c r="V1311" s="1">
        <v>0</v>
      </c>
      <c r="W1311" s="1">
        <v>0</v>
      </c>
      <c r="X1311" s="1">
        <v>0</v>
      </c>
      <c r="Y1311" s="1">
        <v>1</v>
      </c>
      <c r="Z1311" s="1">
        <v>1</v>
      </c>
      <c r="AA1311" s="1" t="s">
        <v>104</v>
      </c>
      <c r="AB1311" s="1" t="s">
        <v>104</v>
      </c>
      <c r="AC1311" s="1" t="s">
        <v>104</v>
      </c>
      <c r="AD1311" s="1">
        <v>1</v>
      </c>
      <c r="AE1311" s="1" t="s">
        <v>104</v>
      </c>
      <c r="AF1311" s="1" t="s">
        <v>104</v>
      </c>
      <c r="AG1311" s="1" t="s">
        <v>104</v>
      </c>
      <c r="AH1311" s="1">
        <v>1</v>
      </c>
      <c r="AI1311" s="1">
        <v>1</v>
      </c>
      <c r="AJ1311" s="1" t="s">
        <v>104</v>
      </c>
      <c r="AK1311" s="1" t="s">
        <v>104</v>
      </c>
      <c r="AL1311" s="1">
        <v>1</v>
      </c>
      <c r="AM1311" s="1" t="s">
        <v>104</v>
      </c>
      <c r="AO1311" s="1">
        <v>1</v>
      </c>
      <c r="AQ1311" s="1" t="s">
        <v>7657</v>
      </c>
      <c r="AR1311" s="1">
        <v>0</v>
      </c>
      <c r="AS1311" s="1">
        <v>0</v>
      </c>
      <c r="AT1311" s="1">
        <v>0</v>
      </c>
      <c r="AU1311" s="1">
        <v>0</v>
      </c>
      <c r="AV1311" s="1">
        <v>0</v>
      </c>
      <c r="AW1311" s="1">
        <v>0</v>
      </c>
      <c r="AX1311" s="1">
        <v>0</v>
      </c>
      <c r="AY1311" s="1">
        <v>0</v>
      </c>
      <c r="AZ1311" s="1">
        <v>0</v>
      </c>
      <c r="BA1311" s="1">
        <v>0</v>
      </c>
      <c r="BB1311" s="1">
        <v>0</v>
      </c>
      <c r="BC1311" s="1">
        <v>0</v>
      </c>
      <c r="BD1311" s="1">
        <v>0</v>
      </c>
      <c r="BE1311" s="1">
        <v>0</v>
      </c>
      <c r="BF1311" s="1">
        <v>0</v>
      </c>
      <c r="BG1311" s="1">
        <v>0</v>
      </c>
      <c r="BH1311" s="1">
        <v>0</v>
      </c>
      <c r="BI1311" s="1">
        <v>0</v>
      </c>
      <c r="BJ1311" s="1">
        <v>0</v>
      </c>
      <c r="BK1311" s="1">
        <v>1</v>
      </c>
      <c r="BL1311" s="1">
        <v>0</v>
      </c>
      <c r="BM1311" s="1">
        <v>0</v>
      </c>
      <c r="BN1311" s="1">
        <v>0</v>
      </c>
      <c r="BO1311" s="1">
        <v>0</v>
      </c>
      <c r="BP1311" s="1">
        <v>0</v>
      </c>
      <c r="BQ1311" s="2" t="str">
        <f>HYPERLINK("http://www.d20pfsrd.com/magic/all-spells/l/lock-gaze","Lock Gaze")</f>
        <v>Lock Gaze</v>
      </c>
      <c r="BR1311" s="1">
        <v>1365</v>
      </c>
      <c r="BS1311" s="1" t="s">
        <v>104</v>
      </c>
      <c r="BX1311" s="1">
        <v>0</v>
      </c>
      <c r="BY1311" s="1" t="s">
        <v>104</v>
      </c>
      <c r="BZ1311" s="1" t="s">
        <v>104</v>
      </c>
      <c r="CA1311" s="1">
        <v>1</v>
      </c>
      <c r="CB1311" s="1" t="s">
        <v>104</v>
      </c>
      <c r="CC1311" s="1">
        <v>1</v>
      </c>
      <c r="CD1311" s="1" t="s">
        <v>104</v>
      </c>
      <c r="CE1311" s="1" t="s">
        <v>104</v>
      </c>
      <c r="CF1311" s="1" t="s">
        <v>104</v>
      </c>
      <c r="CG1311" s="1" t="s">
        <v>104</v>
      </c>
      <c r="CH1311" s="1" t="s">
        <v>104</v>
      </c>
      <c r="CJ1311" s="1">
        <v>0</v>
      </c>
      <c r="CK1311" s="1">
        <v>0</v>
      </c>
      <c r="CL1311" s="1">
        <v>0</v>
      </c>
      <c r="CM1311" s="1" t="s">
        <v>104</v>
      </c>
    </row>
    <row r="1312" spans="1:91" ht="14.25" customHeight="1" x14ac:dyDescent="0.3">
      <c r="A1312" s="1" t="s">
        <v>7658</v>
      </c>
      <c r="B1312" s="1" t="s">
        <v>137</v>
      </c>
      <c r="E1312" s="1" t="s">
        <v>7659</v>
      </c>
      <c r="F1312" s="1" t="s">
        <v>95</v>
      </c>
      <c r="G1312" s="1" t="s">
        <v>7660</v>
      </c>
      <c r="H1312" s="1">
        <v>0</v>
      </c>
      <c r="I1312" s="1" t="s">
        <v>157</v>
      </c>
      <c r="L1312" s="1" t="s">
        <v>158</v>
      </c>
      <c r="M1312" s="1" t="s">
        <v>2330</v>
      </c>
      <c r="N1312" s="1">
        <v>0</v>
      </c>
      <c r="O1312" s="1">
        <v>0</v>
      </c>
      <c r="R1312" s="1" t="s">
        <v>7661</v>
      </c>
      <c r="S1312" s="1" t="s">
        <v>7302</v>
      </c>
      <c r="T1312" s="1">
        <v>1</v>
      </c>
      <c r="U1312" s="1">
        <v>1</v>
      </c>
      <c r="V1312" s="1">
        <v>1</v>
      </c>
      <c r="W1312" s="1">
        <v>0</v>
      </c>
      <c r="X1312" s="1">
        <v>1</v>
      </c>
      <c r="Y1312" s="1">
        <v>1</v>
      </c>
      <c r="Z1312" s="1">
        <v>1</v>
      </c>
      <c r="AA1312" s="1" t="s">
        <v>104</v>
      </c>
      <c r="AB1312" s="1" t="s">
        <v>104</v>
      </c>
      <c r="AC1312" s="1">
        <v>1</v>
      </c>
      <c r="AD1312" s="1" t="s">
        <v>104</v>
      </c>
      <c r="AE1312" s="1">
        <v>1</v>
      </c>
      <c r="AF1312" s="1">
        <v>1</v>
      </c>
      <c r="AG1312" s="1" t="s">
        <v>104</v>
      </c>
      <c r="AH1312" s="1" t="s">
        <v>104</v>
      </c>
      <c r="AI1312" s="1">
        <v>1</v>
      </c>
      <c r="AJ1312" s="1" t="s">
        <v>104</v>
      </c>
      <c r="AK1312" s="1">
        <v>1</v>
      </c>
      <c r="AL1312" s="1">
        <v>1</v>
      </c>
      <c r="AM1312" s="1" t="s">
        <v>104</v>
      </c>
      <c r="AO1312" s="1">
        <v>1</v>
      </c>
      <c r="AQ1312" s="1" t="s">
        <v>7662</v>
      </c>
      <c r="AR1312" s="1">
        <v>0</v>
      </c>
      <c r="AS1312" s="1">
        <v>0</v>
      </c>
      <c r="AT1312" s="1">
        <v>0</v>
      </c>
      <c r="AU1312" s="1">
        <v>0</v>
      </c>
      <c r="AV1312" s="1">
        <v>0</v>
      </c>
      <c r="AW1312" s="1">
        <v>0</v>
      </c>
      <c r="AX1312" s="1">
        <v>0</v>
      </c>
      <c r="AY1312" s="1">
        <v>0</v>
      </c>
      <c r="AZ1312" s="1">
        <v>0</v>
      </c>
      <c r="BA1312" s="1">
        <v>0</v>
      </c>
      <c r="BB1312" s="1">
        <v>0</v>
      </c>
      <c r="BC1312" s="1">
        <v>0</v>
      </c>
      <c r="BD1312" s="1">
        <v>0</v>
      </c>
      <c r="BE1312" s="1">
        <v>0</v>
      </c>
      <c r="BF1312" s="1">
        <v>0</v>
      </c>
      <c r="BG1312" s="1">
        <v>0</v>
      </c>
      <c r="BH1312" s="1">
        <v>0</v>
      </c>
      <c r="BI1312" s="1">
        <v>0</v>
      </c>
      <c r="BJ1312" s="1">
        <v>0</v>
      </c>
      <c r="BK1312" s="1">
        <v>0</v>
      </c>
      <c r="BL1312" s="1">
        <v>0</v>
      </c>
      <c r="BM1312" s="1">
        <v>0</v>
      </c>
      <c r="BN1312" s="1">
        <v>0</v>
      </c>
      <c r="BO1312" s="1">
        <v>0</v>
      </c>
      <c r="BP1312" s="1">
        <v>0</v>
      </c>
      <c r="BQ1312" s="2" t="str">
        <f>HYPERLINK("http://www.d20pfsrd.com/magic/all-spells/l/longshot","Longshot")</f>
        <v>Longshot</v>
      </c>
      <c r="BR1312" s="1">
        <v>1366</v>
      </c>
      <c r="BS1312" s="1" t="s">
        <v>104</v>
      </c>
      <c r="BX1312" s="1">
        <v>0</v>
      </c>
      <c r="BY1312" s="1" t="s">
        <v>104</v>
      </c>
      <c r="BZ1312" s="1" t="s">
        <v>104</v>
      </c>
      <c r="CA1312" s="1">
        <v>1</v>
      </c>
      <c r="CB1312" s="1" t="s">
        <v>104</v>
      </c>
      <c r="CC1312" s="1" t="s">
        <v>104</v>
      </c>
      <c r="CD1312" s="1">
        <v>1</v>
      </c>
      <c r="CE1312" s="1" t="s">
        <v>104</v>
      </c>
      <c r="CF1312" s="1" t="s">
        <v>104</v>
      </c>
      <c r="CG1312" s="1" t="s">
        <v>104</v>
      </c>
      <c r="CH1312" s="1">
        <v>1</v>
      </c>
      <c r="CJ1312" s="1">
        <v>0</v>
      </c>
      <c r="CK1312" s="1">
        <v>0</v>
      </c>
      <c r="CL1312" s="1">
        <v>0</v>
      </c>
      <c r="CM1312" s="1" t="s">
        <v>104</v>
      </c>
    </row>
    <row r="1313" spans="1:91" ht="14.25" customHeight="1" x14ac:dyDescent="0.3">
      <c r="A1313" s="1" t="s">
        <v>7663</v>
      </c>
      <c r="B1313" s="1" t="s">
        <v>137</v>
      </c>
      <c r="E1313" s="1" t="s">
        <v>7664</v>
      </c>
      <c r="F1313" s="1" t="s">
        <v>95</v>
      </c>
      <c r="G1313" s="1" t="s">
        <v>127</v>
      </c>
      <c r="H1313" s="1">
        <v>0</v>
      </c>
      <c r="I1313" s="1" t="s">
        <v>128</v>
      </c>
      <c r="L1313" s="1" t="s">
        <v>7665</v>
      </c>
      <c r="M1313" s="1" t="s">
        <v>7559</v>
      </c>
      <c r="N1313" s="1">
        <v>0</v>
      </c>
      <c r="O1313" s="1">
        <v>0</v>
      </c>
      <c r="P1313" s="1" t="s">
        <v>148</v>
      </c>
      <c r="Q1313" s="1" t="s">
        <v>149</v>
      </c>
      <c r="R1313" s="1" t="s">
        <v>7666</v>
      </c>
      <c r="S1313" s="1" t="s">
        <v>7302</v>
      </c>
      <c r="T1313" s="1">
        <v>1</v>
      </c>
      <c r="U1313" s="1">
        <v>1</v>
      </c>
      <c r="V1313" s="1">
        <v>0</v>
      </c>
      <c r="W1313" s="1">
        <v>0</v>
      </c>
      <c r="X1313" s="1">
        <v>1</v>
      </c>
      <c r="Y1313" s="1">
        <v>2</v>
      </c>
      <c r="Z1313" s="1">
        <v>2</v>
      </c>
      <c r="AA1313" s="1">
        <v>2</v>
      </c>
      <c r="AB1313" s="1" t="s">
        <v>104</v>
      </c>
      <c r="AC1313" s="1" t="s">
        <v>104</v>
      </c>
      <c r="AD1313" s="1" t="s">
        <v>104</v>
      </c>
      <c r="AE1313" s="1">
        <v>2</v>
      </c>
      <c r="AF1313" s="1" t="s">
        <v>104</v>
      </c>
      <c r="AG1313" s="1" t="s">
        <v>104</v>
      </c>
      <c r="AH1313" s="1" t="s">
        <v>104</v>
      </c>
      <c r="AI1313" s="1">
        <v>2</v>
      </c>
      <c r="AJ1313" s="1">
        <v>2</v>
      </c>
      <c r="AK1313" s="1">
        <v>2</v>
      </c>
      <c r="AL1313" s="1" t="s">
        <v>104</v>
      </c>
      <c r="AM1313" s="1" t="s">
        <v>104</v>
      </c>
      <c r="AO1313" s="1">
        <v>2</v>
      </c>
      <c r="AQ1313" s="1" t="s">
        <v>7667</v>
      </c>
      <c r="AR1313" s="1">
        <v>0</v>
      </c>
      <c r="AS1313" s="1">
        <v>0</v>
      </c>
      <c r="AT1313" s="1">
        <v>0</v>
      </c>
      <c r="AU1313" s="1">
        <v>0</v>
      </c>
      <c r="AV1313" s="1">
        <v>0</v>
      </c>
      <c r="AW1313" s="1">
        <v>0</v>
      </c>
      <c r="AX1313" s="1">
        <v>0</v>
      </c>
      <c r="AY1313" s="1">
        <v>0</v>
      </c>
      <c r="AZ1313" s="1">
        <v>0</v>
      </c>
      <c r="BA1313" s="1">
        <v>0</v>
      </c>
      <c r="BB1313" s="1">
        <v>0</v>
      </c>
      <c r="BC1313" s="1">
        <v>0</v>
      </c>
      <c r="BD1313" s="1">
        <v>0</v>
      </c>
      <c r="BE1313" s="1">
        <v>0</v>
      </c>
      <c r="BF1313" s="1">
        <v>0</v>
      </c>
      <c r="BG1313" s="1">
        <v>0</v>
      </c>
      <c r="BH1313" s="1">
        <v>0</v>
      </c>
      <c r="BI1313" s="1">
        <v>0</v>
      </c>
      <c r="BJ1313" s="1">
        <v>0</v>
      </c>
      <c r="BK1313" s="1">
        <v>0</v>
      </c>
      <c r="BL1313" s="1">
        <v>0</v>
      </c>
      <c r="BM1313" s="1">
        <v>0</v>
      </c>
      <c r="BN1313" s="1">
        <v>0</v>
      </c>
      <c r="BO1313" s="1">
        <v>0</v>
      </c>
      <c r="BP1313" s="1">
        <v>0</v>
      </c>
      <c r="BQ1313" s="2" t="str">
        <f>HYPERLINK("http://www.d20pfsrd.com/magic/all-spells/m/magic-siege-engine","Magic Siege Engine")</f>
        <v>Magic Siege Engine</v>
      </c>
      <c r="BR1313" s="1">
        <v>1367</v>
      </c>
      <c r="BS1313" s="1" t="s">
        <v>104</v>
      </c>
      <c r="BX1313" s="1">
        <v>0</v>
      </c>
      <c r="BY1313" s="1" t="s">
        <v>104</v>
      </c>
      <c r="BZ1313" s="1" t="s">
        <v>104</v>
      </c>
      <c r="CA1313" s="1" t="s">
        <v>104</v>
      </c>
      <c r="CB1313" s="1" t="s">
        <v>104</v>
      </c>
      <c r="CC1313" s="1" t="s">
        <v>104</v>
      </c>
      <c r="CD1313" s="1">
        <v>2</v>
      </c>
      <c r="CE1313" s="1" t="s">
        <v>104</v>
      </c>
      <c r="CF1313" s="1" t="s">
        <v>104</v>
      </c>
      <c r="CG1313" s="1" t="s">
        <v>104</v>
      </c>
      <c r="CH1313" s="1" t="s">
        <v>104</v>
      </c>
      <c r="CJ1313" s="1">
        <v>0</v>
      </c>
      <c r="CK1313" s="1">
        <v>0</v>
      </c>
      <c r="CL1313" s="1">
        <v>0</v>
      </c>
      <c r="CM1313" s="1" t="s">
        <v>104</v>
      </c>
    </row>
    <row r="1314" spans="1:91" ht="14.25" customHeight="1" x14ac:dyDescent="0.3">
      <c r="A1314" s="1" t="s">
        <v>7668</v>
      </c>
      <c r="B1314" s="1" t="s">
        <v>137</v>
      </c>
      <c r="E1314" s="1" t="s">
        <v>7669</v>
      </c>
      <c r="F1314" s="1" t="s">
        <v>95</v>
      </c>
      <c r="G1314" s="1" t="s">
        <v>7670</v>
      </c>
      <c r="H1314" s="1">
        <v>0</v>
      </c>
      <c r="I1314" s="1" t="s">
        <v>117</v>
      </c>
      <c r="L1314" s="1" t="s">
        <v>7665</v>
      </c>
      <c r="M1314" s="1" t="s">
        <v>201</v>
      </c>
      <c r="N1314" s="1">
        <v>0</v>
      </c>
      <c r="O1314" s="1">
        <v>0</v>
      </c>
      <c r="P1314" s="1" t="s">
        <v>148</v>
      </c>
      <c r="Q1314" s="1" t="s">
        <v>149</v>
      </c>
      <c r="R1314" s="1" t="s">
        <v>7671</v>
      </c>
      <c r="S1314" s="1" t="s">
        <v>7302</v>
      </c>
      <c r="T1314" s="1">
        <v>1</v>
      </c>
      <c r="U1314" s="1">
        <v>1</v>
      </c>
      <c r="V1314" s="1">
        <v>1</v>
      </c>
      <c r="W1314" s="1">
        <v>0</v>
      </c>
      <c r="X1314" s="1">
        <v>1</v>
      </c>
      <c r="Y1314" s="1">
        <v>4</v>
      </c>
      <c r="Z1314" s="1">
        <v>4</v>
      </c>
      <c r="AA1314" s="1">
        <v>5</v>
      </c>
      <c r="AB1314" s="1" t="s">
        <v>104</v>
      </c>
      <c r="AC1314" s="1" t="s">
        <v>104</v>
      </c>
      <c r="AD1314" s="1" t="s">
        <v>104</v>
      </c>
      <c r="AE1314" s="1">
        <v>4</v>
      </c>
      <c r="AF1314" s="1" t="s">
        <v>104</v>
      </c>
      <c r="AG1314" s="1" t="s">
        <v>104</v>
      </c>
      <c r="AH1314" s="1" t="s">
        <v>104</v>
      </c>
      <c r="AI1314" s="1">
        <v>4</v>
      </c>
      <c r="AJ1314" s="1">
        <v>5</v>
      </c>
      <c r="AK1314" s="1">
        <v>4</v>
      </c>
      <c r="AL1314" s="1" t="s">
        <v>104</v>
      </c>
      <c r="AM1314" s="1" t="s">
        <v>104</v>
      </c>
      <c r="AO1314" s="1">
        <v>4</v>
      </c>
      <c r="AQ1314" s="1" t="s">
        <v>7672</v>
      </c>
      <c r="AR1314" s="1">
        <v>0</v>
      </c>
      <c r="AS1314" s="1">
        <v>0</v>
      </c>
      <c r="AT1314" s="1">
        <v>0</v>
      </c>
      <c r="AU1314" s="1">
        <v>0</v>
      </c>
      <c r="AV1314" s="1">
        <v>0</v>
      </c>
      <c r="AW1314" s="1">
        <v>0</v>
      </c>
      <c r="AX1314" s="1">
        <v>0</v>
      </c>
      <c r="AY1314" s="1">
        <v>0</v>
      </c>
      <c r="AZ1314" s="1">
        <v>0</v>
      </c>
      <c r="BA1314" s="1">
        <v>0</v>
      </c>
      <c r="BB1314" s="1">
        <v>0</v>
      </c>
      <c r="BC1314" s="1">
        <v>0</v>
      </c>
      <c r="BD1314" s="1">
        <v>0</v>
      </c>
      <c r="BE1314" s="1">
        <v>0</v>
      </c>
      <c r="BF1314" s="1">
        <v>0</v>
      </c>
      <c r="BG1314" s="1">
        <v>0</v>
      </c>
      <c r="BH1314" s="1">
        <v>0</v>
      </c>
      <c r="BI1314" s="1">
        <v>0</v>
      </c>
      <c r="BJ1314" s="1">
        <v>0</v>
      </c>
      <c r="BK1314" s="1">
        <v>0</v>
      </c>
      <c r="BL1314" s="1">
        <v>0</v>
      </c>
      <c r="BM1314" s="1">
        <v>0</v>
      </c>
      <c r="BN1314" s="1">
        <v>0</v>
      </c>
      <c r="BO1314" s="1">
        <v>0</v>
      </c>
      <c r="BP1314" s="1">
        <v>0</v>
      </c>
      <c r="BQ1314" s="2" t="str">
        <f>HYPERLINK("http://www.d20pfsrd.com/magic/all-spells/m/magic-siege-engine#TOC-Magic-Siege-Engine-Greater","Magic Siege Engine, Greater")</f>
        <v>Magic Siege Engine, Greater</v>
      </c>
      <c r="BR1314" s="1">
        <v>1368</v>
      </c>
      <c r="BS1314" s="1" t="s">
        <v>104</v>
      </c>
      <c r="BX1314" s="1">
        <v>0</v>
      </c>
      <c r="BY1314" s="1" t="s">
        <v>104</v>
      </c>
      <c r="BZ1314" s="1" t="s">
        <v>104</v>
      </c>
      <c r="CA1314" s="1" t="s">
        <v>104</v>
      </c>
      <c r="CB1314" s="1" t="s">
        <v>104</v>
      </c>
      <c r="CC1314" s="1" t="s">
        <v>104</v>
      </c>
      <c r="CD1314" s="1">
        <v>4</v>
      </c>
      <c r="CE1314" s="1" t="s">
        <v>104</v>
      </c>
      <c r="CF1314" s="1" t="s">
        <v>104</v>
      </c>
      <c r="CG1314" s="1" t="s">
        <v>104</v>
      </c>
      <c r="CH1314" s="1" t="s">
        <v>104</v>
      </c>
      <c r="CJ1314" s="1">
        <v>0</v>
      </c>
      <c r="CK1314" s="1">
        <v>0</v>
      </c>
      <c r="CL1314" s="1">
        <v>0</v>
      </c>
      <c r="CM1314" s="1" t="s">
        <v>104</v>
      </c>
    </row>
    <row r="1315" spans="1:91" ht="14.25" customHeight="1" x14ac:dyDescent="0.3">
      <c r="A1315" s="1" t="s">
        <v>7673</v>
      </c>
      <c r="B1315" s="1" t="s">
        <v>507</v>
      </c>
      <c r="C1315" s="1" t="s">
        <v>508</v>
      </c>
      <c r="E1315" s="1" t="s">
        <v>7674</v>
      </c>
      <c r="F1315" s="1" t="s">
        <v>95</v>
      </c>
      <c r="G1315" s="1" t="s">
        <v>5192</v>
      </c>
      <c r="H1315" s="1">
        <v>0</v>
      </c>
      <c r="I1315" s="1" t="s">
        <v>128</v>
      </c>
      <c r="L1315" s="1" t="s">
        <v>7675</v>
      </c>
      <c r="M1315" s="1" t="s">
        <v>4400</v>
      </c>
      <c r="N1315" s="1">
        <v>1</v>
      </c>
      <c r="O1315" s="1">
        <v>0</v>
      </c>
      <c r="P1315" s="1" t="s">
        <v>195</v>
      </c>
      <c r="Q1315" s="1" t="s">
        <v>101</v>
      </c>
      <c r="R1315" s="1" t="s">
        <v>7676</v>
      </c>
      <c r="S1315" s="1" t="s">
        <v>7302</v>
      </c>
      <c r="T1315" s="1">
        <v>1</v>
      </c>
      <c r="U1315" s="1">
        <v>1</v>
      </c>
      <c r="V1315" s="1">
        <v>1</v>
      </c>
      <c r="W1315" s="1">
        <v>0</v>
      </c>
      <c r="X1315" s="1">
        <v>0</v>
      </c>
      <c r="Y1315" s="1" t="s">
        <v>104</v>
      </c>
      <c r="Z1315" s="1" t="s">
        <v>104</v>
      </c>
      <c r="AA1315" s="1" t="s">
        <v>104</v>
      </c>
      <c r="AB1315" s="1" t="s">
        <v>104</v>
      </c>
      <c r="AC1315" s="1" t="s">
        <v>104</v>
      </c>
      <c r="AD1315" s="1" t="s">
        <v>104</v>
      </c>
      <c r="AE1315" s="1" t="s">
        <v>104</v>
      </c>
      <c r="AF1315" s="1" t="s">
        <v>104</v>
      </c>
      <c r="AG1315" s="1" t="s">
        <v>104</v>
      </c>
      <c r="AH1315" s="1">
        <v>2</v>
      </c>
      <c r="AI1315" s="1" t="s">
        <v>104</v>
      </c>
      <c r="AJ1315" s="1" t="s">
        <v>104</v>
      </c>
      <c r="AK1315" s="1" t="s">
        <v>104</v>
      </c>
      <c r="AL1315" s="1" t="s">
        <v>104</v>
      </c>
      <c r="AM1315" s="1" t="s">
        <v>104</v>
      </c>
      <c r="AO1315" s="1">
        <v>2</v>
      </c>
      <c r="AQ1315" s="1" t="s">
        <v>7677</v>
      </c>
      <c r="AR1315" s="1">
        <v>0</v>
      </c>
      <c r="AS1315" s="1">
        <v>0</v>
      </c>
      <c r="AT1315" s="1">
        <v>0</v>
      </c>
      <c r="AU1315" s="1">
        <v>0</v>
      </c>
      <c r="AV1315" s="1">
        <v>0</v>
      </c>
      <c r="AW1315" s="1">
        <v>0</v>
      </c>
      <c r="AX1315" s="1">
        <v>0</v>
      </c>
      <c r="AY1315" s="1">
        <v>0</v>
      </c>
      <c r="AZ1315" s="1">
        <v>0</v>
      </c>
      <c r="BA1315" s="1">
        <v>0</v>
      </c>
      <c r="BB1315" s="1">
        <v>0</v>
      </c>
      <c r="BC1315" s="1">
        <v>0</v>
      </c>
      <c r="BD1315" s="1">
        <v>0</v>
      </c>
      <c r="BE1315" s="1">
        <v>0</v>
      </c>
      <c r="BF1315" s="1">
        <v>0</v>
      </c>
      <c r="BG1315" s="1">
        <v>0</v>
      </c>
      <c r="BH1315" s="1">
        <v>0</v>
      </c>
      <c r="BI1315" s="1">
        <v>0</v>
      </c>
      <c r="BJ1315" s="1">
        <v>0</v>
      </c>
      <c r="BK1315" s="1">
        <v>0</v>
      </c>
      <c r="BL1315" s="1">
        <v>0</v>
      </c>
      <c r="BM1315" s="1">
        <v>0</v>
      </c>
      <c r="BN1315" s="1">
        <v>0</v>
      </c>
      <c r="BO1315" s="1">
        <v>0</v>
      </c>
      <c r="BP1315" s="1">
        <v>0</v>
      </c>
      <c r="BQ1315" s="2" t="str">
        <f>HYPERLINK("http://www.d20pfsrd.com/magic/all-spells/m/mask-dweomer#TOC-Mask-Dweomer-Communal","Mask Dweomer, Communal")</f>
        <v>Mask Dweomer, Communal</v>
      </c>
      <c r="BR1315" s="1">
        <v>1369</v>
      </c>
      <c r="BS1315" s="1" t="s">
        <v>104</v>
      </c>
      <c r="BX1315" s="1">
        <v>0</v>
      </c>
      <c r="BY1315" s="1" t="s">
        <v>104</v>
      </c>
      <c r="BZ1315" s="1" t="s">
        <v>104</v>
      </c>
      <c r="CA1315" s="1">
        <v>2</v>
      </c>
      <c r="CB1315" s="1" t="s">
        <v>104</v>
      </c>
      <c r="CC1315" s="1" t="s">
        <v>104</v>
      </c>
      <c r="CD1315" s="1">
        <v>2</v>
      </c>
      <c r="CE1315" s="1" t="s">
        <v>104</v>
      </c>
      <c r="CF1315" s="1" t="s">
        <v>104</v>
      </c>
      <c r="CG1315" s="1" t="s">
        <v>104</v>
      </c>
      <c r="CH1315" s="1" t="s">
        <v>104</v>
      </c>
      <c r="CJ1315" s="1">
        <v>0</v>
      </c>
      <c r="CK1315" s="1">
        <v>0</v>
      </c>
      <c r="CL1315" s="1">
        <v>0</v>
      </c>
      <c r="CM1315" s="1" t="s">
        <v>104</v>
      </c>
    </row>
    <row r="1316" spans="1:91" ht="14.25" customHeight="1" x14ac:dyDescent="0.3">
      <c r="A1316" s="1" t="s">
        <v>7678</v>
      </c>
      <c r="B1316" s="1" t="s">
        <v>162</v>
      </c>
      <c r="E1316" s="1" t="s">
        <v>7679</v>
      </c>
      <c r="F1316" s="1" t="s">
        <v>95</v>
      </c>
      <c r="G1316" s="1" t="s">
        <v>116</v>
      </c>
      <c r="H1316" s="1">
        <v>0</v>
      </c>
      <c r="I1316" s="1" t="s">
        <v>117</v>
      </c>
      <c r="L1316" s="1" t="s">
        <v>1065</v>
      </c>
      <c r="M1316" s="1" t="s">
        <v>341</v>
      </c>
      <c r="N1316" s="1">
        <v>0</v>
      </c>
      <c r="O1316" s="1">
        <v>0</v>
      </c>
      <c r="P1316" s="1" t="s">
        <v>375</v>
      </c>
      <c r="Q1316" s="1" t="s">
        <v>131</v>
      </c>
      <c r="R1316" s="1" t="s">
        <v>7680</v>
      </c>
      <c r="S1316" s="1" t="s">
        <v>7302</v>
      </c>
      <c r="T1316" s="1">
        <v>1</v>
      </c>
      <c r="U1316" s="1">
        <v>1</v>
      </c>
      <c r="V1316" s="1">
        <v>0</v>
      </c>
      <c r="W1316" s="1">
        <v>0</v>
      </c>
      <c r="X1316" s="1">
        <v>0</v>
      </c>
      <c r="Y1316" s="1">
        <v>9</v>
      </c>
      <c r="Z1316" s="1">
        <v>9</v>
      </c>
      <c r="AA1316" s="1" t="s">
        <v>104</v>
      </c>
      <c r="AB1316" s="1" t="s">
        <v>104</v>
      </c>
      <c r="AC1316" s="1" t="s">
        <v>104</v>
      </c>
      <c r="AD1316" s="1" t="s">
        <v>104</v>
      </c>
      <c r="AE1316" s="1" t="s">
        <v>104</v>
      </c>
      <c r="AF1316" s="1" t="s">
        <v>104</v>
      </c>
      <c r="AG1316" s="1" t="s">
        <v>104</v>
      </c>
      <c r="AH1316" s="1">
        <v>9</v>
      </c>
      <c r="AI1316" s="1" t="s">
        <v>104</v>
      </c>
      <c r="AJ1316" s="1" t="s">
        <v>104</v>
      </c>
      <c r="AK1316" s="1" t="s">
        <v>104</v>
      </c>
      <c r="AL1316" s="1" t="s">
        <v>104</v>
      </c>
      <c r="AM1316" s="1" t="s">
        <v>104</v>
      </c>
      <c r="AO1316" s="1">
        <v>9</v>
      </c>
      <c r="AQ1316" s="1" t="s">
        <v>7681</v>
      </c>
      <c r="AR1316" s="1">
        <v>0</v>
      </c>
      <c r="AS1316" s="1">
        <v>0</v>
      </c>
      <c r="AT1316" s="1">
        <v>0</v>
      </c>
      <c r="AU1316" s="1">
        <v>0</v>
      </c>
      <c r="AV1316" s="1">
        <v>0</v>
      </c>
      <c r="AW1316" s="1">
        <v>0</v>
      </c>
      <c r="AX1316" s="1">
        <v>0</v>
      </c>
      <c r="AY1316" s="1">
        <v>0</v>
      </c>
      <c r="AZ1316" s="1">
        <v>0</v>
      </c>
      <c r="BA1316" s="1">
        <v>0</v>
      </c>
      <c r="BB1316" s="1">
        <v>0</v>
      </c>
      <c r="BC1316" s="1">
        <v>0</v>
      </c>
      <c r="BD1316" s="1">
        <v>0</v>
      </c>
      <c r="BE1316" s="1">
        <v>0</v>
      </c>
      <c r="BF1316" s="1">
        <v>0</v>
      </c>
      <c r="BG1316" s="1">
        <v>0</v>
      </c>
      <c r="BH1316" s="1">
        <v>0</v>
      </c>
      <c r="BI1316" s="1">
        <v>0</v>
      </c>
      <c r="BJ1316" s="1">
        <v>0</v>
      </c>
      <c r="BK1316" s="1">
        <v>0</v>
      </c>
      <c r="BL1316" s="1">
        <v>0</v>
      </c>
      <c r="BM1316" s="1">
        <v>0</v>
      </c>
      <c r="BN1316" s="1">
        <v>0</v>
      </c>
      <c r="BO1316" s="1">
        <v>0</v>
      </c>
      <c r="BP1316" s="1">
        <v>0</v>
      </c>
      <c r="BQ1316" s="2" t="str">
        <f>HYPERLINK("http://www.d20pfsrd.com/magic/all-spells/m/mind-blank#TOC-Mind-Blank-Communal","Mind Blank, Communal")</f>
        <v>Mind Blank, Communal</v>
      </c>
      <c r="BR1316" s="1">
        <v>1370</v>
      </c>
      <c r="BS1316" s="1" t="s">
        <v>104</v>
      </c>
      <c r="BX1316" s="1">
        <v>0</v>
      </c>
      <c r="BY1316" s="1" t="s">
        <v>104</v>
      </c>
      <c r="BZ1316" s="1" t="s">
        <v>104</v>
      </c>
      <c r="CA1316" s="1">
        <v>8</v>
      </c>
      <c r="CB1316" s="1" t="s">
        <v>104</v>
      </c>
      <c r="CC1316" s="1" t="s">
        <v>104</v>
      </c>
      <c r="CD1316" s="1" t="s">
        <v>104</v>
      </c>
      <c r="CE1316" s="1" t="s">
        <v>104</v>
      </c>
      <c r="CF1316" s="1" t="s">
        <v>104</v>
      </c>
      <c r="CG1316" s="1" t="s">
        <v>104</v>
      </c>
      <c r="CH1316" s="1" t="s">
        <v>104</v>
      </c>
      <c r="CJ1316" s="1">
        <v>0</v>
      </c>
      <c r="CK1316" s="1">
        <v>0</v>
      </c>
      <c r="CL1316" s="1">
        <v>0</v>
      </c>
      <c r="CM1316" s="1" t="s">
        <v>104</v>
      </c>
    </row>
    <row r="1317" spans="1:91" ht="14.25" customHeight="1" x14ac:dyDescent="0.3">
      <c r="A1317" s="1" t="s">
        <v>7682</v>
      </c>
      <c r="B1317" s="1" t="s">
        <v>137</v>
      </c>
      <c r="E1317" s="1" t="s">
        <v>7683</v>
      </c>
      <c r="F1317" s="1" t="s">
        <v>95</v>
      </c>
      <c r="G1317" s="1" t="s">
        <v>7684</v>
      </c>
      <c r="H1317" s="1">
        <v>0</v>
      </c>
      <c r="I1317" s="1" t="s">
        <v>157</v>
      </c>
      <c r="L1317" s="1" t="s">
        <v>158</v>
      </c>
      <c r="M1317" s="1" t="s">
        <v>145</v>
      </c>
      <c r="N1317" s="1">
        <v>0</v>
      </c>
      <c r="O1317" s="1">
        <v>0</v>
      </c>
      <c r="R1317" s="1" t="s">
        <v>7685</v>
      </c>
      <c r="S1317" s="1" t="s">
        <v>7302</v>
      </c>
      <c r="T1317" s="1">
        <v>1</v>
      </c>
      <c r="U1317" s="1">
        <v>1</v>
      </c>
      <c r="V1317" s="1">
        <v>1</v>
      </c>
      <c r="W1317" s="1">
        <v>0</v>
      </c>
      <c r="X1317" s="1">
        <v>0</v>
      </c>
      <c r="Y1317" s="1">
        <v>1</v>
      </c>
      <c r="Z1317" s="1">
        <v>1</v>
      </c>
      <c r="AA1317" s="1" t="s">
        <v>104</v>
      </c>
      <c r="AB1317" s="1" t="s">
        <v>104</v>
      </c>
      <c r="AC1317" s="1" t="s">
        <v>104</v>
      </c>
      <c r="AD1317" s="1" t="s">
        <v>104</v>
      </c>
      <c r="AE1317" s="1" t="s">
        <v>104</v>
      </c>
      <c r="AF1317" s="1" t="s">
        <v>104</v>
      </c>
      <c r="AG1317" s="1" t="s">
        <v>104</v>
      </c>
      <c r="AH1317" s="1" t="s">
        <v>104</v>
      </c>
      <c r="AI1317" s="1" t="s">
        <v>104</v>
      </c>
      <c r="AJ1317" s="1" t="s">
        <v>104</v>
      </c>
      <c r="AK1317" s="1" t="s">
        <v>104</v>
      </c>
      <c r="AL1317" s="1">
        <v>1</v>
      </c>
      <c r="AM1317" s="1" t="s">
        <v>104</v>
      </c>
      <c r="AO1317" s="1">
        <v>1</v>
      </c>
      <c r="AQ1317" s="1" t="s">
        <v>7686</v>
      </c>
      <c r="AR1317" s="1">
        <v>0</v>
      </c>
      <c r="AS1317" s="1">
        <v>0</v>
      </c>
      <c r="AT1317" s="1">
        <v>0</v>
      </c>
      <c r="AU1317" s="1">
        <v>0</v>
      </c>
      <c r="AV1317" s="1">
        <v>0</v>
      </c>
      <c r="AW1317" s="1">
        <v>0</v>
      </c>
      <c r="AX1317" s="1">
        <v>0</v>
      </c>
      <c r="AY1317" s="1">
        <v>0</v>
      </c>
      <c r="AZ1317" s="1">
        <v>0</v>
      </c>
      <c r="BA1317" s="1">
        <v>0</v>
      </c>
      <c r="BB1317" s="1">
        <v>0</v>
      </c>
      <c r="BC1317" s="1">
        <v>0</v>
      </c>
      <c r="BD1317" s="1">
        <v>0</v>
      </c>
      <c r="BE1317" s="1">
        <v>0</v>
      </c>
      <c r="BF1317" s="1">
        <v>0</v>
      </c>
      <c r="BG1317" s="1">
        <v>0</v>
      </c>
      <c r="BH1317" s="1">
        <v>0</v>
      </c>
      <c r="BI1317" s="1">
        <v>0</v>
      </c>
      <c r="BJ1317" s="1">
        <v>0</v>
      </c>
      <c r="BK1317" s="1">
        <v>0</v>
      </c>
      <c r="BL1317" s="1">
        <v>0</v>
      </c>
      <c r="BM1317" s="1">
        <v>0</v>
      </c>
      <c r="BN1317" s="1">
        <v>0</v>
      </c>
      <c r="BO1317" s="1">
        <v>0</v>
      </c>
      <c r="BP1317" s="1">
        <v>0</v>
      </c>
      <c r="BQ1317" s="2" t="str">
        <f>HYPERLINK("http://www.d20pfsrd.com/magic/all-spells/m/mirror-strike","Mirror Strike")</f>
        <v>Mirror Strike</v>
      </c>
      <c r="BR1317" s="1">
        <v>1371</v>
      </c>
      <c r="BS1317" s="1" t="s">
        <v>104</v>
      </c>
      <c r="BX1317" s="1">
        <v>0</v>
      </c>
      <c r="BY1317" s="1">
        <v>1</v>
      </c>
      <c r="BZ1317" s="1" t="s">
        <v>104</v>
      </c>
      <c r="CA1317" s="1">
        <v>1</v>
      </c>
      <c r="CB1317" s="1" t="s">
        <v>104</v>
      </c>
      <c r="CC1317" s="1" t="s">
        <v>104</v>
      </c>
      <c r="CD1317" s="1" t="s">
        <v>104</v>
      </c>
      <c r="CE1317" s="1" t="s">
        <v>104</v>
      </c>
      <c r="CF1317" s="1" t="s">
        <v>104</v>
      </c>
      <c r="CG1317" s="1" t="s">
        <v>104</v>
      </c>
      <c r="CH1317" s="1" t="s">
        <v>104</v>
      </c>
      <c r="CJ1317" s="1">
        <v>0</v>
      </c>
      <c r="CK1317" s="1">
        <v>0</v>
      </c>
      <c r="CL1317" s="1">
        <v>0</v>
      </c>
      <c r="CM1317" s="1" t="s">
        <v>104</v>
      </c>
    </row>
    <row r="1318" spans="1:91" ht="14.25" customHeight="1" x14ac:dyDescent="0.3">
      <c r="A1318" s="1" t="s">
        <v>7687</v>
      </c>
      <c r="B1318" s="1" t="s">
        <v>123</v>
      </c>
      <c r="C1318" s="1" t="s">
        <v>124</v>
      </c>
      <c r="D1318" s="1" t="s">
        <v>125</v>
      </c>
      <c r="E1318" s="1" t="s">
        <v>7688</v>
      </c>
      <c r="F1318" s="1" t="s">
        <v>95</v>
      </c>
      <c r="G1318" s="1" t="s">
        <v>7689</v>
      </c>
      <c r="H1318" s="1">
        <v>0</v>
      </c>
      <c r="I1318" s="1" t="s">
        <v>349</v>
      </c>
      <c r="L1318" s="1" t="s">
        <v>7690</v>
      </c>
      <c r="M1318" s="1" t="s">
        <v>6149</v>
      </c>
      <c r="N1318" s="1">
        <v>0</v>
      </c>
      <c r="O1318" s="1">
        <v>0</v>
      </c>
      <c r="P1318" s="1" t="s">
        <v>100</v>
      </c>
      <c r="Q1318" s="1" t="s">
        <v>131</v>
      </c>
      <c r="R1318" s="1" t="s">
        <v>7691</v>
      </c>
      <c r="S1318" s="1" t="s">
        <v>7302</v>
      </c>
      <c r="T1318" s="1">
        <v>1</v>
      </c>
      <c r="U1318" s="1">
        <v>1</v>
      </c>
      <c r="V1318" s="1">
        <v>1</v>
      </c>
      <c r="W1318" s="1">
        <v>0</v>
      </c>
      <c r="X1318" s="1">
        <v>1</v>
      </c>
      <c r="Y1318" s="1">
        <v>1</v>
      </c>
      <c r="Z1318" s="1">
        <v>1</v>
      </c>
      <c r="AA1318" s="1">
        <v>1</v>
      </c>
      <c r="AB1318" s="1" t="s">
        <v>104</v>
      </c>
      <c r="AC1318" s="1" t="s">
        <v>104</v>
      </c>
      <c r="AD1318" s="1">
        <v>1</v>
      </c>
      <c r="AE1318" s="1" t="s">
        <v>104</v>
      </c>
      <c r="AF1318" s="1" t="s">
        <v>104</v>
      </c>
      <c r="AG1318" s="1" t="s">
        <v>104</v>
      </c>
      <c r="AH1318" s="1" t="s">
        <v>104</v>
      </c>
      <c r="AI1318" s="1" t="s">
        <v>104</v>
      </c>
      <c r="AJ1318" s="1">
        <v>1</v>
      </c>
      <c r="AK1318" s="1" t="s">
        <v>104</v>
      </c>
      <c r="AL1318" s="1" t="s">
        <v>104</v>
      </c>
      <c r="AM1318" s="1" t="s">
        <v>104</v>
      </c>
      <c r="AO1318" s="1">
        <v>1</v>
      </c>
      <c r="AQ1318" s="1" t="s">
        <v>7692</v>
      </c>
      <c r="AR1318" s="1">
        <v>0</v>
      </c>
      <c r="AS1318" s="1">
        <v>0</v>
      </c>
      <c r="AT1318" s="1">
        <v>0</v>
      </c>
      <c r="AU1318" s="1">
        <v>0</v>
      </c>
      <c r="AV1318" s="1">
        <v>0</v>
      </c>
      <c r="AW1318" s="1">
        <v>0</v>
      </c>
      <c r="AX1318" s="1">
        <v>0</v>
      </c>
      <c r="AY1318" s="1">
        <v>0</v>
      </c>
      <c r="AZ1318" s="1">
        <v>0</v>
      </c>
      <c r="BA1318" s="1">
        <v>0</v>
      </c>
      <c r="BB1318" s="1">
        <v>0</v>
      </c>
      <c r="BC1318" s="1">
        <v>0</v>
      </c>
      <c r="BD1318" s="1">
        <v>0</v>
      </c>
      <c r="BE1318" s="1">
        <v>0</v>
      </c>
      <c r="BF1318" s="1">
        <v>0</v>
      </c>
      <c r="BG1318" s="1">
        <v>0</v>
      </c>
      <c r="BH1318" s="1">
        <v>0</v>
      </c>
      <c r="BI1318" s="1">
        <v>0</v>
      </c>
      <c r="BJ1318" s="1">
        <v>0</v>
      </c>
      <c r="BK1318" s="1">
        <v>1</v>
      </c>
      <c r="BL1318" s="1">
        <v>0</v>
      </c>
      <c r="BM1318" s="1">
        <v>0</v>
      </c>
      <c r="BN1318" s="1">
        <v>0</v>
      </c>
      <c r="BO1318" s="1">
        <v>0</v>
      </c>
      <c r="BP1318" s="1">
        <v>0</v>
      </c>
      <c r="BQ1318" s="2" t="str">
        <f>HYPERLINK("http://www.d20pfsrd.com/magic/all-spells/m/moment-of-greatness","Moment of Greatness")</f>
        <v>Moment of Greatness</v>
      </c>
      <c r="BR1318" s="1">
        <v>1372</v>
      </c>
      <c r="BS1318" s="1" t="s">
        <v>104</v>
      </c>
      <c r="BT1318" s="1" t="s">
        <v>7693</v>
      </c>
      <c r="BX1318" s="1">
        <v>0</v>
      </c>
      <c r="BY1318" s="1" t="s">
        <v>104</v>
      </c>
      <c r="BZ1318" s="1" t="s">
        <v>104</v>
      </c>
      <c r="CA1318" s="1">
        <v>1</v>
      </c>
      <c r="CB1318" s="1" t="s">
        <v>104</v>
      </c>
      <c r="CC1318" s="1" t="s">
        <v>104</v>
      </c>
      <c r="CD1318" s="1" t="s">
        <v>104</v>
      </c>
      <c r="CE1318" s="1" t="s">
        <v>104</v>
      </c>
      <c r="CF1318" s="1" t="s">
        <v>104</v>
      </c>
      <c r="CG1318" s="1" t="s">
        <v>104</v>
      </c>
      <c r="CH1318" s="1" t="s">
        <v>104</v>
      </c>
      <c r="CJ1318" s="1">
        <v>0</v>
      </c>
      <c r="CK1318" s="1">
        <v>0</v>
      </c>
      <c r="CL1318" s="1">
        <v>0</v>
      </c>
      <c r="CM1318" s="1" t="s">
        <v>104</v>
      </c>
    </row>
    <row r="1319" spans="1:91" ht="14.25" customHeight="1" x14ac:dyDescent="0.3">
      <c r="A1319" s="1" t="s">
        <v>7694</v>
      </c>
      <c r="B1319" s="1" t="s">
        <v>92</v>
      </c>
      <c r="C1319" s="1" t="s">
        <v>903</v>
      </c>
      <c r="E1319" s="1" t="s">
        <v>7695</v>
      </c>
      <c r="F1319" s="1" t="s">
        <v>255</v>
      </c>
      <c r="G1319" s="1" t="s">
        <v>2599</v>
      </c>
      <c r="H1319" s="1">
        <v>0</v>
      </c>
      <c r="I1319" s="1" t="s">
        <v>117</v>
      </c>
      <c r="K1319" s="1" t="s">
        <v>7696</v>
      </c>
      <c r="M1319" s="1" t="s">
        <v>5062</v>
      </c>
      <c r="N1319" s="1">
        <v>1</v>
      </c>
      <c r="O1319" s="1">
        <v>0</v>
      </c>
      <c r="P1319" s="1" t="s">
        <v>100</v>
      </c>
      <c r="Q1319" s="1" t="s">
        <v>101</v>
      </c>
      <c r="R1319" s="1" t="s">
        <v>7697</v>
      </c>
      <c r="S1319" s="1" t="s">
        <v>7302</v>
      </c>
      <c r="T1319" s="1">
        <v>1</v>
      </c>
      <c r="U1319" s="1">
        <v>1</v>
      </c>
      <c r="V1319" s="1">
        <v>1</v>
      </c>
      <c r="W1319" s="1">
        <v>0</v>
      </c>
      <c r="X1319" s="1">
        <v>0</v>
      </c>
      <c r="Y1319" s="1">
        <v>2</v>
      </c>
      <c r="Z1319" s="1">
        <v>2</v>
      </c>
      <c r="AA1319" s="1" t="s">
        <v>104</v>
      </c>
      <c r="AB1319" s="1" t="s">
        <v>104</v>
      </c>
      <c r="AC1319" s="1" t="s">
        <v>104</v>
      </c>
      <c r="AD1319" s="1" t="s">
        <v>104</v>
      </c>
      <c r="AE1319" s="1" t="s">
        <v>104</v>
      </c>
      <c r="AF1319" s="1" t="s">
        <v>104</v>
      </c>
      <c r="AG1319" s="1">
        <v>2</v>
      </c>
      <c r="AH1319" s="1">
        <v>2</v>
      </c>
      <c r="AI1319" s="1" t="s">
        <v>104</v>
      </c>
      <c r="AJ1319" s="1" t="s">
        <v>104</v>
      </c>
      <c r="AK1319" s="1" t="s">
        <v>104</v>
      </c>
      <c r="AL1319" s="1">
        <v>2</v>
      </c>
      <c r="AM1319" s="1" t="s">
        <v>104</v>
      </c>
      <c r="AO1319" s="1">
        <v>2</v>
      </c>
      <c r="AQ1319" s="1" t="s">
        <v>7698</v>
      </c>
      <c r="AR1319" s="1">
        <v>0</v>
      </c>
      <c r="AS1319" s="1">
        <v>0</v>
      </c>
      <c r="AT1319" s="1">
        <v>0</v>
      </c>
      <c r="AU1319" s="1">
        <v>0</v>
      </c>
      <c r="AV1319" s="1">
        <v>0</v>
      </c>
      <c r="AW1319" s="1">
        <v>0</v>
      </c>
      <c r="AX1319" s="1">
        <v>0</v>
      </c>
      <c r="AY1319" s="1">
        <v>0</v>
      </c>
      <c r="AZ1319" s="1">
        <v>0</v>
      </c>
      <c r="BA1319" s="1">
        <v>0</v>
      </c>
      <c r="BB1319" s="1">
        <v>0</v>
      </c>
      <c r="BC1319" s="1">
        <v>0</v>
      </c>
      <c r="BD1319" s="1">
        <v>0</v>
      </c>
      <c r="BE1319" s="1">
        <v>0</v>
      </c>
      <c r="BF1319" s="1">
        <v>0</v>
      </c>
      <c r="BG1319" s="1">
        <v>0</v>
      </c>
      <c r="BH1319" s="1">
        <v>0</v>
      </c>
      <c r="BI1319" s="1">
        <v>0</v>
      </c>
      <c r="BJ1319" s="1">
        <v>0</v>
      </c>
      <c r="BK1319" s="1">
        <v>0</v>
      </c>
      <c r="BL1319" s="1">
        <v>0</v>
      </c>
      <c r="BM1319" s="1">
        <v>0</v>
      </c>
      <c r="BN1319" s="1">
        <v>0</v>
      </c>
      <c r="BO1319" s="1">
        <v>0</v>
      </c>
      <c r="BP1319" s="1">
        <v>0</v>
      </c>
      <c r="BQ1319" s="2" t="str">
        <f>HYPERLINK("http://www.d20pfsrd.com/magic/all-spells/m/mount#TOC-Mount-Communal","Mount, Communal")</f>
        <v>Mount, Communal</v>
      </c>
      <c r="BR1319" s="1">
        <v>1373</v>
      </c>
      <c r="BS1319" s="1" t="s">
        <v>104</v>
      </c>
      <c r="BX1319" s="1">
        <v>0</v>
      </c>
      <c r="BY1319" s="1" t="s">
        <v>104</v>
      </c>
      <c r="BZ1319" s="1" t="s">
        <v>104</v>
      </c>
      <c r="CA1319" s="1" t="s">
        <v>104</v>
      </c>
      <c r="CB1319" s="1" t="s">
        <v>104</v>
      </c>
      <c r="CC1319" s="1" t="s">
        <v>104</v>
      </c>
      <c r="CD1319" s="1">
        <v>2</v>
      </c>
      <c r="CE1319" s="1" t="s">
        <v>104</v>
      </c>
      <c r="CF1319" s="1" t="s">
        <v>104</v>
      </c>
      <c r="CG1319" s="1" t="s">
        <v>104</v>
      </c>
      <c r="CH1319" s="1" t="s">
        <v>104</v>
      </c>
      <c r="CJ1319" s="1">
        <v>0</v>
      </c>
      <c r="CK1319" s="1">
        <v>0</v>
      </c>
      <c r="CL1319" s="1">
        <v>0</v>
      </c>
      <c r="CM1319" s="1">
        <v>2</v>
      </c>
    </row>
    <row r="1320" spans="1:91" ht="14.25" customHeight="1" x14ac:dyDescent="0.3">
      <c r="A1320" s="1" t="s">
        <v>7699</v>
      </c>
      <c r="B1320" s="1" t="s">
        <v>137</v>
      </c>
      <c r="E1320" s="1" t="s">
        <v>5652</v>
      </c>
      <c r="F1320" s="1" t="s">
        <v>95</v>
      </c>
      <c r="G1320" s="1" t="s">
        <v>7700</v>
      </c>
      <c r="H1320" s="1">
        <v>0</v>
      </c>
      <c r="I1320" s="1" t="s">
        <v>128</v>
      </c>
      <c r="L1320" s="1" t="s">
        <v>374</v>
      </c>
      <c r="M1320" s="1" t="s">
        <v>7129</v>
      </c>
      <c r="N1320" s="1">
        <v>0</v>
      </c>
      <c r="O1320" s="1">
        <v>0</v>
      </c>
      <c r="P1320" s="1" t="s">
        <v>1058</v>
      </c>
      <c r="Q1320" s="1" t="s">
        <v>131</v>
      </c>
      <c r="R1320" s="1" t="s">
        <v>7701</v>
      </c>
      <c r="S1320" s="1" t="s">
        <v>7302</v>
      </c>
      <c r="T1320" s="1">
        <v>1</v>
      </c>
      <c r="U1320" s="1">
        <v>1</v>
      </c>
      <c r="V1320" s="1">
        <v>1</v>
      </c>
      <c r="W1320" s="1">
        <v>0</v>
      </c>
      <c r="X1320" s="1">
        <v>0</v>
      </c>
      <c r="Y1320" s="1" t="s">
        <v>104</v>
      </c>
      <c r="Z1320" s="1" t="s">
        <v>104</v>
      </c>
      <c r="AA1320" s="1" t="s">
        <v>104</v>
      </c>
      <c r="AB1320" s="1" t="s">
        <v>104</v>
      </c>
      <c r="AC1320" s="1" t="s">
        <v>104</v>
      </c>
      <c r="AD1320" s="1" t="s">
        <v>104</v>
      </c>
      <c r="AE1320" s="1" t="s">
        <v>104</v>
      </c>
      <c r="AF1320" s="1">
        <v>4</v>
      </c>
      <c r="AG1320" s="1" t="s">
        <v>104</v>
      </c>
      <c r="AH1320" s="1" t="s">
        <v>104</v>
      </c>
      <c r="AI1320" s="1" t="s">
        <v>104</v>
      </c>
      <c r="AJ1320" s="1" t="s">
        <v>104</v>
      </c>
      <c r="AK1320" s="1" t="s">
        <v>104</v>
      </c>
      <c r="AL1320" s="1" t="s">
        <v>104</v>
      </c>
      <c r="AM1320" s="1" t="s">
        <v>104</v>
      </c>
      <c r="AO1320" s="1">
        <v>4</v>
      </c>
      <c r="AQ1320" s="1" t="s">
        <v>7702</v>
      </c>
      <c r="AR1320" s="1">
        <v>0</v>
      </c>
      <c r="AS1320" s="1">
        <v>0</v>
      </c>
      <c r="AT1320" s="1">
        <v>0</v>
      </c>
      <c r="AU1320" s="1">
        <v>0</v>
      </c>
      <c r="AV1320" s="1">
        <v>0</v>
      </c>
      <c r="AW1320" s="1">
        <v>0</v>
      </c>
      <c r="AX1320" s="1">
        <v>0</v>
      </c>
      <c r="AY1320" s="1">
        <v>0</v>
      </c>
      <c r="AZ1320" s="1">
        <v>0</v>
      </c>
      <c r="BA1320" s="1">
        <v>0</v>
      </c>
      <c r="BB1320" s="1">
        <v>0</v>
      </c>
      <c r="BC1320" s="1">
        <v>0</v>
      </c>
      <c r="BD1320" s="1">
        <v>0</v>
      </c>
      <c r="BE1320" s="1">
        <v>0</v>
      </c>
      <c r="BF1320" s="1">
        <v>0</v>
      </c>
      <c r="BG1320" s="1">
        <v>0</v>
      </c>
      <c r="BH1320" s="1">
        <v>0</v>
      </c>
      <c r="BI1320" s="1">
        <v>0</v>
      </c>
      <c r="BJ1320" s="1">
        <v>0</v>
      </c>
      <c r="BK1320" s="1">
        <v>0</v>
      </c>
      <c r="BL1320" s="1">
        <v>0</v>
      </c>
      <c r="BM1320" s="1">
        <v>0</v>
      </c>
      <c r="BN1320" s="1">
        <v>0</v>
      </c>
      <c r="BO1320" s="1">
        <v>0</v>
      </c>
      <c r="BP1320" s="1">
        <v>0</v>
      </c>
      <c r="BQ1320" s="2" t="str">
        <f>HYPERLINK("http://www.d20pfsrd.com/magic/all-spells/m/mutagenic-touch","Mutagenic Touch")</f>
        <v>Mutagenic Touch</v>
      </c>
      <c r="BR1320" s="1">
        <v>1374</v>
      </c>
      <c r="BS1320" s="1" t="s">
        <v>104</v>
      </c>
      <c r="BX1320" s="1">
        <v>0</v>
      </c>
      <c r="BY1320" s="1" t="s">
        <v>104</v>
      </c>
      <c r="BZ1320" s="1" t="s">
        <v>104</v>
      </c>
      <c r="CA1320" s="1" t="s">
        <v>104</v>
      </c>
      <c r="CB1320" s="1" t="s">
        <v>104</v>
      </c>
      <c r="CC1320" s="1" t="s">
        <v>104</v>
      </c>
      <c r="CD1320" s="1" t="s">
        <v>104</v>
      </c>
      <c r="CE1320" s="1" t="s">
        <v>104</v>
      </c>
      <c r="CF1320" s="1" t="s">
        <v>104</v>
      </c>
      <c r="CG1320" s="1" t="s">
        <v>104</v>
      </c>
      <c r="CH1320" s="1" t="s">
        <v>104</v>
      </c>
      <c r="CJ1320" s="1">
        <v>0</v>
      </c>
      <c r="CK1320" s="1">
        <v>0</v>
      </c>
      <c r="CL1320" s="1">
        <v>0</v>
      </c>
      <c r="CM1320" s="1" t="s">
        <v>104</v>
      </c>
    </row>
    <row r="1321" spans="1:91" ht="14.25" customHeight="1" x14ac:dyDescent="0.3">
      <c r="A1321" s="1" t="s">
        <v>7703</v>
      </c>
      <c r="B1321" s="1" t="s">
        <v>172</v>
      </c>
      <c r="E1321" s="1" t="s">
        <v>7704</v>
      </c>
      <c r="F1321" s="1" t="s">
        <v>95</v>
      </c>
      <c r="G1321" s="1" t="s">
        <v>7705</v>
      </c>
      <c r="H1321" s="1">
        <v>0</v>
      </c>
      <c r="I1321" s="1" t="s">
        <v>128</v>
      </c>
      <c r="L1321" s="1" t="s">
        <v>7706</v>
      </c>
      <c r="M1321" s="1" t="s">
        <v>7067</v>
      </c>
      <c r="N1321" s="1">
        <v>0</v>
      </c>
      <c r="O1321" s="1">
        <v>0</v>
      </c>
      <c r="P1321" s="1" t="s">
        <v>148</v>
      </c>
      <c r="Q1321" s="1" t="s">
        <v>149</v>
      </c>
      <c r="R1321" s="1" t="s">
        <v>7707</v>
      </c>
      <c r="S1321" s="1" t="s">
        <v>7302</v>
      </c>
      <c r="T1321" s="1">
        <v>1</v>
      </c>
      <c r="U1321" s="1">
        <v>1</v>
      </c>
      <c r="V1321" s="1">
        <v>1</v>
      </c>
      <c r="W1321" s="1">
        <v>0</v>
      </c>
      <c r="X1321" s="1">
        <v>1</v>
      </c>
      <c r="Y1321" s="1">
        <v>4</v>
      </c>
      <c r="Z1321" s="1">
        <v>4</v>
      </c>
      <c r="AA1321" s="1" t="s">
        <v>104</v>
      </c>
      <c r="AB1321" s="1" t="s">
        <v>104</v>
      </c>
      <c r="AC1321" s="1">
        <v>3</v>
      </c>
      <c r="AD1321" s="1" t="s">
        <v>104</v>
      </c>
      <c r="AE1321" s="1" t="s">
        <v>104</v>
      </c>
      <c r="AF1321" s="1" t="s">
        <v>104</v>
      </c>
      <c r="AG1321" s="1" t="s">
        <v>104</v>
      </c>
      <c r="AH1321" s="1">
        <v>4</v>
      </c>
      <c r="AI1321" s="1">
        <v>4</v>
      </c>
      <c r="AJ1321" s="1" t="s">
        <v>104</v>
      </c>
      <c r="AK1321" s="1" t="s">
        <v>104</v>
      </c>
      <c r="AL1321" s="1" t="s">
        <v>104</v>
      </c>
      <c r="AM1321" s="1" t="s">
        <v>104</v>
      </c>
      <c r="AO1321" s="1">
        <v>4</v>
      </c>
      <c r="AQ1321" s="1" t="s">
        <v>7708</v>
      </c>
      <c r="AR1321" s="1">
        <v>0</v>
      </c>
      <c r="AS1321" s="1">
        <v>0</v>
      </c>
      <c r="AT1321" s="1">
        <v>0</v>
      </c>
      <c r="AU1321" s="1">
        <v>0</v>
      </c>
      <c r="AV1321" s="1">
        <v>0</v>
      </c>
      <c r="AW1321" s="1">
        <v>0</v>
      </c>
      <c r="AX1321" s="1">
        <v>0</v>
      </c>
      <c r="AY1321" s="1">
        <v>0</v>
      </c>
      <c r="AZ1321" s="1">
        <v>0</v>
      </c>
      <c r="BA1321" s="1">
        <v>0</v>
      </c>
      <c r="BB1321" s="1">
        <v>0</v>
      </c>
      <c r="BC1321" s="1">
        <v>0</v>
      </c>
      <c r="BD1321" s="1">
        <v>0</v>
      </c>
      <c r="BE1321" s="1">
        <v>0</v>
      </c>
      <c r="BF1321" s="1">
        <v>0</v>
      </c>
      <c r="BG1321" s="1">
        <v>0</v>
      </c>
      <c r="BH1321" s="1">
        <v>0</v>
      </c>
      <c r="BI1321" s="1">
        <v>0</v>
      </c>
      <c r="BJ1321" s="1">
        <v>0</v>
      </c>
      <c r="BK1321" s="1">
        <v>0</v>
      </c>
      <c r="BL1321" s="1">
        <v>0</v>
      </c>
      <c r="BM1321" s="1">
        <v>0</v>
      </c>
      <c r="BN1321" s="1">
        <v>0</v>
      </c>
      <c r="BO1321" s="1">
        <v>0</v>
      </c>
      <c r="BP1321" s="1">
        <v>0</v>
      </c>
      <c r="BQ1321" s="2" t="str">
        <f>HYPERLINK("http://www.d20pfsrd.com/magic/all-spells/n/named-bullet","Named Bullet")</f>
        <v>Named Bullet</v>
      </c>
      <c r="BR1321" s="1">
        <v>1375</v>
      </c>
      <c r="BS1321" s="1" t="s">
        <v>104</v>
      </c>
      <c r="BV1321" s="1" t="s">
        <v>7709</v>
      </c>
      <c r="BW1321" s="1" t="s">
        <v>7710</v>
      </c>
      <c r="BX1321" s="1">
        <v>1</v>
      </c>
      <c r="BY1321" s="1" t="s">
        <v>104</v>
      </c>
      <c r="BZ1321" s="1" t="s">
        <v>104</v>
      </c>
      <c r="CA1321" s="1">
        <v>4</v>
      </c>
      <c r="CB1321" s="1" t="s">
        <v>104</v>
      </c>
      <c r="CC1321" s="1" t="s">
        <v>104</v>
      </c>
      <c r="CD1321" s="1" t="s">
        <v>104</v>
      </c>
      <c r="CE1321" s="1" t="s">
        <v>104</v>
      </c>
      <c r="CF1321" s="1" t="s">
        <v>104</v>
      </c>
      <c r="CG1321" s="1" t="s">
        <v>104</v>
      </c>
      <c r="CH1321" s="1">
        <v>3</v>
      </c>
      <c r="CJ1321" s="1">
        <v>0</v>
      </c>
      <c r="CK1321" s="1">
        <v>0</v>
      </c>
      <c r="CL1321" s="1">
        <v>0</v>
      </c>
      <c r="CM1321" s="1" t="s">
        <v>104</v>
      </c>
    </row>
    <row r="1322" spans="1:91" ht="14.25" customHeight="1" x14ac:dyDescent="0.3">
      <c r="A1322" s="1" t="s">
        <v>7711</v>
      </c>
      <c r="B1322" s="1" t="s">
        <v>172</v>
      </c>
      <c r="E1322" s="1" t="s">
        <v>7712</v>
      </c>
      <c r="F1322" s="1" t="s">
        <v>95</v>
      </c>
      <c r="G1322" s="1" t="s">
        <v>7705</v>
      </c>
      <c r="H1322" s="1">
        <v>0</v>
      </c>
      <c r="I1322" s="1" t="s">
        <v>128</v>
      </c>
      <c r="L1322" s="1" t="s">
        <v>7706</v>
      </c>
      <c r="M1322" s="1" t="s">
        <v>7067</v>
      </c>
      <c r="N1322" s="1">
        <v>0</v>
      </c>
      <c r="O1322" s="1">
        <v>0</v>
      </c>
      <c r="P1322" s="1" t="s">
        <v>148</v>
      </c>
      <c r="Q1322" s="1" t="s">
        <v>149</v>
      </c>
      <c r="R1322" s="1" t="s">
        <v>7713</v>
      </c>
      <c r="S1322" s="1" t="s">
        <v>7302</v>
      </c>
      <c r="T1322" s="1">
        <v>1</v>
      </c>
      <c r="U1322" s="1">
        <v>1</v>
      </c>
      <c r="V1322" s="1">
        <v>1</v>
      </c>
      <c r="W1322" s="1">
        <v>0</v>
      </c>
      <c r="X1322" s="1">
        <v>1</v>
      </c>
      <c r="Y1322" s="1">
        <v>6</v>
      </c>
      <c r="Z1322" s="1">
        <v>6</v>
      </c>
      <c r="AA1322" s="1" t="s">
        <v>104</v>
      </c>
      <c r="AB1322" s="1" t="s">
        <v>104</v>
      </c>
      <c r="AC1322" s="1">
        <v>4</v>
      </c>
      <c r="AD1322" s="1" t="s">
        <v>104</v>
      </c>
      <c r="AE1322" s="1" t="s">
        <v>104</v>
      </c>
      <c r="AF1322" s="1" t="s">
        <v>104</v>
      </c>
      <c r="AG1322" s="1" t="s">
        <v>104</v>
      </c>
      <c r="AH1322" s="1">
        <v>6</v>
      </c>
      <c r="AI1322" s="1">
        <v>6</v>
      </c>
      <c r="AJ1322" s="1" t="s">
        <v>104</v>
      </c>
      <c r="AK1322" s="1" t="s">
        <v>104</v>
      </c>
      <c r="AL1322" s="1" t="s">
        <v>104</v>
      </c>
      <c r="AM1322" s="1" t="s">
        <v>104</v>
      </c>
      <c r="AO1322" s="1">
        <v>6</v>
      </c>
      <c r="AQ1322" s="1" t="s">
        <v>7714</v>
      </c>
      <c r="AR1322" s="1">
        <v>0</v>
      </c>
      <c r="AS1322" s="1">
        <v>0</v>
      </c>
      <c r="AT1322" s="1">
        <v>0</v>
      </c>
      <c r="AU1322" s="1">
        <v>0</v>
      </c>
      <c r="AV1322" s="1">
        <v>0</v>
      </c>
      <c r="AW1322" s="1">
        <v>0</v>
      </c>
      <c r="AX1322" s="1">
        <v>0</v>
      </c>
      <c r="AY1322" s="1">
        <v>0</v>
      </c>
      <c r="AZ1322" s="1">
        <v>0</v>
      </c>
      <c r="BA1322" s="1">
        <v>0</v>
      </c>
      <c r="BB1322" s="1">
        <v>0</v>
      </c>
      <c r="BC1322" s="1">
        <v>0</v>
      </c>
      <c r="BD1322" s="1">
        <v>0</v>
      </c>
      <c r="BE1322" s="1">
        <v>0</v>
      </c>
      <c r="BF1322" s="1">
        <v>0</v>
      </c>
      <c r="BG1322" s="1">
        <v>0</v>
      </c>
      <c r="BH1322" s="1">
        <v>0</v>
      </c>
      <c r="BI1322" s="1">
        <v>0</v>
      </c>
      <c r="BJ1322" s="1">
        <v>0</v>
      </c>
      <c r="BK1322" s="1">
        <v>0</v>
      </c>
      <c r="BL1322" s="1">
        <v>0</v>
      </c>
      <c r="BM1322" s="1">
        <v>0</v>
      </c>
      <c r="BN1322" s="1">
        <v>0</v>
      </c>
      <c r="BO1322" s="1">
        <v>0</v>
      </c>
      <c r="BP1322" s="1">
        <v>0</v>
      </c>
      <c r="BQ1322" s="2" t="str">
        <f>HYPERLINK("http://www.d20pfsrd.com/magic/all-spells/n/named-bullet#TOC-Named-Bullet-Greater","Named Bullet, Greater")</f>
        <v>Named Bullet, Greater</v>
      </c>
      <c r="BR1322" s="1">
        <v>1376</v>
      </c>
      <c r="BS1322" s="1" t="s">
        <v>104</v>
      </c>
      <c r="BX1322" s="1">
        <v>0</v>
      </c>
      <c r="BY1322" s="1" t="s">
        <v>104</v>
      </c>
      <c r="BZ1322" s="1" t="s">
        <v>104</v>
      </c>
      <c r="CA1322" s="1">
        <v>6</v>
      </c>
      <c r="CB1322" s="1" t="s">
        <v>104</v>
      </c>
      <c r="CC1322" s="1" t="s">
        <v>104</v>
      </c>
      <c r="CD1322" s="1" t="s">
        <v>104</v>
      </c>
      <c r="CE1322" s="1" t="s">
        <v>104</v>
      </c>
      <c r="CF1322" s="1" t="s">
        <v>104</v>
      </c>
      <c r="CG1322" s="1" t="s">
        <v>104</v>
      </c>
      <c r="CH1322" s="1">
        <v>4</v>
      </c>
      <c r="CJ1322" s="1">
        <v>0</v>
      </c>
      <c r="CK1322" s="1">
        <v>0</v>
      </c>
      <c r="CL1322" s="1">
        <v>0</v>
      </c>
      <c r="CM1322" s="1" t="s">
        <v>104</v>
      </c>
    </row>
    <row r="1323" spans="1:91" ht="14.25" customHeight="1" x14ac:dyDescent="0.3">
      <c r="A1323" s="1" t="s">
        <v>7715</v>
      </c>
      <c r="B1323" s="1" t="s">
        <v>507</v>
      </c>
      <c r="C1323" s="1" t="s">
        <v>508</v>
      </c>
      <c r="E1323" s="1" t="s">
        <v>7716</v>
      </c>
      <c r="F1323" s="1" t="s">
        <v>95</v>
      </c>
      <c r="G1323" s="1" t="s">
        <v>1802</v>
      </c>
      <c r="H1323" s="1">
        <v>0</v>
      </c>
      <c r="I1323" s="1" t="s">
        <v>117</v>
      </c>
      <c r="L1323" s="1" t="s">
        <v>1065</v>
      </c>
      <c r="M1323" s="1" t="s">
        <v>111</v>
      </c>
      <c r="N1323" s="1">
        <v>0</v>
      </c>
      <c r="O1323" s="1">
        <v>0</v>
      </c>
      <c r="P1323" s="1" t="s">
        <v>211</v>
      </c>
      <c r="Q1323" s="1" t="s">
        <v>184</v>
      </c>
      <c r="R1323" s="1" t="s">
        <v>7717</v>
      </c>
      <c r="S1323" s="1" t="s">
        <v>7302</v>
      </c>
      <c r="T1323" s="1">
        <v>0</v>
      </c>
      <c r="U1323" s="1">
        <v>1</v>
      </c>
      <c r="V1323" s="1">
        <v>0</v>
      </c>
      <c r="W1323" s="1">
        <v>0</v>
      </c>
      <c r="X1323" s="1">
        <v>0</v>
      </c>
      <c r="Y1323" s="1">
        <v>1</v>
      </c>
      <c r="Z1323" s="1">
        <v>1</v>
      </c>
      <c r="AA1323" s="1" t="s">
        <v>104</v>
      </c>
      <c r="AB1323" s="1" t="s">
        <v>104</v>
      </c>
      <c r="AC1323" s="1" t="s">
        <v>104</v>
      </c>
      <c r="AD1323" s="1">
        <v>1</v>
      </c>
      <c r="AE1323" s="1" t="s">
        <v>104</v>
      </c>
      <c r="AF1323" s="1" t="s">
        <v>104</v>
      </c>
      <c r="AG1323" s="1" t="s">
        <v>104</v>
      </c>
      <c r="AH1323" s="1">
        <v>1</v>
      </c>
      <c r="AI1323" s="1" t="s">
        <v>104</v>
      </c>
      <c r="AJ1323" s="1" t="s">
        <v>104</v>
      </c>
      <c r="AK1323" s="1" t="s">
        <v>104</v>
      </c>
      <c r="AL1323" s="1">
        <v>1</v>
      </c>
      <c r="AM1323" s="1" t="s">
        <v>104</v>
      </c>
      <c r="AO1323" s="1">
        <v>1</v>
      </c>
      <c r="AQ1323" s="1" t="s">
        <v>7718</v>
      </c>
      <c r="AR1323" s="1">
        <v>0</v>
      </c>
      <c r="AS1323" s="1">
        <v>0</v>
      </c>
      <c r="AT1323" s="1">
        <v>0</v>
      </c>
      <c r="AU1323" s="1">
        <v>0</v>
      </c>
      <c r="AV1323" s="1">
        <v>0</v>
      </c>
      <c r="AW1323" s="1">
        <v>0</v>
      </c>
      <c r="AX1323" s="1">
        <v>0</v>
      </c>
      <c r="AY1323" s="1">
        <v>0</v>
      </c>
      <c r="AZ1323" s="1">
        <v>0</v>
      </c>
      <c r="BA1323" s="1">
        <v>0</v>
      </c>
      <c r="BB1323" s="1">
        <v>0</v>
      </c>
      <c r="BC1323" s="1">
        <v>0</v>
      </c>
      <c r="BD1323" s="1">
        <v>0</v>
      </c>
      <c r="BE1323" s="1">
        <v>0</v>
      </c>
      <c r="BF1323" s="1">
        <v>0</v>
      </c>
      <c r="BG1323" s="1">
        <v>0</v>
      </c>
      <c r="BH1323" s="1">
        <v>0</v>
      </c>
      <c r="BI1323" s="1">
        <v>0</v>
      </c>
      <c r="BJ1323" s="1">
        <v>0</v>
      </c>
      <c r="BK1323" s="1">
        <v>0</v>
      </c>
      <c r="BL1323" s="1">
        <v>0</v>
      </c>
      <c r="BM1323" s="1">
        <v>0</v>
      </c>
      <c r="BN1323" s="1">
        <v>0</v>
      </c>
      <c r="BO1323" s="1">
        <v>0</v>
      </c>
      <c r="BP1323" s="1">
        <v>0</v>
      </c>
      <c r="BQ1323" s="2" t="str">
        <f>HYPERLINK("http://www.d20pfsrd.com/magic/all-spells/n/negative-reaction","Negative Reaction")</f>
        <v>Negative Reaction</v>
      </c>
      <c r="BR1323" s="1">
        <v>1377</v>
      </c>
      <c r="BS1323" s="1" t="s">
        <v>104</v>
      </c>
      <c r="BX1323" s="1">
        <v>0</v>
      </c>
      <c r="BY1323" s="1" t="s">
        <v>104</v>
      </c>
      <c r="BZ1323" s="1" t="s">
        <v>104</v>
      </c>
      <c r="CA1323" s="1">
        <v>1</v>
      </c>
      <c r="CB1323" s="1">
        <v>1</v>
      </c>
      <c r="CC1323" s="1" t="s">
        <v>104</v>
      </c>
      <c r="CD1323" s="1" t="s">
        <v>104</v>
      </c>
      <c r="CE1323" s="1" t="s">
        <v>104</v>
      </c>
      <c r="CF1323" s="1" t="s">
        <v>104</v>
      </c>
      <c r="CG1323" s="1" t="s">
        <v>104</v>
      </c>
      <c r="CH1323" s="1" t="s">
        <v>104</v>
      </c>
      <c r="CJ1323" s="1">
        <v>0</v>
      </c>
      <c r="CK1323" s="1">
        <v>0</v>
      </c>
      <c r="CL1323" s="1">
        <v>0</v>
      </c>
      <c r="CM1323" s="1" t="s">
        <v>104</v>
      </c>
    </row>
    <row r="1324" spans="1:91" ht="14.25" customHeight="1" x14ac:dyDescent="0.3">
      <c r="A1324" s="1" t="s">
        <v>7719</v>
      </c>
      <c r="B1324" s="1" t="s">
        <v>162</v>
      </c>
      <c r="E1324" s="1" t="s">
        <v>7720</v>
      </c>
      <c r="F1324" s="1" t="s">
        <v>95</v>
      </c>
      <c r="G1324" s="1" t="s">
        <v>7721</v>
      </c>
      <c r="H1324" s="1">
        <v>1</v>
      </c>
      <c r="I1324" s="1" t="s">
        <v>128</v>
      </c>
      <c r="L1324" s="1" t="s">
        <v>7675</v>
      </c>
      <c r="M1324" s="1" t="s">
        <v>201</v>
      </c>
      <c r="N1324" s="1">
        <v>0</v>
      </c>
      <c r="O1324" s="1">
        <v>0</v>
      </c>
      <c r="P1324" s="1" t="s">
        <v>148</v>
      </c>
      <c r="Q1324" s="1" t="s">
        <v>149</v>
      </c>
      <c r="R1324" s="1" t="s">
        <v>7722</v>
      </c>
      <c r="S1324" s="1" t="s">
        <v>7302</v>
      </c>
      <c r="T1324" s="1">
        <v>1</v>
      </c>
      <c r="U1324" s="1">
        <v>1</v>
      </c>
      <c r="V1324" s="1">
        <v>1</v>
      </c>
      <c r="W1324" s="1">
        <v>0</v>
      </c>
      <c r="X1324" s="1">
        <v>0</v>
      </c>
      <c r="Y1324" s="1">
        <v>4</v>
      </c>
      <c r="Z1324" s="1">
        <v>4</v>
      </c>
      <c r="AA1324" s="1" t="s">
        <v>104</v>
      </c>
      <c r="AB1324" s="1" t="s">
        <v>104</v>
      </c>
      <c r="AC1324" s="1" t="s">
        <v>104</v>
      </c>
      <c r="AD1324" s="1" t="s">
        <v>104</v>
      </c>
      <c r="AE1324" s="1" t="s">
        <v>104</v>
      </c>
      <c r="AF1324" s="1" t="s">
        <v>104</v>
      </c>
      <c r="AG1324" s="1" t="s">
        <v>104</v>
      </c>
      <c r="AH1324" s="1" t="s">
        <v>104</v>
      </c>
      <c r="AI1324" s="1" t="s">
        <v>104</v>
      </c>
      <c r="AJ1324" s="1" t="s">
        <v>104</v>
      </c>
      <c r="AK1324" s="1">
        <v>4</v>
      </c>
      <c r="AL1324" s="1" t="s">
        <v>104</v>
      </c>
      <c r="AM1324" s="1" t="s">
        <v>104</v>
      </c>
      <c r="AO1324" s="1">
        <v>4</v>
      </c>
      <c r="AQ1324" s="1" t="s">
        <v>7723</v>
      </c>
      <c r="AR1324" s="1">
        <v>0</v>
      </c>
      <c r="AS1324" s="1">
        <v>0</v>
      </c>
      <c r="AT1324" s="1">
        <v>0</v>
      </c>
      <c r="AU1324" s="1">
        <v>0</v>
      </c>
      <c r="AV1324" s="1">
        <v>0</v>
      </c>
      <c r="AW1324" s="1">
        <v>0</v>
      </c>
      <c r="AX1324" s="1">
        <v>0</v>
      </c>
      <c r="AY1324" s="1">
        <v>0</v>
      </c>
      <c r="AZ1324" s="1">
        <v>0</v>
      </c>
      <c r="BA1324" s="1">
        <v>0</v>
      </c>
      <c r="BB1324" s="1">
        <v>0</v>
      </c>
      <c r="BC1324" s="1">
        <v>0</v>
      </c>
      <c r="BD1324" s="1">
        <v>0</v>
      </c>
      <c r="BE1324" s="1">
        <v>0</v>
      </c>
      <c r="BF1324" s="1">
        <v>0</v>
      </c>
      <c r="BG1324" s="1">
        <v>0</v>
      </c>
      <c r="BH1324" s="1">
        <v>0</v>
      </c>
      <c r="BI1324" s="1">
        <v>0</v>
      </c>
      <c r="BJ1324" s="1">
        <v>0</v>
      </c>
      <c r="BK1324" s="1">
        <v>0</v>
      </c>
      <c r="BL1324" s="1">
        <v>0</v>
      </c>
      <c r="BM1324" s="1">
        <v>0</v>
      </c>
      <c r="BN1324" s="1">
        <v>0</v>
      </c>
      <c r="BO1324" s="1">
        <v>0</v>
      </c>
      <c r="BP1324" s="1">
        <v>0</v>
      </c>
      <c r="BQ1324" s="2" t="str">
        <f>HYPERLINK("http://www.d20pfsrd.com/magic/all-spells/n/nondetection#TOC-Nondetection-Communal","Nondetection, Communal")</f>
        <v>Nondetection, Communal</v>
      </c>
      <c r="BR1324" s="1">
        <v>1378</v>
      </c>
      <c r="BS1324" s="1">
        <v>25</v>
      </c>
      <c r="BX1324" s="1">
        <v>0</v>
      </c>
      <c r="BY1324" s="1" t="s">
        <v>104</v>
      </c>
      <c r="BZ1324" s="1" t="s">
        <v>104</v>
      </c>
      <c r="CA1324" s="1">
        <v>4</v>
      </c>
      <c r="CB1324" s="1" t="s">
        <v>104</v>
      </c>
      <c r="CC1324" s="1">
        <v>4</v>
      </c>
      <c r="CD1324" s="1">
        <v>4</v>
      </c>
      <c r="CE1324" s="1" t="s">
        <v>104</v>
      </c>
      <c r="CF1324" s="1" t="s">
        <v>104</v>
      </c>
      <c r="CG1324" s="1" t="s">
        <v>104</v>
      </c>
      <c r="CH1324" s="1" t="s">
        <v>104</v>
      </c>
      <c r="CJ1324" s="1">
        <v>0</v>
      </c>
      <c r="CK1324" s="1">
        <v>0</v>
      </c>
      <c r="CL1324" s="1">
        <v>0</v>
      </c>
      <c r="CM1324" s="1" t="s">
        <v>104</v>
      </c>
    </row>
    <row r="1325" spans="1:91" ht="14.25" customHeight="1" x14ac:dyDescent="0.3">
      <c r="A1325" s="1" t="s">
        <v>7724</v>
      </c>
      <c r="B1325" s="1" t="s">
        <v>137</v>
      </c>
      <c r="D1325" s="1" t="s">
        <v>5702</v>
      </c>
      <c r="E1325" s="1" t="s">
        <v>7725</v>
      </c>
      <c r="F1325" s="1" t="s">
        <v>95</v>
      </c>
      <c r="G1325" s="1" t="s">
        <v>7726</v>
      </c>
      <c r="H1325" s="1">
        <v>0</v>
      </c>
      <c r="I1325" s="1" t="s">
        <v>117</v>
      </c>
      <c r="J1325" s="1" t="s">
        <v>627</v>
      </c>
      <c r="M1325" s="1" t="s">
        <v>119</v>
      </c>
      <c r="N1325" s="1">
        <v>0</v>
      </c>
      <c r="O1325" s="1">
        <v>0</v>
      </c>
      <c r="P1325" s="1" t="s">
        <v>4649</v>
      </c>
      <c r="Q1325" s="1" t="s">
        <v>101</v>
      </c>
      <c r="R1325" s="1" t="s">
        <v>7727</v>
      </c>
      <c r="S1325" s="1" t="s">
        <v>7302</v>
      </c>
      <c r="T1325" s="1">
        <v>1</v>
      </c>
      <c r="U1325" s="1">
        <v>1</v>
      </c>
      <c r="V1325" s="1">
        <v>1</v>
      </c>
      <c r="W1325" s="1">
        <v>0</v>
      </c>
      <c r="X1325" s="1">
        <v>1</v>
      </c>
      <c r="Y1325" s="1">
        <v>4</v>
      </c>
      <c r="Z1325" s="1">
        <v>4</v>
      </c>
      <c r="AA1325" s="1" t="s">
        <v>104</v>
      </c>
      <c r="AB1325" s="1">
        <v>4</v>
      </c>
      <c r="AC1325" s="1" t="s">
        <v>104</v>
      </c>
      <c r="AD1325" s="1" t="s">
        <v>104</v>
      </c>
      <c r="AE1325" s="1" t="s">
        <v>104</v>
      </c>
      <c r="AF1325" s="1" t="s">
        <v>104</v>
      </c>
      <c r="AG1325" s="1">
        <v>3</v>
      </c>
      <c r="AH1325" s="1" t="s">
        <v>104</v>
      </c>
      <c r="AI1325" s="1" t="s">
        <v>104</v>
      </c>
      <c r="AJ1325" s="1" t="s">
        <v>104</v>
      </c>
      <c r="AK1325" s="1" t="s">
        <v>104</v>
      </c>
      <c r="AL1325" s="1" t="s">
        <v>104</v>
      </c>
      <c r="AM1325" s="1" t="s">
        <v>104</v>
      </c>
      <c r="AO1325" s="1">
        <v>4</v>
      </c>
      <c r="AQ1325" s="1" t="s">
        <v>7728</v>
      </c>
      <c r="AR1325" s="1">
        <v>0</v>
      </c>
      <c r="AS1325" s="1">
        <v>0</v>
      </c>
      <c r="AT1325" s="1">
        <v>0</v>
      </c>
      <c r="AU1325" s="1">
        <v>0</v>
      </c>
      <c r="AV1325" s="1">
        <v>0</v>
      </c>
      <c r="AW1325" s="1">
        <v>0</v>
      </c>
      <c r="AX1325" s="1">
        <v>0</v>
      </c>
      <c r="AY1325" s="1">
        <v>0</v>
      </c>
      <c r="AZ1325" s="1">
        <v>1</v>
      </c>
      <c r="BA1325" s="1">
        <v>0</v>
      </c>
      <c r="BB1325" s="1">
        <v>0</v>
      </c>
      <c r="BC1325" s="1">
        <v>0</v>
      </c>
      <c r="BD1325" s="1">
        <v>0</v>
      </c>
      <c r="BE1325" s="1">
        <v>1</v>
      </c>
      <c r="BF1325" s="1">
        <v>0</v>
      </c>
      <c r="BG1325" s="1">
        <v>0</v>
      </c>
      <c r="BH1325" s="1">
        <v>0</v>
      </c>
      <c r="BI1325" s="1">
        <v>0</v>
      </c>
      <c r="BJ1325" s="1">
        <v>0</v>
      </c>
      <c r="BK1325" s="1">
        <v>0</v>
      </c>
      <c r="BL1325" s="1">
        <v>0</v>
      </c>
      <c r="BM1325" s="1">
        <v>0</v>
      </c>
      <c r="BN1325" s="1">
        <v>0</v>
      </c>
      <c r="BO1325" s="1">
        <v>0</v>
      </c>
      <c r="BP1325" s="1">
        <v>0</v>
      </c>
      <c r="BQ1325" s="2" t="str">
        <f>HYPERLINK("http://www.d20pfsrd.com/magic/all-spells/o/obsidian-flow","Obsidian Flow")</f>
        <v>Obsidian Flow</v>
      </c>
      <c r="BR1325" s="1">
        <v>1379</v>
      </c>
      <c r="BS1325" s="1" t="s">
        <v>104</v>
      </c>
      <c r="BX1325" s="1">
        <v>0</v>
      </c>
      <c r="BY1325" s="1" t="s">
        <v>104</v>
      </c>
      <c r="BZ1325" s="1" t="s">
        <v>104</v>
      </c>
      <c r="CA1325" s="1" t="s">
        <v>104</v>
      </c>
      <c r="CB1325" s="1" t="s">
        <v>104</v>
      </c>
      <c r="CC1325" s="1" t="s">
        <v>104</v>
      </c>
      <c r="CD1325" s="1" t="s">
        <v>104</v>
      </c>
      <c r="CE1325" s="1" t="s">
        <v>104</v>
      </c>
      <c r="CF1325" s="1" t="s">
        <v>104</v>
      </c>
      <c r="CG1325" s="1" t="s">
        <v>104</v>
      </c>
      <c r="CH1325" s="1">
        <v>4</v>
      </c>
      <c r="CJ1325" s="1">
        <v>0</v>
      </c>
      <c r="CK1325" s="1">
        <v>0</v>
      </c>
      <c r="CL1325" s="1">
        <v>0</v>
      </c>
      <c r="CM1325" s="1">
        <v>4</v>
      </c>
    </row>
    <row r="1326" spans="1:91" ht="14.25" customHeight="1" x14ac:dyDescent="0.3">
      <c r="A1326" s="1" t="s">
        <v>7729</v>
      </c>
      <c r="B1326" s="1" t="s">
        <v>162</v>
      </c>
      <c r="E1326" s="1" t="s">
        <v>7730</v>
      </c>
      <c r="F1326" s="1" t="s">
        <v>95</v>
      </c>
      <c r="G1326" s="1" t="s">
        <v>1802</v>
      </c>
      <c r="H1326" s="1">
        <v>0</v>
      </c>
      <c r="I1326" s="1" t="s">
        <v>117</v>
      </c>
      <c r="L1326" s="1" t="s">
        <v>7731</v>
      </c>
      <c r="M1326" s="1" t="s">
        <v>2330</v>
      </c>
      <c r="N1326" s="1">
        <v>0</v>
      </c>
      <c r="O1326" s="1">
        <v>0</v>
      </c>
      <c r="P1326" s="1" t="s">
        <v>471</v>
      </c>
      <c r="Q1326" s="1" t="s">
        <v>472</v>
      </c>
      <c r="R1326" s="1" t="s">
        <v>7732</v>
      </c>
      <c r="S1326" s="1" t="s">
        <v>7302</v>
      </c>
      <c r="T1326" s="1">
        <v>0</v>
      </c>
      <c r="U1326" s="1">
        <v>1</v>
      </c>
      <c r="V1326" s="1">
        <v>0</v>
      </c>
      <c r="W1326" s="1">
        <v>0</v>
      </c>
      <c r="X1326" s="1">
        <v>0</v>
      </c>
      <c r="Y1326" s="1">
        <v>1</v>
      </c>
      <c r="Z1326" s="1">
        <v>1</v>
      </c>
      <c r="AA1326" s="1" t="s">
        <v>104</v>
      </c>
      <c r="AB1326" s="1" t="s">
        <v>104</v>
      </c>
      <c r="AC1326" s="1" t="s">
        <v>104</v>
      </c>
      <c r="AD1326" s="1" t="s">
        <v>104</v>
      </c>
      <c r="AE1326" s="1" t="s">
        <v>104</v>
      </c>
      <c r="AF1326" s="1" t="s">
        <v>104</v>
      </c>
      <c r="AG1326" s="1" t="s">
        <v>104</v>
      </c>
      <c r="AH1326" s="1">
        <v>1</v>
      </c>
      <c r="AI1326" s="1">
        <v>1</v>
      </c>
      <c r="AJ1326" s="1" t="s">
        <v>104</v>
      </c>
      <c r="AK1326" s="1" t="s">
        <v>104</v>
      </c>
      <c r="AL1326" s="1" t="s">
        <v>104</v>
      </c>
      <c r="AM1326" s="1" t="s">
        <v>104</v>
      </c>
      <c r="AO1326" s="1">
        <v>1</v>
      </c>
      <c r="AQ1326" s="1" t="s">
        <v>7733</v>
      </c>
      <c r="AR1326" s="1">
        <v>0</v>
      </c>
      <c r="AS1326" s="1">
        <v>0</v>
      </c>
      <c r="AT1326" s="1">
        <v>0</v>
      </c>
      <c r="AU1326" s="1">
        <v>0</v>
      </c>
      <c r="AV1326" s="1">
        <v>0</v>
      </c>
      <c r="AW1326" s="1">
        <v>0</v>
      </c>
      <c r="AX1326" s="1">
        <v>0</v>
      </c>
      <c r="AY1326" s="1">
        <v>0</v>
      </c>
      <c r="AZ1326" s="1">
        <v>0</v>
      </c>
      <c r="BA1326" s="1">
        <v>0</v>
      </c>
      <c r="BB1326" s="1">
        <v>0</v>
      </c>
      <c r="BC1326" s="1">
        <v>0</v>
      </c>
      <c r="BD1326" s="1">
        <v>0</v>
      </c>
      <c r="BE1326" s="1">
        <v>0</v>
      </c>
      <c r="BF1326" s="1">
        <v>0</v>
      </c>
      <c r="BG1326" s="1">
        <v>0</v>
      </c>
      <c r="BH1326" s="1">
        <v>0</v>
      </c>
      <c r="BI1326" s="1">
        <v>0</v>
      </c>
      <c r="BJ1326" s="1">
        <v>0</v>
      </c>
      <c r="BK1326" s="1">
        <v>0</v>
      </c>
      <c r="BL1326" s="1">
        <v>0</v>
      </c>
      <c r="BM1326" s="1">
        <v>0</v>
      </c>
      <c r="BN1326" s="1">
        <v>0</v>
      </c>
      <c r="BO1326" s="1">
        <v>0</v>
      </c>
      <c r="BP1326" s="1">
        <v>0</v>
      </c>
      <c r="BQ1326" s="2" t="str">
        <f>HYPERLINK("http://www.d20pfsrd.com/magic/all-spells/p/peacebond","Peacebond")</f>
        <v>Peacebond</v>
      </c>
      <c r="BR1326" s="1">
        <v>1380</v>
      </c>
      <c r="BS1326" s="1" t="s">
        <v>104</v>
      </c>
      <c r="BX1326" s="1">
        <v>0</v>
      </c>
      <c r="BY1326" s="1" t="s">
        <v>104</v>
      </c>
      <c r="BZ1326" s="1" t="s">
        <v>104</v>
      </c>
      <c r="CA1326" s="1">
        <v>1</v>
      </c>
      <c r="CB1326" s="1" t="s">
        <v>104</v>
      </c>
      <c r="CC1326" s="1" t="s">
        <v>104</v>
      </c>
      <c r="CD1326" s="1">
        <v>1</v>
      </c>
      <c r="CE1326" s="1" t="s">
        <v>104</v>
      </c>
      <c r="CF1326" s="1" t="s">
        <v>104</v>
      </c>
      <c r="CG1326" s="1" t="s">
        <v>104</v>
      </c>
      <c r="CH1326" s="1" t="s">
        <v>104</v>
      </c>
      <c r="CJ1326" s="1">
        <v>0</v>
      </c>
      <c r="CK1326" s="1">
        <v>0</v>
      </c>
      <c r="CL1326" s="1">
        <v>0</v>
      </c>
      <c r="CM1326" s="1" t="s">
        <v>104</v>
      </c>
    </row>
    <row r="1327" spans="1:91" ht="14.25" customHeight="1" x14ac:dyDescent="0.3">
      <c r="A1327" s="1" t="s">
        <v>7734</v>
      </c>
      <c r="B1327" s="1" t="s">
        <v>92</v>
      </c>
      <c r="C1327" s="1" t="s">
        <v>93</v>
      </c>
      <c r="E1327" s="1" t="s">
        <v>7735</v>
      </c>
      <c r="F1327" s="1" t="s">
        <v>95</v>
      </c>
      <c r="G1327" s="1" t="s">
        <v>7736</v>
      </c>
      <c r="H1327" s="1">
        <v>0</v>
      </c>
      <c r="I1327" s="1" t="s">
        <v>914</v>
      </c>
      <c r="J1327" s="1" t="s">
        <v>549</v>
      </c>
      <c r="M1327" s="1" t="s">
        <v>119</v>
      </c>
      <c r="N1327" s="1">
        <v>0</v>
      </c>
      <c r="O1327" s="1">
        <v>0</v>
      </c>
      <c r="P1327" s="1" t="s">
        <v>550</v>
      </c>
      <c r="Q1327" s="1" t="s">
        <v>101</v>
      </c>
      <c r="R1327" s="1" t="s">
        <v>7737</v>
      </c>
      <c r="S1327" s="1" t="s">
        <v>7302</v>
      </c>
      <c r="T1327" s="1">
        <v>1</v>
      </c>
      <c r="U1327" s="1">
        <v>1</v>
      </c>
      <c r="V1327" s="1">
        <v>1</v>
      </c>
      <c r="W1327" s="1">
        <v>0</v>
      </c>
      <c r="X1327" s="1">
        <v>0</v>
      </c>
      <c r="Y1327" s="1">
        <v>3</v>
      </c>
      <c r="Z1327" s="1">
        <v>3</v>
      </c>
      <c r="AA1327" s="1" t="s">
        <v>104</v>
      </c>
      <c r="AB1327" s="1" t="s">
        <v>104</v>
      </c>
      <c r="AC1327" s="1" t="s">
        <v>104</v>
      </c>
      <c r="AD1327" s="1" t="s">
        <v>104</v>
      </c>
      <c r="AE1327" s="1" t="s">
        <v>104</v>
      </c>
      <c r="AF1327" s="1" t="s">
        <v>104</v>
      </c>
      <c r="AG1327" s="1">
        <v>3</v>
      </c>
      <c r="AH1327" s="1" t="s">
        <v>104</v>
      </c>
      <c r="AI1327" s="1" t="s">
        <v>104</v>
      </c>
      <c r="AJ1327" s="1" t="s">
        <v>104</v>
      </c>
      <c r="AK1327" s="1" t="s">
        <v>104</v>
      </c>
      <c r="AL1327" s="1">
        <v>4</v>
      </c>
      <c r="AM1327" s="1" t="s">
        <v>104</v>
      </c>
      <c r="AO1327" s="1">
        <v>3</v>
      </c>
      <c r="AQ1327" s="1" t="s">
        <v>7738</v>
      </c>
      <c r="AR1327" s="1">
        <v>0</v>
      </c>
      <c r="AS1327" s="1">
        <v>0</v>
      </c>
      <c r="AT1327" s="1">
        <v>0</v>
      </c>
      <c r="AU1327" s="1">
        <v>0</v>
      </c>
      <c r="AV1327" s="1">
        <v>0</v>
      </c>
      <c r="AW1327" s="1">
        <v>0</v>
      </c>
      <c r="AX1327" s="1">
        <v>0</v>
      </c>
      <c r="AY1327" s="1">
        <v>0</v>
      </c>
      <c r="AZ1327" s="1">
        <v>0</v>
      </c>
      <c r="BA1327" s="1">
        <v>0</v>
      </c>
      <c r="BB1327" s="1">
        <v>0</v>
      </c>
      <c r="BC1327" s="1">
        <v>0</v>
      </c>
      <c r="BD1327" s="1">
        <v>0</v>
      </c>
      <c r="BE1327" s="1">
        <v>0</v>
      </c>
      <c r="BF1327" s="1">
        <v>0</v>
      </c>
      <c r="BG1327" s="1">
        <v>0</v>
      </c>
      <c r="BH1327" s="1">
        <v>0</v>
      </c>
      <c r="BI1327" s="1">
        <v>0</v>
      </c>
      <c r="BJ1327" s="1">
        <v>0</v>
      </c>
      <c r="BK1327" s="1">
        <v>0</v>
      </c>
      <c r="BL1327" s="1">
        <v>0</v>
      </c>
      <c r="BM1327" s="1">
        <v>0</v>
      </c>
      <c r="BN1327" s="1">
        <v>0</v>
      </c>
      <c r="BO1327" s="1">
        <v>0</v>
      </c>
      <c r="BP1327" s="1">
        <v>0</v>
      </c>
      <c r="BQ1327" s="2" t="str">
        <f>HYPERLINK("http://www.d20pfsrd.com/magic/all-spells/p/pellet-blast","Pellet Blast")</f>
        <v>Pellet Blast</v>
      </c>
      <c r="BR1327" s="1">
        <v>1381</v>
      </c>
      <c r="BS1327" s="1" t="s">
        <v>104</v>
      </c>
      <c r="BX1327" s="1">
        <v>0</v>
      </c>
      <c r="BY1327" s="1">
        <v>4</v>
      </c>
      <c r="BZ1327" s="1" t="s">
        <v>104</v>
      </c>
      <c r="CA1327" s="1">
        <v>3</v>
      </c>
      <c r="CB1327" s="1" t="s">
        <v>104</v>
      </c>
      <c r="CC1327" s="1" t="s">
        <v>104</v>
      </c>
      <c r="CD1327" s="1" t="s">
        <v>104</v>
      </c>
      <c r="CE1327" s="1" t="s">
        <v>104</v>
      </c>
      <c r="CF1327" s="1" t="s">
        <v>104</v>
      </c>
      <c r="CG1327" s="1" t="s">
        <v>104</v>
      </c>
      <c r="CH1327" s="1" t="s">
        <v>104</v>
      </c>
      <c r="CJ1327" s="1">
        <v>0</v>
      </c>
      <c r="CK1327" s="1">
        <v>0</v>
      </c>
      <c r="CL1327" s="1">
        <v>0</v>
      </c>
      <c r="CM1327" s="1">
        <v>3</v>
      </c>
    </row>
    <row r="1328" spans="1:91" ht="14.25" customHeight="1" x14ac:dyDescent="0.3">
      <c r="A1328" s="1" t="s">
        <v>7739</v>
      </c>
      <c r="B1328" s="1" t="s">
        <v>92</v>
      </c>
      <c r="C1328" s="1" t="s">
        <v>93</v>
      </c>
      <c r="E1328" s="1" t="s">
        <v>7740</v>
      </c>
      <c r="F1328" s="1" t="s">
        <v>287</v>
      </c>
      <c r="G1328" s="1" t="s">
        <v>116</v>
      </c>
      <c r="H1328" s="1">
        <v>0</v>
      </c>
      <c r="I1328" s="1" t="s">
        <v>705</v>
      </c>
      <c r="K1328" s="1" t="s">
        <v>7741</v>
      </c>
      <c r="M1328" s="1" t="s">
        <v>620</v>
      </c>
      <c r="N1328" s="1">
        <v>1</v>
      </c>
      <c r="O1328" s="1">
        <v>0</v>
      </c>
      <c r="P1328" s="1" t="s">
        <v>100</v>
      </c>
      <c r="Q1328" s="1" t="s">
        <v>101</v>
      </c>
      <c r="R1328" s="1" t="s">
        <v>7742</v>
      </c>
      <c r="S1328" s="1" t="s">
        <v>7302</v>
      </c>
      <c r="T1328" s="1">
        <v>1</v>
      </c>
      <c r="U1328" s="1">
        <v>1</v>
      </c>
      <c r="V1328" s="1">
        <v>0</v>
      </c>
      <c r="W1328" s="1">
        <v>0</v>
      </c>
      <c r="X1328" s="1">
        <v>0</v>
      </c>
      <c r="Y1328" s="1">
        <v>4</v>
      </c>
      <c r="Z1328" s="1">
        <v>4</v>
      </c>
      <c r="AA1328" s="1" t="s">
        <v>104</v>
      </c>
      <c r="AB1328" s="1" t="s">
        <v>104</v>
      </c>
      <c r="AC1328" s="1" t="s">
        <v>104</v>
      </c>
      <c r="AD1328" s="1" t="s">
        <v>104</v>
      </c>
      <c r="AE1328" s="1" t="s">
        <v>104</v>
      </c>
      <c r="AF1328" s="1" t="s">
        <v>104</v>
      </c>
      <c r="AG1328" s="1">
        <v>3</v>
      </c>
      <c r="AH1328" s="1" t="s">
        <v>104</v>
      </c>
      <c r="AI1328" s="1" t="s">
        <v>104</v>
      </c>
      <c r="AJ1328" s="1" t="s">
        <v>104</v>
      </c>
      <c r="AK1328" s="1" t="s">
        <v>104</v>
      </c>
      <c r="AL1328" s="1" t="s">
        <v>104</v>
      </c>
      <c r="AM1328" s="1" t="s">
        <v>104</v>
      </c>
      <c r="AO1328" s="1">
        <v>4</v>
      </c>
      <c r="AQ1328" s="1" t="s">
        <v>7743</v>
      </c>
      <c r="AR1328" s="1">
        <v>0</v>
      </c>
      <c r="AS1328" s="1">
        <v>0</v>
      </c>
      <c r="AT1328" s="1">
        <v>0</v>
      </c>
      <c r="AU1328" s="1">
        <v>0</v>
      </c>
      <c r="AV1328" s="1">
        <v>0</v>
      </c>
      <c r="AW1328" s="1">
        <v>0</v>
      </c>
      <c r="AX1328" s="1">
        <v>0</v>
      </c>
      <c r="AY1328" s="1">
        <v>0</v>
      </c>
      <c r="AZ1328" s="1">
        <v>0</v>
      </c>
      <c r="BA1328" s="1">
        <v>0</v>
      </c>
      <c r="BB1328" s="1">
        <v>0</v>
      </c>
      <c r="BC1328" s="1">
        <v>0</v>
      </c>
      <c r="BD1328" s="1">
        <v>0</v>
      </c>
      <c r="BE1328" s="1">
        <v>0</v>
      </c>
      <c r="BF1328" s="1">
        <v>0</v>
      </c>
      <c r="BG1328" s="1">
        <v>0</v>
      </c>
      <c r="BH1328" s="1">
        <v>0</v>
      </c>
      <c r="BI1328" s="1">
        <v>0</v>
      </c>
      <c r="BJ1328" s="1">
        <v>0</v>
      </c>
      <c r="BK1328" s="1">
        <v>0</v>
      </c>
      <c r="BL1328" s="1">
        <v>0</v>
      </c>
      <c r="BM1328" s="1">
        <v>0</v>
      </c>
      <c r="BN1328" s="1">
        <v>0</v>
      </c>
      <c r="BO1328" s="1">
        <v>0</v>
      </c>
      <c r="BP1328" s="1">
        <v>0</v>
      </c>
      <c r="BQ1328" s="2" t="str">
        <f>HYPERLINK("http://www.d20pfsrd.com/magic/all-spells/p/phantom-chariot","Phantom Chariot")</f>
        <v>Phantom Chariot</v>
      </c>
      <c r="BR1328" s="1">
        <v>1382</v>
      </c>
      <c r="BS1328" s="1" t="s">
        <v>104</v>
      </c>
      <c r="BX1328" s="1">
        <v>0</v>
      </c>
      <c r="BY1328" s="1" t="s">
        <v>104</v>
      </c>
      <c r="BZ1328" s="1" t="s">
        <v>104</v>
      </c>
      <c r="CA1328" s="1" t="s">
        <v>104</v>
      </c>
      <c r="CB1328" s="1" t="s">
        <v>104</v>
      </c>
      <c r="CC1328" s="1" t="s">
        <v>104</v>
      </c>
      <c r="CD1328" s="1">
        <v>4</v>
      </c>
      <c r="CE1328" s="1">
        <v>4</v>
      </c>
      <c r="CF1328" s="1" t="s">
        <v>104</v>
      </c>
      <c r="CG1328" s="1" t="s">
        <v>104</v>
      </c>
      <c r="CH1328" s="1" t="s">
        <v>104</v>
      </c>
      <c r="CJ1328" s="1">
        <v>0</v>
      </c>
      <c r="CK1328" s="1">
        <v>0</v>
      </c>
      <c r="CL1328" s="1">
        <v>0</v>
      </c>
      <c r="CM1328" s="1">
        <v>3</v>
      </c>
    </row>
    <row r="1329" spans="1:91" ht="14.25" customHeight="1" x14ac:dyDescent="0.3">
      <c r="A1329" s="1" t="s">
        <v>7744</v>
      </c>
      <c r="B1329" s="1" t="s">
        <v>92</v>
      </c>
      <c r="C1329" s="1" t="s">
        <v>93</v>
      </c>
      <c r="E1329" s="1" t="s">
        <v>7745</v>
      </c>
      <c r="F1329" s="1" t="s">
        <v>287</v>
      </c>
      <c r="G1329" s="1" t="s">
        <v>116</v>
      </c>
      <c r="H1329" s="1">
        <v>0</v>
      </c>
      <c r="I1329" s="1" t="s">
        <v>256</v>
      </c>
      <c r="K1329" s="1" t="s">
        <v>7746</v>
      </c>
      <c r="M1329" s="1" t="s">
        <v>620</v>
      </c>
      <c r="N1329" s="1">
        <v>1</v>
      </c>
      <c r="O1329" s="1">
        <v>0</v>
      </c>
      <c r="P1329" s="1" t="s">
        <v>100</v>
      </c>
      <c r="Q1329" s="1" t="s">
        <v>101</v>
      </c>
      <c r="R1329" s="1" t="s">
        <v>7747</v>
      </c>
      <c r="S1329" s="1" t="s">
        <v>7302</v>
      </c>
      <c r="T1329" s="1">
        <v>1</v>
      </c>
      <c r="U1329" s="1">
        <v>1</v>
      </c>
      <c r="V1329" s="1">
        <v>0</v>
      </c>
      <c r="W1329" s="1">
        <v>0</v>
      </c>
      <c r="X1329" s="1">
        <v>0</v>
      </c>
      <c r="Y1329" s="1">
        <v>3</v>
      </c>
      <c r="Z1329" s="1">
        <v>3</v>
      </c>
      <c r="AA1329" s="1" t="s">
        <v>104</v>
      </c>
      <c r="AB1329" s="1" t="s">
        <v>104</v>
      </c>
      <c r="AC1329" s="1" t="s">
        <v>104</v>
      </c>
      <c r="AD1329" s="1">
        <v>3</v>
      </c>
      <c r="AE1329" s="1" t="s">
        <v>104</v>
      </c>
      <c r="AF1329" s="1" t="s">
        <v>104</v>
      </c>
      <c r="AG1329" s="1" t="s">
        <v>104</v>
      </c>
      <c r="AH1329" s="1" t="s">
        <v>104</v>
      </c>
      <c r="AI1329" s="1" t="s">
        <v>104</v>
      </c>
      <c r="AJ1329" s="1" t="s">
        <v>104</v>
      </c>
      <c r="AK1329" s="1" t="s">
        <v>104</v>
      </c>
      <c r="AL1329" s="1" t="s">
        <v>104</v>
      </c>
      <c r="AM1329" s="1" t="s">
        <v>104</v>
      </c>
      <c r="AO1329" s="1">
        <v>3</v>
      </c>
      <c r="AQ1329" s="1" t="s">
        <v>7748</v>
      </c>
      <c r="AR1329" s="1">
        <v>0</v>
      </c>
      <c r="AS1329" s="1">
        <v>0</v>
      </c>
      <c r="AT1329" s="1">
        <v>0</v>
      </c>
      <c r="AU1329" s="1">
        <v>0</v>
      </c>
      <c r="AV1329" s="1">
        <v>0</v>
      </c>
      <c r="AW1329" s="1">
        <v>0</v>
      </c>
      <c r="AX1329" s="1">
        <v>0</v>
      </c>
      <c r="AY1329" s="1">
        <v>0</v>
      </c>
      <c r="AZ1329" s="1">
        <v>0</v>
      </c>
      <c r="BA1329" s="1">
        <v>0</v>
      </c>
      <c r="BB1329" s="1">
        <v>0</v>
      </c>
      <c r="BC1329" s="1">
        <v>0</v>
      </c>
      <c r="BD1329" s="1">
        <v>0</v>
      </c>
      <c r="BE1329" s="1">
        <v>0</v>
      </c>
      <c r="BF1329" s="1">
        <v>0</v>
      </c>
      <c r="BG1329" s="1">
        <v>0</v>
      </c>
      <c r="BH1329" s="1">
        <v>0</v>
      </c>
      <c r="BI1329" s="1">
        <v>0</v>
      </c>
      <c r="BJ1329" s="1">
        <v>0</v>
      </c>
      <c r="BK1329" s="1">
        <v>0</v>
      </c>
      <c r="BL1329" s="1">
        <v>0</v>
      </c>
      <c r="BM1329" s="1">
        <v>0</v>
      </c>
      <c r="BN1329" s="1">
        <v>0</v>
      </c>
      <c r="BO1329" s="1">
        <v>0</v>
      </c>
      <c r="BP1329" s="1">
        <v>0</v>
      </c>
      <c r="BQ1329" s="2" t="str">
        <f>HYPERLINK("http://www.d20pfsrd.com/magic/all-spells/p/phantom-driver","Phantom Driver")</f>
        <v>Phantom Driver</v>
      </c>
      <c r="BR1329" s="1">
        <v>1383</v>
      </c>
      <c r="BS1329" s="1" t="s">
        <v>104</v>
      </c>
      <c r="BX1329" s="1">
        <v>0</v>
      </c>
      <c r="BY1329" s="1" t="s">
        <v>104</v>
      </c>
      <c r="BZ1329" s="1" t="s">
        <v>104</v>
      </c>
      <c r="CA1329" s="1" t="s">
        <v>104</v>
      </c>
      <c r="CB1329" s="1" t="s">
        <v>104</v>
      </c>
      <c r="CC1329" s="1" t="s">
        <v>104</v>
      </c>
      <c r="CD1329" s="1">
        <v>3</v>
      </c>
      <c r="CE1329" s="1">
        <v>3</v>
      </c>
      <c r="CF1329" s="1" t="s">
        <v>104</v>
      </c>
      <c r="CG1329" s="1" t="s">
        <v>104</v>
      </c>
      <c r="CH1329" s="1" t="s">
        <v>104</v>
      </c>
      <c r="CJ1329" s="1">
        <v>0</v>
      </c>
      <c r="CK1329" s="1">
        <v>0</v>
      </c>
      <c r="CL1329" s="1">
        <v>0</v>
      </c>
      <c r="CM1329" s="1" t="s">
        <v>104</v>
      </c>
    </row>
    <row r="1330" spans="1:91" ht="14.25" customHeight="1" x14ac:dyDescent="0.3">
      <c r="A1330" s="1" t="s">
        <v>7749</v>
      </c>
      <c r="B1330" s="1" t="s">
        <v>92</v>
      </c>
      <c r="C1330" s="1" t="s">
        <v>93</v>
      </c>
      <c r="E1330" s="1" t="s">
        <v>7750</v>
      </c>
      <c r="F1330" s="1" t="s">
        <v>287</v>
      </c>
      <c r="G1330" s="1" t="s">
        <v>116</v>
      </c>
      <c r="H1330" s="1">
        <v>0</v>
      </c>
      <c r="I1330" s="1" t="s">
        <v>117</v>
      </c>
      <c r="K1330" s="1" t="s">
        <v>7751</v>
      </c>
      <c r="M1330" s="1" t="s">
        <v>620</v>
      </c>
      <c r="N1330" s="1">
        <v>1</v>
      </c>
      <c r="O1330" s="1">
        <v>0</v>
      </c>
      <c r="P1330" s="1" t="s">
        <v>100</v>
      </c>
      <c r="Q1330" s="1" t="s">
        <v>101</v>
      </c>
      <c r="R1330" s="1" t="s">
        <v>7752</v>
      </c>
      <c r="S1330" s="1" t="s">
        <v>7302</v>
      </c>
      <c r="T1330" s="1">
        <v>1</v>
      </c>
      <c r="U1330" s="1">
        <v>1</v>
      </c>
      <c r="V1330" s="1">
        <v>0</v>
      </c>
      <c r="W1330" s="1">
        <v>0</v>
      </c>
      <c r="X1330" s="1">
        <v>0</v>
      </c>
      <c r="Y1330" s="1">
        <v>4</v>
      </c>
      <c r="Z1330" s="1">
        <v>4</v>
      </c>
      <c r="AA1330" s="1" t="s">
        <v>104</v>
      </c>
      <c r="AB1330" s="1" t="s">
        <v>104</v>
      </c>
      <c r="AC1330" s="1" t="s">
        <v>104</v>
      </c>
      <c r="AD1330" s="1">
        <v>4</v>
      </c>
      <c r="AE1330" s="1" t="s">
        <v>104</v>
      </c>
      <c r="AF1330" s="1" t="s">
        <v>104</v>
      </c>
      <c r="AG1330" s="1">
        <v>3</v>
      </c>
      <c r="AH1330" s="1" t="s">
        <v>104</v>
      </c>
      <c r="AI1330" s="1" t="s">
        <v>104</v>
      </c>
      <c r="AJ1330" s="1" t="s">
        <v>104</v>
      </c>
      <c r="AK1330" s="1" t="s">
        <v>104</v>
      </c>
      <c r="AL1330" s="1" t="s">
        <v>104</v>
      </c>
      <c r="AM1330" s="1" t="s">
        <v>104</v>
      </c>
      <c r="AO1330" s="1">
        <v>4</v>
      </c>
      <c r="AQ1330" s="1" t="s">
        <v>7753</v>
      </c>
      <c r="AR1330" s="1">
        <v>0</v>
      </c>
      <c r="AS1330" s="1">
        <v>0</v>
      </c>
      <c r="AT1330" s="1">
        <v>0</v>
      </c>
      <c r="AU1330" s="1">
        <v>0</v>
      </c>
      <c r="AV1330" s="1">
        <v>0</v>
      </c>
      <c r="AW1330" s="1">
        <v>0</v>
      </c>
      <c r="AX1330" s="1">
        <v>0</v>
      </c>
      <c r="AY1330" s="1">
        <v>0</v>
      </c>
      <c r="AZ1330" s="1">
        <v>0</v>
      </c>
      <c r="BA1330" s="1">
        <v>0</v>
      </c>
      <c r="BB1330" s="1">
        <v>0</v>
      </c>
      <c r="BC1330" s="1">
        <v>0</v>
      </c>
      <c r="BD1330" s="1">
        <v>0</v>
      </c>
      <c r="BE1330" s="1">
        <v>0</v>
      </c>
      <c r="BF1330" s="1">
        <v>0</v>
      </c>
      <c r="BG1330" s="1">
        <v>0</v>
      </c>
      <c r="BH1330" s="1">
        <v>0</v>
      </c>
      <c r="BI1330" s="1">
        <v>0</v>
      </c>
      <c r="BJ1330" s="1">
        <v>0</v>
      </c>
      <c r="BK1330" s="1">
        <v>0</v>
      </c>
      <c r="BL1330" s="1">
        <v>0</v>
      </c>
      <c r="BM1330" s="1">
        <v>0</v>
      </c>
      <c r="BN1330" s="1">
        <v>0</v>
      </c>
      <c r="BO1330" s="1">
        <v>0</v>
      </c>
      <c r="BP1330" s="1">
        <v>0</v>
      </c>
      <c r="BQ1330" s="2" t="str">
        <f>HYPERLINK("http://www.d20pfsrd.com/magic/all-spells/p/phantom-steed#TOC-Phantom-Steed-Communal","Phantom Steed, Communal")</f>
        <v>Phantom Steed, Communal</v>
      </c>
      <c r="BR1330" s="1">
        <v>1384</v>
      </c>
      <c r="BS1330" s="1" t="s">
        <v>104</v>
      </c>
      <c r="BX1330" s="1">
        <v>0</v>
      </c>
      <c r="BY1330" s="1" t="s">
        <v>104</v>
      </c>
      <c r="BZ1330" s="1" t="s">
        <v>104</v>
      </c>
      <c r="CA1330" s="1" t="s">
        <v>104</v>
      </c>
      <c r="CB1330" s="1" t="s">
        <v>104</v>
      </c>
      <c r="CC1330" s="1" t="s">
        <v>104</v>
      </c>
      <c r="CD1330" s="1">
        <v>4</v>
      </c>
      <c r="CE1330" s="1">
        <v>4</v>
      </c>
      <c r="CF1330" s="1" t="s">
        <v>104</v>
      </c>
      <c r="CG1330" s="1" t="s">
        <v>104</v>
      </c>
      <c r="CH1330" s="1" t="s">
        <v>104</v>
      </c>
      <c r="CJ1330" s="1">
        <v>0</v>
      </c>
      <c r="CK1330" s="1">
        <v>0</v>
      </c>
      <c r="CL1330" s="1">
        <v>0</v>
      </c>
      <c r="CM1330" s="1">
        <v>3</v>
      </c>
    </row>
    <row r="1331" spans="1:91" ht="14.25" customHeight="1" x14ac:dyDescent="0.3">
      <c r="A1331" s="1" t="s">
        <v>7754</v>
      </c>
      <c r="B1331" s="1" t="s">
        <v>434</v>
      </c>
      <c r="D1331" s="1" t="s">
        <v>57</v>
      </c>
      <c r="E1331" s="1" t="s">
        <v>7755</v>
      </c>
      <c r="F1331" s="1" t="s">
        <v>95</v>
      </c>
      <c r="G1331" s="1" t="s">
        <v>1802</v>
      </c>
      <c r="H1331" s="1">
        <v>0</v>
      </c>
      <c r="I1331" s="1" t="s">
        <v>117</v>
      </c>
      <c r="L1331" s="1" t="s">
        <v>7756</v>
      </c>
      <c r="M1331" s="1" t="s">
        <v>145</v>
      </c>
      <c r="N1331" s="1">
        <v>0</v>
      </c>
      <c r="O1331" s="1">
        <v>0</v>
      </c>
      <c r="P1331" s="1" t="s">
        <v>100</v>
      </c>
      <c r="Q1331" s="1" t="s">
        <v>472</v>
      </c>
      <c r="R1331" s="1" t="s">
        <v>7757</v>
      </c>
      <c r="S1331" s="1" t="s">
        <v>7302</v>
      </c>
      <c r="T1331" s="1">
        <v>0</v>
      </c>
      <c r="U1331" s="1">
        <v>1</v>
      </c>
      <c r="V1331" s="1">
        <v>0</v>
      </c>
      <c r="W1331" s="1">
        <v>0</v>
      </c>
      <c r="X1331" s="1">
        <v>0</v>
      </c>
      <c r="Y1331" s="1">
        <v>2</v>
      </c>
      <c r="Z1331" s="1">
        <v>2</v>
      </c>
      <c r="AA1331" s="1">
        <v>2</v>
      </c>
      <c r="AB1331" s="1" t="s">
        <v>104</v>
      </c>
      <c r="AC1331" s="1" t="s">
        <v>104</v>
      </c>
      <c r="AD1331" s="1">
        <v>2</v>
      </c>
      <c r="AE1331" s="1" t="s">
        <v>104</v>
      </c>
      <c r="AF1331" s="1" t="s">
        <v>104</v>
      </c>
      <c r="AG1331" s="1" t="s">
        <v>104</v>
      </c>
      <c r="AH1331" s="1" t="s">
        <v>104</v>
      </c>
      <c r="AI1331" s="1" t="s">
        <v>104</v>
      </c>
      <c r="AJ1331" s="1">
        <v>2</v>
      </c>
      <c r="AK1331" s="1" t="s">
        <v>104</v>
      </c>
      <c r="AL1331" s="1">
        <v>2</v>
      </c>
      <c r="AM1331" s="1" t="s">
        <v>104</v>
      </c>
      <c r="AO1331" s="1">
        <v>2</v>
      </c>
      <c r="AQ1331" s="1" t="s">
        <v>7758</v>
      </c>
      <c r="AR1331" s="1">
        <v>0</v>
      </c>
      <c r="AS1331" s="1">
        <v>0</v>
      </c>
      <c r="AT1331" s="1">
        <v>0</v>
      </c>
      <c r="AU1331" s="1">
        <v>0</v>
      </c>
      <c r="AV1331" s="1">
        <v>0</v>
      </c>
      <c r="AW1331" s="1">
        <v>0</v>
      </c>
      <c r="AX1331" s="1">
        <v>0</v>
      </c>
      <c r="AY1331" s="1">
        <v>0</v>
      </c>
      <c r="AZ1331" s="1">
        <v>0</v>
      </c>
      <c r="BA1331" s="1">
        <v>0</v>
      </c>
      <c r="BB1331" s="1">
        <v>0</v>
      </c>
      <c r="BC1331" s="1">
        <v>0</v>
      </c>
      <c r="BD1331" s="1">
        <v>0</v>
      </c>
      <c r="BE1331" s="1">
        <v>0</v>
      </c>
      <c r="BF1331" s="1">
        <v>1</v>
      </c>
      <c r="BG1331" s="1">
        <v>0</v>
      </c>
      <c r="BH1331" s="1">
        <v>0</v>
      </c>
      <c r="BI1331" s="1">
        <v>0</v>
      </c>
      <c r="BJ1331" s="1">
        <v>0</v>
      </c>
      <c r="BK1331" s="1">
        <v>0</v>
      </c>
      <c r="BL1331" s="1">
        <v>0</v>
      </c>
      <c r="BM1331" s="1">
        <v>0</v>
      </c>
      <c r="BN1331" s="1">
        <v>0</v>
      </c>
      <c r="BO1331" s="1">
        <v>0</v>
      </c>
      <c r="BP1331" s="1">
        <v>0</v>
      </c>
      <c r="BQ1331" s="2" t="str">
        <f>HYPERLINK("http://www.d20pfsrd.com/magic/all-spells/p/pilfering-hand","Pilfering Hand")</f>
        <v>Pilfering Hand</v>
      </c>
      <c r="BR1331" s="1">
        <v>1385</v>
      </c>
      <c r="BS1331" s="1" t="s">
        <v>104</v>
      </c>
      <c r="BX1331" s="1">
        <v>0</v>
      </c>
      <c r="BY1331" s="1" t="s">
        <v>104</v>
      </c>
      <c r="BZ1331" s="1" t="s">
        <v>104</v>
      </c>
      <c r="CA1331" s="1">
        <v>2</v>
      </c>
      <c r="CB1331" s="1">
        <v>2</v>
      </c>
      <c r="CC1331" s="1">
        <v>2</v>
      </c>
      <c r="CD1331" s="1">
        <v>2</v>
      </c>
      <c r="CE1331" s="1">
        <v>2</v>
      </c>
      <c r="CF1331" s="1" t="s">
        <v>104</v>
      </c>
      <c r="CG1331" s="1" t="s">
        <v>104</v>
      </c>
      <c r="CH1331" s="1" t="s">
        <v>104</v>
      </c>
      <c r="CJ1331" s="1">
        <v>0</v>
      </c>
      <c r="CK1331" s="1">
        <v>0</v>
      </c>
      <c r="CL1331" s="1">
        <v>0</v>
      </c>
      <c r="CM1331" s="1" t="s">
        <v>104</v>
      </c>
    </row>
    <row r="1332" spans="1:91" ht="14.25" customHeight="1" x14ac:dyDescent="0.3">
      <c r="A1332" s="1" t="s">
        <v>7759</v>
      </c>
      <c r="B1332" s="1" t="s">
        <v>162</v>
      </c>
      <c r="E1332" s="1" t="s">
        <v>7760</v>
      </c>
      <c r="F1332" s="1" t="s">
        <v>95</v>
      </c>
      <c r="G1332" s="1" t="s">
        <v>2916</v>
      </c>
      <c r="H1332" s="1">
        <v>0</v>
      </c>
      <c r="I1332" s="1" t="s">
        <v>128</v>
      </c>
      <c r="L1332" s="1" t="s">
        <v>7332</v>
      </c>
      <c r="M1332" s="1" t="s">
        <v>2591</v>
      </c>
      <c r="N1332" s="1">
        <v>0</v>
      </c>
      <c r="O1332" s="1">
        <v>0</v>
      </c>
      <c r="P1332" s="1" t="s">
        <v>375</v>
      </c>
      <c r="Q1332" s="1" t="s">
        <v>131</v>
      </c>
      <c r="R1332" s="1" t="s">
        <v>7761</v>
      </c>
      <c r="S1332" s="1" t="s">
        <v>7302</v>
      </c>
      <c r="T1332" s="1">
        <v>1</v>
      </c>
      <c r="U1332" s="1">
        <v>1</v>
      </c>
      <c r="V1332" s="1">
        <v>0</v>
      </c>
      <c r="W1332" s="1">
        <v>0</v>
      </c>
      <c r="X1332" s="1">
        <v>0</v>
      </c>
      <c r="Y1332" s="1">
        <v>3</v>
      </c>
      <c r="Z1332" s="1">
        <v>3</v>
      </c>
      <c r="AA1332" s="1" t="s">
        <v>104</v>
      </c>
      <c r="AB1332" s="1" t="s">
        <v>104</v>
      </c>
      <c r="AC1332" s="1" t="s">
        <v>104</v>
      </c>
      <c r="AD1332" s="1" t="s">
        <v>104</v>
      </c>
      <c r="AE1332" s="1" t="s">
        <v>104</v>
      </c>
      <c r="AF1332" s="1">
        <v>3</v>
      </c>
      <c r="AG1332" s="1">
        <v>3</v>
      </c>
      <c r="AH1332" s="1" t="s">
        <v>104</v>
      </c>
      <c r="AI1332" s="1" t="s">
        <v>104</v>
      </c>
      <c r="AJ1332" s="1" t="s">
        <v>104</v>
      </c>
      <c r="AK1332" s="1" t="s">
        <v>104</v>
      </c>
      <c r="AL1332" s="1" t="s">
        <v>104</v>
      </c>
      <c r="AM1332" s="1" t="s">
        <v>104</v>
      </c>
      <c r="AO1332" s="1">
        <v>3</v>
      </c>
      <c r="AQ1332" s="1" t="s">
        <v>7762</v>
      </c>
      <c r="AR1332" s="1">
        <v>0</v>
      </c>
      <c r="AS1332" s="1">
        <v>0</v>
      </c>
      <c r="AT1332" s="1">
        <v>0</v>
      </c>
      <c r="AU1332" s="1">
        <v>0</v>
      </c>
      <c r="AV1332" s="1">
        <v>0</v>
      </c>
      <c r="AW1332" s="1">
        <v>0</v>
      </c>
      <c r="AX1332" s="1">
        <v>0</v>
      </c>
      <c r="AY1332" s="1">
        <v>0</v>
      </c>
      <c r="AZ1332" s="1">
        <v>0</v>
      </c>
      <c r="BA1332" s="1">
        <v>0</v>
      </c>
      <c r="BB1332" s="1">
        <v>0</v>
      </c>
      <c r="BC1332" s="1">
        <v>0</v>
      </c>
      <c r="BD1332" s="1">
        <v>0</v>
      </c>
      <c r="BE1332" s="1">
        <v>0</v>
      </c>
      <c r="BF1332" s="1">
        <v>0</v>
      </c>
      <c r="BG1332" s="1">
        <v>0</v>
      </c>
      <c r="BH1332" s="1">
        <v>0</v>
      </c>
      <c r="BI1332" s="1">
        <v>0</v>
      </c>
      <c r="BJ1332" s="1">
        <v>0</v>
      </c>
      <c r="BK1332" s="1">
        <v>0</v>
      </c>
      <c r="BL1332" s="1">
        <v>0</v>
      </c>
      <c r="BM1332" s="1">
        <v>0</v>
      </c>
      <c r="BN1332" s="1">
        <v>0</v>
      </c>
      <c r="BO1332" s="1">
        <v>0</v>
      </c>
      <c r="BP1332" s="1">
        <v>0</v>
      </c>
      <c r="BQ1332" s="2" t="str">
        <f>HYPERLINK("http://www.d20pfsrd.com/magic/all-spells/p/protection-from-arrows#TOC-Protection-from-Arrows-Communal","Protection from Arrows, Communal")</f>
        <v>Protection from Arrows, Communal</v>
      </c>
      <c r="BR1332" s="1">
        <v>1386</v>
      </c>
      <c r="BS1332" s="1" t="s">
        <v>104</v>
      </c>
      <c r="BX1332" s="1">
        <v>0</v>
      </c>
      <c r="BY1332" s="1" t="s">
        <v>104</v>
      </c>
      <c r="BZ1332" s="1" t="s">
        <v>104</v>
      </c>
      <c r="CA1332" s="1">
        <v>3</v>
      </c>
      <c r="CB1332" s="1" t="s">
        <v>104</v>
      </c>
      <c r="CC1332" s="1" t="s">
        <v>104</v>
      </c>
      <c r="CD1332" s="1" t="s">
        <v>104</v>
      </c>
      <c r="CE1332" s="1" t="s">
        <v>104</v>
      </c>
      <c r="CF1332" s="1" t="s">
        <v>104</v>
      </c>
      <c r="CG1332" s="1" t="s">
        <v>104</v>
      </c>
      <c r="CH1332" s="1" t="s">
        <v>104</v>
      </c>
      <c r="CJ1332" s="1">
        <v>0</v>
      </c>
      <c r="CK1332" s="1">
        <v>0</v>
      </c>
      <c r="CL1332" s="1">
        <v>0</v>
      </c>
      <c r="CM1332" s="1">
        <v>3</v>
      </c>
    </row>
    <row r="1333" spans="1:91" ht="14.25" customHeight="1" x14ac:dyDescent="0.3">
      <c r="A1333" s="1" t="s">
        <v>7763</v>
      </c>
      <c r="B1333" s="1" t="s">
        <v>162</v>
      </c>
      <c r="D1333" s="1" t="s">
        <v>60</v>
      </c>
      <c r="E1333" s="1" t="s">
        <v>7764</v>
      </c>
      <c r="F1333" s="1" t="s">
        <v>95</v>
      </c>
      <c r="G1333" s="1" t="s">
        <v>2922</v>
      </c>
      <c r="H1333" s="1">
        <v>0</v>
      </c>
      <c r="I1333" s="1" t="s">
        <v>128</v>
      </c>
      <c r="L1333" s="1" t="s">
        <v>7332</v>
      </c>
      <c r="M1333" s="1" t="s">
        <v>437</v>
      </c>
      <c r="N1333" s="1">
        <v>1</v>
      </c>
      <c r="O1333" s="1">
        <v>0</v>
      </c>
      <c r="P1333" s="1" t="s">
        <v>375</v>
      </c>
      <c r="Q1333" s="1" t="s">
        <v>2376</v>
      </c>
      <c r="R1333" s="1" t="s">
        <v>7765</v>
      </c>
      <c r="S1333" s="1" t="s">
        <v>7302</v>
      </c>
      <c r="T1333" s="1">
        <v>1</v>
      </c>
      <c r="U1333" s="1">
        <v>1</v>
      </c>
      <c r="V1333" s="1">
        <v>1</v>
      </c>
      <c r="W1333" s="1">
        <v>0</v>
      </c>
      <c r="X1333" s="1">
        <v>1</v>
      </c>
      <c r="Y1333" s="1">
        <v>2</v>
      </c>
      <c r="Z1333" s="1">
        <v>2</v>
      </c>
      <c r="AA1333" s="1">
        <v>2</v>
      </c>
      <c r="AB1333" s="1" t="s">
        <v>104</v>
      </c>
      <c r="AC1333" s="1" t="s">
        <v>104</v>
      </c>
      <c r="AD1333" s="1" t="s">
        <v>104</v>
      </c>
      <c r="AE1333" s="1">
        <v>2</v>
      </c>
      <c r="AF1333" s="1" t="s">
        <v>104</v>
      </c>
      <c r="AG1333" s="1">
        <v>2</v>
      </c>
      <c r="AH1333" s="1" t="s">
        <v>104</v>
      </c>
      <c r="AI1333" s="1">
        <v>2</v>
      </c>
      <c r="AJ1333" s="1">
        <v>2</v>
      </c>
      <c r="AK1333" s="1" t="s">
        <v>104</v>
      </c>
      <c r="AL1333" s="1" t="s">
        <v>104</v>
      </c>
      <c r="AM1333" s="1" t="s">
        <v>104</v>
      </c>
      <c r="AO1333" s="1">
        <v>2</v>
      </c>
      <c r="AQ1333" s="1" t="s">
        <v>7766</v>
      </c>
      <c r="AR1333" s="1">
        <v>0</v>
      </c>
      <c r="AS1333" s="1">
        <v>0</v>
      </c>
      <c r="AT1333" s="1">
        <v>0</v>
      </c>
      <c r="AU1333" s="1">
        <v>0</v>
      </c>
      <c r="AV1333" s="1">
        <v>0</v>
      </c>
      <c r="AW1333" s="1">
        <v>0</v>
      </c>
      <c r="AX1333" s="1">
        <v>0</v>
      </c>
      <c r="AY1333" s="1">
        <v>0</v>
      </c>
      <c r="AZ1333" s="1">
        <v>0</v>
      </c>
      <c r="BA1333" s="1">
        <v>0</v>
      </c>
      <c r="BB1333" s="1">
        <v>0</v>
      </c>
      <c r="BC1333" s="1">
        <v>0</v>
      </c>
      <c r="BD1333" s="1">
        <v>0</v>
      </c>
      <c r="BE1333" s="1">
        <v>0</v>
      </c>
      <c r="BF1333" s="1">
        <v>0</v>
      </c>
      <c r="BG1333" s="1">
        <v>0</v>
      </c>
      <c r="BH1333" s="1">
        <v>0</v>
      </c>
      <c r="BI1333" s="1">
        <v>1</v>
      </c>
      <c r="BJ1333" s="1">
        <v>0</v>
      </c>
      <c r="BK1333" s="1">
        <v>0</v>
      </c>
      <c r="BL1333" s="1">
        <v>0</v>
      </c>
      <c r="BM1333" s="1">
        <v>0</v>
      </c>
      <c r="BN1333" s="1">
        <v>0</v>
      </c>
      <c r="BO1333" s="1">
        <v>0</v>
      </c>
      <c r="BP1333" s="1">
        <v>0</v>
      </c>
      <c r="BQ1333" s="2" t="str">
        <f>HYPERLINK("http://www.d20pfsrd.com/magic/all-spells/p/protection-from-chaos#TOC-Protection-from-Chaos-Communal","Protection from Chaos, Communal")</f>
        <v>Protection from Chaos, Communal</v>
      </c>
      <c r="BR1333" s="1">
        <v>1387</v>
      </c>
      <c r="BS1333" s="1" t="s">
        <v>104</v>
      </c>
      <c r="BX1333" s="1">
        <v>0</v>
      </c>
      <c r="BY1333" s="1" t="s">
        <v>104</v>
      </c>
      <c r="BZ1333" s="1" t="s">
        <v>104</v>
      </c>
      <c r="CA1333" s="1" t="s">
        <v>104</v>
      </c>
      <c r="CB1333" s="1" t="s">
        <v>104</v>
      </c>
      <c r="CC1333" s="1" t="s">
        <v>104</v>
      </c>
      <c r="CD1333" s="1" t="s">
        <v>104</v>
      </c>
      <c r="CE1333" s="1" t="s">
        <v>104</v>
      </c>
      <c r="CF1333" s="1" t="s">
        <v>104</v>
      </c>
      <c r="CG1333" s="1" t="s">
        <v>104</v>
      </c>
      <c r="CH1333" s="1" t="s">
        <v>104</v>
      </c>
      <c r="CJ1333" s="1">
        <v>0</v>
      </c>
      <c r="CK1333" s="1">
        <v>0</v>
      </c>
      <c r="CL1333" s="1">
        <v>0</v>
      </c>
      <c r="CM1333" s="1">
        <v>2</v>
      </c>
    </row>
    <row r="1334" spans="1:91" ht="14.25" customHeight="1" x14ac:dyDescent="0.3">
      <c r="A1334" s="1" t="s">
        <v>7767</v>
      </c>
      <c r="B1334" s="1" t="s">
        <v>162</v>
      </c>
      <c r="E1334" s="1" t="s">
        <v>7768</v>
      </c>
      <c r="F1334" s="1" t="s">
        <v>95</v>
      </c>
      <c r="G1334" s="1" t="s">
        <v>127</v>
      </c>
      <c r="H1334" s="1">
        <v>0</v>
      </c>
      <c r="I1334" s="1" t="s">
        <v>128</v>
      </c>
      <c r="L1334" s="1" t="s">
        <v>7332</v>
      </c>
      <c r="M1334" s="1" t="s">
        <v>3604</v>
      </c>
      <c r="N1334" s="1">
        <v>0</v>
      </c>
      <c r="O1334" s="1">
        <v>0</v>
      </c>
      <c r="P1334" s="1" t="s">
        <v>1058</v>
      </c>
      <c r="Q1334" s="1" t="s">
        <v>131</v>
      </c>
      <c r="R1334" s="1" t="s">
        <v>7769</v>
      </c>
      <c r="S1334" s="1" t="s">
        <v>7302</v>
      </c>
      <c r="T1334" s="1">
        <v>1</v>
      </c>
      <c r="U1334" s="1">
        <v>1</v>
      </c>
      <c r="V1334" s="1">
        <v>0</v>
      </c>
      <c r="W1334" s="1">
        <v>0</v>
      </c>
      <c r="X1334" s="1">
        <v>1</v>
      </c>
      <c r="Y1334" s="1">
        <v>4</v>
      </c>
      <c r="Z1334" s="1">
        <v>4</v>
      </c>
      <c r="AA1334" s="1">
        <v>4</v>
      </c>
      <c r="AB1334" s="1">
        <v>4</v>
      </c>
      <c r="AC1334" s="1">
        <v>3</v>
      </c>
      <c r="AD1334" s="1" t="s">
        <v>104</v>
      </c>
      <c r="AE1334" s="1" t="s">
        <v>104</v>
      </c>
      <c r="AF1334" s="1" t="s">
        <v>104</v>
      </c>
      <c r="AG1334" s="1">
        <v>4</v>
      </c>
      <c r="AH1334" s="1" t="s">
        <v>104</v>
      </c>
      <c r="AI1334" s="1">
        <v>4</v>
      </c>
      <c r="AJ1334" s="1">
        <v>4</v>
      </c>
      <c r="AK1334" s="1" t="s">
        <v>104</v>
      </c>
      <c r="AL1334" s="1" t="s">
        <v>104</v>
      </c>
      <c r="AM1334" s="1" t="s">
        <v>104</v>
      </c>
      <c r="AO1334" s="1">
        <v>4</v>
      </c>
      <c r="AQ1334" s="1" t="s">
        <v>7770</v>
      </c>
      <c r="AR1334" s="1">
        <v>0</v>
      </c>
      <c r="AS1334" s="1">
        <v>0</v>
      </c>
      <c r="AT1334" s="1">
        <v>0</v>
      </c>
      <c r="AU1334" s="1">
        <v>0</v>
      </c>
      <c r="AV1334" s="1">
        <v>0</v>
      </c>
      <c r="AW1334" s="1">
        <v>0</v>
      </c>
      <c r="AX1334" s="1">
        <v>0</v>
      </c>
      <c r="AY1334" s="1">
        <v>0</v>
      </c>
      <c r="AZ1334" s="1">
        <v>0</v>
      </c>
      <c r="BA1334" s="1">
        <v>0</v>
      </c>
      <c r="BB1334" s="1">
        <v>0</v>
      </c>
      <c r="BC1334" s="1">
        <v>0</v>
      </c>
      <c r="BD1334" s="1">
        <v>0</v>
      </c>
      <c r="BE1334" s="1">
        <v>0</v>
      </c>
      <c r="BF1334" s="1">
        <v>0</v>
      </c>
      <c r="BG1334" s="1">
        <v>0</v>
      </c>
      <c r="BH1334" s="1">
        <v>0</v>
      </c>
      <c r="BI1334" s="1">
        <v>0</v>
      </c>
      <c r="BJ1334" s="1">
        <v>0</v>
      </c>
      <c r="BK1334" s="1">
        <v>0</v>
      </c>
      <c r="BL1334" s="1">
        <v>0</v>
      </c>
      <c r="BM1334" s="1">
        <v>0</v>
      </c>
      <c r="BN1334" s="1">
        <v>0</v>
      </c>
      <c r="BO1334" s="1">
        <v>0</v>
      </c>
      <c r="BP1334" s="1">
        <v>0</v>
      </c>
      <c r="BQ1334" s="2" t="str">
        <f>HYPERLINK("http://www.d20pfsrd.com/magic/all-spells/p/protection-from-energy#TOC-Protection-from-Energy-Communal","Protection from Energy, Communal")</f>
        <v>Protection from Energy, Communal</v>
      </c>
      <c r="BR1334" s="1">
        <v>1388</v>
      </c>
      <c r="BS1334" s="1" t="s">
        <v>104</v>
      </c>
      <c r="BX1334" s="1">
        <v>0</v>
      </c>
      <c r="BY1334" s="1" t="s">
        <v>104</v>
      </c>
      <c r="BZ1334" s="1" t="s">
        <v>104</v>
      </c>
      <c r="CA1334" s="1">
        <v>4</v>
      </c>
      <c r="CB1334" s="1" t="s">
        <v>104</v>
      </c>
      <c r="CC1334" s="1" t="s">
        <v>104</v>
      </c>
      <c r="CD1334" s="1" t="s">
        <v>104</v>
      </c>
      <c r="CE1334" s="1" t="s">
        <v>104</v>
      </c>
      <c r="CF1334" s="1" t="s">
        <v>104</v>
      </c>
      <c r="CG1334" s="1" t="s">
        <v>104</v>
      </c>
      <c r="CH1334" s="1">
        <v>3</v>
      </c>
      <c r="CJ1334" s="1">
        <v>0</v>
      </c>
      <c r="CK1334" s="1">
        <v>0</v>
      </c>
      <c r="CL1334" s="1">
        <v>0</v>
      </c>
      <c r="CM1334" s="1">
        <v>4</v>
      </c>
    </row>
    <row r="1335" spans="1:91" ht="14.25" customHeight="1" x14ac:dyDescent="0.3">
      <c r="A1335" s="1" t="s">
        <v>7771</v>
      </c>
      <c r="B1335" s="1" t="s">
        <v>162</v>
      </c>
      <c r="D1335" s="1" t="s">
        <v>58</v>
      </c>
      <c r="E1335" s="1" t="s">
        <v>7764</v>
      </c>
      <c r="F1335" s="1" t="s">
        <v>95</v>
      </c>
      <c r="G1335" s="1" t="s">
        <v>2922</v>
      </c>
      <c r="H1335" s="1">
        <v>0</v>
      </c>
      <c r="I1335" s="1" t="s">
        <v>128</v>
      </c>
      <c r="L1335" s="1" t="s">
        <v>7332</v>
      </c>
      <c r="M1335" s="1" t="s">
        <v>437</v>
      </c>
      <c r="N1335" s="1">
        <v>1</v>
      </c>
      <c r="O1335" s="1">
        <v>0</v>
      </c>
      <c r="P1335" s="1" t="s">
        <v>375</v>
      </c>
      <c r="Q1335" s="1" t="s">
        <v>2376</v>
      </c>
      <c r="R1335" s="1" t="s">
        <v>7772</v>
      </c>
      <c r="S1335" s="1" t="s">
        <v>7302</v>
      </c>
      <c r="T1335" s="1">
        <v>1</v>
      </c>
      <c r="U1335" s="1">
        <v>1</v>
      </c>
      <c r="V1335" s="1">
        <v>1</v>
      </c>
      <c r="W1335" s="1">
        <v>0</v>
      </c>
      <c r="X1335" s="1">
        <v>1</v>
      </c>
      <c r="Y1335" s="1">
        <v>2</v>
      </c>
      <c r="Z1335" s="1">
        <v>2</v>
      </c>
      <c r="AA1335" s="1">
        <v>2</v>
      </c>
      <c r="AB1335" s="1" t="s">
        <v>104</v>
      </c>
      <c r="AC1335" s="1" t="s">
        <v>104</v>
      </c>
      <c r="AD1335" s="1" t="s">
        <v>104</v>
      </c>
      <c r="AE1335" s="1">
        <v>2</v>
      </c>
      <c r="AF1335" s="1" t="s">
        <v>104</v>
      </c>
      <c r="AG1335" s="1">
        <v>2</v>
      </c>
      <c r="AH1335" s="1" t="s">
        <v>104</v>
      </c>
      <c r="AI1335" s="1">
        <v>2</v>
      </c>
      <c r="AJ1335" s="1">
        <v>2</v>
      </c>
      <c r="AK1335" s="1" t="s">
        <v>104</v>
      </c>
      <c r="AL1335" s="1" t="s">
        <v>104</v>
      </c>
      <c r="AM1335" s="1" t="s">
        <v>104</v>
      </c>
      <c r="AO1335" s="1">
        <v>2</v>
      </c>
      <c r="AQ1335" s="1" t="s">
        <v>7773</v>
      </c>
      <c r="AR1335" s="1">
        <v>0</v>
      </c>
      <c r="AS1335" s="1">
        <v>0</v>
      </c>
      <c r="AT1335" s="1">
        <v>0</v>
      </c>
      <c r="AU1335" s="1">
        <v>0</v>
      </c>
      <c r="AV1335" s="1">
        <v>0</v>
      </c>
      <c r="AW1335" s="1">
        <v>0</v>
      </c>
      <c r="AX1335" s="1">
        <v>0</v>
      </c>
      <c r="AY1335" s="1">
        <v>0</v>
      </c>
      <c r="AZ1335" s="1">
        <v>0</v>
      </c>
      <c r="BA1335" s="1">
        <v>0</v>
      </c>
      <c r="BB1335" s="1">
        <v>0</v>
      </c>
      <c r="BC1335" s="1">
        <v>0</v>
      </c>
      <c r="BD1335" s="1">
        <v>0</v>
      </c>
      <c r="BE1335" s="1">
        <v>0</v>
      </c>
      <c r="BF1335" s="1">
        <v>0</v>
      </c>
      <c r="BG1335" s="1">
        <v>1</v>
      </c>
      <c r="BH1335" s="1">
        <v>0</v>
      </c>
      <c r="BI1335" s="1">
        <v>0</v>
      </c>
      <c r="BJ1335" s="1">
        <v>0</v>
      </c>
      <c r="BK1335" s="1">
        <v>0</v>
      </c>
      <c r="BL1335" s="1">
        <v>0</v>
      </c>
      <c r="BM1335" s="1">
        <v>0</v>
      </c>
      <c r="BN1335" s="1">
        <v>0</v>
      </c>
      <c r="BO1335" s="1">
        <v>0</v>
      </c>
      <c r="BP1335" s="1">
        <v>0</v>
      </c>
      <c r="BQ1335" s="2" t="str">
        <f>HYPERLINK("http://www.d20pfsrd.com/magic/all-spells/p/protection-from-evil#TOC-Protection-from-Evil-Communal","Protection from Evil, Communal")</f>
        <v>Protection from Evil, Communal</v>
      </c>
      <c r="BR1335" s="1">
        <v>1389</v>
      </c>
      <c r="BS1335" s="1" t="s">
        <v>104</v>
      </c>
      <c r="BX1335" s="1">
        <v>0</v>
      </c>
      <c r="BY1335" s="1" t="s">
        <v>104</v>
      </c>
      <c r="BZ1335" s="1" t="s">
        <v>104</v>
      </c>
      <c r="CA1335" s="1" t="s">
        <v>104</v>
      </c>
      <c r="CB1335" s="1" t="s">
        <v>104</v>
      </c>
      <c r="CC1335" s="1" t="s">
        <v>104</v>
      </c>
      <c r="CD1335" s="1" t="s">
        <v>104</v>
      </c>
      <c r="CE1335" s="1" t="s">
        <v>104</v>
      </c>
      <c r="CF1335" s="1" t="s">
        <v>104</v>
      </c>
      <c r="CG1335" s="1" t="s">
        <v>104</v>
      </c>
      <c r="CH1335" s="1" t="s">
        <v>104</v>
      </c>
      <c r="CJ1335" s="1">
        <v>0</v>
      </c>
      <c r="CK1335" s="1">
        <v>0</v>
      </c>
      <c r="CL1335" s="1">
        <v>0</v>
      </c>
      <c r="CM1335" s="1">
        <v>2</v>
      </c>
    </row>
    <row r="1336" spans="1:91" ht="14.25" customHeight="1" x14ac:dyDescent="0.3">
      <c r="A1336" s="1" t="s">
        <v>7774</v>
      </c>
      <c r="B1336" s="1" t="s">
        <v>162</v>
      </c>
      <c r="D1336" s="1" t="s">
        <v>54</v>
      </c>
      <c r="E1336" s="1" t="s">
        <v>7775</v>
      </c>
      <c r="F1336" s="1" t="s">
        <v>95</v>
      </c>
      <c r="G1336" s="1" t="s">
        <v>2922</v>
      </c>
      <c r="H1336" s="1">
        <v>0</v>
      </c>
      <c r="I1336" s="1" t="s">
        <v>128</v>
      </c>
      <c r="L1336" s="1" t="s">
        <v>7332</v>
      </c>
      <c r="M1336" s="1" t="s">
        <v>437</v>
      </c>
      <c r="N1336" s="1">
        <v>1</v>
      </c>
      <c r="O1336" s="1">
        <v>0</v>
      </c>
      <c r="P1336" s="1" t="s">
        <v>375</v>
      </c>
      <c r="Q1336" s="1" t="s">
        <v>2376</v>
      </c>
      <c r="R1336" s="1" t="s">
        <v>7776</v>
      </c>
      <c r="S1336" s="1" t="s">
        <v>7302</v>
      </c>
      <c r="T1336" s="1">
        <v>1</v>
      </c>
      <c r="U1336" s="1">
        <v>1</v>
      </c>
      <c r="V1336" s="1">
        <v>1</v>
      </c>
      <c r="W1336" s="1">
        <v>0</v>
      </c>
      <c r="X1336" s="1">
        <v>1</v>
      </c>
      <c r="Y1336" s="1">
        <v>2</v>
      </c>
      <c r="Z1336" s="1">
        <v>2</v>
      </c>
      <c r="AA1336" s="1">
        <v>2</v>
      </c>
      <c r="AB1336" s="1" t="s">
        <v>104</v>
      </c>
      <c r="AC1336" s="1" t="s">
        <v>104</v>
      </c>
      <c r="AD1336" s="1" t="s">
        <v>104</v>
      </c>
      <c r="AE1336" s="1">
        <v>2</v>
      </c>
      <c r="AF1336" s="1" t="s">
        <v>104</v>
      </c>
      <c r="AG1336" s="1">
        <v>2</v>
      </c>
      <c r="AH1336" s="1" t="s">
        <v>104</v>
      </c>
      <c r="AI1336" s="1">
        <v>2</v>
      </c>
      <c r="AJ1336" s="1">
        <v>2</v>
      </c>
      <c r="AK1336" s="1">
        <v>2</v>
      </c>
      <c r="AL1336" s="1" t="s">
        <v>104</v>
      </c>
      <c r="AM1336" s="1" t="s">
        <v>104</v>
      </c>
      <c r="AO1336" s="1">
        <v>2</v>
      </c>
      <c r="AQ1336" s="1" t="s">
        <v>7777</v>
      </c>
      <c r="AR1336" s="1">
        <v>0</v>
      </c>
      <c r="AS1336" s="1">
        <v>0</v>
      </c>
      <c r="AT1336" s="1">
        <v>0</v>
      </c>
      <c r="AU1336" s="1">
        <v>0</v>
      </c>
      <c r="AV1336" s="1">
        <v>0</v>
      </c>
      <c r="AW1336" s="1">
        <v>0</v>
      </c>
      <c r="AX1336" s="1">
        <v>0</v>
      </c>
      <c r="AY1336" s="1">
        <v>0</v>
      </c>
      <c r="AZ1336" s="1">
        <v>0</v>
      </c>
      <c r="BA1336" s="1">
        <v>0</v>
      </c>
      <c r="BB1336" s="1">
        <v>0</v>
      </c>
      <c r="BC1336" s="1">
        <v>1</v>
      </c>
      <c r="BD1336" s="1">
        <v>0</v>
      </c>
      <c r="BE1336" s="1">
        <v>0</v>
      </c>
      <c r="BF1336" s="1">
        <v>0</v>
      </c>
      <c r="BG1336" s="1">
        <v>0</v>
      </c>
      <c r="BH1336" s="1">
        <v>0</v>
      </c>
      <c r="BI1336" s="1">
        <v>0</v>
      </c>
      <c r="BJ1336" s="1">
        <v>0</v>
      </c>
      <c r="BK1336" s="1">
        <v>0</v>
      </c>
      <c r="BL1336" s="1">
        <v>0</v>
      </c>
      <c r="BM1336" s="1">
        <v>0</v>
      </c>
      <c r="BN1336" s="1">
        <v>0</v>
      </c>
      <c r="BO1336" s="1">
        <v>0</v>
      </c>
      <c r="BP1336" s="1">
        <v>0</v>
      </c>
      <c r="BQ1336" s="2" t="str">
        <f>HYPERLINK("http://www.d20pfsrd.com/magic/all-spells/p/protection-from-good#TOC-Protection-from-Good-Communal","Protection from Good, Communal")</f>
        <v>Protection from Good, Communal</v>
      </c>
      <c r="BR1336" s="1">
        <v>1390</v>
      </c>
      <c r="BS1336" s="1" t="s">
        <v>104</v>
      </c>
      <c r="BX1336" s="1">
        <v>0</v>
      </c>
      <c r="BY1336" s="1" t="s">
        <v>104</v>
      </c>
      <c r="BZ1336" s="1" t="s">
        <v>104</v>
      </c>
      <c r="CA1336" s="1" t="s">
        <v>104</v>
      </c>
      <c r="CB1336" s="1" t="s">
        <v>104</v>
      </c>
      <c r="CC1336" s="1" t="s">
        <v>104</v>
      </c>
      <c r="CD1336" s="1" t="s">
        <v>104</v>
      </c>
      <c r="CE1336" s="1" t="s">
        <v>104</v>
      </c>
      <c r="CF1336" s="1" t="s">
        <v>104</v>
      </c>
      <c r="CG1336" s="1" t="s">
        <v>104</v>
      </c>
      <c r="CH1336" s="1" t="s">
        <v>104</v>
      </c>
      <c r="CJ1336" s="1">
        <v>0</v>
      </c>
      <c r="CK1336" s="1">
        <v>0</v>
      </c>
      <c r="CL1336" s="1">
        <v>0</v>
      </c>
      <c r="CM1336" s="1">
        <v>2</v>
      </c>
    </row>
    <row r="1337" spans="1:91" ht="14.25" customHeight="1" x14ac:dyDescent="0.3">
      <c r="A1337" s="1" t="s">
        <v>7778</v>
      </c>
      <c r="B1337" s="1" t="s">
        <v>162</v>
      </c>
      <c r="D1337" s="1" t="s">
        <v>54</v>
      </c>
      <c r="E1337" s="1" t="s">
        <v>7775</v>
      </c>
      <c r="F1337" s="1" t="s">
        <v>95</v>
      </c>
      <c r="G1337" s="1" t="s">
        <v>2922</v>
      </c>
      <c r="H1337" s="1">
        <v>0</v>
      </c>
      <c r="I1337" s="1" t="s">
        <v>128</v>
      </c>
      <c r="L1337" s="1" t="s">
        <v>7332</v>
      </c>
      <c r="M1337" s="1" t="s">
        <v>437</v>
      </c>
      <c r="N1337" s="1">
        <v>1</v>
      </c>
      <c r="O1337" s="1">
        <v>0</v>
      </c>
      <c r="P1337" s="1" t="s">
        <v>375</v>
      </c>
      <c r="Q1337" s="1" t="s">
        <v>2376</v>
      </c>
      <c r="R1337" s="1" t="s">
        <v>7779</v>
      </c>
      <c r="S1337" s="1" t="s">
        <v>7302</v>
      </c>
      <c r="T1337" s="1">
        <v>1</v>
      </c>
      <c r="U1337" s="1">
        <v>1</v>
      </c>
      <c r="V1337" s="1">
        <v>1</v>
      </c>
      <c r="W1337" s="1">
        <v>0</v>
      </c>
      <c r="X1337" s="1">
        <v>1</v>
      </c>
      <c r="Y1337" s="1">
        <v>2</v>
      </c>
      <c r="Z1337" s="1">
        <v>2</v>
      </c>
      <c r="AA1337" s="1">
        <v>2</v>
      </c>
      <c r="AB1337" s="1" t="s">
        <v>104</v>
      </c>
      <c r="AC1337" s="1" t="s">
        <v>104</v>
      </c>
      <c r="AD1337" s="1" t="s">
        <v>104</v>
      </c>
      <c r="AE1337" s="1">
        <v>2</v>
      </c>
      <c r="AF1337" s="1" t="s">
        <v>104</v>
      </c>
      <c r="AG1337" s="1">
        <v>2</v>
      </c>
      <c r="AH1337" s="1" t="s">
        <v>104</v>
      </c>
      <c r="AI1337" s="1">
        <v>2</v>
      </c>
      <c r="AJ1337" s="1">
        <v>2</v>
      </c>
      <c r="AK1337" s="1">
        <v>2</v>
      </c>
      <c r="AL1337" s="1" t="s">
        <v>104</v>
      </c>
      <c r="AM1337" s="1" t="s">
        <v>104</v>
      </c>
      <c r="AO1337" s="1">
        <v>2</v>
      </c>
      <c r="AQ1337" s="1" t="s">
        <v>7780</v>
      </c>
      <c r="AR1337" s="1">
        <v>0</v>
      </c>
      <c r="AS1337" s="1">
        <v>0</v>
      </c>
      <c r="AT1337" s="1">
        <v>0</v>
      </c>
      <c r="AU1337" s="1">
        <v>0</v>
      </c>
      <c r="AV1337" s="1">
        <v>0</v>
      </c>
      <c r="AW1337" s="1">
        <v>0</v>
      </c>
      <c r="AX1337" s="1">
        <v>0</v>
      </c>
      <c r="AY1337" s="1">
        <v>0</v>
      </c>
      <c r="AZ1337" s="1">
        <v>0</v>
      </c>
      <c r="BA1337" s="1">
        <v>0</v>
      </c>
      <c r="BB1337" s="1">
        <v>0</v>
      </c>
      <c r="BC1337" s="1">
        <v>1</v>
      </c>
      <c r="BD1337" s="1">
        <v>0</v>
      </c>
      <c r="BE1337" s="1">
        <v>0</v>
      </c>
      <c r="BF1337" s="1">
        <v>0</v>
      </c>
      <c r="BG1337" s="1">
        <v>0</v>
      </c>
      <c r="BH1337" s="1">
        <v>0</v>
      </c>
      <c r="BI1337" s="1">
        <v>0</v>
      </c>
      <c r="BJ1337" s="1">
        <v>0</v>
      </c>
      <c r="BK1337" s="1">
        <v>0</v>
      </c>
      <c r="BL1337" s="1">
        <v>0</v>
      </c>
      <c r="BM1337" s="1">
        <v>0</v>
      </c>
      <c r="BN1337" s="1">
        <v>0</v>
      </c>
      <c r="BO1337" s="1">
        <v>0</v>
      </c>
      <c r="BP1337" s="1">
        <v>0</v>
      </c>
      <c r="BQ1337" s="2" t="str">
        <f>HYPERLINK("http://www.d20pfsrd.com/magic/all-spells/p/protection-from-law#TOC-Protection-from-Law-Communal","Protection from Law, Communal")</f>
        <v>Protection from Law, Communal</v>
      </c>
      <c r="BR1337" s="1">
        <v>1391</v>
      </c>
      <c r="BS1337" s="1" t="s">
        <v>104</v>
      </c>
      <c r="BX1337" s="1">
        <v>0</v>
      </c>
      <c r="BY1337" s="1" t="s">
        <v>104</v>
      </c>
      <c r="BZ1337" s="1" t="s">
        <v>104</v>
      </c>
      <c r="CA1337" s="1" t="s">
        <v>104</v>
      </c>
      <c r="CB1337" s="1" t="s">
        <v>104</v>
      </c>
      <c r="CC1337" s="1" t="s">
        <v>104</v>
      </c>
      <c r="CD1337" s="1" t="s">
        <v>104</v>
      </c>
      <c r="CE1337" s="1" t="s">
        <v>104</v>
      </c>
      <c r="CF1337" s="1" t="s">
        <v>104</v>
      </c>
      <c r="CG1337" s="1" t="s">
        <v>104</v>
      </c>
      <c r="CH1337" s="1" t="s">
        <v>104</v>
      </c>
      <c r="CJ1337" s="1">
        <v>0</v>
      </c>
      <c r="CK1337" s="1">
        <v>0</v>
      </c>
      <c r="CL1337" s="1">
        <v>0</v>
      </c>
      <c r="CM1337" s="1">
        <v>2</v>
      </c>
    </row>
    <row r="1338" spans="1:91" ht="14.25" customHeight="1" x14ac:dyDescent="0.3">
      <c r="A1338" s="1" t="s">
        <v>7781</v>
      </c>
      <c r="B1338" s="1" t="s">
        <v>137</v>
      </c>
      <c r="C1338" s="1" t="s">
        <v>154</v>
      </c>
      <c r="E1338" s="1" t="s">
        <v>5872</v>
      </c>
      <c r="F1338" s="1" t="s">
        <v>95</v>
      </c>
      <c r="G1338" s="1" t="s">
        <v>7782</v>
      </c>
      <c r="H1338" s="1">
        <v>0</v>
      </c>
      <c r="I1338" s="1" t="s">
        <v>117</v>
      </c>
      <c r="L1338" s="1" t="s">
        <v>643</v>
      </c>
      <c r="M1338" s="1" t="s">
        <v>111</v>
      </c>
      <c r="N1338" s="1">
        <v>0</v>
      </c>
      <c r="O1338" s="1">
        <v>0</v>
      </c>
      <c r="P1338" s="1" t="s">
        <v>7783</v>
      </c>
      <c r="Q1338" s="1" t="s">
        <v>184</v>
      </c>
      <c r="R1338" s="1" t="s">
        <v>7784</v>
      </c>
      <c r="S1338" s="1" t="s">
        <v>7302</v>
      </c>
      <c r="T1338" s="1">
        <v>1</v>
      </c>
      <c r="U1338" s="1">
        <v>1</v>
      </c>
      <c r="V1338" s="1">
        <v>1</v>
      </c>
      <c r="W1338" s="1">
        <v>0</v>
      </c>
      <c r="X1338" s="1">
        <v>0</v>
      </c>
      <c r="Y1338" s="1">
        <v>3</v>
      </c>
      <c r="Z1338" s="1">
        <v>3</v>
      </c>
      <c r="AA1338" s="1" t="s">
        <v>104</v>
      </c>
      <c r="AB1338" s="1">
        <v>3</v>
      </c>
      <c r="AC1338" s="1" t="s">
        <v>104</v>
      </c>
      <c r="AD1338" s="1" t="s">
        <v>104</v>
      </c>
      <c r="AE1338" s="1" t="s">
        <v>104</v>
      </c>
      <c r="AF1338" s="1" t="s">
        <v>104</v>
      </c>
      <c r="AG1338" s="1" t="s">
        <v>104</v>
      </c>
      <c r="AH1338" s="1">
        <v>3</v>
      </c>
      <c r="AI1338" s="1" t="s">
        <v>104</v>
      </c>
      <c r="AJ1338" s="1" t="s">
        <v>104</v>
      </c>
      <c r="AK1338" s="1" t="s">
        <v>104</v>
      </c>
      <c r="AL1338" s="1" t="s">
        <v>104</v>
      </c>
      <c r="AM1338" s="1" t="s">
        <v>104</v>
      </c>
      <c r="AO1338" s="1">
        <v>3</v>
      </c>
      <c r="AQ1338" s="1" t="s">
        <v>7785</v>
      </c>
      <c r="AR1338" s="1">
        <v>0</v>
      </c>
      <c r="AS1338" s="1">
        <v>0</v>
      </c>
      <c r="AT1338" s="1">
        <v>0</v>
      </c>
      <c r="AU1338" s="1">
        <v>0</v>
      </c>
      <c r="AV1338" s="1">
        <v>0</v>
      </c>
      <c r="AW1338" s="1">
        <v>0</v>
      </c>
      <c r="AX1338" s="1">
        <v>0</v>
      </c>
      <c r="AY1338" s="1">
        <v>0</v>
      </c>
      <c r="AZ1338" s="1">
        <v>0</v>
      </c>
      <c r="BA1338" s="1">
        <v>0</v>
      </c>
      <c r="BB1338" s="1">
        <v>0</v>
      </c>
      <c r="BC1338" s="1">
        <v>0</v>
      </c>
      <c r="BD1338" s="1">
        <v>0</v>
      </c>
      <c r="BE1338" s="1">
        <v>0</v>
      </c>
      <c r="BF1338" s="1">
        <v>0</v>
      </c>
      <c r="BG1338" s="1">
        <v>0</v>
      </c>
      <c r="BH1338" s="1">
        <v>0</v>
      </c>
      <c r="BI1338" s="1">
        <v>0</v>
      </c>
      <c r="BJ1338" s="1">
        <v>0</v>
      </c>
      <c r="BK1338" s="1">
        <v>0</v>
      </c>
      <c r="BL1338" s="1">
        <v>0</v>
      </c>
      <c r="BM1338" s="1">
        <v>0</v>
      </c>
      <c r="BN1338" s="1">
        <v>0</v>
      </c>
      <c r="BO1338" s="1">
        <v>0</v>
      </c>
      <c r="BP1338" s="1">
        <v>0</v>
      </c>
      <c r="BQ1338" s="2" t="str">
        <f>HYPERLINK("http://www.d20pfsrd.com/magic/all-spells/p/pup-shape","Pup Shape")</f>
        <v>Pup Shape</v>
      </c>
      <c r="BR1338" s="1">
        <v>1392</v>
      </c>
      <c r="BS1338" s="1" t="s">
        <v>104</v>
      </c>
      <c r="BX1338" s="1">
        <v>0</v>
      </c>
      <c r="BY1338" s="1" t="s">
        <v>104</v>
      </c>
      <c r="BZ1338" s="1" t="s">
        <v>104</v>
      </c>
      <c r="CA1338" s="1" t="s">
        <v>104</v>
      </c>
      <c r="CB1338" s="1" t="s">
        <v>104</v>
      </c>
      <c r="CC1338" s="1" t="s">
        <v>104</v>
      </c>
      <c r="CD1338" s="1" t="s">
        <v>104</v>
      </c>
      <c r="CE1338" s="1" t="s">
        <v>104</v>
      </c>
      <c r="CF1338" s="1" t="s">
        <v>104</v>
      </c>
      <c r="CG1338" s="1" t="s">
        <v>104</v>
      </c>
      <c r="CH1338" s="1">
        <v>3</v>
      </c>
      <c r="CJ1338" s="1">
        <v>0</v>
      </c>
      <c r="CK1338" s="1">
        <v>0</v>
      </c>
      <c r="CL1338" s="1">
        <v>0</v>
      </c>
      <c r="CM1338" s="1" t="s">
        <v>104</v>
      </c>
    </row>
    <row r="1339" spans="1:91" ht="14.25" customHeight="1" x14ac:dyDescent="0.3">
      <c r="A1339" s="1" t="s">
        <v>7786</v>
      </c>
      <c r="B1339" s="1" t="s">
        <v>123</v>
      </c>
      <c r="C1339" s="1" t="s">
        <v>124</v>
      </c>
      <c r="D1339" s="1" t="s">
        <v>125</v>
      </c>
      <c r="E1339" s="1" t="s">
        <v>7787</v>
      </c>
      <c r="F1339" s="1" t="s">
        <v>95</v>
      </c>
      <c r="G1339" s="1" t="s">
        <v>116</v>
      </c>
      <c r="H1339" s="1">
        <v>0</v>
      </c>
      <c r="I1339" s="1" t="s">
        <v>117</v>
      </c>
      <c r="L1339" s="1" t="s">
        <v>1065</v>
      </c>
      <c r="M1339" s="1" t="s">
        <v>6149</v>
      </c>
      <c r="N1339" s="1">
        <v>0</v>
      </c>
      <c r="O1339" s="1">
        <v>0</v>
      </c>
      <c r="P1339" s="1" t="s">
        <v>211</v>
      </c>
      <c r="Q1339" s="1" t="s">
        <v>184</v>
      </c>
      <c r="R1339" s="1" t="s">
        <v>7788</v>
      </c>
      <c r="S1339" s="1" t="s">
        <v>7302</v>
      </c>
      <c r="T1339" s="1">
        <v>1</v>
      </c>
      <c r="U1339" s="1">
        <v>1</v>
      </c>
      <c r="V1339" s="1">
        <v>0</v>
      </c>
      <c r="W1339" s="1">
        <v>0</v>
      </c>
      <c r="X1339" s="1">
        <v>0</v>
      </c>
      <c r="Y1339" s="1">
        <v>2</v>
      </c>
      <c r="Z1339" s="1">
        <v>2</v>
      </c>
      <c r="AA1339" s="1" t="s">
        <v>104</v>
      </c>
      <c r="AB1339" s="1" t="s">
        <v>104</v>
      </c>
      <c r="AC1339" s="1" t="s">
        <v>104</v>
      </c>
      <c r="AD1339" s="1">
        <v>2</v>
      </c>
      <c r="AE1339" s="1" t="s">
        <v>104</v>
      </c>
      <c r="AF1339" s="1" t="s">
        <v>104</v>
      </c>
      <c r="AG1339" s="1" t="s">
        <v>104</v>
      </c>
      <c r="AH1339" s="1">
        <v>2</v>
      </c>
      <c r="AI1339" s="1">
        <v>2</v>
      </c>
      <c r="AJ1339" s="1" t="s">
        <v>104</v>
      </c>
      <c r="AK1339" s="1" t="s">
        <v>104</v>
      </c>
      <c r="AL1339" s="1" t="s">
        <v>104</v>
      </c>
      <c r="AM1339" s="1" t="s">
        <v>104</v>
      </c>
      <c r="AO1339" s="1">
        <v>2</v>
      </c>
      <c r="AP1339" s="1" t="s">
        <v>7789</v>
      </c>
      <c r="AQ1339" s="1" t="s">
        <v>7790</v>
      </c>
      <c r="AR1339" s="1">
        <v>0</v>
      </c>
      <c r="AS1339" s="1">
        <v>0</v>
      </c>
      <c r="AT1339" s="1">
        <v>0</v>
      </c>
      <c r="AU1339" s="1">
        <v>0</v>
      </c>
      <c r="AV1339" s="1">
        <v>0</v>
      </c>
      <c r="AW1339" s="1">
        <v>0</v>
      </c>
      <c r="AX1339" s="1">
        <v>0</v>
      </c>
      <c r="AY1339" s="1">
        <v>0</v>
      </c>
      <c r="AZ1339" s="1">
        <v>0</v>
      </c>
      <c r="BA1339" s="1">
        <v>0</v>
      </c>
      <c r="BB1339" s="1">
        <v>0</v>
      </c>
      <c r="BC1339" s="1">
        <v>0</v>
      </c>
      <c r="BD1339" s="1">
        <v>0</v>
      </c>
      <c r="BE1339" s="1">
        <v>0</v>
      </c>
      <c r="BF1339" s="1">
        <v>0</v>
      </c>
      <c r="BG1339" s="1">
        <v>0</v>
      </c>
      <c r="BH1339" s="1">
        <v>0</v>
      </c>
      <c r="BI1339" s="1">
        <v>0</v>
      </c>
      <c r="BJ1339" s="1">
        <v>0</v>
      </c>
      <c r="BK1339" s="1">
        <v>1</v>
      </c>
      <c r="BL1339" s="1">
        <v>0</v>
      </c>
      <c r="BM1339" s="1">
        <v>0</v>
      </c>
      <c r="BN1339" s="1">
        <v>0</v>
      </c>
      <c r="BO1339" s="1">
        <v>0</v>
      </c>
      <c r="BP1339" s="1">
        <v>0</v>
      </c>
      <c r="BQ1339" s="2" t="str">
        <f>HYPERLINK("http://www.d20pfsrd.com/magic/all-spells/q/qualm","Qualm")</f>
        <v>Qualm</v>
      </c>
      <c r="BR1339" s="1">
        <v>1393</v>
      </c>
      <c r="BS1339" s="1" t="s">
        <v>104</v>
      </c>
      <c r="BX1339" s="1">
        <v>0</v>
      </c>
      <c r="BY1339" s="1" t="s">
        <v>104</v>
      </c>
      <c r="BZ1339" s="1" t="s">
        <v>104</v>
      </c>
      <c r="CA1339" s="1">
        <v>2</v>
      </c>
      <c r="CB1339" s="1">
        <v>2</v>
      </c>
      <c r="CC1339" s="1">
        <v>2</v>
      </c>
      <c r="CD1339" s="1" t="s">
        <v>104</v>
      </c>
      <c r="CE1339" s="1" t="s">
        <v>104</v>
      </c>
      <c r="CF1339" s="1" t="s">
        <v>104</v>
      </c>
      <c r="CG1339" s="1" t="s">
        <v>104</v>
      </c>
      <c r="CH1339" s="1" t="s">
        <v>104</v>
      </c>
      <c r="CJ1339" s="1">
        <v>0</v>
      </c>
      <c r="CK1339" s="1">
        <v>0</v>
      </c>
      <c r="CL1339" s="1">
        <v>0</v>
      </c>
      <c r="CM1339" s="1" t="s">
        <v>104</v>
      </c>
    </row>
    <row r="1340" spans="1:91" ht="14.25" customHeight="1" x14ac:dyDescent="0.3">
      <c r="A1340" s="1" t="s">
        <v>7791</v>
      </c>
      <c r="B1340" s="1" t="s">
        <v>137</v>
      </c>
      <c r="E1340" s="1" t="s">
        <v>7078</v>
      </c>
      <c r="F1340" s="1" t="s">
        <v>95</v>
      </c>
      <c r="G1340" s="1" t="s">
        <v>7792</v>
      </c>
      <c r="H1340" s="1">
        <v>0</v>
      </c>
      <c r="I1340" s="1" t="s">
        <v>117</v>
      </c>
      <c r="L1340" s="1" t="s">
        <v>7500</v>
      </c>
      <c r="M1340" s="1" t="s">
        <v>119</v>
      </c>
      <c r="N1340" s="1">
        <v>0</v>
      </c>
      <c r="O1340" s="1">
        <v>0</v>
      </c>
      <c r="P1340" s="1" t="s">
        <v>471</v>
      </c>
      <c r="Q1340" s="1" t="s">
        <v>472</v>
      </c>
      <c r="R1340" s="1" t="s">
        <v>7793</v>
      </c>
      <c r="S1340" s="1" t="s">
        <v>7302</v>
      </c>
      <c r="T1340" s="1">
        <v>1</v>
      </c>
      <c r="U1340" s="1">
        <v>1</v>
      </c>
      <c r="V1340" s="1">
        <v>1</v>
      </c>
      <c r="W1340" s="1">
        <v>0</v>
      </c>
      <c r="X1340" s="1">
        <v>0</v>
      </c>
      <c r="Y1340" s="1">
        <v>2</v>
      </c>
      <c r="Z1340" s="1">
        <v>2</v>
      </c>
      <c r="AA1340" s="1" t="s">
        <v>104</v>
      </c>
      <c r="AB1340" s="1" t="s">
        <v>104</v>
      </c>
      <c r="AC1340" s="1" t="s">
        <v>104</v>
      </c>
      <c r="AD1340" s="1" t="s">
        <v>104</v>
      </c>
      <c r="AE1340" s="1" t="s">
        <v>104</v>
      </c>
      <c r="AF1340" s="1" t="s">
        <v>104</v>
      </c>
      <c r="AG1340" s="1" t="s">
        <v>104</v>
      </c>
      <c r="AH1340" s="1">
        <v>2</v>
      </c>
      <c r="AI1340" s="1" t="s">
        <v>104</v>
      </c>
      <c r="AJ1340" s="1" t="s">
        <v>104</v>
      </c>
      <c r="AK1340" s="1" t="s">
        <v>104</v>
      </c>
      <c r="AL1340" s="1" t="s">
        <v>104</v>
      </c>
      <c r="AM1340" s="1" t="s">
        <v>104</v>
      </c>
      <c r="AO1340" s="1">
        <v>2</v>
      </c>
      <c r="AQ1340" s="1" t="s">
        <v>7794</v>
      </c>
      <c r="AR1340" s="1">
        <v>0</v>
      </c>
      <c r="AS1340" s="1">
        <v>0</v>
      </c>
      <c r="AT1340" s="1">
        <v>0</v>
      </c>
      <c r="AU1340" s="1">
        <v>0</v>
      </c>
      <c r="AV1340" s="1">
        <v>0</v>
      </c>
      <c r="AW1340" s="1">
        <v>0</v>
      </c>
      <c r="AX1340" s="1">
        <v>0</v>
      </c>
      <c r="AY1340" s="1">
        <v>0</v>
      </c>
      <c r="AZ1340" s="1">
        <v>0</v>
      </c>
      <c r="BA1340" s="1">
        <v>0</v>
      </c>
      <c r="BB1340" s="1">
        <v>0</v>
      </c>
      <c r="BC1340" s="1">
        <v>0</v>
      </c>
      <c r="BD1340" s="1">
        <v>0</v>
      </c>
      <c r="BE1340" s="1">
        <v>0</v>
      </c>
      <c r="BF1340" s="1">
        <v>0</v>
      </c>
      <c r="BG1340" s="1">
        <v>0</v>
      </c>
      <c r="BH1340" s="1">
        <v>0</v>
      </c>
      <c r="BI1340" s="1">
        <v>0</v>
      </c>
      <c r="BJ1340" s="1">
        <v>0</v>
      </c>
      <c r="BK1340" s="1">
        <v>0</v>
      </c>
      <c r="BL1340" s="1">
        <v>0</v>
      </c>
      <c r="BM1340" s="1">
        <v>0</v>
      </c>
      <c r="BN1340" s="1">
        <v>0</v>
      </c>
      <c r="BO1340" s="1">
        <v>0</v>
      </c>
      <c r="BP1340" s="1">
        <v>0</v>
      </c>
      <c r="BQ1340" s="2" t="str">
        <f>HYPERLINK("http://www.d20pfsrd.com/magic/all-spells/r/recoil-fire","Recoil Fire")</f>
        <v>Recoil Fire</v>
      </c>
      <c r="BR1340" s="1">
        <v>1394</v>
      </c>
      <c r="BS1340" s="1" t="s">
        <v>104</v>
      </c>
      <c r="BX1340" s="1">
        <v>0</v>
      </c>
      <c r="BY1340" s="1" t="s">
        <v>104</v>
      </c>
      <c r="BZ1340" s="1" t="s">
        <v>104</v>
      </c>
      <c r="CA1340" s="1" t="s">
        <v>104</v>
      </c>
      <c r="CB1340" s="1" t="s">
        <v>104</v>
      </c>
      <c r="CC1340" s="1" t="s">
        <v>104</v>
      </c>
      <c r="CD1340" s="1" t="s">
        <v>104</v>
      </c>
      <c r="CE1340" s="1" t="s">
        <v>104</v>
      </c>
      <c r="CF1340" s="1" t="s">
        <v>104</v>
      </c>
      <c r="CG1340" s="1" t="s">
        <v>104</v>
      </c>
      <c r="CH1340" s="1" t="s">
        <v>104</v>
      </c>
      <c r="CJ1340" s="1">
        <v>0</v>
      </c>
      <c r="CK1340" s="1">
        <v>0</v>
      </c>
      <c r="CL1340" s="1">
        <v>0</v>
      </c>
      <c r="CM1340" s="1" t="s">
        <v>104</v>
      </c>
    </row>
    <row r="1341" spans="1:91" ht="14.25" customHeight="1" x14ac:dyDescent="0.3">
      <c r="A1341" s="1" t="s">
        <v>7795</v>
      </c>
      <c r="B1341" s="1" t="s">
        <v>137</v>
      </c>
      <c r="E1341" s="1" t="s">
        <v>7796</v>
      </c>
      <c r="F1341" s="1" t="s">
        <v>95</v>
      </c>
      <c r="G1341" s="1" t="s">
        <v>7797</v>
      </c>
      <c r="H1341" s="1">
        <v>0</v>
      </c>
      <c r="I1341" s="1" t="s">
        <v>128</v>
      </c>
      <c r="L1341" s="1" t="s">
        <v>7798</v>
      </c>
      <c r="M1341" s="1" t="s">
        <v>4292</v>
      </c>
      <c r="N1341" s="1">
        <v>0</v>
      </c>
      <c r="O1341" s="1">
        <v>0</v>
      </c>
      <c r="P1341" s="1" t="s">
        <v>148</v>
      </c>
      <c r="Q1341" s="1" t="s">
        <v>149</v>
      </c>
      <c r="R1341" s="1" t="s">
        <v>7799</v>
      </c>
      <c r="S1341" s="1" t="s">
        <v>7302</v>
      </c>
      <c r="T1341" s="1">
        <v>1</v>
      </c>
      <c r="U1341" s="1">
        <v>1</v>
      </c>
      <c r="V1341" s="1">
        <v>1</v>
      </c>
      <c r="W1341" s="1">
        <v>0</v>
      </c>
      <c r="X1341" s="1">
        <v>1</v>
      </c>
      <c r="Y1341" s="1">
        <v>1</v>
      </c>
      <c r="Z1341" s="1">
        <v>1</v>
      </c>
      <c r="AA1341" s="1">
        <v>1</v>
      </c>
      <c r="AB1341" s="1" t="s">
        <v>104</v>
      </c>
      <c r="AC1341" s="1" t="s">
        <v>104</v>
      </c>
      <c r="AD1341" s="1" t="s">
        <v>104</v>
      </c>
      <c r="AE1341" s="1" t="s">
        <v>104</v>
      </c>
      <c r="AF1341" s="1" t="s">
        <v>104</v>
      </c>
      <c r="AG1341" s="1" t="s">
        <v>104</v>
      </c>
      <c r="AH1341" s="1">
        <v>1</v>
      </c>
      <c r="AI1341" s="1" t="s">
        <v>104</v>
      </c>
      <c r="AJ1341" s="1">
        <v>1</v>
      </c>
      <c r="AK1341" s="1" t="s">
        <v>104</v>
      </c>
      <c r="AL1341" s="1">
        <v>1</v>
      </c>
      <c r="AM1341" s="1" t="s">
        <v>104</v>
      </c>
      <c r="AO1341" s="1">
        <v>1</v>
      </c>
      <c r="AQ1341" s="1" t="s">
        <v>7800</v>
      </c>
      <c r="AR1341" s="1">
        <v>0</v>
      </c>
      <c r="AS1341" s="1">
        <v>0</v>
      </c>
      <c r="AT1341" s="1">
        <v>0</v>
      </c>
      <c r="AU1341" s="1">
        <v>0</v>
      </c>
      <c r="AV1341" s="1">
        <v>0</v>
      </c>
      <c r="AW1341" s="1">
        <v>0</v>
      </c>
      <c r="AX1341" s="1">
        <v>0</v>
      </c>
      <c r="AY1341" s="1">
        <v>0</v>
      </c>
      <c r="AZ1341" s="1">
        <v>0</v>
      </c>
      <c r="BA1341" s="1">
        <v>0</v>
      </c>
      <c r="BB1341" s="1">
        <v>0</v>
      </c>
      <c r="BC1341" s="1">
        <v>0</v>
      </c>
      <c r="BD1341" s="1">
        <v>0</v>
      </c>
      <c r="BE1341" s="1">
        <v>0</v>
      </c>
      <c r="BF1341" s="1">
        <v>0</v>
      </c>
      <c r="BG1341" s="1">
        <v>0</v>
      </c>
      <c r="BH1341" s="1">
        <v>0</v>
      </c>
      <c r="BI1341" s="1">
        <v>0</v>
      </c>
      <c r="BJ1341" s="1">
        <v>0</v>
      </c>
      <c r="BK1341" s="1">
        <v>0</v>
      </c>
      <c r="BL1341" s="1">
        <v>0</v>
      </c>
      <c r="BM1341" s="1">
        <v>0</v>
      </c>
      <c r="BN1341" s="1">
        <v>0</v>
      </c>
      <c r="BO1341" s="1">
        <v>0</v>
      </c>
      <c r="BP1341" s="1">
        <v>0</v>
      </c>
      <c r="BQ1341" s="2" t="str">
        <f>HYPERLINK("http://www.d20pfsrd.com/magic/all-spells/r/reinforce-armaments","Reinforce Armaments")</f>
        <v>Reinforce Armaments</v>
      </c>
      <c r="BR1341" s="1">
        <v>1395</v>
      </c>
      <c r="BS1341" s="1" t="s">
        <v>104</v>
      </c>
      <c r="BX1341" s="1">
        <v>0</v>
      </c>
      <c r="BY1341" s="1" t="s">
        <v>104</v>
      </c>
      <c r="BZ1341" s="1" t="s">
        <v>104</v>
      </c>
      <c r="CA1341" s="1" t="s">
        <v>104</v>
      </c>
      <c r="CB1341" s="1" t="s">
        <v>104</v>
      </c>
      <c r="CC1341" s="1" t="s">
        <v>104</v>
      </c>
      <c r="CD1341" s="1">
        <v>1</v>
      </c>
      <c r="CE1341" s="1" t="s">
        <v>104</v>
      </c>
      <c r="CF1341" s="1" t="s">
        <v>104</v>
      </c>
      <c r="CG1341" s="1" t="s">
        <v>104</v>
      </c>
      <c r="CH1341" s="1" t="s">
        <v>104</v>
      </c>
      <c r="CJ1341" s="1">
        <v>0</v>
      </c>
      <c r="CK1341" s="1">
        <v>0</v>
      </c>
      <c r="CL1341" s="1">
        <v>0</v>
      </c>
      <c r="CM1341" s="1" t="s">
        <v>104</v>
      </c>
    </row>
    <row r="1342" spans="1:91" ht="14.25" customHeight="1" x14ac:dyDescent="0.3">
      <c r="A1342" s="1" t="s">
        <v>7801</v>
      </c>
      <c r="B1342" s="1" t="s">
        <v>137</v>
      </c>
      <c r="E1342" s="1" t="s">
        <v>7802</v>
      </c>
      <c r="F1342" s="1" t="s">
        <v>95</v>
      </c>
      <c r="G1342" s="1" t="s">
        <v>7797</v>
      </c>
      <c r="H1342" s="1">
        <v>0</v>
      </c>
      <c r="I1342" s="1" t="s">
        <v>128</v>
      </c>
      <c r="L1342" s="1" t="s">
        <v>7803</v>
      </c>
      <c r="M1342" s="1" t="s">
        <v>4292</v>
      </c>
      <c r="N1342" s="1">
        <v>0</v>
      </c>
      <c r="O1342" s="1">
        <v>0</v>
      </c>
      <c r="P1342" s="1" t="s">
        <v>148</v>
      </c>
      <c r="Q1342" s="1" t="s">
        <v>149</v>
      </c>
      <c r="R1342" s="1" t="s">
        <v>7804</v>
      </c>
      <c r="S1342" s="1" t="s">
        <v>7302</v>
      </c>
      <c r="T1342" s="1">
        <v>1</v>
      </c>
      <c r="U1342" s="1">
        <v>1</v>
      </c>
      <c r="V1342" s="1">
        <v>1</v>
      </c>
      <c r="W1342" s="1">
        <v>0</v>
      </c>
      <c r="X1342" s="1">
        <v>1</v>
      </c>
      <c r="Y1342" s="1">
        <v>2</v>
      </c>
      <c r="Z1342" s="1">
        <v>2</v>
      </c>
      <c r="AA1342" s="1">
        <v>2</v>
      </c>
      <c r="AB1342" s="1" t="s">
        <v>104</v>
      </c>
      <c r="AC1342" s="1" t="s">
        <v>104</v>
      </c>
      <c r="AD1342" s="1" t="s">
        <v>104</v>
      </c>
      <c r="AE1342" s="1" t="s">
        <v>104</v>
      </c>
      <c r="AF1342" s="1" t="s">
        <v>104</v>
      </c>
      <c r="AG1342" s="1" t="s">
        <v>104</v>
      </c>
      <c r="AH1342" s="1">
        <v>2</v>
      </c>
      <c r="AI1342" s="1" t="s">
        <v>104</v>
      </c>
      <c r="AJ1342" s="1">
        <v>2</v>
      </c>
      <c r="AK1342" s="1" t="s">
        <v>104</v>
      </c>
      <c r="AL1342" s="1">
        <v>2</v>
      </c>
      <c r="AM1342" s="1" t="s">
        <v>104</v>
      </c>
      <c r="AO1342" s="1">
        <v>2</v>
      </c>
      <c r="AQ1342" s="1" t="s">
        <v>7805</v>
      </c>
      <c r="AR1342" s="1">
        <v>0</v>
      </c>
      <c r="AS1342" s="1">
        <v>0</v>
      </c>
      <c r="AT1342" s="1">
        <v>0</v>
      </c>
      <c r="AU1342" s="1">
        <v>0</v>
      </c>
      <c r="AV1342" s="1">
        <v>0</v>
      </c>
      <c r="AW1342" s="1">
        <v>0</v>
      </c>
      <c r="AX1342" s="1">
        <v>0</v>
      </c>
      <c r="AY1342" s="1">
        <v>0</v>
      </c>
      <c r="AZ1342" s="1">
        <v>0</v>
      </c>
      <c r="BA1342" s="1">
        <v>0</v>
      </c>
      <c r="BB1342" s="1">
        <v>0</v>
      </c>
      <c r="BC1342" s="1">
        <v>0</v>
      </c>
      <c r="BD1342" s="1">
        <v>0</v>
      </c>
      <c r="BE1342" s="1">
        <v>0</v>
      </c>
      <c r="BF1342" s="1">
        <v>0</v>
      </c>
      <c r="BG1342" s="1">
        <v>0</v>
      </c>
      <c r="BH1342" s="1">
        <v>0</v>
      </c>
      <c r="BI1342" s="1">
        <v>0</v>
      </c>
      <c r="BJ1342" s="1">
        <v>0</v>
      </c>
      <c r="BK1342" s="1">
        <v>0</v>
      </c>
      <c r="BL1342" s="1">
        <v>0</v>
      </c>
      <c r="BM1342" s="1">
        <v>0</v>
      </c>
      <c r="BN1342" s="1">
        <v>0</v>
      </c>
      <c r="BO1342" s="1">
        <v>0</v>
      </c>
      <c r="BP1342" s="1">
        <v>0</v>
      </c>
      <c r="BQ1342" s="2" t="str">
        <f>HYPERLINK("http://www.d20pfsrd.com/magic/all-spells/r/reinforce-armaments#TOC-Reinforce-Armaments-Communal","Reinforce Armaments, Communal")</f>
        <v>Reinforce Armaments, Communal</v>
      </c>
      <c r="BR1342" s="1">
        <v>1396</v>
      </c>
      <c r="BS1342" s="1" t="s">
        <v>104</v>
      </c>
      <c r="BX1342" s="1">
        <v>0</v>
      </c>
      <c r="BY1342" s="1" t="s">
        <v>104</v>
      </c>
      <c r="BZ1342" s="1" t="s">
        <v>104</v>
      </c>
      <c r="CA1342" s="1" t="s">
        <v>104</v>
      </c>
      <c r="CB1342" s="1" t="s">
        <v>104</v>
      </c>
      <c r="CC1342" s="1" t="s">
        <v>104</v>
      </c>
      <c r="CD1342" s="1">
        <v>2</v>
      </c>
      <c r="CE1342" s="1" t="s">
        <v>104</v>
      </c>
      <c r="CF1342" s="1" t="s">
        <v>104</v>
      </c>
      <c r="CG1342" s="1" t="s">
        <v>104</v>
      </c>
      <c r="CH1342" s="1" t="s">
        <v>104</v>
      </c>
      <c r="CJ1342" s="1">
        <v>0</v>
      </c>
      <c r="CK1342" s="1">
        <v>0</v>
      </c>
      <c r="CL1342" s="1">
        <v>0</v>
      </c>
      <c r="CM1342" s="1" t="s">
        <v>104</v>
      </c>
    </row>
    <row r="1343" spans="1:91" ht="14.25" customHeight="1" x14ac:dyDescent="0.3">
      <c r="A1343" s="1" t="s">
        <v>7806</v>
      </c>
      <c r="B1343" s="1" t="s">
        <v>92</v>
      </c>
      <c r="C1343" s="1" t="s">
        <v>93</v>
      </c>
      <c r="E1343" s="1" t="s">
        <v>7807</v>
      </c>
      <c r="F1343" s="1" t="s">
        <v>95</v>
      </c>
      <c r="G1343" s="1" t="s">
        <v>116</v>
      </c>
      <c r="H1343" s="1">
        <v>0</v>
      </c>
      <c r="I1343" s="1" t="s">
        <v>128</v>
      </c>
      <c r="L1343" s="1" t="s">
        <v>7808</v>
      </c>
      <c r="M1343" s="1" t="s">
        <v>7809</v>
      </c>
      <c r="N1343" s="1">
        <v>1</v>
      </c>
      <c r="O1343" s="1">
        <v>0</v>
      </c>
      <c r="P1343" s="1" t="s">
        <v>7810</v>
      </c>
      <c r="Q1343" s="1" t="s">
        <v>4966</v>
      </c>
      <c r="R1343" s="1" t="s">
        <v>7811</v>
      </c>
      <c r="S1343" s="1" t="s">
        <v>7302</v>
      </c>
      <c r="T1343" s="1">
        <v>1</v>
      </c>
      <c r="U1343" s="1">
        <v>1</v>
      </c>
      <c r="V1343" s="1">
        <v>0</v>
      </c>
      <c r="W1343" s="1">
        <v>0</v>
      </c>
      <c r="X1343" s="1">
        <v>0</v>
      </c>
      <c r="Y1343" s="1">
        <v>2</v>
      </c>
      <c r="Z1343" s="1">
        <v>2</v>
      </c>
      <c r="AA1343" s="1" t="s">
        <v>104</v>
      </c>
      <c r="AB1343" s="1" t="s">
        <v>104</v>
      </c>
      <c r="AC1343" s="1">
        <v>2</v>
      </c>
      <c r="AD1343" s="1" t="s">
        <v>104</v>
      </c>
      <c r="AE1343" s="1" t="s">
        <v>104</v>
      </c>
      <c r="AF1343" s="1" t="s">
        <v>104</v>
      </c>
      <c r="AG1343" s="1" t="s">
        <v>104</v>
      </c>
      <c r="AH1343" s="1" t="s">
        <v>104</v>
      </c>
      <c r="AI1343" s="1" t="s">
        <v>104</v>
      </c>
      <c r="AJ1343" s="1" t="s">
        <v>104</v>
      </c>
      <c r="AK1343" s="1" t="s">
        <v>104</v>
      </c>
      <c r="AL1343" s="1">
        <v>2</v>
      </c>
      <c r="AM1343" s="1" t="s">
        <v>104</v>
      </c>
      <c r="AO1343" s="1">
        <v>2</v>
      </c>
      <c r="AQ1343" s="1" t="s">
        <v>7812</v>
      </c>
      <c r="AR1343" s="1">
        <v>0</v>
      </c>
      <c r="AS1343" s="1">
        <v>0</v>
      </c>
      <c r="AT1343" s="1">
        <v>0</v>
      </c>
      <c r="AU1343" s="1">
        <v>0</v>
      </c>
      <c r="AV1343" s="1">
        <v>0</v>
      </c>
      <c r="AW1343" s="1">
        <v>0</v>
      </c>
      <c r="AX1343" s="1">
        <v>0</v>
      </c>
      <c r="AY1343" s="1">
        <v>0</v>
      </c>
      <c r="AZ1343" s="1">
        <v>0</v>
      </c>
      <c r="BA1343" s="1">
        <v>0</v>
      </c>
      <c r="BB1343" s="1">
        <v>0</v>
      </c>
      <c r="BC1343" s="1">
        <v>0</v>
      </c>
      <c r="BD1343" s="1">
        <v>0</v>
      </c>
      <c r="BE1343" s="1">
        <v>0</v>
      </c>
      <c r="BF1343" s="1">
        <v>0</v>
      </c>
      <c r="BG1343" s="1">
        <v>0</v>
      </c>
      <c r="BH1343" s="1">
        <v>0</v>
      </c>
      <c r="BI1343" s="1">
        <v>0</v>
      </c>
      <c r="BJ1343" s="1">
        <v>0</v>
      </c>
      <c r="BK1343" s="1">
        <v>0</v>
      </c>
      <c r="BL1343" s="1">
        <v>0</v>
      </c>
      <c r="BM1343" s="1">
        <v>0</v>
      </c>
      <c r="BN1343" s="1">
        <v>0</v>
      </c>
      <c r="BO1343" s="1">
        <v>0</v>
      </c>
      <c r="BP1343" s="1">
        <v>0</v>
      </c>
      <c r="BQ1343" s="2" t="str">
        <f>HYPERLINK("http://www.d20pfsrd.com/magic/all-spells/r/reloading-hands","Reloading Hands")</f>
        <v>Reloading Hands</v>
      </c>
      <c r="BR1343" s="1">
        <v>1397</v>
      </c>
      <c r="BS1343" s="1" t="s">
        <v>104</v>
      </c>
      <c r="BX1343" s="1">
        <v>0</v>
      </c>
      <c r="BY1343" s="1" t="s">
        <v>104</v>
      </c>
      <c r="BZ1343" s="1" t="s">
        <v>104</v>
      </c>
      <c r="CA1343" s="1" t="s">
        <v>104</v>
      </c>
      <c r="CB1343" s="1" t="s">
        <v>104</v>
      </c>
      <c r="CC1343" s="1" t="s">
        <v>104</v>
      </c>
      <c r="CD1343" s="1" t="s">
        <v>104</v>
      </c>
      <c r="CE1343" s="1" t="s">
        <v>104</v>
      </c>
      <c r="CF1343" s="1" t="s">
        <v>104</v>
      </c>
      <c r="CG1343" s="1" t="s">
        <v>104</v>
      </c>
      <c r="CH1343" s="1">
        <v>2</v>
      </c>
      <c r="CJ1343" s="1">
        <v>0</v>
      </c>
      <c r="CK1343" s="1">
        <v>0</v>
      </c>
      <c r="CL1343" s="1">
        <v>0</v>
      </c>
      <c r="CM1343" s="1" t="s">
        <v>104</v>
      </c>
    </row>
    <row r="1344" spans="1:91" ht="14.25" customHeight="1" x14ac:dyDescent="0.3">
      <c r="A1344" s="1" t="s">
        <v>7813</v>
      </c>
      <c r="B1344" s="1" t="s">
        <v>137</v>
      </c>
      <c r="E1344" s="1" t="s">
        <v>7814</v>
      </c>
      <c r="F1344" s="1" t="s">
        <v>95</v>
      </c>
      <c r="G1344" s="1" t="s">
        <v>116</v>
      </c>
      <c r="H1344" s="1">
        <v>0</v>
      </c>
      <c r="I1344" s="1" t="s">
        <v>157</v>
      </c>
      <c r="L1344" s="1" t="s">
        <v>158</v>
      </c>
      <c r="M1344" s="1" t="s">
        <v>4292</v>
      </c>
      <c r="N1344" s="1">
        <v>0</v>
      </c>
      <c r="O1344" s="1">
        <v>0</v>
      </c>
      <c r="P1344" s="1" t="s">
        <v>145</v>
      </c>
      <c r="Q1344" s="1" t="s">
        <v>101</v>
      </c>
      <c r="R1344" s="1" t="s">
        <v>7815</v>
      </c>
      <c r="S1344" s="1" t="s">
        <v>7302</v>
      </c>
      <c r="T1344" s="1">
        <v>1</v>
      </c>
      <c r="U1344" s="1">
        <v>1</v>
      </c>
      <c r="V1344" s="1">
        <v>0</v>
      </c>
      <c r="W1344" s="1">
        <v>0</v>
      </c>
      <c r="X1344" s="1">
        <v>0</v>
      </c>
      <c r="Y1344" s="1">
        <v>3</v>
      </c>
      <c r="Z1344" s="1">
        <v>3</v>
      </c>
      <c r="AA1344" s="1" t="s">
        <v>104</v>
      </c>
      <c r="AB1344" s="1">
        <v>3</v>
      </c>
      <c r="AC1344" s="1" t="s">
        <v>104</v>
      </c>
      <c r="AD1344" s="1" t="s">
        <v>104</v>
      </c>
      <c r="AE1344" s="1" t="s">
        <v>104</v>
      </c>
      <c r="AF1344" s="1">
        <v>3</v>
      </c>
      <c r="AG1344" s="1" t="s">
        <v>104</v>
      </c>
      <c r="AH1344" s="1" t="s">
        <v>104</v>
      </c>
      <c r="AI1344" s="1" t="s">
        <v>104</v>
      </c>
      <c r="AJ1344" s="1" t="s">
        <v>104</v>
      </c>
      <c r="AK1344" s="1" t="s">
        <v>104</v>
      </c>
      <c r="AL1344" s="1" t="s">
        <v>104</v>
      </c>
      <c r="AM1344" s="1" t="s">
        <v>104</v>
      </c>
      <c r="AO1344" s="1">
        <v>3</v>
      </c>
      <c r="AQ1344" s="1" t="s">
        <v>7816</v>
      </c>
      <c r="AR1344" s="1">
        <v>0</v>
      </c>
      <c r="AS1344" s="1">
        <v>0</v>
      </c>
      <c r="AT1344" s="1">
        <v>0</v>
      </c>
      <c r="AU1344" s="1">
        <v>0</v>
      </c>
      <c r="AV1344" s="1">
        <v>0</v>
      </c>
      <c r="AW1344" s="1">
        <v>0</v>
      </c>
      <c r="AX1344" s="1">
        <v>0</v>
      </c>
      <c r="AY1344" s="1">
        <v>0</v>
      </c>
      <c r="AZ1344" s="1">
        <v>0</v>
      </c>
      <c r="BA1344" s="1">
        <v>0</v>
      </c>
      <c r="BB1344" s="1">
        <v>0</v>
      </c>
      <c r="BC1344" s="1">
        <v>0</v>
      </c>
      <c r="BD1344" s="1">
        <v>0</v>
      </c>
      <c r="BE1344" s="1">
        <v>0</v>
      </c>
      <c r="BF1344" s="1">
        <v>0</v>
      </c>
      <c r="BG1344" s="1">
        <v>0</v>
      </c>
      <c r="BH1344" s="1">
        <v>0</v>
      </c>
      <c r="BI1344" s="1">
        <v>0</v>
      </c>
      <c r="BJ1344" s="1">
        <v>0</v>
      </c>
      <c r="BK1344" s="1">
        <v>0</v>
      </c>
      <c r="BL1344" s="1">
        <v>0</v>
      </c>
      <c r="BM1344" s="1">
        <v>0</v>
      </c>
      <c r="BN1344" s="1">
        <v>0</v>
      </c>
      <c r="BO1344" s="1">
        <v>0</v>
      </c>
      <c r="BP1344" s="1">
        <v>0</v>
      </c>
      <c r="BQ1344" s="2" t="str">
        <f>HYPERLINK("http://www.d20pfsrd.com/magic/all-spells/r/resinous-skin","Resinous Skin")</f>
        <v>Resinous Skin</v>
      </c>
      <c r="BR1344" s="1">
        <v>1398</v>
      </c>
      <c r="BS1344" s="1" t="s">
        <v>104</v>
      </c>
      <c r="BX1344" s="1">
        <v>0</v>
      </c>
      <c r="BY1344" s="1">
        <v>3</v>
      </c>
      <c r="BZ1344" s="1" t="s">
        <v>104</v>
      </c>
      <c r="CA1344" s="1">
        <v>3</v>
      </c>
      <c r="CB1344" s="1" t="s">
        <v>104</v>
      </c>
      <c r="CC1344" s="1" t="s">
        <v>104</v>
      </c>
      <c r="CD1344" s="1" t="s">
        <v>104</v>
      </c>
      <c r="CE1344" s="1" t="s">
        <v>104</v>
      </c>
      <c r="CF1344" s="1" t="s">
        <v>104</v>
      </c>
      <c r="CG1344" s="1" t="s">
        <v>104</v>
      </c>
      <c r="CH1344" s="1">
        <v>3</v>
      </c>
      <c r="CJ1344" s="1">
        <v>0</v>
      </c>
      <c r="CK1344" s="1">
        <v>0</v>
      </c>
      <c r="CL1344" s="1">
        <v>0</v>
      </c>
      <c r="CM1344" s="1" t="s">
        <v>104</v>
      </c>
    </row>
    <row r="1345" spans="1:91" ht="14.25" customHeight="1" x14ac:dyDescent="0.3">
      <c r="A1345" s="1" t="s">
        <v>7817</v>
      </c>
      <c r="B1345" s="1" t="s">
        <v>162</v>
      </c>
      <c r="E1345" s="1" t="s">
        <v>7818</v>
      </c>
      <c r="F1345" s="1" t="s">
        <v>95</v>
      </c>
      <c r="G1345" s="1" t="s">
        <v>127</v>
      </c>
      <c r="H1345" s="1">
        <v>0</v>
      </c>
      <c r="I1345" s="1" t="s">
        <v>128</v>
      </c>
      <c r="L1345" s="1" t="s">
        <v>7332</v>
      </c>
      <c r="M1345" s="1" t="s">
        <v>140</v>
      </c>
      <c r="N1345" s="1">
        <v>0</v>
      </c>
      <c r="O1345" s="1">
        <v>0</v>
      </c>
      <c r="P1345" s="1" t="s">
        <v>1058</v>
      </c>
      <c r="Q1345" s="1" t="s">
        <v>131</v>
      </c>
      <c r="R1345" s="1" t="s">
        <v>7819</v>
      </c>
      <c r="S1345" s="1" t="s">
        <v>7302</v>
      </c>
      <c r="T1345" s="1">
        <v>1</v>
      </c>
      <c r="U1345" s="1">
        <v>1</v>
      </c>
      <c r="V1345" s="1">
        <v>0</v>
      </c>
      <c r="W1345" s="1">
        <v>0</v>
      </c>
      <c r="X1345" s="1">
        <v>1</v>
      </c>
      <c r="Y1345" s="1">
        <v>3</v>
      </c>
      <c r="Z1345" s="1">
        <v>3</v>
      </c>
      <c r="AA1345" s="1">
        <v>3</v>
      </c>
      <c r="AB1345" s="1">
        <v>3</v>
      </c>
      <c r="AC1345" s="1">
        <v>3</v>
      </c>
      <c r="AD1345" s="1" t="s">
        <v>104</v>
      </c>
      <c r="AE1345" s="1">
        <v>3</v>
      </c>
      <c r="AF1345" s="1">
        <v>3</v>
      </c>
      <c r="AG1345" s="1">
        <v>3</v>
      </c>
      <c r="AH1345" s="1" t="s">
        <v>104</v>
      </c>
      <c r="AI1345" s="1">
        <v>3</v>
      </c>
      <c r="AJ1345" s="1">
        <v>3</v>
      </c>
      <c r="AK1345" s="1" t="s">
        <v>104</v>
      </c>
      <c r="AL1345" s="1" t="s">
        <v>104</v>
      </c>
      <c r="AM1345" s="1" t="s">
        <v>104</v>
      </c>
      <c r="AO1345" s="1">
        <v>3</v>
      </c>
      <c r="AQ1345" s="1" t="s">
        <v>7820</v>
      </c>
      <c r="AR1345" s="1">
        <v>0</v>
      </c>
      <c r="AS1345" s="1">
        <v>0</v>
      </c>
      <c r="AT1345" s="1">
        <v>0</v>
      </c>
      <c r="AU1345" s="1">
        <v>0</v>
      </c>
      <c r="AV1345" s="1">
        <v>0</v>
      </c>
      <c r="AW1345" s="1">
        <v>0</v>
      </c>
      <c r="AX1345" s="1">
        <v>0</v>
      </c>
      <c r="AY1345" s="1">
        <v>0</v>
      </c>
      <c r="AZ1345" s="1">
        <v>0</v>
      </c>
      <c r="BA1345" s="1">
        <v>0</v>
      </c>
      <c r="BB1345" s="1">
        <v>0</v>
      </c>
      <c r="BC1345" s="1">
        <v>0</v>
      </c>
      <c r="BD1345" s="1">
        <v>0</v>
      </c>
      <c r="BE1345" s="1">
        <v>0</v>
      </c>
      <c r="BF1345" s="1">
        <v>0</v>
      </c>
      <c r="BG1345" s="1">
        <v>0</v>
      </c>
      <c r="BH1345" s="1">
        <v>0</v>
      </c>
      <c r="BI1345" s="1">
        <v>0</v>
      </c>
      <c r="BJ1345" s="1">
        <v>0</v>
      </c>
      <c r="BK1345" s="1">
        <v>0</v>
      </c>
      <c r="BL1345" s="1">
        <v>0</v>
      </c>
      <c r="BM1345" s="1">
        <v>0</v>
      </c>
      <c r="BN1345" s="1">
        <v>0</v>
      </c>
      <c r="BO1345" s="1">
        <v>0</v>
      </c>
      <c r="BP1345" s="1">
        <v>0</v>
      </c>
      <c r="BQ1345" s="2" t="str">
        <f>HYPERLINK("http://www.d20pfsrd.com/magic/all-spells/r/resist-energy#TOC-Resist-Energy-Communal","Resist Energy, Communal")</f>
        <v>Resist Energy, Communal</v>
      </c>
      <c r="BR1345" s="1">
        <v>1399</v>
      </c>
      <c r="BS1345" s="1" t="s">
        <v>104</v>
      </c>
      <c r="BX1345" s="1">
        <v>0</v>
      </c>
      <c r="BY1345" s="1" t="s">
        <v>104</v>
      </c>
      <c r="BZ1345" s="1" t="s">
        <v>104</v>
      </c>
      <c r="CA1345" s="1">
        <v>3</v>
      </c>
      <c r="CB1345" s="1" t="s">
        <v>104</v>
      </c>
      <c r="CC1345" s="1" t="s">
        <v>104</v>
      </c>
      <c r="CD1345" s="1">
        <v>3</v>
      </c>
      <c r="CE1345" s="1" t="s">
        <v>104</v>
      </c>
      <c r="CF1345" s="1" t="s">
        <v>104</v>
      </c>
      <c r="CG1345" s="1" t="s">
        <v>104</v>
      </c>
      <c r="CH1345" s="1">
        <v>3</v>
      </c>
      <c r="CJ1345" s="1">
        <v>0</v>
      </c>
      <c r="CK1345" s="1">
        <v>0</v>
      </c>
      <c r="CL1345" s="1">
        <v>0</v>
      </c>
      <c r="CM1345" s="1">
        <v>3</v>
      </c>
    </row>
    <row r="1346" spans="1:91" ht="14.25" customHeight="1" x14ac:dyDescent="0.3">
      <c r="A1346" s="1" t="s">
        <v>7821</v>
      </c>
      <c r="B1346" s="1" t="s">
        <v>92</v>
      </c>
      <c r="C1346" s="1" t="s">
        <v>1160</v>
      </c>
      <c r="E1346" s="1" t="s">
        <v>7822</v>
      </c>
      <c r="F1346" s="1" t="s">
        <v>95</v>
      </c>
      <c r="G1346" s="1" t="s">
        <v>116</v>
      </c>
      <c r="H1346" s="1">
        <v>0</v>
      </c>
      <c r="I1346" s="1" t="s">
        <v>117</v>
      </c>
      <c r="L1346" s="1" t="s">
        <v>7823</v>
      </c>
      <c r="M1346" s="1" t="s">
        <v>2330</v>
      </c>
      <c r="N1346" s="1">
        <v>0</v>
      </c>
      <c r="O1346" s="1">
        <v>0</v>
      </c>
      <c r="P1346" s="1" t="s">
        <v>148</v>
      </c>
      <c r="Q1346" s="1" t="s">
        <v>149</v>
      </c>
      <c r="R1346" s="1" t="s">
        <v>7824</v>
      </c>
      <c r="S1346" s="1" t="s">
        <v>7302</v>
      </c>
      <c r="T1346" s="1">
        <v>1</v>
      </c>
      <c r="U1346" s="1">
        <v>1</v>
      </c>
      <c r="V1346" s="1">
        <v>0</v>
      </c>
      <c r="W1346" s="1">
        <v>0</v>
      </c>
      <c r="X1346" s="1">
        <v>0</v>
      </c>
      <c r="Y1346" s="1">
        <v>2</v>
      </c>
      <c r="Z1346" s="1">
        <v>2</v>
      </c>
      <c r="AA1346" s="1">
        <v>2</v>
      </c>
      <c r="AB1346" s="1" t="s">
        <v>104</v>
      </c>
      <c r="AC1346" s="1">
        <v>1</v>
      </c>
      <c r="AD1346" s="1">
        <v>2</v>
      </c>
      <c r="AE1346" s="1" t="s">
        <v>104</v>
      </c>
      <c r="AF1346" s="1" t="s">
        <v>104</v>
      </c>
      <c r="AG1346" s="1" t="s">
        <v>104</v>
      </c>
      <c r="AH1346" s="1">
        <v>2</v>
      </c>
      <c r="AI1346" s="1">
        <v>1</v>
      </c>
      <c r="AJ1346" s="1">
        <v>2</v>
      </c>
      <c r="AK1346" s="1" t="s">
        <v>104</v>
      </c>
      <c r="AL1346" s="1">
        <v>1</v>
      </c>
      <c r="AM1346" s="1" t="s">
        <v>104</v>
      </c>
      <c r="AO1346" s="1">
        <v>2</v>
      </c>
      <c r="AQ1346" s="1" t="s">
        <v>7825</v>
      </c>
      <c r="AR1346" s="1">
        <v>0</v>
      </c>
      <c r="AS1346" s="1">
        <v>0</v>
      </c>
      <c r="AT1346" s="1">
        <v>0</v>
      </c>
      <c r="AU1346" s="1">
        <v>0</v>
      </c>
      <c r="AV1346" s="1">
        <v>0</v>
      </c>
      <c r="AW1346" s="1">
        <v>0</v>
      </c>
      <c r="AX1346" s="1">
        <v>0</v>
      </c>
      <c r="AY1346" s="1">
        <v>0</v>
      </c>
      <c r="AZ1346" s="1">
        <v>0</v>
      </c>
      <c r="BA1346" s="1">
        <v>0</v>
      </c>
      <c r="BB1346" s="1">
        <v>0</v>
      </c>
      <c r="BC1346" s="1">
        <v>0</v>
      </c>
      <c r="BD1346" s="1">
        <v>0</v>
      </c>
      <c r="BE1346" s="1">
        <v>0</v>
      </c>
      <c r="BF1346" s="1">
        <v>0</v>
      </c>
      <c r="BG1346" s="1">
        <v>0</v>
      </c>
      <c r="BH1346" s="1">
        <v>0</v>
      </c>
      <c r="BI1346" s="1">
        <v>0</v>
      </c>
      <c r="BJ1346" s="1">
        <v>0</v>
      </c>
      <c r="BK1346" s="1">
        <v>0</v>
      </c>
      <c r="BL1346" s="1">
        <v>0</v>
      </c>
      <c r="BM1346" s="1">
        <v>0</v>
      </c>
      <c r="BN1346" s="1">
        <v>0</v>
      </c>
      <c r="BO1346" s="1">
        <v>0</v>
      </c>
      <c r="BP1346" s="1">
        <v>0</v>
      </c>
      <c r="BQ1346" s="2" t="str">
        <f>HYPERLINK("http://www.d20pfsrd.com/magic/all-spells/r/returning-weapon","Returning Weapon")</f>
        <v>Returning Weapon</v>
      </c>
      <c r="BR1346" s="1">
        <v>1400</v>
      </c>
      <c r="BS1346" s="1" t="s">
        <v>104</v>
      </c>
      <c r="BX1346" s="1">
        <v>0</v>
      </c>
      <c r="BY1346" s="1">
        <v>1</v>
      </c>
      <c r="BZ1346" s="1" t="s">
        <v>104</v>
      </c>
      <c r="CA1346" s="1">
        <v>2</v>
      </c>
      <c r="CB1346" s="1" t="s">
        <v>104</v>
      </c>
      <c r="CC1346" s="1" t="s">
        <v>104</v>
      </c>
      <c r="CD1346" s="1">
        <v>1</v>
      </c>
      <c r="CE1346" s="1" t="s">
        <v>104</v>
      </c>
      <c r="CF1346" s="1" t="s">
        <v>104</v>
      </c>
      <c r="CG1346" s="1" t="s">
        <v>104</v>
      </c>
      <c r="CH1346" s="1">
        <v>1</v>
      </c>
      <c r="CJ1346" s="1">
        <v>0</v>
      </c>
      <c r="CK1346" s="1">
        <v>0</v>
      </c>
      <c r="CL1346" s="1">
        <v>0</v>
      </c>
      <c r="CM1346" s="1" t="s">
        <v>104</v>
      </c>
    </row>
    <row r="1347" spans="1:91" ht="14.25" customHeight="1" x14ac:dyDescent="0.3">
      <c r="A1347" s="1" t="s">
        <v>7826</v>
      </c>
      <c r="B1347" s="1" t="s">
        <v>92</v>
      </c>
      <c r="C1347" s="1" t="s">
        <v>1160</v>
      </c>
      <c r="E1347" s="1" t="s">
        <v>7827</v>
      </c>
      <c r="F1347" s="1" t="s">
        <v>95</v>
      </c>
      <c r="G1347" s="1" t="s">
        <v>116</v>
      </c>
      <c r="H1347" s="1">
        <v>0</v>
      </c>
      <c r="I1347" s="1" t="s">
        <v>117</v>
      </c>
      <c r="L1347" s="1" t="s">
        <v>7828</v>
      </c>
      <c r="M1347" s="1" t="s">
        <v>2330</v>
      </c>
      <c r="N1347" s="1">
        <v>0</v>
      </c>
      <c r="O1347" s="1">
        <v>0</v>
      </c>
      <c r="P1347" s="1" t="s">
        <v>148</v>
      </c>
      <c r="Q1347" s="1" t="s">
        <v>149</v>
      </c>
      <c r="R1347" s="1" t="s">
        <v>7824</v>
      </c>
      <c r="S1347" s="1" t="s">
        <v>7302</v>
      </c>
      <c r="T1347" s="1">
        <v>1</v>
      </c>
      <c r="U1347" s="1">
        <v>1</v>
      </c>
      <c r="V1347" s="1">
        <v>0</v>
      </c>
      <c r="W1347" s="1">
        <v>0</v>
      </c>
      <c r="X1347" s="1">
        <v>0</v>
      </c>
      <c r="Y1347" s="1">
        <v>3</v>
      </c>
      <c r="Z1347" s="1">
        <v>3</v>
      </c>
      <c r="AA1347" s="1">
        <v>3</v>
      </c>
      <c r="AB1347" s="1" t="s">
        <v>104</v>
      </c>
      <c r="AC1347" s="1">
        <v>2</v>
      </c>
      <c r="AD1347" s="1">
        <v>3</v>
      </c>
      <c r="AE1347" s="1" t="s">
        <v>104</v>
      </c>
      <c r="AF1347" s="1" t="s">
        <v>104</v>
      </c>
      <c r="AG1347" s="1" t="s">
        <v>104</v>
      </c>
      <c r="AH1347" s="1">
        <v>3</v>
      </c>
      <c r="AI1347" s="1">
        <v>2</v>
      </c>
      <c r="AJ1347" s="1">
        <v>3</v>
      </c>
      <c r="AK1347" s="1" t="s">
        <v>104</v>
      </c>
      <c r="AL1347" s="1">
        <v>2</v>
      </c>
      <c r="AM1347" s="1" t="s">
        <v>104</v>
      </c>
      <c r="AO1347" s="1">
        <v>3</v>
      </c>
      <c r="AQ1347" s="1" t="s">
        <v>7829</v>
      </c>
      <c r="AR1347" s="1">
        <v>0</v>
      </c>
      <c r="AS1347" s="1">
        <v>0</v>
      </c>
      <c r="AT1347" s="1">
        <v>0</v>
      </c>
      <c r="AU1347" s="1">
        <v>0</v>
      </c>
      <c r="AV1347" s="1">
        <v>0</v>
      </c>
      <c r="AW1347" s="1">
        <v>0</v>
      </c>
      <c r="AX1347" s="1">
        <v>0</v>
      </c>
      <c r="AY1347" s="1">
        <v>0</v>
      </c>
      <c r="AZ1347" s="1">
        <v>0</v>
      </c>
      <c r="BA1347" s="1">
        <v>0</v>
      </c>
      <c r="BB1347" s="1">
        <v>0</v>
      </c>
      <c r="BC1347" s="1">
        <v>0</v>
      </c>
      <c r="BD1347" s="1">
        <v>0</v>
      </c>
      <c r="BE1347" s="1">
        <v>0</v>
      </c>
      <c r="BF1347" s="1">
        <v>0</v>
      </c>
      <c r="BG1347" s="1">
        <v>0</v>
      </c>
      <c r="BH1347" s="1">
        <v>0</v>
      </c>
      <c r="BI1347" s="1">
        <v>0</v>
      </c>
      <c r="BJ1347" s="1">
        <v>0</v>
      </c>
      <c r="BK1347" s="1">
        <v>0</v>
      </c>
      <c r="BL1347" s="1">
        <v>0</v>
      </c>
      <c r="BM1347" s="1">
        <v>0</v>
      </c>
      <c r="BN1347" s="1">
        <v>0</v>
      </c>
      <c r="BO1347" s="1">
        <v>0</v>
      </c>
      <c r="BP1347" s="1">
        <v>0</v>
      </c>
      <c r="BQ1347" s="2" t="str">
        <f>HYPERLINK("http://www.d20pfsrd.com/magic/all-spells/r/returning-weapon#TOC-Returning-Weapon-Communal","Returning Weapon, Communal")</f>
        <v>Returning Weapon, Communal</v>
      </c>
      <c r="BR1347" s="1">
        <v>1401</v>
      </c>
      <c r="BS1347" s="1" t="s">
        <v>104</v>
      </c>
      <c r="BX1347" s="1">
        <v>0</v>
      </c>
      <c r="BY1347" s="1" t="s">
        <v>104</v>
      </c>
      <c r="BZ1347" s="1" t="s">
        <v>104</v>
      </c>
      <c r="CA1347" s="1">
        <v>3</v>
      </c>
      <c r="CB1347" s="1" t="s">
        <v>104</v>
      </c>
      <c r="CC1347" s="1" t="s">
        <v>104</v>
      </c>
      <c r="CD1347" s="1">
        <v>2</v>
      </c>
      <c r="CE1347" s="1" t="s">
        <v>104</v>
      </c>
      <c r="CF1347" s="1" t="s">
        <v>104</v>
      </c>
      <c r="CG1347" s="1" t="s">
        <v>104</v>
      </c>
      <c r="CH1347" s="1">
        <v>2</v>
      </c>
      <c r="CJ1347" s="1">
        <v>0</v>
      </c>
      <c r="CK1347" s="1">
        <v>0</v>
      </c>
      <c r="CL1347" s="1">
        <v>0</v>
      </c>
      <c r="CM1347" s="1" t="s">
        <v>104</v>
      </c>
    </row>
    <row r="1348" spans="1:91" ht="14.25" customHeight="1" x14ac:dyDescent="0.3">
      <c r="A1348" s="1" t="s">
        <v>7830</v>
      </c>
      <c r="B1348" s="1" t="s">
        <v>434</v>
      </c>
      <c r="E1348" s="1" t="s">
        <v>4452</v>
      </c>
      <c r="F1348" s="1" t="s">
        <v>95</v>
      </c>
      <c r="G1348" s="1" t="s">
        <v>7831</v>
      </c>
      <c r="H1348" s="1">
        <v>0</v>
      </c>
      <c r="I1348" s="1" t="s">
        <v>117</v>
      </c>
      <c r="L1348" s="1" t="s">
        <v>7832</v>
      </c>
      <c r="M1348" s="1" t="s">
        <v>5119</v>
      </c>
      <c r="N1348" s="1">
        <v>0</v>
      </c>
      <c r="O1348" s="1">
        <v>0</v>
      </c>
      <c r="P1348" s="1" t="s">
        <v>148</v>
      </c>
      <c r="Q1348" s="1" t="s">
        <v>149</v>
      </c>
      <c r="R1348" s="1" t="s">
        <v>7833</v>
      </c>
      <c r="S1348" s="1" t="s">
        <v>7302</v>
      </c>
      <c r="T1348" s="1">
        <v>1</v>
      </c>
      <c r="U1348" s="1">
        <v>1</v>
      </c>
      <c r="V1348" s="1">
        <v>1</v>
      </c>
      <c r="W1348" s="1">
        <v>0</v>
      </c>
      <c r="X1348" s="1">
        <v>0</v>
      </c>
      <c r="Y1348" s="1">
        <v>2</v>
      </c>
      <c r="Z1348" s="1">
        <v>2</v>
      </c>
      <c r="AA1348" s="1" t="s">
        <v>104</v>
      </c>
      <c r="AB1348" s="1" t="s">
        <v>104</v>
      </c>
      <c r="AC1348" s="1">
        <v>2</v>
      </c>
      <c r="AD1348" s="1" t="s">
        <v>104</v>
      </c>
      <c r="AE1348" s="1" t="s">
        <v>104</v>
      </c>
      <c r="AF1348" s="1" t="s">
        <v>104</v>
      </c>
      <c r="AG1348" s="1" t="s">
        <v>104</v>
      </c>
      <c r="AH1348" s="1" t="s">
        <v>104</v>
      </c>
      <c r="AI1348" s="1" t="s">
        <v>104</v>
      </c>
      <c r="AJ1348" s="1" t="s">
        <v>104</v>
      </c>
      <c r="AK1348" s="1" t="s">
        <v>104</v>
      </c>
      <c r="AL1348" s="1" t="s">
        <v>104</v>
      </c>
      <c r="AM1348" s="1" t="s">
        <v>104</v>
      </c>
      <c r="AO1348" s="1">
        <v>2</v>
      </c>
      <c r="AQ1348" s="1" t="s">
        <v>7834</v>
      </c>
      <c r="AR1348" s="1">
        <v>0</v>
      </c>
      <c r="AS1348" s="1">
        <v>0</v>
      </c>
      <c r="AT1348" s="1">
        <v>0</v>
      </c>
      <c r="AU1348" s="1">
        <v>0</v>
      </c>
      <c r="AV1348" s="1">
        <v>0</v>
      </c>
      <c r="AW1348" s="1">
        <v>0</v>
      </c>
      <c r="AX1348" s="1">
        <v>0</v>
      </c>
      <c r="AY1348" s="1">
        <v>0</v>
      </c>
      <c r="AZ1348" s="1">
        <v>0</v>
      </c>
      <c r="BA1348" s="1">
        <v>0</v>
      </c>
      <c r="BB1348" s="1">
        <v>0</v>
      </c>
      <c r="BC1348" s="1">
        <v>0</v>
      </c>
      <c r="BD1348" s="1">
        <v>0</v>
      </c>
      <c r="BE1348" s="1">
        <v>0</v>
      </c>
      <c r="BF1348" s="1">
        <v>0</v>
      </c>
      <c r="BG1348" s="1">
        <v>0</v>
      </c>
      <c r="BH1348" s="1">
        <v>0</v>
      </c>
      <c r="BI1348" s="1">
        <v>0</v>
      </c>
      <c r="BJ1348" s="1">
        <v>0</v>
      </c>
      <c r="BK1348" s="1">
        <v>0</v>
      </c>
      <c r="BL1348" s="1">
        <v>0</v>
      </c>
      <c r="BM1348" s="1">
        <v>0</v>
      </c>
      <c r="BN1348" s="1">
        <v>0</v>
      </c>
      <c r="BO1348" s="1">
        <v>0</v>
      </c>
      <c r="BP1348" s="1">
        <v>0</v>
      </c>
      <c r="BQ1348" s="2" t="str">
        <f>HYPERLINK("http://www.d20pfsrd.com/magic/all-spells/r/ricochet-shot","Ricochet Shot")</f>
        <v>Ricochet Shot</v>
      </c>
      <c r="BR1348" s="1">
        <v>1402</v>
      </c>
      <c r="BS1348" s="1" t="s">
        <v>104</v>
      </c>
      <c r="BV1348" s="1" t="s">
        <v>7835</v>
      </c>
      <c r="BW1348" s="1" t="s">
        <v>7836</v>
      </c>
      <c r="BX1348" s="1">
        <v>1</v>
      </c>
      <c r="BY1348" s="1" t="s">
        <v>104</v>
      </c>
      <c r="BZ1348" s="1" t="s">
        <v>104</v>
      </c>
      <c r="CA1348" s="1" t="s">
        <v>104</v>
      </c>
      <c r="CB1348" s="1" t="s">
        <v>104</v>
      </c>
      <c r="CC1348" s="1" t="s">
        <v>104</v>
      </c>
      <c r="CD1348" s="1" t="s">
        <v>104</v>
      </c>
      <c r="CE1348" s="1" t="s">
        <v>104</v>
      </c>
      <c r="CF1348" s="1" t="s">
        <v>104</v>
      </c>
      <c r="CG1348" s="1" t="s">
        <v>104</v>
      </c>
      <c r="CH1348" s="1">
        <v>2</v>
      </c>
      <c r="CJ1348" s="1">
        <v>0</v>
      </c>
      <c r="CK1348" s="1">
        <v>0</v>
      </c>
      <c r="CL1348" s="1">
        <v>0</v>
      </c>
      <c r="CM1348" s="1" t="s">
        <v>104</v>
      </c>
    </row>
    <row r="1349" spans="1:91" ht="14.25" customHeight="1" x14ac:dyDescent="0.3">
      <c r="A1349" s="1" t="s">
        <v>7837</v>
      </c>
      <c r="B1349" s="1" t="s">
        <v>172</v>
      </c>
      <c r="E1349" s="1" t="s">
        <v>7838</v>
      </c>
      <c r="F1349" s="1" t="s">
        <v>95</v>
      </c>
      <c r="G1349" s="1" t="s">
        <v>7839</v>
      </c>
      <c r="H1349" s="1">
        <v>0</v>
      </c>
      <c r="I1349" s="1" t="s">
        <v>157</v>
      </c>
      <c r="L1349" s="1" t="s">
        <v>158</v>
      </c>
      <c r="M1349" s="1" t="s">
        <v>5718</v>
      </c>
      <c r="N1349" s="1">
        <v>0</v>
      </c>
      <c r="O1349" s="1">
        <v>0</v>
      </c>
      <c r="R1349" s="1" t="s">
        <v>7840</v>
      </c>
      <c r="S1349" s="1" t="s">
        <v>7302</v>
      </c>
      <c r="T1349" s="1">
        <v>1</v>
      </c>
      <c r="U1349" s="1">
        <v>1</v>
      </c>
      <c r="V1349" s="1">
        <v>1</v>
      </c>
      <c r="W1349" s="1">
        <v>0</v>
      </c>
      <c r="X1349" s="1">
        <v>0</v>
      </c>
      <c r="Y1349" s="1">
        <v>1</v>
      </c>
      <c r="Z1349" s="1">
        <v>1</v>
      </c>
      <c r="AA1349" s="1" t="s">
        <v>104</v>
      </c>
      <c r="AB1349" s="1" t="s">
        <v>104</v>
      </c>
      <c r="AC1349" s="1" t="s">
        <v>104</v>
      </c>
      <c r="AD1349" s="1">
        <v>1</v>
      </c>
      <c r="AE1349" s="1" t="s">
        <v>104</v>
      </c>
      <c r="AF1349" s="1">
        <v>1</v>
      </c>
      <c r="AG1349" s="1" t="s">
        <v>104</v>
      </c>
      <c r="AH1349" s="1" t="s">
        <v>104</v>
      </c>
      <c r="AI1349" s="1" t="s">
        <v>104</v>
      </c>
      <c r="AJ1349" s="1" t="s">
        <v>104</v>
      </c>
      <c r="AK1349" s="1" t="s">
        <v>104</v>
      </c>
      <c r="AL1349" s="1" t="s">
        <v>104</v>
      </c>
      <c r="AM1349" s="1" t="s">
        <v>104</v>
      </c>
      <c r="AO1349" s="1">
        <v>1</v>
      </c>
      <c r="AQ1349" s="1" t="s">
        <v>7841</v>
      </c>
      <c r="AR1349" s="1">
        <v>0</v>
      </c>
      <c r="AS1349" s="1">
        <v>0</v>
      </c>
      <c r="AT1349" s="1">
        <v>0</v>
      </c>
      <c r="AU1349" s="1">
        <v>0</v>
      </c>
      <c r="AV1349" s="1">
        <v>0</v>
      </c>
      <c r="AW1349" s="1">
        <v>0</v>
      </c>
      <c r="AX1349" s="1">
        <v>0</v>
      </c>
      <c r="AY1349" s="1">
        <v>0</v>
      </c>
      <c r="AZ1349" s="1">
        <v>0</v>
      </c>
      <c r="BA1349" s="1">
        <v>0</v>
      </c>
      <c r="BB1349" s="1">
        <v>0</v>
      </c>
      <c r="BC1349" s="1">
        <v>0</v>
      </c>
      <c r="BD1349" s="1">
        <v>0</v>
      </c>
      <c r="BE1349" s="1">
        <v>0</v>
      </c>
      <c r="BF1349" s="1">
        <v>0</v>
      </c>
      <c r="BG1349" s="1">
        <v>0</v>
      </c>
      <c r="BH1349" s="1">
        <v>0</v>
      </c>
      <c r="BI1349" s="1">
        <v>0</v>
      </c>
      <c r="BJ1349" s="1">
        <v>0</v>
      </c>
      <c r="BK1349" s="1">
        <v>0</v>
      </c>
      <c r="BL1349" s="1">
        <v>0</v>
      </c>
      <c r="BM1349" s="1">
        <v>0</v>
      </c>
      <c r="BN1349" s="1">
        <v>0</v>
      </c>
      <c r="BO1349" s="1">
        <v>0</v>
      </c>
      <c r="BP1349" s="1">
        <v>0</v>
      </c>
      <c r="BQ1349" s="2" t="str">
        <f>HYPERLINK("http://www.d20pfsrd.com/magic/all-spells/s/see-alignment","See Alignment")</f>
        <v>See Alignment</v>
      </c>
      <c r="BR1349" s="1">
        <v>1403</v>
      </c>
      <c r="BS1349" s="1" t="s">
        <v>104</v>
      </c>
      <c r="BX1349" s="1">
        <v>0</v>
      </c>
      <c r="BY1349" s="1" t="s">
        <v>104</v>
      </c>
      <c r="BZ1349" s="1" t="s">
        <v>104</v>
      </c>
      <c r="CA1349" s="1">
        <v>1</v>
      </c>
      <c r="CB1349" s="1" t="s">
        <v>104</v>
      </c>
      <c r="CC1349" s="1" t="s">
        <v>104</v>
      </c>
      <c r="CD1349" s="1" t="s">
        <v>104</v>
      </c>
      <c r="CE1349" s="1" t="s">
        <v>104</v>
      </c>
      <c r="CF1349" s="1" t="s">
        <v>104</v>
      </c>
      <c r="CG1349" s="1" t="s">
        <v>104</v>
      </c>
      <c r="CH1349" s="1" t="s">
        <v>104</v>
      </c>
      <c r="CJ1349" s="1">
        <v>0</v>
      </c>
      <c r="CK1349" s="1">
        <v>0</v>
      </c>
      <c r="CL1349" s="1">
        <v>0</v>
      </c>
      <c r="CM1349" s="1" t="s">
        <v>104</v>
      </c>
    </row>
    <row r="1350" spans="1:91" ht="14.25" customHeight="1" x14ac:dyDescent="0.3">
      <c r="A1350" s="1" t="s">
        <v>7842</v>
      </c>
      <c r="B1350" s="1" t="s">
        <v>92</v>
      </c>
      <c r="C1350" s="1" t="s">
        <v>93</v>
      </c>
      <c r="E1350" s="1" t="s">
        <v>4418</v>
      </c>
      <c r="F1350" s="1" t="s">
        <v>95</v>
      </c>
      <c r="G1350" s="1" t="s">
        <v>116</v>
      </c>
      <c r="H1350" s="1">
        <v>0</v>
      </c>
      <c r="I1350" s="1" t="s">
        <v>157</v>
      </c>
      <c r="L1350" s="1" t="s">
        <v>158</v>
      </c>
      <c r="M1350" s="1" t="s">
        <v>111</v>
      </c>
      <c r="N1350" s="1">
        <v>0</v>
      </c>
      <c r="O1350" s="1">
        <v>0</v>
      </c>
      <c r="P1350" s="1" t="s">
        <v>7364</v>
      </c>
      <c r="Q1350" s="1" t="s">
        <v>7364</v>
      </c>
      <c r="R1350" s="1" t="s">
        <v>7843</v>
      </c>
      <c r="S1350" s="1" t="s">
        <v>7302</v>
      </c>
      <c r="T1350" s="1">
        <v>1</v>
      </c>
      <c r="U1350" s="1">
        <v>1</v>
      </c>
      <c r="V1350" s="1">
        <v>0</v>
      </c>
      <c r="W1350" s="1">
        <v>0</v>
      </c>
      <c r="X1350" s="1">
        <v>0</v>
      </c>
      <c r="Y1350" s="1" t="s">
        <v>104</v>
      </c>
      <c r="Z1350" s="1" t="s">
        <v>104</v>
      </c>
      <c r="AA1350" s="1" t="s">
        <v>104</v>
      </c>
      <c r="AB1350" s="1" t="s">
        <v>104</v>
      </c>
      <c r="AC1350" s="1" t="s">
        <v>104</v>
      </c>
      <c r="AD1350" s="1" t="s">
        <v>104</v>
      </c>
      <c r="AE1350" s="1" t="s">
        <v>104</v>
      </c>
      <c r="AF1350" s="1">
        <v>2</v>
      </c>
      <c r="AG1350" s="1" t="s">
        <v>104</v>
      </c>
      <c r="AH1350" s="1" t="s">
        <v>104</v>
      </c>
      <c r="AI1350" s="1" t="s">
        <v>104</v>
      </c>
      <c r="AJ1350" s="1" t="s">
        <v>104</v>
      </c>
      <c r="AK1350" s="1" t="s">
        <v>104</v>
      </c>
      <c r="AL1350" s="1" t="s">
        <v>104</v>
      </c>
      <c r="AM1350" s="1" t="s">
        <v>104</v>
      </c>
      <c r="AO1350" s="1">
        <v>2</v>
      </c>
      <c r="AQ1350" s="1" t="s">
        <v>7844</v>
      </c>
      <c r="AR1350" s="1">
        <v>0</v>
      </c>
      <c r="AS1350" s="1">
        <v>0</v>
      </c>
      <c r="AT1350" s="1">
        <v>0</v>
      </c>
      <c r="AU1350" s="1">
        <v>0</v>
      </c>
      <c r="AV1350" s="1">
        <v>0</v>
      </c>
      <c r="AW1350" s="1">
        <v>0</v>
      </c>
      <c r="AX1350" s="1">
        <v>0</v>
      </c>
      <c r="AY1350" s="1">
        <v>0</v>
      </c>
      <c r="AZ1350" s="1">
        <v>0</v>
      </c>
      <c r="BA1350" s="1">
        <v>0</v>
      </c>
      <c r="BB1350" s="1">
        <v>0</v>
      </c>
      <c r="BC1350" s="1">
        <v>0</v>
      </c>
      <c r="BD1350" s="1">
        <v>0</v>
      </c>
      <c r="BE1350" s="1">
        <v>0</v>
      </c>
      <c r="BF1350" s="1">
        <v>0</v>
      </c>
      <c r="BG1350" s="1">
        <v>0</v>
      </c>
      <c r="BH1350" s="1">
        <v>0</v>
      </c>
      <c r="BI1350" s="1">
        <v>0</v>
      </c>
      <c r="BJ1350" s="1">
        <v>0</v>
      </c>
      <c r="BK1350" s="1">
        <v>0</v>
      </c>
      <c r="BL1350" s="1">
        <v>0</v>
      </c>
      <c r="BM1350" s="1">
        <v>0</v>
      </c>
      <c r="BN1350" s="1">
        <v>0</v>
      </c>
      <c r="BO1350" s="1">
        <v>0</v>
      </c>
      <c r="BP1350" s="1">
        <v>0</v>
      </c>
      <c r="BQ1350" s="2" t="str">
        <f>HYPERLINK("http://www.d20pfsrd.com/magic/all-spells/s/shadow-bomb-admixture","Shadow Bomb Admixture")</f>
        <v>Shadow Bomb Admixture</v>
      </c>
      <c r="BR1350" s="1">
        <v>1404</v>
      </c>
      <c r="BS1350" s="1" t="s">
        <v>104</v>
      </c>
      <c r="BX1350" s="1">
        <v>0</v>
      </c>
      <c r="BY1350" s="1" t="s">
        <v>104</v>
      </c>
      <c r="BZ1350" s="1" t="s">
        <v>104</v>
      </c>
      <c r="CA1350" s="1" t="s">
        <v>104</v>
      </c>
      <c r="CB1350" s="1" t="s">
        <v>104</v>
      </c>
      <c r="CC1350" s="1" t="s">
        <v>104</v>
      </c>
      <c r="CD1350" s="1" t="s">
        <v>104</v>
      </c>
      <c r="CE1350" s="1" t="s">
        <v>104</v>
      </c>
      <c r="CF1350" s="1" t="s">
        <v>104</v>
      </c>
      <c r="CG1350" s="1" t="s">
        <v>104</v>
      </c>
      <c r="CH1350" s="1" t="s">
        <v>104</v>
      </c>
      <c r="CJ1350" s="1">
        <v>0</v>
      </c>
      <c r="CK1350" s="1">
        <v>0</v>
      </c>
      <c r="CL1350" s="1">
        <v>0</v>
      </c>
      <c r="CM1350" s="1" t="s">
        <v>104</v>
      </c>
    </row>
    <row r="1351" spans="1:91" ht="14.25" customHeight="1" x14ac:dyDescent="0.3">
      <c r="A1351" s="1" t="s">
        <v>7845</v>
      </c>
      <c r="B1351" s="1" t="s">
        <v>172</v>
      </c>
      <c r="E1351" s="1" t="s">
        <v>7846</v>
      </c>
      <c r="F1351" s="1" t="s">
        <v>95</v>
      </c>
      <c r="G1351" s="1" t="s">
        <v>5426</v>
      </c>
      <c r="H1351" s="1">
        <v>0</v>
      </c>
      <c r="I1351" s="1" t="s">
        <v>128</v>
      </c>
      <c r="L1351" s="1" t="s">
        <v>7332</v>
      </c>
      <c r="M1351" s="1" t="s">
        <v>341</v>
      </c>
      <c r="N1351" s="1">
        <v>0</v>
      </c>
      <c r="O1351" s="1">
        <v>0</v>
      </c>
      <c r="P1351" s="1" t="s">
        <v>375</v>
      </c>
      <c r="Q1351" s="1" t="s">
        <v>131</v>
      </c>
      <c r="R1351" s="1" t="s">
        <v>7847</v>
      </c>
      <c r="S1351" s="1" t="s">
        <v>7302</v>
      </c>
      <c r="T1351" s="1">
        <v>1</v>
      </c>
      <c r="U1351" s="1">
        <v>1</v>
      </c>
      <c r="V1351" s="1">
        <v>1</v>
      </c>
      <c r="W1351" s="1">
        <v>0</v>
      </c>
      <c r="X1351" s="1">
        <v>0</v>
      </c>
      <c r="Y1351" s="1">
        <v>3</v>
      </c>
      <c r="Z1351" s="1">
        <v>3</v>
      </c>
      <c r="AA1351" s="1">
        <v>3</v>
      </c>
      <c r="AB1351" s="1">
        <v>3</v>
      </c>
      <c r="AC1351" s="1" t="s">
        <v>104</v>
      </c>
      <c r="AD1351" s="1">
        <v>2</v>
      </c>
      <c r="AE1351" s="1" t="s">
        <v>104</v>
      </c>
      <c r="AF1351" s="1" t="s">
        <v>104</v>
      </c>
      <c r="AG1351" s="1" t="s">
        <v>104</v>
      </c>
      <c r="AH1351" s="1" t="s">
        <v>104</v>
      </c>
      <c r="AI1351" s="1" t="s">
        <v>104</v>
      </c>
      <c r="AJ1351" s="1">
        <v>3</v>
      </c>
      <c r="AK1351" s="1" t="s">
        <v>104</v>
      </c>
      <c r="AL1351" s="1" t="s">
        <v>104</v>
      </c>
      <c r="AM1351" s="1" t="s">
        <v>104</v>
      </c>
      <c r="AO1351" s="1">
        <v>3</v>
      </c>
      <c r="AQ1351" s="1" t="s">
        <v>7848</v>
      </c>
      <c r="AR1351" s="1">
        <v>0</v>
      </c>
      <c r="AS1351" s="1">
        <v>0</v>
      </c>
      <c r="AT1351" s="1">
        <v>0</v>
      </c>
      <c r="AU1351" s="1">
        <v>0</v>
      </c>
      <c r="AV1351" s="1">
        <v>0</v>
      </c>
      <c r="AW1351" s="1">
        <v>0</v>
      </c>
      <c r="AX1351" s="1">
        <v>0</v>
      </c>
      <c r="AY1351" s="1">
        <v>0</v>
      </c>
      <c r="AZ1351" s="1">
        <v>0</v>
      </c>
      <c r="BA1351" s="1">
        <v>0</v>
      </c>
      <c r="BB1351" s="1">
        <v>0</v>
      </c>
      <c r="BC1351" s="1">
        <v>0</v>
      </c>
      <c r="BD1351" s="1">
        <v>0</v>
      </c>
      <c r="BE1351" s="1">
        <v>0</v>
      </c>
      <c r="BF1351" s="1">
        <v>0</v>
      </c>
      <c r="BG1351" s="1">
        <v>0</v>
      </c>
      <c r="BH1351" s="1">
        <v>0</v>
      </c>
      <c r="BI1351" s="1">
        <v>0</v>
      </c>
      <c r="BJ1351" s="1">
        <v>0</v>
      </c>
      <c r="BK1351" s="1">
        <v>0</v>
      </c>
      <c r="BL1351" s="1">
        <v>0</v>
      </c>
      <c r="BM1351" s="1">
        <v>0</v>
      </c>
      <c r="BN1351" s="1">
        <v>0</v>
      </c>
      <c r="BO1351" s="1">
        <v>0</v>
      </c>
      <c r="BP1351" s="1">
        <v>0</v>
      </c>
      <c r="BQ1351" s="2" t="str">
        <f>HYPERLINK("http://www.d20pfsrd.com/magic/all-spells/s/share-language#TOC-Share-Language-Communal","Share Language, Communal")</f>
        <v>Share Language, Communal</v>
      </c>
      <c r="BR1351" s="1">
        <v>1405</v>
      </c>
      <c r="BS1351" s="1" t="s">
        <v>104</v>
      </c>
      <c r="BX1351" s="1">
        <v>0</v>
      </c>
      <c r="BY1351" s="1" t="s">
        <v>104</v>
      </c>
      <c r="BZ1351" s="1" t="s">
        <v>104</v>
      </c>
      <c r="CA1351" s="1">
        <v>2</v>
      </c>
      <c r="CB1351" s="1" t="s">
        <v>104</v>
      </c>
      <c r="CC1351" s="1">
        <v>2</v>
      </c>
      <c r="CD1351" s="1">
        <v>3</v>
      </c>
      <c r="CE1351" s="1" t="s">
        <v>104</v>
      </c>
      <c r="CF1351" s="1" t="s">
        <v>104</v>
      </c>
      <c r="CG1351" s="1" t="s">
        <v>104</v>
      </c>
      <c r="CH1351" s="1">
        <v>3</v>
      </c>
      <c r="CJ1351" s="1">
        <v>0</v>
      </c>
      <c r="CK1351" s="1">
        <v>0</v>
      </c>
      <c r="CL1351" s="1">
        <v>0</v>
      </c>
      <c r="CM1351" s="1" t="s">
        <v>104</v>
      </c>
    </row>
    <row r="1352" spans="1:91" ht="14.25" customHeight="1" x14ac:dyDescent="0.3">
      <c r="A1352" s="1" t="s">
        <v>7849</v>
      </c>
      <c r="B1352" s="1" t="s">
        <v>162</v>
      </c>
      <c r="D1352" s="1" t="s">
        <v>7850</v>
      </c>
      <c r="E1352" s="1" t="s">
        <v>7851</v>
      </c>
      <c r="F1352" s="1" t="s">
        <v>95</v>
      </c>
      <c r="G1352" s="1" t="s">
        <v>116</v>
      </c>
      <c r="H1352" s="1">
        <v>0</v>
      </c>
      <c r="I1352" s="1" t="s">
        <v>157</v>
      </c>
      <c r="L1352" s="1" t="s">
        <v>158</v>
      </c>
      <c r="M1352" s="1" t="s">
        <v>7852</v>
      </c>
      <c r="N1352" s="1">
        <v>1</v>
      </c>
      <c r="O1352" s="1">
        <v>0</v>
      </c>
      <c r="R1352" s="1" t="s">
        <v>7853</v>
      </c>
      <c r="S1352" s="1" t="s">
        <v>7302</v>
      </c>
      <c r="T1352" s="1">
        <v>1</v>
      </c>
      <c r="U1352" s="1">
        <v>1</v>
      </c>
      <c r="V1352" s="1">
        <v>0</v>
      </c>
      <c r="W1352" s="1">
        <v>0</v>
      </c>
      <c r="X1352" s="1">
        <v>0</v>
      </c>
      <c r="Y1352" s="1">
        <v>1</v>
      </c>
      <c r="Z1352" s="1">
        <v>1</v>
      </c>
      <c r="AA1352" s="1" t="s">
        <v>104</v>
      </c>
      <c r="AB1352" s="1" t="s">
        <v>104</v>
      </c>
      <c r="AC1352" s="1" t="s">
        <v>104</v>
      </c>
      <c r="AD1352" s="1" t="s">
        <v>104</v>
      </c>
      <c r="AE1352" s="1" t="s">
        <v>104</v>
      </c>
      <c r="AF1352" s="1">
        <v>1</v>
      </c>
      <c r="AG1352" s="1" t="s">
        <v>104</v>
      </c>
      <c r="AH1352" s="1" t="s">
        <v>104</v>
      </c>
      <c r="AI1352" s="1" t="s">
        <v>104</v>
      </c>
      <c r="AJ1352" s="1" t="s">
        <v>104</v>
      </c>
      <c r="AK1352" s="1" t="s">
        <v>104</v>
      </c>
      <c r="AL1352" s="1">
        <v>1</v>
      </c>
      <c r="AM1352" s="1" t="s">
        <v>104</v>
      </c>
      <c r="AO1352" s="1">
        <v>1</v>
      </c>
      <c r="AQ1352" s="1" t="s">
        <v>7854</v>
      </c>
      <c r="AR1352" s="1">
        <v>0</v>
      </c>
      <c r="AS1352" s="1">
        <v>0</v>
      </c>
      <c r="AT1352" s="1">
        <v>0</v>
      </c>
      <c r="AU1352" s="1">
        <v>0</v>
      </c>
      <c r="AV1352" s="1">
        <v>0</v>
      </c>
      <c r="AW1352" s="1">
        <v>0</v>
      </c>
      <c r="AX1352" s="1">
        <v>0</v>
      </c>
      <c r="AY1352" s="1">
        <v>0</v>
      </c>
      <c r="AZ1352" s="1">
        <v>0</v>
      </c>
      <c r="BA1352" s="1">
        <v>1</v>
      </c>
      <c r="BB1352" s="1">
        <v>0</v>
      </c>
      <c r="BC1352" s="1">
        <v>0</v>
      </c>
      <c r="BD1352" s="1">
        <v>0</v>
      </c>
      <c r="BE1352" s="1">
        <v>0</v>
      </c>
      <c r="BF1352" s="1">
        <v>1</v>
      </c>
      <c r="BG1352" s="1">
        <v>0</v>
      </c>
      <c r="BH1352" s="1">
        <v>0</v>
      </c>
      <c r="BI1352" s="1">
        <v>0</v>
      </c>
      <c r="BJ1352" s="1">
        <v>0</v>
      </c>
      <c r="BK1352" s="1">
        <v>0</v>
      </c>
      <c r="BL1352" s="1">
        <v>0</v>
      </c>
      <c r="BM1352" s="1">
        <v>0</v>
      </c>
      <c r="BN1352" s="1">
        <v>0</v>
      </c>
      <c r="BO1352" s="1">
        <v>0</v>
      </c>
      <c r="BP1352" s="1">
        <v>0</v>
      </c>
      <c r="BQ1352" s="2" t="str">
        <f>HYPERLINK("http://www.d20pfsrd.com/magic/all-spells/s/shock-shield","Shock Shield")</f>
        <v>Shock Shield</v>
      </c>
      <c r="BR1352" s="1">
        <v>1406</v>
      </c>
      <c r="BS1352" s="1" t="s">
        <v>104</v>
      </c>
      <c r="BX1352" s="1">
        <v>0</v>
      </c>
      <c r="BY1352" s="1">
        <v>1</v>
      </c>
      <c r="BZ1352" s="1" t="s">
        <v>104</v>
      </c>
      <c r="CA1352" s="1" t="s">
        <v>104</v>
      </c>
      <c r="CB1352" s="1" t="s">
        <v>104</v>
      </c>
      <c r="CC1352" s="1" t="s">
        <v>104</v>
      </c>
      <c r="CD1352" s="1">
        <v>1</v>
      </c>
      <c r="CE1352" s="1" t="s">
        <v>104</v>
      </c>
      <c r="CF1352" s="1" t="s">
        <v>104</v>
      </c>
      <c r="CG1352" s="1" t="s">
        <v>104</v>
      </c>
      <c r="CH1352" s="1" t="s">
        <v>104</v>
      </c>
      <c r="CJ1352" s="1">
        <v>0</v>
      </c>
      <c r="CK1352" s="1">
        <v>0</v>
      </c>
      <c r="CL1352" s="1">
        <v>0</v>
      </c>
      <c r="CM1352" s="1" t="s">
        <v>104</v>
      </c>
    </row>
    <row r="1353" spans="1:91" ht="14.25" customHeight="1" x14ac:dyDescent="0.3">
      <c r="A1353" s="1" t="s">
        <v>7855</v>
      </c>
      <c r="B1353" s="1" t="s">
        <v>507</v>
      </c>
      <c r="C1353" s="1" t="s">
        <v>1767</v>
      </c>
      <c r="D1353" s="1" t="s">
        <v>52</v>
      </c>
      <c r="E1353" s="1" t="s">
        <v>7856</v>
      </c>
      <c r="F1353" s="1" t="s">
        <v>95</v>
      </c>
      <c r="G1353" s="1" t="s">
        <v>116</v>
      </c>
      <c r="H1353" s="1">
        <v>0</v>
      </c>
      <c r="I1353" s="1" t="s">
        <v>157</v>
      </c>
      <c r="L1353" s="1" t="s">
        <v>158</v>
      </c>
      <c r="M1353" s="1" t="s">
        <v>2330</v>
      </c>
      <c r="N1353" s="1">
        <v>0</v>
      </c>
      <c r="O1353" s="1">
        <v>0</v>
      </c>
      <c r="P1353" s="1" t="s">
        <v>100</v>
      </c>
      <c r="Q1353" s="1" t="s">
        <v>145</v>
      </c>
      <c r="R1353" s="1" t="s">
        <v>7857</v>
      </c>
      <c r="S1353" s="1" t="s">
        <v>7302</v>
      </c>
      <c r="T1353" s="1">
        <v>1</v>
      </c>
      <c r="U1353" s="1">
        <v>1</v>
      </c>
      <c r="V1353" s="1">
        <v>0</v>
      </c>
      <c r="W1353" s="1">
        <v>0</v>
      </c>
      <c r="X1353" s="1">
        <v>0</v>
      </c>
      <c r="Y1353" s="1">
        <v>4</v>
      </c>
      <c r="Z1353" s="1">
        <v>4</v>
      </c>
      <c r="AA1353" s="1" t="s">
        <v>104</v>
      </c>
      <c r="AB1353" s="1" t="s">
        <v>104</v>
      </c>
      <c r="AC1353" s="1" t="s">
        <v>104</v>
      </c>
      <c r="AD1353" s="1">
        <v>4</v>
      </c>
      <c r="AE1353" s="1" t="s">
        <v>104</v>
      </c>
      <c r="AF1353" s="1" t="s">
        <v>104</v>
      </c>
      <c r="AG1353" s="1" t="s">
        <v>104</v>
      </c>
      <c r="AH1353" s="1" t="s">
        <v>104</v>
      </c>
      <c r="AI1353" s="1" t="s">
        <v>104</v>
      </c>
      <c r="AJ1353" s="1" t="s">
        <v>104</v>
      </c>
      <c r="AK1353" s="1" t="s">
        <v>104</v>
      </c>
      <c r="AL1353" s="1" t="s">
        <v>104</v>
      </c>
      <c r="AM1353" s="1" t="s">
        <v>104</v>
      </c>
      <c r="AO1353" s="1">
        <v>4</v>
      </c>
      <c r="AQ1353" s="1" t="s">
        <v>7858</v>
      </c>
      <c r="AR1353" s="1">
        <v>0</v>
      </c>
      <c r="AS1353" s="1">
        <v>0</v>
      </c>
      <c r="AT1353" s="1">
        <v>0</v>
      </c>
      <c r="AU1353" s="1">
        <v>0</v>
      </c>
      <c r="AV1353" s="1">
        <v>0</v>
      </c>
      <c r="AW1353" s="1">
        <v>0</v>
      </c>
      <c r="AX1353" s="1">
        <v>0</v>
      </c>
      <c r="AY1353" s="1">
        <v>0</v>
      </c>
      <c r="AZ1353" s="1">
        <v>0</v>
      </c>
      <c r="BA1353" s="1">
        <v>1</v>
      </c>
      <c r="BB1353" s="1">
        <v>0</v>
      </c>
      <c r="BC1353" s="1">
        <v>0</v>
      </c>
      <c r="BD1353" s="1">
        <v>0</v>
      </c>
      <c r="BE1353" s="1">
        <v>0</v>
      </c>
      <c r="BF1353" s="1">
        <v>0</v>
      </c>
      <c r="BG1353" s="1">
        <v>0</v>
      </c>
      <c r="BH1353" s="1">
        <v>0</v>
      </c>
      <c r="BI1353" s="1">
        <v>0</v>
      </c>
      <c r="BJ1353" s="1">
        <v>0</v>
      </c>
      <c r="BK1353" s="1">
        <v>0</v>
      </c>
      <c r="BL1353" s="1">
        <v>0</v>
      </c>
      <c r="BM1353" s="1">
        <v>0</v>
      </c>
      <c r="BN1353" s="1">
        <v>0</v>
      </c>
      <c r="BO1353" s="1">
        <v>0</v>
      </c>
      <c r="BP1353" s="1">
        <v>0</v>
      </c>
      <c r="BQ1353" s="2" t="str">
        <f>HYPERLINK("http://www.d20pfsrd.com/magic/all-spells/s/shocking-image","Shocking Image")</f>
        <v>Shocking Image</v>
      </c>
      <c r="BR1353" s="1">
        <v>1407</v>
      </c>
      <c r="BS1353" s="1" t="s">
        <v>104</v>
      </c>
      <c r="BX1353" s="1">
        <v>0</v>
      </c>
      <c r="BY1353" s="1">
        <v>4</v>
      </c>
      <c r="BZ1353" s="1" t="s">
        <v>104</v>
      </c>
      <c r="CA1353" s="1" t="s">
        <v>104</v>
      </c>
      <c r="CB1353" s="1" t="s">
        <v>104</v>
      </c>
      <c r="CC1353" s="1">
        <v>4</v>
      </c>
      <c r="CD1353" s="1">
        <v>4</v>
      </c>
      <c r="CE1353" s="1" t="s">
        <v>104</v>
      </c>
      <c r="CF1353" s="1" t="s">
        <v>104</v>
      </c>
      <c r="CG1353" s="1" t="s">
        <v>104</v>
      </c>
      <c r="CH1353" s="1" t="s">
        <v>104</v>
      </c>
      <c r="CJ1353" s="1">
        <v>0</v>
      </c>
      <c r="CK1353" s="1">
        <v>0</v>
      </c>
      <c r="CL1353" s="1">
        <v>0</v>
      </c>
      <c r="CM1353" s="1" t="s">
        <v>104</v>
      </c>
    </row>
    <row r="1354" spans="1:91" ht="14.25" customHeight="1" x14ac:dyDescent="0.3">
      <c r="A1354" s="1" t="s">
        <v>7859</v>
      </c>
      <c r="B1354" s="1" t="s">
        <v>137</v>
      </c>
      <c r="E1354" s="1" t="s">
        <v>617</v>
      </c>
      <c r="F1354" s="1" t="s">
        <v>287</v>
      </c>
      <c r="G1354" s="1" t="s">
        <v>127</v>
      </c>
      <c r="H1354" s="1">
        <v>0</v>
      </c>
      <c r="I1354" s="1" t="s">
        <v>117</v>
      </c>
      <c r="L1354" s="1" t="s">
        <v>7860</v>
      </c>
      <c r="M1354" s="1" t="s">
        <v>620</v>
      </c>
      <c r="N1354" s="1">
        <v>1</v>
      </c>
      <c r="O1354" s="1">
        <v>0</v>
      </c>
      <c r="P1354" s="1" t="s">
        <v>100</v>
      </c>
      <c r="Q1354" s="1" t="s">
        <v>101</v>
      </c>
      <c r="R1354" s="1" t="s">
        <v>7861</v>
      </c>
      <c r="S1354" s="1" t="s">
        <v>7302</v>
      </c>
      <c r="T1354" s="1">
        <v>1</v>
      </c>
      <c r="U1354" s="1">
        <v>1</v>
      </c>
      <c r="V1354" s="1">
        <v>0</v>
      </c>
      <c r="W1354" s="1">
        <v>0</v>
      </c>
      <c r="X1354" s="1">
        <v>1</v>
      </c>
      <c r="Y1354" s="1" t="s">
        <v>104</v>
      </c>
      <c r="Z1354" s="1" t="s">
        <v>104</v>
      </c>
      <c r="AA1354" s="1" t="s">
        <v>104</v>
      </c>
      <c r="AB1354" s="1">
        <v>7</v>
      </c>
      <c r="AC1354" s="1" t="s">
        <v>104</v>
      </c>
      <c r="AD1354" s="1" t="s">
        <v>104</v>
      </c>
      <c r="AE1354" s="1" t="s">
        <v>104</v>
      </c>
      <c r="AF1354" s="1" t="s">
        <v>104</v>
      </c>
      <c r="AG1354" s="1" t="s">
        <v>104</v>
      </c>
      <c r="AH1354" s="1" t="s">
        <v>104</v>
      </c>
      <c r="AI1354" s="1" t="s">
        <v>104</v>
      </c>
      <c r="AJ1354" s="1" t="s">
        <v>104</v>
      </c>
      <c r="AK1354" s="1" t="s">
        <v>104</v>
      </c>
      <c r="AL1354" s="1" t="s">
        <v>104</v>
      </c>
      <c r="AM1354" s="1" t="s">
        <v>104</v>
      </c>
      <c r="AO1354" s="1">
        <v>7</v>
      </c>
      <c r="AQ1354" s="1" t="s">
        <v>7862</v>
      </c>
      <c r="AR1354" s="1">
        <v>0</v>
      </c>
      <c r="AS1354" s="1">
        <v>0</v>
      </c>
      <c r="AT1354" s="1">
        <v>0</v>
      </c>
      <c r="AU1354" s="1">
        <v>0</v>
      </c>
      <c r="AV1354" s="1">
        <v>0</v>
      </c>
      <c r="AW1354" s="1">
        <v>0</v>
      </c>
      <c r="AX1354" s="1">
        <v>0</v>
      </c>
      <c r="AY1354" s="1">
        <v>0</v>
      </c>
      <c r="AZ1354" s="1">
        <v>0</v>
      </c>
      <c r="BA1354" s="1">
        <v>0</v>
      </c>
      <c r="BB1354" s="1">
        <v>0</v>
      </c>
      <c r="BC1354" s="1">
        <v>0</v>
      </c>
      <c r="BD1354" s="1">
        <v>0</v>
      </c>
      <c r="BE1354" s="1">
        <v>0</v>
      </c>
      <c r="BF1354" s="1">
        <v>0</v>
      </c>
      <c r="BG1354" s="1">
        <v>0</v>
      </c>
      <c r="BH1354" s="1">
        <v>0</v>
      </c>
      <c r="BI1354" s="1">
        <v>0</v>
      </c>
      <c r="BJ1354" s="1">
        <v>0</v>
      </c>
      <c r="BK1354" s="1">
        <v>0</v>
      </c>
      <c r="BL1354" s="1">
        <v>0</v>
      </c>
      <c r="BM1354" s="1">
        <v>0</v>
      </c>
      <c r="BN1354" s="1">
        <v>0</v>
      </c>
      <c r="BO1354" s="1">
        <v>0</v>
      </c>
      <c r="BP1354" s="1">
        <v>0</v>
      </c>
      <c r="BQ1354" s="2" t="str">
        <f>HYPERLINK("http://www.d20pfsrd.com/magic/all-spells/s/siege-of-trees","Siege of Trees")</f>
        <v>Siege of Trees</v>
      </c>
      <c r="BR1354" s="1">
        <v>1408</v>
      </c>
      <c r="BS1354" s="1" t="s">
        <v>104</v>
      </c>
      <c r="BX1354" s="1">
        <v>0</v>
      </c>
      <c r="BY1354" s="1" t="s">
        <v>104</v>
      </c>
      <c r="BZ1354" s="1" t="s">
        <v>104</v>
      </c>
      <c r="CA1354" s="1" t="s">
        <v>104</v>
      </c>
      <c r="CB1354" s="1" t="s">
        <v>104</v>
      </c>
      <c r="CC1354" s="1" t="s">
        <v>104</v>
      </c>
      <c r="CD1354" s="1" t="s">
        <v>104</v>
      </c>
      <c r="CE1354" s="1" t="s">
        <v>104</v>
      </c>
      <c r="CF1354" s="1" t="s">
        <v>104</v>
      </c>
      <c r="CG1354" s="1" t="s">
        <v>104</v>
      </c>
      <c r="CH1354" s="1" t="s">
        <v>104</v>
      </c>
      <c r="CJ1354" s="1">
        <v>0</v>
      </c>
      <c r="CK1354" s="1">
        <v>0</v>
      </c>
      <c r="CL1354" s="1">
        <v>0</v>
      </c>
      <c r="CM1354" s="1" t="s">
        <v>104</v>
      </c>
    </row>
    <row r="1355" spans="1:91" ht="14.25" customHeight="1" x14ac:dyDescent="0.3">
      <c r="A1355" s="1" t="s">
        <v>7863</v>
      </c>
      <c r="B1355" s="1" t="s">
        <v>137</v>
      </c>
      <c r="E1355" s="1" t="s">
        <v>3717</v>
      </c>
      <c r="F1355" s="1" t="s">
        <v>287</v>
      </c>
      <c r="G1355" s="1" t="s">
        <v>7864</v>
      </c>
      <c r="H1355" s="1">
        <v>0</v>
      </c>
      <c r="I1355" s="1" t="s">
        <v>117</v>
      </c>
      <c r="L1355" s="1" t="s">
        <v>7865</v>
      </c>
      <c r="M1355" s="1" t="s">
        <v>620</v>
      </c>
      <c r="N1355" s="1">
        <v>1</v>
      </c>
      <c r="O1355" s="1">
        <v>0</v>
      </c>
      <c r="P1355" s="1" t="s">
        <v>100</v>
      </c>
      <c r="Q1355" s="1" t="s">
        <v>101</v>
      </c>
      <c r="R1355" s="1" t="s">
        <v>7866</v>
      </c>
      <c r="S1355" s="1" t="s">
        <v>7302</v>
      </c>
      <c r="T1355" s="1">
        <v>1</v>
      </c>
      <c r="U1355" s="1">
        <v>1</v>
      </c>
      <c r="V1355" s="1">
        <v>0</v>
      </c>
      <c r="W1355" s="1">
        <v>0</v>
      </c>
      <c r="X1355" s="1">
        <v>0</v>
      </c>
      <c r="Y1355" s="1" t="s">
        <v>104</v>
      </c>
      <c r="Z1355" s="1" t="s">
        <v>104</v>
      </c>
      <c r="AA1355" s="1" t="s">
        <v>104</v>
      </c>
      <c r="AB1355" s="1">
        <v>9</v>
      </c>
      <c r="AC1355" s="1" t="s">
        <v>104</v>
      </c>
      <c r="AD1355" s="1" t="s">
        <v>104</v>
      </c>
      <c r="AE1355" s="1" t="s">
        <v>104</v>
      </c>
      <c r="AF1355" s="1" t="s">
        <v>104</v>
      </c>
      <c r="AG1355" s="1" t="s">
        <v>104</v>
      </c>
      <c r="AH1355" s="1" t="s">
        <v>104</v>
      </c>
      <c r="AI1355" s="1" t="s">
        <v>104</v>
      </c>
      <c r="AJ1355" s="1" t="s">
        <v>104</v>
      </c>
      <c r="AK1355" s="1" t="s">
        <v>104</v>
      </c>
      <c r="AL1355" s="1" t="s">
        <v>104</v>
      </c>
      <c r="AM1355" s="1" t="s">
        <v>104</v>
      </c>
      <c r="AO1355" s="1">
        <v>9</v>
      </c>
      <c r="AQ1355" s="1" t="s">
        <v>7867</v>
      </c>
      <c r="AR1355" s="1">
        <v>0</v>
      </c>
      <c r="AS1355" s="1">
        <v>0</v>
      </c>
      <c r="AT1355" s="1">
        <v>0</v>
      </c>
      <c r="AU1355" s="1">
        <v>0</v>
      </c>
      <c r="AV1355" s="1">
        <v>0</v>
      </c>
      <c r="AW1355" s="1">
        <v>0</v>
      </c>
      <c r="AX1355" s="1">
        <v>0</v>
      </c>
      <c r="AY1355" s="1">
        <v>0</v>
      </c>
      <c r="AZ1355" s="1">
        <v>0</v>
      </c>
      <c r="BA1355" s="1">
        <v>0</v>
      </c>
      <c r="BB1355" s="1">
        <v>0</v>
      </c>
      <c r="BC1355" s="1">
        <v>0</v>
      </c>
      <c r="BD1355" s="1">
        <v>0</v>
      </c>
      <c r="BE1355" s="1">
        <v>0</v>
      </c>
      <c r="BF1355" s="1">
        <v>0</v>
      </c>
      <c r="BG1355" s="1">
        <v>0</v>
      </c>
      <c r="BH1355" s="1">
        <v>0</v>
      </c>
      <c r="BI1355" s="1">
        <v>0</v>
      </c>
      <c r="BJ1355" s="1">
        <v>0</v>
      </c>
      <c r="BK1355" s="1">
        <v>0</v>
      </c>
      <c r="BL1355" s="1">
        <v>0</v>
      </c>
      <c r="BM1355" s="1">
        <v>0</v>
      </c>
      <c r="BN1355" s="1">
        <v>0</v>
      </c>
      <c r="BO1355" s="1">
        <v>0</v>
      </c>
      <c r="BP1355" s="1">
        <v>0</v>
      </c>
      <c r="BQ1355" s="2" t="str">
        <f>HYPERLINK("http://www.d20pfsrd.com/magic/all-spells/s/siege-of-trees#TOC-Siege-of-Trees-Greater","Siege of Trees, Greater")</f>
        <v>Siege of Trees, Greater</v>
      </c>
      <c r="BR1355" s="1">
        <v>1409</v>
      </c>
      <c r="BS1355" s="1" t="s">
        <v>104</v>
      </c>
      <c r="BX1355" s="1">
        <v>0</v>
      </c>
      <c r="BY1355" s="1" t="s">
        <v>104</v>
      </c>
      <c r="BZ1355" s="1" t="s">
        <v>104</v>
      </c>
      <c r="CA1355" s="1" t="s">
        <v>104</v>
      </c>
      <c r="CB1355" s="1" t="s">
        <v>104</v>
      </c>
      <c r="CC1355" s="1" t="s">
        <v>104</v>
      </c>
      <c r="CD1355" s="1" t="s">
        <v>104</v>
      </c>
      <c r="CE1355" s="1" t="s">
        <v>104</v>
      </c>
      <c r="CF1355" s="1" t="s">
        <v>104</v>
      </c>
      <c r="CG1355" s="1" t="s">
        <v>104</v>
      </c>
      <c r="CH1355" s="1" t="s">
        <v>104</v>
      </c>
      <c r="CJ1355" s="1">
        <v>0</v>
      </c>
      <c r="CK1355" s="1">
        <v>0</v>
      </c>
      <c r="CL1355" s="1">
        <v>0</v>
      </c>
      <c r="CM1355" s="1" t="s">
        <v>104</v>
      </c>
    </row>
    <row r="1356" spans="1:91" ht="14.25" customHeight="1" x14ac:dyDescent="0.3">
      <c r="A1356" s="1" t="s">
        <v>7868</v>
      </c>
      <c r="B1356" s="1" t="s">
        <v>162</v>
      </c>
      <c r="E1356" s="1" t="s">
        <v>7869</v>
      </c>
      <c r="F1356" s="1" t="s">
        <v>95</v>
      </c>
      <c r="G1356" s="1" t="s">
        <v>127</v>
      </c>
      <c r="H1356" s="1">
        <v>0</v>
      </c>
      <c r="I1356" s="1" t="s">
        <v>128</v>
      </c>
      <c r="L1356" s="1" t="s">
        <v>7332</v>
      </c>
      <c r="M1356" s="1" t="s">
        <v>140</v>
      </c>
      <c r="N1356" s="1">
        <v>0</v>
      </c>
      <c r="O1356" s="1">
        <v>0</v>
      </c>
      <c r="P1356" s="1" t="s">
        <v>375</v>
      </c>
      <c r="Q1356" s="1" t="s">
        <v>131</v>
      </c>
      <c r="R1356" s="1" t="s">
        <v>7870</v>
      </c>
      <c r="S1356" s="1" t="s">
        <v>7302</v>
      </c>
      <c r="T1356" s="1">
        <v>1</v>
      </c>
      <c r="U1356" s="1">
        <v>1</v>
      </c>
      <c r="V1356" s="1">
        <v>0</v>
      </c>
      <c r="W1356" s="1">
        <v>0</v>
      </c>
      <c r="X1356" s="1">
        <v>1</v>
      </c>
      <c r="Y1356" s="1" t="s">
        <v>104</v>
      </c>
      <c r="Z1356" s="1" t="s">
        <v>104</v>
      </c>
      <c r="AA1356" s="1">
        <v>5</v>
      </c>
      <c r="AB1356" s="1" t="s">
        <v>104</v>
      </c>
      <c r="AC1356" s="1" t="s">
        <v>104</v>
      </c>
      <c r="AD1356" s="1" t="s">
        <v>104</v>
      </c>
      <c r="AE1356" s="1" t="s">
        <v>104</v>
      </c>
      <c r="AF1356" s="1" t="s">
        <v>104</v>
      </c>
      <c r="AG1356" s="1" t="s">
        <v>104</v>
      </c>
      <c r="AH1356" s="1" t="s">
        <v>104</v>
      </c>
      <c r="AI1356" s="1">
        <v>5</v>
      </c>
      <c r="AJ1356" s="1">
        <v>5</v>
      </c>
      <c r="AK1356" s="1" t="s">
        <v>104</v>
      </c>
      <c r="AL1356" s="1" t="s">
        <v>104</v>
      </c>
      <c r="AM1356" s="1" t="s">
        <v>104</v>
      </c>
      <c r="AO1356" s="1">
        <v>5</v>
      </c>
      <c r="AQ1356" s="1" t="s">
        <v>7871</v>
      </c>
      <c r="AR1356" s="1">
        <v>0</v>
      </c>
      <c r="AS1356" s="1">
        <v>0</v>
      </c>
      <c r="AT1356" s="1">
        <v>0</v>
      </c>
      <c r="AU1356" s="1">
        <v>0</v>
      </c>
      <c r="AV1356" s="1">
        <v>0</v>
      </c>
      <c r="AW1356" s="1">
        <v>0</v>
      </c>
      <c r="AX1356" s="1">
        <v>0</v>
      </c>
      <c r="AY1356" s="1">
        <v>0</v>
      </c>
      <c r="AZ1356" s="1">
        <v>0</v>
      </c>
      <c r="BA1356" s="1">
        <v>0</v>
      </c>
      <c r="BB1356" s="1">
        <v>0</v>
      </c>
      <c r="BC1356" s="1">
        <v>0</v>
      </c>
      <c r="BD1356" s="1">
        <v>0</v>
      </c>
      <c r="BE1356" s="1">
        <v>0</v>
      </c>
      <c r="BF1356" s="1">
        <v>0</v>
      </c>
      <c r="BG1356" s="1">
        <v>0</v>
      </c>
      <c r="BH1356" s="1">
        <v>0</v>
      </c>
      <c r="BI1356" s="1">
        <v>0</v>
      </c>
      <c r="BJ1356" s="1">
        <v>0</v>
      </c>
      <c r="BK1356" s="1">
        <v>0</v>
      </c>
      <c r="BL1356" s="1">
        <v>0</v>
      </c>
      <c r="BM1356" s="1">
        <v>0</v>
      </c>
      <c r="BN1356" s="1">
        <v>0</v>
      </c>
      <c r="BO1356" s="1">
        <v>0</v>
      </c>
      <c r="BP1356" s="1">
        <v>0</v>
      </c>
      <c r="BQ1356" s="2" t="str">
        <f>HYPERLINK("http://www.d20pfsrd.com/magic/all-spells/s/spell-immunity#TOC-Spell-Immunity-Communal","Spell Immunity, Communal")</f>
        <v>Spell Immunity, Communal</v>
      </c>
      <c r="BR1356" s="1">
        <v>1410</v>
      </c>
      <c r="BS1356" s="1" t="s">
        <v>104</v>
      </c>
      <c r="BX1356" s="1">
        <v>0</v>
      </c>
      <c r="BY1356" s="1" t="s">
        <v>104</v>
      </c>
      <c r="BZ1356" s="1" t="s">
        <v>104</v>
      </c>
      <c r="CA1356" s="1">
        <v>5</v>
      </c>
      <c r="CB1356" s="1" t="s">
        <v>104</v>
      </c>
      <c r="CC1356" s="1" t="s">
        <v>104</v>
      </c>
      <c r="CD1356" s="1">
        <v>5</v>
      </c>
      <c r="CE1356" s="1" t="s">
        <v>104</v>
      </c>
      <c r="CF1356" s="1" t="s">
        <v>104</v>
      </c>
      <c r="CG1356" s="1" t="s">
        <v>104</v>
      </c>
      <c r="CH1356" s="1" t="s">
        <v>104</v>
      </c>
      <c r="CJ1356" s="1">
        <v>0</v>
      </c>
      <c r="CK1356" s="1">
        <v>0</v>
      </c>
      <c r="CL1356" s="1">
        <v>0</v>
      </c>
      <c r="CM1356" s="1" t="s">
        <v>104</v>
      </c>
    </row>
    <row r="1357" spans="1:91" ht="14.25" customHeight="1" x14ac:dyDescent="0.3">
      <c r="A1357" s="1" t="s">
        <v>7872</v>
      </c>
      <c r="B1357" s="1" t="s">
        <v>162</v>
      </c>
      <c r="E1357" s="1" t="s">
        <v>2109</v>
      </c>
      <c r="F1357" s="1" t="s">
        <v>95</v>
      </c>
      <c r="G1357" s="1" t="s">
        <v>127</v>
      </c>
      <c r="H1357" s="1">
        <v>0</v>
      </c>
      <c r="I1357" s="1" t="s">
        <v>128</v>
      </c>
      <c r="L1357" s="1" t="s">
        <v>7332</v>
      </c>
      <c r="M1357" s="1" t="s">
        <v>140</v>
      </c>
      <c r="N1357" s="1">
        <v>0</v>
      </c>
      <c r="O1357" s="1">
        <v>0</v>
      </c>
      <c r="P1357" s="1" t="s">
        <v>375</v>
      </c>
      <c r="Q1357" s="1" t="s">
        <v>131</v>
      </c>
      <c r="R1357" s="1" t="s">
        <v>7873</v>
      </c>
      <c r="S1357" s="1" t="s">
        <v>7302</v>
      </c>
      <c r="T1357" s="1">
        <v>1</v>
      </c>
      <c r="U1357" s="1">
        <v>1</v>
      </c>
      <c r="V1357" s="1">
        <v>0</v>
      </c>
      <c r="W1357" s="1">
        <v>0</v>
      </c>
      <c r="X1357" s="1">
        <v>1</v>
      </c>
      <c r="Y1357" s="1" t="s">
        <v>104</v>
      </c>
      <c r="Z1357" s="1" t="s">
        <v>104</v>
      </c>
      <c r="AA1357" s="1">
        <v>9</v>
      </c>
      <c r="AB1357" s="1" t="s">
        <v>104</v>
      </c>
      <c r="AC1357" s="1" t="s">
        <v>104</v>
      </c>
      <c r="AD1357" s="1" t="s">
        <v>104</v>
      </c>
      <c r="AE1357" s="1" t="s">
        <v>104</v>
      </c>
      <c r="AF1357" s="1" t="s">
        <v>104</v>
      </c>
      <c r="AG1357" s="1" t="s">
        <v>104</v>
      </c>
      <c r="AH1357" s="1" t="s">
        <v>104</v>
      </c>
      <c r="AI1357" s="1" t="s">
        <v>104</v>
      </c>
      <c r="AJ1357" s="1">
        <v>9</v>
      </c>
      <c r="AK1357" s="1" t="s">
        <v>104</v>
      </c>
      <c r="AL1357" s="1" t="s">
        <v>104</v>
      </c>
      <c r="AM1357" s="1" t="s">
        <v>104</v>
      </c>
      <c r="AO1357" s="1">
        <v>9</v>
      </c>
      <c r="AQ1357" s="1" t="s">
        <v>7874</v>
      </c>
      <c r="AR1357" s="1">
        <v>0</v>
      </c>
      <c r="AS1357" s="1">
        <v>0</v>
      </c>
      <c r="AT1357" s="1">
        <v>0</v>
      </c>
      <c r="AU1357" s="1">
        <v>0</v>
      </c>
      <c r="AV1357" s="1">
        <v>0</v>
      </c>
      <c r="AW1357" s="1">
        <v>0</v>
      </c>
      <c r="AX1357" s="1">
        <v>0</v>
      </c>
      <c r="AY1357" s="1">
        <v>0</v>
      </c>
      <c r="AZ1357" s="1">
        <v>0</v>
      </c>
      <c r="BA1357" s="1">
        <v>0</v>
      </c>
      <c r="BB1357" s="1">
        <v>0</v>
      </c>
      <c r="BC1357" s="1">
        <v>0</v>
      </c>
      <c r="BD1357" s="1">
        <v>0</v>
      </c>
      <c r="BE1357" s="1">
        <v>0</v>
      </c>
      <c r="BF1357" s="1">
        <v>0</v>
      </c>
      <c r="BG1357" s="1">
        <v>0</v>
      </c>
      <c r="BH1357" s="1">
        <v>0</v>
      </c>
      <c r="BI1357" s="1">
        <v>0</v>
      </c>
      <c r="BJ1357" s="1">
        <v>0</v>
      </c>
      <c r="BK1357" s="1">
        <v>0</v>
      </c>
      <c r="BL1357" s="1">
        <v>0</v>
      </c>
      <c r="BM1357" s="1">
        <v>0</v>
      </c>
      <c r="BN1357" s="1">
        <v>0</v>
      </c>
      <c r="BO1357" s="1">
        <v>0</v>
      </c>
      <c r="BP1357" s="1">
        <v>0</v>
      </c>
      <c r="BQ1357" s="2" t="str">
        <f>HYPERLINK("http://www.d20pfsrd.com/magic/all-spells/s/spell-immunity#TOC-Spell-Immunity-Greater-Communal","Spell Immunity, Greater Communal")</f>
        <v>Spell Immunity, Greater Communal</v>
      </c>
      <c r="BR1357" s="1">
        <v>1411</v>
      </c>
      <c r="BS1357" s="1" t="s">
        <v>104</v>
      </c>
      <c r="BX1357" s="1">
        <v>0</v>
      </c>
      <c r="BY1357" s="1" t="s">
        <v>104</v>
      </c>
      <c r="BZ1357" s="1" t="s">
        <v>104</v>
      </c>
      <c r="CA1357" s="1">
        <v>9</v>
      </c>
      <c r="CB1357" s="1" t="s">
        <v>104</v>
      </c>
      <c r="CC1357" s="1" t="s">
        <v>104</v>
      </c>
      <c r="CD1357" s="1" t="s">
        <v>104</v>
      </c>
      <c r="CE1357" s="1" t="s">
        <v>104</v>
      </c>
      <c r="CF1357" s="1" t="s">
        <v>104</v>
      </c>
      <c r="CG1357" s="1" t="s">
        <v>104</v>
      </c>
      <c r="CH1357" s="1" t="s">
        <v>104</v>
      </c>
      <c r="CJ1357" s="1">
        <v>0</v>
      </c>
      <c r="CK1357" s="1">
        <v>0</v>
      </c>
      <c r="CL1357" s="1">
        <v>0</v>
      </c>
      <c r="CM1357" s="1" t="s">
        <v>104</v>
      </c>
    </row>
    <row r="1358" spans="1:91" ht="14.25" customHeight="1" x14ac:dyDescent="0.3">
      <c r="A1358" s="1" t="s">
        <v>7875</v>
      </c>
      <c r="B1358" s="1" t="s">
        <v>137</v>
      </c>
      <c r="E1358" s="1" t="s">
        <v>7876</v>
      </c>
      <c r="F1358" s="1" t="s">
        <v>95</v>
      </c>
      <c r="G1358" s="1" t="s">
        <v>3546</v>
      </c>
      <c r="H1358" s="1">
        <v>0</v>
      </c>
      <c r="I1358" s="1" t="s">
        <v>128</v>
      </c>
      <c r="L1358" s="1" t="s">
        <v>7332</v>
      </c>
      <c r="M1358" s="1" t="s">
        <v>140</v>
      </c>
      <c r="N1358" s="1">
        <v>0</v>
      </c>
      <c r="O1358" s="1">
        <v>0</v>
      </c>
      <c r="P1358" s="1" t="s">
        <v>375</v>
      </c>
      <c r="Q1358" s="1" t="s">
        <v>131</v>
      </c>
      <c r="R1358" s="1" t="s">
        <v>7877</v>
      </c>
      <c r="S1358" s="1" t="s">
        <v>7302</v>
      </c>
      <c r="T1358" s="1">
        <v>1</v>
      </c>
      <c r="U1358" s="1">
        <v>1</v>
      </c>
      <c r="V1358" s="1">
        <v>1</v>
      </c>
      <c r="W1358" s="1">
        <v>0</v>
      </c>
      <c r="X1358" s="1">
        <v>0</v>
      </c>
      <c r="Y1358" s="1">
        <v>3</v>
      </c>
      <c r="Z1358" s="1">
        <v>3</v>
      </c>
      <c r="AA1358" s="1" t="s">
        <v>104</v>
      </c>
      <c r="AB1358" s="1">
        <v>3</v>
      </c>
      <c r="AC1358" s="1" t="s">
        <v>104</v>
      </c>
      <c r="AD1358" s="1" t="s">
        <v>104</v>
      </c>
      <c r="AE1358" s="1" t="s">
        <v>104</v>
      </c>
      <c r="AF1358" s="1">
        <v>3</v>
      </c>
      <c r="AG1358" s="1">
        <v>3</v>
      </c>
      <c r="AH1358" s="1" t="s">
        <v>104</v>
      </c>
      <c r="AI1358" s="1" t="s">
        <v>104</v>
      </c>
      <c r="AJ1358" s="1" t="s">
        <v>104</v>
      </c>
      <c r="AK1358" s="1" t="s">
        <v>104</v>
      </c>
      <c r="AL1358" s="1" t="s">
        <v>104</v>
      </c>
      <c r="AM1358" s="1" t="s">
        <v>104</v>
      </c>
      <c r="AO1358" s="1">
        <v>3</v>
      </c>
      <c r="AQ1358" s="1" t="s">
        <v>7878</v>
      </c>
      <c r="AR1358" s="1">
        <v>0</v>
      </c>
      <c r="AS1358" s="1">
        <v>0</v>
      </c>
      <c r="AT1358" s="1">
        <v>0</v>
      </c>
      <c r="AU1358" s="1">
        <v>0</v>
      </c>
      <c r="AV1358" s="1">
        <v>0</v>
      </c>
      <c r="AW1358" s="1">
        <v>0</v>
      </c>
      <c r="AX1358" s="1">
        <v>0</v>
      </c>
      <c r="AY1358" s="1">
        <v>0</v>
      </c>
      <c r="AZ1358" s="1">
        <v>0</v>
      </c>
      <c r="BA1358" s="1">
        <v>0</v>
      </c>
      <c r="BB1358" s="1">
        <v>0</v>
      </c>
      <c r="BC1358" s="1">
        <v>0</v>
      </c>
      <c r="BD1358" s="1">
        <v>0</v>
      </c>
      <c r="BE1358" s="1">
        <v>0</v>
      </c>
      <c r="BF1358" s="1">
        <v>0</v>
      </c>
      <c r="BG1358" s="1">
        <v>0</v>
      </c>
      <c r="BH1358" s="1">
        <v>0</v>
      </c>
      <c r="BI1358" s="1">
        <v>0</v>
      </c>
      <c r="BJ1358" s="1">
        <v>0</v>
      </c>
      <c r="BK1358" s="1">
        <v>0</v>
      </c>
      <c r="BL1358" s="1">
        <v>0</v>
      </c>
      <c r="BM1358" s="1">
        <v>0</v>
      </c>
      <c r="BN1358" s="1">
        <v>0</v>
      </c>
      <c r="BO1358" s="1">
        <v>0</v>
      </c>
      <c r="BP1358" s="1">
        <v>0</v>
      </c>
      <c r="BQ1358" s="2" t="str">
        <f>HYPERLINK("http://www.d20pfsrd.com/magic/all-spells/s/spider-climb#TOC-Spider-Climb-Communal","Spider Climb, Communal")</f>
        <v>Spider Climb, Communal</v>
      </c>
      <c r="BR1358" s="1">
        <v>1412</v>
      </c>
      <c r="BS1358" s="1" t="s">
        <v>104</v>
      </c>
      <c r="BX1358" s="1">
        <v>0</v>
      </c>
      <c r="BY1358" s="1" t="s">
        <v>104</v>
      </c>
      <c r="BZ1358" s="1" t="s">
        <v>104</v>
      </c>
      <c r="CA1358" s="1">
        <v>3</v>
      </c>
      <c r="CB1358" s="1" t="s">
        <v>104</v>
      </c>
      <c r="CC1358" s="1" t="s">
        <v>104</v>
      </c>
      <c r="CD1358" s="1">
        <v>3</v>
      </c>
      <c r="CE1358" s="1" t="s">
        <v>104</v>
      </c>
      <c r="CF1358" s="1" t="s">
        <v>104</v>
      </c>
      <c r="CG1358" s="1" t="s">
        <v>104</v>
      </c>
      <c r="CH1358" s="1">
        <v>3</v>
      </c>
      <c r="CJ1358" s="1">
        <v>0</v>
      </c>
      <c r="CK1358" s="1">
        <v>0</v>
      </c>
      <c r="CL1358" s="1">
        <v>0</v>
      </c>
      <c r="CM1358" s="1">
        <v>3</v>
      </c>
    </row>
    <row r="1359" spans="1:91" ht="14.25" customHeight="1" x14ac:dyDescent="0.3">
      <c r="A1359" s="1" t="s">
        <v>7879</v>
      </c>
      <c r="B1359" s="1" t="s">
        <v>434</v>
      </c>
      <c r="D1359" s="1" t="s">
        <v>56</v>
      </c>
      <c r="E1359" s="1" t="s">
        <v>6666</v>
      </c>
      <c r="F1359" s="1" t="s">
        <v>95</v>
      </c>
      <c r="G1359" s="1" t="s">
        <v>7880</v>
      </c>
      <c r="H1359" s="1">
        <v>0</v>
      </c>
      <c r="I1359" s="1" t="s">
        <v>109</v>
      </c>
      <c r="L1359" s="1" t="s">
        <v>1065</v>
      </c>
      <c r="M1359" s="1" t="s">
        <v>119</v>
      </c>
      <c r="N1359" s="1">
        <v>0</v>
      </c>
      <c r="O1359" s="1">
        <v>0</v>
      </c>
      <c r="P1359" s="1" t="s">
        <v>7881</v>
      </c>
      <c r="Q1359" s="1" t="s">
        <v>184</v>
      </c>
      <c r="R1359" s="1" t="s">
        <v>7882</v>
      </c>
      <c r="S1359" s="1" t="s">
        <v>7302</v>
      </c>
      <c r="T1359" s="1">
        <v>1</v>
      </c>
      <c r="U1359" s="1">
        <v>1</v>
      </c>
      <c r="V1359" s="1">
        <v>1</v>
      </c>
      <c r="W1359" s="1">
        <v>0</v>
      </c>
      <c r="X1359" s="1">
        <v>0</v>
      </c>
      <c r="Y1359" s="1">
        <v>2</v>
      </c>
      <c r="Z1359" s="1">
        <v>2</v>
      </c>
      <c r="AA1359" s="1" t="s">
        <v>104</v>
      </c>
      <c r="AB1359" s="1" t="s">
        <v>104</v>
      </c>
      <c r="AC1359" s="1" t="s">
        <v>104</v>
      </c>
      <c r="AD1359" s="1" t="s">
        <v>104</v>
      </c>
      <c r="AE1359" s="1" t="s">
        <v>104</v>
      </c>
      <c r="AF1359" s="1" t="s">
        <v>104</v>
      </c>
      <c r="AG1359" s="1" t="s">
        <v>104</v>
      </c>
      <c r="AH1359" s="1" t="s">
        <v>104</v>
      </c>
      <c r="AI1359" s="1" t="s">
        <v>104</v>
      </c>
      <c r="AJ1359" s="1" t="s">
        <v>104</v>
      </c>
      <c r="AK1359" s="1" t="s">
        <v>104</v>
      </c>
      <c r="AL1359" s="1" t="s">
        <v>104</v>
      </c>
      <c r="AM1359" s="1" t="s">
        <v>104</v>
      </c>
      <c r="AO1359" s="1">
        <v>2</v>
      </c>
      <c r="AQ1359" s="1" t="s">
        <v>7883</v>
      </c>
      <c r="AR1359" s="1">
        <v>0</v>
      </c>
      <c r="AS1359" s="1">
        <v>0</v>
      </c>
      <c r="AT1359" s="1">
        <v>0</v>
      </c>
      <c r="AU1359" s="1">
        <v>0</v>
      </c>
      <c r="AV1359" s="1">
        <v>0</v>
      </c>
      <c r="AW1359" s="1">
        <v>0</v>
      </c>
      <c r="AX1359" s="1">
        <v>0</v>
      </c>
      <c r="AY1359" s="1">
        <v>0</v>
      </c>
      <c r="AZ1359" s="1">
        <v>0</v>
      </c>
      <c r="BA1359" s="1">
        <v>0</v>
      </c>
      <c r="BB1359" s="1">
        <v>0</v>
      </c>
      <c r="BC1359" s="1">
        <v>0</v>
      </c>
      <c r="BD1359" s="1">
        <v>0</v>
      </c>
      <c r="BE1359" s="1">
        <v>1</v>
      </c>
      <c r="BF1359" s="1">
        <v>0</v>
      </c>
      <c r="BG1359" s="1">
        <v>0</v>
      </c>
      <c r="BH1359" s="1">
        <v>0</v>
      </c>
      <c r="BI1359" s="1">
        <v>0</v>
      </c>
      <c r="BJ1359" s="1">
        <v>0</v>
      </c>
      <c r="BK1359" s="1">
        <v>0</v>
      </c>
      <c r="BL1359" s="1">
        <v>0</v>
      </c>
      <c r="BM1359" s="1">
        <v>0</v>
      </c>
      <c r="BN1359" s="1">
        <v>0</v>
      </c>
      <c r="BO1359" s="1">
        <v>0</v>
      </c>
      <c r="BP1359" s="1">
        <v>0</v>
      </c>
      <c r="BQ1359" s="2" t="str">
        <f>HYPERLINK("http://www.d20pfsrd.com/magic/all-spells/s/spontaneous-immolation","Spontaneous Immolation")</f>
        <v>Spontaneous Immolation</v>
      </c>
      <c r="BR1359" s="1">
        <v>1413</v>
      </c>
      <c r="BS1359" s="1" t="s">
        <v>104</v>
      </c>
      <c r="BX1359" s="1">
        <v>0</v>
      </c>
      <c r="BY1359" s="1" t="s">
        <v>104</v>
      </c>
      <c r="BZ1359" s="1" t="s">
        <v>104</v>
      </c>
      <c r="CA1359" s="1">
        <v>2</v>
      </c>
      <c r="CB1359" s="1" t="s">
        <v>104</v>
      </c>
      <c r="CC1359" s="1" t="s">
        <v>104</v>
      </c>
      <c r="CD1359" s="1" t="s">
        <v>104</v>
      </c>
      <c r="CE1359" s="1" t="s">
        <v>104</v>
      </c>
      <c r="CF1359" s="1" t="s">
        <v>104</v>
      </c>
      <c r="CG1359" s="1" t="s">
        <v>104</v>
      </c>
      <c r="CH1359" s="1" t="s">
        <v>104</v>
      </c>
      <c r="CJ1359" s="1">
        <v>0</v>
      </c>
      <c r="CK1359" s="1">
        <v>0</v>
      </c>
      <c r="CL1359" s="1">
        <v>0</v>
      </c>
      <c r="CM1359" s="1" t="s">
        <v>104</v>
      </c>
    </row>
    <row r="1360" spans="1:91" ht="14.25" customHeight="1" x14ac:dyDescent="0.3">
      <c r="A1360" s="1" t="s">
        <v>7884</v>
      </c>
      <c r="B1360" s="1" t="s">
        <v>137</v>
      </c>
      <c r="E1360" s="1" t="s">
        <v>7078</v>
      </c>
      <c r="F1360" s="1" t="s">
        <v>95</v>
      </c>
      <c r="G1360" s="1" t="s">
        <v>7446</v>
      </c>
      <c r="H1360" s="1">
        <v>0</v>
      </c>
      <c r="I1360" s="1" t="s">
        <v>117</v>
      </c>
      <c r="L1360" s="1" t="s">
        <v>7414</v>
      </c>
      <c r="M1360" s="1" t="s">
        <v>119</v>
      </c>
      <c r="N1360" s="1">
        <v>0</v>
      </c>
      <c r="O1360" s="1">
        <v>0</v>
      </c>
      <c r="P1360" s="1" t="s">
        <v>148</v>
      </c>
      <c r="Q1360" s="1" t="s">
        <v>149</v>
      </c>
      <c r="R1360" s="1" t="s">
        <v>7885</v>
      </c>
      <c r="S1360" s="1" t="s">
        <v>7302</v>
      </c>
      <c r="T1360" s="1">
        <v>1</v>
      </c>
      <c r="U1360" s="1">
        <v>1</v>
      </c>
      <c r="V1360" s="1">
        <v>1</v>
      </c>
      <c r="W1360" s="1">
        <v>0</v>
      </c>
      <c r="X1360" s="1">
        <v>0</v>
      </c>
      <c r="Y1360" s="1">
        <v>2</v>
      </c>
      <c r="Z1360" s="1">
        <v>2</v>
      </c>
      <c r="AA1360" s="1" t="s">
        <v>104</v>
      </c>
      <c r="AB1360" s="1" t="s">
        <v>104</v>
      </c>
      <c r="AC1360" s="1" t="s">
        <v>104</v>
      </c>
      <c r="AD1360" s="1" t="s">
        <v>104</v>
      </c>
      <c r="AE1360" s="1" t="s">
        <v>104</v>
      </c>
      <c r="AF1360" s="1" t="s">
        <v>104</v>
      </c>
      <c r="AG1360" s="1" t="s">
        <v>104</v>
      </c>
      <c r="AH1360" s="1">
        <v>2</v>
      </c>
      <c r="AI1360" s="1" t="s">
        <v>104</v>
      </c>
      <c r="AJ1360" s="1" t="s">
        <v>104</v>
      </c>
      <c r="AK1360" s="1" t="s">
        <v>104</v>
      </c>
      <c r="AL1360" s="1" t="s">
        <v>104</v>
      </c>
      <c r="AM1360" s="1" t="s">
        <v>104</v>
      </c>
      <c r="AO1360" s="1">
        <v>2</v>
      </c>
      <c r="AQ1360" s="1" t="s">
        <v>7886</v>
      </c>
      <c r="AR1360" s="1">
        <v>0</v>
      </c>
      <c r="AS1360" s="1">
        <v>0</v>
      </c>
      <c r="AT1360" s="1">
        <v>0</v>
      </c>
      <c r="AU1360" s="1">
        <v>0</v>
      </c>
      <c r="AV1360" s="1">
        <v>0</v>
      </c>
      <c r="AW1360" s="1">
        <v>0</v>
      </c>
      <c r="AX1360" s="1">
        <v>0</v>
      </c>
      <c r="AY1360" s="1">
        <v>0</v>
      </c>
      <c r="AZ1360" s="1">
        <v>0</v>
      </c>
      <c r="BA1360" s="1">
        <v>0</v>
      </c>
      <c r="BB1360" s="1">
        <v>0</v>
      </c>
      <c r="BC1360" s="1">
        <v>0</v>
      </c>
      <c r="BD1360" s="1">
        <v>0</v>
      </c>
      <c r="BE1360" s="1">
        <v>0</v>
      </c>
      <c r="BF1360" s="1">
        <v>0</v>
      </c>
      <c r="BG1360" s="1">
        <v>0</v>
      </c>
      <c r="BH1360" s="1">
        <v>0</v>
      </c>
      <c r="BI1360" s="1">
        <v>0</v>
      </c>
      <c r="BJ1360" s="1">
        <v>0</v>
      </c>
      <c r="BK1360" s="1">
        <v>0</v>
      </c>
      <c r="BL1360" s="1">
        <v>0</v>
      </c>
      <c r="BM1360" s="1">
        <v>0</v>
      </c>
      <c r="BN1360" s="1">
        <v>0</v>
      </c>
      <c r="BO1360" s="1">
        <v>0</v>
      </c>
      <c r="BP1360" s="1">
        <v>0</v>
      </c>
      <c r="BQ1360" s="2" t="str">
        <f>HYPERLINK("http://www.d20pfsrd.com/magic/all-spells/s/stabilize-powder","Stabilize Powder")</f>
        <v>Stabilize Powder</v>
      </c>
      <c r="BR1360" s="1">
        <v>1414</v>
      </c>
      <c r="BS1360" s="1" t="s">
        <v>104</v>
      </c>
      <c r="BX1360" s="1">
        <v>0</v>
      </c>
      <c r="BY1360" s="1" t="s">
        <v>104</v>
      </c>
      <c r="BZ1360" s="1" t="s">
        <v>104</v>
      </c>
      <c r="CA1360" s="1" t="s">
        <v>104</v>
      </c>
      <c r="CB1360" s="1" t="s">
        <v>104</v>
      </c>
      <c r="CC1360" s="1" t="s">
        <v>104</v>
      </c>
      <c r="CD1360" s="1" t="s">
        <v>104</v>
      </c>
      <c r="CE1360" s="1" t="s">
        <v>104</v>
      </c>
      <c r="CF1360" s="1" t="s">
        <v>104</v>
      </c>
      <c r="CG1360" s="1" t="s">
        <v>104</v>
      </c>
      <c r="CH1360" s="1" t="s">
        <v>104</v>
      </c>
      <c r="CJ1360" s="1">
        <v>0</v>
      </c>
      <c r="CK1360" s="1">
        <v>0</v>
      </c>
      <c r="CL1360" s="1">
        <v>0</v>
      </c>
      <c r="CM1360" s="1" t="s">
        <v>104</v>
      </c>
    </row>
    <row r="1361" spans="1:91" ht="14.25" customHeight="1" x14ac:dyDescent="0.3">
      <c r="A1361" s="1" t="s">
        <v>7887</v>
      </c>
      <c r="B1361" s="1" t="s">
        <v>162</v>
      </c>
      <c r="E1361" s="1" t="s">
        <v>7888</v>
      </c>
      <c r="F1361" s="1" t="s">
        <v>95</v>
      </c>
      <c r="G1361" s="1" t="s">
        <v>7889</v>
      </c>
      <c r="H1361" s="1">
        <v>1</v>
      </c>
      <c r="I1361" s="1" t="s">
        <v>128</v>
      </c>
      <c r="L1361" s="1" t="s">
        <v>7332</v>
      </c>
      <c r="M1361" s="1" t="s">
        <v>3604</v>
      </c>
      <c r="N1361" s="1">
        <v>0</v>
      </c>
      <c r="O1361" s="1">
        <v>0</v>
      </c>
      <c r="P1361" s="1" t="s">
        <v>375</v>
      </c>
      <c r="Q1361" s="1" t="s">
        <v>131</v>
      </c>
      <c r="R1361" s="1" t="s">
        <v>7890</v>
      </c>
      <c r="S1361" s="1" t="s">
        <v>7302</v>
      </c>
      <c r="T1361" s="1">
        <v>1</v>
      </c>
      <c r="U1361" s="1">
        <v>1</v>
      </c>
      <c r="V1361" s="1">
        <v>1</v>
      </c>
      <c r="W1361" s="1">
        <v>0</v>
      </c>
      <c r="X1361" s="1">
        <v>0</v>
      </c>
      <c r="Y1361" s="1">
        <v>5</v>
      </c>
      <c r="Z1361" s="1">
        <v>5</v>
      </c>
      <c r="AA1361" s="1" t="s">
        <v>104</v>
      </c>
      <c r="AB1361" s="1">
        <v>6</v>
      </c>
      <c r="AC1361" s="1" t="s">
        <v>104</v>
      </c>
      <c r="AD1361" s="1" t="s">
        <v>104</v>
      </c>
      <c r="AE1361" s="1" t="s">
        <v>104</v>
      </c>
      <c r="AF1361" s="1">
        <v>5</v>
      </c>
      <c r="AG1361" s="1">
        <v>4</v>
      </c>
      <c r="AH1361" s="1" t="s">
        <v>104</v>
      </c>
      <c r="AI1361" s="1">
        <v>5</v>
      </c>
      <c r="AJ1361" s="1" t="s">
        <v>104</v>
      </c>
      <c r="AK1361" s="1" t="s">
        <v>104</v>
      </c>
      <c r="AL1361" s="1" t="s">
        <v>104</v>
      </c>
      <c r="AM1361" s="1" t="s">
        <v>104</v>
      </c>
      <c r="AO1361" s="1">
        <v>5</v>
      </c>
      <c r="AQ1361" s="1" t="s">
        <v>7891</v>
      </c>
      <c r="AR1361" s="1">
        <v>0</v>
      </c>
      <c r="AS1361" s="1">
        <v>0</v>
      </c>
      <c r="AT1361" s="1">
        <v>0</v>
      </c>
      <c r="AU1361" s="1">
        <v>0</v>
      </c>
      <c r="AV1361" s="1">
        <v>0</v>
      </c>
      <c r="AW1361" s="1">
        <v>0</v>
      </c>
      <c r="AX1361" s="1">
        <v>0</v>
      </c>
      <c r="AY1361" s="1">
        <v>0</v>
      </c>
      <c r="AZ1361" s="1">
        <v>0</v>
      </c>
      <c r="BA1361" s="1">
        <v>0</v>
      </c>
      <c r="BB1361" s="1">
        <v>0</v>
      </c>
      <c r="BC1361" s="1">
        <v>0</v>
      </c>
      <c r="BD1361" s="1">
        <v>0</v>
      </c>
      <c r="BE1361" s="1">
        <v>0</v>
      </c>
      <c r="BF1361" s="1">
        <v>0</v>
      </c>
      <c r="BG1361" s="1">
        <v>0</v>
      </c>
      <c r="BH1361" s="1">
        <v>0</v>
      </c>
      <c r="BI1361" s="1">
        <v>0</v>
      </c>
      <c r="BJ1361" s="1">
        <v>0</v>
      </c>
      <c r="BK1361" s="1">
        <v>0</v>
      </c>
      <c r="BL1361" s="1">
        <v>0</v>
      </c>
      <c r="BM1361" s="1">
        <v>0</v>
      </c>
      <c r="BN1361" s="1">
        <v>0</v>
      </c>
      <c r="BO1361" s="1">
        <v>0</v>
      </c>
      <c r="BP1361" s="1">
        <v>0</v>
      </c>
      <c r="BQ1361" s="2" t="str">
        <f>HYPERLINK("http://www.d20pfsrd.com/magic/all-spells/s/stoneskin#TOC-Stoneskin-Communal","Stoneskin, Communal")</f>
        <v>Stoneskin, Communal</v>
      </c>
      <c r="BR1361" s="1">
        <v>1415</v>
      </c>
      <c r="BS1361" s="1">
        <v>250</v>
      </c>
      <c r="BX1361" s="1">
        <v>0</v>
      </c>
      <c r="BY1361" s="1" t="s">
        <v>104</v>
      </c>
      <c r="BZ1361" s="1" t="s">
        <v>104</v>
      </c>
      <c r="CA1361" s="1">
        <v>5</v>
      </c>
      <c r="CB1361" s="1" t="s">
        <v>104</v>
      </c>
      <c r="CC1361" s="1" t="s">
        <v>104</v>
      </c>
      <c r="CD1361" s="1" t="s">
        <v>104</v>
      </c>
      <c r="CE1361" s="1" t="s">
        <v>104</v>
      </c>
      <c r="CF1361" s="1" t="s">
        <v>104</v>
      </c>
      <c r="CG1361" s="1" t="s">
        <v>104</v>
      </c>
      <c r="CH1361" s="1">
        <v>6</v>
      </c>
      <c r="CJ1361" s="1">
        <v>0</v>
      </c>
      <c r="CK1361" s="1">
        <v>0</v>
      </c>
      <c r="CL1361" s="1">
        <v>0</v>
      </c>
      <c r="CM1361" s="1">
        <v>5</v>
      </c>
    </row>
    <row r="1362" spans="1:91" ht="14.25" customHeight="1" x14ac:dyDescent="0.3">
      <c r="A1362" s="1" t="s">
        <v>7892</v>
      </c>
      <c r="B1362" s="1" t="s">
        <v>216</v>
      </c>
      <c r="E1362" s="1" t="s">
        <v>7893</v>
      </c>
      <c r="F1362" s="1" t="s">
        <v>95</v>
      </c>
      <c r="G1362" s="1" t="s">
        <v>7894</v>
      </c>
      <c r="H1362" s="1">
        <v>0</v>
      </c>
      <c r="I1362" s="1" t="s">
        <v>117</v>
      </c>
      <c r="L1362" s="1" t="s">
        <v>7895</v>
      </c>
      <c r="M1362" s="1" t="s">
        <v>2330</v>
      </c>
      <c r="N1362" s="1">
        <v>0</v>
      </c>
      <c r="O1362" s="1">
        <v>0</v>
      </c>
      <c r="P1362" s="1" t="s">
        <v>211</v>
      </c>
      <c r="Q1362" s="1" t="s">
        <v>184</v>
      </c>
      <c r="R1362" s="1" t="s">
        <v>7896</v>
      </c>
      <c r="S1362" s="1" t="s">
        <v>7302</v>
      </c>
      <c r="T1362" s="1">
        <v>1</v>
      </c>
      <c r="U1362" s="1">
        <v>1</v>
      </c>
      <c r="V1362" s="1">
        <v>1</v>
      </c>
      <c r="W1362" s="1">
        <v>0</v>
      </c>
      <c r="X1362" s="1">
        <v>0</v>
      </c>
      <c r="Y1362" s="1">
        <v>5</v>
      </c>
      <c r="Z1362" s="1">
        <v>5</v>
      </c>
      <c r="AA1362" s="1">
        <v>4</v>
      </c>
      <c r="AB1362" s="1" t="s">
        <v>104</v>
      </c>
      <c r="AC1362" s="1" t="s">
        <v>104</v>
      </c>
      <c r="AD1362" s="1" t="s">
        <v>104</v>
      </c>
      <c r="AE1362" s="1" t="s">
        <v>104</v>
      </c>
      <c r="AF1362" s="1" t="s">
        <v>104</v>
      </c>
      <c r="AG1362" s="1">
        <v>4</v>
      </c>
      <c r="AH1362" s="1">
        <v>5</v>
      </c>
      <c r="AI1362" s="1" t="s">
        <v>104</v>
      </c>
      <c r="AJ1362" s="1">
        <v>4</v>
      </c>
      <c r="AK1362" s="1" t="s">
        <v>104</v>
      </c>
      <c r="AL1362" s="1" t="s">
        <v>104</v>
      </c>
      <c r="AM1362" s="1" t="s">
        <v>104</v>
      </c>
      <c r="AO1362" s="1">
        <v>5</v>
      </c>
      <c r="AQ1362" s="1" t="s">
        <v>7897</v>
      </c>
      <c r="AR1362" s="1">
        <v>0</v>
      </c>
      <c r="AS1362" s="1">
        <v>0</v>
      </c>
      <c r="AT1362" s="1">
        <v>0</v>
      </c>
      <c r="AU1362" s="1">
        <v>0</v>
      </c>
      <c r="AV1362" s="1">
        <v>0</v>
      </c>
      <c r="AW1362" s="1">
        <v>0</v>
      </c>
      <c r="AX1362" s="1">
        <v>0</v>
      </c>
      <c r="AY1362" s="1">
        <v>0</v>
      </c>
      <c r="AZ1362" s="1">
        <v>0</v>
      </c>
      <c r="BA1362" s="1">
        <v>0</v>
      </c>
      <c r="BB1362" s="1">
        <v>0</v>
      </c>
      <c r="BC1362" s="1">
        <v>0</v>
      </c>
      <c r="BD1362" s="1">
        <v>0</v>
      </c>
      <c r="BE1362" s="1">
        <v>0</v>
      </c>
      <c r="BF1362" s="1">
        <v>0</v>
      </c>
      <c r="BG1362" s="1">
        <v>0</v>
      </c>
      <c r="BH1362" s="1">
        <v>0</v>
      </c>
      <c r="BI1362" s="1">
        <v>0</v>
      </c>
      <c r="BJ1362" s="1">
        <v>0</v>
      </c>
      <c r="BK1362" s="1">
        <v>0</v>
      </c>
      <c r="BL1362" s="1">
        <v>0</v>
      </c>
      <c r="BM1362" s="1">
        <v>0</v>
      </c>
      <c r="BN1362" s="1">
        <v>0</v>
      </c>
      <c r="BO1362" s="1">
        <v>0</v>
      </c>
      <c r="BP1362" s="1">
        <v>0</v>
      </c>
      <c r="BQ1362" s="2" t="str">
        <f>HYPERLINK("http://www.d20pfsrd.com/magic/all-spells/s/summoner-conduit","Summoner Conduit")</f>
        <v>Summoner Conduit</v>
      </c>
      <c r="BR1362" s="1">
        <v>1416</v>
      </c>
      <c r="BS1362" s="1" t="s">
        <v>104</v>
      </c>
      <c r="BX1362" s="1">
        <v>0</v>
      </c>
      <c r="BY1362" s="1" t="s">
        <v>104</v>
      </c>
      <c r="BZ1362" s="1" t="s">
        <v>104</v>
      </c>
      <c r="CA1362" s="1">
        <v>5</v>
      </c>
      <c r="CB1362" s="1" t="s">
        <v>104</v>
      </c>
      <c r="CC1362" s="1" t="s">
        <v>104</v>
      </c>
      <c r="CD1362" s="1">
        <v>4</v>
      </c>
      <c r="CE1362" s="1" t="s">
        <v>104</v>
      </c>
      <c r="CF1362" s="1" t="s">
        <v>104</v>
      </c>
      <c r="CG1362" s="1" t="s">
        <v>104</v>
      </c>
      <c r="CH1362" s="1" t="s">
        <v>104</v>
      </c>
      <c r="CJ1362" s="1">
        <v>0</v>
      </c>
      <c r="CK1362" s="1">
        <v>0</v>
      </c>
      <c r="CL1362" s="1">
        <v>0</v>
      </c>
      <c r="CM1362" s="1">
        <v>4</v>
      </c>
    </row>
    <row r="1363" spans="1:91" ht="14.25" customHeight="1" x14ac:dyDescent="0.3">
      <c r="A1363" s="1" t="s">
        <v>7898</v>
      </c>
      <c r="B1363" s="1" t="s">
        <v>137</v>
      </c>
      <c r="D1363" s="1" t="s">
        <v>56</v>
      </c>
      <c r="E1363" s="1" t="s">
        <v>7899</v>
      </c>
      <c r="F1363" s="1" t="s">
        <v>95</v>
      </c>
      <c r="G1363" s="1" t="s">
        <v>116</v>
      </c>
      <c r="H1363" s="1">
        <v>0</v>
      </c>
      <c r="I1363" s="1" t="s">
        <v>128</v>
      </c>
      <c r="L1363" s="1" t="s">
        <v>1254</v>
      </c>
      <c r="M1363" s="1" t="s">
        <v>5942</v>
      </c>
      <c r="N1363" s="1">
        <v>0</v>
      </c>
      <c r="O1363" s="1">
        <v>0</v>
      </c>
      <c r="P1363" s="1" t="s">
        <v>4401</v>
      </c>
      <c r="Q1363" s="1" t="s">
        <v>472</v>
      </c>
      <c r="R1363" s="1" t="s">
        <v>7900</v>
      </c>
      <c r="S1363" s="1" t="s">
        <v>7302</v>
      </c>
      <c r="T1363" s="1">
        <v>1</v>
      </c>
      <c r="U1363" s="1">
        <v>1</v>
      </c>
      <c r="V1363" s="1">
        <v>0</v>
      </c>
      <c r="W1363" s="1">
        <v>0</v>
      </c>
      <c r="X1363" s="1">
        <v>0</v>
      </c>
      <c r="Y1363" s="1" t="s">
        <v>104</v>
      </c>
      <c r="Z1363" s="1" t="s">
        <v>104</v>
      </c>
      <c r="AA1363" s="1">
        <v>1</v>
      </c>
      <c r="AB1363" s="1" t="s">
        <v>104</v>
      </c>
      <c r="AC1363" s="1">
        <v>1</v>
      </c>
      <c r="AD1363" s="1" t="s">
        <v>104</v>
      </c>
      <c r="AE1363" s="1">
        <v>1</v>
      </c>
      <c r="AF1363" s="1" t="s">
        <v>104</v>
      </c>
      <c r="AG1363" s="1" t="s">
        <v>104</v>
      </c>
      <c r="AH1363" s="1" t="s">
        <v>104</v>
      </c>
      <c r="AI1363" s="1" t="s">
        <v>104</v>
      </c>
      <c r="AJ1363" s="1">
        <v>1</v>
      </c>
      <c r="AK1363" s="1" t="s">
        <v>104</v>
      </c>
      <c r="AL1363" s="1" t="s">
        <v>104</v>
      </c>
      <c r="AM1363" s="1" t="s">
        <v>104</v>
      </c>
      <c r="AO1363" s="1">
        <v>1</v>
      </c>
      <c r="AQ1363" s="1" t="s">
        <v>7901</v>
      </c>
      <c r="AR1363" s="1">
        <v>0</v>
      </c>
      <c r="AS1363" s="1">
        <v>0</v>
      </c>
      <c r="AT1363" s="1">
        <v>0</v>
      </c>
      <c r="AU1363" s="1">
        <v>0</v>
      </c>
      <c r="AV1363" s="1">
        <v>0</v>
      </c>
      <c r="AW1363" s="1">
        <v>0</v>
      </c>
      <c r="AX1363" s="1">
        <v>0</v>
      </c>
      <c r="AY1363" s="1">
        <v>0</v>
      </c>
      <c r="AZ1363" s="1">
        <v>0</v>
      </c>
      <c r="BA1363" s="1">
        <v>0</v>
      </c>
      <c r="BB1363" s="1">
        <v>0</v>
      </c>
      <c r="BC1363" s="1">
        <v>0</v>
      </c>
      <c r="BD1363" s="1">
        <v>0</v>
      </c>
      <c r="BE1363" s="1">
        <v>1</v>
      </c>
      <c r="BF1363" s="1">
        <v>0</v>
      </c>
      <c r="BG1363" s="1">
        <v>0</v>
      </c>
      <c r="BH1363" s="1">
        <v>0</v>
      </c>
      <c r="BI1363" s="1">
        <v>0</v>
      </c>
      <c r="BJ1363" s="1">
        <v>0</v>
      </c>
      <c r="BK1363" s="1">
        <v>0</v>
      </c>
      <c r="BL1363" s="1">
        <v>0</v>
      </c>
      <c r="BM1363" s="1">
        <v>0</v>
      </c>
      <c r="BN1363" s="1">
        <v>0</v>
      </c>
      <c r="BO1363" s="1">
        <v>0</v>
      </c>
      <c r="BP1363" s="1">
        <v>0</v>
      </c>
      <c r="BQ1363" s="2" t="str">
        <f>HYPERLINK("http://www.d20pfsrd.com/magic/all-spells/s/sun-metal","Sun Metal")</f>
        <v>Sun Metal</v>
      </c>
      <c r="BR1363" s="1">
        <v>1417</v>
      </c>
      <c r="BS1363" s="1" t="s">
        <v>104</v>
      </c>
      <c r="BV1363" s="1" t="s">
        <v>7902</v>
      </c>
      <c r="BX1363" s="1">
        <v>1</v>
      </c>
      <c r="BY1363" s="1" t="s">
        <v>104</v>
      </c>
      <c r="BZ1363" s="1" t="s">
        <v>104</v>
      </c>
      <c r="CA1363" s="1" t="s">
        <v>104</v>
      </c>
      <c r="CB1363" s="1" t="s">
        <v>104</v>
      </c>
      <c r="CC1363" s="1" t="s">
        <v>104</v>
      </c>
      <c r="CD1363" s="1" t="s">
        <v>104</v>
      </c>
      <c r="CE1363" s="1" t="s">
        <v>104</v>
      </c>
      <c r="CF1363" s="1" t="s">
        <v>104</v>
      </c>
      <c r="CG1363" s="1" t="s">
        <v>104</v>
      </c>
      <c r="CH1363" s="1">
        <v>1</v>
      </c>
      <c r="CJ1363" s="1">
        <v>0</v>
      </c>
      <c r="CK1363" s="1">
        <v>0</v>
      </c>
      <c r="CL1363" s="1">
        <v>0</v>
      </c>
      <c r="CM1363" s="1" t="s">
        <v>104</v>
      </c>
    </row>
    <row r="1364" spans="1:91" ht="14.25" customHeight="1" x14ac:dyDescent="0.3">
      <c r="A1364" s="1" t="s">
        <v>7903</v>
      </c>
      <c r="B1364" s="1" t="s">
        <v>507</v>
      </c>
      <c r="C1364" s="1" t="s">
        <v>65</v>
      </c>
      <c r="E1364" s="1" t="s">
        <v>7904</v>
      </c>
      <c r="F1364" s="1" t="s">
        <v>287</v>
      </c>
      <c r="G1364" s="1" t="s">
        <v>7905</v>
      </c>
      <c r="H1364" s="1">
        <v>1</v>
      </c>
      <c r="I1364" s="1" t="s">
        <v>3750</v>
      </c>
      <c r="K1364" s="1" t="s">
        <v>3751</v>
      </c>
      <c r="M1364" s="1" t="s">
        <v>145</v>
      </c>
      <c r="N1364" s="1">
        <v>0</v>
      </c>
      <c r="O1364" s="1">
        <v>0</v>
      </c>
      <c r="P1364" s="1" t="s">
        <v>7906</v>
      </c>
      <c r="Q1364" s="1" t="s">
        <v>7907</v>
      </c>
      <c r="R1364" s="1" t="s">
        <v>7908</v>
      </c>
      <c r="S1364" s="1" t="s">
        <v>7302</v>
      </c>
      <c r="T1364" s="1">
        <v>1</v>
      </c>
      <c r="U1364" s="1">
        <v>1</v>
      </c>
      <c r="V1364" s="1">
        <v>1</v>
      </c>
      <c r="W1364" s="1">
        <v>0</v>
      </c>
      <c r="X1364" s="1">
        <v>0</v>
      </c>
      <c r="Y1364" s="1">
        <v>5</v>
      </c>
      <c r="Z1364" s="1">
        <v>5</v>
      </c>
      <c r="AA1364" s="1">
        <v>5</v>
      </c>
      <c r="AB1364" s="1" t="s">
        <v>104</v>
      </c>
      <c r="AC1364" s="1" t="s">
        <v>104</v>
      </c>
      <c r="AD1364" s="1" t="s">
        <v>104</v>
      </c>
      <c r="AE1364" s="1" t="s">
        <v>104</v>
      </c>
      <c r="AF1364" s="1" t="s">
        <v>104</v>
      </c>
      <c r="AG1364" s="1" t="s">
        <v>104</v>
      </c>
      <c r="AH1364" s="1">
        <v>5</v>
      </c>
      <c r="AI1364" s="1" t="s">
        <v>104</v>
      </c>
      <c r="AJ1364" s="1">
        <v>5</v>
      </c>
      <c r="AK1364" s="1" t="s">
        <v>104</v>
      </c>
      <c r="AL1364" s="1">
        <v>5</v>
      </c>
      <c r="AM1364" s="1" t="s">
        <v>104</v>
      </c>
      <c r="AO1364" s="1">
        <v>5</v>
      </c>
      <c r="AQ1364" s="1" t="s">
        <v>7909</v>
      </c>
      <c r="AR1364" s="1">
        <v>0</v>
      </c>
      <c r="AS1364" s="1">
        <v>0</v>
      </c>
      <c r="AT1364" s="1">
        <v>0</v>
      </c>
      <c r="AU1364" s="1">
        <v>0</v>
      </c>
      <c r="AV1364" s="1">
        <v>0</v>
      </c>
      <c r="AW1364" s="1">
        <v>0</v>
      </c>
      <c r="AX1364" s="1">
        <v>0</v>
      </c>
      <c r="AY1364" s="1">
        <v>0</v>
      </c>
      <c r="AZ1364" s="1">
        <v>0</v>
      </c>
      <c r="BA1364" s="1">
        <v>0</v>
      </c>
      <c r="BB1364" s="1">
        <v>0</v>
      </c>
      <c r="BC1364" s="1">
        <v>0</v>
      </c>
      <c r="BD1364" s="1">
        <v>0</v>
      </c>
      <c r="BE1364" s="1">
        <v>0</v>
      </c>
      <c r="BF1364" s="1">
        <v>0</v>
      </c>
      <c r="BG1364" s="1">
        <v>0</v>
      </c>
      <c r="BH1364" s="1">
        <v>0</v>
      </c>
      <c r="BI1364" s="1">
        <v>0</v>
      </c>
      <c r="BJ1364" s="1">
        <v>0</v>
      </c>
      <c r="BK1364" s="1">
        <v>0</v>
      </c>
      <c r="BL1364" s="1">
        <v>0</v>
      </c>
      <c r="BM1364" s="1">
        <v>0</v>
      </c>
      <c r="BN1364" s="1">
        <v>0</v>
      </c>
      <c r="BO1364" s="1">
        <v>0</v>
      </c>
      <c r="BP1364" s="1">
        <v>0</v>
      </c>
      <c r="BQ1364" s="2" t="str">
        <f>HYPERLINK("http://www.d20pfsrd.com/magic/all-spells/s/symbol-of-striking","Symbol of Striking")</f>
        <v>Symbol of Striking</v>
      </c>
      <c r="BR1364" s="1">
        <v>1418</v>
      </c>
      <c r="BS1364" s="1">
        <v>300</v>
      </c>
      <c r="BX1364" s="1">
        <v>0</v>
      </c>
      <c r="BY1364" s="1" t="s">
        <v>104</v>
      </c>
      <c r="BZ1364" s="1" t="s">
        <v>104</v>
      </c>
      <c r="CA1364" s="1" t="s">
        <v>104</v>
      </c>
      <c r="CB1364" s="1" t="s">
        <v>104</v>
      </c>
      <c r="CC1364" s="1" t="s">
        <v>104</v>
      </c>
      <c r="CD1364" s="1" t="s">
        <v>104</v>
      </c>
      <c r="CE1364" s="1" t="s">
        <v>104</v>
      </c>
      <c r="CF1364" s="1" t="s">
        <v>104</v>
      </c>
      <c r="CG1364" s="1" t="s">
        <v>104</v>
      </c>
      <c r="CH1364" s="1" t="s">
        <v>104</v>
      </c>
      <c r="CJ1364" s="1">
        <v>0</v>
      </c>
      <c r="CK1364" s="1">
        <v>0</v>
      </c>
      <c r="CL1364" s="1">
        <v>0</v>
      </c>
      <c r="CM1364" s="1" t="s">
        <v>104</v>
      </c>
    </row>
    <row r="1365" spans="1:91" ht="14.25" customHeight="1" x14ac:dyDescent="0.3">
      <c r="A1365" s="1" t="s">
        <v>7910</v>
      </c>
      <c r="B1365" s="1" t="s">
        <v>123</v>
      </c>
      <c r="C1365" s="1" t="s">
        <v>124</v>
      </c>
      <c r="D1365" s="1" t="s">
        <v>125</v>
      </c>
      <c r="E1365" s="1" t="s">
        <v>7911</v>
      </c>
      <c r="F1365" s="1" t="s">
        <v>95</v>
      </c>
      <c r="G1365" s="1" t="s">
        <v>7912</v>
      </c>
      <c r="H1365" s="1">
        <v>0</v>
      </c>
      <c r="I1365" s="1" t="s">
        <v>914</v>
      </c>
      <c r="J1365" s="1" t="s">
        <v>7913</v>
      </c>
      <c r="M1365" s="1" t="s">
        <v>426</v>
      </c>
      <c r="N1365" s="1">
        <v>1</v>
      </c>
      <c r="O1365" s="1">
        <v>0</v>
      </c>
      <c r="P1365" s="1" t="s">
        <v>375</v>
      </c>
      <c r="Q1365" s="1" t="s">
        <v>131</v>
      </c>
      <c r="R1365" s="1" t="s">
        <v>7914</v>
      </c>
      <c r="S1365" s="1" t="s">
        <v>7302</v>
      </c>
      <c r="T1365" s="1">
        <v>1</v>
      </c>
      <c r="U1365" s="1">
        <v>1</v>
      </c>
      <c r="V1365" s="1">
        <v>1</v>
      </c>
      <c r="W1365" s="1">
        <v>0</v>
      </c>
      <c r="X1365" s="1">
        <v>1</v>
      </c>
      <c r="Y1365" s="1">
        <v>2</v>
      </c>
      <c r="Z1365" s="1">
        <v>2</v>
      </c>
      <c r="AA1365" s="1" t="s">
        <v>104</v>
      </c>
      <c r="AB1365" s="1" t="s">
        <v>104</v>
      </c>
      <c r="AC1365" s="1" t="s">
        <v>104</v>
      </c>
      <c r="AD1365" s="1">
        <v>2</v>
      </c>
      <c r="AE1365" s="1">
        <v>1</v>
      </c>
      <c r="AF1365" s="1" t="s">
        <v>104</v>
      </c>
      <c r="AG1365" s="1" t="s">
        <v>104</v>
      </c>
      <c r="AH1365" s="1" t="s">
        <v>104</v>
      </c>
      <c r="AI1365" s="1">
        <v>2</v>
      </c>
      <c r="AJ1365" s="1" t="s">
        <v>104</v>
      </c>
      <c r="AK1365" s="1" t="s">
        <v>104</v>
      </c>
      <c r="AL1365" s="1">
        <v>2</v>
      </c>
      <c r="AM1365" s="1" t="s">
        <v>104</v>
      </c>
      <c r="AO1365" s="1">
        <v>2</v>
      </c>
      <c r="AQ1365" s="1" t="s">
        <v>7915</v>
      </c>
      <c r="AR1365" s="1">
        <v>0</v>
      </c>
      <c r="AS1365" s="1">
        <v>0</v>
      </c>
      <c r="AT1365" s="1">
        <v>0</v>
      </c>
      <c r="AU1365" s="1">
        <v>0</v>
      </c>
      <c r="AV1365" s="1">
        <v>0</v>
      </c>
      <c r="AW1365" s="1">
        <v>0</v>
      </c>
      <c r="AX1365" s="1">
        <v>0</v>
      </c>
      <c r="AY1365" s="1">
        <v>0</v>
      </c>
      <c r="AZ1365" s="1">
        <v>0</v>
      </c>
      <c r="BA1365" s="1">
        <v>0</v>
      </c>
      <c r="BB1365" s="1">
        <v>0</v>
      </c>
      <c r="BC1365" s="1">
        <v>0</v>
      </c>
      <c r="BD1365" s="1">
        <v>0</v>
      </c>
      <c r="BE1365" s="1">
        <v>0</v>
      </c>
      <c r="BF1365" s="1">
        <v>0</v>
      </c>
      <c r="BG1365" s="1">
        <v>0</v>
      </c>
      <c r="BH1365" s="1">
        <v>0</v>
      </c>
      <c r="BI1365" s="1">
        <v>0</v>
      </c>
      <c r="BJ1365" s="1">
        <v>0</v>
      </c>
      <c r="BK1365" s="1">
        <v>1</v>
      </c>
      <c r="BL1365" s="1">
        <v>0</v>
      </c>
      <c r="BM1365" s="1">
        <v>0</v>
      </c>
      <c r="BN1365" s="1">
        <v>0</v>
      </c>
      <c r="BO1365" s="1">
        <v>0</v>
      </c>
      <c r="BP1365" s="1">
        <v>0</v>
      </c>
      <c r="BQ1365" s="2" t="str">
        <f>HYPERLINK("http://www.d20pfsrd.com/magic/all-spells/t/tactical-acumen","Tactical Acumen")</f>
        <v>Tactical Acumen</v>
      </c>
      <c r="BR1365" s="1">
        <v>1419</v>
      </c>
      <c r="BS1365" s="1" t="s">
        <v>104</v>
      </c>
      <c r="BX1365" s="1">
        <v>0</v>
      </c>
      <c r="BY1365" s="1" t="s">
        <v>104</v>
      </c>
      <c r="BZ1365" s="1" t="s">
        <v>104</v>
      </c>
      <c r="CA1365" s="1">
        <v>2</v>
      </c>
      <c r="CB1365" s="1">
        <v>2</v>
      </c>
      <c r="CC1365" s="1" t="s">
        <v>104</v>
      </c>
      <c r="CD1365" s="1">
        <v>2</v>
      </c>
      <c r="CE1365" s="1" t="s">
        <v>104</v>
      </c>
      <c r="CF1365" s="1" t="s">
        <v>104</v>
      </c>
      <c r="CG1365" s="1" t="s">
        <v>104</v>
      </c>
      <c r="CH1365" s="1" t="s">
        <v>104</v>
      </c>
      <c r="CJ1365" s="1">
        <v>0</v>
      </c>
      <c r="CK1365" s="1">
        <v>0</v>
      </c>
      <c r="CL1365" s="1">
        <v>0</v>
      </c>
      <c r="CM1365" s="1" t="s">
        <v>104</v>
      </c>
    </row>
    <row r="1366" spans="1:91" ht="14.25" customHeight="1" x14ac:dyDescent="0.3">
      <c r="A1366" s="1" t="s">
        <v>7916</v>
      </c>
      <c r="B1366" s="1" t="s">
        <v>137</v>
      </c>
      <c r="D1366" s="1" t="s">
        <v>5702</v>
      </c>
      <c r="E1366" s="1" t="s">
        <v>7917</v>
      </c>
      <c r="F1366" s="1" t="s">
        <v>95</v>
      </c>
      <c r="G1366" s="1" t="s">
        <v>7918</v>
      </c>
      <c r="H1366" s="1">
        <v>0</v>
      </c>
      <c r="I1366" s="1" t="s">
        <v>117</v>
      </c>
      <c r="J1366" s="1" t="s">
        <v>627</v>
      </c>
      <c r="M1366" s="1" t="s">
        <v>111</v>
      </c>
      <c r="N1366" s="1">
        <v>0</v>
      </c>
      <c r="O1366" s="1">
        <v>0</v>
      </c>
      <c r="P1366" s="1" t="s">
        <v>4649</v>
      </c>
      <c r="Q1366" s="1" t="s">
        <v>101</v>
      </c>
      <c r="R1366" s="1" t="s">
        <v>7919</v>
      </c>
      <c r="S1366" s="1" t="s">
        <v>7302</v>
      </c>
      <c r="T1366" s="1">
        <v>1</v>
      </c>
      <c r="U1366" s="1">
        <v>1</v>
      </c>
      <c r="V1366" s="1">
        <v>1</v>
      </c>
      <c r="W1366" s="1">
        <v>0</v>
      </c>
      <c r="X1366" s="1">
        <v>1</v>
      </c>
      <c r="Y1366" s="1">
        <v>6</v>
      </c>
      <c r="Z1366" s="1">
        <v>6</v>
      </c>
      <c r="AA1366" s="1" t="s">
        <v>104</v>
      </c>
      <c r="AB1366" s="1">
        <v>6</v>
      </c>
      <c r="AC1366" s="1" t="s">
        <v>104</v>
      </c>
      <c r="AD1366" s="1" t="s">
        <v>104</v>
      </c>
      <c r="AE1366" s="1" t="s">
        <v>104</v>
      </c>
      <c r="AF1366" s="1" t="s">
        <v>104</v>
      </c>
      <c r="AG1366" s="1">
        <v>5</v>
      </c>
      <c r="AH1366" s="1" t="s">
        <v>104</v>
      </c>
      <c r="AI1366" s="1" t="s">
        <v>104</v>
      </c>
      <c r="AJ1366" s="1" t="s">
        <v>104</v>
      </c>
      <c r="AK1366" s="1" t="s">
        <v>104</v>
      </c>
      <c r="AL1366" s="1" t="s">
        <v>104</v>
      </c>
      <c r="AM1366" s="1" t="s">
        <v>104</v>
      </c>
      <c r="AO1366" s="1">
        <v>6</v>
      </c>
      <c r="AQ1366" s="1" t="s">
        <v>7920</v>
      </c>
      <c r="AR1366" s="1">
        <v>0</v>
      </c>
      <c r="AS1366" s="1">
        <v>0</v>
      </c>
      <c r="AT1366" s="1">
        <v>0</v>
      </c>
      <c r="AU1366" s="1">
        <v>0</v>
      </c>
      <c r="AV1366" s="1">
        <v>0</v>
      </c>
      <c r="AW1366" s="1">
        <v>0</v>
      </c>
      <c r="AX1366" s="1">
        <v>0</v>
      </c>
      <c r="AY1366" s="1">
        <v>0</v>
      </c>
      <c r="AZ1366" s="1">
        <v>1</v>
      </c>
      <c r="BA1366" s="1">
        <v>0</v>
      </c>
      <c r="BB1366" s="1">
        <v>0</v>
      </c>
      <c r="BC1366" s="1">
        <v>0</v>
      </c>
      <c r="BD1366" s="1">
        <v>0</v>
      </c>
      <c r="BE1366" s="1">
        <v>1</v>
      </c>
      <c r="BF1366" s="1">
        <v>0</v>
      </c>
      <c r="BG1366" s="1">
        <v>0</v>
      </c>
      <c r="BH1366" s="1">
        <v>0</v>
      </c>
      <c r="BI1366" s="1">
        <v>0</v>
      </c>
      <c r="BJ1366" s="1">
        <v>0</v>
      </c>
      <c r="BK1366" s="1">
        <v>0</v>
      </c>
      <c r="BL1366" s="1">
        <v>0</v>
      </c>
      <c r="BM1366" s="1">
        <v>0</v>
      </c>
      <c r="BN1366" s="1">
        <v>0</v>
      </c>
      <c r="BO1366" s="1">
        <v>0</v>
      </c>
      <c r="BP1366" s="1">
        <v>0</v>
      </c>
      <c r="BQ1366" s="2" t="str">
        <f>HYPERLINK("http://www.d20pfsrd.com/magic/all-spells/t/tar-pool","Tar Pool")</f>
        <v>Tar Pool</v>
      </c>
      <c r="BR1366" s="1">
        <v>1420</v>
      </c>
      <c r="BS1366" s="1" t="s">
        <v>104</v>
      </c>
      <c r="BX1366" s="1">
        <v>0</v>
      </c>
      <c r="BY1366" s="1" t="s">
        <v>104</v>
      </c>
      <c r="BZ1366" s="1" t="s">
        <v>104</v>
      </c>
      <c r="CA1366" s="1" t="s">
        <v>104</v>
      </c>
      <c r="CB1366" s="1" t="s">
        <v>104</v>
      </c>
      <c r="CC1366" s="1" t="s">
        <v>104</v>
      </c>
      <c r="CD1366" s="1" t="s">
        <v>104</v>
      </c>
      <c r="CE1366" s="1" t="s">
        <v>104</v>
      </c>
      <c r="CF1366" s="1" t="s">
        <v>104</v>
      </c>
      <c r="CG1366" s="1" t="s">
        <v>104</v>
      </c>
      <c r="CH1366" s="1">
        <v>6</v>
      </c>
      <c r="CJ1366" s="1">
        <v>0</v>
      </c>
      <c r="CK1366" s="1">
        <v>0</v>
      </c>
      <c r="CL1366" s="1">
        <v>0</v>
      </c>
      <c r="CM1366" s="1">
        <v>6</v>
      </c>
    </row>
    <row r="1367" spans="1:91" ht="14.25" customHeight="1" x14ac:dyDescent="0.3">
      <c r="A1367" s="1" t="s">
        <v>7921</v>
      </c>
      <c r="B1367" s="1" t="s">
        <v>137</v>
      </c>
      <c r="E1367" s="1" t="s">
        <v>4537</v>
      </c>
      <c r="F1367" s="1" t="s">
        <v>95</v>
      </c>
      <c r="G1367" s="1" t="s">
        <v>116</v>
      </c>
      <c r="H1367" s="1">
        <v>0</v>
      </c>
      <c r="I1367" s="1" t="s">
        <v>157</v>
      </c>
      <c r="L1367" s="1" t="s">
        <v>158</v>
      </c>
      <c r="M1367" s="1" t="s">
        <v>111</v>
      </c>
      <c r="N1367" s="1">
        <v>0</v>
      </c>
      <c r="O1367" s="1">
        <v>0</v>
      </c>
      <c r="R1367" s="1" t="s">
        <v>7922</v>
      </c>
      <c r="S1367" s="1" t="s">
        <v>7302</v>
      </c>
      <c r="T1367" s="1">
        <v>1</v>
      </c>
      <c r="U1367" s="1">
        <v>1</v>
      </c>
      <c r="V1367" s="1">
        <v>0</v>
      </c>
      <c r="W1367" s="1">
        <v>0</v>
      </c>
      <c r="X1367" s="1">
        <v>0</v>
      </c>
      <c r="Y1367" s="1" t="s">
        <v>104</v>
      </c>
      <c r="Z1367" s="1" t="s">
        <v>104</v>
      </c>
      <c r="AA1367" s="1" t="s">
        <v>104</v>
      </c>
      <c r="AB1367" s="1" t="s">
        <v>104</v>
      </c>
      <c r="AC1367" s="1" t="s">
        <v>104</v>
      </c>
      <c r="AD1367" s="1" t="s">
        <v>104</v>
      </c>
      <c r="AE1367" s="1" t="s">
        <v>104</v>
      </c>
      <c r="AF1367" s="1">
        <v>1</v>
      </c>
      <c r="AG1367" s="1" t="s">
        <v>104</v>
      </c>
      <c r="AH1367" s="1" t="s">
        <v>104</v>
      </c>
      <c r="AI1367" s="1" t="s">
        <v>104</v>
      </c>
      <c r="AJ1367" s="1" t="s">
        <v>104</v>
      </c>
      <c r="AK1367" s="1" t="s">
        <v>104</v>
      </c>
      <c r="AL1367" s="1" t="s">
        <v>104</v>
      </c>
      <c r="AM1367" s="1" t="s">
        <v>104</v>
      </c>
      <c r="AO1367" s="1">
        <v>1</v>
      </c>
      <c r="AQ1367" s="1" t="s">
        <v>7923</v>
      </c>
      <c r="AR1367" s="1">
        <v>0</v>
      </c>
      <c r="AS1367" s="1">
        <v>0</v>
      </c>
      <c r="AT1367" s="1">
        <v>0</v>
      </c>
      <c r="AU1367" s="1">
        <v>0</v>
      </c>
      <c r="AV1367" s="1">
        <v>0</v>
      </c>
      <c r="AW1367" s="1">
        <v>0</v>
      </c>
      <c r="AX1367" s="1">
        <v>0</v>
      </c>
      <c r="AY1367" s="1">
        <v>0</v>
      </c>
      <c r="AZ1367" s="1">
        <v>0</v>
      </c>
      <c r="BA1367" s="1">
        <v>0</v>
      </c>
      <c r="BB1367" s="1">
        <v>0</v>
      </c>
      <c r="BC1367" s="1">
        <v>0</v>
      </c>
      <c r="BD1367" s="1">
        <v>0</v>
      </c>
      <c r="BE1367" s="1">
        <v>0</v>
      </c>
      <c r="BF1367" s="1">
        <v>0</v>
      </c>
      <c r="BG1367" s="1">
        <v>0</v>
      </c>
      <c r="BH1367" s="1">
        <v>0</v>
      </c>
      <c r="BI1367" s="1">
        <v>0</v>
      </c>
      <c r="BJ1367" s="1">
        <v>0</v>
      </c>
      <c r="BK1367" s="1">
        <v>0</v>
      </c>
      <c r="BL1367" s="1">
        <v>0</v>
      </c>
      <c r="BM1367" s="1">
        <v>0</v>
      </c>
      <c r="BN1367" s="1">
        <v>0</v>
      </c>
      <c r="BO1367" s="1">
        <v>0</v>
      </c>
      <c r="BP1367" s="1">
        <v>0</v>
      </c>
      <c r="BQ1367" s="2" t="str">
        <f>HYPERLINK("http://www.d20pfsrd.com/magic/all-spells/t/targeted-bomb-admixture","Targeted Bomb Admixture")</f>
        <v>Targeted Bomb Admixture</v>
      </c>
      <c r="BR1367" s="1">
        <v>1421</v>
      </c>
      <c r="BS1367" s="1" t="s">
        <v>104</v>
      </c>
      <c r="BX1367" s="1">
        <v>0</v>
      </c>
      <c r="BY1367" s="1" t="s">
        <v>104</v>
      </c>
      <c r="BZ1367" s="1" t="s">
        <v>104</v>
      </c>
      <c r="CA1367" s="1" t="s">
        <v>104</v>
      </c>
      <c r="CB1367" s="1" t="s">
        <v>104</v>
      </c>
      <c r="CC1367" s="1" t="s">
        <v>104</v>
      </c>
      <c r="CD1367" s="1" t="s">
        <v>104</v>
      </c>
      <c r="CE1367" s="1" t="s">
        <v>104</v>
      </c>
      <c r="CF1367" s="1" t="s">
        <v>104</v>
      </c>
      <c r="CG1367" s="1" t="s">
        <v>104</v>
      </c>
      <c r="CH1367" s="1" t="s">
        <v>104</v>
      </c>
      <c r="CJ1367" s="1">
        <v>0</v>
      </c>
      <c r="CK1367" s="1">
        <v>0</v>
      </c>
      <c r="CL1367" s="1">
        <v>0</v>
      </c>
      <c r="CM1367" s="1" t="s">
        <v>104</v>
      </c>
    </row>
    <row r="1368" spans="1:91" ht="14.25" customHeight="1" x14ac:dyDescent="0.3">
      <c r="A1368" s="1" t="s">
        <v>7924</v>
      </c>
      <c r="B1368" s="1" t="s">
        <v>137</v>
      </c>
      <c r="E1368" s="1" t="s">
        <v>7925</v>
      </c>
      <c r="F1368" s="1" t="s">
        <v>7926</v>
      </c>
      <c r="G1368" s="1" t="s">
        <v>7927</v>
      </c>
      <c r="H1368" s="1">
        <v>1</v>
      </c>
      <c r="I1368" s="1" t="s">
        <v>6399</v>
      </c>
      <c r="L1368" s="1" t="s">
        <v>7928</v>
      </c>
      <c r="M1368" s="1" t="s">
        <v>119</v>
      </c>
      <c r="N1368" s="1">
        <v>0</v>
      </c>
      <c r="O1368" s="1">
        <v>0</v>
      </c>
      <c r="P1368" s="1" t="s">
        <v>100</v>
      </c>
      <c r="Q1368" s="1" t="s">
        <v>101</v>
      </c>
      <c r="R1368" s="1" t="s">
        <v>7929</v>
      </c>
      <c r="S1368" s="1" t="s">
        <v>7302</v>
      </c>
      <c r="T1368" s="1">
        <v>1</v>
      </c>
      <c r="U1368" s="1">
        <v>1</v>
      </c>
      <c r="V1368" s="1">
        <v>0</v>
      </c>
      <c r="W1368" s="1">
        <v>0</v>
      </c>
      <c r="X1368" s="1">
        <v>0</v>
      </c>
      <c r="Y1368" s="1">
        <v>2</v>
      </c>
      <c r="Z1368" s="1">
        <v>2</v>
      </c>
      <c r="AA1368" s="1" t="s">
        <v>104</v>
      </c>
      <c r="AB1368" s="1" t="s">
        <v>104</v>
      </c>
      <c r="AC1368" s="1" t="s">
        <v>104</v>
      </c>
      <c r="AD1368" s="1" t="s">
        <v>104</v>
      </c>
      <c r="AE1368" s="1" t="s">
        <v>104</v>
      </c>
      <c r="AF1368" s="1" t="s">
        <v>104</v>
      </c>
      <c r="AG1368" s="1" t="s">
        <v>104</v>
      </c>
      <c r="AH1368" s="1" t="s">
        <v>104</v>
      </c>
      <c r="AI1368" s="1" t="s">
        <v>104</v>
      </c>
      <c r="AJ1368" s="1" t="s">
        <v>104</v>
      </c>
      <c r="AK1368" s="1" t="s">
        <v>104</v>
      </c>
      <c r="AL1368" s="1">
        <v>2</v>
      </c>
      <c r="AM1368" s="1" t="s">
        <v>104</v>
      </c>
      <c r="AO1368" s="1">
        <v>2</v>
      </c>
      <c r="AQ1368" s="1" t="s">
        <v>7930</v>
      </c>
      <c r="AR1368" s="1">
        <v>0</v>
      </c>
      <c r="AS1368" s="1">
        <v>0</v>
      </c>
      <c r="AT1368" s="1">
        <v>0</v>
      </c>
      <c r="AU1368" s="1">
        <v>0</v>
      </c>
      <c r="AV1368" s="1">
        <v>0</v>
      </c>
      <c r="AW1368" s="1">
        <v>0</v>
      </c>
      <c r="AX1368" s="1">
        <v>0</v>
      </c>
      <c r="AY1368" s="1">
        <v>0</v>
      </c>
      <c r="AZ1368" s="1">
        <v>0</v>
      </c>
      <c r="BA1368" s="1">
        <v>0</v>
      </c>
      <c r="BB1368" s="1">
        <v>0</v>
      </c>
      <c r="BC1368" s="1">
        <v>0</v>
      </c>
      <c r="BD1368" s="1">
        <v>0</v>
      </c>
      <c r="BE1368" s="1">
        <v>0</v>
      </c>
      <c r="BF1368" s="1">
        <v>0</v>
      </c>
      <c r="BG1368" s="1">
        <v>0</v>
      </c>
      <c r="BH1368" s="1">
        <v>0</v>
      </c>
      <c r="BI1368" s="1">
        <v>0</v>
      </c>
      <c r="BJ1368" s="1">
        <v>0</v>
      </c>
      <c r="BK1368" s="1">
        <v>0</v>
      </c>
      <c r="BL1368" s="1">
        <v>0</v>
      </c>
      <c r="BM1368" s="1">
        <v>0</v>
      </c>
      <c r="BN1368" s="1">
        <v>0</v>
      </c>
      <c r="BO1368" s="1">
        <v>0</v>
      </c>
      <c r="BP1368" s="1">
        <v>0</v>
      </c>
      <c r="BQ1368" s="2" t="str">
        <f>HYPERLINK("http://www.d20pfsrd.com/magic/all-spells/t/telekinetic-assembly","Telekinetic Assembly")</f>
        <v>Telekinetic Assembly</v>
      </c>
      <c r="BR1368" s="1">
        <v>1422</v>
      </c>
      <c r="BS1368" s="1">
        <v>10</v>
      </c>
      <c r="BX1368" s="1">
        <v>0</v>
      </c>
      <c r="BY1368" s="1" t="s">
        <v>104</v>
      </c>
      <c r="BZ1368" s="1" t="s">
        <v>104</v>
      </c>
      <c r="CA1368" s="1">
        <v>2</v>
      </c>
      <c r="CB1368" s="1" t="s">
        <v>104</v>
      </c>
      <c r="CC1368" s="1" t="s">
        <v>104</v>
      </c>
      <c r="CD1368" s="1">
        <v>2</v>
      </c>
      <c r="CE1368" s="1" t="s">
        <v>104</v>
      </c>
      <c r="CF1368" s="1" t="s">
        <v>104</v>
      </c>
      <c r="CG1368" s="1" t="s">
        <v>104</v>
      </c>
      <c r="CH1368" s="1" t="s">
        <v>104</v>
      </c>
      <c r="CJ1368" s="1">
        <v>0</v>
      </c>
      <c r="CK1368" s="1">
        <v>0</v>
      </c>
      <c r="CL1368" s="1">
        <v>0</v>
      </c>
      <c r="CM1368" s="1" t="s">
        <v>104</v>
      </c>
    </row>
    <row r="1369" spans="1:91" ht="14.25" customHeight="1" x14ac:dyDescent="0.3">
      <c r="A1369" s="1" t="s">
        <v>7931</v>
      </c>
      <c r="B1369" s="1" t="s">
        <v>434</v>
      </c>
      <c r="D1369" s="1" t="s">
        <v>57</v>
      </c>
      <c r="E1369" s="1" t="s">
        <v>7932</v>
      </c>
      <c r="F1369" s="1" t="s">
        <v>95</v>
      </c>
      <c r="G1369" s="1" t="s">
        <v>116</v>
      </c>
      <c r="H1369" s="1">
        <v>0</v>
      </c>
      <c r="I1369" s="1" t="s">
        <v>117</v>
      </c>
      <c r="L1369" s="1" t="s">
        <v>6465</v>
      </c>
      <c r="M1369" s="1" t="s">
        <v>119</v>
      </c>
      <c r="N1369" s="1">
        <v>0</v>
      </c>
      <c r="O1369" s="1">
        <v>0</v>
      </c>
      <c r="P1369" s="1" t="s">
        <v>375</v>
      </c>
      <c r="Q1369" s="1" t="s">
        <v>131</v>
      </c>
      <c r="R1369" s="1" t="s">
        <v>7933</v>
      </c>
      <c r="S1369" s="1" t="s">
        <v>7302</v>
      </c>
      <c r="T1369" s="1">
        <v>1</v>
      </c>
      <c r="U1369" s="1">
        <v>1</v>
      </c>
      <c r="V1369" s="1">
        <v>0</v>
      </c>
      <c r="W1369" s="1">
        <v>0</v>
      </c>
      <c r="X1369" s="1">
        <v>0</v>
      </c>
      <c r="Y1369" s="1">
        <v>4</v>
      </c>
      <c r="Z1369" s="1">
        <v>4</v>
      </c>
      <c r="AA1369" s="1" t="s">
        <v>104</v>
      </c>
      <c r="AB1369" s="1" t="s">
        <v>104</v>
      </c>
      <c r="AC1369" s="1" t="s">
        <v>104</v>
      </c>
      <c r="AD1369" s="1" t="s">
        <v>104</v>
      </c>
      <c r="AE1369" s="1" t="s">
        <v>104</v>
      </c>
      <c r="AF1369" s="1" t="s">
        <v>104</v>
      </c>
      <c r="AG1369" s="1" t="s">
        <v>104</v>
      </c>
      <c r="AH1369" s="1" t="s">
        <v>104</v>
      </c>
      <c r="AI1369" s="1" t="s">
        <v>104</v>
      </c>
      <c r="AJ1369" s="1" t="s">
        <v>104</v>
      </c>
      <c r="AK1369" s="1" t="s">
        <v>104</v>
      </c>
      <c r="AL1369" s="1" t="s">
        <v>104</v>
      </c>
      <c r="AM1369" s="1" t="s">
        <v>104</v>
      </c>
      <c r="AO1369" s="1">
        <v>4</v>
      </c>
      <c r="AQ1369" s="1" t="s">
        <v>7934</v>
      </c>
      <c r="AR1369" s="1">
        <v>0</v>
      </c>
      <c r="AS1369" s="1">
        <v>0</v>
      </c>
      <c r="AT1369" s="1">
        <v>0</v>
      </c>
      <c r="AU1369" s="1">
        <v>0</v>
      </c>
      <c r="AV1369" s="1">
        <v>0</v>
      </c>
      <c r="AW1369" s="1">
        <v>0</v>
      </c>
      <c r="AX1369" s="1">
        <v>0</v>
      </c>
      <c r="AY1369" s="1">
        <v>0</v>
      </c>
      <c r="AZ1369" s="1">
        <v>0</v>
      </c>
      <c r="BA1369" s="1">
        <v>0</v>
      </c>
      <c r="BB1369" s="1">
        <v>0</v>
      </c>
      <c r="BC1369" s="1">
        <v>0</v>
      </c>
      <c r="BD1369" s="1">
        <v>0</v>
      </c>
      <c r="BE1369" s="1">
        <v>0</v>
      </c>
      <c r="BF1369" s="1">
        <v>1</v>
      </c>
      <c r="BG1369" s="1">
        <v>0</v>
      </c>
      <c r="BH1369" s="1">
        <v>0</v>
      </c>
      <c r="BI1369" s="1">
        <v>0</v>
      </c>
      <c r="BJ1369" s="1">
        <v>0</v>
      </c>
      <c r="BK1369" s="1">
        <v>0</v>
      </c>
      <c r="BL1369" s="1">
        <v>0</v>
      </c>
      <c r="BM1369" s="1">
        <v>0</v>
      </c>
      <c r="BN1369" s="1">
        <v>0</v>
      </c>
      <c r="BO1369" s="1">
        <v>0</v>
      </c>
      <c r="BP1369" s="1">
        <v>0</v>
      </c>
      <c r="BQ1369" s="2" t="str">
        <f>HYPERLINK("http://www.d20pfsrd.com/magic/all-spells/t/telekinetic-charge","Telekinetic Charge")</f>
        <v>Telekinetic Charge</v>
      </c>
      <c r="BR1369" s="1">
        <v>1423</v>
      </c>
      <c r="BS1369" s="1" t="s">
        <v>104</v>
      </c>
      <c r="BX1369" s="1">
        <v>0</v>
      </c>
      <c r="BY1369" s="1">
        <v>4</v>
      </c>
      <c r="BZ1369" s="1" t="s">
        <v>104</v>
      </c>
      <c r="CA1369" s="1">
        <v>4</v>
      </c>
      <c r="CB1369" s="1" t="s">
        <v>104</v>
      </c>
      <c r="CC1369" s="1" t="s">
        <v>104</v>
      </c>
      <c r="CD1369" s="1" t="s">
        <v>104</v>
      </c>
      <c r="CE1369" s="1">
        <v>4</v>
      </c>
      <c r="CF1369" s="1" t="s">
        <v>104</v>
      </c>
      <c r="CG1369" s="1" t="s">
        <v>104</v>
      </c>
      <c r="CH1369" s="1" t="s">
        <v>104</v>
      </c>
      <c r="CJ1369" s="1">
        <v>0</v>
      </c>
      <c r="CK1369" s="1">
        <v>0</v>
      </c>
      <c r="CL1369" s="1">
        <v>0</v>
      </c>
      <c r="CM1369" s="1" t="s">
        <v>104</v>
      </c>
    </row>
    <row r="1370" spans="1:91" ht="14.25" customHeight="1" x14ac:dyDescent="0.3">
      <c r="A1370" s="1" t="s">
        <v>7935</v>
      </c>
      <c r="B1370" s="1" t="s">
        <v>123</v>
      </c>
      <c r="C1370" s="1" t="s">
        <v>124</v>
      </c>
      <c r="D1370" s="1" t="s">
        <v>125</v>
      </c>
      <c r="E1370" s="1" t="s">
        <v>4552</v>
      </c>
      <c r="F1370" s="1" t="s">
        <v>95</v>
      </c>
      <c r="G1370" s="1" t="s">
        <v>7936</v>
      </c>
      <c r="H1370" s="1">
        <v>0</v>
      </c>
      <c r="I1370" s="1" t="s">
        <v>157</v>
      </c>
      <c r="L1370" s="1" t="s">
        <v>158</v>
      </c>
      <c r="M1370" s="1" t="s">
        <v>7937</v>
      </c>
      <c r="N1370" s="1">
        <v>1</v>
      </c>
      <c r="O1370" s="1">
        <v>0</v>
      </c>
      <c r="R1370" s="1" t="s">
        <v>7938</v>
      </c>
      <c r="S1370" s="1" t="s">
        <v>7302</v>
      </c>
      <c r="T1370" s="1">
        <v>1</v>
      </c>
      <c r="U1370" s="1">
        <v>1</v>
      </c>
      <c r="V1370" s="1">
        <v>1</v>
      </c>
      <c r="W1370" s="1">
        <v>0</v>
      </c>
      <c r="X1370" s="1">
        <v>0</v>
      </c>
      <c r="Y1370" s="1" t="s">
        <v>104</v>
      </c>
      <c r="Z1370" s="1" t="s">
        <v>104</v>
      </c>
      <c r="AA1370" s="1" t="s">
        <v>104</v>
      </c>
      <c r="AB1370" s="1" t="s">
        <v>104</v>
      </c>
      <c r="AC1370" s="1">
        <v>4</v>
      </c>
      <c r="AD1370" s="1" t="s">
        <v>104</v>
      </c>
      <c r="AE1370" s="1" t="s">
        <v>104</v>
      </c>
      <c r="AF1370" s="1" t="s">
        <v>104</v>
      </c>
      <c r="AG1370" s="1" t="s">
        <v>104</v>
      </c>
      <c r="AH1370" s="1" t="s">
        <v>104</v>
      </c>
      <c r="AI1370" s="1" t="s">
        <v>104</v>
      </c>
      <c r="AJ1370" s="1" t="s">
        <v>104</v>
      </c>
      <c r="AK1370" s="1" t="s">
        <v>104</v>
      </c>
      <c r="AL1370" s="1" t="s">
        <v>104</v>
      </c>
      <c r="AM1370" s="1" t="s">
        <v>104</v>
      </c>
      <c r="AO1370" s="1">
        <v>4</v>
      </c>
      <c r="AQ1370" s="1" t="s">
        <v>7939</v>
      </c>
      <c r="AR1370" s="1">
        <v>0</v>
      </c>
      <c r="AS1370" s="1">
        <v>0</v>
      </c>
      <c r="AT1370" s="1">
        <v>0</v>
      </c>
      <c r="AU1370" s="1">
        <v>0</v>
      </c>
      <c r="AV1370" s="1">
        <v>0</v>
      </c>
      <c r="AW1370" s="1">
        <v>0</v>
      </c>
      <c r="AX1370" s="1">
        <v>0</v>
      </c>
      <c r="AY1370" s="1">
        <v>0</v>
      </c>
      <c r="AZ1370" s="1">
        <v>0</v>
      </c>
      <c r="BA1370" s="1">
        <v>0</v>
      </c>
      <c r="BB1370" s="1">
        <v>0</v>
      </c>
      <c r="BC1370" s="1">
        <v>0</v>
      </c>
      <c r="BD1370" s="1">
        <v>0</v>
      </c>
      <c r="BE1370" s="1">
        <v>0</v>
      </c>
      <c r="BF1370" s="1">
        <v>0</v>
      </c>
      <c r="BG1370" s="1">
        <v>0</v>
      </c>
      <c r="BH1370" s="1">
        <v>0</v>
      </c>
      <c r="BI1370" s="1">
        <v>0</v>
      </c>
      <c r="BJ1370" s="1">
        <v>0</v>
      </c>
      <c r="BK1370" s="1">
        <v>1</v>
      </c>
      <c r="BL1370" s="1">
        <v>0</v>
      </c>
      <c r="BM1370" s="1">
        <v>0</v>
      </c>
      <c r="BN1370" s="1">
        <v>0</v>
      </c>
      <c r="BO1370" s="1">
        <v>0</v>
      </c>
      <c r="BP1370" s="1">
        <v>0</v>
      </c>
      <c r="BQ1370" s="2" t="str">
        <f>HYPERLINK("http://www.d20pfsrd.com/magic/all-spells/t/terrain-bond","Terrain Bond")</f>
        <v>Terrain Bond</v>
      </c>
      <c r="BR1370" s="1">
        <v>1424</v>
      </c>
      <c r="BS1370" s="1" t="s">
        <v>104</v>
      </c>
      <c r="BX1370" s="1">
        <v>0</v>
      </c>
      <c r="BY1370" s="1" t="s">
        <v>104</v>
      </c>
      <c r="BZ1370" s="1" t="s">
        <v>104</v>
      </c>
      <c r="CA1370" s="1" t="s">
        <v>104</v>
      </c>
      <c r="CB1370" s="1" t="s">
        <v>104</v>
      </c>
      <c r="CC1370" s="1" t="s">
        <v>104</v>
      </c>
      <c r="CD1370" s="1" t="s">
        <v>104</v>
      </c>
      <c r="CE1370" s="1" t="s">
        <v>104</v>
      </c>
      <c r="CF1370" s="1" t="s">
        <v>104</v>
      </c>
      <c r="CG1370" s="1" t="s">
        <v>104</v>
      </c>
      <c r="CH1370" s="1">
        <v>4</v>
      </c>
      <c r="CJ1370" s="1">
        <v>0</v>
      </c>
      <c r="CK1370" s="1">
        <v>0</v>
      </c>
      <c r="CL1370" s="1">
        <v>0</v>
      </c>
      <c r="CM1370" s="1" t="s">
        <v>104</v>
      </c>
    </row>
    <row r="1371" spans="1:91" ht="14.25" customHeight="1" x14ac:dyDescent="0.3">
      <c r="A1371" s="1" t="s">
        <v>7940</v>
      </c>
      <c r="B1371" s="1" t="s">
        <v>137</v>
      </c>
      <c r="E1371" s="1" t="s">
        <v>7941</v>
      </c>
      <c r="F1371" s="1" t="s">
        <v>95</v>
      </c>
      <c r="G1371" s="1" t="s">
        <v>7942</v>
      </c>
      <c r="H1371" s="1">
        <v>0</v>
      </c>
      <c r="I1371" s="1" t="s">
        <v>117</v>
      </c>
      <c r="L1371" s="1" t="s">
        <v>7414</v>
      </c>
      <c r="M1371" s="1" t="s">
        <v>119</v>
      </c>
      <c r="N1371" s="1">
        <v>0</v>
      </c>
      <c r="O1371" s="1">
        <v>0</v>
      </c>
      <c r="P1371" s="1" t="s">
        <v>7943</v>
      </c>
      <c r="Q1371" s="1" t="s">
        <v>7944</v>
      </c>
      <c r="R1371" s="1" t="s">
        <v>7945</v>
      </c>
      <c r="S1371" s="1" t="s">
        <v>7302</v>
      </c>
      <c r="T1371" s="1">
        <v>1</v>
      </c>
      <c r="U1371" s="1">
        <v>1</v>
      </c>
      <c r="V1371" s="1">
        <v>1</v>
      </c>
      <c r="W1371" s="1">
        <v>0</v>
      </c>
      <c r="X1371" s="1">
        <v>0</v>
      </c>
      <c r="Y1371" s="1">
        <v>2</v>
      </c>
      <c r="Z1371" s="1">
        <v>2</v>
      </c>
      <c r="AA1371" s="1" t="s">
        <v>104</v>
      </c>
      <c r="AB1371" s="1" t="s">
        <v>104</v>
      </c>
      <c r="AC1371" s="1" t="s">
        <v>104</v>
      </c>
      <c r="AD1371" s="1">
        <v>2</v>
      </c>
      <c r="AE1371" s="1" t="s">
        <v>104</v>
      </c>
      <c r="AF1371" s="1" t="s">
        <v>104</v>
      </c>
      <c r="AG1371" s="1" t="s">
        <v>104</v>
      </c>
      <c r="AH1371" s="1">
        <v>2</v>
      </c>
      <c r="AI1371" s="1" t="s">
        <v>104</v>
      </c>
      <c r="AJ1371" s="1" t="s">
        <v>104</v>
      </c>
      <c r="AK1371" s="1" t="s">
        <v>104</v>
      </c>
      <c r="AL1371" s="1" t="s">
        <v>104</v>
      </c>
      <c r="AM1371" s="1" t="s">
        <v>104</v>
      </c>
      <c r="AO1371" s="1">
        <v>2</v>
      </c>
      <c r="AQ1371" s="1" t="s">
        <v>7946</v>
      </c>
      <c r="AR1371" s="1">
        <v>0</v>
      </c>
      <c r="AS1371" s="1">
        <v>0</v>
      </c>
      <c r="AT1371" s="1">
        <v>0</v>
      </c>
      <c r="AU1371" s="1">
        <v>0</v>
      </c>
      <c r="AV1371" s="1">
        <v>0</v>
      </c>
      <c r="AW1371" s="1">
        <v>0</v>
      </c>
      <c r="AX1371" s="1">
        <v>0</v>
      </c>
      <c r="AY1371" s="1">
        <v>0</v>
      </c>
      <c r="AZ1371" s="1">
        <v>0</v>
      </c>
      <c r="BA1371" s="1">
        <v>0</v>
      </c>
      <c r="BB1371" s="1">
        <v>0</v>
      </c>
      <c r="BC1371" s="1">
        <v>0</v>
      </c>
      <c r="BD1371" s="1">
        <v>0</v>
      </c>
      <c r="BE1371" s="1">
        <v>0</v>
      </c>
      <c r="BF1371" s="1">
        <v>0</v>
      </c>
      <c r="BG1371" s="1">
        <v>0</v>
      </c>
      <c r="BH1371" s="1">
        <v>0</v>
      </c>
      <c r="BI1371" s="1">
        <v>0</v>
      </c>
      <c r="BJ1371" s="1">
        <v>0</v>
      </c>
      <c r="BK1371" s="1">
        <v>0</v>
      </c>
      <c r="BL1371" s="1">
        <v>0</v>
      </c>
      <c r="BM1371" s="1">
        <v>0</v>
      </c>
      <c r="BN1371" s="1">
        <v>0</v>
      </c>
      <c r="BO1371" s="1">
        <v>0</v>
      </c>
      <c r="BP1371" s="1">
        <v>0</v>
      </c>
      <c r="BQ1371" s="2" t="str">
        <f>HYPERLINK("http://www.d20pfsrd.com/magic/all-spells/t/thunder-fire","Thunder Fire")</f>
        <v>Thunder Fire</v>
      </c>
      <c r="BR1371" s="1">
        <v>1425</v>
      </c>
      <c r="BS1371" s="1" t="s">
        <v>104</v>
      </c>
      <c r="BX1371" s="1">
        <v>0</v>
      </c>
      <c r="BY1371" s="1" t="s">
        <v>104</v>
      </c>
      <c r="BZ1371" s="1" t="s">
        <v>104</v>
      </c>
      <c r="CA1371" s="1" t="s">
        <v>104</v>
      </c>
      <c r="CB1371" s="1" t="s">
        <v>104</v>
      </c>
      <c r="CC1371" s="1" t="s">
        <v>104</v>
      </c>
      <c r="CD1371" s="1" t="s">
        <v>104</v>
      </c>
      <c r="CE1371" s="1" t="s">
        <v>104</v>
      </c>
      <c r="CF1371" s="1" t="s">
        <v>104</v>
      </c>
      <c r="CG1371" s="1" t="s">
        <v>104</v>
      </c>
      <c r="CH1371" s="1" t="s">
        <v>104</v>
      </c>
      <c r="CJ1371" s="1">
        <v>0</v>
      </c>
      <c r="CK1371" s="1">
        <v>0</v>
      </c>
      <c r="CL1371" s="1">
        <v>0</v>
      </c>
      <c r="CM1371" s="1" t="s">
        <v>104</v>
      </c>
    </row>
    <row r="1372" spans="1:91" ht="14.25" customHeight="1" x14ac:dyDescent="0.3">
      <c r="A1372" s="1" t="s">
        <v>7947</v>
      </c>
      <c r="B1372" s="1" t="s">
        <v>172</v>
      </c>
      <c r="E1372" s="1" t="s">
        <v>7948</v>
      </c>
      <c r="F1372" s="1" t="s">
        <v>95</v>
      </c>
      <c r="G1372" s="1" t="s">
        <v>3867</v>
      </c>
      <c r="H1372" s="1">
        <v>0</v>
      </c>
      <c r="I1372" s="1" t="s">
        <v>128</v>
      </c>
      <c r="L1372" s="1" t="s">
        <v>7332</v>
      </c>
      <c r="M1372" s="1" t="s">
        <v>140</v>
      </c>
      <c r="N1372" s="1">
        <v>0</v>
      </c>
      <c r="O1372" s="1">
        <v>0</v>
      </c>
      <c r="P1372" s="1" t="s">
        <v>375</v>
      </c>
      <c r="Q1372" s="1" t="s">
        <v>101</v>
      </c>
      <c r="R1372" s="1" t="s">
        <v>7949</v>
      </c>
      <c r="S1372" s="1" t="s">
        <v>7302</v>
      </c>
      <c r="T1372" s="1">
        <v>1</v>
      </c>
      <c r="U1372" s="1">
        <v>0</v>
      </c>
      <c r="V1372" s="1">
        <v>1</v>
      </c>
      <c r="W1372" s="1">
        <v>0</v>
      </c>
      <c r="X1372" s="1">
        <v>1</v>
      </c>
      <c r="Y1372" s="1">
        <v>4</v>
      </c>
      <c r="Z1372" s="1">
        <v>4</v>
      </c>
      <c r="AA1372" s="1">
        <v>5</v>
      </c>
      <c r="AB1372" s="1" t="s">
        <v>104</v>
      </c>
      <c r="AC1372" s="1" t="s">
        <v>104</v>
      </c>
      <c r="AD1372" s="1">
        <v>3</v>
      </c>
      <c r="AE1372" s="1" t="s">
        <v>104</v>
      </c>
      <c r="AF1372" s="1">
        <v>4</v>
      </c>
      <c r="AG1372" s="1">
        <v>4</v>
      </c>
      <c r="AH1372" s="1">
        <v>4</v>
      </c>
      <c r="AI1372" s="1" t="s">
        <v>104</v>
      </c>
      <c r="AJ1372" s="1">
        <v>5</v>
      </c>
      <c r="AK1372" s="1" t="s">
        <v>104</v>
      </c>
      <c r="AL1372" s="1" t="s">
        <v>104</v>
      </c>
      <c r="AM1372" s="1" t="s">
        <v>104</v>
      </c>
      <c r="AO1372" s="1">
        <v>4</v>
      </c>
      <c r="AQ1372" s="1" t="s">
        <v>7950</v>
      </c>
      <c r="AR1372" s="1">
        <v>0</v>
      </c>
      <c r="AS1372" s="1">
        <v>0</v>
      </c>
      <c r="AT1372" s="1">
        <v>0</v>
      </c>
      <c r="AU1372" s="1">
        <v>0</v>
      </c>
      <c r="AV1372" s="1">
        <v>0</v>
      </c>
      <c r="AW1372" s="1">
        <v>0</v>
      </c>
      <c r="AX1372" s="1">
        <v>0</v>
      </c>
      <c r="AY1372" s="1">
        <v>0</v>
      </c>
      <c r="AZ1372" s="1">
        <v>0</v>
      </c>
      <c r="BA1372" s="1">
        <v>0</v>
      </c>
      <c r="BB1372" s="1">
        <v>0</v>
      </c>
      <c r="BC1372" s="1">
        <v>0</v>
      </c>
      <c r="BD1372" s="1">
        <v>0</v>
      </c>
      <c r="BE1372" s="1">
        <v>0</v>
      </c>
      <c r="BF1372" s="1">
        <v>0</v>
      </c>
      <c r="BG1372" s="1">
        <v>0</v>
      </c>
      <c r="BH1372" s="1">
        <v>0</v>
      </c>
      <c r="BI1372" s="1">
        <v>0</v>
      </c>
      <c r="BJ1372" s="1">
        <v>0</v>
      </c>
      <c r="BK1372" s="1">
        <v>0</v>
      </c>
      <c r="BL1372" s="1">
        <v>0</v>
      </c>
      <c r="BM1372" s="1">
        <v>0</v>
      </c>
      <c r="BN1372" s="1">
        <v>0</v>
      </c>
      <c r="BO1372" s="1">
        <v>0</v>
      </c>
      <c r="BP1372" s="1">
        <v>0</v>
      </c>
      <c r="BQ1372" s="2" t="str">
        <f>HYPERLINK("http://www.d20pfsrd.com/magic/all-spells/t/tongues#TOC-Tongues-Communal","Tongues, Communal")</f>
        <v>Tongues, Communal</v>
      </c>
      <c r="BR1372" s="1">
        <v>1426</v>
      </c>
      <c r="BS1372" s="1" t="s">
        <v>104</v>
      </c>
      <c r="BX1372" s="1">
        <v>0</v>
      </c>
      <c r="BY1372" s="1" t="s">
        <v>104</v>
      </c>
      <c r="BZ1372" s="1" t="s">
        <v>104</v>
      </c>
      <c r="CA1372" s="1">
        <v>4</v>
      </c>
      <c r="CB1372" s="1" t="s">
        <v>104</v>
      </c>
      <c r="CC1372" s="1">
        <v>3</v>
      </c>
      <c r="CD1372" s="1" t="s">
        <v>104</v>
      </c>
      <c r="CE1372" s="1" t="s">
        <v>104</v>
      </c>
      <c r="CF1372" s="1" t="s">
        <v>104</v>
      </c>
      <c r="CG1372" s="1" t="s">
        <v>104</v>
      </c>
      <c r="CH1372" s="1" t="s">
        <v>104</v>
      </c>
      <c r="CJ1372" s="1">
        <v>0</v>
      </c>
      <c r="CK1372" s="1">
        <v>0</v>
      </c>
      <c r="CL1372" s="1">
        <v>0</v>
      </c>
      <c r="CM1372" s="1">
        <v>4</v>
      </c>
    </row>
    <row r="1373" spans="1:91" ht="14.25" customHeight="1" x14ac:dyDescent="0.3">
      <c r="A1373" s="1" t="s">
        <v>7951</v>
      </c>
      <c r="B1373" s="1" t="s">
        <v>137</v>
      </c>
      <c r="E1373" s="1" t="s">
        <v>7952</v>
      </c>
      <c r="F1373" s="1" t="s">
        <v>95</v>
      </c>
      <c r="G1373" s="1" t="s">
        <v>116</v>
      </c>
      <c r="H1373" s="1">
        <v>0</v>
      </c>
      <c r="I1373" s="1" t="s">
        <v>157</v>
      </c>
      <c r="L1373" s="1" t="s">
        <v>158</v>
      </c>
      <c r="M1373" s="1" t="s">
        <v>201</v>
      </c>
      <c r="N1373" s="1">
        <v>0</v>
      </c>
      <c r="O1373" s="1">
        <v>0</v>
      </c>
      <c r="P1373" s="1" t="s">
        <v>100</v>
      </c>
      <c r="Q1373" s="1" t="s">
        <v>101</v>
      </c>
      <c r="R1373" s="1" t="s">
        <v>7953</v>
      </c>
      <c r="S1373" s="1" t="s">
        <v>7302</v>
      </c>
      <c r="T1373" s="1">
        <v>1</v>
      </c>
      <c r="U1373" s="1">
        <v>1</v>
      </c>
      <c r="V1373" s="1">
        <v>0</v>
      </c>
      <c r="W1373" s="1">
        <v>0</v>
      </c>
      <c r="X1373" s="1">
        <v>0</v>
      </c>
      <c r="Y1373" s="1">
        <v>3</v>
      </c>
      <c r="Z1373" s="1">
        <v>3</v>
      </c>
      <c r="AA1373" s="1" t="s">
        <v>104</v>
      </c>
      <c r="AB1373" s="1" t="s">
        <v>104</v>
      </c>
      <c r="AC1373" s="1" t="s">
        <v>104</v>
      </c>
      <c r="AD1373" s="1" t="s">
        <v>104</v>
      </c>
      <c r="AE1373" s="1" t="s">
        <v>104</v>
      </c>
      <c r="AF1373" s="1">
        <v>2</v>
      </c>
      <c r="AG1373" s="1" t="s">
        <v>104</v>
      </c>
      <c r="AH1373" s="1" t="s">
        <v>104</v>
      </c>
      <c r="AI1373" s="1" t="s">
        <v>104</v>
      </c>
      <c r="AJ1373" s="1" t="s">
        <v>104</v>
      </c>
      <c r="AK1373" s="1" t="s">
        <v>104</v>
      </c>
      <c r="AL1373" s="1" t="s">
        <v>104</v>
      </c>
      <c r="AM1373" s="1" t="s">
        <v>104</v>
      </c>
      <c r="AO1373" s="1">
        <v>3</v>
      </c>
      <c r="AQ1373" s="1" t="s">
        <v>7954</v>
      </c>
      <c r="AR1373" s="1">
        <v>0</v>
      </c>
      <c r="AS1373" s="1">
        <v>0</v>
      </c>
      <c r="AT1373" s="1">
        <v>0</v>
      </c>
      <c r="AU1373" s="1">
        <v>0</v>
      </c>
      <c r="AV1373" s="1">
        <v>0</v>
      </c>
      <c r="AW1373" s="1">
        <v>0</v>
      </c>
      <c r="AX1373" s="1">
        <v>0</v>
      </c>
      <c r="AY1373" s="1">
        <v>0</v>
      </c>
      <c r="AZ1373" s="1">
        <v>0</v>
      </c>
      <c r="BA1373" s="1">
        <v>0</v>
      </c>
      <c r="BB1373" s="1">
        <v>0</v>
      </c>
      <c r="BC1373" s="1">
        <v>0</v>
      </c>
      <c r="BD1373" s="1">
        <v>0</v>
      </c>
      <c r="BE1373" s="1">
        <v>0</v>
      </c>
      <c r="BF1373" s="1">
        <v>0</v>
      </c>
      <c r="BG1373" s="1">
        <v>0</v>
      </c>
      <c r="BH1373" s="1">
        <v>0</v>
      </c>
      <c r="BI1373" s="1">
        <v>0</v>
      </c>
      <c r="BJ1373" s="1">
        <v>0</v>
      </c>
      <c r="BK1373" s="1">
        <v>0</v>
      </c>
      <c r="BL1373" s="1">
        <v>0</v>
      </c>
      <c r="BM1373" s="1">
        <v>0</v>
      </c>
      <c r="BN1373" s="1">
        <v>0</v>
      </c>
      <c r="BO1373" s="1">
        <v>0</v>
      </c>
      <c r="BP1373" s="1">
        <v>0</v>
      </c>
      <c r="BQ1373" s="2" t="str">
        <f>HYPERLINK("http://www.d20pfsrd.com/magic/all-spells/t/touch-injection","Touch Injection")</f>
        <v>Touch Injection</v>
      </c>
      <c r="BR1373" s="1">
        <v>1427</v>
      </c>
      <c r="BS1373" s="1" t="s">
        <v>104</v>
      </c>
      <c r="BX1373" s="1">
        <v>0</v>
      </c>
      <c r="BY1373" s="1" t="s">
        <v>104</v>
      </c>
      <c r="BZ1373" s="1" t="s">
        <v>104</v>
      </c>
      <c r="CA1373" s="1">
        <v>3</v>
      </c>
      <c r="CB1373" s="1" t="s">
        <v>104</v>
      </c>
      <c r="CC1373" s="1" t="s">
        <v>104</v>
      </c>
      <c r="CD1373" s="1" t="s">
        <v>104</v>
      </c>
      <c r="CE1373" s="1" t="s">
        <v>104</v>
      </c>
      <c r="CF1373" s="1" t="s">
        <v>104</v>
      </c>
      <c r="CG1373" s="1" t="s">
        <v>104</v>
      </c>
      <c r="CH1373" s="1" t="s">
        <v>104</v>
      </c>
      <c r="CJ1373" s="1">
        <v>0</v>
      </c>
      <c r="CK1373" s="1">
        <v>0</v>
      </c>
      <c r="CL1373" s="1">
        <v>0</v>
      </c>
      <c r="CM1373" s="1" t="s">
        <v>104</v>
      </c>
    </row>
    <row r="1374" spans="1:91" ht="14.25" customHeight="1" x14ac:dyDescent="0.3">
      <c r="A1374" s="1" t="s">
        <v>7955</v>
      </c>
      <c r="B1374" s="1" t="s">
        <v>137</v>
      </c>
      <c r="E1374" s="1" t="s">
        <v>7956</v>
      </c>
      <c r="F1374" s="1" t="s">
        <v>95</v>
      </c>
      <c r="G1374" s="1" t="s">
        <v>7957</v>
      </c>
      <c r="H1374" s="1">
        <v>0</v>
      </c>
      <c r="I1374" s="1" t="s">
        <v>117</v>
      </c>
      <c r="L1374" s="1" t="s">
        <v>1065</v>
      </c>
      <c r="M1374" s="1" t="s">
        <v>255</v>
      </c>
      <c r="N1374" s="1">
        <v>0</v>
      </c>
      <c r="O1374" s="1">
        <v>0</v>
      </c>
      <c r="P1374" s="1" t="s">
        <v>211</v>
      </c>
      <c r="Q1374" s="1" t="s">
        <v>184</v>
      </c>
      <c r="R1374" s="1" t="s">
        <v>7958</v>
      </c>
      <c r="S1374" s="1" t="s">
        <v>7302</v>
      </c>
      <c r="T1374" s="1">
        <v>1</v>
      </c>
      <c r="U1374" s="1">
        <v>1</v>
      </c>
      <c r="V1374" s="1">
        <v>1</v>
      </c>
      <c r="W1374" s="1">
        <v>0</v>
      </c>
      <c r="X1374" s="1">
        <v>0</v>
      </c>
      <c r="Y1374" s="1">
        <v>2</v>
      </c>
      <c r="Z1374" s="1">
        <v>2</v>
      </c>
      <c r="AA1374" s="1" t="s">
        <v>104</v>
      </c>
      <c r="AB1374" s="1" t="s">
        <v>104</v>
      </c>
      <c r="AC1374" s="1" t="s">
        <v>104</v>
      </c>
      <c r="AD1374" s="1" t="s">
        <v>104</v>
      </c>
      <c r="AE1374" s="1" t="s">
        <v>104</v>
      </c>
      <c r="AF1374" s="1" t="s">
        <v>104</v>
      </c>
      <c r="AG1374" s="1">
        <v>2</v>
      </c>
      <c r="AH1374" s="1" t="s">
        <v>104</v>
      </c>
      <c r="AI1374" s="1" t="s">
        <v>104</v>
      </c>
      <c r="AJ1374" s="1" t="s">
        <v>104</v>
      </c>
      <c r="AK1374" s="1" t="s">
        <v>104</v>
      </c>
      <c r="AL1374" s="1">
        <v>2</v>
      </c>
      <c r="AM1374" s="1" t="s">
        <v>104</v>
      </c>
      <c r="AO1374" s="1">
        <v>2</v>
      </c>
      <c r="AQ1374" s="1" t="s">
        <v>7959</v>
      </c>
      <c r="AR1374" s="1">
        <v>0</v>
      </c>
      <c r="AS1374" s="1">
        <v>0</v>
      </c>
      <c r="AT1374" s="1">
        <v>0</v>
      </c>
      <c r="AU1374" s="1">
        <v>0</v>
      </c>
      <c r="AV1374" s="1">
        <v>0</v>
      </c>
      <c r="AW1374" s="1">
        <v>0</v>
      </c>
      <c r="AX1374" s="1">
        <v>0</v>
      </c>
      <c r="AY1374" s="1">
        <v>0</v>
      </c>
      <c r="AZ1374" s="1">
        <v>0</v>
      </c>
      <c r="BA1374" s="1">
        <v>0</v>
      </c>
      <c r="BB1374" s="1">
        <v>0</v>
      </c>
      <c r="BC1374" s="1">
        <v>0</v>
      </c>
      <c r="BD1374" s="1">
        <v>0</v>
      </c>
      <c r="BE1374" s="1">
        <v>0</v>
      </c>
      <c r="BF1374" s="1">
        <v>0</v>
      </c>
      <c r="BG1374" s="1">
        <v>0</v>
      </c>
      <c r="BH1374" s="1">
        <v>0</v>
      </c>
      <c r="BI1374" s="1">
        <v>0</v>
      </c>
      <c r="BJ1374" s="1">
        <v>0</v>
      </c>
      <c r="BK1374" s="1">
        <v>0</v>
      </c>
      <c r="BL1374" s="1">
        <v>0</v>
      </c>
      <c r="BM1374" s="1">
        <v>0</v>
      </c>
      <c r="BN1374" s="1">
        <v>0</v>
      </c>
      <c r="BO1374" s="1">
        <v>0</v>
      </c>
      <c r="BP1374" s="1">
        <v>0</v>
      </c>
      <c r="BQ1374" s="2" t="str">
        <f>HYPERLINK("http://www.d20pfsrd.com/magic/all-spells/t/twisted-space","Twisted Space")</f>
        <v>Twisted Space</v>
      </c>
      <c r="BR1374" s="1">
        <v>1428</v>
      </c>
      <c r="BS1374" s="1" t="s">
        <v>104</v>
      </c>
      <c r="BX1374" s="1">
        <v>0</v>
      </c>
      <c r="BY1374" s="1" t="s">
        <v>104</v>
      </c>
      <c r="BZ1374" s="1" t="s">
        <v>104</v>
      </c>
      <c r="CA1374" s="1">
        <v>2</v>
      </c>
      <c r="CB1374" s="1" t="s">
        <v>104</v>
      </c>
      <c r="CC1374" s="1" t="s">
        <v>104</v>
      </c>
      <c r="CD1374" s="1" t="s">
        <v>104</v>
      </c>
      <c r="CE1374" s="1" t="s">
        <v>104</v>
      </c>
      <c r="CF1374" s="1" t="s">
        <v>104</v>
      </c>
      <c r="CG1374" s="1" t="s">
        <v>104</v>
      </c>
      <c r="CH1374" s="1" t="s">
        <v>104</v>
      </c>
      <c r="CJ1374" s="1">
        <v>0</v>
      </c>
      <c r="CK1374" s="1">
        <v>0</v>
      </c>
      <c r="CL1374" s="1">
        <v>0</v>
      </c>
      <c r="CM1374" s="1">
        <v>2</v>
      </c>
    </row>
    <row r="1375" spans="1:91" ht="14.25" customHeight="1" x14ac:dyDescent="0.3">
      <c r="A1375" s="1" t="s">
        <v>7960</v>
      </c>
      <c r="B1375" s="1" t="s">
        <v>137</v>
      </c>
      <c r="E1375" s="1" t="s">
        <v>7961</v>
      </c>
      <c r="F1375" s="1" t="s">
        <v>95</v>
      </c>
      <c r="G1375" s="1" t="s">
        <v>116</v>
      </c>
      <c r="H1375" s="1">
        <v>0</v>
      </c>
      <c r="I1375" s="1" t="s">
        <v>117</v>
      </c>
      <c r="L1375" s="1" t="s">
        <v>7962</v>
      </c>
      <c r="M1375" s="1" t="s">
        <v>111</v>
      </c>
      <c r="N1375" s="1">
        <v>0</v>
      </c>
      <c r="O1375" s="1">
        <v>0</v>
      </c>
      <c r="P1375" s="1" t="s">
        <v>148</v>
      </c>
      <c r="Q1375" s="1" t="s">
        <v>149</v>
      </c>
      <c r="R1375" s="1" t="s">
        <v>7963</v>
      </c>
      <c r="S1375" s="1" t="s">
        <v>7302</v>
      </c>
      <c r="T1375" s="1">
        <v>1</v>
      </c>
      <c r="U1375" s="1">
        <v>1</v>
      </c>
      <c r="V1375" s="1">
        <v>0</v>
      </c>
      <c r="W1375" s="1">
        <v>0</v>
      </c>
      <c r="X1375" s="1">
        <v>0</v>
      </c>
      <c r="Y1375" s="1">
        <v>1</v>
      </c>
      <c r="Z1375" s="1">
        <v>1</v>
      </c>
      <c r="AA1375" s="1" t="s">
        <v>104</v>
      </c>
      <c r="AB1375" s="1" t="s">
        <v>104</v>
      </c>
      <c r="AC1375" s="1" t="s">
        <v>104</v>
      </c>
      <c r="AD1375" s="1" t="s">
        <v>104</v>
      </c>
      <c r="AE1375" s="1" t="s">
        <v>104</v>
      </c>
      <c r="AF1375" s="1" t="s">
        <v>104</v>
      </c>
      <c r="AG1375" s="1" t="s">
        <v>104</v>
      </c>
      <c r="AH1375" s="1">
        <v>1</v>
      </c>
      <c r="AI1375" s="1">
        <v>1</v>
      </c>
      <c r="AJ1375" s="1" t="s">
        <v>104</v>
      </c>
      <c r="AK1375" s="1" t="s">
        <v>104</v>
      </c>
      <c r="AL1375" s="1">
        <v>1</v>
      </c>
      <c r="AM1375" s="1" t="s">
        <v>104</v>
      </c>
      <c r="AO1375" s="1">
        <v>1</v>
      </c>
      <c r="AQ1375" s="1" t="s">
        <v>7964</v>
      </c>
      <c r="AR1375" s="1">
        <v>0</v>
      </c>
      <c r="AS1375" s="1">
        <v>0</v>
      </c>
      <c r="AT1375" s="1">
        <v>0</v>
      </c>
      <c r="AU1375" s="1">
        <v>0</v>
      </c>
      <c r="AV1375" s="1">
        <v>0</v>
      </c>
      <c r="AW1375" s="1">
        <v>0</v>
      </c>
      <c r="AX1375" s="1">
        <v>0</v>
      </c>
      <c r="AY1375" s="1">
        <v>0</v>
      </c>
      <c r="AZ1375" s="1">
        <v>0</v>
      </c>
      <c r="BA1375" s="1">
        <v>0</v>
      </c>
      <c r="BB1375" s="1">
        <v>0</v>
      </c>
      <c r="BC1375" s="1">
        <v>0</v>
      </c>
      <c r="BD1375" s="1">
        <v>0</v>
      </c>
      <c r="BE1375" s="1">
        <v>0</v>
      </c>
      <c r="BF1375" s="1">
        <v>0</v>
      </c>
      <c r="BG1375" s="1">
        <v>0</v>
      </c>
      <c r="BH1375" s="1">
        <v>0</v>
      </c>
      <c r="BI1375" s="1">
        <v>0</v>
      </c>
      <c r="BJ1375" s="1">
        <v>0</v>
      </c>
      <c r="BK1375" s="1">
        <v>0</v>
      </c>
      <c r="BL1375" s="1">
        <v>0</v>
      </c>
      <c r="BM1375" s="1">
        <v>0</v>
      </c>
      <c r="BN1375" s="1">
        <v>0</v>
      </c>
      <c r="BO1375" s="1">
        <v>0</v>
      </c>
      <c r="BP1375" s="1">
        <v>0</v>
      </c>
      <c r="BQ1375" s="2" t="str">
        <f>HYPERLINK("http://www.d20pfsrd.com/magic/all-spells/u/unerring-weapon","Unerring Weapon")</f>
        <v>Unerring Weapon</v>
      </c>
      <c r="BR1375" s="1">
        <v>1429</v>
      </c>
      <c r="BS1375" s="1" t="s">
        <v>104</v>
      </c>
      <c r="BX1375" s="1">
        <v>0</v>
      </c>
      <c r="BY1375" s="1">
        <v>1</v>
      </c>
      <c r="BZ1375" s="1" t="s">
        <v>104</v>
      </c>
      <c r="CA1375" s="1">
        <v>1</v>
      </c>
      <c r="CB1375" s="1">
        <v>1</v>
      </c>
      <c r="CC1375" s="1" t="s">
        <v>104</v>
      </c>
      <c r="CD1375" s="1">
        <v>2</v>
      </c>
      <c r="CE1375" s="1" t="s">
        <v>104</v>
      </c>
      <c r="CF1375" s="1" t="s">
        <v>104</v>
      </c>
      <c r="CG1375" s="1" t="s">
        <v>104</v>
      </c>
      <c r="CH1375" s="1" t="s">
        <v>104</v>
      </c>
      <c r="CJ1375" s="1">
        <v>0</v>
      </c>
      <c r="CK1375" s="1">
        <v>0</v>
      </c>
      <c r="CL1375" s="1">
        <v>0</v>
      </c>
      <c r="CM1375" s="1" t="s">
        <v>104</v>
      </c>
    </row>
    <row r="1376" spans="1:91" ht="14.25" customHeight="1" x14ac:dyDescent="0.3">
      <c r="A1376" s="1" t="s">
        <v>7965</v>
      </c>
      <c r="B1376" s="1" t="s">
        <v>92</v>
      </c>
      <c r="C1376" s="1" t="s">
        <v>93</v>
      </c>
      <c r="E1376" s="1" t="s">
        <v>5652</v>
      </c>
      <c r="F1376" s="1" t="s">
        <v>95</v>
      </c>
      <c r="G1376" s="1" t="s">
        <v>116</v>
      </c>
      <c r="H1376" s="1">
        <v>0</v>
      </c>
      <c r="I1376" s="1" t="s">
        <v>157</v>
      </c>
      <c r="L1376" s="1" t="s">
        <v>158</v>
      </c>
      <c r="M1376" s="1" t="s">
        <v>111</v>
      </c>
      <c r="N1376" s="1">
        <v>0</v>
      </c>
      <c r="O1376" s="1">
        <v>0</v>
      </c>
      <c r="R1376" s="1" t="s">
        <v>7966</v>
      </c>
      <c r="S1376" s="1" t="s">
        <v>7302</v>
      </c>
      <c r="T1376" s="1">
        <v>1</v>
      </c>
      <c r="U1376" s="1">
        <v>1</v>
      </c>
      <c r="V1376" s="1">
        <v>0</v>
      </c>
      <c r="W1376" s="1">
        <v>0</v>
      </c>
      <c r="X1376" s="1">
        <v>0</v>
      </c>
      <c r="Y1376" s="1" t="s">
        <v>104</v>
      </c>
      <c r="Z1376" s="1" t="s">
        <v>104</v>
      </c>
      <c r="AA1376" s="1" t="s">
        <v>104</v>
      </c>
      <c r="AB1376" s="1" t="s">
        <v>104</v>
      </c>
      <c r="AC1376" s="1" t="s">
        <v>104</v>
      </c>
      <c r="AD1376" s="1" t="s">
        <v>104</v>
      </c>
      <c r="AE1376" s="1" t="s">
        <v>104</v>
      </c>
      <c r="AF1376" s="1">
        <v>4</v>
      </c>
      <c r="AG1376" s="1" t="s">
        <v>104</v>
      </c>
      <c r="AH1376" s="1" t="s">
        <v>104</v>
      </c>
      <c r="AI1376" s="1" t="s">
        <v>104</v>
      </c>
      <c r="AJ1376" s="1" t="s">
        <v>104</v>
      </c>
      <c r="AK1376" s="1" t="s">
        <v>104</v>
      </c>
      <c r="AL1376" s="1" t="s">
        <v>104</v>
      </c>
      <c r="AM1376" s="1" t="s">
        <v>104</v>
      </c>
      <c r="AO1376" s="1">
        <v>4</v>
      </c>
      <c r="AQ1376" s="1" t="s">
        <v>7967</v>
      </c>
      <c r="AR1376" s="1">
        <v>0</v>
      </c>
      <c r="AS1376" s="1">
        <v>0</v>
      </c>
      <c r="AT1376" s="1">
        <v>0</v>
      </c>
      <c r="AU1376" s="1">
        <v>0</v>
      </c>
      <c r="AV1376" s="1">
        <v>0</v>
      </c>
      <c r="AW1376" s="1">
        <v>0</v>
      </c>
      <c r="AX1376" s="1">
        <v>0</v>
      </c>
      <c r="AY1376" s="1">
        <v>0</v>
      </c>
      <c r="AZ1376" s="1">
        <v>0</v>
      </c>
      <c r="BA1376" s="1">
        <v>0</v>
      </c>
      <c r="BB1376" s="1">
        <v>0</v>
      </c>
      <c r="BC1376" s="1">
        <v>0</v>
      </c>
      <c r="BD1376" s="1">
        <v>0</v>
      </c>
      <c r="BE1376" s="1">
        <v>0</v>
      </c>
      <c r="BF1376" s="1">
        <v>0</v>
      </c>
      <c r="BG1376" s="1">
        <v>0</v>
      </c>
      <c r="BH1376" s="1">
        <v>0</v>
      </c>
      <c r="BI1376" s="1">
        <v>0</v>
      </c>
      <c r="BJ1376" s="1">
        <v>0</v>
      </c>
      <c r="BK1376" s="1">
        <v>0</v>
      </c>
      <c r="BL1376" s="1">
        <v>0</v>
      </c>
      <c r="BM1376" s="1">
        <v>0</v>
      </c>
      <c r="BN1376" s="1">
        <v>0</v>
      </c>
      <c r="BO1376" s="1">
        <v>0</v>
      </c>
      <c r="BP1376" s="1">
        <v>0</v>
      </c>
      <c r="BQ1376" s="2" t="str">
        <f>HYPERLINK("http://www.d20pfsrd.com/magic/all-spells/v/viper-bomb-admixture","Viper Bomb Admixture")</f>
        <v>Viper Bomb Admixture</v>
      </c>
      <c r="BR1376" s="1">
        <v>1430</v>
      </c>
      <c r="BS1376" s="1" t="s">
        <v>104</v>
      </c>
      <c r="BX1376" s="1">
        <v>0</v>
      </c>
      <c r="BY1376" s="1" t="s">
        <v>104</v>
      </c>
      <c r="BZ1376" s="1" t="s">
        <v>104</v>
      </c>
      <c r="CA1376" s="1" t="s">
        <v>104</v>
      </c>
      <c r="CB1376" s="1" t="s">
        <v>104</v>
      </c>
      <c r="CC1376" s="1" t="s">
        <v>104</v>
      </c>
      <c r="CD1376" s="1" t="s">
        <v>104</v>
      </c>
      <c r="CE1376" s="1" t="s">
        <v>104</v>
      </c>
      <c r="CF1376" s="1" t="s">
        <v>104</v>
      </c>
      <c r="CG1376" s="1" t="s">
        <v>104</v>
      </c>
      <c r="CH1376" s="1" t="s">
        <v>104</v>
      </c>
      <c r="CJ1376" s="1">
        <v>0</v>
      </c>
      <c r="CK1376" s="1">
        <v>0</v>
      </c>
      <c r="CL1376" s="1">
        <v>0</v>
      </c>
      <c r="CM1376" s="1" t="s">
        <v>104</v>
      </c>
    </row>
    <row r="1377" spans="1:91" ht="14.25" customHeight="1" x14ac:dyDescent="0.3">
      <c r="A1377" s="1" t="s">
        <v>7968</v>
      </c>
      <c r="B1377" s="1" t="s">
        <v>92</v>
      </c>
      <c r="C1377" s="1" t="s">
        <v>1160</v>
      </c>
      <c r="E1377" s="1" t="s">
        <v>7969</v>
      </c>
      <c r="F1377" s="1" t="s">
        <v>95</v>
      </c>
      <c r="G1377" s="1" t="s">
        <v>7970</v>
      </c>
      <c r="H1377" s="1">
        <v>0</v>
      </c>
      <c r="I1377" s="1" t="s">
        <v>157</v>
      </c>
      <c r="L1377" s="1" t="s">
        <v>158</v>
      </c>
      <c r="M1377" s="1" t="s">
        <v>111</v>
      </c>
      <c r="N1377" s="1">
        <v>0</v>
      </c>
      <c r="O1377" s="1">
        <v>0</v>
      </c>
      <c r="R1377" s="1" t="s">
        <v>7971</v>
      </c>
      <c r="S1377" s="1" t="s">
        <v>7302</v>
      </c>
      <c r="T1377" s="1">
        <v>1</v>
      </c>
      <c r="U1377" s="1">
        <v>1</v>
      </c>
      <c r="V1377" s="1">
        <v>1</v>
      </c>
      <c r="W1377" s="1">
        <v>0</v>
      </c>
      <c r="X1377" s="1">
        <v>0</v>
      </c>
      <c r="Y1377" s="1">
        <v>7</v>
      </c>
      <c r="Z1377" s="1">
        <v>7</v>
      </c>
      <c r="AA1377" s="1" t="s">
        <v>104</v>
      </c>
      <c r="AB1377" s="1" t="s">
        <v>104</v>
      </c>
      <c r="AC1377" s="1" t="s">
        <v>104</v>
      </c>
      <c r="AD1377" s="1" t="s">
        <v>104</v>
      </c>
      <c r="AE1377" s="1" t="s">
        <v>104</v>
      </c>
      <c r="AF1377" s="1">
        <v>6</v>
      </c>
      <c r="AG1377" s="1">
        <v>6</v>
      </c>
      <c r="AH1377" s="1">
        <v>7</v>
      </c>
      <c r="AI1377" s="1" t="s">
        <v>104</v>
      </c>
      <c r="AJ1377" s="1" t="s">
        <v>104</v>
      </c>
      <c r="AK1377" s="1" t="s">
        <v>104</v>
      </c>
      <c r="AL1377" s="1">
        <v>6</v>
      </c>
      <c r="AM1377" s="1" t="s">
        <v>104</v>
      </c>
      <c r="AO1377" s="1">
        <v>7</v>
      </c>
      <c r="AQ1377" s="1" t="s">
        <v>7972</v>
      </c>
      <c r="AR1377" s="1">
        <v>0</v>
      </c>
      <c r="AS1377" s="1">
        <v>0</v>
      </c>
      <c r="AT1377" s="1">
        <v>0</v>
      </c>
      <c r="AU1377" s="1">
        <v>0</v>
      </c>
      <c r="AV1377" s="1">
        <v>0</v>
      </c>
      <c r="AW1377" s="1">
        <v>0</v>
      </c>
      <c r="AX1377" s="1">
        <v>0</v>
      </c>
      <c r="AY1377" s="1">
        <v>0</v>
      </c>
      <c r="AZ1377" s="1">
        <v>0</v>
      </c>
      <c r="BA1377" s="1">
        <v>0</v>
      </c>
      <c r="BB1377" s="1">
        <v>0</v>
      </c>
      <c r="BC1377" s="1">
        <v>0</v>
      </c>
      <c r="BD1377" s="1">
        <v>0</v>
      </c>
      <c r="BE1377" s="1">
        <v>0</v>
      </c>
      <c r="BF1377" s="1">
        <v>0</v>
      </c>
      <c r="BG1377" s="1">
        <v>0</v>
      </c>
      <c r="BH1377" s="1">
        <v>0</v>
      </c>
      <c r="BI1377" s="1">
        <v>0</v>
      </c>
      <c r="BJ1377" s="1">
        <v>0</v>
      </c>
      <c r="BK1377" s="1">
        <v>0</v>
      </c>
      <c r="BL1377" s="1">
        <v>0</v>
      </c>
      <c r="BM1377" s="1">
        <v>0</v>
      </c>
      <c r="BN1377" s="1">
        <v>0</v>
      </c>
      <c r="BO1377" s="1">
        <v>0</v>
      </c>
      <c r="BP1377" s="1">
        <v>0</v>
      </c>
      <c r="BQ1377" s="2" t="str">
        <f>HYPERLINK("http://www.d20pfsrd.com/magic/all-spells/w/walk-through-space","Walk through Space")</f>
        <v>Walk through Space</v>
      </c>
      <c r="BR1377" s="1">
        <v>1431</v>
      </c>
      <c r="BS1377" s="1" t="s">
        <v>104</v>
      </c>
      <c r="BX1377" s="1">
        <v>0</v>
      </c>
      <c r="BY1377" s="1" t="s">
        <v>104</v>
      </c>
      <c r="BZ1377" s="1" t="s">
        <v>104</v>
      </c>
      <c r="CA1377" s="1">
        <v>7</v>
      </c>
      <c r="CB1377" s="1" t="s">
        <v>104</v>
      </c>
      <c r="CC1377" s="1" t="s">
        <v>104</v>
      </c>
      <c r="CD1377" s="1" t="s">
        <v>104</v>
      </c>
      <c r="CE1377" s="1" t="s">
        <v>104</v>
      </c>
      <c r="CF1377" s="1" t="s">
        <v>104</v>
      </c>
      <c r="CG1377" s="1" t="s">
        <v>104</v>
      </c>
      <c r="CH1377" s="1" t="s">
        <v>104</v>
      </c>
      <c r="CJ1377" s="1">
        <v>0</v>
      </c>
      <c r="CK1377" s="1">
        <v>0</v>
      </c>
      <c r="CL1377" s="1">
        <v>0</v>
      </c>
      <c r="CM1377" s="1">
        <v>6</v>
      </c>
    </row>
    <row r="1378" spans="1:91" ht="14.25" customHeight="1" x14ac:dyDescent="0.3">
      <c r="A1378" s="1" t="s">
        <v>7973</v>
      </c>
      <c r="B1378" s="1" t="s">
        <v>162</v>
      </c>
      <c r="E1378" s="1" t="s">
        <v>7974</v>
      </c>
      <c r="F1378" s="1" t="s">
        <v>95</v>
      </c>
      <c r="G1378" s="1" t="s">
        <v>7975</v>
      </c>
      <c r="H1378" s="1">
        <v>0</v>
      </c>
      <c r="I1378" s="1" t="s">
        <v>157</v>
      </c>
      <c r="L1378" s="1" t="s">
        <v>158</v>
      </c>
      <c r="M1378" s="1" t="s">
        <v>111</v>
      </c>
      <c r="N1378" s="1">
        <v>0</v>
      </c>
      <c r="O1378" s="1">
        <v>0</v>
      </c>
      <c r="R1378" s="1" t="s">
        <v>7976</v>
      </c>
      <c r="S1378" s="1" t="s">
        <v>7302</v>
      </c>
      <c r="T1378" s="1">
        <v>1</v>
      </c>
      <c r="U1378" s="1">
        <v>1</v>
      </c>
      <c r="V1378" s="1">
        <v>0</v>
      </c>
      <c r="W1378" s="1">
        <v>0</v>
      </c>
      <c r="X1378" s="1">
        <v>0</v>
      </c>
      <c r="Y1378" s="1">
        <v>2</v>
      </c>
      <c r="Z1378" s="1">
        <v>2</v>
      </c>
      <c r="AA1378" s="1" t="s">
        <v>104</v>
      </c>
      <c r="AB1378" s="1" t="s">
        <v>104</v>
      </c>
      <c r="AC1378" s="1" t="s">
        <v>104</v>
      </c>
      <c r="AD1378" s="1" t="s">
        <v>104</v>
      </c>
      <c r="AE1378" s="1" t="s">
        <v>104</v>
      </c>
      <c r="AF1378" s="1" t="s">
        <v>104</v>
      </c>
      <c r="AG1378" s="1">
        <v>2</v>
      </c>
      <c r="AH1378" s="1" t="s">
        <v>104</v>
      </c>
      <c r="AI1378" s="1" t="s">
        <v>104</v>
      </c>
      <c r="AJ1378" s="1" t="s">
        <v>104</v>
      </c>
      <c r="AK1378" s="1" t="s">
        <v>104</v>
      </c>
      <c r="AL1378" s="1">
        <v>1</v>
      </c>
      <c r="AM1378" s="1" t="s">
        <v>104</v>
      </c>
      <c r="AO1378" s="1">
        <v>2</v>
      </c>
      <c r="AP1378" s="1" t="s">
        <v>7977</v>
      </c>
      <c r="AQ1378" s="1" t="s">
        <v>7978</v>
      </c>
      <c r="AR1378" s="1">
        <v>0</v>
      </c>
      <c r="AS1378" s="1">
        <v>0</v>
      </c>
      <c r="AT1378" s="1">
        <v>0</v>
      </c>
      <c r="AU1378" s="1">
        <v>0</v>
      </c>
      <c r="AV1378" s="1">
        <v>0</v>
      </c>
      <c r="AW1378" s="1">
        <v>0</v>
      </c>
      <c r="AX1378" s="1">
        <v>0</v>
      </c>
      <c r="AY1378" s="1">
        <v>0</v>
      </c>
      <c r="AZ1378" s="1">
        <v>0</v>
      </c>
      <c r="BA1378" s="1">
        <v>0</v>
      </c>
      <c r="BB1378" s="1">
        <v>0</v>
      </c>
      <c r="BC1378" s="1">
        <v>0</v>
      </c>
      <c r="BD1378" s="1">
        <v>0</v>
      </c>
      <c r="BE1378" s="1">
        <v>0</v>
      </c>
      <c r="BF1378" s="1">
        <v>0</v>
      </c>
      <c r="BG1378" s="1">
        <v>0</v>
      </c>
      <c r="BH1378" s="1">
        <v>0</v>
      </c>
      <c r="BI1378" s="1">
        <v>0</v>
      </c>
      <c r="BJ1378" s="1">
        <v>0</v>
      </c>
      <c r="BK1378" s="1">
        <v>0</v>
      </c>
      <c r="BL1378" s="1">
        <v>0</v>
      </c>
      <c r="BM1378" s="1">
        <v>0</v>
      </c>
      <c r="BN1378" s="1">
        <v>0</v>
      </c>
      <c r="BO1378" s="1">
        <v>0</v>
      </c>
      <c r="BP1378" s="1">
        <v>0</v>
      </c>
      <c r="BQ1378" s="2" t="str">
        <f>HYPERLINK("http://www.d20pfsrd.com/magic/all-spells/w/warding-weapon","Warding Weapon")</f>
        <v>Warding Weapon</v>
      </c>
      <c r="BR1378" s="1">
        <v>1432</v>
      </c>
      <c r="BS1378" s="1" t="s">
        <v>104</v>
      </c>
      <c r="BX1378" s="1">
        <v>0</v>
      </c>
      <c r="BY1378" s="1">
        <v>1</v>
      </c>
      <c r="BZ1378" s="1" t="s">
        <v>104</v>
      </c>
      <c r="CA1378" s="1">
        <v>2</v>
      </c>
      <c r="CB1378" s="1" t="s">
        <v>104</v>
      </c>
      <c r="CC1378" s="1" t="s">
        <v>104</v>
      </c>
      <c r="CD1378" s="1">
        <v>1</v>
      </c>
      <c r="CE1378" s="1" t="s">
        <v>104</v>
      </c>
      <c r="CF1378" s="1" t="s">
        <v>104</v>
      </c>
      <c r="CG1378" s="1" t="s">
        <v>104</v>
      </c>
      <c r="CH1378" s="1" t="s">
        <v>104</v>
      </c>
      <c r="CJ1378" s="1">
        <v>0</v>
      </c>
      <c r="CK1378" s="1">
        <v>0</v>
      </c>
      <c r="CL1378" s="1">
        <v>0</v>
      </c>
      <c r="CM1378" s="1">
        <v>2</v>
      </c>
    </row>
    <row r="1379" spans="1:91" ht="14.25" customHeight="1" x14ac:dyDescent="0.3">
      <c r="A1379" s="1" t="s">
        <v>7979</v>
      </c>
      <c r="B1379" s="1" t="s">
        <v>137</v>
      </c>
      <c r="D1379" s="1" t="s">
        <v>67</v>
      </c>
      <c r="E1379" s="1" t="s">
        <v>7980</v>
      </c>
      <c r="F1379" s="1" t="s">
        <v>95</v>
      </c>
      <c r="G1379" s="1" t="s">
        <v>127</v>
      </c>
      <c r="H1379" s="1">
        <v>0</v>
      </c>
      <c r="I1379" s="1" t="s">
        <v>128</v>
      </c>
      <c r="L1379" s="1" t="s">
        <v>7332</v>
      </c>
      <c r="M1379" s="1" t="s">
        <v>265</v>
      </c>
      <c r="N1379" s="1">
        <v>1</v>
      </c>
      <c r="O1379" s="1">
        <v>0</v>
      </c>
      <c r="P1379" s="1" t="s">
        <v>375</v>
      </c>
      <c r="Q1379" s="1" t="s">
        <v>131</v>
      </c>
      <c r="R1379" s="1" t="s">
        <v>7981</v>
      </c>
      <c r="S1379" s="1" t="s">
        <v>7302</v>
      </c>
      <c r="T1379" s="1">
        <v>1</v>
      </c>
      <c r="U1379" s="1">
        <v>1</v>
      </c>
      <c r="V1379" s="1">
        <v>0</v>
      </c>
      <c r="W1379" s="1">
        <v>0</v>
      </c>
      <c r="X1379" s="1">
        <v>1</v>
      </c>
      <c r="Y1379" s="1" t="s">
        <v>104</v>
      </c>
      <c r="Z1379" s="1" t="s">
        <v>104</v>
      </c>
      <c r="AA1379" s="1">
        <v>2</v>
      </c>
      <c r="AB1379" s="1" t="s">
        <v>104</v>
      </c>
      <c r="AC1379" s="1">
        <v>2</v>
      </c>
      <c r="AD1379" s="1" t="s">
        <v>104</v>
      </c>
      <c r="AE1379" s="1" t="s">
        <v>104</v>
      </c>
      <c r="AF1379" s="1" t="s">
        <v>104</v>
      </c>
      <c r="AG1379" s="1" t="s">
        <v>104</v>
      </c>
      <c r="AH1379" s="1" t="s">
        <v>104</v>
      </c>
      <c r="AI1379" s="1" t="s">
        <v>104</v>
      </c>
      <c r="AJ1379" s="1">
        <v>2</v>
      </c>
      <c r="AK1379" s="1" t="s">
        <v>104</v>
      </c>
      <c r="AL1379" s="1" t="s">
        <v>104</v>
      </c>
      <c r="AM1379" s="1" t="s">
        <v>104</v>
      </c>
      <c r="AO1379" s="1">
        <v>2</v>
      </c>
      <c r="AQ1379" s="1" t="s">
        <v>7982</v>
      </c>
      <c r="AR1379" s="1">
        <v>0</v>
      </c>
      <c r="AS1379" s="1">
        <v>0</v>
      </c>
      <c r="AT1379" s="1">
        <v>0</v>
      </c>
      <c r="AU1379" s="1">
        <v>0</v>
      </c>
      <c r="AV1379" s="1">
        <v>0</v>
      </c>
      <c r="AW1379" s="1">
        <v>0</v>
      </c>
      <c r="AX1379" s="1">
        <v>0</v>
      </c>
      <c r="AY1379" s="1">
        <v>0</v>
      </c>
      <c r="AZ1379" s="1">
        <v>0</v>
      </c>
      <c r="BA1379" s="1">
        <v>0</v>
      </c>
      <c r="BB1379" s="1">
        <v>0</v>
      </c>
      <c r="BC1379" s="1">
        <v>0</v>
      </c>
      <c r="BD1379" s="1">
        <v>0</v>
      </c>
      <c r="BE1379" s="1">
        <v>0</v>
      </c>
      <c r="BF1379" s="1">
        <v>0</v>
      </c>
      <c r="BG1379" s="1">
        <v>0</v>
      </c>
      <c r="BH1379" s="1">
        <v>0</v>
      </c>
      <c r="BI1379" s="1">
        <v>0</v>
      </c>
      <c r="BJ1379" s="1">
        <v>0</v>
      </c>
      <c r="BK1379" s="1">
        <v>0</v>
      </c>
      <c r="BL1379" s="1">
        <v>0</v>
      </c>
      <c r="BM1379" s="1">
        <v>0</v>
      </c>
      <c r="BN1379" s="1">
        <v>0</v>
      </c>
      <c r="BO1379" s="1">
        <v>0</v>
      </c>
      <c r="BP1379" s="1">
        <v>1</v>
      </c>
      <c r="BQ1379" s="2" t="str">
        <f>HYPERLINK("http://www.d20pfsrd.com/magic/all-spells/w/water-walk#TOC-Water-Walk-Communal","Water Walk, Communal")</f>
        <v>Water Walk, Communal</v>
      </c>
      <c r="BR1379" s="1">
        <v>1433</v>
      </c>
      <c r="BS1379" s="1" t="s">
        <v>104</v>
      </c>
      <c r="BX1379" s="1">
        <v>0</v>
      </c>
      <c r="BY1379" s="1" t="s">
        <v>104</v>
      </c>
      <c r="BZ1379" s="1" t="s">
        <v>104</v>
      </c>
      <c r="CA1379" s="1">
        <v>4</v>
      </c>
      <c r="CB1379" s="1" t="s">
        <v>104</v>
      </c>
      <c r="CC1379" s="1" t="s">
        <v>104</v>
      </c>
      <c r="CD1379" s="1" t="s">
        <v>104</v>
      </c>
      <c r="CE1379" s="1" t="s">
        <v>104</v>
      </c>
      <c r="CF1379" s="1" t="s">
        <v>104</v>
      </c>
      <c r="CG1379" s="1" t="s">
        <v>104</v>
      </c>
      <c r="CH1379" s="1">
        <v>2</v>
      </c>
      <c r="CJ1379" s="1">
        <v>0</v>
      </c>
      <c r="CK1379" s="1">
        <v>0</v>
      </c>
      <c r="CL1379" s="1">
        <v>0</v>
      </c>
      <c r="CM1379" s="1" t="s">
        <v>104</v>
      </c>
    </row>
    <row r="1380" spans="1:91" ht="14.25" customHeight="1" x14ac:dyDescent="0.3">
      <c r="A1380" s="1" t="s">
        <v>7983</v>
      </c>
      <c r="B1380" s="1" t="s">
        <v>137</v>
      </c>
      <c r="E1380" s="1" t="s">
        <v>7412</v>
      </c>
      <c r="F1380" s="1" t="s">
        <v>95</v>
      </c>
      <c r="G1380" s="1" t="s">
        <v>7984</v>
      </c>
      <c r="H1380" s="1">
        <v>0</v>
      </c>
      <c r="I1380" s="1" t="s">
        <v>117</v>
      </c>
      <c r="L1380" s="1" t="s">
        <v>7414</v>
      </c>
      <c r="M1380" s="1" t="s">
        <v>119</v>
      </c>
      <c r="N1380" s="1">
        <v>0</v>
      </c>
      <c r="O1380" s="1">
        <v>0</v>
      </c>
      <c r="P1380" s="1" t="s">
        <v>471</v>
      </c>
      <c r="Q1380" s="1" t="s">
        <v>472</v>
      </c>
      <c r="R1380" s="1" t="s">
        <v>7985</v>
      </c>
      <c r="S1380" s="1" t="s">
        <v>7302</v>
      </c>
      <c r="T1380" s="1">
        <v>1</v>
      </c>
      <c r="U1380" s="1">
        <v>1</v>
      </c>
      <c r="V1380" s="1">
        <v>1</v>
      </c>
      <c r="W1380" s="1">
        <v>0</v>
      </c>
      <c r="X1380" s="1">
        <v>1</v>
      </c>
      <c r="Y1380" s="1">
        <v>1</v>
      </c>
      <c r="Z1380" s="1">
        <v>1</v>
      </c>
      <c r="AA1380" s="1" t="s">
        <v>104</v>
      </c>
      <c r="AB1380" s="1">
        <v>1</v>
      </c>
      <c r="AC1380" s="1" t="s">
        <v>104</v>
      </c>
      <c r="AD1380" s="1" t="s">
        <v>104</v>
      </c>
      <c r="AE1380" s="1" t="s">
        <v>104</v>
      </c>
      <c r="AF1380" s="1" t="s">
        <v>104</v>
      </c>
      <c r="AG1380" s="1" t="s">
        <v>104</v>
      </c>
      <c r="AH1380" s="1">
        <v>1</v>
      </c>
      <c r="AI1380" s="1" t="s">
        <v>104</v>
      </c>
      <c r="AJ1380" s="1" t="s">
        <v>104</v>
      </c>
      <c r="AK1380" s="1" t="s">
        <v>104</v>
      </c>
      <c r="AL1380" s="1" t="s">
        <v>104</v>
      </c>
      <c r="AM1380" s="1" t="s">
        <v>104</v>
      </c>
      <c r="AO1380" s="1">
        <v>1</v>
      </c>
      <c r="AQ1380" s="1" t="s">
        <v>7986</v>
      </c>
      <c r="AR1380" s="1">
        <v>0</v>
      </c>
      <c r="AS1380" s="1">
        <v>0</v>
      </c>
      <c r="AT1380" s="1">
        <v>0</v>
      </c>
      <c r="AU1380" s="1">
        <v>0</v>
      </c>
      <c r="AV1380" s="1">
        <v>0</v>
      </c>
      <c r="AW1380" s="1">
        <v>0</v>
      </c>
      <c r="AX1380" s="1">
        <v>0</v>
      </c>
      <c r="AY1380" s="1">
        <v>0</v>
      </c>
      <c r="AZ1380" s="1">
        <v>0</v>
      </c>
      <c r="BA1380" s="1">
        <v>0</v>
      </c>
      <c r="BB1380" s="1">
        <v>0</v>
      </c>
      <c r="BC1380" s="1">
        <v>0</v>
      </c>
      <c r="BD1380" s="1">
        <v>0</v>
      </c>
      <c r="BE1380" s="1">
        <v>0</v>
      </c>
      <c r="BF1380" s="1">
        <v>0</v>
      </c>
      <c r="BG1380" s="1">
        <v>0</v>
      </c>
      <c r="BH1380" s="1">
        <v>0</v>
      </c>
      <c r="BI1380" s="1">
        <v>0</v>
      </c>
      <c r="BJ1380" s="1">
        <v>0</v>
      </c>
      <c r="BK1380" s="1">
        <v>0</v>
      </c>
      <c r="BL1380" s="1">
        <v>0</v>
      </c>
      <c r="BM1380" s="1">
        <v>0</v>
      </c>
      <c r="BN1380" s="1">
        <v>0</v>
      </c>
      <c r="BO1380" s="1">
        <v>0</v>
      </c>
      <c r="BP1380" s="1">
        <v>0</v>
      </c>
      <c r="BQ1380" s="2" t="str">
        <f>HYPERLINK("http://www.d20pfsrd.com/magic/all-spells/w/weaken-powder","Weaken Powder")</f>
        <v>Weaken Powder</v>
      </c>
      <c r="BR1380" s="1">
        <v>1434</v>
      </c>
      <c r="BS1380" s="1" t="s">
        <v>104</v>
      </c>
      <c r="BX1380" s="1">
        <v>0</v>
      </c>
      <c r="BY1380" s="1" t="s">
        <v>104</v>
      </c>
      <c r="BZ1380" s="1" t="s">
        <v>104</v>
      </c>
      <c r="CA1380" s="1" t="s">
        <v>104</v>
      </c>
      <c r="CB1380" s="1" t="s">
        <v>104</v>
      </c>
      <c r="CC1380" s="1" t="s">
        <v>104</v>
      </c>
      <c r="CD1380" s="1" t="s">
        <v>104</v>
      </c>
      <c r="CE1380" s="1" t="s">
        <v>104</v>
      </c>
      <c r="CF1380" s="1" t="s">
        <v>104</v>
      </c>
      <c r="CG1380" s="1" t="s">
        <v>104</v>
      </c>
      <c r="CH1380" s="1">
        <v>1</v>
      </c>
      <c r="CJ1380" s="1">
        <v>0</v>
      </c>
      <c r="CK1380" s="1">
        <v>0</v>
      </c>
      <c r="CL1380" s="1">
        <v>0</v>
      </c>
      <c r="CM1380" s="1" t="s">
        <v>104</v>
      </c>
    </row>
    <row r="1381" spans="1:91" ht="14.25" customHeight="1" x14ac:dyDescent="0.3">
      <c r="A1381" s="1" t="s">
        <v>7987</v>
      </c>
      <c r="B1381" s="1" t="s">
        <v>137</v>
      </c>
      <c r="E1381" s="1" t="s">
        <v>3695</v>
      </c>
      <c r="F1381" s="1" t="s">
        <v>95</v>
      </c>
      <c r="G1381" s="1" t="s">
        <v>116</v>
      </c>
      <c r="H1381" s="1">
        <v>0</v>
      </c>
      <c r="I1381" s="1" t="s">
        <v>914</v>
      </c>
      <c r="J1381" s="1" t="s">
        <v>7988</v>
      </c>
      <c r="M1381" s="1" t="s">
        <v>111</v>
      </c>
      <c r="N1381" s="1">
        <v>0</v>
      </c>
      <c r="O1381" s="1">
        <v>0</v>
      </c>
      <c r="P1381" s="1" t="s">
        <v>100</v>
      </c>
      <c r="Q1381" s="1" t="s">
        <v>101</v>
      </c>
      <c r="R1381" s="1" t="s">
        <v>7989</v>
      </c>
      <c r="S1381" s="1" t="s">
        <v>7302</v>
      </c>
      <c r="T1381" s="1">
        <v>1</v>
      </c>
      <c r="U1381" s="1">
        <v>1</v>
      </c>
      <c r="V1381" s="1">
        <v>0</v>
      </c>
      <c r="W1381" s="1">
        <v>0</v>
      </c>
      <c r="X1381" s="1">
        <v>0</v>
      </c>
      <c r="Y1381" s="1" t="s">
        <v>104</v>
      </c>
      <c r="Z1381" s="1" t="s">
        <v>104</v>
      </c>
      <c r="AA1381" s="1" t="s">
        <v>104</v>
      </c>
      <c r="AB1381" s="1">
        <v>2</v>
      </c>
      <c r="AC1381" s="1">
        <v>2</v>
      </c>
      <c r="AD1381" s="1" t="s">
        <v>104</v>
      </c>
      <c r="AE1381" s="1" t="s">
        <v>104</v>
      </c>
      <c r="AF1381" s="1" t="s">
        <v>104</v>
      </c>
      <c r="AG1381" s="1" t="s">
        <v>104</v>
      </c>
      <c r="AH1381" s="1" t="s">
        <v>104</v>
      </c>
      <c r="AI1381" s="1" t="s">
        <v>104</v>
      </c>
      <c r="AJ1381" s="1" t="s">
        <v>104</v>
      </c>
      <c r="AK1381" s="1" t="s">
        <v>104</v>
      </c>
      <c r="AL1381" s="1" t="s">
        <v>104</v>
      </c>
      <c r="AM1381" s="1" t="s">
        <v>104</v>
      </c>
      <c r="AO1381" s="1">
        <v>2</v>
      </c>
      <c r="AQ1381" s="1" t="s">
        <v>7990</v>
      </c>
      <c r="AR1381" s="1">
        <v>0</v>
      </c>
      <c r="AS1381" s="1">
        <v>0</v>
      </c>
      <c r="AT1381" s="1">
        <v>0</v>
      </c>
      <c r="AU1381" s="1">
        <v>0</v>
      </c>
      <c r="AV1381" s="1">
        <v>0</v>
      </c>
      <c r="AW1381" s="1">
        <v>0</v>
      </c>
      <c r="AX1381" s="1">
        <v>0</v>
      </c>
      <c r="AY1381" s="1">
        <v>0</v>
      </c>
      <c r="AZ1381" s="1">
        <v>0</v>
      </c>
      <c r="BA1381" s="1">
        <v>0</v>
      </c>
      <c r="BB1381" s="1">
        <v>0</v>
      </c>
      <c r="BC1381" s="1">
        <v>0</v>
      </c>
      <c r="BD1381" s="1">
        <v>0</v>
      </c>
      <c r="BE1381" s="1">
        <v>0</v>
      </c>
      <c r="BF1381" s="1">
        <v>0</v>
      </c>
      <c r="BG1381" s="1">
        <v>0</v>
      </c>
      <c r="BH1381" s="1">
        <v>0</v>
      </c>
      <c r="BI1381" s="1">
        <v>0</v>
      </c>
      <c r="BJ1381" s="1">
        <v>0</v>
      </c>
      <c r="BK1381" s="1">
        <v>0</v>
      </c>
      <c r="BL1381" s="1">
        <v>0</v>
      </c>
      <c r="BM1381" s="1">
        <v>0</v>
      </c>
      <c r="BN1381" s="1">
        <v>0</v>
      </c>
      <c r="BO1381" s="1">
        <v>0</v>
      </c>
      <c r="BP1381" s="1">
        <v>0</v>
      </c>
      <c r="BQ1381" s="2" t="str">
        <f>HYPERLINK("http://www.d20pfsrd.com/magic/all-spells/w/wilderness-soldiers","Wilderness Soldiers")</f>
        <v>Wilderness Soldiers</v>
      </c>
      <c r="BR1381" s="1">
        <v>1435</v>
      </c>
      <c r="BS1381" s="1" t="s">
        <v>104</v>
      </c>
      <c r="BX1381" s="1">
        <v>0</v>
      </c>
      <c r="BY1381" s="1" t="s">
        <v>104</v>
      </c>
      <c r="BZ1381" s="1" t="s">
        <v>104</v>
      </c>
      <c r="CA1381" s="1" t="s">
        <v>104</v>
      </c>
      <c r="CB1381" s="1" t="s">
        <v>104</v>
      </c>
      <c r="CC1381" s="1" t="s">
        <v>104</v>
      </c>
      <c r="CD1381" s="1" t="s">
        <v>104</v>
      </c>
      <c r="CE1381" s="1" t="s">
        <v>104</v>
      </c>
      <c r="CF1381" s="1" t="s">
        <v>104</v>
      </c>
      <c r="CG1381" s="1" t="s">
        <v>104</v>
      </c>
      <c r="CH1381" s="1">
        <v>2</v>
      </c>
      <c r="CJ1381" s="1">
        <v>0</v>
      </c>
      <c r="CK1381" s="1">
        <v>0</v>
      </c>
      <c r="CL1381" s="1">
        <v>0</v>
      </c>
      <c r="CM1381" s="1" t="s">
        <v>104</v>
      </c>
    </row>
    <row r="1382" spans="1:91" ht="14.25" customHeight="1" x14ac:dyDescent="0.3">
      <c r="A1382" s="1" t="s">
        <v>7991</v>
      </c>
      <c r="B1382" s="1" t="s">
        <v>162</v>
      </c>
      <c r="E1382" s="1" t="s">
        <v>7992</v>
      </c>
      <c r="F1382" s="1" t="s">
        <v>95</v>
      </c>
      <c r="G1382" s="1" t="s">
        <v>7993</v>
      </c>
      <c r="H1382" s="1">
        <v>1</v>
      </c>
      <c r="I1382" s="1" t="s">
        <v>157</v>
      </c>
      <c r="J1382" s="1" t="s">
        <v>7994</v>
      </c>
      <c r="L1382" s="1" t="s">
        <v>158</v>
      </c>
      <c r="M1382" s="1" t="s">
        <v>111</v>
      </c>
      <c r="N1382" s="1">
        <v>0</v>
      </c>
      <c r="O1382" s="1">
        <v>0</v>
      </c>
      <c r="P1382" s="1" t="s">
        <v>7995</v>
      </c>
      <c r="Q1382" s="1" t="s">
        <v>7996</v>
      </c>
      <c r="R1382" s="1" t="s">
        <v>7997</v>
      </c>
      <c r="S1382" s="1" t="s">
        <v>7302</v>
      </c>
      <c r="T1382" s="1">
        <v>1</v>
      </c>
      <c r="U1382" s="1">
        <v>1</v>
      </c>
      <c r="V1382" s="1">
        <v>0</v>
      </c>
      <c r="W1382" s="1">
        <v>0</v>
      </c>
      <c r="X1382" s="1">
        <v>0</v>
      </c>
      <c r="Y1382" s="1">
        <v>5</v>
      </c>
      <c r="Z1382" s="1">
        <v>5</v>
      </c>
      <c r="AA1382" s="1" t="s">
        <v>104</v>
      </c>
      <c r="AB1382" s="1" t="s">
        <v>104</v>
      </c>
      <c r="AC1382" s="1" t="s">
        <v>104</v>
      </c>
      <c r="AD1382" s="1" t="s">
        <v>104</v>
      </c>
      <c r="AE1382" s="1" t="s">
        <v>104</v>
      </c>
      <c r="AF1382" s="1" t="s">
        <v>104</v>
      </c>
      <c r="AG1382" s="1">
        <v>5</v>
      </c>
      <c r="AH1382" s="1">
        <v>5</v>
      </c>
      <c r="AI1382" s="1" t="s">
        <v>104</v>
      </c>
      <c r="AJ1382" s="1" t="s">
        <v>104</v>
      </c>
      <c r="AK1382" s="1" t="s">
        <v>104</v>
      </c>
      <c r="AL1382" s="1">
        <v>4</v>
      </c>
      <c r="AM1382" s="1" t="s">
        <v>104</v>
      </c>
      <c r="AO1382" s="1">
        <v>5</v>
      </c>
      <c r="AQ1382" s="1" t="s">
        <v>7998</v>
      </c>
      <c r="AR1382" s="1">
        <v>0</v>
      </c>
      <c r="AS1382" s="1">
        <v>0</v>
      </c>
      <c r="AT1382" s="1">
        <v>0</v>
      </c>
      <c r="AU1382" s="1">
        <v>0</v>
      </c>
      <c r="AV1382" s="1">
        <v>0</v>
      </c>
      <c r="AW1382" s="1">
        <v>0</v>
      </c>
      <c r="AX1382" s="1">
        <v>0</v>
      </c>
      <c r="AY1382" s="1">
        <v>0</v>
      </c>
      <c r="AZ1382" s="1">
        <v>0</v>
      </c>
      <c r="BA1382" s="1">
        <v>0</v>
      </c>
      <c r="BB1382" s="1">
        <v>0</v>
      </c>
      <c r="BC1382" s="1">
        <v>0</v>
      </c>
      <c r="BD1382" s="1">
        <v>0</v>
      </c>
      <c r="BE1382" s="1">
        <v>0</v>
      </c>
      <c r="BF1382" s="1">
        <v>0</v>
      </c>
      <c r="BG1382" s="1">
        <v>0</v>
      </c>
      <c r="BH1382" s="1">
        <v>0</v>
      </c>
      <c r="BI1382" s="1">
        <v>0</v>
      </c>
      <c r="BJ1382" s="1">
        <v>0</v>
      </c>
      <c r="BK1382" s="1">
        <v>0</v>
      </c>
      <c r="BL1382" s="1">
        <v>0</v>
      </c>
      <c r="BM1382" s="1">
        <v>0</v>
      </c>
      <c r="BN1382" s="1">
        <v>0</v>
      </c>
      <c r="BO1382" s="1">
        <v>0</v>
      </c>
      <c r="BP1382" s="1">
        <v>0</v>
      </c>
      <c r="BQ1382" s="2" t="str">
        <f>HYPERLINK("http://www.d20pfsrd.com/magic/all-spells/w/wreath-of-blades","Wreath of Blades")</f>
        <v>Wreath of Blades</v>
      </c>
      <c r="BR1382" s="1">
        <v>1436</v>
      </c>
      <c r="BS1382" s="1">
        <v>502</v>
      </c>
      <c r="BX1382" s="1">
        <v>0</v>
      </c>
      <c r="BY1382" s="1">
        <v>4</v>
      </c>
      <c r="BZ1382" s="1" t="s">
        <v>104</v>
      </c>
      <c r="CA1382" s="1">
        <v>5</v>
      </c>
      <c r="CB1382" s="1" t="s">
        <v>104</v>
      </c>
      <c r="CC1382" s="1" t="s">
        <v>104</v>
      </c>
      <c r="CD1382" s="1">
        <v>4</v>
      </c>
      <c r="CE1382" s="1" t="s">
        <v>104</v>
      </c>
      <c r="CF1382" s="1" t="s">
        <v>104</v>
      </c>
      <c r="CG1382" s="1" t="s">
        <v>104</v>
      </c>
      <c r="CH1382" s="1" t="s">
        <v>104</v>
      </c>
      <c r="CJ1382" s="1">
        <v>0</v>
      </c>
      <c r="CK1382" s="1">
        <v>0</v>
      </c>
      <c r="CL1382" s="1">
        <v>0</v>
      </c>
      <c r="CM1382" s="1">
        <v>5</v>
      </c>
    </row>
    <row r="1383" spans="1:91" ht="14.25" customHeight="1" x14ac:dyDescent="0.3">
      <c r="A1383" s="1" t="s">
        <v>7999</v>
      </c>
      <c r="B1383" s="1" t="s">
        <v>137</v>
      </c>
      <c r="C1383" s="1" t="s">
        <v>154</v>
      </c>
      <c r="E1383" s="1" t="s">
        <v>8000</v>
      </c>
      <c r="F1383" s="1" t="s">
        <v>95</v>
      </c>
      <c r="G1383" s="1" t="s">
        <v>127</v>
      </c>
      <c r="H1383" s="1">
        <v>0</v>
      </c>
      <c r="I1383" s="1" t="s">
        <v>157</v>
      </c>
      <c r="L1383" s="1" t="s">
        <v>158</v>
      </c>
      <c r="M1383" s="1" t="s">
        <v>2330</v>
      </c>
      <c r="N1383" s="1">
        <v>0</v>
      </c>
      <c r="O1383" s="1">
        <v>0</v>
      </c>
      <c r="R1383" s="1" t="s">
        <v>8001</v>
      </c>
      <c r="S1383" s="1" t="s">
        <v>8002</v>
      </c>
      <c r="T1383" s="1">
        <v>1</v>
      </c>
      <c r="U1383" s="1">
        <v>1</v>
      </c>
      <c r="V1383" s="1">
        <v>0</v>
      </c>
      <c r="W1383" s="1">
        <v>0</v>
      </c>
      <c r="X1383" s="1">
        <v>1</v>
      </c>
      <c r="Y1383" s="1" t="s">
        <v>104</v>
      </c>
      <c r="Z1383" s="1" t="s">
        <v>104</v>
      </c>
      <c r="AA1383" s="1">
        <v>1</v>
      </c>
      <c r="AB1383" s="1">
        <v>1</v>
      </c>
      <c r="AC1383" s="1">
        <v>1</v>
      </c>
      <c r="AD1383" s="1">
        <v>1</v>
      </c>
      <c r="AE1383" s="1">
        <v>1</v>
      </c>
      <c r="AF1383" s="1" t="s">
        <v>104</v>
      </c>
      <c r="AG1383" s="1" t="s">
        <v>104</v>
      </c>
      <c r="AH1383" s="1" t="s">
        <v>104</v>
      </c>
      <c r="AI1383" s="1" t="s">
        <v>104</v>
      </c>
      <c r="AJ1383" s="1">
        <v>1</v>
      </c>
      <c r="AK1383" s="1" t="s">
        <v>104</v>
      </c>
      <c r="AL1383" s="1" t="s">
        <v>104</v>
      </c>
      <c r="AM1383" s="1" t="s">
        <v>104</v>
      </c>
      <c r="AN1383" s="1" t="s">
        <v>5838</v>
      </c>
      <c r="AO1383" s="1">
        <v>1</v>
      </c>
      <c r="AR1383" s="1">
        <v>0</v>
      </c>
      <c r="AS1383" s="1">
        <v>0</v>
      </c>
      <c r="AT1383" s="1">
        <v>0</v>
      </c>
      <c r="AU1383" s="1">
        <v>0</v>
      </c>
      <c r="AV1383" s="1">
        <v>0</v>
      </c>
      <c r="AW1383" s="1">
        <v>0</v>
      </c>
      <c r="AX1383" s="1">
        <v>0</v>
      </c>
      <c r="AY1383" s="1">
        <v>0</v>
      </c>
      <c r="AZ1383" s="1">
        <v>0</v>
      </c>
      <c r="BA1383" s="1">
        <v>0</v>
      </c>
      <c r="BB1383" s="1">
        <v>0</v>
      </c>
      <c r="BC1383" s="1">
        <v>0</v>
      </c>
      <c r="BD1383" s="1">
        <v>0</v>
      </c>
      <c r="BE1383" s="1">
        <v>0</v>
      </c>
      <c r="BF1383" s="1">
        <v>0</v>
      </c>
      <c r="BG1383" s="1">
        <v>0</v>
      </c>
      <c r="BH1383" s="1">
        <v>0</v>
      </c>
      <c r="BI1383" s="1">
        <v>0</v>
      </c>
      <c r="BJ1383" s="1">
        <v>0</v>
      </c>
      <c r="BK1383" s="1">
        <v>0</v>
      </c>
      <c r="BL1383" s="1">
        <v>0</v>
      </c>
      <c r="BM1383" s="1">
        <v>0</v>
      </c>
      <c r="BN1383" s="1">
        <v>0</v>
      </c>
      <c r="BO1383" s="1">
        <v>0</v>
      </c>
      <c r="BP1383" s="1">
        <v>0</v>
      </c>
      <c r="BQ1383" s="1" t="s">
        <v>104</v>
      </c>
      <c r="BR1383" s="1">
        <v>1437</v>
      </c>
      <c r="BS1383" s="1" t="s">
        <v>104</v>
      </c>
      <c r="BX1383" s="1">
        <v>0</v>
      </c>
      <c r="BY1383" s="1" t="s">
        <v>104</v>
      </c>
      <c r="BZ1383" s="1" t="s">
        <v>104</v>
      </c>
      <c r="CA1383" s="1" t="s">
        <v>104</v>
      </c>
      <c r="CB1383" s="1" t="s">
        <v>104</v>
      </c>
      <c r="CC1383" s="1" t="s">
        <v>104</v>
      </c>
      <c r="CD1383" s="1" t="s">
        <v>104</v>
      </c>
      <c r="CE1383" s="1" t="s">
        <v>104</v>
      </c>
      <c r="CF1383" s="1" t="s">
        <v>104</v>
      </c>
      <c r="CG1383" s="1" t="s">
        <v>104</v>
      </c>
      <c r="CH1383" s="1">
        <v>1</v>
      </c>
      <c r="CJ1383" s="1">
        <v>0</v>
      </c>
      <c r="CK1383" s="1">
        <v>0</v>
      </c>
      <c r="CL1383" s="1">
        <v>0</v>
      </c>
      <c r="CM1383" s="1" t="s">
        <v>104</v>
      </c>
    </row>
    <row r="1384" spans="1:91" ht="14.25" customHeight="1" x14ac:dyDescent="0.3">
      <c r="A1384" s="1" t="s">
        <v>8003</v>
      </c>
      <c r="B1384" s="1" t="s">
        <v>216</v>
      </c>
      <c r="C1384" s="1" t="s">
        <v>154</v>
      </c>
      <c r="D1384" s="1" t="s">
        <v>54</v>
      </c>
      <c r="E1384" s="1" t="s">
        <v>8004</v>
      </c>
      <c r="F1384" s="1" t="s">
        <v>255</v>
      </c>
      <c r="G1384" s="1" t="s">
        <v>116</v>
      </c>
      <c r="H1384" s="1">
        <v>0</v>
      </c>
      <c r="I1384" s="1" t="s">
        <v>128</v>
      </c>
      <c r="L1384" s="1" t="s">
        <v>1065</v>
      </c>
      <c r="M1384" s="1" t="s">
        <v>2330</v>
      </c>
      <c r="N1384" s="1">
        <v>0</v>
      </c>
      <c r="O1384" s="1">
        <v>0</v>
      </c>
      <c r="P1384" s="1" t="s">
        <v>211</v>
      </c>
      <c r="Q1384" s="1" t="s">
        <v>184</v>
      </c>
      <c r="R1384" s="1" t="s">
        <v>8005</v>
      </c>
      <c r="S1384" s="1" t="s">
        <v>8006</v>
      </c>
      <c r="T1384" s="1">
        <v>1</v>
      </c>
      <c r="U1384" s="1">
        <v>1</v>
      </c>
      <c r="V1384" s="1">
        <v>0</v>
      </c>
      <c r="W1384" s="1">
        <v>0</v>
      </c>
      <c r="X1384" s="1">
        <v>0</v>
      </c>
      <c r="Y1384" s="1">
        <v>3</v>
      </c>
      <c r="Z1384" s="1">
        <v>3</v>
      </c>
      <c r="AA1384" s="1">
        <v>3</v>
      </c>
      <c r="AB1384" s="1">
        <v>3</v>
      </c>
      <c r="AC1384" s="1" t="s">
        <v>104</v>
      </c>
      <c r="AD1384" s="1" t="s">
        <v>104</v>
      </c>
      <c r="AE1384" s="1" t="s">
        <v>104</v>
      </c>
      <c r="AF1384" s="1" t="s">
        <v>104</v>
      </c>
      <c r="AG1384" s="1" t="s">
        <v>104</v>
      </c>
      <c r="AH1384" s="1">
        <v>3</v>
      </c>
      <c r="AI1384" s="1" t="s">
        <v>104</v>
      </c>
      <c r="AJ1384" s="1">
        <v>3</v>
      </c>
      <c r="AK1384" s="1">
        <v>3</v>
      </c>
      <c r="AL1384" s="1" t="s">
        <v>104</v>
      </c>
      <c r="AM1384" s="1" t="s">
        <v>104</v>
      </c>
      <c r="AN1384" s="1" t="s">
        <v>8007</v>
      </c>
      <c r="AO1384" s="1">
        <v>3</v>
      </c>
      <c r="AR1384" s="1">
        <v>0</v>
      </c>
      <c r="AS1384" s="1">
        <v>0</v>
      </c>
      <c r="AT1384" s="1">
        <v>0</v>
      </c>
      <c r="AU1384" s="1">
        <v>0</v>
      </c>
      <c r="AV1384" s="1">
        <v>0</v>
      </c>
      <c r="AW1384" s="1">
        <v>0</v>
      </c>
      <c r="AX1384" s="1">
        <v>0</v>
      </c>
      <c r="AY1384" s="1">
        <v>0</v>
      </c>
      <c r="AZ1384" s="1">
        <v>0</v>
      </c>
      <c r="BA1384" s="1">
        <v>0</v>
      </c>
      <c r="BB1384" s="1">
        <v>0</v>
      </c>
      <c r="BC1384" s="1">
        <v>1</v>
      </c>
      <c r="BD1384" s="1">
        <v>0</v>
      </c>
      <c r="BE1384" s="1">
        <v>0</v>
      </c>
      <c r="BF1384" s="1">
        <v>0</v>
      </c>
      <c r="BG1384" s="1">
        <v>0</v>
      </c>
      <c r="BH1384" s="1">
        <v>0</v>
      </c>
      <c r="BI1384" s="1">
        <v>0</v>
      </c>
      <c r="BJ1384" s="1">
        <v>0</v>
      </c>
      <c r="BK1384" s="1">
        <v>0</v>
      </c>
      <c r="BL1384" s="1">
        <v>0</v>
      </c>
      <c r="BM1384" s="1">
        <v>0</v>
      </c>
      <c r="BN1384" s="1">
        <v>0</v>
      </c>
      <c r="BO1384" s="1">
        <v>0</v>
      </c>
      <c r="BP1384" s="1">
        <v>0</v>
      </c>
      <c r="BQ1384" s="1" t="s">
        <v>104</v>
      </c>
      <c r="BR1384" s="1">
        <v>1443</v>
      </c>
      <c r="BS1384" s="1" t="s">
        <v>104</v>
      </c>
      <c r="BX1384" s="1">
        <v>0</v>
      </c>
      <c r="BY1384" s="1" t="s">
        <v>104</v>
      </c>
      <c r="BZ1384" s="1" t="s">
        <v>104</v>
      </c>
      <c r="CA1384" s="1" t="s">
        <v>104</v>
      </c>
      <c r="CB1384" s="1" t="s">
        <v>104</v>
      </c>
      <c r="CC1384" s="1" t="s">
        <v>104</v>
      </c>
      <c r="CD1384" s="1" t="s">
        <v>104</v>
      </c>
      <c r="CE1384" s="1" t="s">
        <v>104</v>
      </c>
      <c r="CF1384" s="1" t="s">
        <v>104</v>
      </c>
      <c r="CG1384" s="1" t="s">
        <v>104</v>
      </c>
      <c r="CH1384" s="1">
        <v>3</v>
      </c>
      <c r="CJ1384" s="1">
        <v>0</v>
      </c>
      <c r="CK1384" s="1">
        <v>0</v>
      </c>
      <c r="CL1384" s="1">
        <v>0</v>
      </c>
      <c r="CM1384" s="1" t="s">
        <v>104</v>
      </c>
    </row>
    <row r="1385" spans="1:91" ht="14.25" customHeight="1" x14ac:dyDescent="0.3">
      <c r="A1385" s="1" t="s">
        <v>8008</v>
      </c>
      <c r="B1385" s="1" t="s">
        <v>216</v>
      </c>
      <c r="E1385" s="1" t="s">
        <v>8009</v>
      </c>
      <c r="F1385" s="1" t="s">
        <v>95</v>
      </c>
      <c r="G1385" s="1" t="s">
        <v>8010</v>
      </c>
      <c r="H1385" s="1">
        <v>1</v>
      </c>
      <c r="I1385" s="1" t="s">
        <v>128</v>
      </c>
      <c r="L1385" s="1" t="s">
        <v>129</v>
      </c>
      <c r="M1385" s="1" t="s">
        <v>130</v>
      </c>
      <c r="N1385" s="1">
        <v>0</v>
      </c>
      <c r="O1385" s="1">
        <v>0</v>
      </c>
      <c r="P1385" s="1" t="s">
        <v>375</v>
      </c>
      <c r="Q1385" s="1" t="s">
        <v>131</v>
      </c>
      <c r="R1385" s="1" t="s">
        <v>8011</v>
      </c>
      <c r="S1385" s="1" t="s">
        <v>8012</v>
      </c>
      <c r="T1385" s="1">
        <v>1</v>
      </c>
      <c r="U1385" s="1">
        <v>1</v>
      </c>
      <c r="V1385" s="1">
        <v>1</v>
      </c>
      <c r="W1385" s="1">
        <v>0</v>
      </c>
      <c r="X1385" s="1">
        <v>0</v>
      </c>
      <c r="Y1385" s="1">
        <v>4</v>
      </c>
      <c r="Z1385" s="1">
        <v>4</v>
      </c>
      <c r="AA1385" s="1">
        <v>4</v>
      </c>
      <c r="AB1385" s="1">
        <v>5</v>
      </c>
      <c r="AC1385" s="1" t="s">
        <v>104</v>
      </c>
      <c r="AD1385" s="1" t="s">
        <v>104</v>
      </c>
      <c r="AE1385" s="1">
        <v>4</v>
      </c>
      <c r="AF1385" s="1" t="s">
        <v>104</v>
      </c>
      <c r="AG1385" s="1" t="s">
        <v>104</v>
      </c>
      <c r="AH1385" s="1">
        <v>4</v>
      </c>
      <c r="AI1385" s="1" t="s">
        <v>104</v>
      </c>
      <c r="AJ1385" s="1">
        <v>4</v>
      </c>
      <c r="AK1385" s="1" t="s">
        <v>104</v>
      </c>
      <c r="AL1385" s="1" t="s">
        <v>104</v>
      </c>
      <c r="AM1385" s="1" t="s">
        <v>104</v>
      </c>
      <c r="AO1385" s="1">
        <v>4</v>
      </c>
      <c r="AR1385" s="1">
        <v>0</v>
      </c>
      <c r="AS1385" s="1">
        <v>0</v>
      </c>
      <c r="AT1385" s="1">
        <v>0</v>
      </c>
      <c r="AU1385" s="1">
        <v>0</v>
      </c>
      <c r="AV1385" s="1">
        <v>0</v>
      </c>
      <c r="AW1385" s="1">
        <v>0</v>
      </c>
      <c r="AX1385" s="1">
        <v>0</v>
      </c>
      <c r="AY1385" s="1">
        <v>0</v>
      </c>
      <c r="AZ1385" s="1">
        <v>0</v>
      </c>
      <c r="BA1385" s="1">
        <v>0</v>
      </c>
      <c r="BB1385" s="1">
        <v>0</v>
      </c>
      <c r="BC1385" s="1">
        <v>0</v>
      </c>
      <c r="BD1385" s="1">
        <v>0</v>
      </c>
      <c r="BE1385" s="1">
        <v>0</v>
      </c>
      <c r="BF1385" s="1">
        <v>0</v>
      </c>
      <c r="BG1385" s="1">
        <v>0</v>
      </c>
      <c r="BH1385" s="1">
        <v>0</v>
      </c>
      <c r="BI1385" s="1">
        <v>0</v>
      </c>
      <c r="BJ1385" s="1">
        <v>0</v>
      </c>
      <c r="BK1385" s="1">
        <v>0</v>
      </c>
      <c r="BL1385" s="1">
        <v>0</v>
      </c>
      <c r="BM1385" s="1">
        <v>0</v>
      </c>
      <c r="BN1385" s="1">
        <v>0</v>
      </c>
      <c r="BO1385" s="1">
        <v>0</v>
      </c>
      <c r="BP1385" s="1">
        <v>0</v>
      </c>
      <c r="BQ1385" s="1" t="s">
        <v>104</v>
      </c>
      <c r="BR1385" s="1">
        <v>1448</v>
      </c>
      <c r="BS1385" s="1">
        <v>50</v>
      </c>
      <c r="BX1385" s="1">
        <v>0</v>
      </c>
      <c r="BY1385" s="1" t="s">
        <v>104</v>
      </c>
      <c r="BZ1385" s="1" t="s">
        <v>104</v>
      </c>
      <c r="CA1385" s="1" t="s">
        <v>104</v>
      </c>
      <c r="CB1385" s="1" t="s">
        <v>104</v>
      </c>
      <c r="CC1385" s="1" t="s">
        <v>104</v>
      </c>
      <c r="CD1385" s="1" t="s">
        <v>104</v>
      </c>
      <c r="CE1385" s="1" t="s">
        <v>104</v>
      </c>
      <c r="CF1385" s="1" t="s">
        <v>104</v>
      </c>
      <c r="CG1385" s="1" t="s">
        <v>104</v>
      </c>
      <c r="CH1385" s="1">
        <v>5</v>
      </c>
      <c r="CJ1385" s="1">
        <v>0</v>
      </c>
      <c r="CK1385" s="1">
        <v>0</v>
      </c>
      <c r="CL1385" s="1">
        <v>0</v>
      </c>
      <c r="CM1385" s="1" t="s">
        <v>104</v>
      </c>
    </row>
    <row r="1386" spans="1:91" ht="14.25" customHeight="1" x14ac:dyDescent="0.3">
      <c r="A1386" s="1" t="s">
        <v>8013</v>
      </c>
      <c r="B1386" s="1" t="s">
        <v>216</v>
      </c>
      <c r="D1386" s="1" t="s">
        <v>1015</v>
      </c>
      <c r="E1386" s="1" t="s">
        <v>8014</v>
      </c>
      <c r="F1386" s="1" t="s">
        <v>95</v>
      </c>
      <c r="G1386" s="1" t="s">
        <v>116</v>
      </c>
      <c r="H1386" s="1">
        <v>0</v>
      </c>
      <c r="I1386" s="1" t="s">
        <v>697</v>
      </c>
      <c r="J1386" s="1" t="s">
        <v>8015</v>
      </c>
      <c r="M1386" s="1" t="s">
        <v>426</v>
      </c>
      <c r="N1386" s="1">
        <v>1</v>
      </c>
      <c r="O1386" s="1">
        <v>0</v>
      </c>
      <c r="P1386" s="1" t="s">
        <v>211</v>
      </c>
      <c r="Q1386" s="1" t="s">
        <v>184</v>
      </c>
      <c r="R1386" s="1" t="s">
        <v>8016</v>
      </c>
      <c r="S1386" s="1" t="s">
        <v>8012</v>
      </c>
      <c r="T1386" s="1">
        <v>1</v>
      </c>
      <c r="U1386" s="1">
        <v>1</v>
      </c>
      <c r="V1386" s="1">
        <v>0</v>
      </c>
      <c r="W1386" s="1">
        <v>0</v>
      </c>
      <c r="X1386" s="1">
        <v>0</v>
      </c>
      <c r="Y1386" s="1">
        <v>4</v>
      </c>
      <c r="Z1386" s="1">
        <v>4</v>
      </c>
      <c r="AA1386" s="1">
        <v>4</v>
      </c>
      <c r="AB1386" s="1" t="s">
        <v>104</v>
      </c>
      <c r="AC1386" s="1" t="s">
        <v>104</v>
      </c>
      <c r="AD1386" s="1" t="s">
        <v>104</v>
      </c>
      <c r="AE1386" s="1" t="s">
        <v>104</v>
      </c>
      <c r="AF1386" s="1" t="s">
        <v>104</v>
      </c>
      <c r="AG1386" s="1" t="s">
        <v>104</v>
      </c>
      <c r="AH1386" s="1">
        <v>4</v>
      </c>
      <c r="AI1386" s="1">
        <v>4</v>
      </c>
      <c r="AJ1386" s="1">
        <v>4</v>
      </c>
      <c r="AK1386" s="1" t="s">
        <v>104</v>
      </c>
      <c r="AL1386" s="1" t="s">
        <v>104</v>
      </c>
      <c r="AM1386" s="1" t="s">
        <v>104</v>
      </c>
      <c r="AO1386" s="1">
        <v>4</v>
      </c>
      <c r="AR1386" s="1">
        <v>0</v>
      </c>
      <c r="AS1386" s="1">
        <v>0</v>
      </c>
      <c r="AT1386" s="1">
        <v>0</v>
      </c>
      <c r="AU1386" s="1">
        <v>0</v>
      </c>
      <c r="AV1386" s="1">
        <v>0</v>
      </c>
      <c r="AW1386" s="1">
        <v>0</v>
      </c>
      <c r="AX1386" s="1">
        <v>1</v>
      </c>
      <c r="AY1386" s="1">
        <v>0</v>
      </c>
      <c r="AZ1386" s="1">
        <v>0</v>
      </c>
      <c r="BA1386" s="1">
        <v>0</v>
      </c>
      <c r="BB1386" s="1">
        <v>0</v>
      </c>
      <c r="BC1386" s="1">
        <v>1</v>
      </c>
      <c r="BD1386" s="1">
        <v>0</v>
      </c>
      <c r="BE1386" s="1">
        <v>0</v>
      </c>
      <c r="BF1386" s="1">
        <v>0</v>
      </c>
      <c r="BG1386" s="1">
        <v>0</v>
      </c>
      <c r="BH1386" s="1">
        <v>0</v>
      </c>
      <c r="BI1386" s="1">
        <v>0</v>
      </c>
      <c r="BJ1386" s="1">
        <v>0</v>
      </c>
      <c r="BK1386" s="1">
        <v>0</v>
      </c>
      <c r="BL1386" s="1">
        <v>0</v>
      </c>
      <c r="BM1386" s="1">
        <v>0</v>
      </c>
      <c r="BN1386" s="1">
        <v>0</v>
      </c>
      <c r="BO1386" s="1">
        <v>0</v>
      </c>
      <c r="BP1386" s="1">
        <v>0</v>
      </c>
      <c r="BQ1386" s="1" t="s">
        <v>104</v>
      </c>
      <c r="BR1386" s="1">
        <v>1449</v>
      </c>
      <c r="BS1386" s="1" t="s">
        <v>104</v>
      </c>
      <c r="BX1386" s="1">
        <v>0</v>
      </c>
      <c r="BY1386" s="1" t="s">
        <v>104</v>
      </c>
      <c r="BZ1386" s="1" t="s">
        <v>104</v>
      </c>
      <c r="CA1386" s="1" t="s">
        <v>104</v>
      </c>
      <c r="CB1386" s="1" t="s">
        <v>104</v>
      </c>
      <c r="CC1386" s="1" t="s">
        <v>104</v>
      </c>
      <c r="CD1386" s="1" t="s">
        <v>104</v>
      </c>
      <c r="CE1386" s="1" t="s">
        <v>104</v>
      </c>
      <c r="CF1386" s="1" t="s">
        <v>104</v>
      </c>
      <c r="CG1386" s="1" t="s">
        <v>104</v>
      </c>
      <c r="CH1386" s="1" t="s">
        <v>104</v>
      </c>
      <c r="CJ1386" s="1">
        <v>0</v>
      </c>
      <c r="CK1386" s="1">
        <v>0</v>
      </c>
      <c r="CL1386" s="1">
        <v>0</v>
      </c>
      <c r="CM1386" s="1" t="s">
        <v>104</v>
      </c>
    </row>
    <row r="1387" spans="1:91" ht="14.25" customHeight="1" x14ac:dyDescent="0.3">
      <c r="A1387" s="1" t="s">
        <v>8017</v>
      </c>
      <c r="B1387" s="1" t="s">
        <v>216</v>
      </c>
      <c r="D1387" s="1" t="s">
        <v>1015</v>
      </c>
      <c r="E1387" s="1" t="s">
        <v>8018</v>
      </c>
      <c r="F1387" s="1" t="s">
        <v>95</v>
      </c>
      <c r="G1387" s="1" t="s">
        <v>116</v>
      </c>
      <c r="H1387" s="1">
        <v>0</v>
      </c>
      <c r="I1387" s="1" t="s">
        <v>697</v>
      </c>
      <c r="J1387" s="1" t="s">
        <v>8015</v>
      </c>
      <c r="M1387" s="1" t="s">
        <v>426</v>
      </c>
      <c r="N1387" s="1">
        <v>1</v>
      </c>
      <c r="O1387" s="1">
        <v>0</v>
      </c>
      <c r="P1387" s="1" t="s">
        <v>211</v>
      </c>
      <c r="Q1387" s="1" t="s">
        <v>184</v>
      </c>
      <c r="R1387" s="1" t="s">
        <v>8019</v>
      </c>
      <c r="S1387" s="1" t="s">
        <v>8012</v>
      </c>
      <c r="T1387" s="1">
        <v>1</v>
      </c>
      <c r="U1387" s="1">
        <v>1</v>
      </c>
      <c r="V1387" s="1">
        <v>0</v>
      </c>
      <c r="W1387" s="1">
        <v>0</v>
      </c>
      <c r="X1387" s="1">
        <v>0</v>
      </c>
      <c r="Y1387" s="1">
        <v>6</v>
      </c>
      <c r="Z1387" s="1">
        <v>6</v>
      </c>
      <c r="AA1387" s="1">
        <v>6</v>
      </c>
      <c r="AB1387" s="1" t="s">
        <v>104</v>
      </c>
      <c r="AC1387" s="1" t="s">
        <v>104</v>
      </c>
      <c r="AD1387" s="1" t="s">
        <v>104</v>
      </c>
      <c r="AE1387" s="1" t="s">
        <v>104</v>
      </c>
      <c r="AF1387" s="1" t="s">
        <v>104</v>
      </c>
      <c r="AG1387" s="1" t="s">
        <v>104</v>
      </c>
      <c r="AH1387" s="1">
        <v>6</v>
      </c>
      <c r="AI1387" s="1">
        <v>6</v>
      </c>
      <c r="AJ1387" s="1">
        <v>6</v>
      </c>
      <c r="AK1387" s="1" t="s">
        <v>104</v>
      </c>
      <c r="AL1387" s="1" t="s">
        <v>104</v>
      </c>
      <c r="AM1387" s="1" t="s">
        <v>104</v>
      </c>
      <c r="AO1387" s="1">
        <v>6</v>
      </c>
      <c r="AR1387" s="1">
        <v>0</v>
      </c>
      <c r="AS1387" s="1">
        <v>0</v>
      </c>
      <c r="AT1387" s="1">
        <v>0</v>
      </c>
      <c r="AU1387" s="1">
        <v>0</v>
      </c>
      <c r="AV1387" s="1">
        <v>0</v>
      </c>
      <c r="AW1387" s="1">
        <v>0</v>
      </c>
      <c r="AX1387" s="1">
        <v>1</v>
      </c>
      <c r="AY1387" s="1">
        <v>0</v>
      </c>
      <c r="AZ1387" s="1">
        <v>0</v>
      </c>
      <c r="BA1387" s="1">
        <v>0</v>
      </c>
      <c r="BB1387" s="1">
        <v>0</v>
      </c>
      <c r="BC1387" s="1">
        <v>1</v>
      </c>
      <c r="BD1387" s="1">
        <v>0</v>
      </c>
      <c r="BE1387" s="1">
        <v>0</v>
      </c>
      <c r="BF1387" s="1">
        <v>0</v>
      </c>
      <c r="BG1387" s="1">
        <v>0</v>
      </c>
      <c r="BH1387" s="1">
        <v>0</v>
      </c>
      <c r="BI1387" s="1">
        <v>0</v>
      </c>
      <c r="BJ1387" s="1">
        <v>0</v>
      </c>
      <c r="BK1387" s="1">
        <v>0</v>
      </c>
      <c r="BL1387" s="1">
        <v>0</v>
      </c>
      <c r="BM1387" s="1">
        <v>0</v>
      </c>
      <c r="BN1387" s="1">
        <v>0</v>
      </c>
      <c r="BO1387" s="1">
        <v>0</v>
      </c>
      <c r="BP1387" s="1">
        <v>0</v>
      </c>
      <c r="BQ1387" s="1" t="s">
        <v>104</v>
      </c>
      <c r="BR1387" s="1">
        <v>1450</v>
      </c>
      <c r="BS1387" s="1" t="s">
        <v>104</v>
      </c>
      <c r="BX1387" s="1">
        <v>0</v>
      </c>
      <c r="BY1387" s="1" t="s">
        <v>104</v>
      </c>
      <c r="BZ1387" s="1" t="s">
        <v>104</v>
      </c>
      <c r="CA1387" s="1" t="s">
        <v>104</v>
      </c>
      <c r="CB1387" s="1" t="s">
        <v>104</v>
      </c>
      <c r="CC1387" s="1" t="s">
        <v>104</v>
      </c>
      <c r="CD1387" s="1" t="s">
        <v>104</v>
      </c>
      <c r="CE1387" s="1" t="s">
        <v>104</v>
      </c>
      <c r="CF1387" s="1" t="s">
        <v>104</v>
      </c>
      <c r="CG1387" s="1" t="s">
        <v>104</v>
      </c>
      <c r="CH1387" s="1" t="s">
        <v>104</v>
      </c>
      <c r="CJ1387" s="1">
        <v>0</v>
      </c>
      <c r="CK1387" s="1">
        <v>0</v>
      </c>
      <c r="CL1387" s="1">
        <v>0</v>
      </c>
      <c r="CM1387" s="1" t="s">
        <v>104</v>
      </c>
    </row>
    <row r="1388" spans="1:91" ht="14.25" customHeight="1" x14ac:dyDescent="0.3">
      <c r="A1388" s="1" t="s">
        <v>8020</v>
      </c>
      <c r="B1388" s="1" t="s">
        <v>216</v>
      </c>
      <c r="D1388" s="1" t="s">
        <v>8021</v>
      </c>
      <c r="E1388" s="1" t="s">
        <v>4341</v>
      </c>
      <c r="F1388" s="1" t="s">
        <v>95</v>
      </c>
      <c r="G1388" s="1" t="s">
        <v>116</v>
      </c>
      <c r="H1388" s="1">
        <v>0</v>
      </c>
      <c r="I1388" s="1" t="s">
        <v>109</v>
      </c>
      <c r="J1388" s="1" t="s">
        <v>8022</v>
      </c>
      <c r="M1388" s="1" t="s">
        <v>119</v>
      </c>
      <c r="N1388" s="1">
        <v>0</v>
      </c>
      <c r="O1388" s="1">
        <v>0</v>
      </c>
      <c r="P1388" s="1" t="s">
        <v>2051</v>
      </c>
      <c r="Q1388" s="1" t="s">
        <v>184</v>
      </c>
      <c r="R1388" s="1" t="s">
        <v>8023</v>
      </c>
      <c r="S1388" s="1" t="s">
        <v>8012</v>
      </c>
      <c r="T1388" s="1">
        <v>1</v>
      </c>
      <c r="U1388" s="1">
        <v>1</v>
      </c>
      <c r="V1388" s="1">
        <v>0</v>
      </c>
      <c r="W1388" s="1">
        <v>0</v>
      </c>
      <c r="X1388" s="1">
        <v>0</v>
      </c>
      <c r="Y1388" s="1">
        <v>9</v>
      </c>
      <c r="Z1388" s="1">
        <v>9</v>
      </c>
      <c r="AA1388" s="1">
        <v>9</v>
      </c>
      <c r="AB1388" s="1" t="s">
        <v>104</v>
      </c>
      <c r="AC1388" s="1" t="s">
        <v>104</v>
      </c>
      <c r="AD1388" s="1" t="s">
        <v>104</v>
      </c>
      <c r="AE1388" s="1" t="s">
        <v>104</v>
      </c>
      <c r="AF1388" s="1" t="s">
        <v>104</v>
      </c>
      <c r="AG1388" s="1" t="s">
        <v>104</v>
      </c>
      <c r="AH1388" s="1" t="s">
        <v>104</v>
      </c>
      <c r="AI1388" s="1" t="s">
        <v>104</v>
      </c>
      <c r="AJ1388" s="1">
        <v>9</v>
      </c>
      <c r="AK1388" s="1" t="s">
        <v>104</v>
      </c>
      <c r="AL1388" s="1" t="s">
        <v>104</v>
      </c>
      <c r="AM1388" s="1" t="s">
        <v>104</v>
      </c>
      <c r="AO1388" s="1">
        <v>9</v>
      </c>
      <c r="AR1388" s="1">
        <v>1</v>
      </c>
      <c r="AS1388" s="1">
        <v>0</v>
      </c>
      <c r="AT1388" s="1">
        <v>0</v>
      </c>
      <c r="AU1388" s="1">
        <v>0</v>
      </c>
      <c r="AV1388" s="1">
        <v>0</v>
      </c>
      <c r="AW1388" s="1">
        <v>0</v>
      </c>
      <c r="AX1388" s="1">
        <v>0</v>
      </c>
      <c r="AY1388" s="1">
        <v>0</v>
      </c>
      <c r="AZ1388" s="1">
        <v>0</v>
      </c>
      <c r="BA1388" s="1">
        <v>0</v>
      </c>
      <c r="BB1388" s="1">
        <v>0</v>
      </c>
      <c r="BC1388" s="1">
        <v>1</v>
      </c>
      <c r="BD1388" s="1">
        <v>0</v>
      </c>
      <c r="BE1388" s="1">
        <v>0</v>
      </c>
      <c r="BF1388" s="1">
        <v>0</v>
      </c>
      <c r="BG1388" s="1">
        <v>0</v>
      </c>
      <c r="BH1388" s="1">
        <v>0</v>
      </c>
      <c r="BI1388" s="1">
        <v>0</v>
      </c>
      <c r="BJ1388" s="1">
        <v>0</v>
      </c>
      <c r="BK1388" s="1">
        <v>0</v>
      </c>
      <c r="BL1388" s="1">
        <v>0</v>
      </c>
      <c r="BM1388" s="1">
        <v>0</v>
      </c>
      <c r="BN1388" s="1">
        <v>0</v>
      </c>
      <c r="BO1388" s="1">
        <v>0</v>
      </c>
      <c r="BP1388" s="1">
        <v>0</v>
      </c>
      <c r="BQ1388" s="1" t="s">
        <v>104</v>
      </c>
      <c r="BR1388" s="1">
        <v>1453</v>
      </c>
      <c r="BS1388" s="1" t="s">
        <v>104</v>
      </c>
      <c r="BX1388" s="1">
        <v>0</v>
      </c>
      <c r="BY1388" s="1" t="s">
        <v>104</v>
      </c>
      <c r="BZ1388" s="1" t="s">
        <v>104</v>
      </c>
      <c r="CA1388" s="1" t="s">
        <v>104</v>
      </c>
      <c r="CB1388" s="1" t="s">
        <v>104</v>
      </c>
      <c r="CC1388" s="1" t="s">
        <v>104</v>
      </c>
      <c r="CD1388" s="1" t="s">
        <v>104</v>
      </c>
      <c r="CE1388" s="1" t="s">
        <v>104</v>
      </c>
      <c r="CF1388" s="1" t="s">
        <v>104</v>
      </c>
      <c r="CG1388" s="1" t="s">
        <v>104</v>
      </c>
      <c r="CH1388" s="1" t="s">
        <v>104</v>
      </c>
      <c r="CJ1388" s="1">
        <v>0</v>
      </c>
      <c r="CK1388" s="1">
        <v>0</v>
      </c>
      <c r="CL1388" s="1">
        <v>0</v>
      </c>
      <c r="CM1388" s="1" t="s">
        <v>104</v>
      </c>
    </row>
    <row r="1389" spans="1:91" ht="14.25" customHeight="1" x14ac:dyDescent="0.3">
      <c r="A1389" s="1" t="s">
        <v>8024</v>
      </c>
      <c r="B1389" s="1" t="s">
        <v>92</v>
      </c>
      <c r="C1389" s="1" t="s">
        <v>903</v>
      </c>
      <c r="D1389" s="1" t="s">
        <v>54</v>
      </c>
      <c r="E1389" s="1" t="s">
        <v>8025</v>
      </c>
      <c r="F1389" s="1" t="s">
        <v>255</v>
      </c>
      <c r="G1389" s="1" t="s">
        <v>8026</v>
      </c>
      <c r="H1389" s="1">
        <v>0</v>
      </c>
      <c r="I1389" s="1" t="s">
        <v>117</v>
      </c>
      <c r="K1389" s="1" t="s">
        <v>3656</v>
      </c>
      <c r="M1389" s="1" t="s">
        <v>426</v>
      </c>
      <c r="N1389" s="1">
        <v>1</v>
      </c>
      <c r="O1389" s="1">
        <v>0</v>
      </c>
      <c r="P1389" s="1" t="s">
        <v>100</v>
      </c>
      <c r="Q1389" s="1" t="s">
        <v>101</v>
      </c>
      <c r="R1389" s="1" t="s">
        <v>8027</v>
      </c>
      <c r="S1389" s="1" t="s">
        <v>8012</v>
      </c>
      <c r="T1389" s="1">
        <v>1</v>
      </c>
      <c r="U1389" s="1">
        <v>1</v>
      </c>
      <c r="V1389" s="1">
        <v>0</v>
      </c>
      <c r="W1389" s="1">
        <v>0</v>
      </c>
      <c r="X1389" s="1">
        <v>0</v>
      </c>
      <c r="Y1389" s="1">
        <v>2</v>
      </c>
      <c r="Z1389" s="1">
        <v>2</v>
      </c>
      <c r="AA1389" s="1">
        <v>2</v>
      </c>
      <c r="AB1389" s="1" t="s">
        <v>104</v>
      </c>
      <c r="AC1389" s="1" t="s">
        <v>104</v>
      </c>
      <c r="AD1389" s="1" t="s">
        <v>104</v>
      </c>
      <c r="AE1389" s="1" t="s">
        <v>104</v>
      </c>
      <c r="AF1389" s="1" t="s">
        <v>104</v>
      </c>
      <c r="AG1389" s="1">
        <v>2</v>
      </c>
      <c r="AH1389" s="1">
        <v>2</v>
      </c>
      <c r="AI1389" s="1" t="s">
        <v>104</v>
      </c>
      <c r="AJ1389" s="1">
        <v>2</v>
      </c>
      <c r="AK1389" s="1" t="s">
        <v>104</v>
      </c>
      <c r="AL1389" s="1" t="s">
        <v>104</v>
      </c>
      <c r="AM1389" s="1" t="s">
        <v>104</v>
      </c>
      <c r="AO1389" s="1">
        <v>2</v>
      </c>
      <c r="AR1389" s="1">
        <v>0</v>
      </c>
      <c r="AS1389" s="1">
        <v>0</v>
      </c>
      <c r="AT1389" s="1">
        <v>0</v>
      </c>
      <c r="AU1389" s="1">
        <v>0</v>
      </c>
      <c r="AV1389" s="1">
        <v>0</v>
      </c>
      <c r="AW1389" s="1">
        <v>0</v>
      </c>
      <c r="AX1389" s="1">
        <v>0</v>
      </c>
      <c r="AY1389" s="1">
        <v>0</v>
      </c>
      <c r="AZ1389" s="1">
        <v>0</v>
      </c>
      <c r="BA1389" s="1">
        <v>0</v>
      </c>
      <c r="BB1389" s="1">
        <v>0</v>
      </c>
      <c r="BC1389" s="1">
        <v>1</v>
      </c>
      <c r="BD1389" s="1">
        <v>0</v>
      </c>
      <c r="BE1389" s="1">
        <v>0</v>
      </c>
      <c r="BF1389" s="1">
        <v>0</v>
      </c>
      <c r="BG1389" s="1">
        <v>0</v>
      </c>
      <c r="BH1389" s="1">
        <v>0</v>
      </c>
      <c r="BI1389" s="1">
        <v>0</v>
      </c>
      <c r="BJ1389" s="1">
        <v>0</v>
      </c>
      <c r="BK1389" s="1">
        <v>0</v>
      </c>
      <c r="BL1389" s="1">
        <v>0</v>
      </c>
      <c r="BM1389" s="1">
        <v>0</v>
      </c>
      <c r="BN1389" s="1">
        <v>0</v>
      </c>
      <c r="BO1389" s="1">
        <v>0</v>
      </c>
      <c r="BP1389" s="1">
        <v>0</v>
      </c>
      <c r="BQ1389" s="1" t="s">
        <v>104</v>
      </c>
      <c r="BR1389" s="1">
        <v>1455</v>
      </c>
      <c r="BS1389" s="1" t="s">
        <v>104</v>
      </c>
      <c r="BX1389" s="1">
        <v>0</v>
      </c>
      <c r="BY1389" s="1" t="s">
        <v>104</v>
      </c>
      <c r="BZ1389" s="1" t="s">
        <v>104</v>
      </c>
      <c r="CA1389" s="1" t="s">
        <v>104</v>
      </c>
      <c r="CB1389" s="1" t="s">
        <v>104</v>
      </c>
      <c r="CC1389" s="1" t="s">
        <v>104</v>
      </c>
      <c r="CD1389" s="1" t="s">
        <v>104</v>
      </c>
      <c r="CE1389" s="1" t="s">
        <v>104</v>
      </c>
      <c r="CF1389" s="1" t="s">
        <v>104</v>
      </c>
      <c r="CG1389" s="1" t="s">
        <v>104</v>
      </c>
      <c r="CH1389" s="1" t="s">
        <v>104</v>
      </c>
      <c r="CJ1389" s="1">
        <v>0</v>
      </c>
      <c r="CK1389" s="1">
        <v>0</v>
      </c>
      <c r="CL1389" s="1">
        <v>0</v>
      </c>
      <c r="CM1389" s="1">
        <v>2</v>
      </c>
    </row>
    <row r="1390" spans="1:91" ht="14.25" customHeight="1" x14ac:dyDescent="0.3">
      <c r="A1390" s="1" t="s">
        <v>8028</v>
      </c>
      <c r="B1390" s="1" t="s">
        <v>92</v>
      </c>
      <c r="C1390" s="1" t="s">
        <v>903</v>
      </c>
      <c r="D1390" s="1" t="s">
        <v>54</v>
      </c>
      <c r="E1390" s="1" t="s">
        <v>8029</v>
      </c>
      <c r="F1390" s="1" t="s">
        <v>255</v>
      </c>
      <c r="G1390" s="1" t="s">
        <v>8026</v>
      </c>
      <c r="H1390" s="1">
        <v>0</v>
      </c>
      <c r="I1390" s="1" t="s">
        <v>117</v>
      </c>
      <c r="K1390" s="1" t="s">
        <v>3656</v>
      </c>
      <c r="M1390" s="1" t="s">
        <v>426</v>
      </c>
      <c r="N1390" s="1">
        <v>1</v>
      </c>
      <c r="O1390" s="1">
        <v>0</v>
      </c>
      <c r="P1390" s="1" t="s">
        <v>100</v>
      </c>
      <c r="Q1390" s="1" t="s">
        <v>101</v>
      </c>
      <c r="R1390" s="1" t="s">
        <v>8030</v>
      </c>
      <c r="S1390" s="1" t="s">
        <v>8012</v>
      </c>
      <c r="T1390" s="1">
        <v>1</v>
      </c>
      <c r="U1390" s="1">
        <v>1</v>
      </c>
      <c r="V1390" s="1">
        <v>0</v>
      </c>
      <c r="W1390" s="1">
        <v>0</v>
      </c>
      <c r="X1390" s="1">
        <v>0</v>
      </c>
      <c r="Y1390" s="1">
        <v>4</v>
      </c>
      <c r="Z1390" s="1">
        <v>4</v>
      </c>
      <c r="AA1390" s="1">
        <v>4</v>
      </c>
      <c r="AB1390" s="1" t="s">
        <v>104</v>
      </c>
      <c r="AC1390" s="1" t="s">
        <v>104</v>
      </c>
      <c r="AD1390" s="1" t="s">
        <v>104</v>
      </c>
      <c r="AE1390" s="1" t="s">
        <v>104</v>
      </c>
      <c r="AF1390" s="1" t="s">
        <v>104</v>
      </c>
      <c r="AG1390" s="1">
        <v>3</v>
      </c>
      <c r="AH1390" s="1">
        <v>4</v>
      </c>
      <c r="AI1390" s="1" t="s">
        <v>104</v>
      </c>
      <c r="AJ1390" s="1">
        <v>4</v>
      </c>
      <c r="AK1390" s="1" t="s">
        <v>104</v>
      </c>
      <c r="AL1390" s="1" t="s">
        <v>104</v>
      </c>
      <c r="AM1390" s="1" t="s">
        <v>104</v>
      </c>
      <c r="AO1390" s="1">
        <v>4</v>
      </c>
      <c r="AR1390" s="1">
        <v>0</v>
      </c>
      <c r="AS1390" s="1">
        <v>0</v>
      </c>
      <c r="AT1390" s="1">
        <v>0</v>
      </c>
      <c r="AU1390" s="1">
        <v>0</v>
      </c>
      <c r="AV1390" s="1">
        <v>0</v>
      </c>
      <c r="AW1390" s="1">
        <v>0</v>
      </c>
      <c r="AX1390" s="1">
        <v>0</v>
      </c>
      <c r="AY1390" s="1">
        <v>0</v>
      </c>
      <c r="AZ1390" s="1">
        <v>0</v>
      </c>
      <c r="BA1390" s="1">
        <v>0</v>
      </c>
      <c r="BB1390" s="1">
        <v>0</v>
      </c>
      <c r="BC1390" s="1">
        <v>1</v>
      </c>
      <c r="BD1390" s="1">
        <v>0</v>
      </c>
      <c r="BE1390" s="1">
        <v>0</v>
      </c>
      <c r="BF1390" s="1">
        <v>0</v>
      </c>
      <c r="BG1390" s="1">
        <v>0</v>
      </c>
      <c r="BH1390" s="1">
        <v>0</v>
      </c>
      <c r="BI1390" s="1">
        <v>0</v>
      </c>
      <c r="BJ1390" s="1">
        <v>0</v>
      </c>
      <c r="BK1390" s="1">
        <v>0</v>
      </c>
      <c r="BL1390" s="1">
        <v>0</v>
      </c>
      <c r="BM1390" s="1">
        <v>0</v>
      </c>
      <c r="BN1390" s="1">
        <v>0</v>
      </c>
      <c r="BO1390" s="1">
        <v>0</v>
      </c>
      <c r="BP1390" s="1">
        <v>0</v>
      </c>
      <c r="BQ1390" s="1" t="s">
        <v>104</v>
      </c>
      <c r="BR1390" s="1">
        <v>1456</v>
      </c>
      <c r="BS1390" s="1" t="s">
        <v>104</v>
      </c>
      <c r="BX1390" s="1">
        <v>0</v>
      </c>
      <c r="BY1390" s="1" t="s">
        <v>104</v>
      </c>
      <c r="BZ1390" s="1" t="s">
        <v>104</v>
      </c>
      <c r="CA1390" s="1" t="s">
        <v>104</v>
      </c>
      <c r="CB1390" s="1" t="s">
        <v>104</v>
      </c>
      <c r="CC1390" s="1" t="s">
        <v>104</v>
      </c>
      <c r="CD1390" s="1" t="s">
        <v>104</v>
      </c>
      <c r="CE1390" s="1" t="s">
        <v>104</v>
      </c>
      <c r="CF1390" s="1" t="s">
        <v>104</v>
      </c>
      <c r="CG1390" s="1" t="s">
        <v>104</v>
      </c>
      <c r="CH1390" s="1" t="s">
        <v>104</v>
      </c>
      <c r="CJ1390" s="1">
        <v>0</v>
      </c>
      <c r="CK1390" s="1">
        <v>0</v>
      </c>
      <c r="CL1390" s="1">
        <v>0</v>
      </c>
      <c r="CM1390" s="1">
        <v>3</v>
      </c>
    </row>
    <row r="1391" spans="1:91" ht="14.25" customHeight="1" x14ac:dyDescent="0.3">
      <c r="A1391" s="1" t="s">
        <v>8031</v>
      </c>
      <c r="B1391" s="1" t="s">
        <v>92</v>
      </c>
      <c r="C1391" s="1" t="s">
        <v>903</v>
      </c>
      <c r="D1391" s="1" t="s">
        <v>54</v>
      </c>
      <c r="E1391" s="1" t="s">
        <v>8032</v>
      </c>
      <c r="F1391" s="1" t="s">
        <v>255</v>
      </c>
      <c r="G1391" s="1" t="s">
        <v>8033</v>
      </c>
      <c r="H1391" s="1">
        <v>0</v>
      </c>
      <c r="I1391" s="1" t="s">
        <v>117</v>
      </c>
      <c r="K1391" s="1" t="s">
        <v>3656</v>
      </c>
      <c r="M1391" s="1" t="s">
        <v>426</v>
      </c>
      <c r="N1391" s="1">
        <v>1</v>
      </c>
      <c r="O1391" s="1">
        <v>0</v>
      </c>
      <c r="P1391" s="1" t="s">
        <v>100</v>
      </c>
      <c r="Q1391" s="1" t="s">
        <v>101</v>
      </c>
      <c r="R1391" s="1" t="s">
        <v>8034</v>
      </c>
      <c r="S1391" s="1" t="s">
        <v>8012</v>
      </c>
      <c r="T1391" s="1">
        <v>1</v>
      </c>
      <c r="U1391" s="1">
        <v>1</v>
      </c>
      <c r="V1391" s="1">
        <v>0</v>
      </c>
      <c r="W1391" s="1">
        <v>0</v>
      </c>
      <c r="X1391" s="1">
        <v>0</v>
      </c>
      <c r="Y1391" s="1">
        <v>5</v>
      </c>
      <c r="Z1391" s="1">
        <v>5</v>
      </c>
      <c r="AA1391" s="1">
        <v>5</v>
      </c>
      <c r="AB1391" s="1" t="s">
        <v>104</v>
      </c>
      <c r="AC1391" s="1" t="s">
        <v>104</v>
      </c>
      <c r="AD1391" s="1" t="s">
        <v>104</v>
      </c>
      <c r="AE1391" s="1" t="s">
        <v>104</v>
      </c>
      <c r="AF1391" s="1" t="s">
        <v>104</v>
      </c>
      <c r="AG1391" s="1">
        <v>4</v>
      </c>
      <c r="AH1391" s="1">
        <v>5</v>
      </c>
      <c r="AI1391" s="1" t="s">
        <v>104</v>
      </c>
      <c r="AJ1391" s="1">
        <v>5</v>
      </c>
      <c r="AK1391" s="1" t="s">
        <v>104</v>
      </c>
      <c r="AL1391" s="1" t="s">
        <v>104</v>
      </c>
      <c r="AM1391" s="1" t="s">
        <v>104</v>
      </c>
      <c r="AO1391" s="1">
        <v>5</v>
      </c>
      <c r="AR1391" s="1">
        <v>0</v>
      </c>
      <c r="AS1391" s="1">
        <v>0</v>
      </c>
      <c r="AT1391" s="1">
        <v>0</v>
      </c>
      <c r="AU1391" s="1">
        <v>0</v>
      </c>
      <c r="AV1391" s="1">
        <v>0</v>
      </c>
      <c r="AW1391" s="1">
        <v>0</v>
      </c>
      <c r="AX1391" s="1">
        <v>0</v>
      </c>
      <c r="AY1391" s="1">
        <v>0</v>
      </c>
      <c r="AZ1391" s="1">
        <v>0</v>
      </c>
      <c r="BA1391" s="1">
        <v>0</v>
      </c>
      <c r="BB1391" s="1">
        <v>0</v>
      </c>
      <c r="BC1391" s="1">
        <v>1</v>
      </c>
      <c r="BD1391" s="1">
        <v>0</v>
      </c>
      <c r="BE1391" s="1">
        <v>0</v>
      </c>
      <c r="BF1391" s="1">
        <v>0</v>
      </c>
      <c r="BG1391" s="1">
        <v>0</v>
      </c>
      <c r="BH1391" s="1">
        <v>0</v>
      </c>
      <c r="BI1391" s="1">
        <v>0</v>
      </c>
      <c r="BJ1391" s="1">
        <v>0</v>
      </c>
      <c r="BK1391" s="1">
        <v>0</v>
      </c>
      <c r="BL1391" s="1">
        <v>0</v>
      </c>
      <c r="BM1391" s="1">
        <v>0</v>
      </c>
      <c r="BN1391" s="1">
        <v>0</v>
      </c>
      <c r="BO1391" s="1">
        <v>0</v>
      </c>
      <c r="BP1391" s="1">
        <v>0</v>
      </c>
      <c r="BQ1391" s="1" t="s">
        <v>104</v>
      </c>
      <c r="BR1391" s="1">
        <v>1457</v>
      </c>
      <c r="BS1391" s="1" t="s">
        <v>104</v>
      </c>
      <c r="BX1391" s="1">
        <v>0</v>
      </c>
      <c r="BY1391" s="1" t="s">
        <v>104</v>
      </c>
      <c r="BZ1391" s="1" t="s">
        <v>104</v>
      </c>
      <c r="CA1391" s="1" t="s">
        <v>104</v>
      </c>
      <c r="CB1391" s="1" t="s">
        <v>104</v>
      </c>
      <c r="CC1391" s="1" t="s">
        <v>104</v>
      </c>
      <c r="CD1391" s="1" t="s">
        <v>104</v>
      </c>
      <c r="CE1391" s="1" t="s">
        <v>104</v>
      </c>
      <c r="CF1391" s="1" t="s">
        <v>104</v>
      </c>
      <c r="CG1391" s="1" t="s">
        <v>104</v>
      </c>
      <c r="CH1391" s="1" t="s">
        <v>104</v>
      </c>
      <c r="CJ1391" s="1">
        <v>0</v>
      </c>
      <c r="CK1391" s="1">
        <v>0</v>
      </c>
      <c r="CL1391" s="1">
        <v>0</v>
      </c>
      <c r="CM1391" s="1">
        <v>4</v>
      </c>
    </row>
    <row r="1392" spans="1:91" ht="14.25" customHeight="1" x14ac:dyDescent="0.3">
      <c r="A1392" s="1" t="s">
        <v>8035</v>
      </c>
      <c r="B1392" s="1" t="s">
        <v>92</v>
      </c>
      <c r="C1392" s="1" t="s">
        <v>903</v>
      </c>
      <c r="D1392" s="1" t="s">
        <v>54</v>
      </c>
      <c r="E1392" s="1" t="s">
        <v>6111</v>
      </c>
      <c r="F1392" s="1" t="s">
        <v>255</v>
      </c>
      <c r="G1392" s="1" t="s">
        <v>8036</v>
      </c>
      <c r="H1392" s="1">
        <v>0</v>
      </c>
      <c r="I1392" s="1" t="s">
        <v>117</v>
      </c>
      <c r="K1392" s="1" t="s">
        <v>3656</v>
      </c>
      <c r="M1392" s="1" t="s">
        <v>426</v>
      </c>
      <c r="N1392" s="1">
        <v>1</v>
      </c>
      <c r="O1392" s="1">
        <v>0</v>
      </c>
      <c r="P1392" s="1" t="s">
        <v>100</v>
      </c>
      <c r="Q1392" s="1" t="s">
        <v>101</v>
      </c>
      <c r="R1392" s="1" t="s">
        <v>8037</v>
      </c>
      <c r="S1392" s="1" t="s">
        <v>8012</v>
      </c>
      <c r="T1392" s="1">
        <v>1</v>
      </c>
      <c r="U1392" s="1">
        <v>1</v>
      </c>
      <c r="V1392" s="1">
        <v>0</v>
      </c>
      <c r="W1392" s="1">
        <v>0</v>
      </c>
      <c r="X1392" s="1">
        <v>0</v>
      </c>
      <c r="Y1392" s="1">
        <v>9</v>
      </c>
      <c r="Z1392" s="1">
        <v>9</v>
      </c>
      <c r="AA1392" s="1">
        <v>9</v>
      </c>
      <c r="AB1392" s="1" t="s">
        <v>104</v>
      </c>
      <c r="AC1392" s="1" t="s">
        <v>104</v>
      </c>
      <c r="AD1392" s="1" t="s">
        <v>104</v>
      </c>
      <c r="AE1392" s="1" t="s">
        <v>104</v>
      </c>
      <c r="AF1392" s="1" t="s">
        <v>104</v>
      </c>
      <c r="AG1392" s="1" t="s">
        <v>104</v>
      </c>
      <c r="AH1392" s="1">
        <v>9</v>
      </c>
      <c r="AI1392" s="1" t="s">
        <v>104</v>
      </c>
      <c r="AJ1392" s="1">
        <v>9</v>
      </c>
      <c r="AK1392" s="1" t="s">
        <v>104</v>
      </c>
      <c r="AL1392" s="1" t="s">
        <v>104</v>
      </c>
      <c r="AM1392" s="1" t="s">
        <v>104</v>
      </c>
      <c r="AO1392" s="1">
        <v>9</v>
      </c>
      <c r="AR1392" s="1">
        <v>0</v>
      </c>
      <c r="AS1392" s="1">
        <v>0</v>
      </c>
      <c r="AT1392" s="1">
        <v>0</v>
      </c>
      <c r="AU1392" s="1">
        <v>0</v>
      </c>
      <c r="AV1392" s="1">
        <v>0</v>
      </c>
      <c r="AW1392" s="1">
        <v>0</v>
      </c>
      <c r="AX1392" s="1">
        <v>0</v>
      </c>
      <c r="AY1392" s="1">
        <v>0</v>
      </c>
      <c r="AZ1392" s="1">
        <v>0</v>
      </c>
      <c r="BA1392" s="1">
        <v>0</v>
      </c>
      <c r="BB1392" s="1">
        <v>0</v>
      </c>
      <c r="BC1392" s="1">
        <v>1</v>
      </c>
      <c r="BD1392" s="1">
        <v>0</v>
      </c>
      <c r="BE1392" s="1">
        <v>0</v>
      </c>
      <c r="BF1392" s="1">
        <v>0</v>
      </c>
      <c r="BG1392" s="1">
        <v>0</v>
      </c>
      <c r="BH1392" s="1">
        <v>0</v>
      </c>
      <c r="BI1392" s="1">
        <v>0</v>
      </c>
      <c r="BJ1392" s="1">
        <v>0</v>
      </c>
      <c r="BK1392" s="1">
        <v>0</v>
      </c>
      <c r="BL1392" s="1">
        <v>0</v>
      </c>
      <c r="BM1392" s="1">
        <v>0</v>
      </c>
      <c r="BN1392" s="1">
        <v>0</v>
      </c>
      <c r="BO1392" s="1">
        <v>0</v>
      </c>
      <c r="BP1392" s="1">
        <v>0</v>
      </c>
      <c r="BQ1392" s="1" t="s">
        <v>104</v>
      </c>
      <c r="BR1392" s="1">
        <v>1458</v>
      </c>
      <c r="BS1392" s="1" t="s">
        <v>104</v>
      </c>
      <c r="BX1392" s="1">
        <v>0</v>
      </c>
      <c r="BY1392" s="1" t="s">
        <v>104</v>
      </c>
      <c r="BZ1392" s="1" t="s">
        <v>104</v>
      </c>
      <c r="CA1392" s="1" t="s">
        <v>104</v>
      </c>
      <c r="CB1392" s="1" t="s">
        <v>104</v>
      </c>
      <c r="CC1392" s="1" t="s">
        <v>104</v>
      </c>
      <c r="CD1392" s="1" t="s">
        <v>104</v>
      </c>
      <c r="CE1392" s="1" t="s">
        <v>104</v>
      </c>
      <c r="CF1392" s="1" t="s">
        <v>104</v>
      </c>
      <c r="CG1392" s="1" t="s">
        <v>104</v>
      </c>
      <c r="CH1392" s="1" t="s">
        <v>104</v>
      </c>
      <c r="CJ1392" s="1">
        <v>0</v>
      </c>
      <c r="CK1392" s="1">
        <v>0</v>
      </c>
      <c r="CL1392" s="1">
        <v>0</v>
      </c>
      <c r="CM1392" s="1" t="s">
        <v>104</v>
      </c>
    </row>
    <row r="1393" spans="1:91" ht="14.25" customHeight="1" x14ac:dyDescent="0.3">
      <c r="A1393" s="1" t="s">
        <v>8038</v>
      </c>
      <c r="B1393" s="1" t="s">
        <v>92</v>
      </c>
      <c r="C1393" s="1" t="s">
        <v>903</v>
      </c>
      <c r="D1393" s="1" t="s">
        <v>54</v>
      </c>
      <c r="E1393" s="1" t="s">
        <v>8039</v>
      </c>
      <c r="F1393" s="1" t="s">
        <v>255</v>
      </c>
      <c r="G1393" s="1" t="s">
        <v>8040</v>
      </c>
      <c r="H1393" s="1">
        <v>0</v>
      </c>
      <c r="I1393" s="1" t="s">
        <v>117</v>
      </c>
      <c r="K1393" s="1" t="s">
        <v>3656</v>
      </c>
      <c r="M1393" s="1" t="s">
        <v>426</v>
      </c>
      <c r="N1393" s="1">
        <v>1</v>
      </c>
      <c r="O1393" s="1">
        <v>0</v>
      </c>
      <c r="P1393" s="1" t="s">
        <v>100</v>
      </c>
      <c r="Q1393" s="1" t="s">
        <v>101</v>
      </c>
      <c r="R1393" s="1" t="s">
        <v>8041</v>
      </c>
      <c r="S1393" s="1" t="s">
        <v>8012</v>
      </c>
      <c r="T1393" s="1">
        <v>1</v>
      </c>
      <c r="U1393" s="1">
        <v>1</v>
      </c>
      <c r="V1393" s="1">
        <v>0</v>
      </c>
      <c r="W1393" s="1">
        <v>0</v>
      </c>
      <c r="X1393" s="1">
        <v>0</v>
      </c>
      <c r="Y1393" s="1">
        <v>8</v>
      </c>
      <c r="Z1393" s="1">
        <v>8</v>
      </c>
      <c r="AA1393" s="1">
        <v>8</v>
      </c>
      <c r="AB1393" s="1" t="s">
        <v>104</v>
      </c>
      <c r="AC1393" s="1" t="s">
        <v>104</v>
      </c>
      <c r="AD1393" s="1" t="s">
        <v>104</v>
      </c>
      <c r="AE1393" s="1" t="s">
        <v>104</v>
      </c>
      <c r="AF1393" s="1" t="s">
        <v>104</v>
      </c>
      <c r="AG1393" s="1">
        <v>6</v>
      </c>
      <c r="AH1393" s="1">
        <v>8</v>
      </c>
      <c r="AI1393" s="1" t="s">
        <v>104</v>
      </c>
      <c r="AJ1393" s="1">
        <v>8</v>
      </c>
      <c r="AK1393" s="1" t="s">
        <v>104</v>
      </c>
      <c r="AL1393" s="1" t="s">
        <v>104</v>
      </c>
      <c r="AM1393" s="1" t="s">
        <v>104</v>
      </c>
      <c r="AO1393" s="1">
        <v>8</v>
      </c>
      <c r="AR1393" s="1">
        <v>0</v>
      </c>
      <c r="AS1393" s="1">
        <v>0</v>
      </c>
      <c r="AT1393" s="1">
        <v>0</v>
      </c>
      <c r="AU1393" s="1">
        <v>0</v>
      </c>
      <c r="AV1393" s="1">
        <v>0</v>
      </c>
      <c r="AW1393" s="1">
        <v>0</v>
      </c>
      <c r="AX1393" s="1">
        <v>0</v>
      </c>
      <c r="AY1393" s="1">
        <v>0</v>
      </c>
      <c r="AZ1393" s="1">
        <v>0</v>
      </c>
      <c r="BA1393" s="1">
        <v>0</v>
      </c>
      <c r="BB1393" s="1">
        <v>0</v>
      </c>
      <c r="BC1393" s="1">
        <v>1</v>
      </c>
      <c r="BD1393" s="1">
        <v>0</v>
      </c>
      <c r="BE1393" s="1">
        <v>0</v>
      </c>
      <c r="BF1393" s="1">
        <v>0</v>
      </c>
      <c r="BG1393" s="1">
        <v>0</v>
      </c>
      <c r="BH1393" s="1">
        <v>0</v>
      </c>
      <c r="BI1393" s="1">
        <v>0</v>
      </c>
      <c r="BJ1393" s="1">
        <v>0</v>
      </c>
      <c r="BK1393" s="1">
        <v>0</v>
      </c>
      <c r="BL1393" s="1">
        <v>0</v>
      </c>
      <c r="BM1393" s="1">
        <v>0</v>
      </c>
      <c r="BN1393" s="1">
        <v>0</v>
      </c>
      <c r="BO1393" s="1">
        <v>0</v>
      </c>
      <c r="BP1393" s="1">
        <v>0</v>
      </c>
      <c r="BQ1393" s="1" t="s">
        <v>104</v>
      </c>
      <c r="BR1393" s="1">
        <v>1459</v>
      </c>
      <c r="BS1393" s="1" t="s">
        <v>104</v>
      </c>
      <c r="BX1393" s="1">
        <v>0</v>
      </c>
      <c r="BY1393" s="1" t="s">
        <v>104</v>
      </c>
      <c r="BZ1393" s="1" t="s">
        <v>104</v>
      </c>
      <c r="CA1393" s="1" t="s">
        <v>104</v>
      </c>
      <c r="CB1393" s="1" t="s">
        <v>104</v>
      </c>
      <c r="CC1393" s="1" t="s">
        <v>104</v>
      </c>
      <c r="CD1393" s="1" t="s">
        <v>104</v>
      </c>
      <c r="CE1393" s="1" t="s">
        <v>104</v>
      </c>
      <c r="CF1393" s="1" t="s">
        <v>104</v>
      </c>
      <c r="CG1393" s="1" t="s">
        <v>104</v>
      </c>
      <c r="CH1393" s="1" t="s">
        <v>104</v>
      </c>
      <c r="CJ1393" s="1">
        <v>0</v>
      </c>
      <c r="CK1393" s="1">
        <v>0</v>
      </c>
      <c r="CL1393" s="1">
        <v>0</v>
      </c>
      <c r="CM1393" s="1">
        <v>6</v>
      </c>
    </row>
    <row r="1394" spans="1:91" ht="14.25" customHeight="1" x14ac:dyDescent="0.3">
      <c r="A1394" s="1" t="s">
        <v>8042</v>
      </c>
      <c r="B1394" s="1" t="s">
        <v>92</v>
      </c>
      <c r="C1394" s="1" t="s">
        <v>903</v>
      </c>
      <c r="D1394" s="1" t="s">
        <v>54</v>
      </c>
      <c r="E1394" s="1" t="s">
        <v>8039</v>
      </c>
      <c r="F1394" s="1" t="s">
        <v>255</v>
      </c>
      <c r="G1394" s="1" t="s">
        <v>8043</v>
      </c>
      <c r="H1394" s="1">
        <v>0</v>
      </c>
      <c r="I1394" s="1" t="s">
        <v>117</v>
      </c>
      <c r="K1394" s="1" t="s">
        <v>3656</v>
      </c>
      <c r="M1394" s="1" t="s">
        <v>426</v>
      </c>
      <c r="N1394" s="1">
        <v>1</v>
      </c>
      <c r="O1394" s="1">
        <v>0</v>
      </c>
      <c r="P1394" s="1" t="s">
        <v>100</v>
      </c>
      <c r="Q1394" s="1" t="s">
        <v>101</v>
      </c>
      <c r="R1394" s="1" t="s">
        <v>8044</v>
      </c>
      <c r="S1394" s="1" t="s">
        <v>8012</v>
      </c>
      <c r="T1394" s="1">
        <v>1</v>
      </c>
      <c r="U1394" s="1">
        <v>1</v>
      </c>
      <c r="V1394" s="1">
        <v>0</v>
      </c>
      <c r="W1394" s="1">
        <v>0</v>
      </c>
      <c r="X1394" s="1">
        <v>0</v>
      </c>
      <c r="Y1394" s="1">
        <v>8</v>
      </c>
      <c r="Z1394" s="1">
        <v>8</v>
      </c>
      <c r="AA1394" s="1">
        <v>8</v>
      </c>
      <c r="AB1394" s="1" t="s">
        <v>104</v>
      </c>
      <c r="AC1394" s="1" t="s">
        <v>104</v>
      </c>
      <c r="AD1394" s="1" t="s">
        <v>104</v>
      </c>
      <c r="AE1394" s="1" t="s">
        <v>104</v>
      </c>
      <c r="AF1394" s="1" t="s">
        <v>104</v>
      </c>
      <c r="AG1394" s="1">
        <v>6</v>
      </c>
      <c r="AH1394" s="1">
        <v>8</v>
      </c>
      <c r="AI1394" s="1" t="s">
        <v>104</v>
      </c>
      <c r="AJ1394" s="1">
        <v>8</v>
      </c>
      <c r="AK1394" s="1" t="s">
        <v>104</v>
      </c>
      <c r="AL1394" s="1" t="s">
        <v>104</v>
      </c>
      <c r="AM1394" s="1" t="s">
        <v>104</v>
      </c>
      <c r="AO1394" s="1">
        <v>8</v>
      </c>
      <c r="AR1394" s="1">
        <v>0</v>
      </c>
      <c r="AS1394" s="1">
        <v>0</v>
      </c>
      <c r="AT1394" s="1">
        <v>0</v>
      </c>
      <c r="AU1394" s="1">
        <v>0</v>
      </c>
      <c r="AV1394" s="1">
        <v>0</v>
      </c>
      <c r="AW1394" s="1">
        <v>0</v>
      </c>
      <c r="AX1394" s="1">
        <v>0</v>
      </c>
      <c r="AY1394" s="1">
        <v>0</v>
      </c>
      <c r="AZ1394" s="1">
        <v>0</v>
      </c>
      <c r="BA1394" s="1">
        <v>0</v>
      </c>
      <c r="BB1394" s="1">
        <v>0</v>
      </c>
      <c r="BC1394" s="1">
        <v>1</v>
      </c>
      <c r="BD1394" s="1">
        <v>0</v>
      </c>
      <c r="BE1394" s="1">
        <v>0</v>
      </c>
      <c r="BF1394" s="1">
        <v>0</v>
      </c>
      <c r="BG1394" s="1">
        <v>0</v>
      </c>
      <c r="BH1394" s="1">
        <v>0</v>
      </c>
      <c r="BI1394" s="1">
        <v>0</v>
      </c>
      <c r="BJ1394" s="1">
        <v>0</v>
      </c>
      <c r="BK1394" s="1">
        <v>0</v>
      </c>
      <c r="BL1394" s="1">
        <v>0</v>
      </c>
      <c r="BM1394" s="1">
        <v>0</v>
      </c>
      <c r="BN1394" s="1">
        <v>0</v>
      </c>
      <c r="BO1394" s="1">
        <v>0</v>
      </c>
      <c r="BP1394" s="1">
        <v>0</v>
      </c>
      <c r="BQ1394" s="1" t="s">
        <v>104</v>
      </c>
      <c r="BR1394" s="1">
        <v>1460</v>
      </c>
      <c r="BS1394" s="1" t="s">
        <v>104</v>
      </c>
      <c r="BX1394" s="1">
        <v>0</v>
      </c>
      <c r="BY1394" s="1" t="s">
        <v>104</v>
      </c>
      <c r="BZ1394" s="1" t="s">
        <v>104</v>
      </c>
      <c r="CA1394" s="1" t="s">
        <v>104</v>
      </c>
      <c r="CB1394" s="1" t="s">
        <v>104</v>
      </c>
      <c r="CC1394" s="1" t="s">
        <v>104</v>
      </c>
      <c r="CD1394" s="1" t="s">
        <v>104</v>
      </c>
      <c r="CE1394" s="1" t="s">
        <v>104</v>
      </c>
      <c r="CF1394" s="1" t="s">
        <v>104</v>
      </c>
      <c r="CG1394" s="1" t="s">
        <v>104</v>
      </c>
      <c r="CH1394" s="1" t="s">
        <v>104</v>
      </c>
      <c r="CJ1394" s="1">
        <v>0</v>
      </c>
      <c r="CK1394" s="1">
        <v>0</v>
      </c>
      <c r="CL1394" s="1">
        <v>0</v>
      </c>
      <c r="CM1394" s="1">
        <v>6</v>
      </c>
    </row>
    <row r="1395" spans="1:91" ht="14.25" customHeight="1" x14ac:dyDescent="0.3">
      <c r="A1395" s="1" t="s">
        <v>8045</v>
      </c>
      <c r="B1395" s="1" t="s">
        <v>92</v>
      </c>
      <c r="C1395" s="1" t="s">
        <v>903</v>
      </c>
      <c r="D1395" s="1" t="s">
        <v>54</v>
      </c>
      <c r="E1395" s="1" t="s">
        <v>6111</v>
      </c>
      <c r="F1395" s="1" t="s">
        <v>255</v>
      </c>
      <c r="G1395" s="1" t="s">
        <v>8046</v>
      </c>
      <c r="H1395" s="1">
        <v>0</v>
      </c>
      <c r="I1395" s="1" t="s">
        <v>117</v>
      </c>
      <c r="K1395" s="1" t="s">
        <v>3656</v>
      </c>
      <c r="M1395" s="1" t="s">
        <v>426</v>
      </c>
      <c r="N1395" s="1">
        <v>1</v>
      </c>
      <c r="O1395" s="1">
        <v>0</v>
      </c>
      <c r="P1395" s="1" t="s">
        <v>100</v>
      </c>
      <c r="Q1395" s="1" t="s">
        <v>101</v>
      </c>
      <c r="R1395" s="1" t="s">
        <v>8047</v>
      </c>
      <c r="S1395" s="1" t="s">
        <v>8012</v>
      </c>
      <c r="T1395" s="1">
        <v>1</v>
      </c>
      <c r="U1395" s="1">
        <v>1</v>
      </c>
      <c r="V1395" s="1">
        <v>0</v>
      </c>
      <c r="W1395" s="1">
        <v>0</v>
      </c>
      <c r="X1395" s="1">
        <v>0</v>
      </c>
      <c r="Y1395" s="1">
        <v>9</v>
      </c>
      <c r="Z1395" s="1">
        <v>9</v>
      </c>
      <c r="AA1395" s="1">
        <v>9</v>
      </c>
      <c r="AB1395" s="1" t="s">
        <v>104</v>
      </c>
      <c r="AC1395" s="1" t="s">
        <v>104</v>
      </c>
      <c r="AD1395" s="1" t="s">
        <v>104</v>
      </c>
      <c r="AE1395" s="1" t="s">
        <v>104</v>
      </c>
      <c r="AF1395" s="1" t="s">
        <v>104</v>
      </c>
      <c r="AG1395" s="1" t="s">
        <v>104</v>
      </c>
      <c r="AH1395" s="1">
        <v>9</v>
      </c>
      <c r="AI1395" s="1" t="s">
        <v>104</v>
      </c>
      <c r="AJ1395" s="1">
        <v>9</v>
      </c>
      <c r="AK1395" s="1" t="s">
        <v>104</v>
      </c>
      <c r="AL1395" s="1" t="s">
        <v>104</v>
      </c>
      <c r="AM1395" s="1" t="s">
        <v>104</v>
      </c>
      <c r="AO1395" s="1">
        <v>9</v>
      </c>
      <c r="AR1395" s="1">
        <v>0</v>
      </c>
      <c r="AS1395" s="1">
        <v>0</v>
      </c>
      <c r="AT1395" s="1">
        <v>0</v>
      </c>
      <c r="AU1395" s="1">
        <v>0</v>
      </c>
      <c r="AV1395" s="1">
        <v>0</v>
      </c>
      <c r="AW1395" s="1">
        <v>0</v>
      </c>
      <c r="AX1395" s="1">
        <v>0</v>
      </c>
      <c r="AY1395" s="1">
        <v>0</v>
      </c>
      <c r="AZ1395" s="1">
        <v>0</v>
      </c>
      <c r="BA1395" s="1">
        <v>0</v>
      </c>
      <c r="BB1395" s="1">
        <v>0</v>
      </c>
      <c r="BC1395" s="1">
        <v>1</v>
      </c>
      <c r="BD1395" s="1">
        <v>0</v>
      </c>
      <c r="BE1395" s="1">
        <v>0</v>
      </c>
      <c r="BF1395" s="1">
        <v>0</v>
      </c>
      <c r="BG1395" s="1">
        <v>0</v>
      </c>
      <c r="BH1395" s="1">
        <v>0</v>
      </c>
      <c r="BI1395" s="1">
        <v>0</v>
      </c>
      <c r="BJ1395" s="1">
        <v>0</v>
      </c>
      <c r="BK1395" s="1">
        <v>0</v>
      </c>
      <c r="BL1395" s="1">
        <v>0</v>
      </c>
      <c r="BM1395" s="1">
        <v>0</v>
      </c>
      <c r="BN1395" s="1">
        <v>0</v>
      </c>
      <c r="BO1395" s="1">
        <v>0</v>
      </c>
      <c r="BP1395" s="1">
        <v>0</v>
      </c>
      <c r="BQ1395" s="1" t="s">
        <v>104</v>
      </c>
      <c r="BR1395" s="1">
        <v>1461</v>
      </c>
      <c r="BS1395" s="1" t="s">
        <v>104</v>
      </c>
      <c r="BX1395" s="1">
        <v>0</v>
      </c>
      <c r="BY1395" s="1" t="s">
        <v>104</v>
      </c>
      <c r="BZ1395" s="1" t="s">
        <v>104</v>
      </c>
      <c r="CA1395" s="1" t="s">
        <v>104</v>
      </c>
      <c r="CB1395" s="1" t="s">
        <v>104</v>
      </c>
      <c r="CC1395" s="1" t="s">
        <v>104</v>
      </c>
      <c r="CD1395" s="1" t="s">
        <v>104</v>
      </c>
      <c r="CE1395" s="1" t="s">
        <v>104</v>
      </c>
      <c r="CF1395" s="1" t="s">
        <v>104</v>
      </c>
      <c r="CG1395" s="1" t="s">
        <v>104</v>
      </c>
      <c r="CH1395" s="1" t="s">
        <v>104</v>
      </c>
      <c r="CJ1395" s="1">
        <v>0</v>
      </c>
      <c r="CK1395" s="1">
        <v>0</v>
      </c>
      <c r="CL1395" s="1">
        <v>0</v>
      </c>
      <c r="CM1395" s="1" t="s">
        <v>104</v>
      </c>
    </row>
    <row r="1396" spans="1:91" ht="14.25" customHeight="1" x14ac:dyDescent="0.3">
      <c r="A1396" s="1" t="s">
        <v>8048</v>
      </c>
      <c r="B1396" s="1" t="s">
        <v>434</v>
      </c>
      <c r="E1396" s="1" t="s">
        <v>7498</v>
      </c>
      <c r="F1396" s="1" t="s">
        <v>95</v>
      </c>
      <c r="G1396" s="1" t="s">
        <v>116</v>
      </c>
      <c r="H1396" s="1">
        <v>0</v>
      </c>
      <c r="I1396" s="1" t="s">
        <v>157</v>
      </c>
      <c r="L1396" s="1" t="s">
        <v>158</v>
      </c>
      <c r="M1396" s="1" t="s">
        <v>426</v>
      </c>
      <c r="N1396" s="1">
        <v>1</v>
      </c>
      <c r="O1396" s="1">
        <v>0</v>
      </c>
      <c r="P1396" s="1" t="s">
        <v>8049</v>
      </c>
      <c r="Q1396" s="1" t="s">
        <v>184</v>
      </c>
      <c r="R1396" s="1" t="s">
        <v>8050</v>
      </c>
      <c r="S1396" s="1" t="s">
        <v>8051</v>
      </c>
      <c r="T1396" s="1">
        <v>1</v>
      </c>
      <c r="U1396" s="1">
        <v>1</v>
      </c>
      <c r="V1396" s="1">
        <v>0</v>
      </c>
      <c r="W1396" s="1">
        <v>0</v>
      </c>
      <c r="X1396" s="1">
        <v>0</v>
      </c>
      <c r="Y1396" s="1">
        <v>3</v>
      </c>
      <c r="Z1396" s="1">
        <v>3</v>
      </c>
      <c r="AA1396" s="1" t="s">
        <v>104</v>
      </c>
      <c r="AB1396" s="1" t="s">
        <v>104</v>
      </c>
      <c r="AC1396" s="1" t="s">
        <v>104</v>
      </c>
      <c r="AD1396" s="1" t="s">
        <v>104</v>
      </c>
      <c r="AE1396" s="1" t="s">
        <v>104</v>
      </c>
      <c r="AF1396" s="1" t="s">
        <v>104</v>
      </c>
      <c r="AG1396" s="1" t="s">
        <v>104</v>
      </c>
      <c r="AH1396" s="1">
        <v>3</v>
      </c>
      <c r="AI1396" s="1" t="s">
        <v>104</v>
      </c>
      <c r="AJ1396" s="1" t="s">
        <v>104</v>
      </c>
      <c r="AK1396" s="1" t="s">
        <v>104</v>
      </c>
      <c r="AL1396" s="1" t="s">
        <v>104</v>
      </c>
      <c r="AM1396" s="1" t="s">
        <v>104</v>
      </c>
      <c r="AO1396" s="1">
        <v>3</v>
      </c>
      <c r="AR1396" s="1">
        <v>0</v>
      </c>
      <c r="AS1396" s="1">
        <v>0</v>
      </c>
      <c r="AT1396" s="1">
        <v>0</v>
      </c>
      <c r="AU1396" s="1">
        <v>0</v>
      </c>
      <c r="AV1396" s="1">
        <v>0</v>
      </c>
      <c r="AW1396" s="1">
        <v>0</v>
      </c>
      <c r="AX1396" s="1">
        <v>0</v>
      </c>
      <c r="AY1396" s="1">
        <v>0</v>
      </c>
      <c r="AZ1396" s="1">
        <v>0</v>
      </c>
      <c r="BA1396" s="1">
        <v>0</v>
      </c>
      <c r="BB1396" s="1">
        <v>0</v>
      </c>
      <c r="BC1396" s="1">
        <v>0</v>
      </c>
      <c r="BD1396" s="1">
        <v>0</v>
      </c>
      <c r="BE1396" s="1">
        <v>0</v>
      </c>
      <c r="BF1396" s="1">
        <v>0</v>
      </c>
      <c r="BG1396" s="1">
        <v>0</v>
      </c>
      <c r="BH1396" s="1">
        <v>0</v>
      </c>
      <c r="BI1396" s="1">
        <v>0</v>
      </c>
      <c r="BJ1396" s="1">
        <v>0</v>
      </c>
      <c r="BK1396" s="1">
        <v>0</v>
      </c>
      <c r="BL1396" s="1">
        <v>0</v>
      </c>
      <c r="BM1396" s="1">
        <v>0</v>
      </c>
      <c r="BN1396" s="1">
        <v>0</v>
      </c>
      <c r="BO1396" s="1">
        <v>0</v>
      </c>
      <c r="BP1396" s="1">
        <v>0</v>
      </c>
      <c r="BQ1396" s="1" t="s">
        <v>104</v>
      </c>
      <c r="BR1396" s="1">
        <v>1463</v>
      </c>
      <c r="BS1396" s="1" t="s">
        <v>104</v>
      </c>
      <c r="BX1396" s="1">
        <v>0</v>
      </c>
      <c r="BY1396" s="1" t="s">
        <v>104</v>
      </c>
      <c r="BZ1396" s="1" t="s">
        <v>104</v>
      </c>
      <c r="CA1396" s="1" t="s">
        <v>104</v>
      </c>
      <c r="CB1396" s="1" t="s">
        <v>104</v>
      </c>
      <c r="CC1396" s="1" t="s">
        <v>104</v>
      </c>
      <c r="CD1396" s="1" t="s">
        <v>104</v>
      </c>
      <c r="CE1396" s="1" t="s">
        <v>104</v>
      </c>
      <c r="CF1396" s="1" t="s">
        <v>104</v>
      </c>
      <c r="CG1396" s="1" t="s">
        <v>104</v>
      </c>
      <c r="CH1396" s="1" t="s">
        <v>104</v>
      </c>
      <c r="CJ1396" s="1">
        <v>0</v>
      </c>
      <c r="CK1396" s="1">
        <v>0</v>
      </c>
      <c r="CL1396" s="1">
        <v>0</v>
      </c>
      <c r="CM1396" s="1" t="s">
        <v>104</v>
      </c>
    </row>
    <row r="1397" spans="1:91" ht="14.25" customHeight="1" x14ac:dyDescent="0.3">
      <c r="A1397" s="1" t="s">
        <v>8052</v>
      </c>
      <c r="B1397" s="1" t="s">
        <v>216</v>
      </c>
      <c r="E1397" s="1" t="s">
        <v>8053</v>
      </c>
      <c r="F1397" s="1" t="s">
        <v>95</v>
      </c>
      <c r="G1397" s="1" t="s">
        <v>116</v>
      </c>
      <c r="H1397" s="1">
        <v>0</v>
      </c>
      <c r="I1397" s="1" t="s">
        <v>128</v>
      </c>
      <c r="L1397" s="1" t="s">
        <v>374</v>
      </c>
      <c r="M1397" s="1" t="s">
        <v>298</v>
      </c>
      <c r="N1397" s="1">
        <v>0</v>
      </c>
      <c r="O1397" s="1">
        <v>0</v>
      </c>
      <c r="P1397" s="1" t="s">
        <v>211</v>
      </c>
      <c r="Q1397" s="1" t="s">
        <v>184</v>
      </c>
      <c r="R1397" s="1" t="s">
        <v>8054</v>
      </c>
      <c r="S1397" s="1" t="s">
        <v>8055</v>
      </c>
      <c r="T1397" s="1">
        <v>1</v>
      </c>
      <c r="U1397" s="1">
        <v>1</v>
      </c>
      <c r="V1397" s="1">
        <v>0</v>
      </c>
      <c r="W1397" s="1">
        <v>0</v>
      </c>
      <c r="X1397" s="1">
        <v>0</v>
      </c>
      <c r="Y1397" s="1">
        <v>5</v>
      </c>
      <c r="Z1397" s="1">
        <v>5</v>
      </c>
      <c r="AA1397" s="1">
        <v>4</v>
      </c>
      <c r="AB1397" s="1" t="s">
        <v>104</v>
      </c>
      <c r="AC1397" s="1" t="s">
        <v>104</v>
      </c>
      <c r="AD1397" s="1" t="s">
        <v>104</v>
      </c>
      <c r="AE1397" s="1" t="s">
        <v>104</v>
      </c>
      <c r="AF1397" s="1" t="s">
        <v>104</v>
      </c>
      <c r="AG1397" s="1" t="s">
        <v>104</v>
      </c>
      <c r="AH1397" s="1">
        <v>4</v>
      </c>
      <c r="AI1397" s="1" t="s">
        <v>104</v>
      </c>
      <c r="AJ1397" s="1">
        <v>4</v>
      </c>
      <c r="AK1397" s="1" t="s">
        <v>104</v>
      </c>
      <c r="AL1397" s="1" t="s">
        <v>104</v>
      </c>
      <c r="AM1397" s="1" t="s">
        <v>104</v>
      </c>
      <c r="AO1397" s="1">
        <v>5</v>
      </c>
      <c r="AR1397" s="1">
        <v>0</v>
      </c>
      <c r="AS1397" s="1">
        <v>0</v>
      </c>
      <c r="AT1397" s="1">
        <v>0</v>
      </c>
      <c r="AU1397" s="1">
        <v>0</v>
      </c>
      <c r="AV1397" s="1">
        <v>0</v>
      </c>
      <c r="AW1397" s="1">
        <v>0</v>
      </c>
      <c r="AX1397" s="1">
        <v>0</v>
      </c>
      <c r="AY1397" s="1">
        <v>0</v>
      </c>
      <c r="AZ1397" s="1">
        <v>0</v>
      </c>
      <c r="BA1397" s="1">
        <v>0</v>
      </c>
      <c r="BB1397" s="1">
        <v>0</v>
      </c>
      <c r="BC1397" s="1">
        <v>0</v>
      </c>
      <c r="BD1397" s="1">
        <v>0</v>
      </c>
      <c r="BE1397" s="1">
        <v>0</v>
      </c>
      <c r="BF1397" s="1">
        <v>0</v>
      </c>
      <c r="BG1397" s="1">
        <v>0</v>
      </c>
      <c r="BH1397" s="1">
        <v>0</v>
      </c>
      <c r="BI1397" s="1">
        <v>0</v>
      </c>
      <c r="BJ1397" s="1">
        <v>0</v>
      </c>
      <c r="BK1397" s="1">
        <v>0</v>
      </c>
      <c r="BL1397" s="1">
        <v>0</v>
      </c>
      <c r="BM1397" s="1">
        <v>0</v>
      </c>
      <c r="BN1397" s="1">
        <v>0</v>
      </c>
      <c r="BO1397" s="1">
        <v>0</v>
      </c>
      <c r="BP1397" s="1">
        <v>0</v>
      </c>
      <c r="BQ1397" s="1" t="s">
        <v>104</v>
      </c>
      <c r="BR1397" s="1">
        <v>1464</v>
      </c>
      <c r="BS1397" s="1" t="s">
        <v>104</v>
      </c>
      <c r="BX1397" s="1">
        <v>0</v>
      </c>
      <c r="BY1397" s="1" t="s">
        <v>104</v>
      </c>
      <c r="BZ1397" s="1" t="s">
        <v>104</v>
      </c>
      <c r="CA1397" s="1" t="s">
        <v>104</v>
      </c>
      <c r="CB1397" s="1" t="s">
        <v>104</v>
      </c>
      <c r="CC1397" s="1" t="s">
        <v>104</v>
      </c>
      <c r="CD1397" s="1" t="s">
        <v>104</v>
      </c>
      <c r="CE1397" s="1" t="s">
        <v>104</v>
      </c>
      <c r="CF1397" s="1" t="s">
        <v>104</v>
      </c>
      <c r="CG1397" s="1" t="s">
        <v>104</v>
      </c>
      <c r="CH1397" s="1" t="s">
        <v>104</v>
      </c>
      <c r="CJ1397" s="1">
        <v>0</v>
      </c>
      <c r="CK1397" s="1">
        <v>0</v>
      </c>
      <c r="CL1397" s="1">
        <v>0</v>
      </c>
      <c r="CM1397" s="1" t="s">
        <v>104</v>
      </c>
    </row>
    <row r="1398" spans="1:91" ht="14.25" customHeight="1" x14ac:dyDescent="0.3">
      <c r="A1398" s="1" t="s">
        <v>8056</v>
      </c>
      <c r="B1398" s="1" t="s">
        <v>137</v>
      </c>
      <c r="E1398" s="1" t="s">
        <v>4341</v>
      </c>
      <c r="F1398" s="1" t="s">
        <v>95</v>
      </c>
      <c r="G1398" s="1" t="s">
        <v>913</v>
      </c>
      <c r="H1398" s="1">
        <v>0</v>
      </c>
      <c r="I1398" s="1" t="s">
        <v>97</v>
      </c>
      <c r="L1398" s="1" t="s">
        <v>8057</v>
      </c>
      <c r="M1398" s="1" t="s">
        <v>145</v>
      </c>
      <c r="N1398" s="1">
        <v>0</v>
      </c>
      <c r="O1398" s="1">
        <v>0</v>
      </c>
      <c r="P1398" s="1" t="s">
        <v>4401</v>
      </c>
      <c r="Q1398" s="1" t="s">
        <v>472</v>
      </c>
      <c r="R1398" s="1" t="s">
        <v>8058</v>
      </c>
      <c r="S1398" s="1" t="s">
        <v>8055</v>
      </c>
      <c r="T1398" s="1">
        <v>1</v>
      </c>
      <c r="U1398" s="1">
        <v>1</v>
      </c>
      <c r="V1398" s="1">
        <v>1</v>
      </c>
      <c r="W1398" s="1">
        <v>0</v>
      </c>
      <c r="X1398" s="1">
        <v>0</v>
      </c>
      <c r="Y1398" s="1">
        <v>9</v>
      </c>
      <c r="Z1398" s="1">
        <v>9</v>
      </c>
      <c r="AA1398" s="1">
        <v>9</v>
      </c>
      <c r="AB1398" s="1" t="s">
        <v>104</v>
      </c>
      <c r="AC1398" s="1" t="s">
        <v>104</v>
      </c>
      <c r="AD1398" s="1" t="s">
        <v>104</v>
      </c>
      <c r="AE1398" s="1" t="s">
        <v>104</v>
      </c>
      <c r="AF1398" s="1" t="s">
        <v>104</v>
      </c>
      <c r="AG1398" s="1" t="s">
        <v>104</v>
      </c>
      <c r="AH1398" s="1" t="s">
        <v>104</v>
      </c>
      <c r="AI1398" s="1" t="s">
        <v>104</v>
      </c>
      <c r="AJ1398" s="1">
        <v>9</v>
      </c>
      <c r="AK1398" s="1" t="s">
        <v>104</v>
      </c>
      <c r="AL1398" s="1" t="s">
        <v>104</v>
      </c>
      <c r="AM1398" s="1" t="s">
        <v>104</v>
      </c>
      <c r="AO1398" s="1">
        <v>9</v>
      </c>
      <c r="AR1398" s="1">
        <v>0</v>
      </c>
      <c r="AS1398" s="1">
        <v>0</v>
      </c>
      <c r="AT1398" s="1">
        <v>0</v>
      </c>
      <c r="AU1398" s="1">
        <v>0</v>
      </c>
      <c r="AV1398" s="1">
        <v>0</v>
      </c>
      <c r="AW1398" s="1">
        <v>0</v>
      </c>
      <c r="AX1398" s="1">
        <v>0</v>
      </c>
      <c r="AY1398" s="1">
        <v>0</v>
      </c>
      <c r="AZ1398" s="1">
        <v>0</v>
      </c>
      <c r="BA1398" s="1">
        <v>0</v>
      </c>
      <c r="BB1398" s="1">
        <v>0</v>
      </c>
      <c r="BC1398" s="1">
        <v>0</v>
      </c>
      <c r="BD1398" s="1">
        <v>0</v>
      </c>
      <c r="BE1398" s="1">
        <v>0</v>
      </c>
      <c r="BF1398" s="1">
        <v>0</v>
      </c>
      <c r="BG1398" s="1">
        <v>0</v>
      </c>
      <c r="BH1398" s="1">
        <v>0</v>
      </c>
      <c r="BI1398" s="1">
        <v>0</v>
      </c>
      <c r="BJ1398" s="1">
        <v>0</v>
      </c>
      <c r="BK1398" s="1">
        <v>0</v>
      </c>
      <c r="BL1398" s="1">
        <v>0</v>
      </c>
      <c r="BM1398" s="1">
        <v>0</v>
      </c>
      <c r="BN1398" s="1">
        <v>0</v>
      </c>
      <c r="BO1398" s="1">
        <v>0</v>
      </c>
      <c r="BP1398" s="1">
        <v>0</v>
      </c>
      <c r="BQ1398" s="1" t="s">
        <v>104</v>
      </c>
      <c r="BR1398" s="1">
        <v>1466</v>
      </c>
      <c r="BS1398" s="1" t="s">
        <v>104</v>
      </c>
      <c r="BX1398" s="1">
        <v>0</v>
      </c>
      <c r="BY1398" s="1" t="s">
        <v>104</v>
      </c>
      <c r="BZ1398" s="1" t="s">
        <v>104</v>
      </c>
      <c r="CA1398" s="1" t="s">
        <v>104</v>
      </c>
      <c r="CB1398" s="1" t="s">
        <v>104</v>
      </c>
      <c r="CC1398" s="1" t="s">
        <v>104</v>
      </c>
      <c r="CD1398" s="1" t="s">
        <v>104</v>
      </c>
      <c r="CE1398" s="1" t="s">
        <v>104</v>
      </c>
      <c r="CF1398" s="1" t="s">
        <v>104</v>
      </c>
      <c r="CG1398" s="1" t="s">
        <v>104</v>
      </c>
      <c r="CH1398" s="1" t="s">
        <v>104</v>
      </c>
      <c r="CJ1398" s="1">
        <v>0</v>
      </c>
      <c r="CK1398" s="1">
        <v>0</v>
      </c>
      <c r="CL1398" s="1">
        <v>0</v>
      </c>
      <c r="CM1398" s="1" t="s">
        <v>104</v>
      </c>
    </row>
    <row r="1399" spans="1:91" ht="14.25" customHeight="1" x14ac:dyDescent="0.3">
      <c r="A1399" s="1" t="s">
        <v>8059</v>
      </c>
      <c r="B1399" s="1" t="s">
        <v>216</v>
      </c>
      <c r="E1399" s="1" t="s">
        <v>8060</v>
      </c>
      <c r="F1399" s="1" t="s">
        <v>95</v>
      </c>
      <c r="G1399" s="1" t="s">
        <v>913</v>
      </c>
      <c r="H1399" s="1">
        <v>0</v>
      </c>
      <c r="I1399" s="1" t="s">
        <v>128</v>
      </c>
      <c r="L1399" s="1" t="s">
        <v>8061</v>
      </c>
      <c r="M1399" s="1" t="s">
        <v>194</v>
      </c>
      <c r="N1399" s="1">
        <v>0</v>
      </c>
      <c r="O1399" s="1">
        <v>0</v>
      </c>
      <c r="P1399" s="1" t="s">
        <v>100</v>
      </c>
      <c r="Q1399" s="1" t="s">
        <v>101</v>
      </c>
      <c r="R1399" s="1" t="s">
        <v>8062</v>
      </c>
      <c r="S1399" s="1" t="s">
        <v>8055</v>
      </c>
      <c r="T1399" s="1">
        <v>1</v>
      </c>
      <c r="U1399" s="1">
        <v>1</v>
      </c>
      <c r="V1399" s="1">
        <v>1</v>
      </c>
      <c r="W1399" s="1">
        <v>0</v>
      </c>
      <c r="X1399" s="1">
        <v>0</v>
      </c>
      <c r="Y1399" s="1">
        <v>4</v>
      </c>
      <c r="Z1399" s="1">
        <v>4</v>
      </c>
      <c r="AA1399" s="1">
        <v>3</v>
      </c>
      <c r="AB1399" s="1" t="s">
        <v>104</v>
      </c>
      <c r="AC1399" s="1" t="s">
        <v>104</v>
      </c>
      <c r="AD1399" s="1" t="s">
        <v>104</v>
      </c>
      <c r="AE1399" s="1" t="s">
        <v>104</v>
      </c>
      <c r="AF1399" s="1" t="s">
        <v>104</v>
      </c>
      <c r="AG1399" s="1">
        <v>4</v>
      </c>
      <c r="AH1399" s="1">
        <v>4</v>
      </c>
      <c r="AI1399" s="1" t="s">
        <v>104</v>
      </c>
      <c r="AJ1399" s="1">
        <v>3</v>
      </c>
      <c r="AK1399" s="1" t="s">
        <v>104</v>
      </c>
      <c r="AL1399" s="1" t="s">
        <v>104</v>
      </c>
      <c r="AM1399" s="1" t="s">
        <v>104</v>
      </c>
      <c r="AO1399" s="1">
        <v>4</v>
      </c>
      <c r="AR1399" s="1">
        <v>0</v>
      </c>
      <c r="AS1399" s="1">
        <v>0</v>
      </c>
      <c r="AT1399" s="1">
        <v>0</v>
      </c>
      <c r="AU1399" s="1">
        <v>0</v>
      </c>
      <c r="AV1399" s="1">
        <v>0</v>
      </c>
      <c r="AW1399" s="1">
        <v>0</v>
      </c>
      <c r="AX1399" s="1">
        <v>0</v>
      </c>
      <c r="AY1399" s="1">
        <v>0</v>
      </c>
      <c r="AZ1399" s="1">
        <v>0</v>
      </c>
      <c r="BA1399" s="1">
        <v>0</v>
      </c>
      <c r="BB1399" s="1">
        <v>0</v>
      </c>
      <c r="BC1399" s="1">
        <v>0</v>
      </c>
      <c r="BD1399" s="1">
        <v>0</v>
      </c>
      <c r="BE1399" s="1">
        <v>0</v>
      </c>
      <c r="BF1399" s="1">
        <v>0</v>
      </c>
      <c r="BG1399" s="1">
        <v>0</v>
      </c>
      <c r="BH1399" s="1">
        <v>0</v>
      </c>
      <c r="BI1399" s="1">
        <v>0</v>
      </c>
      <c r="BJ1399" s="1">
        <v>0</v>
      </c>
      <c r="BK1399" s="1">
        <v>0</v>
      </c>
      <c r="BL1399" s="1">
        <v>0</v>
      </c>
      <c r="BM1399" s="1">
        <v>0</v>
      </c>
      <c r="BN1399" s="1">
        <v>0</v>
      </c>
      <c r="BO1399" s="1">
        <v>0</v>
      </c>
      <c r="BP1399" s="1">
        <v>0</v>
      </c>
      <c r="BQ1399" s="1" t="s">
        <v>104</v>
      </c>
      <c r="BR1399" s="1">
        <v>1467</v>
      </c>
      <c r="BS1399" s="1" t="s">
        <v>104</v>
      </c>
      <c r="BX1399" s="1">
        <v>0</v>
      </c>
      <c r="BY1399" s="1" t="s">
        <v>104</v>
      </c>
      <c r="BZ1399" s="1" t="s">
        <v>104</v>
      </c>
      <c r="CA1399" s="1" t="s">
        <v>104</v>
      </c>
      <c r="CB1399" s="1" t="s">
        <v>104</v>
      </c>
      <c r="CC1399" s="1" t="s">
        <v>104</v>
      </c>
      <c r="CD1399" s="1" t="s">
        <v>104</v>
      </c>
      <c r="CE1399" s="1" t="s">
        <v>104</v>
      </c>
      <c r="CF1399" s="1" t="s">
        <v>104</v>
      </c>
      <c r="CG1399" s="1" t="s">
        <v>104</v>
      </c>
      <c r="CH1399" s="1" t="s">
        <v>104</v>
      </c>
      <c r="CJ1399" s="1">
        <v>0</v>
      </c>
      <c r="CK1399" s="1">
        <v>0</v>
      </c>
      <c r="CL1399" s="1">
        <v>0</v>
      </c>
      <c r="CM1399" s="1">
        <v>4</v>
      </c>
    </row>
    <row r="1400" spans="1:91" ht="14.25" customHeight="1" x14ac:dyDescent="0.3">
      <c r="A1400" s="1" t="s">
        <v>8063</v>
      </c>
      <c r="B1400" s="1" t="s">
        <v>172</v>
      </c>
      <c r="C1400" s="1" t="s">
        <v>285</v>
      </c>
      <c r="D1400" s="1" t="s">
        <v>8064</v>
      </c>
      <c r="E1400" s="1" t="s">
        <v>8065</v>
      </c>
      <c r="F1400" s="1" t="s">
        <v>95</v>
      </c>
      <c r="G1400" s="1" t="s">
        <v>8066</v>
      </c>
      <c r="H1400" s="1">
        <v>0</v>
      </c>
      <c r="I1400" s="1" t="s">
        <v>145</v>
      </c>
      <c r="K1400" s="1" t="s">
        <v>8067</v>
      </c>
      <c r="M1400" s="1" t="s">
        <v>201</v>
      </c>
      <c r="N1400" s="1">
        <v>0</v>
      </c>
      <c r="O1400" s="1">
        <v>0</v>
      </c>
      <c r="P1400" s="1" t="s">
        <v>471</v>
      </c>
      <c r="Q1400" s="1" t="s">
        <v>472</v>
      </c>
      <c r="R1400" s="1" t="s">
        <v>8068</v>
      </c>
      <c r="S1400" s="1" t="s">
        <v>8055</v>
      </c>
      <c r="T1400" s="1">
        <v>1</v>
      </c>
      <c r="U1400" s="1">
        <v>1</v>
      </c>
      <c r="V1400" s="1">
        <v>0</v>
      </c>
      <c r="W1400" s="1">
        <v>0</v>
      </c>
      <c r="X1400" s="1">
        <v>0</v>
      </c>
      <c r="Y1400" s="1">
        <v>2</v>
      </c>
      <c r="Z1400" s="1">
        <v>2</v>
      </c>
      <c r="AA1400" s="1">
        <v>2</v>
      </c>
      <c r="AB1400" s="1" t="s">
        <v>104</v>
      </c>
      <c r="AC1400" s="1" t="s">
        <v>104</v>
      </c>
      <c r="AD1400" s="1">
        <v>2</v>
      </c>
      <c r="AE1400" s="1" t="s">
        <v>104</v>
      </c>
      <c r="AF1400" s="1" t="s">
        <v>104</v>
      </c>
      <c r="AG1400" s="1" t="s">
        <v>104</v>
      </c>
      <c r="AH1400" s="1" t="s">
        <v>104</v>
      </c>
      <c r="AI1400" s="1" t="s">
        <v>104</v>
      </c>
      <c r="AJ1400" s="1">
        <v>2</v>
      </c>
      <c r="AK1400" s="1" t="s">
        <v>104</v>
      </c>
      <c r="AL1400" s="1" t="s">
        <v>104</v>
      </c>
      <c r="AM1400" s="1" t="s">
        <v>104</v>
      </c>
      <c r="AO1400" s="1">
        <v>2</v>
      </c>
      <c r="AR1400" s="1">
        <v>0</v>
      </c>
      <c r="AS1400" s="1">
        <v>0</v>
      </c>
      <c r="AT1400" s="1">
        <v>0</v>
      </c>
      <c r="AU1400" s="1">
        <v>0</v>
      </c>
      <c r="AV1400" s="1">
        <v>0</v>
      </c>
      <c r="AW1400" s="1">
        <v>0</v>
      </c>
      <c r="AX1400" s="1">
        <v>0</v>
      </c>
      <c r="AY1400" s="1">
        <v>0</v>
      </c>
      <c r="AZ1400" s="1">
        <v>0</v>
      </c>
      <c r="BA1400" s="1">
        <v>0</v>
      </c>
      <c r="BB1400" s="1">
        <v>0</v>
      </c>
      <c r="BC1400" s="1">
        <v>0</v>
      </c>
      <c r="BD1400" s="1">
        <v>0</v>
      </c>
      <c r="BE1400" s="1">
        <v>0</v>
      </c>
      <c r="BF1400" s="1">
        <v>0</v>
      </c>
      <c r="BG1400" s="1">
        <v>0</v>
      </c>
      <c r="BH1400" s="1">
        <v>0</v>
      </c>
      <c r="BI1400" s="1">
        <v>0</v>
      </c>
      <c r="BJ1400" s="1">
        <v>0</v>
      </c>
      <c r="BK1400" s="1">
        <v>0</v>
      </c>
      <c r="BL1400" s="1">
        <v>0</v>
      </c>
      <c r="BM1400" s="1">
        <v>0</v>
      </c>
      <c r="BN1400" s="1">
        <v>0</v>
      </c>
      <c r="BO1400" s="1">
        <v>0</v>
      </c>
      <c r="BP1400" s="1">
        <v>0</v>
      </c>
      <c r="BQ1400" s="1" t="s">
        <v>104</v>
      </c>
      <c r="BR1400" s="1">
        <v>1468</v>
      </c>
      <c r="BS1400" s="1" t="s">
        <v>104</v>
      </c>
      <c r="BX1400" s="1">
        <v>0</v>
      </c>
      <c r="BY1400" s="1" t="s">
        <v>104</v>
      </c>
      <c r="BZ1400" s="1" t="s">
        <v>104</v>
      </c>
      <c r="CA1400" s="1" t="s">
        <v>104</v>
      </c>
      <c r="CB1400" s="1" t="s">
        <v>104</v>
      </c>
      <c r="CC1400" s="1" t="s">
        <v>104</v>
      </c>
      <c r="CD1400" s="1" t="s">
        <v>104</v>
      </c>
      <c r="CE1400" s="1" t="s">
        <v>104</v>
      </c>
      <c r="CF1400" s="1" t="s">
        <v>104</v>
      </c>
      <c r="CG1400" s="1" t="s">
        <v>104</v>
      </c>
      <c r="CH1400" s="1" t="s">
        <v>104</v>
      </c>
      <c r="CJ1400" s="1">
        <v>0</v>
      </c>
      <c r="CK1400" s="1">
        <v>0</v>
      </c>
      <c r="CL1400" s="1">
        <v>0</v>
      </c>
      <c r="CM1400" s="1" t="s">
        <v>104</v>
      </c>
    </row>
    <row r="1401" spans="1:91" ht="14.25" customHeight="1" x14ac:dyDescent="0.3">
      <c r="A1401" s="1" t="s">
        <v>8069</v>
      </c>
      <c r="B1401" s="1" t="s">
        <v>92</v>
      </c>
      <c r="C1401" s="1" t="s">
        <v>93</v>
      </c>
      <c r="E1401" s="1" t="s">
        <v>8070</v>
      </c>
      <c r="F1401" s="1" t="s">
        <v>95</v>
      </c>
      <c r="G1401" s="1" t="s">
        <v>913</v>
      </c>
      <c r="H1401" s="1">
        <v>0</v>
      </c>
      <c r="I1401" s="1" t="s">
        <v>97</v>
      </c>
      <c r="K1401" s="1" t="s">
        <v>8071</v>
      </c>
      <c r="M1401" s="1" t="s">
        <v>194</v>
      </c>
      <c r="N1401" s="1">
        <v>0</v>
      </c>
      <c r="O1401" s="1">
        <v>0</v>
      </c>
      <c r="P1401" s="1" t="s">
        <v>100</v>
      </c>
      <c r="Q1401" s="1" t="s">
        <v>101</v>
      </c>
      <c r="R1401" s="1" t="s">
        <v>8072</v>
      </c>
      <c r="S1401" s="1" t="s">
        <v>8055</v>
      </c>
      <c r="T1401" s="1">
        <v>1</v>
      </c>
      <c r="U1401" s="1">
        <v>1</v>
      </c>
      <c r="V1401" s="1">
        <v>1</v>
      </c>
      <c r="W1401" s="1">
        <v>0</v>
      </c>
      <c r="X1401" s="1">
        <v>0</v>
      </c>
      <c r="Y1401" s="1">
        <v>5</v>
      </c>
      <c r="Z1401" s="1">
        <v>5</v>
      </c>
      <c r="AA1401" s="1" t="s">
        <v>104</v>
      </c>
      <c r="AB1401" s="1" t="s">
        <v>104</v>
      </c>
      <c r="AC1401" s="1" t="s">
        <v>104</v>
      </c>
      <c r="AD1401" s="1">
        <v>4</v>
      </c>
      <c r="AE1401" s="1" t="s">
        <v>104</v>
      </c>
      <c r="AF1401" s="1" t="s">
        <v>104</v>
      </c>
      <c r="AG1401" s="1">
        <v>5</v>
      </c>
      <c r="AH1401" s="1">
        <v>5</v>
      </c>
      <c r="AI1401" s="1" t="s">
        <v>104</v>
      </c>
      <c r="AJ1401" s="1" t="s">
        <v>104</v>
      </c>
      <c r="AK1401" s="1" t="s">
        <v>104</v>
      </c>
      <c r="AL1401" s="1" t="s">
        <v>104</v>
      </c>
      <c r="AM1401" s="1" t="s">
        <v>104</v>
      </c>
      <c r="AO1401" s="1">
        <v>5</v>
      </c>
      <c r="AR1401" s="1">
        <v>0</v>
      </c>
      <c r="AS1401" s="1">
        <v>0</v>
      </c>
      <c r="AT1401" s="1">
        <v>0</v>
      </c>
      <c r="AU1401" s="1">
        <v>0</v>
      </c>
      <c r="AV1401" s="1">
        <v>0</v>
      </c>
      <c r="AW1401" s="1">
        <v>0</v>
      </c>
      <c r="AX1401" s="1">
        <v>0</v>
      </c>
      <c r="AY1401" s="1">
        <v>0</v>
      </c>
      <c r="AZ1401" s="1">
        <v>0</v>
      </c>
      <c r="BA1401" s="1">
        <v>0</v>
      </c>
      <c r="BB1401" s="1">
        <v>0</v>
      </c>
      <c r="BC1401" s="1">
        <v>0</v>
      </c>
      <c r="BD1401" s="1">
        <v>0</v>
      </c>
      <c r="BE1401" s="1">
        <v>0</v>
      </c>
      <c r="BF1401" s="1">
        <v>0</v>
      </c>
      <c r="BG1401" s="1">
        <v>0</v>
      </c>
      <c r="BH1401" s="1">
        <v>0</v>
      </c>
      <c r="BI1401" s="1">
        <v>0</v>
      </c>
      <c r="BJ1401" s="1">
        <v>0</v>
      </c>
      <c r="BK1401" s="1">
        <v>0</v>
      </c>
      <c r="BL1401" s="1">
        <v>0</v>
      </c>
      <c r="BM1401" s="1">
        <v>0</v>
      </c>
      <c r="BN1401" s="1">
        <v>0</v>
      </c>
      <c r="BO1401" s="1">
        <v>0</v>
      </c>
      <c r="BP1401" s="1">
        <v>0</v>
      </c>
      <c r="BQ1401" s="1" t="s">
        <v>104</v>
      </c>
      <c r="BR1401" s="1">
        <v>1469</v>
      </c>
      <c r="BS1401" s="1" t="s">
        <v>104</v>
      </c>
      <c r="BX1401" s="1">
        <v>0</v>
      </c>
      <c r="BY1401" s="1" t="s">
        <v>104</v>
      </c>
      <c r="BZ1401" s="1" t="s">
        <v>104</v>
      </c>
      <c r="CA1401" s="1" t="s">
        <v>104</v>
      </c>
      <c r="CB1401" s="1" t="s">
        <v>104</v>
      </c>
      <c r="CC1401" s="1" t="s">
        <v>104</v>
      </c>
      <c r="CD1401" s="1" t="s">
        <v>104</v>
      </c>
      <c r="CE1401" s="1" t="s">
        <v>104</v>
      </c>
      <c r="CF1401" s="1" t="s">
        <v>104</v>
      </c>
      <c r="CG1401" s="1" t="s">
        <v>104</v>
      </c>
      <c r="CH1401" s="1" t="s">
        <v>104</v>
      </c>
      <c r="CJ1401" s="1">
        <v>0</v>
      </c>
      <c r="CK1401" s="1">
        <v>0</v>
      </c>
      <c r="CL1401" s="1">
        <v>0</v>
      </c>
      <c r="CM1401" s="1">
        <v>5</v>
      </c>
    </row>
    <row r="1402" spans="1:91" ht="14.25" customHeight="1" x14ac:dyDescent="0.3">
      <c r="A1402" s="1" t="s">
        <v>8073</v>
      </c>
      <c r="B1402" s="1" t="s">
        <v>216</v>
      </c>
      <c r="D1402" s="1" t="s">
        <v>6046</v>
      </c>
      <c r="E1402" s="1" t="s">
        <v>8074</v>
      </c>
      <c r="F1402" s="1" t="s">
        <v>95</v>
      </c>
      <c r="G1402" s="1" t="s">
        <v>116</v>
      </c>
      <c r="H1402" s="1">
        <v>0</v>
      </c>
      <c r="I1402" s="1" t="s">
        <v>128</v>
      </c>
      <c r="L1402" s="1" t="s">
        <v>129</v>
      </c>
      <c r="M1402" s="1" t="s">
        <v>119</v>
      </c>
      <c r="N1402" s="1">
        <v>0</v>
      </c>
      <c r="O1402" s="1">
        <v>0</v>
      </c>
      <c r="P1402" s="1" t="s">
        <v>183</v>
      </c>
      <c r="Q1402" s="1" t="s">
        <v>184</v>
      </c>
      <c r="R1402" s="1" t="s">
        <v>8075</v>
      </c>
      <c r="S1402" s="1" t="s">
        <v>8076</v>
      </c>
      <c r="T1402" s="1">
        <v>1</v>
      </c>
      <c r="U1402" s="1">
        <v>1</v>
      </c>
      <c r="V1402" s="1">
        <v>0</v>
      </c>
      <c r="W1402" s="1">
        <v>0</v>
      </c>
      <c r="X1402" s="1">
        <v>0</v>
      </c>
      <c r="Y1402" s="1" t="s">
        <v>104</v>
      </c>
      <c r="Z1402" s="1" t="s">
        <v>104</v>
      </c>
      <c r="AA1402" s="1">
        <v>1</v>
      </c>
      <c r="AB1402" s="1">
        <v>1</v>
      </c>
      <c r="AC1402" s="1" t="s">
        <v>104</v>
      </c>
      <c r="AD1402" s="1" t="s">
        <v>104</v>
      </c>
      <c r="AE1402" s="1" t="s">
        <v>104</v>
      </c>
      <c r="AF1402" s="1" t="s">
        <v>104</v>
      </c>
      <c r="AG1402" s="1" t="s">
        <v>104</v>
      </c>
      <c r="AH1402" s="1" t="s">
        <v>104</v>
      </c>
      <c r="AI1402" s="1" t="s">
        <v>104</v>
      </c>
      <c r="AJ1402" s="1">
        <v>1</v>
      </c>
      <c r="AK1402" s="1" t="s">
        <v>104</v>
      </c>
      <c r="AL1402" s="1" t="s">
        <v>104</v>
      </c>
      <c r="AM1402" s="1" t="s">
        <v>104</v>
      </c>
      <c r="AN1402" s="1" t="s">
        <v>8077</v>
      </c>
      <c r="AO1402" s="1">
        <v>1</v>
      </c>
      <c r="AR1402" s="1">
        <v>0</v>
      </c>
      <c r="AS1402" s="1">
        <v>0</v>
      </c>
      <c r="AT1402" s="1">
        <v>0</v>
      </c>
      <c r="AU1402" s="1">
        <v>0</v>
      </c>
      <c r="AV1402" s="1">
        <v>0</v>
      </c>
      <c r="AW1402" s="1">
        <v>0</v>
      </c>
      <c r="AX1402" s="1">
        <v>0</v>
      </c>
      <c r="AY1402" s="1">
        <v>1</v>
      </c>
      <c r="AZ1402" s="1">
        <v>0</v>
      </c>
      <c r="BA1402" s="1">
        <v>0</v>
      </c>
      <c r="BB1402" s="1">
        <v>0</v>
      </c>
      <c r="BC1402" s="1">
        <v>1</v>
      </c>
      <c r="BD1402" s="1">
        <v>0</v>
      </c>
      <c r="BE1402" s="1">
        <v>0</v>
      </c>
      <c r="BF1402" s="1">
        <v>0</v>
      </c>
      <c r="BG1402" s="1">
        <v>0</v>
      </c>
      <c r="BH1402" s="1">
        <v>0</v>
      </c>
      <c r="BI1402" s="1">
        <v>0</v>
      </c>
      <c r="BJ1402" s="1">
        <v>0</v>
      </c>
      <c r="BK1402" s="1">
        <v>0</v>
      </c>
      <c r="BL1402" s="1">
        <v>0</v>
      </c>
      <c r="BM1402" s="1">
        <v>0</v>
      </c>
      <c r="BN1402" s="1">
        <v>0</v>
      </c>
      <c r="BO1402" s="1">
        <v>0</v>
      </c>
      <c r="BP1402" s="1">
        <v>0</v>
      </c>
      <c r="BQ1402" s="1" t="s">
        <v>104</v>
      </c>
      <c r="BR1402" s="1">
        <v>1472</v>
      </c>
      <c r="BS1402" s="1" t="s">
        <v>104</v>
      </c>
      <c r="BX1402" s="1">
        <v>0</v>
      </c>
      <c r="BY1402" s="1" t="s">
        <v>104</v>
      </c>
      <c r="BZ1402" s="1" t="s">
        <v>104</v>
      </c>
      <c r="CA1402" s="1" t="s">
        <v>104</v>
      </c>
      <c r="CB1402" s="1" t="s">
        <v>104</v>
      </c>
      <c r="CC1402" s="1" t="s">
        <v>104</v>
      </c>
      <c r="CD1402" s="1" t="s">
        <v>104</v>
      </c>
      <c r="CE1402" s="1" t="s">
        <v>104</v>
      </c>
      <c r="CF1402" s="1" t="s">
        <v>104</v>
      </c>
      <c r="CG1402" s="1" t="s">
        <v>104</v>
      </c>
      <c r="CH1402" s="1">
        <v>1</v>
      </c>
      <c r="CJ1402" s="1">
        <v>0</v>
      </c>
      <c r="CK1402" s="1">
        <v>0</v>
      </c>
      <c r="CL1402" s="1">
        <v>0</v>
      </c>
      <c r="CM1402" s="1" t="s">
        <v>104</v>
      </c>
    </row>
    <row r="1403" spans="1:91" ht="14.25" customHeight="1" x14ac:dyDescent="0.3">
      <c r="A1403" s="1" t="s">
        <v>8078</v>
      </c>
      <c r="B1403" s="1" t="s">
        <v>92</v>
      </c>
      <c r="C1403" s="1" t="s">
        <v>93</v>
      </c>
      <c r="D1403" s="1" t="s">
        <v>64</v>
      </c>
      <c r="E1403" s="1" t="s">
        <v>8079</v>
      </c>
      <c r="F1403" s="1" t="s">
        <v>95</v>
      </c>
      <c r="G1403" s="1" t="s">
        <v>8080</v>
      </c>
      <c r="H1403" s="1">
        <v>0</v>
      </c>
      <c r="I1403" s="1" t="s">
        <v>117</v>
      </c>
      <c r="K1403" s="1" t="s">
        <v>711</v>
      </c>
      <c r="M1403" s="1" t="s">
        <v>111</v>
      </c>
      <c r="N1403" s="1">
        <v>0</v>
      </c>
      <c r="O1403" s="1">
        <v>0</v>
      </c>
      <c r="P1403" s="1" t="s">
        <v>2807</v>
      </c>
      <c r="Q1403" s="1" t="s">
        <v>101</v>
      </c>
      <c r="R1403" s="1" t="s">
        <v>8081</v>
      </c>
      <c r="S1403" s="1" t="s">
        <v>8076</v>
      </c>
      <c r="T1403" s="1">
        <v>1</v>
      </c>
      <c r="U1403" s="1">
        <v>1</v>
      </c>
      <c r="V1403" s="1">
        <v>1</v>
      </c>
      <c r="W1403" s="1">
        <v>0</v>
      </c>
      <c r="X1403" s="1">
        <v>0</v>
      </c>
      <c r="Y1403" s="1">
        <v>2</v>
      </c>
      <c r="Z1403" s="1">
        <v>2</v>
      </c>
      <c r="AA1403" s="1">
        <v>2</v>
      </c>
      <c r="AB1403" s="1">
        <v>2</v>
      </c>
      <c r="AC1403" s="1" t="s">
        <v>104</v>
      </c>
      <c r="AD1403" s="1" t="s">
        <v>104</v>
      </c>
      <c r="AE1403" s="1" t="s">
        <v>104</v>
      </c>
      <c r="AF1403" s="1" t="s">
        <v>104</v>
      </c>
      <c r="AG1403" s="1" t="s">
        <v>104</v>
      </c>
      <c r="AH1403" s="1" t="s">
        <v>104</v>
      </c>
      <c r="AI1403" s="1" t="s">
        <v>104</v>
      </c>
      <c r="AJ1403" s="1">
        <v>2</v>
      </c>
      <c r="AK1403" s="1" t="s">
        <v>104</v>
      </c>
      <c r="AL1403" s="1" t="s">
        <v>104</v>
      </c>
      <c r="AM1403" s="1" t="s">
        <v>104</v>
      </c>
      <c r="AN1403" s="1" t="s">
        <v>8077</v>
      </c>
      <c r="AO1403" s="1">
        <v>2</v>
      </c>
      <c r="AR1403" s="1">
        <v>0</v>
      </c>
      <c r="AS1403" s="1">
        <v>0</v>
      </c>
      <c r="AT1403" s="1">
        <v>0</v>
      </c>
      <c r="AU1403" s="1">
        <v>0</v>
      </c>
      <c r="AV1403" s="1">
        <v>0</v>
      </c>
      <c r="AW1403" s="1">
        <v>0</v>
      </c>
      <c r="AX1403" s="1">
        <v>0</v>
      </c>
      <c r="AY1403" s="1">
        <v>0</v>
      </c>
      <c r="AZ1403" s="1">
        <v>0</v>
      </c>
      <c r="BA1403" s="1">
        <v>0</v>
      </c>
      <c r="BB1403" s="1">
        <v>0</v>
      </c>
      <c r="BC1403" s="1">
        <v>0</v>
      </c>
      <c r="BD1403" s="1">
        <v>0</v>
      </c>
      <c r="BE1403" s="1">
        <v>0</v>
      </c>
      <c r="BF1403" s="1">
        <v>0</v>
      </c>
      <c r="BG1403" s="1">
        <v>0</v>
      </c>
      <c r="BH1403" s="1">
        <v>0</v>
      </c>
      <c r="BI1403" s="1">
        <v>0</v>
      </c>
      <c r="BJ1403" s="1">
        <v>0</v>
      </c>
      <c r="BK1403" s="1">
        <v>0</v>
      </c>
      <c r="BL1403" s="1">
        <v>0</v>
      </c>
      <c r="BM1403" s="1">
        <v>1</v>
      </c>
      <c r="BN1403" s="1">
        <v>0</v>
      </c>
      <c r="BO1403" s="1">
        <v>0</v>
      </c>
      <c r="BP1403" s="1">
        <v>0</v>
      </c>
      <c r="BQ1403" s="1" t="s">
        <v>104</v>
      </c>
      <c r="BR1403" s="1">
        <v>1473</v>
      </c>
      <c r="BS1403" s="1" t="s">
        <v>104</v>
      </c>
      <c r="BX1403" s="1">
        <v>0</v>
      </c>
      <c r="BY1403" s="1" t="s">
        <v>104</v>
      </c>
      <c r="BZ1403" s="1" t="s">
        <v>104</v>
      </c>
      <c r="CA1403" s="1" t="s">
        <v>104</v>
      </c>
      <c r="CB1403" s="1" t="s">
        <v>104</v>
      </c>
      <c r="CC1403" s="1" t="s">
        <v>104</v>
      </c>
      <c r="CD1403" s="1" t="s">
        <v>104</v>
      </c>
      <c r="CE1403" s="1" t="s">
        <v>104</v>
      </c>
      <c r="CF1403" s="1" t="s">
        <v>104</v>
      </c>
      <c r="CG1403" s="1" t="s">
        <v>104</v>
      </c>
      <c r="CH1403" s="1">
        <v>2</v>
      </c>
      <c r="CJ1403" s="1">
        <v>0</v>
      </c>
      <c r="CK1403" s="1">
        <v>0</v>
      </c>
      <c r="CL1403" s="1">
        <v>0</v>
      </c>
      <c r="CM1403" s="1" t="s">
        <v>104</v>
      </c>
    </row>
    <row r="1404" spans="1:91" ht="14.25" customHeight="1" x14ac:dyDescent="0.3">
      <c r="A1404" s="1" t="s">
        <v>8082</v>
      </c>
      <c r="B1404" s="1" t="s">
        <v>137</v>
      </c>
      <c r="E1404" s="1" t="s">
        <v>4226</v>
      </c>
      <c r="F1404" s="1" t="s">
        <v>191</v>
      </c>
      <c r="G1404" s="1" t="s">
        <v>8083</v>
      </c>
      <c r="H1404" s="1">
        <v>0</v>
      </c>
      <c r="I1404" s="1" t="s">
        <v>128</v>
      </c>
      <c r="L1404" s="1" t="s">
        <v>8084</v>
      </c>
      <c r="M1404" s="1" t="s">
        <v>4292</v>
      </c>
      <c r="N1404" s="1">
        <v>0</v>
      </c>
      <c r="O1404" s="1">
        <v>0</v>
      </c>
      <c r="P1404" s="1" t="s">
        <v>375</v>
      </c>
      <c r="Q1404" s="1" t="s">
        <v>101</v>
      </c>
      <c r="R1404" s="1" t="s">
        <v>8085</v>
      </c>
      <c r="S1404" s="1" t="s">
        <v>8086</v>
      </c>
      <c r="T1404" s="1">
        <v>1</v>
      </c>
      <c r="U1404" s="1">
        <v>1</v>
      </c>
      <c r="V1404" s="1">
        <v>1</v>
      </c>
      <c r="W1404" s="1">
        <v>0</v>
      </c>
      <c r="X1404" s="1">
        <v>1</v>
      </c>
      <c r="Y1404" s="1">
        <v>7</v>
      </c>
      <c r="Z1404" s="1">
        <v>7</v>
      </c>
      <c r="AA1404" s="1">
        <v>7</v>
      </c>
      <c r="AB1404" s="1" t="s">
        <v>104</v>
      </c>
      <c r="AC1404" s="1" t="s">
        <v>104</v>
      </c>
      <c r="AD1404" s="1" t="s">
        <v>104</v>
      </c>
      <c r="AE1404" s="1" t="s">
        <v>104</v>
      </c>
      <c r="AF1404" s="1" t="s">
        <v>104</v>
      </c>
      <c r="AG1404" s="1" t="s">
        <v>104</v>
      </c>
      <c r="AH1404" s="1" t="s">
        <v>104</v>
      </c>
      <c r="AI1404" s="1" t="s">
        <v>104</v>
      </c>
      <c r="AJ1404" s="1">
        <v>7</v>
      </c>
      <c r="AK1404" s="1" t="s">
        <v>104</v>
      </c>
      <c r="AL1404" s="1" t="s">
        <v>104</v>
      </c>
      <c r="AM1404" s="1" t="s">
        <v>104</v>
      </c>
      <c r="AO1404" s="1">
        <v>7</v>
      </c>
      <c r="AR1404" s="1">
        <v>0</v>
      </c>
      <c r="AS1404" s="1">
        <v>0</v>
      </c>
      <c r="AT1404" s="1">
        <v>0</v>
      </c>
      <c r="AU1404" s="1">
        <v>0</v>
      </c>
      <c r="AV1404" s="1">
        <v>0</v>
      </c>
      <c r="AW1404" s="1">
        <v>0</v>
      </c>
      <c r="AX1404" s="1">
        <v>0</v>
      </c>
      <c r="AY1404" s="1">
        <v>0</v>
      </c>
      <c r="AZ1404" s="1">
        <v>0</v>
      </c>
      <c r="BA1404" s="1">
        <v>0</v>
      </c>
      <c r="BB1404" s="1">
        <v>0</v>
      </c>
      <c r="BC1404" s="1">
        <v>0</v>
      </c>
      <c r="BD1404" s="1">
        <v>0</v>
      </c>
      <c r="BE1404" s="1">
        <v>0</v>
      </c>
      <c r="BF1404" s="1">
        <v>0</v>
      </c>
      <c r="BG1404" s="1">
        <v>0</v>
      </c>
      <c r="BH1404" s="1">
        <v>0</v>
      </c>
      <c r="BI1404" s="1">
        <v>0</v>
      </c>
      <c r="BJ1404" s="1">
        <v>0</v>
      </c>
      <c r="BK1404" s="1">
        <v>0</v>
      </c>
      <c r="BL1404" s="1">
        <v>0</v>
      </c>
      <c r="BM1404" s="1">
        <v>0</v>
      </c>
      <c r="BN1404" s="1">
        <v>0</v>
      </c>
      <c r="BO1404" s="1">
        <v>0</v>
      </c>
      <c r="BP1404" s="1">
        <v>0</v>
      </c>
      <c r="BQ1404" s="1" t="s">
        <v>104</v>
      </c>
      <c r="BR1404" s="1">
        <v>1474</v>
      </c>
      <c r="BS1404" s="1" t="s">
        <v>104</v>
      </c>
      <c r="BX1404" s="1">
        <v>0</v>
      </c>
      <c r="BY1404" s="1" t="s">
        <v>104</v>
      </c>
      <c r="BZ1404" s="1" t="s">
        <v>104</v>
      </c>
      <c r="CA1404" s="1" t="s">
        <v>104</v>
      </c>
      <c r="CB1404" s="1" t="s">
        <v>104</v>
      </c>
      <c r="CC1404" s="1" t="s">
        <v>104</v>
      </c>
      <c r="CD1404" s="1" t="s">
        <v>104</v>
      </c>
      <c r="CE1404" s="1" t="s">
        <v>104</v>
      </c>
      <c r="CF1404" s="1" t="s">
        <v>104</v>
      </c>
      <c r="CG1404" s="1" t="s">
        <v>104</v>
      </c>
      <c r="CH1404" s="1" t="s">
        <v>104</v>
      </c>
      <c r="CJ1404" s="1">
        <v>0</v>
      </c>
      <c r="CK1404" s="1">
        <v>0</v>
      </c>
      <c r="CL1404" s="1">
        <v>0</v>
      </c>
      <c r="CM1404" s="1" t="s">
        <v>104</v>
      </c>
    </row>
    <row r="1405" spans="1:91" ht="14.25" customHeight="1" x14ac:dyDescent="0.3">
      <c r="A1405" s="1" t="s">
        <v>8087</v>
      </c>
      <c r="B1405" s="1" t="s">
        <v>434</v>
      </c>
      <c r="E1405" s="1" t="s">
        <v>8088</v>
      </c>
      <c r="F1405" s="1" t="s">
        <v>95</v>
      </c>
      <c r="G1405" s="1" t="s">
        <v>8089</v>
      </c>
      <c r="H1405" s="1">
        <v>1</v>
      </c>
      <c r="I1405" s="1" t="s">
        <v>128</v>
      </c>
      <c r="L1405" s="1" t="s">
        <v>374</v>
      </c>
      <c r="M1405" s="1" t="s">
        <v>111</v>
      </c>
      <c r="N1405" s="1">
        <v>0</v>
      </c>
      <c r="O1405" s="1">
        <v>0</v>
      </c>
      <c r="P1405" s="1" t="s">
        <v>375</v>
      </c>
      <c r="Q1405" s="1" t="s">
        <v>101</v>
      </c>
      <c r="R1405" s="1" t="s">
        <v>8090</v>
      </c>
      <c r="S1405" s="1" t="s">
        <v>4403</v>
      </c>
      <c r="T1405" s="1">
        <v>1</v>
      </c>
      <c r="U1405" s="1">
        <v>1</v>
      </c>
      <c r="V1405" s="1">
        <v>1</v>
      </c>
      <c r="W1405" s="1">
        <v>0</v>
      </c>
      <c r="X1405" s="1">
        <v>1</v>
      </c>
      <c r="Y1405" s="1" t="s">
        <v>104</v>
      </c>
      <c r="Z1405" s="1" t="s">
        <v>104</v>
      </c>
      <c r="AA1405" s="1">
        <v>2</v>
      </c>
      <c r="AB1405" s="1" t="s">
        <v>104</v>
      </c>
      <c r="AC1405" s="1" t="s">
        <v>104</v>
      </c>
      <c r="AD1405" s="1">
        <v>2</v>
      </c>
      <c r="AE1405" s="1">
        <v>3</v>
      </c>
      <c r="AF1405" s="1">
        <v>2</v>
      </c>
      <c r="AG1405" s="1" t="s">
        <v>104</v>
      </c>
      <c r="AH1405" s="1" t="s">
        <v>104</v>
      </c>
      <c r="AI1405" s="1" t="s">
        <v>104</v>
      </c>
      <c r="AJ1405" s="1">
        <v>2</v>
      </c>
      <c r="AK1405" s="1" t="s">
        <v>104</v>
      </c>
      <c r="AL1405" s="1" t="s">
        <v>104</v>
      </c>
      <c r="AM1405" s="1" t="s">
        <v>104</v>
      </c>
      <c r="AO1405" s="1">
        <v>2</v>
      </c>
      <c r="AR1405" s="1">
        <v>0</v>
      </c>
      <c r="AS1405" s="1">
        <v>0</v>
      </c>
      <c r="AT1405" s="1">
        <v>0</v>
      </c>
      <c r="AU1405" s="1">
        <v>0</v>
      </c>
      <c r="AV1405" s="1">
        <v>0</v>
      </c>
      <c r="AW1405" s="1">
        <v>0</v>
      </c>
      <c r="AX1405" s="1">
        <v>0</v>
      </c>
      <c r="AY1405" s="1">
        <v>0</v>
      </c>
      <c r="AZ1405" s="1">
        <v>0</v>
      </c>
      <c r="BA1405" s="1">
        <v>0</v>
      </c>
      <c r="BB1405" s="1">
        <v>0</v>
      </c>
      <c r="BC1405" s="1">
        <v>0</v>
      </c>
      <c r="BD1405" s="1">
        <v>0</v>
      </c>
      <c r="BE1405" s="1">
        <v>0</v>
      </c>
      <c r="BF1405" s="1">
        <v>0</v>
      </c>
      <c r="BG1405" s="1">
        <v>0</v>
      </c>
      <c r="BH1405" s="1">
        <v>0</v>
      </c>
      <c r="BI1405" s="1">
        <v>0</v>
      </c>
      <c r="BJ1405" s="1">
        <v>0</v>
      </c>
      <c r="BK1405" s="1">
        <v>0</v>
      </c>
      <c r="BL1405" s="1">
        <v>0</v>
      </c>
      <c r="BM1405" s="1">
        <v>0</v>
      </c>
      <c r="BN1405" s="1">
        <v>0</v>
      </c>
      <c r="BO1405" s="1">
        <v>0</v>
      </c>
      <c r="BP1405" s="1">
        <v>0</v>
      </c>
      <c r="BQ1405" s="1" t="s">
        <v>104</v>
      </c>
      <c r="BR1405" s="1">
        <v>1475</v>
      </c>
      <c r="BS1405" s="1">
        <v>100</v>
      </c>
      <c r="BX1405" s="1">
        <v>0</v>
      </c>
      <c r="BY1405" s="1" t="s">
        <v>104</v>
      </c>
      <c r="BZ1405" s="1" t="s">
        <v>104</v>
      </c>
      <c r="CA1405" s="1" t="s">
        <v>104</v>
      </c>
      <c r="CB1405" s="1" t="s">
        <v>104</v>
      </c>
      <c r="CC1405" s="1" t="s">
        <v>104</v>
      </c>
      <c r="CD1405" s="1" t="s">
        <v>104</v>
      </c>
      <c r="CE1405" s="1" t="s">
        <v>104</v>
      </c>
      <c r="CF1405" s="1" t="s">
        <v>104</v>
      </c>
      <c r="CG1405" s="1" t="s">
        <v>104</v>
      </c>
      <c r="CH1405" s="1" t="s">
        <v>104</v>
      </c>
      <c r="CJ1405" s="1">
        <v>0</v>
      </c>
      <c r="CK1405" s="1">
        <v>0</v>
      </c>
      <c r="CL1405" s="1">
        <v>0</v>
      </c>
      <c r="CM1405" s="1" t="s">
        <v>104</v>
      </c>
    </row>
    <row r="1406" spans="1:91" ht="14.25" customHeight="1" x14ac:dyDescent="0.3">
      <c r="A1406" s="1" t="s">
        <v>8091</v>
      </c>
      <c r="B1406" s="1" t="s">
        <v>434</v>
      </c>
      <c r="E1406" s="1" t="s">
        <v>8092</v>
      </c>
      <c r="F1406" s="1" t="s">
        <v>95</v>
      </c>
      <c r="G1406" s="1" t="s">
        <v>8093</v>
      </c>
      <c r="H1406" s="1">
        <v>1</v>
      </c>
      <c r="I1406" s="1" t="s">
        <v>117</v>
      </c>
      <c r="L1406" s="1" t="s">
        <v>8094</v>
      </c>
      <c r="M1406" s="1" t="s">
        <v>111</v>
      </c>
      <c r="N1406" s="1">
        <v>0</v>
      </c>
      <c r="O1406" s="1">
        <v>0</v>
      </c>
      <c r="P1406" s="1" t="s">
        <v>375</v>
      </c>
      <c r="Q1406" s="1" t="s">
        <v>101</v>
      </c>
      <c r="R1406" s="1" t="s">
        <v>8095</v>
      </c>
      <c r="S1406" s="1" t="s">
        <v>4403</v>
      </c>
      <c r="T1406" s="1">
        <v>1</v>
      </c>
      <c r="U1406" s="1">
        <v>1</v>
      </c>
      <c r="V1406" s="1">
        <v>1</v>
      </c>
      <c r="W1406" s="1">
        <v>0</v>
      </c>
      <c r="X1406" s="1">
        <v>1</v>
      </c>
      <c r="Y1406" s="1" t="s">
        <v>104</v>
      </c>
      <c r="Z1406" s="1" t="s">
        <v>104</v>
      </c>
      <c r="AA1406" s="1">
        <v>5</v>
      </c>
      <c r="AB1406" s="1" t="s">
        <v>104</v>
      </c>
      <c r="AC1406" s="1" t="s">
        <v>104</v>
      </c>
      <c r="AD1406" s="1">
        <v>4</v>
      </c>
      <c r="AE1406" s="1" t="s">
        <v>104</v>
      </c>
      <c r="AF1406" s="1" t="s">
        <v>104</v>
      </c>
      <c r="AG1406" s="1" t="s">
        <v>104</v>
      </c>
      <c r="AH1406" s="1" t="s">
        <v>104</v>
      </c>
      <c r="AI1406" s="1" t="s">
        <v>104</v>
      </c>
      <c r="AJ1406" s="1">
        <v>5</v>
      </c>
      <c r="AK1406" s="1" t="s">
        <v>104</v>
      </c>
      <c r="AL1406" s="1" t="s">
        <v>104</v>
      </c>
      <c r="AM1406" s="1" t="s">
        <v>104</v>
      </c>
      <c r="AO1406" s="1">
        <v>5</v>
      </c>
      <c r="AR1406" s="1">
        <v>0</v>
      </c>
      <c r="AS1406" s="1">
        <v>0</v>
      </c>
      <c r="AT1406" s="1">
        <v>0</v>
      </c>
      <c r="AU1406" s="1">
        <v>0</v>
      </c>
      <c r="AV1406" s="1">
        <v>0</v>
      </c>
      <c r="AW1406" s="1">
        <v>0</v>
      </c>
      <c r="AX1406" s="1">
        <v>0</v>
      </c>
      <c r="AY1406" s="1">
        <v>0</v>
      </c>
      <c r="AZ1406" s="1">
        <v>0</v>
      </c>
      <c r="BA1406" s="1">
        <v>0</v>
      </c>
      <c r="BB1406" s="1">
        <v>0</v>
      </c>
      <c r="BC1406" s="1">
        <v>0</v>
      </c>
      <c r="BD1406" s="1">
        <v>0</v>
      </c>
      <c r="BE1406" s="1">
        <v>0</v>
      </c>
      <c r="BF1406" s="1">
        <v>0</v>
      </c>
      <c r="BG1406" s="1">
        <v>0</v>
      </c>
      <c r="BH1406" s="1">
        <v>0</v>
      </c>
      <c r="BI1406" s="1">
        <v>0</v>
      </c>
      <c r="BJ1406" s="1">
        <v>0</v>
      </c>
      <c r="BK1406" s="1">
        <v>0</v>
      </c>
      <c r="BL1406" s="1">
        <v>0</v>
      </c>
      <c r="BM1406" s="1">
        <v>0</v>
      </c>
      <c r="BN1406" s="1">
        <v>0</v>
      </c>
      <c r="BO1406" s="1">
        <v>0</v>
      </c>
      <c r="BP1406" s="1">
        <v>0</v>
      </c>
      <c r="BQ1406" s="1" t="s">
        <v>104</v>
      </c>
      <c r="BR1406" s="1">
        <v>1476</v>
      </c>
      <c r="BS1406" s="1">
        <v>1000</v>
      </c>
      <c r="BX1406" s="1">
        <v>0</v>
      </c>
      <c r="BY1406" s="1" t="s">
        <v>104</v>
      </c>
      <c r="BZ1406" s="1" t="s">
        <v>104</v>
      </c>
      <c r="CA1406" s="1" t="s">
        <v>104</v>
      </c>
      <c r="CB1406" s="1" t="s">
        <v>104</v>
      </c>
      <c r="CC1406" s="1" t="s">
        <v>104</v>
      </c>
      <c r="CD1406" s="1" t="s">
        <v>104</v>
      </c>
      <c r="CE1406" s="1" t="s">
        <v>104</v>
      </c>
      <c r="CF1406" s="1" t="s">
        <v>104</v>
      </c>
      <c r="CG1406" s="1" t="s">
        <v>104</v>
      </c>
      <c r="CH1406" s="1" t="s">
        <v>104</v>
      </c>
      <c r="CJ1406" s="1">
        <v>0</v>
      </c>
      <c r="CK1406" s="1">
        <v>0</v>
      </c>
      <c r="CL1406" s="1">
        <v>0</v>
      </c>
      <c r="CM1406" s="1" t="s">
        <v>104</v>
      </c>
    </row>
    <row r="1407" spans="1:91" ht="14.25" customHeight="1" x14ac:dyDescent="0.3">
      <c r="A1407" s="1" t="s">
        <v>8096</v>
      </c>
      <c r="B1407" s="1" t="s">
        <v>123</v>
      </c>
      <c r="E1407" s="1" t="s">
        <v>8097</v>
      </c>
      <c r="F1407" s="1" t="s">
        <v>95</v>
      </c>
      <c r="G1407" s="1" t="s">
        <v>116</v>
      </c>
      <c r="H1407" s="1">
        <v>0</v>
      </c>
      <c r="I1407" s="1" t="s">
        <v>117</v>
      </c>
      <c r="L1407" s="1" t="s">
        <v>417</v>
      </c>
      <c r="M1407" s="1" t="s">
        <v>4292</v>
      </c>
      <c r="N1407" s="1">
        <v>0</v>
      </c>
      <c r="O1407" s="1">
        <v>0</v>
      </c>
      <c r="P1407" s="1" t="s">
        <v>211</v>
      </c>
      <c r="Q1407" s="1" t="s">
        <v>184</v>
      </c>
      <c r="R1407" s="1" t="s">
        <v>8098</v>
      </c>
      <c r="S1407" s="1" t="s">
        <v>4403</v>
      </c>
      <c r="T1407" s="1">
        <v>1</v>
      </c>
      <c r="U1407" s="1">
        <v>1</v>
      </c>
      <c r="V1407" s="1">
        <v>0</v>
      </c>
      <c r="W1407" s="1">
        <v>0</v>
      </c>
      <c r="X1407" s="1">
        <v>0</v>
      </c>
      <c r="Y1407" s="1" t="s">
        <v>104</v>
      </c>
      <c r="Z1407" s="1" t="s">
        <v>104</v>
      </c>
      <c r="AA1407" s="1">
        <v>3</v>
      </c>
      <c r="AB1407" s="1" t="s">
        <v>104</v>
      </c>
      <c r="AC1407" s="1" t="s">
        <v>104</v>
      </c>
      <c r="AD1407" s="1" t="s">
        <v>104</v>
      </c>
      <c r="AE1407" s="1" t="s">
        <v>104</v>
      </c>
      <c r="AF1407" s="1" t="s">
        <v>104</v>
      </c>
      <c r="AG1407" s="1" t="s">
        <v>104</v>
      </c>
      <c r="AH1407" s="1">
        <v>2</v>
      </c>
      <c r="AI1407" s="1" t="s">
        <v>104</v>
      </c>
      <c r="AJ1407" s="1">
        <v>3</v>
      </c>
      <c r="AK1407" s="1" t="s">
        <v>104</v>
      </c>
      <c r="AL1407" s="1" t="s">
        <v>104</v>
      </c>
      <c r="AM1407" s="1" t="s">
        <v>104</v>
      </c>
      <c r="AO1407" s="1">
        <v>3</v>
      </c>
      <c r="AR1407" s="1">
        <v>0</v>
      </c>
      <c r="AS1407" s="1">
        <v>0</v>
      </c>
      <c r="AT1407" s="1">
        <v>0</v>
      </c>
      <c r="AU1407" s="1">
        <v>0</v>
      </c>
      <c r="AV1407" s="1">
        <v>0</v>
      </c>
      <c r="AW1407" s="1">
        <v>0</v>
      </c>
      <c r="AX1407" s="1">
        <v>0</v>
      </c>
      <c r="AY1407" s="1">
        <v>0</v>
      </c>
      <c r="AZ1407" s="1">
        <v>0</v>
      </c>
      <c r="BA1407" s="1">
        <v>0</v>
      </c>
      <c r="BB1407" s="1">
        <v>0</v>
      </c>
      <c r="BC1407" s="1">
        <v>0</v>
      </c>
      <c r="BD1407" s="1">
        <v>0</v>
      </c>
      <c r="BE1407" s="1">
        <v>0</v>
      </c>
      <c r="BF1407" s="1">
        <v>0</v>
      </c>
      <c r="BG1407" s="1">
        <v>0</v>
      </c>
      <c r="BH1407" s="1">
        <v>0</v>
      </c>
      <c r="BI1407" s="1">
        <v>0</v>
      </c>
      <c r="BJ1407" s="1">
        <v>0</v>
      </c>
      <c r="BK1407" s="1">
        <v>0</v>
      </c>
      <c r="BL1407" s="1">
        <v>0</v>
      </c>
      <c r="BM1407" s="1">
        <v>0</v>
      </c>
      <c r="BN1407" s="1">
        <v>0</v>
      </c>
      <c r="BO1407" s="1">
        <v>0</v>
      </c>
      <c r="BP1407" s="1">
        <v>0</v>
      </c>
      <c r="BQ1407" s="1" t="s">
        <v>104</v>
      </c>
      <c r="BR1407" s="1">
        <v>1478</v>
      </c>
      <c r="BS1407" s="1" t="s">
        <v>104</v>
      </c>
      <c r="BX1407" s="1">
        <v>0</v>
      </c>
      <c r="BY1407" s="1" t="s">
        <v>104</v>
      </c>
      <c r="BZ1407" s="1" t="s">
        <v>104</v>
      </c>
      <c r="CA1407" s="1" t="s">
        <v>104</v>
      </c>
      <c r="CB1407" s="1" t="s">
        <v>104</v>
      </c>
      <c r="CC1407" s="1" t="s">
        <v>104</v>
      </c>
      <c r="CD1407" s="1" t="s">
        <v>104</v>
      </c>
      <c r="CE1407" s="1" t="s">
        <v>104</v>
      </c>
      <c r="CF1407" s="1" t="s">
        <v>104</v>
      </c>
      <c r="CG1407" s="1" t="s">
        <v>104</v>
      </c>
      <c r="CH1407" s="1" t="s">
        <v>104</v>
      </c>
      <c r="CJ1407" s="1">
        <v>0</v>
      </c>
      <c r="CK1407" s="1">
        <v>0</v>
      </c>
      <c r="CL1407" s="1">
        <v>0</v>
      </c>
      <c r="CM1407" s="1" t="s">
        <v>104</v>
      </c>
    </row>
    <row r="1408" spans="1:91" ht="14.25" customHeight="1" x14ac:dyDescent="0.3">
      <c r="A1408" s="1" t="s">
        <v>8099</v>
      </c>
      <c r="B1408" s="1" t="s">
        <v>172</v>
      </c>
      <c r="E1408" s="1" t="s">
        <v>8100</v>
      </c>
      <c r="F1408" s="1" t="s">
        <v>95</v>
      </c>
      <c r="G1408" s="1" t="s">
        <v>127</v>
      </c>
      <c r="H1408" s="1">
        <v>0</v>
      </c>
      <c r="I1408" s="1" t="s">
        <v>7240</v>
      </c>
      <c r="L1408" s="1" t="s">
        <v>1065</v>
      </c>
      <c r="M1408" s="1" t="s">
        <v>111</v>
      </c>
      <c r="N1408" s="1">
        <v>0</v>
      </c>
      <c r="O1408" s="1">
        <v>0</v>
      </c>
      <c r="P1408" s="1" t="s">
        <v>211</v>
      </c>
      <c r="Q1408" s="1" t="s">
        <v>184</v>
      </c>
      <c r="R1408" s="1" t="s">
        <v>8101</v>
      </c>
      <c r="S1408" s="1" t="s">
        <v>4403</v>
      </c>
      <c r="T1408" s="1">
        <v>1</v>
      </c>
      <c r="U1408" s="1">
        <v>1</v>
      </c>
      <c r="V1408" s="1">
        <v>0</v>
      </c>
      <c r="W1408" s="1">
        <v>0</v>
      </c>
      <c r="X1408" s="1">
        <v>1</v>
      </c>
      <c r="Y1408" s="1">
        <v>3</v>
      </c>
      <c r="Z1408" s="1">
        <v>3</v>
      </c>
      <c r="AA1408" s="1">
        <v>3</v>
      </c>
      <c r="AB1408" s="1" t="s">
        <v>104</v>
      </c>
      <c r="AC1408" s="1" t="s">
        <v>104</v>
      </c>
      <c r="AD1408" s="1" t="s">
        <v>104</v>
      </c>
      <c r="AE1408" s="1" t="s">
        <v>104</v>
      </c>
      <c r="AF1408" s="1" t="s">
        <v>104</v>
      </c>
      <c r="AG1408" s="1" t="s">
        <v>104</v>
      </c>
      <c r="AH1408" s="1">
        <v>3</v>
      </c>
      <c r="AI1408" s="1" t="s">
        <v>104</v>
      </c>
      <c r="AJ1408" s="1">
        <v>3</v>
      </c>
      <c r="AK1408" s="1" t="s">
        <v>104</v>
      </c>
      <c r="AL1408" s="1" t="s">
        <v>104</v>
      </c>
      <c r="AM1408" s="1" t="s">
        <v>104</v>
      </c>
      <c r="AO1408" s="1">
        <v>3</v>
      </c>
      <c r="AR1408" s="1">
        <v>0</v>
      </c>
      <c r="AS1408" s="1">
        <v>0</v>
      </c>
      <c r="AT1408" s="1">
        <v>0</v>
      </c>
      <c r="AU1408" s="1">
        <v>0</v>
      </c>
      <c r="AV1408" s="1">
        <v>0</v>
      </c>
      <c r="AW1408" s="1">
        <v>0</v>
      </c>
      <c r="AX1408" s="1">
        <v>0</v>
      </c>
      <c r="AY1408" s="1">
        <v>0</v>
      </c>
      <c r="AZ1408" s="1">
        <v>0</v>
      </c>
      <c r="BA1408" s="1">
        <v>0</v>
      </c>
      <c r="BB1408" s="1">
        <v>0</v>
      </c>
      <c r="BC1408" s="1">
        <v>0</v>
      </c>
      <c r="BD1408" s="1">
        <v>0</v>
      </c>
      <c r="BE1408" s="1">
        <v>0</v>
      </c>
      <c r="BF1408" s="1">
        <v>0</v>
      </c>
      <c r="BG1408" s="1">
        <v>0</v>
      </c>
      <c r="BH1408" s="1">
        <v>0</v>
      </c>
      <c r="BI1408" s="1">
        <v>0</v>
      </c>
      <c r="BJ1408" s="1">
        <v>0</v>
      </c>
      <c r="BK1408" s="1">
        <v>0</v>
      </c>
      <c r="BL1408" s="1">
        <v>0</v>
      </c>
      <c r="BM1408" s="1">
        <v>0</v>
      </c>
      <c r="BN1408" s="1">
        <v>0</v>
      </c>
      <c r="BO1408" s="1">
        <v>0</v>
      </c>
      <c r="BP1408" s="1">
        <v>0</v>
      </c>
      <c r="BQ1408" s="1" t="s">
        <v>104</v>
      </c>
      <c r="BR1408" s="1">
        <v>1479</v>
      </c>
      <c r="BS1408" s="1" t="s">
        <v>104</v>
      </c>
      <c r="BX1408" s="1">
        <v>0</v>
      </c>
      <c r="BY1408" s="1" t="s">
        <v>104</v>
      </c>
      <c r="BZ1408" s="1" t="s">
        <v>104</v>
      </c>
      <c r="CA1408" s="1" t="s">
        <v>104</v>
      </c>
      <c r="CB1408" s="1" t="s">
        <v>104</v>
      </c>
      <c r="CC1408" s="1" t="s">
        <v>104</v>
      </c>
      <c r="CD1408" s="1" t="s">
        <v>104</v>
      </c>
      <c r="CE1408" s="1" t="s">
        <v>104</v>
      </c>
      <c r="CF1408" s="1" t="s">
        <v>104</v>
      </c>
      <c r="CG1408" s="1" t="s">
        <v>104</v>
      </c>
      <c r="CH1408" s="1" t="s">
        <v>104</v>
      </c>
      <c r="CJ1408" s="1">
        <v>0</v>
      </c>
      <c r="CK1408" s="1">
        <v>0</v>
      </c>
      <c r="CL1408" s="1">
        <v>0</v>
      </c>
      <c r="CM1408" s="1" t="s">
        <v>104</v>
      </c>
    </row>
    <row r="1409" spans="1:91" ht="14.25" customHeight="1" x14ac:dyDescent="0.3">
      <c r="A1409" s="1" t="s">
        <v>8102</v>
      </c>
      <c r="B1409" s="1" t="s">
        <v>172</v>
      </c>
      <c r="E1409" s="1" t="s">
        <v>8103</v>
      </c>
      <c r="F1409" s="1" t="s">
        <v>95</v>
      </c>
      <c r="G1409" s="1" t="s">
        <v>116</v>
      </c>
      <c r="H1409" s="1">
        <v>0</v>
      </c>
      <c r="I1409" s="1" t="s">
        <v>157</v>
      </c>
      <c r="L1409" s="1" t="s">
        <v>158</v>
      </c>
      <c r="M1409" s="1" t="s">
        <v>5942</v>
      </c>
      <c r="N1409" s="1">
        <v>0</v>
      </c>
      <c r="O1409" s="1">
        <v>0</v>
      </c>
      <c r="R1409" s="1" t="s">
        <v>8104</v>
      </c>
      <c r="S1409" s="1" t="s">
        <v>8105</v>
      </c>
      <c r="T1409" s="1">
        <v>1</v>
      </c>
      <c r="U1409" s="1">
        <v>1</v>
      </c>
      <c r="V1409" s="1">
        <v>0</v>
      </c>
      <c r="W1409" s="1">
        <v>0</v>
      </c>
      <c r="X1409" s="1">
        <v>0</v>
      </c>
      <c r="Y1409" s="1">
        <v>2</v>
      </c>
      <c r="Z1409" s="1">
        <v>2</v>
      </c>
      <c r="AA1409" s="1" t="s">
        <v>104</v>
      </c>
      <c r="AB1409" s="1" t="s">
        <v>104</v>
      </c>
      <c r="AC1409" s="1" t="s">
        <v>104</v>
      </c>
      <c r="AD1409" s="1" t="s">
        <v>104</v>
      </c>
      <c r="AE1409" s="1" t="s">
        <v>104</v>
      </c>
      <c r="AF1409" s="1" t="s">
        <v>104</v>
      </c>
      <c r="AG1409" s="1" t="s">
        <v>104</v>
      </c>
      <c r="AH1409" s="1">
        <v>2</v>
      </c>
      <c r="AI1409" s="1" t="s">
        <v>104</v>
      </c>
      <c r="AJ1409" s="1">
        <v>1</v>
      </c>
      <c r="AK1409" s="1" t="s">
        <v>104</v>
      </c>
      <c r="AL1409" s="1" t="s">
        <v>104</v>
      </c>
      <c r="AM1409" s="1" t="s">
        <v>104</v>
      </c>
      <c r="AO1409" s="1">
        <v>2</v>
      </c>
      <c r="AR1409" s="1">
        <v>0</v>
      </c>
      <c r="AS1409" s="1">
        <v>0</v>
      </c>
      <c r="AT1409" s="1">
        <v>0</v>
      </c>
      <c r="AU1409" s="1">
        <v>0</v>
      </c>
      <c r="AV1409" s="1">
        <v>0</v>
      </c>
      <c r="AW1409" s="1">
        <v>0</v>
      </c>
      <c r="AX1409" s="1">
        <v>0</v>
      </c>
      <c r="AY1409" s="1">
        <v>0</v>
      </c>
      <c r="AZ1409" s="1">
        <v>0</v>
      </c>
      <c r="BA1409" s="1">
        <v>0</v>
      </c>
      <c r="BB1409" s="1">
        <v>0</v>
      </c>
      <c r="BC1409" s="1">
        <v>0</v>
      </c>
      <c r="BD1409" s="1">
        <v>0</v>
      </c>
      <c r="BE1409" s="1">
        <v>0</v>
      </c>
      <c r="BF1409" s="1">
        <v>0</v>
      </c>
      <c r="BG1409" s="1">
        <v>0</v>
      </c>
      <c r="BH1409" s="1">
        <v>0</v>
      </c>
      <c r="BI1409" s="1">
        <v>0</v>
      </c>
      <c r="BJ1409" s="1">
        <v>0</v>
      </c>
      <c r="BK1409" s="1">
        <v>0</v>
      </c>
      <c r="BL1409" s="1">
        <v>0</v>
      </c>
      <c r="BM1409" s="1">
        <v>0</v>
      </c>
      <c r="BN1409" s="1">
        <v>0</v>
      </c>
      <c r="BO1409" s="1">
        <v>0</v>
      </c>
      <c r="BP1409" s="1">
        <v>0</v>
      </c>
      <c r="BQ1409" s="1" t="s">
        <v>104</v>
      </c>
      <c r="BR1409" s="1">
        <v>1480</v>
      </c>
      <c r="BS1409" s="1" t="s">
        <v>104</v>
      </c>
      <c r="BX1409" s="1">
        <v>0</v>
      </c>
      <c r="BY1409" s="1" t="s">
        <v>104</v>
      </c>
      <c r="BZ1409" s="1" t="s">
        <v>104</v>
      </c>
      <c r="CA1409" s="1" t="s">
        <v>104</v>
      </c>
      <c r="CB1409" s="1" t="s">
        <v>104</v>
      </c>
      <c r="CC1409" s="1" t="s">
        <v>104</v>
      </c>
      <c r="CD1409" s="1" t="s">
        <v>104</v>
      </c>
      <c r="CE1409" s="1" t="s">
        <v>104</v>
      </c>
      <c r="CF1409" s="1" t="s">
        <v>104</v>
      </c>
      <c r="CG1409" s="1" t="s">
        <v>104</v>
      </c>
      <c r="CH1409" s="1" t="s">
        <v>104</v>
      </c>
      <c r="CJ1409" s="1">
        <v>0</v>
      </c>
      <c r="CK1409" s="1">
        <v>0</v>
      </c>
      <c r="CL1409" s="1">
        <v>0</v>
      </c>
      <c r="CM1409" s="1" t="s">
        <v>104</v>
      </c>
    </row>
    <row r="1410" spans="1:91" ht="14.25" customHeight="1" x14ac:dyDescent="0.3">
      <c r="A1410" s="1" t="s">
        <v>8106</v>
      </c>
      <c r="B1410" s="1" t="s">
        <v>137</v>
      </c>
      <c r="D1410" s="1" t="s">
        <v>51</v>
      </c>
      <c r="E1410" s="1" t="s">
        <v>8107</v>
      </c>
      <c r="F1410" s="1" t="s">
        <v>95</v>
      </c>
      <c r="G1410" s="1" t="s">
        <v>116</v>
      </c>
      <c r="H1410" s="1">
        <v>0</v>
      </c>
      <c r="I1410" s="1" t="s">
        <v>128</v>
      </c>
      <c r="L1410" s="1" t="s">
        <v>374</v>
      </c>
      <c r="M1410" s="1" t="s">
        <v>2330</v>
      </c>
      <c r="N1410" s="1">
        <v>0</v>
      </c>
      <c r="O1410" s="1">
        <v>0</v>
      </c>
      <c r="P1410" s="1" t="s">
        <v>1058</v>
      </c>
      <c r="Q1410" s="1" t="s">
        <v>131</v>
      </c>
      <c r="R1410" s="1" t="s">
        <v>8108</v>
      </c>
      <c r="S1410" s="1" t="s">
        <v>8109</v>
      </c>
      <c r="T1410" s="1">
        <v>1</v>
      </c>
      <c r="U1410" s="1">
        <v>1</v>
      </c>
      <c r="V1410" s="1">
        <v>0</v>
      </c>
      <c r="W1410" s="1">
        <v>0</v>
      </c>
      <c r="X1410" s="1">
        <v>0</v>
      </c>
      <c r="Y1410" s="1" t="s">
        <v>104</v>
      </c>
      <c r="Z1410" s="1" t="s">
        <v>104</v>
      </c>
      <c r="AA1410" s="1">
        <v>2</v>
      </c>
      <c r="AB1410" s="1">
        <v>2</v>
      </c>
      <c r="AC1410" s="1">
        <v>2</v>
      </c>
      <c r="AD1410" s="1" t="s">
        <v>104</v>
      </c>
      <c r="AE1410" s="1" t="s">
        <v>104</v>
      </c>
      <c r="AF1410" s="1" t="s">
        <v>104</v>
      </c>
      <c r="AG1410" s="1" t="s">
        <v>104</v>
      </c>
      <c r="AH1410" s="1" t="s">
        <v>104</v>
      </c>
      <c r="AI1410" s="1" t="s">
        <v>104</v>
      </c>
      <c r="AJ1410" s="1">
        <v>2</v>
      </c>
      <c r="AK1410" s="1" t="s">
        <v>104</v>
      </c>
      <c r="AL1410" s="1">
        <v>2</v>
      </c>
      <c r="AM1410" s="1" t="s">
        <v>104</v>
      </c>
      <c r="AO1410" s="1">
        <v>2</v>
      </c>
      <c r="AR1410" s="1">
        <v>0</v>
      </c>
      <c r="AS1410" s="1">
        <v>0</v>
      </c>
      <c r="AT1410" s="1">
        <v>0</v>
      </c>
      <c r="AU1410" s="1">
        <v>0</v>
      </c>
      <c r="AV1410" s="1">
        <v>0</v>
      </c>
      <c r="AW1410" s="1">
        <v>0</v>
      </c>
      <c r="AX1410" s="1">
        <v>0</v>
      </c>
      <c r="AY1410" s="1">
        <v>0</v>
      </c>
      <c r="AZ1410" s="1">
        <v>1</v>
      </c>
      <c r="BA1410" s="1">
        <v>0</v>
      </c>
      <c r="BB1410" s="1">
        <v>0</v>
      </c>
      <c r="BC1410" s="1">
        <v>0</v>
      </c>
      <c r="BD1410" s="1">
        <v>0</v>
      </c>
      <c r="BE1410" s="1">
        <v>0</v>
      </c>
      <c r="BF1410" s="1">
        <v>0</v>
      </c>
      <c r="BG1410" s="1">
        <v>0</v>
      </c>
      <c r="BH1410" s="1">
        <v>0</v>
      </c>
      <c r="BI1410" s="1">
        <v>0</v>
      </c>
      <c r="BJ1410" s="1">
        <v>0</v>
      </c>
      <c r="BK1410" s="1">
        <v>0</v>
      </c>
      <c r="BL1410" s="1">
        <v>0</v>
      </c>
      <c r="BM1410" s="1">
        <v>0</v>
      </c>
      <c r="BN1410" s="1">
        <v>0</v>
      </c>
      <c r="BO1410" s="1">
        <v>0</v>
      </c>
      <c r="BP1410" s="1">
        <v>0</v>
      </c>
      <c r="BQ1410" s="1" t="s">
        <v>104</v>
      </c>
      <c r="BR1410" s="1">
        <v>1481</v>
      </c>
      <c r="BS1410" s="1" t="s">
        <v>104</v>
      </c>
      <c r="BX1410" s="1">
        <v>0</v>
      </c>
      <c r="BY1410" s="1" t="s">
        <v>104</v>
      </c>
      <c r="BZ1410" s="1" t="s">
        <v>104</v>
      </c>
      <c r="CA1410" s="1" t="s">
        <v>104</v>
      </c>
      <c r="CB1410" s="1" t="s">
        <v>104</v>
      </c>
      <c r="CC1410" s="1" t="s">
        <v>104</v>
      </c>
      <c r="CD1410" s="1" t="s">
        <v>104</v>
      </c>
      <c r="CE1410" s="1" t="s">
        <v>104</v>
      </c>
      <c r="CF1410" s="1" t="s">
        <v>104</v>
      </c>
      <c r="CG1410" s="1" t="s">
        <v>104</v>
      </c>
      <c r="CH1410" s="1">
        <v>2</v>
      </c>
      <c r="CJ1410" s="1">
        <v>0</v>
      </c>
      <c r="CK1410" s="1">
        <v>0</v>
      </c>
      <c r="CL1410" s="1">
        <v>0</v>
      </c>
      <c r="CM1410" s="1" t="s">
        <v>104</v>
      </c>
    </row>
    <row r="1411" spans="1:91" ht="14.25" customHeight="1" x14ac:dyDescent="0.3">
      <c r="A1411" s="1" t="s">
        <v>8110</v>
      </c>
      <c r="B1411" s="1" t="s">
        <v>137</v>
      </c>
      <c r="E1411" s="1" t="s">
        <v>8111</v>
      </c>
      <c r="F1411" s="1" t="s">
        <v>95</v>
      </c>
      <c r="G1411" s="1" t="s">
        <v>116</v>
      </c>
      <c r="H1411" s="1">
        <v>0</v>
      </c>
      <c r="I1411" s="1" t="s">
        <v>128</v>
      </c>
      <c r="L1411" s="1" t="s">
        <v>374</v>
      </c>
      <c r="M1411" s="1" t="s">
        <v>2330</v>
      </c>
      <c r="N1411" s="1">
        <v>0</v>
      </c>
      <c r="O1411" s="1">
        <v>0</v>
      </c>
      <c r="P1411" s="1" t="s">
        <v>1058</v>
      </c>
      <c r="Q1411" s="1" t="s">
        <v>131</v>
      </c>
      <c r="R1411" s="1" t="s">
        <v>8112</v>
      </c>
      <c r="S1411" s="1" t="s">
        <v>8109</v>
      </c>
      <c r="T1411" s="1">
        <v>1</v>
      </c>
      <c r="U1411" s="1">
        <v>1</v>
      </c>
      <c r="V1411" s="1">
        <v>0</v>
      </c>
      <c r="W1411" s="1">
        <v>0</v>
      </c>
      <c r="X1411" s="1">
        <v>0</v>
      </c>
      <c r="Y1411" s="1" t="s">
        <v>104</v>
      </c>
      <c r="Z1411" s="1" t="s">
        <v>104</v>
      </c>
      <c r="AA1411" s="1">
        <v>1</v>
      </c>
      <c r="AB1411" s="1" t="s">
        <v>104</v>
      </c>
      <c r="AC1411" s="1">
        <v>1</v>
      </c>
      <c r="AD1411" s="1" t="s">
        <v>104</v>
      </c>
      <c r="AE1411" s="1">
        <v>1</v>
      </c>
      <c r="AF1411" s="1" t="s">
        <v>104</v>
      </c>
      <c r="AG1411" s="1" t="s">
        <v>104</v>
      </c>
      <c r="AH1411" s="1" t="s">
        <v>104</v>
      </c>
      <c r="AI1411" s="1" t="s">
        <v>104</v>
      </c>
      <c r="AJ1411" s="1">
        <v>1</v>
      </c>
      <c r="AK1411" s="1">
        <v>1</v>
      </c>
      <c r="AL1411" s="1">
        <v>1</v>
      </c>
      <c r="AM1411" s="1" t="s">
        <v>104</v>
      </c>
      <c r="AO1411" s="1">
        <v>1</v>
      </c>
      <c r="AR1411" s="1">
        <v>0</v>
      </c>
      <c r="AS1411" s="1">
        <v>0</v>
      </c>
      <c r="AT1411" s="1">
        <v>0</v>
      </c>
      <c r="AU1411" s="1">
        <v>0</v>
      </c>
      <c r="AV1411" s="1">
        <v>0</v>
      </c>
      <c r="AW1411" s="1">
        <v>0</v>
      </c>
      <c r="AX1411" s="1">
        <v>0</v>
      </c>
      <c r="AY1411" s="1">
        <v>0</v>
      </c>
      <c r="AZ1411" s="1">
        <v>0</v>
      </c>
      <c r="BA1411" s="1">
        <v>0</v>
      </c>
      <c r="BB1411" s="1">
        <v>0</v>
      </c>
      <c r="BC1411" s="1">
        <v>0</v>
      </c>
      <c r="BD1411" s="1">
        <v>0</v>
      </c>
      <c r="BE1411" s="1">
        <v>0</v>
      </c>
      <c r="BF1411" s="1">
        <v>0</v>
      </c>
      <c r="BG1411" s="1">
        <v>0</v>
      </c>
      <c r="BH1411" s="1">
        <v>0</v>
      </c>
      <c r="BI1411" s="1">
        <v>0</v>
      </c>
      <c r="BJ1411" s="1">
        <v>0</v>
      </c>
      <c r="BK1411" s="1">
        <v>0</v>
      </c>
      <c r="BL1411" s="1">
        <v>0</v>
      </c>
      <c r="BM1411" s="1">
        <v>0</v>
      </c>
      <c r="BN1411" s="1">
        <v>0</v>
      </c>
      <c r="BO1411" s="1">
        <v>0</v>
      </c>
      <c r="BP1411" s="1">
        <v>0</v>
      </c>
      <c r="BQ1411" s="1" t="s">
        <v>104</v>
      </c>
      <c r="BR1411" s="1">
        <v>1482</v>
      </c>
      <c r="BS1411" s="1" t="s">
        <v>104</v>
      </c>
      <c r="BX1411" s="1">
        <v>0</v>
      </c>
      <c r="BY1411" s="1" t="s">
        <v>104</v>
      </c>
      <c r="BZ1411" s="1" t="s">
        <v>104</v>
      </c>
      <c r="CA1411" s="1" t="s">
        <v>104</v>
      </c>
      <c r="CB1411" s="1" t="s">
        <v>104</v>
      </c>
      <c r="CC1411" s="1" t="s">
        <v>104</v>
      </c>
      <c r="CD1411" s="1" t="s">
        <v>104</v>
      </c>
      <c r="CE1411" s="1" t="s">
        <v>104</v>
      </c>
      <c r="CF1411" s="1" t="s">
        <v>104</v>
      </c>
      <c r="CG1411" s="1" t="s">
        <v>104</v>
      </c>
      <c r="CH1411" s="1">
        <v>1</v>
      </c>
      <c r="CJ1411" s="1">
        <v>0</v>
      </c>
      <c r="CK1411" s="1">
        <v>0</v>
      </c>
      <c r="CL1411" s="1">
        <v>0</v>
      </c>
      <c r="CM1411" s="1" t="s">
        <v>104</v>
      </c>
    </row>
    <row r="1412" spans="1:91" ht="14.25" customHeight="1" x14ac:dyDescent="0.3">
      <c r="A1412" s="1" t="s">
        <v>8113</v>
      </c>
      <c r="B1412" s="1" t="s">
        <v>123</v>
      </c>
      <c r="C1412" s="1" t="s">
        <v>124</v>
      </c>
      <c r="D1412" s="1" t="s">
        <v>125</v>
      </c>
      <c r="E1412" s="1" t="s">
        <v>5344</v>
      </c>
      <c r="F1412" s="1" t="s">
        <v>145</v>
      </c>
      <c r="G1412" s="1" t="s">
        <v>116</v>
      </c>
      <c r="H1412" s="1">
        <v>0</v>
      </c>
      <c r="I1412" s="1" t="s">
        <v>117</v>
      </c>
      <c r="L1412" s="1" t="s">
        <v>417</v>
      </c>
      <c r="M1412" s="1" t="s">
        <v>145</v>
      </c>
      <c r="N1412" s="1">
        <v>0</v>
      </c>
      <c r="O1412" s="1">
        <v>0</v>
      </c>
      <c r="P1412" s="1" t="s">
        <v>375</v>
      </c>
      <c r="Q1412" s="1" t="s">
        <v>131</v>
      </c>
      <c r="R1412" s="1" t="s">
        <v>8114</v>
      </c>
      <c r="S1412" s="1" t="s">
        <v>8109</v>
      </c>
      <c r="T1412" s="1">
        <v>1</v>
      </c>
      <c r="U1412" s="1">
        <v>1</v>
      </c>
      <c r="V1412" s="1">
        <v>0</v>
      </c>
      <c r="W1412" s="1">
        <v>0</v>
      </c>
      <c r="X1412" s="1">
        <v>0</v>
      </c>
      <c r="Y1412" s="1" t="s">
        <v>104</v>
      </c>
      <c r="Z1412" s="1" t="s">
        <v>104</v>
      </c>
      <c r="AA1412" s="1" t="s">
        <v>104</v>
      </c>
      <c r="AB1412" s="1" t="s">
        <v>104</v>
      </c>
      <c r="AC1412" s="1" t="s">
        <v>104</v>
      </c>
      <c r="AD1412" s="1">
        <v>1</v>
      </c>
      <c r="AE1412" s="1" t="s">
        <v>104</v>
      </c>
      <c r="AF1412" s="1" t="s">
        <v>104</v>
      </c>
      <c r="AG1412" s="1" t="s">
        <v>104</v>
      </c>
      <c r="AH1412" s="1" t="s">
        <v>104</v>
      </c>
      <c r="AI1412" s="1" t="s">
        <v>104</v>
      </c>
      <c r="AJ1412" s="1" t="s">
        <v>104</v>
      </c>
      <c r="AK1412" s="1" t="s">
        <v>104</v>
      </c>
      <c r="AL1412" s="1" t="s">
        <v>104</v>
      </c>
      <c r="AM1412" s="1" t="s">
        <v>104</v>
      </c>
      <c r="AO1412" s="1">
        <v>1</v>
      </c>
      <c r="AR1412" s="1">
        <v>0</v>
      </c>
      <c r="AS1412" s="1">
        <v>0</v>
      </c>
      <c r="AT1412" s="1">
        <v>0</v>
      </c>
      <c r="AU1412" s="1">
        <v>0</v>
      </c>
      <c r="AV1412" s="1">
        <v>0</v>
      </c>
      <c r="AW1412" s="1">
        <v>0</v>
      </c>
      <c r="AX1412" s="1">
        <v>0</v>
      </c>
      <c r="AY1412" s="1">
        <v>0</v>
      </c>
      <c r="AZ1412" s="1">
        <v>0</v>
      </c>
      <c r="BA1412" s="1">
        <v>0</v>
      </c>
      <c r="BB1412" s="1">
        <v>0</v>
      </c>
      <c r="BC1412" s="1">
        <v>0</v>
      </c>
      <c r="BD1412" s="1">
        <v>0</v>
      </c>
      <c r="BE1412" s="1">
        <v>0</v>
      </c>
      <c r="BF1412" s="1">
        <v>0</v>
      </c>
      <c r="BG1412" s="1">
        <v>0</v>
      </c>
      <c r="BH1412" s="1">
        <v>0</v>
      </c>
      <c r="BI1412" s="1">
        <v>0</v>
      </c>
      <c r="BJ1412" s="1">
        <v>0</v>
      </c>
      <c r="BK1412" s="1">
        <v>1</v>
      </c>
      <c r="BL1412" s="1">
        <v>0</v>
      </c>
      <c r="BM1412" s="1">
        <v>0</v>
      </c>
      <c r="BN1412" s="1">
        <v>0</v>
      </c>
      <c r="BO1412" s="1">
        <v>0</v>
      </c>
      <c r="BP1412" s="1">
        <v>0</v>
      </c>
      <c r="BQ1412" s="1" t="s">
        <v>104</v>
      </c>
      <c r="BR1412" s="1">
        <v>1483</v>
      </c>
      <c r="BS1412" s="1" t="s">
        <v>104</v>
      </c>
      <c r="BX1412" s="1">
        <v>0</v>
      </c>
      <c r="BY1412" s="1" t="s">
        <v>104</v>
      </c>
      <c r="BZ1412" s="1" t="s">
        <v>104</v>
      </c>
      <c r="CA1412" s="1" t="s">
        <v>104</v>
      </c>
      <c r="CB1412" s="1" t="s">
        <v>104</v>
      </c>
      <c r="CC1412" s="1" t="s">
        <v>104</v>
      </c>
      <c r="CD1412" s="1" t="s">
        <v>104</v>
      </c>
      <c r="CE1412" s="1" t="s">
        <v>104</v>
      </c>
      <c r="CF1412" s="1" t="s">
        <v>104</v>
      </c>
      <c r="CG1412" s="1" t="s">
        <v>104</v>
      </c>
      <c r="CH1412" s="1" t="s">
        <v>104</v>
      </c>
      <c r="CJ1412" s="1">
        <v>0</v>
      </c>
      <c r="CK1412" s="1">
        <v>0</v>
      </c>
      <c r="CL1412" s="1">
        <v>0</v>
      </c>
      <c r="CM1412" s="1" t="s">
        <v>104</v>
      </c>
    </row>
    <row r="1413" spans="1:91" ht="14.25" customHeight="1" x14ac:dyDescent="0.3">
      <c r="A1413" s="1" t="s">
        <v>8115</v>
      </c>
      <c r="B1413" s="1" t="s">
        <v>507</v>
      </c>
      <c r="C1413" s="1" t="s">
        <v>508</v>
      </c>
      <c r="E1413" s="1" t="s">
        <v>8116</v>
      </c>
      <c r="F1413" s="1" t="s">
        <v>95</v>
      </c>
      <c r="G1413" s="1" t="s">
        <v>1802</v>
      </c>
      <c r="H1413" s="1">
        <v>0</v>
      </c>
      <c r="I1413" s="1" t="s">
        <v>157</v>
      </c>
      <c r="L1413" s="1" t="s">
        <v>158</v>
      </c>
      <c r="M1413" s="1" t="s">
        <v>4292</v>
      </c>
      <c r="N1413" s="1">
        <v>0</v>
      </c>
      <c r="O1413" s="1">
        <v>0</v>
      </c>
      <c r="R1413" s="1" t="s">
        <v>8117</v>
      </c>
      <c r="S1413" s="1" t="s">
        <v>8109</v>
      </c>
      <c r="T1413" s="1">
        <v>0</v>
      </c>
      <c r="U1413" s="1">
        <v>1</v>
      </c>
      <c r="V1413" s="1">
        <v>0</v>
      </c>
      <c r="W1413" s="1">
        <v>0</v>
      </c>
      <c r="X1413" s="1">
        <v>0</v>
      </c>
      <c r="Y1413" s="1">
        <v>1</v>
      </c>
      <c r="Z1413" s="1">
        <v>1</v>
      </c>
      <c r="AA1413" s="1" t="s">
        <v>104</v>
      </c>
      <c r="AB1413" s="1">
        <v>1</v>
      </c>
      <c r="AC1413" s="1">
        <v>1</v>
      </c>
      <c r="AD1413" s="1" t="s">
        <v>104</v>
      </c>
      <c r="AE1413" s="1" t="s">
        <v>104</v>
      </c>
      <c r="AF1413" s="1">
        <v>1</v>
      </c>
      <c r="AG1413" s="1" t="s">
        <v>104</v>
      </c>
      <c r="AH1413" s="1">
        <v>1</v>
      </c>
      <c r="AI1413" s="1" t="s">
        <v>104</v>
      </c>
      <c r="AJ1413" s="1" t="s">
        <v>104</v>
      </c>
      <c r="AK1413" s="1" t="s">
        <v>104</v>
      </c>
      <c r="AL1413" s="1">
        <v>1</v>
      </c>
      <c r="AM1413" s="1" t="s">
        <v>104</v>
      </c>
      <c r="AO1413" s="1">
        <v>1</v>
      </c>
      <c r="AR1413" s="1">
        <v>0</v>
      </c>
      <c r="AS1413" s="1">
        <v>0</v>
      </c>
      <c r="AT1413" s="1">
        <v>0</v>
      </c>
      <c r="AU1413" s="1">
        <v>0</v>
      </c>
      <c r="AV1413" s="1">
        <v>0</v>
      </c>
      <c r="AW1413" s="1">
        <v>0</v>
      </c>
      <c r="AX1413" s="1">
        <v>0</v>
      </c>
      <c r="AY1413" s="1">
        <v>0</v>
      </c>
      <c r="AZ1413" s="1">
        <v>0</v>
      </c>
      <c r="BA1413" s="1">
        <v>0</v>
      </c>
      <c r="BB1413" s="1">
        <v>0</v>
      </c>
      <c r="BC1413" s="1">
        <v>0</v>
      </c>
      <c r="BD1413" s="1">
        <v>0</v>
      </c>
      <c r="BE1413" s="1">
        <v>0</v>
      </c>
      <c r="BF1413" s="1">
        <v>0</v>
      </c>
      <c r="BG1413" s="1">
        <v>0</v>
      </c>
      <c r="BH1413" s="1">
        <v>0</v>
      </c>
      <c r="BI1413" s="1">
        <v>0</v>
      </c>
      <c r="BJ1413" s="1">
        <v>0</v>
      </c>
      <c r="BK1413" s="1">
        <v>0</v>
      </c>
      <c r="BL1413" s="1">
        <v>0</v>
      </c>
      <c r="BM1413" s="1">
        <v>0</v>
      </c>
      <c r="BN1413" s="1">
        <v>0</v>
      </c>
      <c r="BO1413" s="1">
        <v>0</v>
      </c>
      <c r="BP1413" s="1">
        <v>0</v>
      </c>
      <c r="BQ1413" s="1" t="s">
        <v>104</v>
      </c>
      <c r="BR1413" s="1">
        <v>1484</v>
      </c>
      <c r="BS1413" s="1" t="s">
        <v>104</v>
      </c>
      <c r="BX1413" s="1">
        <v>0</v>
      </c>
      <c r="BY1413" s="1" t="s">
        <v>104</v>
      </c>
      <c r="BZ1413" s="1">
        <v>1</v>
      </c>
      <c r="CA1413" s="1">
        <v>1</v>
      </c>
      <c r="CB1413" s="1" t="s">
        <v>104</v>
      </c>
      <c r="CC1413" s="1">
        <v>1</v>
      </c>
      <c r="CD1413" s="1" t="s">
        <v>104</v>
      </c>
      <c r="CE1413" s="1" t="s">
        <v>104</v>
      </c>
      <c r="CF1413" s="1" t="s">
        <v>104</v>
      </c>
      <c r="CG1413" s="1" t="s">
        <v>104</v>
      </c>
      <c r="CH1413" s="1">
        <v>1</v>
      </c>
      <c r="CJ1413" s="1">
        <v>0</v>
      </c>
      <c r="CK1413" s="1">
        <v>0</v>
      </c>
      <c r="CL1413" s="1">
        <v>0</v>
      </c>
      <c r="CM1413" s="1" t="s">
        <v>104</v>
      </c>
    </row>
    <row r="1414" spans="1:91" ht="14.25" customHeight="1" x14ac:dyDescent="0.3">
      <c r="A1414" s="1" t="s">
        <v>8118</v>
      </c>
      <c r="B1414" s="1" t="s">
        <v>162</v>
      </c>
      <c r="E1414" s="1" t="s">
        <v>8119</v>
      </c>
      <c r="F1414" s="1" t="s">
        <v>95</v>
      </c>
      <c r="G1414" s="1" t="s">
        <v>116</v>
      </c>
      <c r="H1414" s="1">
        <v>0</v>
      </c>
      <c r="I1414" s="1" t="s">
        <v>128</v>
      </c>
      <c r="L1414" s="1" t="s">
        <v>1065</v>
      </c>
      <c r="M1414" s="1" t="s">
        <v>201</v>
      </c>
      <c r="N1414" s="1">
        <v>0</v>
      </c>
      <c r="O1414" s="1">
        <v>0</v>
      </c>
      <c r="P1414" s="1" t="s">
        <v>375</v>
      </c>
      <c r="Q1414" s="1" t="s">
        <v>101</v>
      </c>
      <c r="R1414" s="1" t="s">
        <v>8120</v>
      </c>
      <c r="S1414" s="1" t="s">
        <v>8109</v>
      </c>
      <c r="T1414" s="1">
        <v>1</v>
      </c>
      <c r="U1414" s="1">
        <v>1</v>
      </c>
      <c r="V1414" s="1">
        <v>0</v>
      </c>
      <c r="W1414" s="1">
        <v>0</v>
      </c>
      <c r="X1414" s="1">
        <v>0</v>
      </c>
      <c r="Y1414" s="1" t="s">
        <v>104</v>
      </c>
      <c r="Z1414" s="1" t="s">
        <v>104</v>
      </c>
      <c r="AA1414" s="1">
        <v>4</v>
      </c>
      <c r="AB1414" s="1">
        <v>3</v>
      </c>
      <c r="AC1414" s="1">
        <v>3</v>
      </c>
      <c r="AD1414" s="1" t="s">
        <v>104</v>
      </c>
      <c r="AE1414" s="1" t="s">
        <v>104</v>
      </c>
      <c r="AF1414" s="1" t="s">
        <v>104</v>
      </c>
      <c r="AG1414" s="1" t="s">
        <v>104</v>
      </c>
      <c r="AH1414" s="1">
        <v>3</v>
      </c>
      <c r="AI1414" s="1" t="s">
        <v>104</v>
      </c>
      <c r="AJ1414" s="1">
        <v>4</v>
      </c>
      <c r="AK1414" s="1" t="s">
        <v>104</v>
      </c>
      <c r="AL1414" s="1" t="s">
        <v>104</v>
      </c>
      <c r="AM1414" s="1" t="s">
        <v>104</v>
      </c>
      <c r="AO1414" s="1">
        <v>4</v>
      </c>
      <c r="AR1414" s="1">
        <v>0</v>
      </c>
      <c r="AS1414" s="1">
        <v>0</v>
      </c>
      <c r="AT1414" s="1">
        <v>0</v>
      </c>
      <c r="AU1414" s="1">
        <v>0</v>
      </c>
      <c r="AV1414" s="1">
        <v>0</v>
      </c>
      <c r="AW1414" s="1">
        <v>0</v>
      </c>
      <c r="AX1414" s="1">
        <v>0</v>
      </c>
      <c r="AY1414" s="1">
        <v>0</v>
      </c>
      <c r="AZ1414" s="1">
        <v>0</v>
      </c>
      <c r="BA1414" s="1">
        <v>0</v>
      </c>
      <c r="BB1414" s="1">
        <v>0</v>
      </c>
      <c r="BC1414" s="1">
        <v>0</v>
      </c>
      <c r="BD1414" s="1">
        <v>0</v>
      </c>
      <c r="BE1414" s="1">
        <v>0</v>
      </c>
      <c r="BF1414" s="1">
        <v>0</v>
      </c>
      <c r="BG1414" s="1">
        <v>0</v>
      </c>
      <c r="BH1414" s="1">
        <v>0</v>
      </c>
      <c r="BI1414" s="1">
        <v>0</v>
      </c>
      <c r="BJ1414" s="1">
        <v>0</v>
      </c>
      <c r="BK1414" s="1">
        <v>0</v>
      </c>
      <c r="BL1414" s="1">
        <v>0</v>
      </c>
      <c r="BM1414" s="1">
        <v>0</v>
      </c>
      <c r="BN1414" s="1">
        <v>0</v>
      </c>
      <c r="BO1414" s="1">
        <v>0</v>
      </c>
      <c r="BP1414" s="1">
        <v>0</v>
      </c>
      <c r="BQ1414" s="1" t="s">
        <v>104</v>
      </c>
      <c r="BR1414" s="1">
        <v>1485</v>
      </c>
      <c r="BS1414" s="1" t="s">
        <v>104</v>
      </c>
      <c r="BX1414" s="1">
        <v>0</v>
      </c>
      <c r="BY1414" s="1" t="s">
        <v>104</v>
      </c>
      <c r="BZ1414" s="1">
        <v>3</v>
      </c>
      <c r="CA1414" s="1" t="s">
        <v>104</v>
      </c>
      <c r="CB1414" s="1" t="s">
        <v>104</v>
      </c>
      <c r="CC1414" s="1" t="s">
        <v>104</v>
      </c>
      <c r="CD1414" s="1" t="s">
        <v>104</v>
      </c>
      <c r="CE1414" s="1" t="s">
        <v>104</v>
      </c>
      <c r="CF1414" s="1" t="s">
        <v>104</v>
      </c>
      <c r="CG1414" s="1" t="s">
        <v>104</v>
      </c>
      <c r="CH1414" s="1">
        <v>3</v>
      </c>
      <c r="CJ1414" s="1">
        <v>0</v>
      </c>
      <c r="CK1414" s="1">
        <v>0</v>
      </c>
      <c r="CL1414" s="1">
        <v>0</v>
      </c>
      <c r="CM1414" s="1" t="s">
        <v>104</v>
      </c>
    </row>
    <row r="1415" spans="1:91" ht="14.25" customHeight="1" x14ac:dyDescent="0.3">
      <c r="A1415" s="1" t="s">
        <v>8121</v>
      </c>
      <c r="B1415" s="1" t="s">
        <v>172</v>
      </c>
      <c r="E1415" s="1" t="s">
        <v>8122</v>
      </c>
      <c r="F1415" s="1" t="s">
        <v>8123</v>
      </c>
      <c r="G1415" s="1" t="s">
        <v>8124</v>
      </c>
      <c r="H1415" s="1">
        <v>0</v>
      </c>
      <c r="I1415" s="1" t="s">
        <v>157</v>
      </c>
      <c r="L1415" s="1" t="s">
        <v>158</v>
      </c>
      <c r="M1415" s="1" t="s">
        <v>4992</v>
      </c>
      <c r="N1415" s="1">
        <v>1</v>
      </c>
      <c r="O1415" s="1">
        <v>0</v>
      </c>
      <c r="R1415" s="1" t="s">
        <v>8125</v>
      </c>
      <c r="S1415" s="1" t="s">
        <v>8109</v>
      </c>
      <c r="T1415" s="1">
        <v>1</v>
      </c>
      <c r="U1415" s="1">
        <v>1</v>
      </c>
      <c r="V1415" s="1">
        <v>1</v>
      </c>
      <c r="W1415" s="1">
        <v>0</v>
      </c>
      <c r="X1415" s="1">
        <v>1</v>
      </c>
      <c r="Y1415" s="1" t="s">
        <v>104</v>
      </c>
      <c r="Z1415" s="1" t="s">
        <v>104</v>
      </c>
      <c r="AA1415" s="1">
        <v>2</v>
      </c>
      <c r="AB1415" s="1">
        <v>1</v>
      </c>
      <c r="AC1415" s="1">
        <v>1</v>
      </c>
      <c r="AD1415" s="1" t="s">
        <v>104</v>
      </c>
      <c r="AE1415" s="1" t="s">
        <v>104</v>
      </c>
      <c r="AF1415" s="1" t="s">
        <v>104</v>
      </c>
      <c r="AG1415" s="1" t="s">
        <v>104</v>
      </c>
      <c r="AH1415" s="1">
        <v>1</v>
      </c>
      <c r="AI1415" s="1" t="s">
        <v>104</v>
      </c>
      <c r="AJ1415" s="1">
        <v>2</v>
      </c>
      <c r="AK1415" s="1" t="s">
        <v>104</v>
      </c>
      <c r="AL1415" s="1" t="s">
        <v>104</v>
      </c>
      <c r="AM1415" s="1" t="s">
        <v>104</v>
      </c>
      <c r="AO1415" s="1">
        <v>2</v>
      </c>
      <c r="AR1415" s="1">
        <v>0</v>
      </c>
      <c r="AS1415" s="1">
        <v>0</v>
      </c>
      <c r="AT1415" s="1">
        <v>0</v>
      </c>
      <c r="AU1415" s="1">
        <v>0</v>
      </c>
      <c r="AV1415" s="1">
        <v>0</v>
      </c>
      <c r="AW1415" s="1">
        <v>0</v>
      </c>
      <c r="AX1415" s="1">
        <v>0</v>
      </c>
      <c r="AY1415" s="1">
        <v>0</v>
      </c>
      <c r="AZ1415" s="1">
        <v>0</v>
      </c>
      <c r="BA1415" s="1">
        <v>0</v>
      </c>
      <c r="BB1415" s="1">
        <v>0</v>
      </c>
      <c r="BC1415" s="1">
        <v>0</v>
      </c>
      <c r="BD1415" s="1">
        <v>0</v>
      </c>
      <c r="BE1415" s="1">
        <v>0</v>
      </c>
      <c r="BF1415" s="1">
        <v>0</v>
      </c>
      <c r="BG1415" s="1">
        <v>0</v>
      </c>
      <c r="BH1415" s="1">
        <v>0</v>
      </c>
      <c r="BI1415" s="1">
        <v>0</v>
      </c>
      <c r="BJ1415" s="1">
        <v>0</v>
      </c>
      <c r="BK1415" s="1">
        <v>0</v>
      </c>
      <c r="BL1415" s="1">
        <v>0</v>
      </c>
      <c r="BM1415" s="1">
        <v>0</v>
      </c>
      <c r="BN1415" s="1">
        <v>0</v>
      </c>
      <c r="BO1415" s="1">
        <v>0</v>
      </c>
      <c r="BP1415" s="1">
        <v>0</v>
      </c>
      <c r="BQ1415" s="1" t="s">
        <v>104</v>
      </c>
      <c r="BR1415" s="1">
        <v>1486</v>
      </c>
      <c r="BS1415" s="1" t="s">
        <v>104</v>
      </c>
      <c r="BX1415" s="1">
        <v>0</v>
      </c>
      <c r="BY1415" s="1" t="s">
        <v>104</v>
      </c>
      <c r="BZ1415" s="1" t="s">
        <v>104</v>
      </c>
      <c r="CA1415" s="1">
        <v>1</v>
      </c>
      <c r="CB1415" s="1">
        <v>1</v>
      </c>
      <c r="CC1415" s="1" t="s">
        <v>104</v>
      </c>
      <c r="CD1415" s="1" t="s">
        <v>104</v>
      </c>
      <c r="CE1415" s="1" t="s">
        <v>104</v>
      </c>
      <c r="CF1415" s="1" t="s">
        <v>104</v>
      </c>
      <c r="CG1415" s="1" t="s">
        <v>104</v>
      </c>
      <c r="CH1415" s="1">
        <v>1</v>
      </c>
      <c r="CJ1415" s="1">
        <v>0</v>
      </c>
      <c r="CK1415" s="1">
        <v>0</v>
      </c>
      <c r="CL1415" s="1">
        <v>0</v>
      </c>
      <c r="CM1415" s="1" t="s">
        <v>104</v>
      </c>
    </row>
    <row r="1416" spans="1:91" ht="14.25" customHeight="1" x14ac:dyDescent="0.3">
      <c r="A1416" s="1" t="s">
        <v>8126</v>
      </c>
      <c r="B1416" s="1" t="s">
        <v>162</v>
      </c>
      <c r="E1416" s="1" t="s">
        <v>8127</v>
      </c>
      <c r="F1416" s="1" t="s">
        <v>95</v>
      </c>
      <c r="G1416" s="1" t="s">
        <v>116</v>
      </c>
      <c r="H1416" s="1">
        <v>0</v>
      </c>
      <c r="I1416" s="1" t="s">
        <v>128</v>
      </c>
      <c r="L1416" s="1" t="s">
        <v>374</v>
      </c>
      <c r="M1416" s="1" t="s">
        <v>111</v>
      </c>
      <c r="N1416" s="1">
        <v>0</v>
      </c>
      <c r="O1416" s="1">
        <v>0</v>
      </c>
      <c r="P1416" s="1" t="s">
        <v>1058</v>
      </c>
      <c r="Q1416" s="1" t="s">
        <v>131</v>
      </c>
      <c r="R1416" s="1" t="s">
        <v>8128</v>
      </c>
      <c r="S1416" s="1" t="s">
        <v>8109</v>
      </c>
      <c r="T1416" s="1">
        <v>1</v>
      </c>
      <c r="U1416" s="1">
        <v>1</v>
      </c>
      <c r="V1416" s="1">
        <v>0</v>
      </c>
      <c r="W1416" s="1">
        <v>0</v>
      </c>
      <c r="X1416" s="1">
        <v>0</v>
      </c>
      <c r="Y1416" s="1">
        <v>2</v>
      </c>
      <c r="Z1416" s="1">
        <v>2</v>
      </c>
      <c r="AA1416" s="1" t="s">
        <v>104</v>
      </c>
      <c r="AB1416" s="1" t="s">
        <v>104</v>
      </c>
      <c r="AC1416" s="1" t="s">
        <v>104</v>
      </c>
      <c r="AD1416" s="1">
        <v>3</v>
      </c>
      <c r="AE1416" s="1" t="s">
        <v>104</v>
      </c>
      <c r="AF1416" s="1" t="s">
        <v>104</v>
      </c>
      <c r="AG1416" s="1" t="s">
        <v>104</v>
      </c>
      <c r="AH1416" s="1" t="s">
        <v>104</v>
      </c>
      <c r="AI1416" s="1" t="s">
        <v>104</v>
      </c>
      <c r="AJ1416" s="1" t="s">
        <v>104</v>
      </c>
      <c r="AK1416" s="1" t="s">
        <v>104</v>
      </c>
      <c r="AL1416" s="1" t="s">
        <v>104</v>
      </c>
      <c r="AM1416" s="1" t="s">
        <v>104</v>
      </c>
      <c r="AO1416" s="1">
        <v>2</v>
      </c>
      <c r="AR1416" s="1">
        <v>0</v>
      </c>
      <c r="AS1416" s="1">
        <v>0</v>
      </c>
      <c r="AT1416" s="1">
        <v>0</v>
      </c>
      <c r="AU1416" s="1">
        <v>0</v>
      </c>
      <c r="AV1416" s="1">
        <v>0</v>
      </c>
      <c r="AW1416" s="1">
        <v>0</v>
      </c>
      <c r="AX1416" s="1">
        <v>0</v>
      </c>
      <c r="AY1416" s="1">
        <v>0</v>
      </c>
      <c r="AZ1416" s="1">
        <v>0</v>
      </c>
      <c r="BA1416" s="1">
        <v>0</v>
      </c>
      <c r="BB1416" s="1">
        <v>0</v>
      </c>
      <c r="BC1416" s="1">
        <v>0</v>
      </c>
      <c r="BD1416" s="1">
        <v>0</v>
      </c>
      <c r="BE1416" s="1">
        <v>0</v>
      </c>
      <c r="BF1416" s="1">
        <v>0</v>
      </c>
      <c r="BG1416" s="1">
        <v>0</v>
      </c>
      <c r="BH1416" s="1">
        <v>0</v>
      </c>
      <c r="BI1416" s="1">
        <v>0</v>
      </c>
      <c r="BJ1416" s="1">
        <v>0</v>
      </c>
      <c r="BK1416" s="1">
        <v>0</v>
      </c>
      <c r="BL1416" s="1">
        <v>0</v>
      </c>
      <c r="BM1416" s="1">
        <v>0</v>
      </c>
      <c r="BN1416" s="1">
        <v>0</v>
      </c>
      <c r="BO1416" s="1">
        <v>0</v>
      </c>
      <c r="BP1416" s="1">
        <v>0</v>
      </c>
      <c r="BQ1416" s="1" t="s">
        <v>104</v>
      </c>
      <c r="BR1416" s="1">
        <v>1487</v>
      </c>
      <c r="BS1416" s="1" t="s">
        <v>104</v>
      </c>
      <c r="BX1416" s="1">
        <v>0</v>
      </c>
      <c r="BY1416" s="1">
        <v>2</v>
      </c>
      <c r="BZ1416" s="1" t="s">
        <v>104</v>
      </c>
      <c r="CA1416" s="1" t="s">
        <v>104</v>
      </c>
      <c r="CB1416" s="1" t="s">
        <v>104</v>
      </c>
      <c r="CC1416" s="1" t="s">
        <v>104</v>
      </c>
      <c r="CD1416" s="1" t="s">
        <v>104</v>
      </c>
      <c r="CE1416" s="1" t="s">
        <v>104</v>
      </c>
      <c r="CF1416" s="1" t="s">
        <v>104</v>
      </c>
      <c r="CG1416" s="1" t="s">
        <v>104</v>
      </c>
      <c r="CH1416" s="1" t="s">
        <v>104</v>
      </c>
      <c r="CJ1416" s="1">
        <v>0</v>
      </c>
      <c r="CK1416" s="1">
        <v>0</v>
      </c>
      <c r="CL1416" s="1">
        <v>0</v>
      </c>
      <c r="CM1416" s="1" t="s">
        <v>104</v>
      </c>
    </row>
    <row r="1417" spans="1:91" ht="14.25" customHeight="1" x14ac:dyDescent="0.3">
      <c r="A1417" s="1" t="s">
        <v>8129</v>
      </c>
      <c r="B1417" s="1" t="s">
        <v>507</v>
      </c>
      <c r="C1417" s="1" t="s">
        <v>1767</v>
      </c>
      <c r="D1417" s="1" t="s">
        <v>125</v>
      </c>
      <c r="E1417" s="1" t="s">
        <v>8130</v>
      </c>
      <c r="F1417" s="1" t="s">
        <v>95</v>
      </c>
      <c r="G1417" s="1" t="s">
        <v>116</v>
      </c>
      <c r="H1417" s="1">
        <v>0</v>
      </c>
      <c r="I1417" s="1" t="s">
        <v>8131</v>
      </c>
      <c r="L1417" s="1" t="s">
        <v>1065</v>
      </c>
      <c r="M1417" s="1" t="s">
        <v>111</v>
      </c>
      <c r="N1417" s="1">
        <v>0</v>
      </c>
      <c r="O1417" s="1">
        <v>0</v>
      </c>
      <c r="P1417" s="1" t="s">
        <v>211</v>
      </c>
      <c r="Q1417" s="1" t="s">
        <v>184</v>
      </c>
      <c r="R1417" s="1" t="s">
        <v>8132</v>
      </c>
      <c r="S1417" s="1" t="s">
        <v>8109</v>
      </c>
      <c r="T1417" s="1">
        <v>1</v>
      </c>
      <c r="U1417" s="1">
        <v>1</v>
      </c>
      <c r="V1417" s="1">
        <v>0</v>
      </c>
      <c r="W1417" s="1">
        <v>0</v>
      </c>
      <c r="X1417" s="1">
        <v>0</v>
      </c>
      <c r="Y1417" s="1">
        <v>2</v>
      </c>
      <c r="Z1417" s="1">
        <v>2</v>
      </c>
      <c r="AA1417" s="1" t="s">
        <v>104</v>
      </c>
      <c r="AB1417" s="1" t="s">
        <v>104</v>
      </c>
      <c r="AC1417" s="1" t="s">
        <v>104</v>
      </c>
      <c r="AD1417" s="1">
        <v>1</v>
      </c>
      <c r="AE1417" s="1" t="s">
        <v>104</v>
      </c>
      <c r="AF1417" s="1" t="s">
        <v>104</v>
      </c>
      <c r="AG1417" s="1" t="s">
        <v>104</v>
      </c>
      <c r="AH1417" s="1" t="s">
        <v>104</v>
      </c>
      <c r="AI1417" s="1" t="s">
        <v>104</v>
      </c>
      <c r="AJ1417" s="1" t="s">
        <v>104</v>
      </c>
      <c r="AK1417" s="1" t="s">
        <v>104</v>
      </c>
      <c r="AL1417" s="1" t="s">
        <v>104</v>
      </c>
      <c r="AM1417" s="1" t="s">
        <v>104</v>
      </c>
      <c r="AO1417" s="1">
        <v>2</v>
      </c>
      <c r="AR1417" s="1">
        <v>0</v>
      </c>
      <c r="AS1417" s="1">
        <v>0</v>
      </c>
      <c r="AT1417" s="1">
        <v>0</v>
      </c>
      <c r="AU1417" s="1">
        <v>0</v>
      </c>
      <c r="AV1417" s="1">
        <v>0</v>
      </c>
      <c r="AW1417" s="1">
        <v>0</v>
      </c>
      <c r="AX1417" s="1">
        <v>0</v>
      </c>
      <c r="AY1417" s="1">
        <v>0</v>
      </c>
      <c r="AZ1417" s="1">
        <v>0</v>
      </c>
      <c r="BA1417" s="1">
        <v>0</v>
      </c>
      <c r="BB1417" s="1">
        <v>0</v>
      </c>
      <c r="BC1417" s="1">
        <v>0</v>
      </c>
      <c r="BD1417" s="1">
        <v>0</v>
      </c>
      <c r="BE1417" s="1">
        <v>0</v>
      </c>
      <c r="BF1417" s="1">
        <v>0</v>
      </c>
      <c r="BG1417" s="1">
        <v>0</v>
      </c>
      <c r="BH1417" s="1">
        <v>0</v>
      </c>
      <c r="BI1417" s="1">
        <v>0</v>
      </c>
      <c r="BJ1417" s="1">
        <v>0</v>
      </c>
      <c r="BK1417" s="1">
        <v>1</v>
      </c>
      <c r="BL1417" s="1">
        <v>0</v>
      </c>
      <c r="BM1417" s="1">
        <v>0</v>
      </c>
      <c r="BN1417" s="1">
        <v>0</v>
      </c>
      <c r="BO1417" s="1">
        <v>0</v>
      </c>
      <c r="BP1417" s="1">
        <v>0</v>
      </c>
      <c r="BQ1417" s="1" t="s">
        <v>104</v>
      </c>
      <c r="BR1417" s="1">
        <v>1488</v>
      </c>
      <c r="BS1417" s="1" t="s">
        <v>104</v>
      </c>
      <c r="BV1417" s="1" t="s">
        <v>8133</v>
      </c>
      <c r="BX1417" s="1">
        <v>1</v>
      </c>
      <c r="BY1417" s="1" t="s">
        <v>104</v>
      </c>
      <c r="BZ1417" s="1" t="s">
        <v>104</v>
      </c>
      <c r="CA1417" s="1">
        <v>2</v>
      </c>
      <c r="CB1417" s="1" t="s">
        <v>104</v>
      </c>
      <c r="CC1417" s="1">
        <v>1</v>
      </c>
      <c r="CD1417" s="1" t="s">
        <v>104</v>
      </c>
      <c r="CE1417" s="1" t="s">
        <v>104</v>
      </c>
      <c r="CF1417" s="1" t="s">
        <v>104</v>
      </c>
      <c r="CG1417" s="1" t="s">
        <v>104</v>
      </c>
      <c r="CH1417" s="1" t="s">
        <v>104</v>
      </c>
      <c r="CJ1417" s="1">
        <v>0</v>
      </c>
      <c r="CK1417" s="1">
        <v>0</v>
      </c>
      <c r="CL1417" s="1">
        <v>0</v>
      </c>
      <c r="CM1417" s="1" t="s">
        <v>104</v>
      </c>
    </row>
    <row r="1418" spans="1:91" ht="14.25" customHeight="1" x14ac:dyDescent="0.3">
      <c r="A1418" s="1" t="s">
        <v>8134</v>
      </c>
      <c r="B1418" s="1" t="s">
        <v>507</v>
      </c>
      <c r="C1418" s="1" t="s">
        <v>65</v>
      </c>
      <c r="D1418" s="1" t="s">
        <v>65</v>
      </c>
      <c r="E1418" s="1" t="s">
        <v>2677</v>
      </c>
      <c r="F1418" s="1" t="s">
        <v>287</v>
      </c>
      <c r="G1418" s="1" t="s">
        <v>116</v>
      </c>
      <c r="H1418" s="1">
        <v>0</v>
      </c>
      <c r="I1418" s="1" t="s">
        <v>117</v>
      </c>
      <c r="K1418" s="1" t="s">
        <v>8135</v>
      </c>
      <c r="M1418" s="1" t="s">
        <v>4992</v>
      </c>
      <c r="N1418" s="1">
        <v>1</v>
      </c>
      <c r="O1418" s="1">
        <v>0</v>
      </c>
      <c r="P1418" s="1" t="s">
        <v>211</v>
      </c>
      <c r="Q1418" s="1" t="s">
        <v>184</v>
      </c>
      <c r="R1418" s="1" t="s">
        <v>8136</v>
      </c>
      <c r="S1418" s="1" t="s">
        <v>8109</v>
      </c>
      <c r="T1418" s="1">
        <v>1</v>
      </c>
      <c r="U1418" s="1">
        <v>1</v>
      </c>
      <c r="V1418" s="1">
        <v>0</v>
      </c>
      <c r="W1418" s="1">
        <v>0</v>
      </c>
      <c r="X1418" s="1">
        <v>0</v>
      </c>
      <c r="Y1418" s="1">
        <v>5</v>
      </c>
      <c r="Z1418" s="1">
        <v>5</v>
      </c>
      <c r="AA1418" s="1" t="s">
        <v>104</v>
      </c>
      <c r="AB1418" s="1" t="s">
        <v>104</v>
      </c>
      <c r="AC1418" s="1" t="s">
        <v>104</v>
      </c>
      <c r="AD1418" s="1" t="s">
        <v>104</v>
      </c>
      <c r="AE1418" s="1" t="s">
        <v>104</v>
      </c>
      <c r="AF1418" s="1" t="s">
        <v>104</v>
      </c>
      <c r="AG1418" s="1" t="s">
        <v>104</v>
      </c>
      <c r="AH1418" s="1" t="s">
        <v>104</v>
      </c>
      <c r="AI1418" s="1" t="s">
        <v>104</v>
      </c>
      <c r="AJ1418" s="1" t="s">
        <v>104</v>
      </c>
      <c r="AK1418" s="1" t="s">
        <v>104</v>
      </c>
      <c r="AL1418" s="1" t="s">
        <v>104</v>
      </c>
      <c r="AM1418" s="1" t="s">
        <v>104</v>
      </c>
      <c r="AO1418" s="1">
        <v>5</v>
      </c>
      <c r="AR1418" s="1">
        <v>0</v>
      </c>
      <c r="AS1418" s="1">
        <v>0</v>
      </c>
      <c r="AT1418" s="1">
        <v>0</v>
      </c>
      <c r="AU1418" s="1">
        <v>0</v>
      </c>
      <c r="AV1418" s="1">
        <v>0</v>
      </c>
      <c r="AW1418" s="1">
        <v>0</v>
      </c>
      <c r="AX1418" s="1">
        <v>0</v>
      </c>
      <c r="AY1418" s="1">
        <v>0</v>
      </c>
      <c r="AZ1418" s="1">
        <v>0</v>
      </c>
      <c r="BA1418" s="1">
        <v>0</v>
      </c>
      <c r="BB1418" s="1">
        <v>0</v>
      </c>
      <c r="BC1418" s="1">
        <v>0</v>
      </c>
      <c r="BD1418" s="1">
        <v>0</v>
      </c>
      <c r="BE1418" s="1">
        <v>0</v>
      </c>
      <c r="BF1418" s="1">
        <v>0</v>
      </c>
      <c r="BG1418" s="1">
        <v>0</v>
      </c>
      <c r="BH1418" s="1">
        <v>0</v>
      </c>
      <c r="BI1418" s="1">
        <v>0</v>
      </c>
      <c r="BJ1418" s="1">
        <v>0</v>
      </c>
      <c r="BK1418" s="1">
        <v>0</v>
      </c>
      <c r="BL1418" s="1">
        <v>0</v>
      </c>
      <c r="BM1418" s="1">
        <v>0</v>
      </c>
      <c r="BN1418" s="1">
        <v>1</v>
      </c>
      <c r="BO1418" s="1">
        <v>0</v>
      </c>
      <c r="BP1418" s="1">
        <v>0</v>
      </c>
      <c r="BQ1418" s="1" t="s">
        <v>104</v>
      </c>
      <c r="BR1418" s="1">
        <v>1489</v>
      </c>
      <c r="BS1418" s="1" t="s">
        <v>104</v>
      </c>
      <c r="BX1418" s="1">
        <v>0</v>
      </c>
      <c r="BY1418" s="1" t="s">
        <v>104</v>
      </c>
      <c r="BZ1418" s="1" t="s">
        <v>104</v>
      </c>
      <c r="CA1418" s="1">
        <v>5</v>
      </c>
      <c r="CB1418" s="1" t="s">
        <v>104</v>
      </c>
      <c r="CC1418" s="1">
        <v>5</v>
      </c>
      <c r="CD1418" s="1" t="s">
        <v>104</v>
      </c>
      <c r="CE1418" s="1" t="s">
        <v>104</v>
      </c>
      <c r="CF1418" s="1" t="s">
        <v>104</v>
      </c>
      <c r="CG1418" s="1" t="s">
        <v>104</v>
      </c>
      <c r="CH1418" s="1" t="s">
        <v>104</v>
      </c>
      <c r="CJ1418" s="1">
        <v>0</v>
      </c>
      <c r="CK1418" s="1">
        <v>0</v>
      </c>
      <c r="CL1418" s="1">
        <v>0</v>
      </c>
      <c r="CM1418" s="1" t="s">
        <v>104</v>
      </c>
    </row>
    <row r="1419" spans="1:91" ht="14.25" customHeight="1" x14ac:dyDescent="0.3">
      <c r="A1419" s="1" t="s">
        <v>8137</v>
      </c>
      <c r="B1419" s="1" t="s">
        <v>507</v>
      </c>
      <c r="C1419" s="1" t="s">
        <v>1767</v>
      </c>
      <c r="D1419" s="1" t="s">
        <v>125</v>
      </c>
      <c r="E1419" s="1" t="s">
        <v>8138</v>
      </c>
      <c r="F1419" s="1" t="s">
        <v>191</v>
      </c>
      <c r="G1419" s="1" t="s">
        <v>116</v>
      </c>
      <c r="H1419" s="1">
        <v>0</v>
      </c>
      <c r="I1419" s="1" t="s">
        <v>289</v>
      </c>
      <c r="L1419" s="1" t="s">
        <v>8139</v>
      </c>
      <c r="M1419" s="1" t="s">
        <v>145</v>
      </c>
      <c r="N1419" s="1">
        <v>0</v>
      </c>
      <c r="O1419" s="1">
        <v>0</v>
      </c>
      <c r="P1419" s="1" t="s">
        <v>100</v>
      </c>
      <c r="Q1419" s="1" t="s">
        <v>184</v>
      </c>
      <c r="R1419" s="1" t="s">
        <v>8140</v>
      </c>
      <c r="S1419" s="1" t="s">
        <v>8109</v>
      </c>
      <c r="T1419" s="1">
        <v>1</v>
      </c>
      <c r="U1419" s="1">
        <v>1</v>
      </c>
      <c r="V1419" s="1">
        <v>0</v>
      </c>
      <c r="W1419" s="1">
        <v>0</v>
      </c>
      <c r="X1419" s="1">
        <v>0</v>
      </c>
      <c r="Y1419" s="1">
        <v>3</v>
      </c>
      <c r="Z1419" s="1">
        <v>3</v>
      </c>
      <c r="AA1419" s="1" t="s">
        <v>104</v>
      </c>
      <c r="AB1419" s="1" t="s">
        <v>104</v>
      </c>
      <c r="AC1419" s="1" t="s">
        <v>104</v>
      </c>
      <c r="AD1419" s="1">
        <v>3</v>
      </c>
      <c r="AE1419" s="1" t="s">
        <v>104</v>
      </c>
      <c r="AF1419" s="1">
        <v>2</v>
      </c>
      <c r="AG1419" s="1" t="s">
        <v>104</v>
      </c>
      <c r="AH1419" s="1">
        <v>2</v>
      </c>
      <c r="AI1419" s="1" t="s">
        <v>104</v>
      </c>
      <c r="AJ1419" s="1" t="s">
        <v>104</v>
      </c>
      <c r="AK1419" s="1" t="s">
        <v>104</v>
      </c>
      <c r="AL1419" s="1" t="s">
        <v>104</v>
      </c>
      <c r="AM1419" s="1" t="s">
        <v>104</v>
      </c>
      <c r="AO1419" s="1">
        <v>3</v>
      </c>
      <c r="AR1419" s="1">
        <v>0</v>
      </c>
      <c r="AS1419" s="1">
        <v>0</v>
      </c>
      <c r="AT1419" s="1">
        <v>0</v>
      </c>
      <c r="AU1419" s="1">
        <v>0</v>
      </c>
      <c r="AV1419" s="1">
        <v>0</v>
      </c>
      <c r="AW1419" s="1">
        <v>0</v>
      </c>
      <c r="AX1419" s="1">
        <v>0</v>
      </c>
      <c r="AY1419" s="1">
        <v>0</v>
      </c>
      <c r="AZ1419" s="1">
        <v>0</v>
      </c>
      <c r="BA1419" s="1">
        <v>0</v>
      </c>
      <c r="BB1419" s="1">
        <v>0</v>
      </c>
      <c r="BC1419" s="1">
        <v>0</v>
      </c>
      <c r="BD1419" s="1">
        <v>0</v>
      </c>
      <c r="BE1419" s="1">
        <v>0</v>
      </c>
      <c r="BF1419" s="1">
        <v>0</v>
      </c>
      <c r="BG1419" s="1">
        <v>0</v>
      </c>
      <c r="BH1419" s="1">
        <v>0</v>
      </c>
      <c r="BI1419" s="1">
        <v>0</v>
      </c>
      <c r="BJ1419" s="1">
        <v>0</v>
      </c>
      <c r="BK1419" s="1">
        <v>1</v>
      </c>
      <c r="BL1419" s="1">
        <v>0</v>
      </c>
      <c r="BM1419" s="1">
        <v>0</v>
      </c>
      <c r="BN1419" s="1">
        <v>0</v>
      </c>
      <c r="BO1419" s="1">
        <v>0</v>
      </c>
      <c r="BP1419" s="1">
        <v>0</v>
      </c>
      <c r="BQ1419" s="1" t="s">
        <v>104</v>
      </c>
      <c r="BR1419" s="1">
        <v>1490</v>
      </c>
      <c r="BS1419" s="1" t="s">
        <v>104</v>
      </c>
      <c r="BX1419" s="1">
        <v>0</v>
      </c>
      <c r="BY1419" s="1" t="s">
        <v>104</v>
      </c>
      <c r="BZ1419" s="1" t="s">
        <v>104</v>
      </c>
      <c r="CA1419" s="1">
        <v>3</v>
      </c>
      <c r="CB1419" s="1">
        <v>2</v>
      </c>
      <c r="CC1419" s="1">
        <v>3</v>
      </c>
      <c r="CD1419" s="1" t="s">
        <v>104</v>
      </c>
      <c r="CE1419" s="1" t="s">
        <v>104</v>
      </c>
      <c r="CF1419" s="1" t="s">
        <v>104</v>
      </c>
      <c r="CG1419" s="1" t="s">
        <v>104</v>
      </c>
      <c r="CH1419" s="1" t="s">
        <v>104</v>
      </c>
      <c r="CJ1419" s="1">
        <v>0</v>
      </c>
      <c r="CK1419" s="1">
        <v>0</v>
      </c>
      <c r="CL1419" s="1">
        <v>0</v>
      </c>
      <c r="CM1419" s="1" t="s">
        <v>104</v>
      </c>
    </row>
    <row r="1420" spans="1:91" ht="14.25" customHeight="1" x14ac:dyDescent="0.3">
      <c r="A1420" s="1" t="s">
        <v>8141</v>
      </c>
      <c r="B1420" s="1" t="s">
        <v>507</v>
      </c>
      <c r="C1420" s="1" t="s">
        <v>1767</v>
      </c>
      <c r="D1420" s="1" t="s">
        <v>125</v>
      </c>
      <c r="E1420" s="1" t="s">
        <v>8142</v>
      </c>
      <c r="F1420" s="1" t="s">
        <v>191</v>
      </c>
      <c r="G1420" s="1" t="s">
        <v>116</v>
      </c>
      <c r="H1420" s="1">
        <v>0</v>
      </c>
      <c r="I1420" s="1" t="s">
        <v>705</v>
      </c>
      <c r="K1420" s="1" t="s">
        <v>8143</v>
      </c>
      <c r="M1420" s="1" t="s">
        <v>4992</v>
      </c>
      <c r="N1420" s="1">
        <v>1</v>
      </c>
      <c r="O1420" s="1">
        <v>0</v>
      </c>
      <c r="P1420" s="1" t="s">
        <v>211</v>
      </c>
      <c r="Q1420" s="1" t="s">
        <v>184</v>
      </c>
      <c r="R1420" s="1" t="s">
        <v>8144</v>
      </c>
      <c r="S1420" s="1" t="s">
        <v>8109</v>
      </c>
      <c r="T1420" s="1">
        <v>1</v>
      </c>
      <c r="U1420" s="1">
        <v>1</v>
      </c>
      <c r="V1420" s="1">
        <v>0</v>
      </c>
      <c r="W1420" s="1">
        <v>0</v>
      </c>
      <c r="X1420" s="1">
        <v>0</v>
      </c>
      <c r="Y1420" s="1">
        <v>4</v>
      </c>
      <c r="Z1420" s="1">
        <v>4</v>
      </c>
      <c r="AA1420" s="1" t="s">
        <v>104</v>
      </c>
      <c r="AB1420" s="1" t="s">
        <v>104</v>
      </c>
      <c r="AC1420" s="1" t="s">
        <v>104</v>
      </c>
      <c r="AD1420" s="1" t="s">
        <v>104</v>
      </c>
      <c r="AE1420" s="1" t="s">
        <v>104</v>
      </c>
      <c r="AF1420" s="1" t="s">
        <v>104</v>
      </c>
      <c r="AG1420" s="1" t="s">
        <v>104</v>
      </c>
      <c r="AH1420" s="1" t="s">
        <v>104</v>
      </c>
      <c r="AI1420" s="1" t="s">
        <v>104</v>
      </c>
      <c r="AJ1420" s="1" t="s">
        <v>104</v>
      </c>
      <c r="AK1420" s="1" t="s">
        <v>104</v>
      </c>
      <c r="AL1420" s="1" t="s">
        <v>104</v>
      </c>
      <c r="AM1420" s="1" t="s">
        <v>104</v>
      </c>
      <c r="AO1420" s="1">
        <v>4</v>
      </c>
      <c r="AR1420" s="1">
        <v>0</v>
      </c>
      <c r="AS1420" s="1">
        <v>0</v>
      </c>
      <c r="AT1420" s="1">
        <v>0</v>
      </c>
      <c r="AU1420" s="1">
        <v>0</v>
      </c>
      <c r="AV1420" s="1">
        <v>0</v>
      </c>
      <c r="AW1420" s="1">
        <v>0</v>
      </c>
      <c r="AX1420" s="1">
        <v>0</v>
      </c>
      <c r="AY1420" s="1">
        <v>0</v>
      </c>
      <c r="AZ1420" s="1">
        <v>0</v>
      </c>
      <c r="BA1420" s="1">
        <v>0</v>
      </c>
      <c r="BB1420" s="1">
        <v>0</v>
      </c>
      <c r="BC1420" s="1">
        <v>0</v>
      </c>
      <c r="BD1420" s="1">
        <v>0</v>
      </c>
      <c r="BE1420" s="1">
        <v>0</v>
      </c>
      <c r="BF1420" s="1">
        <v>0</v>
      </c>
      <c r="BG1420" s="1">
        <v>0</v>
      </c>
      <c r="BH1420" s="1">
        <v>0</v>
      </c>
      <c r="BI1420" s="1">
        <v>0</v>
      </c>
      <c r="BJ1420" s="1">
        <v>0</v>
      </c>
      <c r="BK1420" s="1">
        <v>1</v>
      </c>
      <c r="BL1420" s="1">
        <v>0</v>
      </c>
      <c r="BM1420" s="1">
        <v>0</v>
      </c>
      <c r="BN1420" s="1">
        <v>0</v>
      </c>
      <c r="BO1420" s="1">
        <v>0</v>
      </c>
      <c r="BP1420" s="1">
        <v>0</v>
      </c>
      <c r="BQ1420" s="1" t="s">
        <v>104</v>
      </c>
      <c r="BR1420" s="1">
        <v>1491</v>
      </c>
      <c r="BS1420" s="1" t="s">
        <v>104</v>
      </c>
      <c r="BX1420" s="1">
        <v>0</v>
      </c>
      <c r="BY1420" s="1" t="s">
        <v>104</v>
      </c>
      <c r="BZ1420" s="1" t="s">
        <v>104</v>
      </c>
      <c r="CA1420" s="1">
        <v>4</v>
      </c>
      <c r="CB1420" s="1" t="s">
        <v>104</v>
      </c>
      <c r="CC1420" s="1">
        <v>4</v>
      </c>
      <c r="CD1420" s="1" t="s">
        <v>104</v>
      </c>
      <c r="CE1420" s="1" t="s">
        <v>104</v>
      </c>
      <c r="CF1420" s="1" t="s">
        <v>104</v>
      </c>
      <c r="CG1420" s="1" t="s">
        <v>104</v>
      </c>
      <c r="CH1420" s="1" t="s">
        <v>104</v>
      </c>
      <c r="CJ1420" s="1">
        <v>0</v>
      </c>
      <c r="CK1420" s="1">
        <v>0</v>
      </c>
      <c r="CL1420" s="1">
        <v>0</v>
      </c>
      <c r="CM1420" s="1" t="s">
        <v>104</v>
      </c>
    </row>
    <row r="1421" spans="1:91" ht="14.25" customHeight="1" x14ac:dyDescent="0.3">
      <c r="A1421" s="1" t="s">
        <v>8145</v>
      </c>
      <c r="B1421" s="1" t="s">
        <v>137</v>
      </c>
      <c r="E1421" s="1" t="s">
        <v>8146</v>
      </c>
      <c r="F1421" s="1" t="s">
        <v>95</v>
      </c>
      <c r="G1421" s="1" t="s">
        <v>116</v>
      </c>
      <c r="H1421" s="1">
        <v>0</v>
      </c>
      <c r="I1421" s="1" t="s">
        <v>157</v>
      </c>
      <c r="L1421" s="1" t="s">
        <v>158</v>
      </c>
      <c r="M1421" s="1" t="s">
        <v>119</v>
      </c>
      <c r="N1421" s="1">
        <v>0</v>
      </c>
      <c r="O1421" s="1">
        <v>0</v>
      </c>
      <c r="R1421" s="1" t="s">
        <v>8147</v>
      </c>
      <c r="S1421" s="1" t="s">
        <v>8109</v>
      </c>
      <c r="T1421" s="1">
        <v>1</v>
      </c>
      <c r="U1421" s="1">
        <v>1</v>
      </c>
      <c r="V1421" s="1">
        <v>0</v>
      </c>
      <c r="W1421" s="1">
        <v>0</v>
      </c>
      <c r="X1421" s="1">
        <v>0</v>
      </c>
      <c r="Y1421" s="1">
        <v>1</v>
      </c>
      <c r="Z1421" s="1">
        <v>1</v>
      </c>
      <c r="AA1421" s="1">
        <v>1</v>
      </c>
      <c r="AB1421" s="1">
        <v>1</v>
      </c>
      <c r="AC1421" s="1" t="s">
        <v>104</v>
      </c>
      <c r="AD1421" s="1">
        <v>1</v>
      </c>
      <c r="AE1421" s="1" t="s">
        <v>104</v>
      </c>
      <c r="AF1421" s="1">
        <v>1</v>
      </c>
      <c r="AG1421" s="1" t="s">
        <v>104</v>
      </c>
      <c r="AH1421" s="1">
        <v>1</v>
      </c>
      <c r="AI1421" s="1">
        <v>1</v>
      </c>
      <c r="AJ1421" s="1">
        <v>1</v>
      </c>
      <c r="AK1421" s="1" t="s">
        <v>104</v>
      </c>
      <c r="AL1421" s="1">
        <v>1</v>
      </c>
      <c r="AM1421" s="1" t="s">
        <v>104</v>
      </c>
      <c r="AO1421" s="1">
        <v>1</v>
      </c>
      <c r="AR1421" s="1">
        <v>0</v>
      </c>
      <c r="AS1421" s="1">
        <v>0</v>
      </c>
      <c r="AT1421" s="1">
        <v>0</v>
      </c>
      <c r="AU1421" s="1">
        <v>0</v>
      </c>
      <c r="AV1421" s="1">
        <v>0</v>
      </c>
      <c r="AW1421" s="1">
        <v>0</v>
      </c>
      <c r="AX1421" s="1">
        <v>0</v>
      </c>
      <c r="AY1421" s="1">
        <v>0</v>
      </c>
      <c r="AZ1421" s="1">
        <v>0</v>
      </c>
      <c r="BA1421" s="1">
        <v>0</v>
      </c>
      <c r="BB1421" s="1">
        <v>0</v>
      </c>
      <c r="BC1421" s="1">
        <v>0</v>
      </c>
      <c r="BD1421" s="1">
        <v>0</v>
      </c>
      <c r="BE1421" s="1">
        <v>0</v>
      </c>
      <c r="BF1421" s="1">
        <v>0</v>
      </c>
      <c r="BG1421" s="1">
        <v>0</v>
      </c>
      <c r="BH1421" s="1">
        <v>0</v>
      </c>
      <c r="BI1421" s="1">
        <v>0</v>
      </c>
      <c r="BJ1421" s="1">
        <v>0</v>
      </c>
      <c r="BK1421" s="1">
        <v>0</v>
      </c>
      <c r="BL1421" s="1">
        <v>0</v>
      </c>
      <c r="BM1421" s="1">
        <v>0</v>
      </c>
      <c r="BN1421" s="1">
        <v>0</v>
      </c>
      <c r="BO1421" s="1">
        <v>0</v>
      </c>
      <c r="BP1421" s="1">
        <v>0</v>
      </c>
      <c r="BQ1421" s="1" t="s">
        <v>104</v>
      </c>
      <c r="BR1421" s="1">
        <v>1492</v>
      </c>
      <c r="BS1421" s="1" t="s">
        <v>104</v>
      </c>
      <c r="BX1421" s="1">
        <v>0</v>
      </c>
      <c r="BY1421" s="1" t="s">
        <v>104</v>
      </c>
      <c r="BZ1421" s="1" t="s">
        <v>104</v>
      </c>
      <c r="CA1421" s="1">
        <v>1</v>
      </c>
      <c r="CB1421" s="1" t="s">
        <v>104</v>
      </c>
      <c r="CC1421" s="1">
        <v>1</v>
      </c>
      <c r="CD1421" s="1" t="s">
        <v>104</v>
      </c>
      <c r="CE1421" s="1" t="s">
        <v>104</v>
      </c>
      <c r="CF1421" s="1" t="s">
        <v>104</v>
      </c>
      <c r="CG1421" s="1" t="s">
        <v>104</v>
      </c>
      <c r="CH1421" s="1">
        <v>1</v>
      </c>
      <c r="CJ1421" s="1">
        <v>0</v>
      </c>
      <c r="CK1421" s="1">
        <v>0</v>
      </c>
      <c r="CL1421" s="1">
        <v>0</v>
      </c>
      <c r="CM1421" s="1" t="s">
        <v>104</v>
      </c>
    </row>
    <row r="1422" spans="1:91" ht="14.25" customHeight="1" x14ac:dyDescent="0.3">
      <c r="A1422" s="1" t="s">
        <v>8148</v>
      </c>
      <c r="B1422" s="1" t="s">
        <v>123</v>
      </c>
      <c r="C1422" s="1" t="s">
        <v>124</v>
      </c>
      <c r="D1422" s="1" t="s">
        <v>125</v>
      </c>
      <c r="E1422" s="1" t="s">
        <v>8149</v>
      </c>
      <c r="F1422" s="1" t="s">
        <v>255</v>
      </c>
      <c r="G1422" s="1" t="s">
        <v>8150</v>
      </c>
      <c r="H1422" s="1">
        <v>0</v>
      </c>
      <c r="I1422" s="1" t="s">
        <v>117</v>
      </c>
      <c r="L1422" s="1" t="s">
        <v>417</v>
      </c>
      <c r="M1422" s="1" t="s">
        <v>2330</v>
      </c>
      <c r="N1422" s="1">
        <v>0</v>
      </c>
      <c r="O1422" s="1">
        <v>0</v>
      </c>
      <c r="P1422" s="1" t="s">
        <v>211</v>
      </c>
      <c r="Q1422" s="1" t="s">
        <v>184</v>
      </c>
      <c r="R1422" s="1" t="s">
        <v>8151</v>
      </c>
      <c r="S1422" s="1" t="s">
        <v>8109</v>
      </c>
      <c r="T1422" s="1">
        <v>1</v>
      </c>
      <c r="U1422" s="1">
        <v>1</v>
      </c>
      <c r="V1422" s="1">
        <v>1</v>
      </c>
      <c r="W1422" s="1">
        <v>0</v>
      </c>
      <c r="X1422" s="1">
        <v>0</v>
      </c>
      <c r="Y1422" s="1">
        <v>4</v>
      </c>
      <c r="Z1422" s="1">
        <v>4</v>
      </c>
      <c r="AA1422" s="1" t="s">
        <v>104</v>
      </c>
      <c r="AB1422" s="1" t="s">
        <v>104</v>
      </c>
      <c r="AC1422" s="1" t="s">
        <v>104</v>
      </c>
      <c r="AD1422" s="1">
        <v>4</v>
      </c>
      <c r="AE1422" s="1" t="s">
        <v>104</v>
      </c>
      <c r="AF1422" s="1" t="s">
        <v>104</v>
      </c>
      <c r="AG1422" s="1" t="s">
        <v>104</v>
      </c>
      <c r="AH1422" s="1">
        <v>4</v>
      </c>
      <c r="AI1422" s="1" t="s">
        <v>104</v>
      </c>
      <c r="AJ1422" s="1" t="s">
        <v>104</v>
      </c>
      <c r="AK1422" s="1" t="s">
        <v>104</v>
      </c>
      <c r="AL1422" s="1" t="s">
        <v>104</v>
      </c>
      <c r="AM1422" s="1" t="s">
        <v>104</v>
      </c>
      <c r="AO1422" s="1">
        <v>4</v>
      </c>
      <c r="AR1422" s="1">
        <v>0</v>
      </c>
      <c r="AS1422" s="1">
        <v>0</v>
      </c>
      <c r="AT1422" s="1">
        <v>0</v>
      </c>
      <c r="AU1422" s="1">
        <v>0</v>
      </c>
      <c r="AV1422" s="1">
        <v>0</v>
      </c>
      <c r="AW1422" s="1">
        <v>0</v>
      </c>
      <c r="AX1422" s="1">
        <v>0</v>
      </c>
      <c r="AY1422" s="1">
        <v>0</v>
      </c>
      <c r="AZ1422" s="1">
        <v>0</v>
      </c>
      <c r="BA1422" s="1">
        <v>0</v>
      </c>
      <c r="BB1422" s="1">
        <v>0</v>
      </c>
      <c r="BC1422" s="1">
        <v>0</v>
      </c>
      <c r="BD1422" s="1">
        <v>0</v>
      </c>
      <c r="BE1422" s="1">
        <v>0</v>
      </c>
      <c r="BF1422" s="1">
        <v>0</v>
      </c>
      <c r="BG1422" s="1">
        <v>0</v>
      </c>
      <c r="BH1422" s="1">
        <v>0</v>
      </c>
      <c r="BI1422" s="1">
        <v>0</v>
      </c>
      <c r="BJ1422" s="1">
        <v>0</v>
      </c>
      <c r="BK1422" s="1">
        <v>1</v>
      </c>
      <c r="BL1422" s="1">
        <v>0</v>
      </c>
      <c r="BM1422" s="1">
        <v>0</v>
      </c>
      <c r="BN1422" s="1">
        <v>0</v>
      </c>
      <c r="BO1422" s="1">
        <v>0</v>
      </c>
      <c r="BP1422" s="1">
        <v>0</v>
      </c>
      <c r="BQ1422" s="1" t="s">
        <v>104</v>
      </c>
      <c r="BR1422" s="1">
        <v>1493</v>
      </c>
      <c r="BS1422" s="1" t="s">
        <v>104</v>
      </c>
      <c r="BX1422" s="1">
        <v>0</v>
      </c>
      <c r="BY1422" s="1" t="s">
        <v>104</v>
      </c>
      <c r="BZ1422" s="1" t="s">
        <v>104</v>
      </c>
      <c r="CA1422" s="1">
        <v>4</v>
      </c>
      <c r="CB1422" s="1" t="s">
        <v>104</v>
      </c>
      <c r="CC1422" s="1">
        <v>4</v>
      </c>
      <c r="CD1422" s="1" t="s">
        <v>104</v>
      </c>
      <c r="CE1422" s="1" t="s">
        <v>104</v>
      </c>
      <c r="CF1422" s="1" t="s">
        <v>104</v>
      </c>
      <c r="CG1422" s="1" t="s">
        <v>104</v>
      </c>
      <c r="CH1422" s="1" t="s">
        <v>104</v>
      </c>
      <c r="CJ1422" s="1">
        <v>0</v>
      </c>
      <c r="CK1422" s="1">
        <v>0</v>
      </c>
      <c r="CL1422" s="1">
        <v>0</v>
      </c>
      <c r="CM1422" s="1" t="s">
        <v>104</v>
      </c>
    </row>
    <row r="1423" spans="1:91" ht="14.25" customHeight="1" x14ac:dyDescent="0.3">
      <c r="A1423" s="1" t="s">
        <v>8152</v>
      </c>
      <c r="B1423" s="1" t="s">
        <v>137</v>
      </c>
      <c r="C1423" s="1" t="s">
        <v>154</v>
      </c>
      <c r="E1423" s="1" t="s">
        <v>8153</v>
      </c>
      <c r="F1423" s="1" t="s">
        <v>95</v>
      </c>
      <c r="G1423" s="1" t="s">
        <v>116</v>
      </c>
      <c r="H1423" s="1">
        <v>0</v>
      </c>
      <c r="I1423" s="1" t="s">
        <v>8154</v>
      </c>
      <c r="L1423" s="1" t="s">
        <v>158</v>
      </c>
      <c r="M1423" s="1" t="s">
        <v>2330</v>
      </c>
      <c r="N1423" s="1">
        <v>0</v>
      </c>
      <c r="O1423" s="1">
        <v>0</v>
      </c>
      <c r="R1423" s="1" t="s">
        <v>8155</v>
      </c>
      <c r="S1423" s="1" t="s">
        <v>8109</v>
      </c>
      <c r="T1423" s="1">
        <v>1</v>
      </c>
      <c r="U1423" s="1">
        <v>1</v>
      </c>
      <c r="V1423" s="1">
        <v>0</v>
      </c>
      <c r="W1423" s="1">
        <v>0</v>
      </c>
      <c r="X1423" s="1">
        <v>0</v>
      </c>
      <c r="Y1423" s="1">
        <v>3</v>
      </c>
      <c r="Z1423" s="1">
        <v>3</v>
      </c>
      <c r="AA1423" s="1">
        <v>3</v>
      </c>
      <c r="AB1423" s="1" t="s">
        <v>104</v>
      </c>
      <c r="AC1423" s="1" t="s">
        <v>104</v>
      </c>
      <c r="AD1423" s="1" t="s">
        <v>104</v>
      </c>
      <c r="AE1423" s="1">
        <v>4</v>
      </c>
      <c r="AF1423" s="1">
        <v>3</v>
      </c>
      <c r="AG1423" s="1" t="s">
        <v>104</v>
      </c>
      <c r="AH1423" s="1">
        <v>3</v>
      </c>
      <c r="AI1423" s="1" t="s">
        <v>104</v>
      </c>
      <c r="AJ1423" s="1">
        <v>3</v>
      </c>
      <c r="AK1423" s="1" t="s">
        <v>104</v>
      </c>
      <c r="AL1423" s="1">
        <v>4</v>
      </c>
      <c r="AM1423" s="1" t="s">
        <v>104</v>
      </c>
      <c r="AO1423" s="1">
        <v>3</v>
      </c>
      <c r="AR1423" s="1">
        <v>0</v>
      </c>
      <c r="AS1423" s="1">
        <v>0</v>
      </c>
      <c r="AT1423" s="1">
        <v>0</v>
      </c>
      <c r="AU1423" s="1">
        <v>0</v>
      </c>
      <c r="AV1423" s="1">
        <v>0</v>
      </c>
      <c r="AW1423" s="1">
        <v>0</v>
      </c>
      <c r="AX1423" s="1">
        <v>0</v>
      </c>
      <c r="AY1423" s="1">
        <v>0</v>
      </c>
      <c r="AZ1423" s="1">
        <v>0</v>
      </c>
      <c r="BA1423" s="1">
        <v>0</v>
      </c>
      <c r="BB1423" s="1">
        <v>0</v>
      </c>
      <c r="BC1423" s="1">
        <v>0</v>
      </c>
      <c r="BD1423" s="1">
        <v>0</v>
      </c>
      <c r="BE1423" s="1">
        <v>0</v>
      </c>
      <c r="BF1423" s="1">
        <v>0</v>
      </c>
      <c r="BG1423" s="1">
        <v>0</v>
      </c>
      <c r="BH1423" s="1">
        <v>0</v>
      </c>
      <c r="BI1423" s="1">
        <v>0</v>
      </c>
      <c r="BJ1423" s="1">
        <v>0</v>
      </c>
      <c r="BK1423" s="1">
        <v>0</v>
      </c>
      <c r="BL1423" s="1">
        <v>0</v>
      </c>
      <c r="BM1423" s="1">
        <v>0</v>
      </c>
      <c r="BN1423" s="1">
        <v>0</v>
      </c>
      <c r="BO1423" s="1">
        <v>0</v>
      </c>
      <c r="BP1423" s="1">
        <v>0</v>
      </c>
      <c r="BQ1423" s="1" t="s">
        <v>104</v>
      </c>
      <c r="BR1423" s="1">
        <v>1494</v>
      </c>
      <c r="BS1423" s="1" t="s">
        <v>104</v>
      </c>
      <c r="BX1423" s="1">
        <v>0</v>
      </c>
      <c r="BY1423" s="1" t="s">
        <v>104</v>
      </c>
      <c r="BZ1423" s="1" t="s">
        <v>104</v>
      </c>
      <c r="CA1423" s="1" t="s">
        <v>104</v>
      </c>
      <c r="CB1423" s="1">
        <v>3</v>
      </c>
      <c r="CC1423" s="1" t="s">
        <v>104</v>
      </c>
      <c r="CD1423" s="1" t="s">
        <v>104</v>
      </c>
      <c r="CE1423" s="1" t="s">
        <v>104</v>
      </c>
      <c r="CF1423" s="1" t="s">
        <v>104</v>
      </c>
      <c r="CG1423" s="1" t="s">
        <v>104</v>
      </c>
      <c r="CH1423" s="1" t="s">
        <v>104</v>
      </c>
      <c r="CJ1423" s="1">
        <v>0</v>
      </c>
      <c r="CK1423" s="1">
        <v>0</v>
      </c>
      <c r="CL1423" s="1">
        <v>0</v>
      </c>
      <c r="CM1423" s="1" t="s">
        <v>104</v>
      </c>
    </row>
    <row r="1424" spans="1:91" ht="14.25" customHeight="1" x14ac:dyDescent="0.3">
      <c r="A1424" s="1" t="s">
        <v>8156</v>
      </c>
      <c r="B1424" s="1" t="s">
        <v>137</v>
      </c>
      <c r="E1424" s="1" t="s">
        <v>8157</v>
      </c>
      <c r="F1424" s="1" t="s">
        <v>95</v>
      </c>
      <c r="G1424" s="1" t="s">
        <v>116</v>
      </c>
      <c r="H1424" s="1">
        <v>0</v>
      </c>
      <c r="I1424" s="1" t="s">
        <v>157</v>
      </c>
      <c r="J1424" s="1" t="s">
        <v>8158</v>
      </c>
      <c r="M1424" s="1" t="s">
        <v>8159</v>
      </c>
      <c r="N1424" s="1">
        <v>0</v>
      </c>
      <c r="O1424" s="1">
        <v>0</v>
      </c>
      <c r="P1424" s="1" t="s">
        <v>8160</v>
      </c>
      <c r="Q1424" s="1" t="s">
        <v>184</v>
      </c>
      <c r="R1424" s="1" t="s">
        <v>8161</v>
      </c>
      <c r="S1424" s="1" t="s">
        <v>8109</v>
      </c>
      <c r="T1424" s="1">
        <v>1</v>
      </c>
      <c r="U1424" s="1">
        <v>1</v>
      </c>
      <c r="V1424" s="1">
        <v>0</v>
      </c>
      <c r="W1424" s="1">
        <v>0</v>
      </c>
      <c r="X1424" s="1">
        <v>0</v>
      </c>
      <c r="Y1424" s="1">
        <v>4</v>
      </c>
      <c r="Z1424" s="1">
        <v>4</v>
      </c>
      <c r="AA1424" s="1" t="s">
        <v>104</v>
      </c>
      <c r="AB1424" s="1" t="s">
        <v>104</v>
      </c>
      <c r="AC1424" s="1" t="s">
        <v>104</v>
      </c>
      <c r="AD1424" s="1" t="s">
        <v>104</v>
      </c>
      <c r="AE1424" s="1">
        <v>3</v>
      </c>
      <c r="AF1424" s="1" t="s">
        <v>104</v>
      </c>
      <c r="AG1424" s="1" t="s">
        <v>104</v>
      </c>
      <c r="AH1424" s="1">
        <v>4</v>
      </c>
      <c r="AI1424" s="1" t="s">
        <v>104</v>
      </c>
      <c r="AJ1424" s="1" t="s">
        <v>104</v>
      </c>
      <c r="AK1424" s="1" t="s">
        <v>104</v>
      </c>
      <c r="AL1424" s="1">
        <v>3</v>
      </c>
      <c r="AM1424" s="1" t="s">
        <v>104</v>
      </c>
      <c r="AO1424" s="1">
        <v>3</v>
      </c>
      <c r="AR1424" s="1">
        <v>0</v>
      </c>
      <c r="AS1424" s="1">
        <v>0</v>
      </c>
      <c r="AT1424" s="1">
        <v>0</v>
      </c>
      <c r="AU1424" s="1">
        <v>0</v>
      </c>
      <c r="AV1424" s="1">
        <v>0</v>
      </c>
      <c r="AW1424" s="1">
        <v>0</v>
      </c>
      <c r="AX1424" s="1">
        <v>0</v>
      </c>
      <c r="AY1424" s="1">
        <v>0</v>
      </c>
      <c r="AZ1424" s="1">
        <v>0</v>
      </c>
      <c r="BA1424" s="1">
        <v>0</v>
      </c>
      <c r="BB1424" s="1">
        <v>0</v>
      </c>
      <c r="BC1424" s="1">
        <v>0</v>
      </c>
      <c r="BD1424" s="1">
        <v>0</v>
      </c>
      <c r="BE1424" s="1">
        <v>0</v>
      </c>
      <c r="BF1424" s="1">
        <v>0</v>
      </c>
      <c r="BG1424" s="1">
        <v>0</v>
      </c>
      <c r="BH1424" s="1">
        <v>0</v>
      </c>
      <c r="BI1424" s="1">
        <v>0</v>
      </c>
      <c r="BJ1424" s="1">
        <v>0</v>
      </c>
      <c r="BK1424" s="1">
        <v>0</v>
      </c>
      <c r="BL1424" s="1">
        <v>0</v>
      </c>
      <c r="BM1424" s="1">
        <v>0</v>
      </c>
      <c r="BN1424" s="1">
        <v>0</v>
      </c>
      <c r="BO1424" s="1">
        <v>0</v>
      </c>
      <c r="BP1424" s="1">
        <v>0</v>
      </c>
      <c r="BQ1424" s="1" t="s">
        <v>104</v>
      </c>
      <c r="BR1424" s="1">
        <v>1495</v>
      </c>
      <c r="BS1424" s="1" t="s">
        <v>104</v>
      </c>
      <c r="BX1424" s="1">
        <v>0</v>
      </c>
      <c r="BY1424" s="1" t="s">
        <v>104</v>
      </c>
      <c r="BZ1424" s="1" t="s">
        <v>104</v>
      </c>
      <c r="CA1424" s="1">
        <v>4</v>
      </c>
      <c r="CB1424" s="1" t="s">
        <v>104</v>
      </c>
      <c r="CC1424" s="1">
        <v>3</v>
      </c>
      <c r="CD1424" s="1" t="s">
        <v>104</v>
      </c>
      <c r="CE1424" s="1" t="s">
        <v>104</v>
      </c>
      <c r="CF1424" s="1" t="s">
        <v>104</v>
      </c>
      <c r="CG1424" s="1" t="s">
        <v>104</v>
      </c>
      <c r="CH1424" s="1" t="s">
        <v>104</v>
      </c>
      <c r="CJ1424" s="1">
        <v>0</v>
      </c>
      <c r="CK1424" s="1">
        <v>0</v>
      </c>
      <c r="CL1424" s="1">
        <v>0</v>
      </c>
      <c r="CM1424" s="1" t="s">
        <v>104</v>
      </c>
    </row>
    <row r="1425" spans="1:91" ht="14.25" customHeight="1" x14ac:dyDescent="0.3">
      <c r="A1425" s="1" t="s">
        <v>8162</v>
      </c>
      <c r="B1425" s="1" t="s">
        <v>137</v>
      </c>
      <c r="E1425" s="1" t="s">
        <v>8163</v>
      </c>
      <c r="F1425" s="1" t="s">
        <v>95</v>
      </c>
      <c r="G1425" s="1" t="s">
        <v>116</v>
      </c>
      <c r="H1425" s="1">
        <v>0</v>
      </c>
      <c r="I1425" s="1" t="s">
        <v>157</v>
      </c>
      <c r="L1425" s="1" t="s">
        <v>158</v>
      </c>
      <c r="M1425" s="1" t="s">
        <v>2330</v>
      </c>
      <c r="N1425" s="1">
        <v>0</v>
      </c>
      <c r="O1425" s="1">
        <v>0</v>
      </c>
      <c r="R1425" s="1" t="s">
        <v>8164</v>
      </c>
      <c r="S1425" s="1" t="s">
        <v>8109</v>
      </c>
      <c r="T1425" s="1">
        <v>1</v>
      </c>
      <c r="U1425" s="1">
        <v>1</v>
      </c>
      <c r="V1425" s="1">
        <v>0</v>
      </c>
      <c r="W1425" s="1">
        <v>0</v>
      </c>
      <c r="X1425" s="1">
        <v>0</v>
      </c>
      <c r="Y1425" s="1">
        <v>1</v>
      </c>
      <c r="Z1425" s="1">
        <v>1</v>
      </c>
      <c r="AA1425" s="1" t="s">
        <v>104</v>
      </c>
      <c r="AB1425" s="1" t="s">
        <v>104</v>
      </c>
      <c r="AC1425" s="1">
        <v>1</v>
      </c>
      <c r="AD1425" s="1">
        <v>1</v>
      </c>
      <c r="AE1425" s="1" t="s">
        <v>104</v>
      </c>
      <c r="AF1425" s="1">
        <v>1</v>
      </c>
      <c r="AG1425" s="1" t="s">
        <v>104</v>
      </c>
      <c r="AH1425" s="1">
        <v>1</v>
      </c>
      <c r="AI1425" s="1" t="s">
        <v>104</v>
      </c>
      <c r="AJ1425" s="1" t="s">
        <v>104</v>
      </c>
      <c r="AK1425" s="1" t="s">
        <v>104</v>
      </c>
      <c r="AL1425" s="1" t="s">
        <v>104</v>
      </c>
      <c r="AM1425" s="1" t="s">
        <v>104</v>
      </c>
      <c r="AO1425" s="1">
        <v>1</v>
      </c>
      <c r="AR1425" s="1">
        <v>0</v>
      </c>
      <c r="AS1425" s="1">
        <v>0</v>
      </c>
      <c r="AT1425" s="1">
        <v>0</v>
      </c>
      <c r="AU1425" s="1">
        <v>0</v>
      </c>
      <c r="AV1425" s="1">
        <v>0</v>
      </c>
      <c r="AW1425" s="1">
        <v>0</v>
      </c>
      <c r="AX1425" s="1">
        <v>0</v>
      </c>
      <c r="AY1425" s="1">
        <v>0</v>
      </c>
      <c r="AZ1425" s="1">
        <v>0</v>
      </c>
      <c r="BA1425" s="1">
        <v>0</v>
      </c>
      <c r="BB1425" s="1">
        <v>0</v>
      </c>
      <c r="BC1425" s="1">
        <v>0</v>
      </c>
      <c r="BD1425" s="1">
        <v>0</v>
      </c>
      <c r="BE1425" s="1">
        <v>0</v>
      </c>
      <c r="BF1425" s="1">
        <v>0</v>
      </c>
      <c r="BG1425" s="1">
        <v>0</v>
      </c>
      <c r="BH1425" s="1">
        <v>0</v>
      </c>
      <c r="BI1425" s="1">
        <v>0</v>
      </c>
      <c r="BJ1425" s="1">
        <v>0</v>
      </c>
      <c r="BK1425" s="1">
        <v>0</v>
      </c>
      <c r="BL1425" s="1">
        <v>0</v>
      </c>
      <c r="BM1425" s="1">
        <v>0</v>
      </c>
      <c r="BN1425" s="1">
        <v>0</v>
      </c>
      <c r="BO1425" s="1">
        <v>0</v>
      </c>
      <c r="BP1425" s="1">
        <v>0</v>
      </c>
      <c r="BQ1425" s="1" t="s">
        <v>104</v>
      </c>
      <c r="BR1425" s="1">
        <v>1496</v>
      </c>
      <c r="BS1425" s="1" t="s">
        <v>104</v>
      </c>
      <c r="BX1425" s="1">
        <v>0</v>
      </c>
      <c r="BY1425" s="1" t="s">
        <v>104</v>
      </c>
      <c r="BZ1425" s="1" t="s">
        <v>104</v>
      </c>
      <c r="CA1425" s="1" t="s">
        <v>104</v>
      </c>
      <c r="CB1425" s="1" t="s">
        <v>104</v>
      </c>
      <c r="CC1425" s="1" t="s">
        <v>104</v>
      </c>
      <c r="CD1425" s="1" t="s">
        <v>104</v>
      </c>
      <c r="CE1425" s="1" t="s">
        <v>104</v>
      </c>
      <c r="CF1425" s="1" t="s">
        <v>104</v>
      </c>
      <c r="CG1425" s="1" t="s">
        <v>104</v>
      </c>
      <c r="CH1425" s="1">
        <v>1</v>
      </c>
      <c r="CJ1425" s="1">
        <v>0</v>
      </c>
      <c r="CK1425" s="1">
        <v>0</v>
      </c>
      <c r="CL1425" s="1">
        <v>0</v>
      </c>
      <c r="CM1425" s="1" t="s">
        <v>104</v>
      </c>
    </row>
    <row r="1426" spans="1:91" ht="14.25" customHeight="1" x14ac:dyDescent="0.3">
      <c r="A1426" s="1" t="s">
        <v>8165</v>
      </c>
      <c r="B1426" s="1" t="s">
        <v>123</v>
      </c>
      <c r="C1426" s="1" t="s">
        <v>124</v>
      </c>
      <c r="D1426" s="1" t="s">
        <v>6034</v>
      </c>
      <c r="E1426" s="1" t="s">
        <v>8166</v>
      </c>
      <c r="F1426" s="1" t="s">
        <v>95</v>
      </c>
      <c r="G1426" s="1" t="s">
        <v>116</v>
      </c>
      <c r="H1426" s="1">
        <v>0</v>
      </c>
      <c r="I1426" s="1" t="s">
        <v>157</v>
      </c>
      <c r="L1426" s="1" t="s">
        <v>158</v>
      </c>
      <c r="M1426" s="1" t="s">
        <v>2330</v>
      </c>
      <c r="N1426" s="1">
        <v>0</v>
      </c>
      <c r="O1426" s="1">
        <v>0</v>
      </c>
      <c r="P1426" s="1" t="s">
        <v>211</v>
      </c>
      <c r="Q1426" s="1" t="s">
        <v>184</v>
      </c>
      <c r="R1426" s="1" t="s">
        <v>8167</v>
      </c>
      <c r="S1426" s="1" t="s">
        <v>8109</v>
      </c>
      <c r="T1426" s="1">
        <v>1</v>
      </c>
      <c r="U1426" s="1">
        <v>1</v>
      </c>
      <c r="V1426" s="1">
        <v>0</v>
      </c>
      <c r="W1426" s="1">
        <v>0</v>
      </c>
      <c r="X1426" s="1">
        <v>0</v>
      </c>
      <c r="Y1426" s="1" t="s">
        <v>104</v>
      </c>
      <c r="Z1426" s="1" t="s">
        <v>104</v>
      </c>
      <c r="AA1426" s="1">
        <v>4</v>
      </c>
      <c r="AB1426" s="1" t="s">
        <v>104</v>
      </c>
      <c r="AC1426" s="1">
        <v>3</v>
      </c>
      <c r="AD1426" s="1" t="s">
        <v>104</v>
      </c>
      <c r="AE1426" s="1" t="s">
        <v>104</v>
      </c>
      <c r="AF1426" s="1">
        <v>3</v>
      </c>
      <c r="AG1426" s="1" t="s">
        <v>104</v>
      </c>
      <c r="AH1426" s="1">
        <v>4</v>
      </c>
      <c r="AI1426" s="1">
        <v>3</v>
      </c>
      <c r="AJ1426" s="1">
        <v>4</v>
      </c>
      <c r="AK1426" s="1">
        <v>3</v>
      </c>
      <c r="AL1426" s="1" t="s">
        <v>104</v>
      </c>
      <c r="AM1426" s="1" t="s">
        <v>104</v>
      </c>
      <c r="AO1426" s="1">
        <v>4</v>
      </c>
      <c r="AR1426" s="1">
        <v>0</v>
      </c>
      <c r="AS1426" s="1">
        <v>0</v>
      </c>
      <c r="AT1426" s="1">
        <v>0</v>
      </c>
      <c r="AU1426" s="1">
        <v>0</v>
      </c>
      <c r="AV1426" s="1">
        <v>0</v>
      </c>
      <c r="AW1426" s="1">
        <v>0</v>
      </c>
      <c r="AX1426" s="1">
        <v>0</v>
      </c>
      <c r="AY1426" s="1">
        <v>0</v>
      </c>
      <c r="AZ1426" s="1">
        <v>0</v>
      </c>
      <c r="BA1426" s="1">
        <v>0</v>
      </c>
      <c r="BB1426" s="1">
        <v>1</v>
      </c>
      <c r="BC1426" s="1">
        <v>0</v>
      </c>
      <c r="BD1426" s="1">
        <v>0</v>
      </c>
      <c r="BE1426" s="1">
        <v>0</v>
      </c>
      <c r="BF1426" s="1">
        <v>0</v>
      </c>
      <c r="BG1426" s="1">
        <v>0</v>
      </c>
      <c r="BH1426" s="1">
        <v>0</v>
      </c>
      <c r="BI1426" s="1">
        <v>0</v>
      </c>
      <c r="BJ1426" s="1">
        <v>0</v>
      </c>
      <c r="BK1426" s="1">
        <v>1</v>
      </c>
      <c r="BL1426" s="1">
        <v>0</v>
      </c>
      <c r="BM1426" s="1">
        <v>0</v>
      </c>
      <c r="BN1426" s="1">
        <v>0</v>
      </c>
      <c r="BO1426" s="1">
        <v>0</v>
      </c>
      <c r="BP1426" s="1">
        <v>0</v>
      </c>
      <c r="BQ1426" s="1" t="s">
        <v>104</v>
      </c>
      <c r="BR1426" s="1">
        <v>1497</v>
      </c>
      <c r="BS1426" s="1" t="s">
        <v>104</v>
      </c>
      <c r="BV1426" s="1" t="s">
        <v>8168</v>
      </c>
      <c r="BW1426" s="1" t="s">
        <v>8169</v>
      </c>
      <c r="BX1426" s="1">
        <v>1</v>
      </c>
      <c r="BY1426" s="1" t="s">
        <v>104</v>
      </c>
      <c r="BZ1426" s="1" t="s">
        <v>104</v>
      </c>
      <c r="CA1426" s="1" t="s">
        <v>104</v>
      </c>
      <c r="CB1426" s="1" t="s">
        <v>104</v>
      </c>
      <c r="CC1426" s="1" t="s">
        <v>104</v>
      </c>
      <c r="CD1426" s="1" t="s">
        <v>104</v>
      </c>
      <c r="CE1426" s="1" t="s">
        <v>104</v>
      </c>
      <c r="CF1426" s="1" t="s">
        <v>104</v>
      </c>
      <c r="CG1426" s="1" t="s">
        <v>104</v>
      </c>
      <c r="CH1426" s="1">
        <v>3</v>
      </c>
      <c r="CJ1426" s="1">
        <v>0</v>
      </c>
      <c r="CK1426" s="1">
        <v>0</v>
      </c>
      <c r="CL1426" s="1">
        <v>0</v>
      </c>
      <c r="CM1426" s="1" t="s">
        <v>104</v>
      </c>
    </row>
    <row r="1427" spans="1:91" ht="14.25" customHeight="1" x14ac:dyDescent="0.3">
      <c r="A1427" s="1" t="s">
        <v>8170</v>
      </c>
      <c r="B1427" s="1" t="s">
        <v>92</v>
      </c>
      <c r="C1427" s="1" t="s">
        <v>93</v>
      </c>
      <c r="E1427" s="1" t="s">
        <v>8171</v>
      </c>
      <c r="F1427" s="1" t="s">
        <v>287</v>
      </c>
      <c r="G1427" s="1" t="s">
        <v>8172</v>
      </c>
      <c r="H1427" s="1">
        <v>0</v>
      </c>
      <c r="I1427" s="1" t="s">
        <v>705</v>
      </c>
      <c r="L1427" s="1" t="s">
        <v>8173</v>
      </c>
      <c r="M1427" s="1" t="s">
        <v>8174</v>
      </c>
      <c r="N1427" s="1">
        <v>1</v>
      </c>
      <c r="O1427" s="1">
        <v>0</v>
      </c>
      <c r="P1427" s="1" t="s">
        <v>8175</v>
      </c>
      <c r="Q1427" s="1" t="s">
        <v>101</v>
      </c>
      <c r="R1427" s="1" t="s">
        <v>8176</v>
      </c>
      <c r="S1427" s="1" t="s">
        <v>8109</v>
      </c>
      <c r="T1427" s="1">
        <v>1</v>
      </c>
      <c r="U1427" s="1">
        <v>1</v>
      </c>
      <c r="V1427" s="1">
        <v>0</v>
      </c>
      <c r="W1427" s="1">
        <v>0</v>
      </c>
      <c r="X1427" s="1">
        <v>0</v>
      </c>
      <c r="Y1427" s="1">
        <v>4</v>
      </c>
      <c r="Z1427" s="1">
        <v>4</v>
      </c>
      <c r="AA1427" s="1" t="s">
        <v>104</v>
      </c>
      <c r="AB1427" s="1" t="s">
        <v>104</v>
      </c>
      <c r="AC1427" s="1" t="s">
        <v>104</v>
      </c>
      <c r="AD1427" s="1" t="s">
        <v>104</v>
      </c>
      <c r="AE1427" s="1" t="s">
        <v>104</v>
      </c>
      <c r="AF1427" s="1" t="s">
        <v>104</v>
      </c>
      <c r="AG1427" s="1">
        <v>2</v>
      </c>
      <c r="AH1427" s="1" t="s">
        <v>104</v>
      </c>
      <c r="AI1427" s="1" t="s">
        <v>104</v>
      </c>
      <c r="AJ1427" s="1" t="s">
        <v>104</v>
      </c>
      <c r="AK1427" s="1" t="s">
        <v>104</v>
      </c>
      <c r="AL1427" s="1" t="s">
        <v>104</v>
      </c>
      <c r="AM1427" s="1" t="s">
        <v>104</v>
      </c>
      <c r="AO1427" s="1">
        <v>4</v>
      </c>
      <c r="AR1427" s="1">
        <v>0</v>
      </c>
      <c r="AS1427" s="1">
        <v>0</v>
      </c>
      <c r="AT1427" s="1">
        <v>0</v>
      </c>
      <c r="AU1427" s="1">
        <v>0</v>
      </c>
      <c r="AV1427" s="1">
        <v>0</v>
      </c>
      <c r="AW1427" s="1">
        <v>0</v>
      </c>
      <c r="AX1427" s="1">
        <v>0</v>
      </c>
      <c r="AY1427" s="1">
        <v>0</v>
      </c>
      <c r="AZ1427" s="1">
        <v>0</v>
      </c>
      <c r="BA1427" s="1">
        <v>0</v>
      </c>
      <c r="BB1427" s="1">
        <v>0</v>
      </c>
      <c r="BC1427" s="1">
        <v>0</v>
      </c>
      <c r="BD1427" s="1">
        <v>0</v>
      </c>
      <c r="BE1427" s="1">
        <v>0</v>
      </c>
      <c r="BF1427" s="1">
        <v>0</v>
      </c>
      <c r="BG1427" s="1">
        <v>0</v>
      </c>
      <c r="BH1427" s="1">
        <v>0</v>
      </c>
      <c r="BI1427" s="1">
        <v>0</v>
      </c>
      <c r="BJ1427" s="1">
        <v>0</v>
      </c>
      <c r="BK1427" s="1">
        <v>0</v>
      </c>
      <c r="BL1427" s="1">
        <v>0</v>
      </c>
      <c r="BM1427" s="1">
        <v>0</v>
      </c>
      <c r="BN1427" s="1">
        <v>0</v>
      </c>
      <c r="BO1427" s="1">
        <v>0</v>
      </c>
      <c r="BP1427" s="1">
        <v>0</v>
      </c>
      <c r="BQ1427" s="1" t="s">
        <v>104</v>
      </c>
      <c r="BR1427" s="1">
        <v>1498</v>
      </c>
      <c r="BS1427" s="1" t="s">
        <v>104</v>
      </c>
      <c r="BX1427" s="1">
        <v>0</v>
      </c>
      <c r="BY1427" s="1">
        <v>4</v>
      </c>
      <c r="BZ1427" s="1" t="s">
        <v>104</v>
      </c>
      <c r="CA1427" s="1">
        <v>4</v>
      </c>
      <c r="CB1427" s="1" t="s">
        <v>104</v>
      </c>
      <c r="CC1427" s="1" t="s">
        <v>104</v>
      </c>
      <c r="CD1427" s="1" t="s">
        <v>104</v>
      </c>
      <c r="CE1427" s="1" t="s">
        <v>104</v>
      </c>
      <c r="CF1427" s="1" t="s">
        <v>104</v>
      </c>
      <c r="CG1427" s="1" t="s">
        <v>104</v>
      </c>
      <c r="CH1427" s="1" t="s">
        <v>104</v>
      </c>
      <c r="CJ1427" s="1">
        <v>0</v>
      </c>
      <c r="CK1427" s="1">
        <v>0</v>
      </c>
      <c r="CL1427" s="1">
        <v>0</v>
      </c>
      <c r="CM1427" s="1">
        <v>2</v>
      </c>
    </row>
    <row r="1428" spans="1:91" ht="14.25" customHeight="1" x14ac:dyDescent="0.3">
      <c r="A1428" s="1" t="s">
        <v>8177</v>
      </c>
      <c r="B1428" s="1" t="s">
        <v>137</v>
      </c>
      <c r="E1428" s="1" t="s">
        <v>8178</v>
      </c>
      <c r="F1428" s="1" t="s">
        <v>273</v>
      </c>
      <c r="G1428" s="1" t="s">
        <v>8179</v>
      </c>
      <c r="H1428" s="1">
        <v>1</v>
      </c>
      <c r="I1428" s="1" t="s">
        <v>128</v>
      </c>
      <c r="L1428" s="1" t="s">
        <v>8180</v>
      </c>
      <c r="M1428" s="1" t="s">
        <v>119</v>
      </c>
      <c r="N1428" s="1">
        <v>0</v>
      </c>
      <c r="O1428" s="1">
        <v>0</v>
      </c>
      <c r="P1428" s="1" t="s">
        <v>100</v>
      </c>
      <c r="Q1428" s="1" t="s">
        <v>101</v>
      </c>
      <c r="R1428" s="1" t="s">
        <v>8181</v>
      </c>
      <c r="S1428" s="1" t="s">
        <v>8109</v>
      </c>
      <c r="T1428" s="1">
        <v>1</v>
      </c>
      <c r="U1428" s="1">
        <v>1</v>
      </c>
      <c r="V1428" s="1">
        <v>1</v>
      </c>
      <c r="W1428" s="1">
        <v>0</v>
      </c>
      <c r="X1428" s="1">
        <v>1</v>
      </c>
      <c r="Y1428" s="1">
        <v>5</v>
      </c>
      <c r="Z1428" s="1">
        <v>5</v>
      </c>
      <c r="AA1428" s="1">
        <v>5</v>
      </c>
      <c r="AB1428" s="1">
        <v>5</v>
      </c>
      <c r="AC1428" s="1" t="s">
        <v>104</v>
      </c>
      <c r="AD1428" s="1" t="s">
        <v>104</v>
      </c>
      <c r="AE1428" s="1" t="s">
        <v>104</v>
      </c>
      <c r="AF1428" s="1">
        <v>5</v>
      </c>
      <c r="AG1428" s="1" t="s">
        <v>104</v>
      </c>
      <c r="AH1428" s="1">
        <v>5</v>
      </c>
      <c r="AI1428" s="1" t="s">
        <v>104</v>
      </c>
      <c r="AJ1428" s="1">
        <v>5</v>
      </c>
      <c r="AK1428" s="1" t="s">
        <v>104</v>
      </c>
      <c r="AL1428" s="1" t="s">
        <v>104</v>
      </c>
      <c r="AM1428" s="1" t="s">
        <v>104</v>
      </c>
      <c r="AO1428" s="1">
        <v>5</v>
      </c>
      <c r="AR1428" s="1">
        <v>0</v>
      </c>
      <c r="AS1428" s="1">
        <v>0</v>
      </c>
      <c r="AT1428" s="1">
        <v>0</v>
      </c>
      <c r="AU1428" s="1">
        <v>0</v>
      </c>
      <c r="AV1428" s="1">
        <v>0</v>
      </c>
      <c r="AW1428" s="1">
        <v>0</v>
      </c>
      <c r="AX1428" s="1">
        <v>0</v>
      </c>
      <c r="AY1428" s="1">
        <v>0</v>
      </c>
      <c r="AZ1428" s="1">
        <v>0</v>
      </c>
      <c r="BA1428" s="1">
        <v>0</v>
      </c>
      <c r="BB1428" s="1">
        <v>0</v>
      </c>
      <c r="BC1428" s="1">
        <v>0</v>
      </c>
      <c r="BD1428" s="1">
        <v>0</v>
      </c>
      <c r="BE1428" s="1">
        <v>0</v>
      </c>
      <c r="BF1428" s="1">
        <v>0</v>
      </c>
      <c r="BG1428" s="1">
        <v>0</v>
      </c>
      <c r="BH1428" s="1">
        <v>0</v>
      </c>
      <c r="BI1428" s="1">
        <v>0</v>
      </c>
      <c r="BJ1428" s="1">
        <v>0</v>
      </c>
      <c r="BK1428" s="1">
        <v>0</v>
      </c>
      <c r="BL1428" s="1">
        <v>0</v>
      </c>
      <c r="BM1428" s="1">
        <v>0</v>
      </c>
      <c r="BN1428" s="1">
        <v>0</v>
      </c>
      <c r="BO1428" s="1">
        <v>0</v>
      </c>
      <c r="BP1428" s="1">
        <v>0</v>
      </c>
      <c r="BQ1428" s="1" t="s">
        <v>104</v>
      </c>
      <c r="BR1428" s="1">
        <v>1499</v>
      </c>
      <c r="BS1428" s="1">
        <v>3000</v>
      </c>
      <c r="BX1428" s="1">
        <v>0</v>
      </c>
      <c r="BY1428" s="1" t="s">
        <v>104</v>
      </c>
      <c r="BZ1428" s="1" t="s">
        <v>104</v>
      </c>
      <c r="CA1428" s="1">
        <v>5</v>
      </c>
      <c r="CB1428" s="1" t="s">
        <v>104</v>
      </c>
      <c r="CC1428" s="1" t="s">
        <v>104</v>
      </c>
      <c r="CD1428" s="1" t="s">
        <v>104</v>
      </c>
      <c r="CE1428" s="1" t="s">
        <v>104</v>
      </c>
      <c r="CF1428" s="1" t="s">
        <v>104</v>
      </c>
      <c r="CG1428" s="1" t="s">
        <v>104</v>
      </c>
      <c r="CH1428" s="1">
        <v>5</v>
      </c>
      <c r="CJ1428" s="1">
        <v>0</v>
      </c>
      <c r="CK1428" s="1">
        <v>0</v>
      </c>
      <c r="CL1428" s="1">
        <v>0</v>
      </c>
      <c r="CM1428" s="1" t="s">
        <v>104</v>
      </c>
    </row>
    <row r="1429" spans="1:91" ht="14.25" customHeight="1" x14ac:dyDescent="0.3">
      <c r="A1429" s="1" t="s">
        <v>8182</v>
      </c>
      <c r="B1429" s="1" t="s">
        <v>137</v>
      </c>
      <c r="E1429" s="1" t="s">
        <v>8183</v>
      </c>
      <c r="F1429" s="1" t="s">
        <v>95</v>
      </c>
      <c r="G1429" s="1" t="s">
        <v>116</v>
      </c>
      <c r="H1429" s="1">
        <v>0</v>
      </c>
      <c r="I1429" s="1" t="s">
        <v>157</v>
      </c>
      <c r="L1429" s="1" t="s">
        <v>158</v>
      </c>
      <c r="M1429" s="1" t="s">
        <v>2330</v>
      </c>
      <c r="N1429" s="1">
        <v>0</v>
      </c>
      <c r="O1429" s="1">
        <v>0</v>
      </c>
      <c r="R1429" s="1" t="s">
        <v>8184</v>
      </c>
      <c r="S1429" s="1" t="s">
        <v>8109</v>
      </c>
      <c r="T1429" s="1">
        <v>1</v>
      </c>
      <c r="U1429" s="1">
        <v>1</v>
      </c>
      <c r="V1429" s="1">
        <v>0</v>
      </c>
      <c r="W1429" s="1">
        <v>0</v>
      </c>
      <c r="X1429" s="1">
        <v>0</v>
      </c>
      <c r="Y1429" s="1" t="s">
        <v>104</v>
      </c>
      <c r="Z1429" s="1" t="s">
        <v>104</v>
      </c>
      <c r="AA1429" s="1" t="s">
        <v>104</v>
      </c>
      <c r="AB1429" s="1" t="s">
        <v>104</v>
      </c>
      <c r="AC1429" s="1">
        <v>1</v>
      </c>
      <c r="AD1429" s="1" t="s">
        <v>104</v>
      </c>
      <c r="AE1429" s="1">
        <v>1</v>
      </c>
      <c r="AF1429" s="1">
        <v>1</v>
      </c>
      <c r="AG1429" s="1" t="s">
        <v>104</v>
      </c>
      <c r="AH1429" s="1" t="s">
        <v>104</v>
      </c>
      <c r="AI1429" s="1">
        <v>1</v>
      </c>
      <c r="AJ1429" s="1" t="s">
        <v>104</v>
      </c>
      <c r="AK1429" s="1">
        <v>1</v>
      </c>
      <c r="AL1429" s="1">
        <v>1</v>
      </c>
      <c r="AM1429" s="1" t="s">
        <v>104</v>
      </c>
      <c r="AO1429" s="1">
        <v>1</v>
      </c>
      <c r="AR1429" s="1">
        <v>0</v>
      </c>
      <c r="AS1429" s="1">
        <v>0</v>
      </c>
      <c r="AT1429" s="1">
        <v>0</v>
      </c>
      <c r="AU1429" s="1">
        <v>0</v>
      </c>
      <c r="AV1429" s="1">
        <v>0</v>
      </c>
      <c r="AW1429" s="1">
        <v>0</v>
      </c>
      <c r="AX1429" s="1">
        <v>0</v>
      </c>
      <c r="AY1429" s="1">
        <v>0</v>
      </c>
      <c r="AZ1429" s="1">
        <v>0</v>
      </c>
      <c r="BA1429" s="1">
        <v>0</v>
      </c>
      <c r="BB1429" s="1">
        <v>0</v>
      </c>
      <c r="BC1429" s="1">
        <v>0</v>
      </c>
      <c r="BD1429" s="1">
        <v>0</v>
      </c>
      <c r="BE1429" s="1">
        <v>0</v>
      </c>
      <c r="BF1429" s="1">
        <v>0</v>
      </c>
      <c r="BG1429" s="1">
        <v>0</v>
      </c>
      <c r="BH1429" s="1">
        <v>0</v>
      </c>
      <c r="BI1429" s="1">
        <v>0</v>
      </c>
      <c r="BJ1429" s="1">
        <v>0</v>
      </c>
      <c r="BK1429" s="1">
        <v>0</v>
      </c>
      <c r="BL1429" s="1">
        <v>0</v>
      </c>
      <c r="BM1429" s="1">
        <v>0</v>
      </c>
      <c r="BN1429" s="1">
        <v>0</v>
      </c>
      <c r="BO1429" s="1">
        <v>0</v>
      </c>
      <c r="BP1429" s="1">
        <v>0</v>
      </c>
      <c r="BQ1429" s="1" t="s">
        <v>104</v>
      </c>
      <c r="BR1429" s="1">
        <v>1500</v>
      </c>
      <c r="BS1429" s="1" t="s">
        <v>104</v>
      </c>
      <c r="BX1429" s="1">
        <v>0</v>
      </c>
      <c r="BY1429" s="1" t="s">
        <v>104</v>
      </c>
      <c r="BZ1429" s="1" t="s">
        <v>104</v>
      </c>
      <c r="CA1429" s="1" t="s">
        <v>104</v>
      </c>
      <c r="CB1429" s="1" t="s">
        <v>104</v>
      </c>
      <c r="CC1429" s="1" t="s">
        <v>104</v>
      </c>
      <c r="CD1429" s="1" t="s">
        <v>104</v>
      </c>
      <c r="CE1429" s="1" t="s">
        <v>104</v>
      </c>
      <c r="CF1429" s="1" t="s">
        <v>104</v>
      </c>
      <c r="CG1429" s="1" t="s">
        <v>104</v>
      </c>
      <c r="CH1429" s="1">
        <v>1</v>
      </c>
      <c r="CJ1429" s="1">
        <v>0</v>
      </c>
      <c r="CK1429" s="1">
        <v>0</v>
      </c>
      <c r="CL1429" s="1">
        <v>0</v>
      </c>
      <c r="CM1429" s="1" t="s">
        <v>104</v>
      </c>
    </row>
    <row r="1430" spans="1:91" ht="14.25" customHeight="1" x14ac:dyDescent="0.3">
      <c r="A1430" s="1" t="s">
        <v>8185</v>
      </c>
      <c r="B1430" s="1" t="s">
        <v>137</v>
      </c>
      <c r="E1430" s="1" t="s">
        <v>8186</v>
      </c>
      <c r="F1430" s="1" t="s">
        <v>95</v>
      </c>
      <c r="G1430" s="1" t="s">
        <v>116</v>
      </c>
      <c r="H1430" s="1">
        <v>0</v>
      </c>
      <c r="I1430" s="1" t="s">
        <v>157</v>
      </c>
      <c r="L1430" s="1" t="s">
        <v>158</v>
      </c>
      <c r="M1430" s="1" t="s">
        <v>8187</v>
      </c>
      <c r="N1430" s="1">
        <v>1</v>
      </c>
      <c r="O1430" s="1">
        <v>0</v>
      </c>
      <c r="R1430" s="1" t="s">
        <v>8188</v>
      </c>
      <c r="S1430" s="1" t="s">
        <v>8109</v>
      </c>
      <c r="T1430" s="1">
        <v>1</v>
      </c>
      <c r="U1430" s="1">
        <v>1</v>
      </c>
      <c r="V1430" s="1">
        <v>0</v>
      </c>
      <c r="W1430" s="1">
        <v>0</v>
      </c>
      <c r="X1430" s="1">
        <v>0</v>
      </c>
      <c r="Y1430" s="1" t="s">
        <v>104</v>
      </c>
      <c r="Z1430" s="1" t="s">
        <v>104</v>
      </c>
      <c r="AA1430" s="1">
        <v>2</v>
      </c>
      <c r="AB1430" s="1">
        <v>2</v>
      </c>
      <c r="AC1430" s="1">
        <v>1</v>
      </c>
      <c r="AD1430" s="1" t="s">
        <v>104</v>
      </c>
      <c r="AE1430" s="1" t="s">
        <v>104</v>
      </c>
      <c r="AF1430" s="1" t="s">
        <v>104</v>
      </c>
      <c r="AG1430" s="1" t="s">
        <v>104</v>
      </c>
      <c r="AH1430" s="1" t="s">
        <v>104</v>
      </c>
      <c r="AI1430" s="1">
        <v>2</v>
      </c>
      <c r="AJ1430" s="1">
        <v>2</v>
      </c>
      <c r="AK1430" s="1">
        <v>1</v>
      </c>
      <c r="AL1430" s="1">
        <v>2</v>
      </c>
      <c r="AM1430" s="1" t="s">
        <v>104</v>
      </c>
      <c r="AO1430" s="1">
        <v>2</v>
      </c>
      <c r="AR1430" s="1">
        <v>0</v>
      </c>
      <c r="AS1430" s="1">
        <v>0</v>
      </c>
      <c r="AT1430" s="1">
        <v>0</v>
      </c>
      <c r="AU1430" s="1">
        <v>0</v>
      </c>
      <c r="AV1430" s="1">
        <v>0</v>
      </c>
      <c r="AW1430" s="1">
        <v>0</v>
      </c>
      <c r="AX1430" s="1">
        <v>0</v>
      </c>
      <c r="AY1430" s="1">
        <v>0</v>
      </c>
      <c r="AZ1430" s="1">
        <v>0</v>
      </c>
      <c r="BA1430" s="1">
        <v>0</v>
      </c>
      <c r="BB1430" s="1">
        <v>0</v>
      </c>
      <c r="BC1430" s="1">
        <v>0</v>
      </c>
      <c r="BD1430" s="1">
        <v>0</v>
      </c>
      <c r="BE1430" s="1">
        <v>0</v>
      </c>
      <c r="BF1430" s="1">
        <v>0</v>
      </c>
      <c r="BG1430" s="1">
        <v>0</v>
      </c>
      <c r="BH1430" s="1">
        <v>0</v>
      </c>
      <c r="BI1430" s="1">
        <v>0</v>
      </c>
      <c r="BJ1430" s="1">
        <v>0</v>
      </c>
      <c r="BK1430" s="1">
        <v>0</v>
      </c>
      <c r="BL1430" s="1">
        <v>0</v>
      </c>
      <c r="BM1430" s="1">
        <v>0</v>
      </c>
      <c r="BN1430" s="1">
        <v>0</v>
      </c>
      <c r="BO1430" s="1">
        <v>0</v>
      </c>
      <c r="BP1430" s="1">
        <v>0</v>
      </c>
      <c r="BQ1430" s="1" t="s">
        <v>104</v>
      </c>
      <c r="BR1430" s="1">
        <v>1501</v>
      </c>
      <c r="BS1430" s="1" t="s">
        <v>104</v>
      </c>
      <c r="BX1430" s="1">
        <v>0</v>
      </c>
      <c r="BY1430" s="1" t="s">
        <v>104</v>
      </c>
      <c r="BZ1430" s="1" t="s">
        <v>104</v>
      </c>
      <c r="CA1430" s="1">
        <v>2</v>
      </c>
      <c r="CB1430" s="1" t="s">
        <v>104</v>
      </c>
      <c r="CC1430" s="1" t="s">
        <v>104</v>
      </c>
      <c r="CD1430" s="1" t="s">
        <v>104</v>
      </c>
      <c r="CE1430" s="1" t="s">
        <v>104</v>
      </c>
      <c r="CF1430" s="1" t="s">
        <v>104</v>
      </c>
      <c r="CG1430" s="1" t="s">
        <v>104</v>
      </c>
      <c r="CH1430" s="1">
        <v>1</v>
      </c>
      <c r="CJ1430" s="1">
        <v>0</v>
      </c>
      <c r="CK1430" s="1">
        <v>0</v>
      </c>
      <c r="CL1430" s="1">
        <v>0</v>
      </c>
      <c r="CM1430" s="1" t="s">
        <v>104</v>
      </c>
    </row>
    <row r="1431" spans="1:91" ht="14.25" customHeight="1" x14ac:dyDescent="0.3">
      <c r="A1431" s="1" t="s">
        <v>8189</v>
      </c>
      <c r="B1431" s="1" t="s">
        <v>123</v>
      </c>
      <c r="C1431" s="1" t="s">
        <v>124</v>
      </c>
      <c r="D1431" s="1" t="s">
        <v>125</v>
      </c>
      <c r="E1431" s="1" t="s">
        <v>8190</v>
      </c>
      <c r="F1431" s="1" t="s">
        <v>95</v>
      </c>
      <c r="G1431" s="1" t="s">
        <v>116</v>
      </c>
      <c r="H1431" s="1">
        <v>0</v>
      </c>
      <c r="I1431" s="1" t="s">
        <v>128</v>
      </c>
      <c r="L1431" s="1" t="s">
        <v>1310</v>
      </c>
      <c r="M1431" s="1" t="s">
        <v>8191</v>
      </c>
      <c r="N1431" s="1">
        <v>1</v>
      </c>
      <c r="O1431" s="1">
        <v>0</v>
      </c>
      <c r="P1431" s="1" t="s">
        <v>375</v>
      </c>
      <c r="Q1431" s="1" t="s">
        <v>131</v>
      </c>
      <c r="R1431" s="1" t="s">
        <v>8192</v>
      </c>
      <c r="S1431" s="1" t="s">
        <v>8109</v>
      </c>
      <c r="T1431" s="1">
        <v>1</v>
      </c>
      <c r="U1431" s="1">
        <v>1</v>
      </c>
      <c r="V1431" s="1">
        <v>0</v>
      </c>
      <c r="W1431" s="1">
        <v>0</v>
      </c>
      <c r="X1431" s="1">
        <v>0</v>
      </c>
      <c r="Y1431" s="1" t="s">
        <v>104</v>
      </c>
      <c r="Z1431" s="1" t="s">
        <v>104</v>
      </c>
      <c r="AA1431" s="1">
        <v>2</v>
      </c>
      <c r="AB1431" s="1" t="s">
        <v>104</v>
      </c>
      <c r="AC1431" s="1" t="s">
        <v>104</v>
      </c>
      <c r="AD1431" s="1" t="s">
        <v>104</v>
      </c>
      <c r="AE1431" s="1">
        <v>2</v>
      </c>
      <c r="AF1431" s="1" t="s">
        <v>104</v>
      </c>
      <c r="AG1431" s="1" t="s">
        <v>104</v>
      </c>
      <c r="AH1431" s="1" t="s">
        <v>104</v>
      </c>
      <c r="AI1431" s="1">
        <v>2</v>
      </c>
      <c r="AJ1431" s="1">
        <v>2</v>
      </c>
      <c r="AK1431" s="1" t="s">
        <v>104</v>
      </c>
      <c r="AL1431" s="1" t="s">
        <v>104</v>
      </c>
      <c r="AM1431" s="1" t="s">
        <v>104</v>
      </c>
      <c r="AO1431" s="1">
        <v>2</v>
      </c>
      <c r="AR1431" s="1">
        <v>0</v>
      </c>
      <c r="AS1431" s="1">
        <v>0</v>
      </c>
      <c r="AT1431" s="1">
        <v>0</v>
      </c>
      <c r="AU1431" s="1">
        <v>0</v>
      </c>
      <c r="AV1431" s="1">
        <v>0</v>
      </c>
      <c r="AW1431" s="1">
        <v>0</v>
      </c>
      <c r="AX1431" s="1">
        <v>0</v>
      </c>
      <c r="AY1431" s="1">
        <v>0</v>
      </c>
      <c r="AZ1431" s="1">
        <v>0</v>
      </c>
      <c r="BA1431" s="1">
        <v>0</v>
      </c>
      <c r="BB1431" s="1">
        <v>0</v>
      </c>
      <c r="BC1431" s="1">
        <v>0</v>
      </c>
      <c r="BD1431" s="1">
        <v>0</v>
      </c>
      <c r="BE1431" s="1">
        <v>0</v>
      </c>
      <c r="BF1431" s="1">
        <v>0</v>
      </c>
      <c r="BG1431" s="1">
        <v>0</v>
      </c>
      <c r="BH1431" s="1">
        <v>0</v>
      </c>
      <c r="BI1431" s="1">
        <v>0</v>
      </c>
      <c r="BJ1431" s="1">
        <v>0</v>
      </c>
      <c r="BK1431" s="1">
        <v>1</v>
      </c>
      <c r="BL1431" s="1">
        <v>0</v>
      </c>
      <c r="BM1431" s="1">
        <v>0</v>
      </c>
      <c r="BN1431" s="1">
        <v>0</v>
      </c>
      <c r="BO1431" s="1">
        <v>0</v>
      </c>
      <c r="BP1431" s="1">
        <v>0</v>
      </c>
      <c r="BQ1431" s="1" t="s">
        <v>104</v>
      </c>
      <c r="BR1431" s="1">
        <v>1502</v>
      </c>
      <c r="BS1431" s="1" t="s">
        <v>104</v>
      </c>
      <c r="BX1431" s="1">
        <v>0</v>
      </c>
      <c r="BY1431" s="1" t="s">
        <v>104</v>
      </c>
      <c r="BZ1431" s="1" t="s">
        <v>104</v>
      </c>
      <c r="CA1431" s="1" t="s">
        <v>104</v>
      </c>
      <c r="CB1431" s="1" t="s">
        <v>104</v>
      </c>
      <c r="CC1431" s="1" t="s">
        <v>104</v>
      </c>
      <c r="CD1431" s="1" t="s">
        <v>104</v>
      </c>
      <c r="CE1431" s="1" t="s">
        <v>104</v>
      </c>
      <c r="CF1431" s="1" t="s">
        <v>104</v>
      </c>
      <c r="CG1431" s="1" t="s">
        <v>104</v>
      </c>
      <c r="CH1431" s="1" t="s">
        <v>104</v>
      </c>
      <c r="CJ1431" s="1">
        <v>0</v>
      </c>
      <c r="CK1431" s="1">
        <v>0</v>
      </c>
      <c r="CL1431" s="1">
        <v>0</v>
      </c>
      <c r="CM1431" s="1" t="s">
        <v>104</v>
      </c>
    </row>
    <row r="1432" spans="1:91" ht="14.25" customHeight="1" x14ac:dyDescent="0.3">
      <c r="A1432" s="1" t="s">
        <v>8193</v>
      </c>
      <c r="B1432" s="1" t="s">
        <v>123</v>
      </c>
      <c r="C1432" s="1" t="s">
        <v>124</v>
      </c>
      <c r="D1432" s="1" t="s">
        <v>125</v>
      </c>
      <c r="E1432" s="1" t="s">
        <v>8194</v>
      </c>
      <c r="F1432" s="1" t="s">
        <v>95</v>
      </c>
      <c r="G1432" s="1" t="s">
        <v>116</v>
      </c>
      <c r="H1432" s="1">
        <v>0</v>
      </c>
      <c r="I1432" s="1" t="s">
        <v>117</v>
      </c>
      <c r="L1432" s="1" t="s">
        <v>541</v>
      </c>
      <c r="M1432" s="1" t="s">
        <v>8191</v>
      </c>
      <c r="N1432" s="1">
        <v>1</v>
      </c>
      <c r="O1432" s="1">
        <v>0</v>
      </c>
      <c r="P1432" s="1" t="s">
        <v>375</v>
      </c>
      <c r="Q1432" s="1" t="s">
        <v>131</v>
      </c>
      <c r="R1432" s="1" t="s">
        <v>8195</v>
      </c>
      <c r="S1432" s="1" t="s">
        <v>8109</v>
      </c>
      <c r="T1432" s="1">
        <v>1</v>
      </c>
      <c r="U1432" s="1">
        <v>1</v>
      </c>
      <c r="V1432" s="1">
        <v>0</v>
      </c>
      <c r="W1432" s="1">
        <v>0</v>
      </c>
      <c r="X1432" s="1">
        <v>0</v>
      </c>
      <c r="Y1432" s="1" t="s">
        <v>104</v>
      </c>
      <c r="Z1432" s="1" t="s">
        <v>104</v>
      </c>
      <c r="AA1432" s="1">
        <v>6</v>
      </c>
      <c r="AB1432" s="1" t="s">
        <v>104</v>
      </c>
      <c r="AC1432" s="1" t="s">
        <v>104</v>
      </c>
      <c r="AD1432" s="1" t="s">
        <v>104</v>
      </c>
      <c r="AE1432" s="1">
        <v>4</v>
      </c>
      <c r="AF1432" s="1" t="s">
        <v>104</v>
      </c>
      <c r="AG1432" s="1" t="s">
        <v>104</v>
      </c>
      <c r="AH1432" s="1" t="s">
        <v>104</v>
      </c>
      <c r="AI1432" s="1">
        <v>6</v>
      </c>
      <c r="AJ1432" s="1">
        <v>6</v>
      </c>
      <c r="AK1432" s="1" t="s">
        <v>104</v>
      </c>
      <c r="AL1432" s="1" t="s">
        <v>104</v>
      </c>
      <c r="AM1432" s="1" t="s">
        <v>104</v>
      </c>
      <c r="AO1432" s="1">
        <v>6</v>
      </c>
      <c r="AR1432" s="1">
        <v>0</v>
      </c>
      <c r="AS1432" s="1">
        <v>0</v>
      </c>
      <c r="AT1432" s="1">
        <v>0</v>
      </c>
      <c r="AU1432" s="1">
        <v>0</v>
      </c>
      <c r="AV1432" s="1">
        <v>0</v>
      </c>
      <c r="AW1432" s="1">
        <v>0</v>
      </c>
      <c r="AX1432" s="1">
        <v>0</v>
      </c>
      <c r="AY1432" s="1">
        <v>0</v>
      </c>
      <c r="AZ1432" s="1">
        <v>0</v>
      </c>
      <c r="BA1432" s="1">
        <v>0</v>
      </c>
      <c r="BB1432" s="1">
        <v>0</v>
      </c>
      <c r="BC1432" s="1">
        <v>0</v>
      </c>
      <c r="BD1432" s="1">
        <v>0</v>
      </c>
      <c r="BE1432" s="1">
        <v>0</v>
      </c>
      <c r="BF1432" s="1">
        <v>0</v>
      </c>
      <c r="BG1432" s="1">
        <v>0</v>
      </c>
      <c r="BH1432" s="1">
        <v>0</v>
      </c>
      <c r="BI1432" s="1">
        <v>0</v>
      </c>
      <c r="BJ1432" s="1">
        <v>0</v>
      </c>
      <c r="BK1432" s="1">
        <v>1</v>
      </c>
      <c r="BL1432" s="1">
        <v>0</v>
      </c>
      <c r="BM1432" s="1">
        <v>0</v>
      </c>
      <c r="BN1432" s="1">
        <v>0</v>
      </c>
      <c r="BO1432" s="1">
        <v>0</v>
      </c>
      <c r="BP1432" s="1">
        <v>0</v>
      </c>
      <c r="BQ1432" s="1" t="s">
        <v>104</v>
      </c>
      <c r="BR1432" s="1">
        <v>1503</v>
      </c>
      <c r="BS1432" s="1" t="s">
        <v>104</v>
      </c>
      <c r="BX1432" s="1">
        <v>0</v>
      </c>
      <c r="BY1432" s="1" t="s">
        <v>104</v>
      </c>
      <c r="BZ1432" s="1" t="s">
        <v>104</v>
      </c>
      <c r="CA1432" s="1" t="s">
        <v>104</v>
      </c>
      <c r="CB1432" s="1" t="s">
        <v>104</v>
      </c>
      <c r="CC1432" s="1" t="s">
        <v>104</v>
      </c>
      <c r="CD1432" s="1" t="s">
        <v>104</v>
      </c>
      <c r="CE1432" s="1" t="s">
        <v>104</v>
      </c>
      <c r="CF1432" s="1" t="s">
        <v>104</v>
      </c>
      <c r="CG1432" s="1" t="s">
        <v>104</v>
      </c>
      <c r="CH1432" s="1" t="s">
        <v>104</v>
      </c>
      <c r="CJ1432" s="1">
        <v>0</v>
      </c>
      <c r="CK1432" s="1">
        <v>0</v>
      </c>
      <c r="CL1432" s="1">
        <v>0</v>
      </c>
      <c r="CM1432" s="1" t="s">
        <v>104</v>
      </c>
    </row>
    <row r="1433" spans="1:91" ht="14.25" customHeight="1" x14ac:dyDescent="0.3">
      <c r="A1433" s="1" t="s">
        <v>8196</v>
      </c>
      <c r="B1433" s="1" t="s">
        <v>162</v>
      </c>
      <c r="E1433" s="1" t="s">
        <v>8197</v>
      </c>
      <c r="F1433" s="1" t="s">
        <v>95</v>
      </c>
      <c r="G1433" s="1" t="s">
        <v>116</v>
      </c>
      <c r="H1433" s="1">
        <v>0</v>
      </c>
      <c r="I1433" s="1" t="s">
        <v>157</v>
      </c>
      <c r="L1433" s="1" t="s">
        <v>158</v>
      </c>
      <c r="M1433" s="1" t="s">
        <v>111</v>
      </c>
      <c r="N1433" s="1">
        <v>0</v>
      </c>
      <c r="O1433" s="1">
        <v>0</v>
      </c>
      <c r="R1433" s="1" t="s">
        <v>8198</v>
      </c>
      <c r="S1433" s="1" t="s">
        <v>8109</v>
      </c>
      <c r="T1433" s="1">
        <v>1</v>
      </c>
      <c r="U1433" s="1">
        <v>1</v>
      </c>
      <c r="V1433" s="1">
        <v>0</v>
      </c>
      <c r="W1433" s="1">
        <v>0</v>
      </c>
      <c r="X1433" s="1">
        <v>0</v>
      </c>
      <c r="Y1433" s="1">
        <v>2</v>
      </c>
      <c r="Z1433" s="1">
        <v>2</v>
      </c>
      <c r="AA1433" s="1" t="s">
        <v>104</v>
      </c>
      <c r="AB1433" s="1" t="s">
        <v>104</v>
      </c>
      <c r="AC1433" s="1">
        <v>2</v>
      </c>
      <c r="AD1433" s="1">
        <v>2</v>
      </c>
      <c r="AE1433" s="1" t="s">
        <v>104</v>
      </c>
      <c r="AF1433" s="1" t="s">
        <v>104</v>
      </c>
      <c r="AG1433" s="1" t="s">
        <v>104</v>
      </c>
      <c r="AH1433" s="1" t="s">
        <v>104</v>
      </c>
      <c r="AI1433" s="1">
        <v>2</v>
      </c>
      <c r="AJ1433" s="1" t="s">
        <v>104</v>
      </c>
      <c r="AK1433" s="1" t="s">
        <v>104</v>
      </c>
      <c r="AL1433" s="1">
        <v>2</v>
      </c>
      <c r="AM1433" s="1" t="s">
        <v>104</v>
      </c>
      <c r="AO1433" s="1">
        <v>2</v>
      </c>
      <c r="AR1433" s="1">
        <v>0</v>
      </c>
      <c r="AS1433" s="1">
        <v>0</v>
      </c>
      <c r="AT1433" s="1">
        <v>0</v>
      </c>
      <c r="AU1433" s="1">
        <v>0</v>
      </c>
      <c r="AV1433" s="1">
        <v>0</v>
      </c>
      <c r="AW1433" s="1">
        <v>0</v>
      </c>
      <c r="AX1433" s="1">
        <v>0</v>
      </c>
      <c r="AY1433" s="1">
        <v>0</v>
      </c>
      <c r="AZ1433" s="1">
        <v>0</v>
      </c>
      <c r="BA1433" s="1">
        <v>0</v>
      </c>
      <c r="BB1433" s="1">
        <v>0</v>
      </c>
      <c r="BC1433" s="1">
        <v>0</v>
      </c>
      <c r="BD1433" s="1">
        <v>0</v>
      </c>
      <c r="BE1433" s="1">
        <v>0</v>
      </c>
      <c r="BF1433" s="1">
        <v>0</v>
      </c>
      <c r="BG1433" s="1">
        <v>0</v>
      </c>
      <c r="BH1433" s="1">
        <v>0</v>
      </c>
      <c r="BI1433" s="1">
        <v>0</v>
      </c>
      <c r="BJ1433" s="1">
        <v>0</v>
      </c>
      <c r="BK1433" s="1">
        <v>0</v>
      </c>
      <c r="BL1433" s="1">
        <v>0</v>
      </c>
      <c r="BM1433" s="1">
        <v>0</v>
      </c>
      <c r="BN1433" s="1">
        <v>0</v>
      </c>
      <c r="BO1433" s="1">
        <v>0</v>
      </c>
      <c r="BP1433" s="1">
        <v>0</v>
      </c>
      <c r="BQ1433" s="1" t="s">
        <v>104</v>
      </c>
      <c r="BR1433" s="1">
        <v>1504</v>
      </c>
      <c r="BS1433" s="1" t="s">
        <v>104</v>
      </c>
      <c r="BX1433" s="1">
        <v>0</v>
      </c>
      <c r="BY1433" s="1" t="s">
        <v>104</v>
      </c>
      <c r="BZ1433" s="1" t="s">
        <v>104</v>
      </c>
      <c r="CA1433" s="1" t="s">
        <v>104</v>
      </c>
      <c r="CB1433" s="1" t="s">
        <v>104</v>
      </c>
      <c r="CC1433" s="1" t="s">
        <v>104</v>
      </c>
      <c r="CD1433" s="1" t="s">
        <v>104</v>
      </c>
      <c r="CE1433" s="1" t="s">
        <v>104</v>
      </c>
      <c r="CF1433" s="1" t="s">
        <v>104</v>
      </c>
      <c r="CG1433" s="1" t="s">
        <v>104</v>
      </c>
      <c r="CH1433" s="1">
        <v>2</v>
      </c>
      <c r="CJ1433" s="1">
        <v>0</v>
      </c>
      <c r="CK1433" s="1">
        <v>0</v>
      </c>
      <c r="CL1433" s="1">
        <v>0</v>
      </c>
      <c r="CM1433" s="1" t="s">
        <v>104</v>
      </c>
    </row>
    <row r="1434" spans="1:91" ht="14.25" customHeight="1" x14ac:dyDescent="0.3">
      <c r="A1434" s="1" t="s">
        <v>8199</v>
      </c>
      <c r="B1434" s="1" t="s">
        <v>507</v>
      </c>
      <c r="C1434" s="1" t="s">
        <v>1767</v>
      </c>
      <c r="E1434" s="1" t="s">
        <v>8200</v>
      </c>
      <c r="F1434" s="1" t="s">
        <v>95</v>
      </c>
      <c r="G1434" s="1" t="s">
        <v>116</v>
      </c>
      <c r="H1434" s="1">
        <v>0</v>
      </c>
      <c r="I1434" s="1" t="s">
        <v>109</v>
      </c>
      <c r="K1434" s="1" t="s">
        <v>8201</v>
      </c>
      <c r="M1434" s="1" t="s">
        <v>4641</v>
      </c>
      <c r="N1434" s="1">
        <v>1</v>
      </c>
      <c r="O1434" s="1">
        <v>0</v>
      </c>
      <c r="P1434" s="1" t="s">
        <v>1894</v>
      </c>
      <c r="Q1434" s="1" t="s">
        <v>101</v>
      </c>
      <c r="R1434" s="1" t="s">
        <v>8202</v>
      </c>
      <c r="S1434" s="1" t="s">
        <v>8109</v>
      </c>
      <c r="T1434" s="1">
        <v>1</v>
      </c>
      <c r="U1434" s="1">
        <v>1</v>
      </c>
      <c r="V1434" s="1">
        <v>0</v>
      </c>
      <c r="W1434" s="1">
        <v>0</v>
      </c>
      <c r="X1434" s="1">
        <v>0</v>
      </c>
      <c r="Y1434" s="1">
        <v>3</v>
      </c>
      <c r="Z1434" s="1">
        <v>3</v>
      </c>
      <c r="AA1434" s="1" t="s">
        <v>104</v>
      </c>
      <c r="AB1434" s="1" t="s">
        <v>104</v>
      </c>
      <c r="AC1434" s="1" t="s">
        <v>104</v>
      </c>
      <c r="AD1434" s="1">
        <v>3</v>
      </c>
      <c r="AE1434" s="1" t="s">
        <v>104</v>
      </c>
      <c r="AF1434" s="1" t="s">
        <v>104</v>
      </c>
      <c r="AG1434" s="1" t="s">
        <v>104</v>
      </c>
      <c r="AH1434" s="1">
        <v>3</v>
      </c>
      <c r="AI1434" s="1">
        <v>3</v>
      </c>
      <c r="AJ1434" s="1" t="s">
        <v>104</v>
      </c>
      <c r="AK1434" s="1" t="s">
        <v>104</v>
      </c>
      <c r="AL1434" s="1" t="s">
        <v>104</v>
      </c>
      <c r="AM1434" s="1" t="s">
        <v>104</v>
      </c>
      <c r="AO1434" s="1">
        <v>3</v>
      </c>
      <c r="AR1434" s="1">
        <v>0</v>
      </c>
      <c r="AS1434" s="1">
        <v>0</v>
      </c>
      <c r="AT1434" s="1">
        <v>0</v>
      </c>
      <c r="AU1434" s="1">
        <v>0</v>
      </c>
      <c r="AV1434" s="1">
        <v>0</v>
      </c>
      <c r="AW1434" s="1">
        <v>0</v>
      </c>
      <c r="AX1434" s="1">
        <v>0</v>
      </c>
      <c r="AY1434" s="1">
        <v>0</v>
      </c>
      <c r="AZ1434" s="1">
        <v>0</v>
      </c>
      <c r="BA1434" s="1">
        <v>0</v>
      </c>
      <c r="BB1434" s="1">
        <v>0</v>
      </c>
      <c r="BC1434" s="1">
        <v>0</v>
      </c>
      <c r="BD1434" s="1">
        <v>0</v>
      </c>
      <c r="BE1434" s="1">
        <v>0</v>
      </c>
      <c r="BF1434" s="1">
        <v>0</v>
      </c>
      <c r="BG1434" s="1">
        <v>0</v>
      </c>
      <c r="BH1434" s="1">
        <v>0</v>
      </c>
      <c r="BI1434" s="1">
        <v>0</v>
      </c>
      <c r="BJ1434" s="1">
        <v>0</v>
      </c>
      <c r="BK1434" s="1">
        <v>0</v>
      </c>
      <c r="BL1434" s="1">
        <v>0</v>
      </c>
      <c r="BM1434" s="1">
        <v>0</v>
      </c>
      <c r="BN1434" s="1">
        <v>0</v>
      </c>
      <c r="BO1434" s="1">
        <v>0</v>
      </c>
      <c r="BP1434" s="1">
        <v>0</v>
      </c>
      <c r="BQ1434" s="1" t="s">
        <v>104</v>
      </c>
      <c r="BR1434" s="1">
        <v>1505</v>
      </c>
      <c r="BS1434" s="1" t="s">
        <v>104</v>
      </c>
      <c r="BX1434" s="1">
        <v>0</v>
      </c>
      <c r="BY1434" s="1" t="s">
        <v>104</v>
      </c>
      <c r="BZ1434" s="1" t="s">
        <v>104</v>
      </c>
      <c r="CA1434" s="1">
        <v>3</v>
      </c>
      <c r="CB1434" s="1" t="s">
        <v>104</v>
      </c>
      <c r="CC1434" s="1">
        <v>3</v>
      </c>
      <c r="CD1434" s="1" t="s">
        <v>104</v>
      </c>
      <c r="CE1434" s="1" t="s">
        <v>104</v>
      </c>
      <c r="CF1434" s="1" t="s">
        <v>104</v>
      </c>
      <c r="CG1434" s="1" t="s">
        <v>104</v>
      </c>
      <c r="CH1434" s="1" t="s">
        <v>104</v>
      </c>
      <c r="CJ1434" s="1">
        <v>0</v>
      </c>
      <c r="CK1434" s="1">
        <v>0</v>
      </c>
      <c r="CL1434" s="1">
        <v>0</v>
      </c>
      <c r="CM1434" s="1" t="s">
        <v>104</v>
      </c>
    </row>
    <row r="1435" spans="1:91" ht="14.25" customHeight="1" x14ac:dyDescent="0.3">
      <c r="A1435" s="1" t="s">
        <v>8203</v>
      </c>
      <c r="B1435" s="1" t="s">
        <v>507</v>
      </c>
      <c r="C1435" s="1" t="s">
        <v>1767</v>
      </c>
      <c r="D1435" s="1" t="s">
        <v>125</v>
      </c>
      <c r="E1435" s="1" t="s">
        <v>8204</v>
      </c>
      <c r="F1435" s="1" t="s">
        <v>95</v>
      </c>
      <c r="G1435" s="1" t="s">
        <v>116</v>
      </c>
      <c r="H1435" s="1">
        <v>0</v>
      </c>
      <c r="I1435" s="1" t="s">
        <v>97</v>
      </c>
      <c r="J1435" s="1" t="s">
        <v>8205</v>
      </c>
      <c r="M1435" s="1" t="s">
        <v>194</v>
      </c>
      <c r="N1435" s="1">
        <v>0</v>
      </c>
      <c r="O1435" s="1">
        <v>0</v>
      </c>
      <c r="P1435" s="1" t="s">
        <v>1771</v>
      </c>
      <c r="Q1435" s="1" t="s">
        <v>184</v>
      </c>
      <c r="R1435" s="1" t="s">
        <v>8206</v>
      </c>
      <c r="S1435" s="1" t="s">
        <v>8109</v>
      </c>
      <c r="T1435" s="1">
        <v>1</v>
      </c>
      <c r="U1435" s="1">
        <v>1</v>
      </c>
      <c r="V1435" s="1">
        <v>0</v>
      </c>
      <c r="W1435" s="1">
        <v>0</v>
      </c>
      <c r="X1435" s="1">
        <v>0</v>
      </c>
      <c r="Y1435" s="1">
        <v>5</v>
      </c>
      <c r="Z1435" s="1">
        <v>5</v>
      </c>
      <c r="AA1435" s="1">
        <v>5</v>
      </c>
      <c r="AB1435" s="1" t="s">
        <v>104</v>
      </c>
      <c r="AC1435" s="1" t="s">
        <v>104</v>
      </c>
      <c r="AD1435" s="1">
        <v>5</v>
      </c>
      <c r="AE1435" s="1" t="s">
        <v>104</v>
      </c>
      <c r="AF1435" s="1" t="s">
        <v>104</v>
      </c>
      <c r="AG1435" s="1" t="s">
        <v>104</v>
      </c>
      <c r="AH1435" s="1">
        <v>5</v>
      </c>
      <c r="AI1435" s="1" t="s">
        <v>104</v>
      </c>
      <c r="AJ1435" s="1">
        <v>5</v>
      </c>
      <c r="AK1435" s="1" t="s">
        <v>104</v>
      </c>
      <c r="AL1435" s="1" t="s">
        <v>104</v>
      </c>
      <c r="AM1435" s="1" t="s">
        <v>104</v>
      </c>
      <c r="AO1435" s="1">
        <v>5</v>
      </c>
      <c r="AR1435" s="1">
        <v>0</v>
      </c>
      <c r="AS1435" s="1">
        <v>0</v>
      </c>
      <c r="AT1435" s="1">
        <v>0</v>
      </c>
      <c r="AU1435" s="1">
        <v>0</v>
      </c>
      <c r="AV1435" s="1">
        <v>0</v>
      </c>
      <c r="AW1435" s="1">
        <v>0</v>
      </c>
      <c r="AX1435" s="1">
        <v>0</v>
      </c>
      <c r="AY1435" s="1">
        <v>0</v>
      </c>
      <c r="AZ1435" s="1">
        <v>0</v>
      </c>
      <c r="BA1435" s="1">
        <v>0</v>
      </c>
      <c r="BB1435" s="1">
        <v>0</v>
      </c>
      <c r="BC1435" s="1">
        <v>0</v>
      </c>
      <c r="BD1435" s="1">
        <v>0</v>
      </c>
      <c r="BE1435" s="1">
        <v>0</v>
      </c>
      <c r="BF1435" s="1">
        <v>0</v>
      </c>
      <c r="BG1435" s="1">
        <v>0</v>
      </c>
      <c r="BH1435" s="1">
        <v>0</v>
      </c>
      <c r="BI1435" s="1">
        <v>0</v>
      </c>
      <c r="BJ1435" s="1">
        <v>0</v>
      </c>
      <c r="BK1435" s="1">
        <v>1</v>
      </c>
      <c r="BL1435" s="1">
        <v>0</v>
      </c>
      <c r="BM1435" s="1">
        <v>0</v>
      </c>
      <c r="BN1435" s="1">
        <v>0</v>
      </c>
      <c r="BO1435" s="1">
        <v>0</v>
      </c>
      <c r="BP1435" s="1">
        <v>0</v>
      </c>
      <c r="BQ1435" s="1" t="s">
        <v>104</v>
      </c>
      <c r="BR1435" s="1">
        <v>1506</v>
      </c>
      <c r="BS1435" s="1" t="s">
        <v>104</v>
      </c>
      <c r="BX1435" s="1">
        <v>0</v>
      </c>
      <c r="BY1435" s="1" t="s">
        <v>104</v>
      </c>
      <c r="BZ1435" s="1" t="s">
        <v>104</v>
      </c>
      <c r="CA1435" s="1">
        <v>5</v>
      </c>
      <c r="CB1435" s="1" t="s">
        <v>104</v>
      </c>
      <c r="CC1435" s="1">
        <v>5</v>
      </c>
      <c r="CD1435" s="1" t="s">
        <v>104</v>
      </c>
      <c r="CE1435" s="1" t="s">
        <v>104</v>
      </c>
      <c r="CF1435" s="1" t="s">
        <v>104</v>
      </c>
      <c r="CG1435" s="1" t="s">
        <v>104</v>
      </c>
      <c r="CH1435" s="1" t="s">
        <v>104</v>
      </c>
      <c r="CJ1435" s="1">
        <v>0</v>
      </c>
      <c r="CK1435" s="1">
        <v>0</v>
      </c>
      <c r="CL1435" s="1">
        <v>0</v>
      </c>
      <c r="CM1435" s="1" t="s">
        <v>104</v>
      </c>
    </row>
    <row r="1436" spans="1:91" ht="14.25" customHeight="1" x14ac:dyDescent="0.3">
      <c r="A1436" s="1" t="s">
        <v>8207</v>
      </c>
      <c r="B1436" s="1" t="s">
        <v>123</v>
      </c>
      <c r="C1436" s="1" t="s">
        <v>124</v>
      </c>
      <c r="E1436" s="1" t="s">
        <v>8208</v>
      </c>
      <c r="F1436" s="1" t="s">
        <v>95</v>
      </c>
      <c r="G1436" s="1" t="s">
        <v>116</v>
      </c>
      <c r="H1436" s="1">
        <v>0</v>
      </c>
      <c r="I1436" s="1" t="s">
        <v>128</v>
      </c>
      <c r="L1436" s="1" t="s">
        <v>8209</v>
      </c>
      <c r="M1436" s="1" t="s">
        <v>2330</v>
      </c>
      <c r="N1436" s="1">
        <v>0</v>
      </c>
      <c r="O1436" s="1">
        <v>0</v>
      </c>
      <c r="P1436" s="1" t="s">
        <v>375</v>
      </c>
      <c r="Q1436" s="1" t="s">
        <v>131</v>
      </c>
      <c r="R1436" s="1" t="s">
        <v>8210</v>
      </c>
      <c r="S1436" s="1" t="s">
        <v>8109</v>
      </c>
      <c r="T1436" s="1">
        <v>1</v>
      </c>
      <c r="U1436" s="1">
        <v>1</v>
      </c>
      <c r="V1436" s="1">
        <v>0</v>
      </c>
      <c r="W1436" s="1">
        <v>0</v>
      </c>
      <c r="X1436" s="1">
        <v>0</v>
      </c>
      <c r="Y1436" s="1">
        <v>2</v>
      </c>
      <c r="Z1436" s="1">
        <v>2</v>
      </c>
      <c r="AA1436" s="1">
        <v>3</v>
      </c>
      <c r="AB1436" s="1" t="s">
        <v>104</v>
      </c>
      <c r="AC1436" s="1" t="s">
        <v>104</v>
      </c>
      <c r="AD1436" s="1">
        <v>2</v>
      </c>
      <c r="AE1436" s="1" t="s">
        <v>104</v>
      </c>
      <c r="AF1436" s="1" t="s">
        <v>104</v>
      </c>
      <c r="AG1436" s="1" t="s">
        <v>104</v>
      </c>
      <c r="AH1436" s="1">
        <v>2</v>
      </c>
      <c r="AI1436" s="1">
        <v>2</v>
      </c>
      <c r="AJ1436" s="1">
        <v>3</v>
      </c>
      <c r="AK1436" s="1" t="s">
        <v>104</v>
      </c>
      <c r="AL1436" s="1" t="s">
        <v>104</v>
      </c>
      <c r="AM1436" s="1" t="s">
        <v>104</v>
      </c>
      <c r="AO1436" s="1">
        <v>2</v>
      </c>
      <c r="AR1436" s="1">
        <v>0</v>
      </c>
      <c r="AS1436" s="1">
        <v>0</v>
      </c>
      <c r="AT1436" s="1">
        <v>0</v>
      </c>
      <c r="AU1436" s="1">
        <v>0</v>
      </c>
      <c r="AV1436" s="1">
        <v>0</v>
      </c>
      <c r="AW1436" s="1">
        <v>0</v>
      </c>
      <c r="AX1436" s="1">
        <v>0</v>
      </c>
      <c r="AY1436" s="1">
        <v>0</v>
      </c>
      <c r="AZ1436" s="1">
        <v>0</v>
      </c>
      <c r="BA1436" s="1">
        <v>0</v>
      </c>
      <c r="BB1436" s="1">
        <v>0</v>
      </c>
      <c r="BC1436" s="1">
        <v>0</v>
      </c>
      <c r="BD1436" s="1">
        <v>0</v>
      </c>
      <c r="BE1436" s="1">
        <v>0</v>
      </c>
      <c r="BF1436" s="1">
        <v>0</v>
      </c>
      <c r="BG1436" s="1">
        <v>0</v>
      </c>
      <c r="BH1436" s="1">
        <v>0</v>
      </c>
      <c r="BI1436" s="1">
        <v>0</v>
      </c>
      <c r="BJ1436" s="1">
        <v>0</v>
      </c>
      <c r="BK1436" s="1">
        <v>0</v>
      </c>
      <c r="BL1436" s="1">
        <v>0</v>
      </c>
      <c r="BM1436" s="1">
        <v>0</v>
      </c>
      <c r="BN1436" s="1">
        <v>0</v>
      </c>
      <c r="BO1436" s="1">
        <v>0</v>
      </c>
      <c r="BP1436" s="1">
        <v>0</v>
      </c>
      <c r="BQ1436" s="1" t="s">
        <v>104</v>
      </c>
      <c r="BR1436" s="1">
        <v>1507</v>
      </c>
      <c r="BS1436" s="1" t="s">
        <v>104</v>
      </c>
      <c r="BX1436" s="1">
        <v>0</v>
      </c>
      <c r="BY1436" s="1" t="s">
        <v>104</v>
      </c>
      <c r="BZ1436" s="1" t="s">
        <v>104</v>
      </c>
      <c r="CA1436" s="1">
        <v>2</v>
      </c>
      <c r="CB1436" s="1">
        <v>2</v>
      </c>
      <c r="CC1436" s="1">
        <v>2</v>
      </c>
      <c r="CD1436" s="1" t="s">
        <v>104</v>
      </c>
      <c r="CE1436" s="1" t="s">
        <v>104</v>
      </c>
      <c r="CF1436" s="1" t="s">
        <v>104</v>
      </c>
      <c r="CG1436" s="1" t="s">
        <v>104</v>
      </c>
      <c r="CH1436" s="1" t="s">
        <v>104</v>
      </c>
      <c r="CJ1436" s="1">
        <v>0</v>
      </c>
      <c r="CK1436" s="1">
        <v>0</v>
      </c>
      <c r="CL1436" s="1">
        <v>0</v>
      </c>
      <c r="CM1436" s="1" t="s">
        <v>104</v>
      </c>
    </row>
    <row r="1437" spans="1:91" ht="14.25" customHeight="1" x14ac:dyDescent="0.3">
      <c r="A1437" s="1" t="s">
        <v>8211</v>
      </c>
      <c r="B1437" s="1" t="s">
        <v>216</v>
      </c>
      <c r="D1437" s="1" t="s">
        <v>8212</v>
      </c>
      <c r="E1437" s="1" t="s">
        <v>8213</v>
      </c>
      <c r="F1437" s="1" t="s">
        <v>95</v>
      </c>
      <c r="G1437" s="1" t="s">
        <v>8214</v>
      </c>
      <c r="H1437" s="1">
        <v>0</v>
      </c>
      <c r="I1437" s="1" t="s">
        <v>128</v>
      </c>
      <c r="L1437" s="1" t="s">
        <v>1065</v>
      </c>
      <c r="M1437" s="1" t="s">
        <v>298</v>
      </c>
      <c r="N1437" s="1">
        <v>0</v>
      </c>
      <c r="O1437" s="1">
        <v>0</v>
      </c>
      <c r="P1437" s="1" t="s">
        <v>211</v>
      </c>
      <c r="Q1437" s="1" t="s">
        <v>184</v>
      </c>
      <c r="R1437" s="1" t="s">
        <v>8215</v>
      </c>
      <c r="S1437" s="1" t="s">
        <v>8109</v>
      </c>
      <c r="T1437" s="1">
        <v>1</v>
      </c>
      <c r="U1437" s="1">
        <v>1</v>
      </c>
      <c r="V1437" s="1">
        <v>1</v>
      </c>
      <c r="W1437" s="1">
        <v>0</v>
      </c>
      <c r="X1437" s="1">
        <v>0</v>
      </c>
      <c r="Y1437" s="1" t="s">
        <v>104</v>
      </c>
      <c r="Z1437" s="1" t="s">
        <v>104</v>
      </c>
      <c r="AA1437" s="1" t="s">
        <v>104</v>
      </c>
      <c r="AB1437" s="1">
        <v>7</v>
      </c>
      <c r="AC1437" s="1" t="s">
        <v>104</v>
      </c>
      <c r="AD1437" s="1" t="s">
        <v>104</v>
      </c>
      <c r="AE1437" s="1" t="s">
        <v>104</v>
      </c>
      <c r="AF1437" s="1" t="s">
        <v>104</v>
      </c>
      <c r="AG1437" s="1" t="s">
        <v>104</v>
      </c>
      <c r="AH1437" s="1">
        <v>7</v>
      </c>
      <c r="AI1437" s="1" t="s">
        <v>104</v>
      </c>
      <c r="AJ1437" s="1" t="s">
        <v>104</v>
      </c>
      <c r="AK1437" s="1" t="s">
        <v>104</v>
      </c>
      <c r="AL1437" s="1" t="s">
        <v>104</v>
      </c>
      <c r="AM1437" s="1" t="s">
        <v>104</v>
      </c>
      <c r="AO1437" s="1">
        <v>7</v>
      </c>
      <c r="AR1437" s="1">
        <v>0</v>
      </c>
      <c r="AS1437" s="1">
        <v>0</v>
      </c>
      <c r="AT1437" s="1">
        <v>0</v>
      </c>
      <c r="AU1437" s="1">
        <v>0</v>
      </c>
      <c r="AV1437" s="1">
        <v>1</v>
      </c>
      <c r="AW1437" s="1">
        <v>0</v>
      </c>
      <c r="AX1437" s="1">
        <v>0</v>
      </c>
      <c r="AY1437" s="1">
        <v>0</v>
      </c>
      <c r="AZ1437" s="1">
        <v>0</v>
      </c>
      <c r="BA1437" s="1">
        <v>0</v>
      </c>
      <c r="BB1437" s="1">
        <v>0</v>
      </c>
      <c r="BC1437" s="1">
        <v>0</v>
      </c>
      <c r="BD1437" s="1">
        <v>1</v>
      </c>
      <c r="BE1437" s="1">
        <v>0</v>
      </c>
      <c r="BF1437" s="1">
        <v>0</v>
      </c>
      <c r="BG1437" s="1">
        <v>0</v>
      </c>
      <c r="BH1437" s="1">
        <v>0</v>
      </c>
      <c r="BI1437" s="1">
        <v>0</v>
      </c>
      <c r="BJ1437" s="1">
        <v>0</v>
      </c>
      <c r="BK1437" s="1">
        <v>0</v>
      </c>
      <c r="BL1437" s="1">
        <v>0</v>
      </c>
      <c r="BM1437" s="1">
        <v>0</v>
      </c>
      <c r="BN1437" s="1">
        <v>0</v>
      </c>
      <c r="BO1437" s="1">
        <v>0</v>
      </c>
      <c r="BP1437" s="1">
        <v>0</v>
      </c>
      <c r="BQ1437" s="1" t="s">
        <v>104</v>
      </c>
      <c r="BR1437" s="1">
        <v>1508</v>
      </c>
      <c r="BS1437" s="1" t="s">
        <v>104</v>
      </c>
      <c r="BV1437" s="1" t="s">
        <v>8216</v>
      </c>
      <c r="BX1437" s="1">
        <v>1</v>
      </c>
      <c r="BY1437" s="1" t="s">
        <v>104</v>
      </c>
      <c r="BZ1437" s="1" t="s">
        <v>104</v>
      </c>
      <c r="CA1437" s="1" t="s">
        <v>104</v>
      </c>
      <c r="CB1437" s="1" t="s">
        <v>104</v>
      </c>
      <c r="CC1437" s="1" t="s">
        <v>104</v>
      </c>
      <c r="CD1437" s="1" t="s">
        <v>104</v>
      </c>
      <c r="CE1437" s="1" t="s">
        <v>104</v>
      </c>
      <c r="CF1437" s="1" t="s">
        <v>104</v>
      </c>
      <c r="CG1437" s="1" t="s">
        <v>104</v>
      </c>
      <c r="CH1437" s="1" t="s">
        <v>104</v>
      </c>
      <c r="CJ1437" s="1">
        <v>0</v>
      </c>
      <c r="CK1437" s="1">
        <v>0</v>
      </c>
      <c r="CL1437" s="1">
        <v>0</v>
      </c>
      <c r="CM1437" s="1" t="s">
        <v>104</v>
      </c>
    </row>
    <row r="1438" spans="1:91" ht="14.25" customHeight="1" x14ac:dyDescent="0.3">
      <c r="A1438" s="1" t="s">
        <v>8217</v>
      </c>
      <c r="B1438" s="1" t="s">
        <v>216</v>
      </c>
      <c r="D1438" s="1" t="s">
        <v>47</v>
      </c>
      <c r="E1438" s="1" t="s">
        <v>8218</v>
      </c>
      <c r="F1438" s="1" t="s">
        <v>95</v>
      </c>
      <c r="G1438" s="1" t="s">
        <v>8214</v>
      </c>
      <c r="H1438" s="1">
        <v>0</v>
      </c>
      <c r="I1438" s="1" t="s">
        <v>128</v>
      </c>
      <c r="L1438" s="1" t="s">
        <v>1065</v>
      </c>
      <c r="M1438" s="1" t="s">
        <v>298</v>
      </c>
      <c r="N1438" s="1">
        <v>0</v>
      </c>
      <c r="O1438" s="1">
        <v>0</v>
      </c>
      <c r="P1438" s="1" t="s">
        <v>211</v>
      </c>
      <c r="Q1438" s="1" t="s">
        <v>184</v>
      </c>
      <c r="R1438" s="1" t="s">
        <v>8219</v>
      </c>
      <c r="S1438" s="1" t="s">
        <v>8109</v>
      </c>
      <c r="T1438" s="1">
        <v>1</v>
      </c>
      <c r="U1438" s="1">
        <v>1</v>
      </c>
      <c r="V1438" s="1">
        <v>1</v>
      </c>
      <c r="W1438" s="1">
        <v>0</v>
      </c>
      <c r="X1438" s="1">
        <v>0</v>
      </c>
      <c r="Y1438" s="1" t="s">
        <v>104</v>
      </c>
      <c r="Z1438" s="1" t="s">
        <v>104</v>
      </c>
      <c r="AA1438" s="1" t="s">
        <v>104</v>
      </c>
      <c r="AB1438" s="1">
        <v>5</v>
      </c>
      <c r="AC1438" s="1" t="s">
        <v>104</v>
      </c>
      <c r="AD1438" s="1" t="s">
        <v>104</v>
      </c>
      <c r="AE1438" s="1" t="s">
        <v>104</v>
      </c>
      <c r="AF1438" s="1" t="s">
        <v>104</v>
      </c>
      <c r="AG1438" s="1" t="s">
        <v>104</v>
      </c>
      <c r="AH1438" s="1">
        <v>5</v>
      </c>
      <c r="AI1438" s="1" t="s">
        <v>104</v>
      </c>
      <c r="AJ1438" s="1" t="s">
        <v>104</v>
      </c>
      <c r="AK1438" s="1" t="s">
        <v>104</v>
      </c>
      <c r="AL1438" s="1" t="s">
        <v>104</v>
      </c>
      <c r="AM1438" s="1" t="s">
        <v>104</v>
      </c>
      <c r="AO1438" s="1">
        <v>5</v>
      </c>
      <c r="AR1438" s="1">
        <v>0</v>
      </c>
      <c r="AS1438" s="1">
        <v>0</v>
      </c>
      <c r="AT1438" s="1">
        <v>0</v>
      </c>
      <c r="AU1438" s="1">
        <v>0</v>
      </c>
      <c r="AV1438" s="1">
        <v>1</v>
      </c>
      <c r="AW1438" s="1">
        <v>0</v>
      </c>
      <c r="AX1438" s="1">
        <v>0</v>
      </c>
      <c r="AY1438" s="1">
        <v>0</v>
      </c>
      <c r="AZ1438" s="1">
        <v>0</v>
      </c>
      <c r="BA1438" s="1">
        <v>0</v>
      </c>
      <c r="BB1438" s="1">
        <v>0</v>
      </c>
      <c r="BC1438" s="1">
        <v>0</v>
      </c>
      <c r="BD1438" s="1">
        <v>0</v>
      </c>
      <c r="BE1438" s="1">
        <v>0</v>
      </c>
      <c r="BF1438" s="1">
        <v>0</v>
      </c>
      <c r="BG1438" s="1">
        <v>0</v>
      </c>
      <c r="BH1438" s="1">
        <v>0</v>
      </c>
      <c r="BI1438" s="1">
        <v>0</v>
      </c>
      <c r="BJ1438" s="1">
        <v>0</v>
      </c>
      <c r="BK1438" s="1">
        <v>0</v>
      </c>
      <c r="BL1438" s="1">
        <v>0</v>
      </c>
      <c r="BM1438" s="1">
        <v>0</v>
      </c>
      <c r="BN1438" s="1">
        <v>0</v>
      </c>
      <c r="BO1438" s="1">
        <v>0</v>
      </c>
      <c r="BP1438" s="1">
        <v>0</v>
      </c>
      <c r="BQ1438" s="1" t="s">
        <v>104</v>
      </c>
      <c r="BR1438" s="1">
        <v>1509</v>
      </c>
      <c r="BS1438" s="1" t="s">
        <v>104</v>
      </c>
      <c r="BX1438" s="1">
        <v>0</v>
      </c>
      <c r="BY1438" s="1" t="s">
        <v>104</v>
      </c>
      <c r="BZ1438" s="1" t="s">
        <v>104</v>
      </c>
      <c r="CA1438" s="1" t="s">
        <v>104</v>
      </c>
      <c r="CB1438" s="1" t="s">
        <v>104</v>
      </c>
      <c r="CC1438" s="1">
        <v>4</v>
      </c>
      <c r="CD1438" s="1" t="s">
        <v>104</v>
      </c>
      <c r="CE1438" s="1" t="s">
        <v>104</v>
      </c>
      <c r="CF1438" s="1" t="s">
        <v>104</v>
      </c>
      <c r="CG1438" s="1" t="s">
        <v>104</v>
      </c>
      <c r="CH1438" s="1">
        <v>5</v>
      </c>
      <c r="CJ1438" s="1">
        <v>0</v>
      </c>
      <c r="CK1438" s="1">
        <v>0</v>
      </c>
      <c r="CL1438" s="1">
        <v>0</v>
      </c>
      <c r="CM1438" s="1" t="s">
        <v>104</v>
      </c>
    </row>
    <row r="1439" spans="1:91" ht="14.25" customHeight="1" x14ac:dyDescent="0.3">
      <c r="A1439" s="1" t="s">
        <v>8220</v>
      </c>
      <c r="B1439" s="1" t="s">
        <v>434</v>
      </c>
      <c r="D1439" s="1" t="s">
        <v>58</v>
      </c>
      <c r="E1439" s="1" t="s">
        <v>5774</v>
      </c>
      <c r="F1439" s="1" t="s">
        <v>95</v>
      </c>
      <c r="G1439" s="1" t="s">
        <v>8221</v>
      </c>
      <c r="H1439" s="1">
        <v>0</v>
      </c>
      <c r="I1439" s="1" t="s">
        <v>117</v>
      </c>
      <c r="J1439" s="1" t="s">
        <v>799</v>
      </c>
      <c r="M1439" s="1" t="s">
        <v>166</v>
      </c>
      <c r="N1439" s="1">
        <v>0</v>
      </c>
      <c r="O1439" s="1">
        <v>0</v>
      </c>
      <c r="P1439" s="1" t="s">
        <v>100</v>
      </c>
      <c r="Q1439" s="1" t="s">
        <v>101</v>
      </c>
      <c r="R1439" s="1" t="s">
        <v>8222</v>
      </c>
      <c r="S1439" s="1" t="s">
        <v>8109</v>
      </c>
      <c r="T1439" s="1">
        <v>1</v>
      </c>
      <c r="U1439" s="1">
        <v>1</v>
      </c>
      <c r="V1439" s="1">
        <v>1</v>
      </c>
      <c r="W1439" s="1">
        <v>0</v>
      </c>
      <c r="X1439" s="1">
        <v>0</v>
      </c>
      <c r="Y1439" s="1" t="s">
        <v>104</v>
      </c>
      <c r="Z1439" s="1" t="s">
        <v>104</v>
      </c>
      <c r="AA1439" s="1">
        <v>2</v>
      </c>
      <c r="AB1439" s="1" t="s">
        <v>104</v>
      </c>
      <c r="AC1439" s="1" t="s">
        <v>104</v>
      </c>
      <c r="AD1439" s="1" t="s">
        <v>104</v>
      </c>
      <c r="AE1439" s="1">
        <v>2</v>
      </c>
      <c r="AF1439" s="1" t="s">
        <v>104</v>
      </c>
      <c r="AG1439" s="1" t="s">
        <v>104</v>
      </c>
      <c r="AH1439" s="1" t="s">
        <v>104</v>
      </c>
      <c r="AI1439" s="1" t="s">
        <v>104</v>
      </c>
      <c r="AJ1439" s="1">
        <v>2</v>
      </c>
      <c r="AK1439" s="1" t="s">
        <v>104</v>
      </c>
      <c r="AL1439" s="1" t="s">
        <v>104</v>
      </c>
      <c r="AM1439" s="1" t="s">
        <v>104</v>
      </c>
      <c r="AO1439" s="1">
        <v>2</v>
      </c>
      <c r="AR1439" s="1">
        <v>0</v>
      </c>
      <c r="AS1439" s="1">
        <v>0</v>
      </c>
      <c r="AT1439" s="1">
        <v>0</v>
      </c>
      <c r="AU1439" s="1">
        <v>0</v>
      </c>
      <c r="AV1439" s="1">
        <v>0</v>
      </c>
      <c r="AW1439" s="1">
        <v>0</v>
      </c>
      <c r="AX1439" s="1">
        <v>0</v>
      </c>
      <c r="AY1439" s="1">
        <v>0</v>
      </c>
      <c r="AZ1439" s="1">
        <v>0</v>
      </c>
      <c r="BA1439" s="1">
        <v>0</v>
      </c>
      <c r="BB1439" s="1">
        <v>0</v>
      </c>
      <c r="BC1439" s="1">
        <v>0</v>
      </c>
      <c r="BD1439" s="1">
        <v>0</v>
      </c>
      <c r="BE1439" s="1">
        <v>0</v>
      </c>
      <c r="BF1439" s="1">
        <v>0</v>
      </c>
      <c r="BG1439" s="1">
        <v>1</v>
      </c>
      <c r="BH1439" s="1">
        <v>0</v>
      </c>
      <c r="BI1439" s="1">
        <v>0</v>
      </c>
      <c r="BJ1439" s="1">
        <v>0</v>
      </c>
      <c r="BK1439" s="1">
        <v>0</v>
      </c>
      <c r="BL1439" s="1">
        <v>0</v>
      </c>
      <c r="BM1439" s="1">
        <v>0</v>
      </c>
      <c r="BN1439" s="1">
        <v>0</v>
      </c>
      <c r="BO1439" s="1">
        <v>0</v>
      </c>
      <c r="BP1439" s="1">
        <v>0</v>
      </c>
      <c r="BQ1439" s="1" t="s">
        <v>104</v>
      </c>
      <c r="BR1439" s="1">
        <v>1510</v>
      </c>
      <c r="BS1439" s="1" t="s">
        <v>104</v>
      </c>
      <c r="BX1439" s="1">
        <v>0</v>
      </c>
      <c r="BY1439" s="1" t="s">
        <v>104</v>
      </c>
      <c r="BZ1439" s="1" t="s">
        <v>104</v>
      </c>
      <c r="CA1439" s="1" t="s">
        <v>104</v>
      </c>
      <c r="CB1439" s="1" t="s">
        <v>104</v>
      </c>
      <c r="CC1439" s="1" t="s">
        <v>104</v>
      </c>
      <c r="CD1439" s="1" t="s">
        <v>104</v>
      </c>
      <c r="CE1439" s="1" t="s">
        <v>104</v>
      </c>
      <c r="CF1439" s="1" t="s">
        <v>104</v>
      </c>
      <c r="CG1439" s="1" t="s">
        <v>104</v>
      </c>
      <c r="CH1439" s="1" t="s">
        <v>104</v>
      </c>
      <c r="CJ1439" s="1">
        <v>0</v>
      </c>
      <c r="CK1439" s="1">
        <v>0</v>
      </c>
      <c r="CL1439" s="1">
        <v>0</v>
      </c>
      <c r="CM1439" s="1" t="s">
        <v>104</v>
      </c>
    </row>
    <row r="1440" spans="1:91" ht="14.25" customHeight="1" x14ac:dyDescent="0.3">
      <c r="A1440" s="1" t="s">
        <v>8223</v>
      </c>
      <c r="B1440" s="1" t="s">
        <v>172</v>
      </c>
      <c r="E1440" s="1" t="s">
        <v>8224</v>
      </c>
      <c r="F1440" s="1" t="s">
        <v>95</v>
      </c>
      <c r="G1440" s="1" t="s">
        <v>237</v>
      </c>
      <c r="H1440" s="1">
        <v>0</v>
      </c>
      <c r="I1440" s="1" t="s">
        <v>157</v>
      </c>
      <c r="L1440" s="1" t="s">
        <v>158</v>
      </c>
      <c r="M1440" s="1" t="s">
        <v>2330</v>
      </c>
      <c r="N1440" s="1">
        <v>0</v>
      </c>
      <c r="O1440" s="1">
        <v>0</v>
      </c>
      <c r="R1440" s="1" t="s">
        <v>8225</v>
      </c>
      <c r="S1440" s="1" t="s">
        <v>8109</v>
      </c>
      <c r="T1440" s="1">
        <v>1</v>
      </c>
      <c r="U1440" s="1">
        <v>0</v>
      </c>
      <c r="V1440" s="1">
        <v>0</v>
      </c>
      <c r="W1440" s="1">
        <v>0</v>
      </c>
      <c r="X1440" s="1">
        <v>0</v>
      </c>
      <c r="Y1440" s="1">
        <v>5</v>
      </c>
      <c r="Z1440" s="1">
        <v>5</v>
      </c>
      <c r="AA1440" s="1">
        <v>6</v>
      </c>
      <c r="AB1440" s="1" t="s">
        <v>104</v>
      </c>
      <c r="AC1440" s="1" t="s">
        <v>104</v>
      </c>
      <c r="AD1440" s="1">
        <v>4</v>
      </c>
      <c r="AE1440" s="1" t="s">
        <v>104</v>
      </c>
      <c r="AF1440" s="1" t="s">
        <v>104</v>
      </c>
      <c r="AG1440" s="1" t="s">
        <v>104</v>
      </c>
      <c r="AH1440" s="1">
        <v>5</v>
      </c>
      <c r="AI1440" s="1" t="s">
        <v>104</v>
      </c>
      <c r="AJ1440" s="1">
        <v>6</v>
      </c>
      <c r="AK1440" s="1" t="s">
        <v>104</v>
      </c>
      <c r="AL1440" s="1" t="s">
        <v>104</v>
      </c>
      <c r="AM1440" s="1" t="s">
        <v>104</v>
      </c>
      <c r="AO1440" s="1">
        <v>5</v>
      </c>
      <c r="AR1440" s="1">
        <v>0</v>
      </c>
      <c r="AS1440" s="1">
        <v>0</v>
      </c>
      <c r="AT1440" s="1">
        <v>0</v>
      </c>
      <c r="AU1440" s="1">
        <v>0</v>
      </c>
      <c r="AV1440" s="1">
        <v>0</v>
      </c>
      <c r="AW1440" s="1">
        <v>0</v>
      </c>
      <c r="AX1440" s="1">
        <v>0</v>
      </c>
      <c r="AY1440" s="1">
        <v>0</v>
      </c>
      <c r="AZ1440" s="1">
        <v>0</v>
      </c>
      <c r="BA1440" s="1">
        <v>0</v>
      </c>
      <c r="BB1440" s="1">
        <v>0</v>
      </c>
      <c r="BC1440" s="1">
        <v>0</v>
      </c>
      <c r="BD1440" s="1">
        <v>0</v>
      </c>
      <c r="BE1440" s="1">
        <v>0</v>
      </c>
      <c r="BF1440" s="1">
        <v>0</v>
      </c>
      <c r="BG1440" s="1">
        <v>0</v>
      </c>
      <c r="BH1440" s="1">
        <v>0</v>
      </c>
      <c r="BI1440" s="1">
        <v>0</v>
      </c>
      <c r="BJ1440" s="1">
        <v>0</v>
      </c>
      <c r="BK1440" s="1">
        <v>0</v>
      </c>
      <c r="BL1440" s="1">
        <v>0</v>
      </c>
      <c r="BM1440" s="1">
        <v>0</v>
      </c>
      <c r="BN1440" s="1">
        <v>0</v>
      </c>
      <c r="BO1440" s="1">
        <v>0</v>
      </c>
      <c r="BP1440" s="1">
        <v>0</v>
      </c>
      <c r="BQ1440" s="1" t="s">
        <v>104</v>
      </c>
      <c r="BR1440" s="1">
        <v>1511</v>
      </c>
      <c r="BS1440" s="1" t="s">
        <v>104</v>
      </c>
      <c r="BX1440" s="1">
        <v>0</v>
      </c>
      <c r="BY1440" s="1" t="s">
        <v>104</v>
      </c>
      <c r="BZ1440" s="1" t="s">
        <v>104</v>
      </c>
      <c r="CA1440" s="1">
        <v>5</v>
      </c>
      <c r="CB1440" s="1" t="s">
        <v>104</v>
      </c>
      <c r="CC1440" s="1">
        <v>4</v>
      </c>
      <c r="CD1440" s="1" t="s">
        <v>104</v>
      </c>
      <c r="CE1440" s="1" t="s">
        <v>104</v>
      </c>
      <c r="CF1440" s="1" t="s">
        <v>104</v>
      </c>
      <c r="CG1440" s="1" t="s">
        <v>104</v>
      </c>
      <c r="CH1440" s="1" t="s">
        <v>104</v>
      </c>
      <c r="CJ1440" s="1">
        <v>0</v>
      </c>
      <c r="CK1440" s="1">
        <v>0</v>
      </c>
      <c r="CL1440" s="1">
        <v>0</v>
      </c>
      <c r="CM1440" s="1" t="s">
        <v>104</v>
      </c>
    </row>
    <row r="1441" spans="1:91" ht="14.25" customHeight="1" x14ac:dyDescent="0.3">
      <c r="A1441" s="1" t="s">
        <v>8226</v>
      </c>
      <c r="B1441" s="1" t="s">
        <v>162</v>
      </c>
      <c r="D1441" s="1" t="s">
        <v>58</v>
      </c>
      <c r="E1441" s="1" t="s">
        <v>478</v>
      </c>
      <c r="F1441" s="1" t="s">
        <v>95</v>
      </c>
      <c r="G1441" s="1" t="s">
        <v>127</v>
      </c>
      <c r="H1441" s="1">
        <v>0</v>
      </c>
      <c r="I1441" s="1" t="s">
        <v>5671</v>
      </c>
      <c r="L1441" s="1" t="s">
        <v>5672</v>
      </c>
      <c r="M1441" s="1" t="s">
        <v>4992</v>
      </c>
      <c r="N1441" s="1">
        <v>1</v>
      </c>
      <c r="O1441" s="1">
        <v>0</v>
      </c>
      <c r="P1441" s="1" t="s">
        <v>2127</v>
      </c>
      <c r="Q1441" s="1" t="s">
        <v>100</v>
      </c>
      <c r="R1441" s="1" t="s">
        <v>8227</v>
      </c>
      <c r="S1441" s="1" t="s">
        <v>8109</v>
      </c>
      <c r="T1441" s="1">
        <v>1</v>
      </c>
      <c r="U1441" s="1">
        <v>1</v>
      </c>
      <c r="V1441" s="1">
        <v>0</v>
      </c>
      <c r="W1441" s="1">
        <v>0</v>
      </c>
      <c r="X1441" s="1">
        <v>1</v>
      </c>
      <c r="Y1441" s="1" t="s">
        <v>104</v>
      </c>
      <c r="Z1441" s="1" t="s">
        <v>104</v>
      </c>
      <c r="AA1441" s="1" t="s">
        <v>104</v>
      </c>
      <c r="AB1441" s="1" t="s">
        <v>104</v>
      </c>
      <c r="AC1441" s="1" t="s">
        <v>104</v>
      </c>
      <c r="AD1441" s="1" t="s">
        <v>104</v>
      </c>
      <c r="AE1441" s="1">
        <v>1</v>
      </c>
      <c r="AF1441" s="1" t="s">
        <v>104</v>
      </c>
      <c r="AG1441" s="1" t="s">
        <v>104</v>
      </c>
      <c r="AH1441" s="1" t="s">
        <v>104</v>
      </c>
      <c r="AI1441" s="1" t="s">
        <v>104</v>
      </c>
      <c r="AJ1441" s="1" t="s">
        <v>104</v>
      </c>
      <c r="AK1441" s="1" t="s">
        <v>104</v>
      </c>
      <c r="AL1441" s="1" t="s">
        <v>104</v>
      </c>
      <c r="AM1441" s="1" t="s">
        <v>104</v>
      </c>
      <c r="AO1441" s="1">
        <v>1</v>
      </c>
      <c r="AR1441" s="1">
        <v>0</v>
      </c>
      <c r="AS1441" s="1">
        <v>0</v>
      </c>
      <c r="AT1441" s="1">
        <v>0</v>
      </c>
      <c r="AU1441" s="1">
        <v>0</v>
      </c>
      <c r="AV1441" s="1">
        <v>0</v>
      </c>
      <c r="AW1441" s="1">
        <v>0</v>
      </c>
      <c r="AX1441" s="1">
        <v>0</v>
      </c>
      <c r="AY1441" s="1">
        <v>0</v>
      </c>
      <c r="AZ1441" s="1">
        <v>0</v>
      </c>
      <c r="BA1441" s="1">
        <v>0</v>
      </c>
      <c r="BB1441" s="1">
        <v>0</v>
      </c>
      <c r="BC1441" s="1">
        <v>0</v>
      </c>
      <c r="BD1441" s="1">
        <v>0</v>
      </c>
      <c r="BE1441" s="1">
        <v>0</v>
      </c>
      <c r="BF1441" s="1">
        <v>0</v>
      </c>
      <c r="BG1441" s="1">
        <v>1</v>
      </c>
      <c r="BH1441" s="1">
        <v>0</v>
      </c>
      <c r="BI1441" s="1">
        <v>0</v>
      </c>
      <c r="BJ1441" s="1">
        <v>0</v>
      </c>
      <c r="BK1441" s="1">
        <v>0</v>
      </c>
      <c r="BL1441" s="1">
        <v>0</v>
      </c>
      <c r="BM1441" s="1">
        <v>0</v>
      </c>
      <c r="BN1441" s="1">
        <v>0</v>
      </c>
      <c r="BO1441" s="1">
        <v>0</v>
      </c>
      <c r="BP1441" s="1">
        <v>0</v>
      </c>
      <c r="BQ1441" s="1" t="s">
        <v>104</v>
      </c>
      <c r="BR1441" s="1">
        <v>1512</v>
      </c>
      <c r="BS1441" s="1" t="s">
        <v>104</v>
      </c>
      <c r="BX1441" s="1">
        <v>0</v>
      </c>
      <c r="BY1441" s="1" t="s">
        <v>104</v>
      </c>
      <c r="BZ1441" s="1" t="s">
        <v>104</v>
      </c>
      <c r="CA1441" s="1" t="s">
        <v>104</v>
      </c>
      <c r="CB1441" s="1" t="s">
        <v>104</v>
      </c>
      <c r="CC1441" s="1" t="s">
        <v>104</v>
      </c>
      <c r="CD1441" s="1" t="s">
        <v>104</v>
      </c>
      <c r="CE1441" s="1" t="s">
        <v>104</v>
      </c>
      <c r="CF1441" s="1" t="s">
        <v>104</v>
      </c>
      <c r="CG1441" s="1" t="s">
        <v>104</v>
      </c>
      <c r="CH1441" s="1" t="s">
        <v>104</v>
      </c>
      <c r="CJ1441" s="1">
        <v>0</v>
      </c>
      <c r="CK1441" s="1">
        <v>0</v>
      </c>
      <c r="CL1441" s="1">
        <v>0</v>
      </c>
      <c r="CM1441" s="1" t="s">
        <v>104</v>
      </c>
    </row>
    <row r="1442" spans="1:91" ht="14.25" customHeight="1" x14ac:dyDescent="0.3">
      <c r="A1442" s="1" t="s">
        <v>8228</v>
      </c>
      <c r="B1442" s="1" t="s">
        <v>162</v>
      </c>
      <c r="E1442" s="1" t="s">
        <v>8229</v>
      </c>
      <c r="F1442" s="1" t="s">
        <v>95</v>
      </c>
      <c r="G1442" s="1" t="s">
        <v>8230</v>
      </c>
      <c r="H1442" s="1">
        <v>0</v>
      </c>
      <c r="I1442" s="1" t="s">
        <v>128</v>
      </c>
      <c r="L1442" s="1" t="s">
        <v>8209</v>
      </c>
      <c r="M1442" s="1" t="s">
        <v>201</v>
      </c>
      <c r="N1442" s="1">
        <v>0</v>
      </c>
      <c r="O1442" s="1">
        <v>0</v>
      </c>
      <c r="P1442" s="1" t="s">
        <v>375</v>
      </c>
      <c r="Q1442" s="1" t="s">
        <v>131</v>
      </c>
      <c r="R1442" s="1" t="s">
        <v>8231</v>
      </c>
      <c r="S1442" s="1" t="s">
        <v>8109</v>
      </c>
      <c r="T1442" s="1">
        <v>1</v>
      </c>
      <c r="U1442" s="1">
        <v>1</v>
      </c>
      <c r="V1442" s="1">
        <v>1</v>
      </c>
      <c r="W1442" s="1">
        <v>0</v>
      </c>
      <c r="X1442" s="1">
        <v>1</v>
      </c>
      <c r="Y1442" s="1" t="s">
        <v>104</v>
      </c>
      <c r="Z1442" s="1" t="s">
        <v>104</v>
      </c>
      <c r="AA1442" s="1">
        <v>8</v>
      </c>
      <c r="AB1442" s="1" t="s">
        <v>104</v>
      </c>
      <c r="AC1442" s="1" t="s">
        <v>104</v>
      </c>
      <c r="AD1442" s="1" t="s">
        <v>104</v>
      </c>
      <c r="AE1442" s="1" t="s">
        <v>104</v>
      </c>
      <c r="AF1442" s="1" t="s">
        <v>104</v>
      </c>
      <c r="AG1442" s="1" t="s">
        <v>104</v>
      </c>
      <c r="AH1442" s="1">
        <v>8</v>
      </c>
      <c r="AI1442" s="1" t="s">
        <v>104</v>
      </c>
      <c r="AJ1442" s="1">
        <v>8</v>
      </c>
      <c r="AK1442" s="1" t="s">
        <v>104</v>
      </c>
      <c r="AL1442" s="1" t="s">
        <v>104</v>
      </c>
      <c r="AM1442" s="1" t="s">
        <v>104</v>
      </c>
      <c r="AO1442" s="1">
        <v>8</v>
      </c>
      <c r="AR1442" s="1">
        <v>0</v>
      </c>
      <c r="AS1442" s="1">
        <v>0</v>
      </c>
      <c r="AT1442" s="1">
        <v>0</v>
      </c>
      <c r="AU1442" s="1">
        <v>0</v>
      </c>
      <c r="AV1442" s="1">
        <v>0</v>
      </c>
      <c r="AW1442" s="1">
        <v>0</v>
      </c>
      <c r="AX1442" s="1">
        <v>0</v>
      </c>
      <c r="AY1442" s="1">
        <v>0</v>
      </c>
      <c r="AZ1442" s="1">
        <v>0</v>
      </c>
      <c r="BA1442" s="1">
        <v>0</v>
      </c>
      <c r="BB1442" s="1">
        <v>0</v>
      </c>
      <c r="BC1442" s="1">
        <v>0</v>
      </c>
      <c r="BD1442" s="1">
        <v>0</v>
      </c>
      <c r="BE1442" s="1">
        <v>0</v>
      </c>
      <c r="BF1442" s="1">
        <v>0</v>
      </c>
      <c r="BG1442" s="1">
        <v>0</v>
      </c>
      <c r="BH1442" s="1">
        <v>0</v>
      </c>
      <c r="BI1442" s="1">
        <v>0</v>
      </c>
      <c r="BJ1442" s="1">
        <v>0</v>
      </c>
      <c r="BK1442" s="1">
        <v>0</v>
      </c>
      <c r="BL1442" s="1">
        <v>0</v>
      </c>
      <c r="BM1442" s="1">
        <v>0</v>
      </c>
      <c r="BN1442" s="1">
        <v>0</v>
      </c>
      <c r="BO1442" s="1">
        <v>0</v>
      </c>
      <c r="BP1442" s="1">
        <v>0</v>
      </c>
      <c r="BQ1442" s="1" t="s">
        <v>104</v>
      </c>
      <c r="BR1442" s="1">
        <v>1513</v>
      </c>
      <c r="BS1442" s="1" t="s">
        <v>104</v>
      </c>
      <c r="BX1442" s="1">
        <v>0</v>
      </c>
      <c r="BY1442" s="1" t="s">
        <v>104</v>
      </c>
      <c r="BZ1442" s="1" t="s">
        <v>104</v>
      </c>
      <c r="CA1442" s="1" t="s">
        <v>104</v>
      </c>
      <c r="CB1442" s="1" t="s">
        <v>104</v>
      </c>
      <c r="CC1442" s="1" t="s">
        <v>104</v>
      </c>
      <c r="CD1442" s="1" t="s">
        <v>104</v>
      </c>
      <c r="CE1442" s="1" t="s">
        <v>104</v>
      </c>
      <c r="CF1442" s="1" t="s">
        <v>104</v>
      </c>
      <c r="CG1442" s="1" t="s">
        <v>104</v>
      </c>
      <c r="CH1442" s="1" t="s">
        <v>104</v>
      </c>
      <c r="CJ1442" s="1">
        <v>0</v>
      </c>
      <c r="CK1442" s="1">
        <v>0</v>
      </c>
      <c r="CL1442" s="1">
        <v>0</v>
      </c>
      <c r="CM1442" s="1" t="s">
        <v>104</v>
      </c>
    </row>
    <row r="1443" spans="1:91" ht="14.25" customHeight="1" x14ac:dyDescent="0.3">
      <c r="A1443" s="1" t="s">
        <v>8232</v>
      </c>
      <c r="B1443" s="1" t="s">
        <v>137</v>
      </c>
      <c r="D1443" s="1" t="s">
        <v>44</v>
      </c>
      <c r="E1443" s="1" t="s">
        <v>8233</v>
      </c>
      <c r="F1443" s="1" t="s">
        <v>95</v>
      </c>
      <c r="G1443" s="1" t="s">
        <v>116</v>
      </c>
      <c r="H1443" s="1">
        <v>0</v>
      </c>
      <c r="I1443" s="1" t="s">
        <v>117</v>
      </c>
      <c r="L1443" s="1" t="s">
        <v>417</v>
      </c>
      <c r="M1443" s="1" t="s">
        <v>8234</v>
      </c>
      <c r="N1443" s="1">
        <v>0</v>
      </c>
      <c r="O1443" s="1">
        <v>0</v>
      </c>
      <c r="P1443" s="1" t="s">
        <v>2807</v>
      </c>
      <c r="Q1443" s="1" t="s">
        <v>184</v>
      </c>
      <c r="R1443" s="1" t="s">
        <v>8235</v>
      </c>
      <c r="S1443" s="1" t="s">
        <v>8109</v>
      </c>
      <c r="T1443" s="1">
        <v>1</v>
      </c>
      <c r="U1443" s="1">
        <v>1</v>
      </c>
      <c r="V1443" s="1">
        <v>0</v>
      </c>
      <c r="W1443" s="1">
        <v>0</v>
      </c>
      <c r="X1443" s="1">
        <v>0</v>
      </c>
      <c r="Y1443" s="1">
        <v>2</v>
      </c>
      <c r="Z1443" s="1">
        <v>2</v>
      </c>
      <c r="AA1443" s="1" t="s">
        <v>104</v>
      </c>
      <c r="AB1443" s="1">
        <v>2</v>
      </c>
      <c r="AC1443" s="1" t="s">
        <v>104</v>
      </c>
      <c r="AD1443" s="1">
        <v>2</v>
      </c>
      <c r="AE1443" s="1" t="s">
        <v>104</v>
      </c>
      <c r="AF1443" s="1" t="s">
        <v>104</v>
      </c>
      <c r="AG1443" s="1" t="s">
        <v>104</v>
      </c>
      <c r="AH1443" s="1">
        <v>2</v>
      </c>
      <c r="AI1443" s="1" t="s">
        <v>104</v>
      </c>
      <c r="AJ1443" s="1" t="s">
        <v>104</v>
      </c>
      <c r="AK1443" s="1" t="s">
        <v>104</v>
      </c>
      <c r="AL1443" s="1" t="s">
        <v>104</v>
      </c>
      <c r="AM1443" s="1" t="s">
        <v>104</v>
      </c>
      <c r="AO1443" s="1">
        <v>2</v>
      </c>
      <c r="AR1443" s="1">
        <v>0</v>
      </c>
      <c r="AS1443" s="1">
        <v>1</v>
      </c>
      <c r="AT1443" s="1">
        <v>0</v>
      </c>
      <c r="AU1443" s="1">
        <v>0</v>
      </c>
      <c r="AV1443" s="1">
        <v>0</v>
      </c>
      <c r="AW1443" s="1">
        <v>0</v>
      </c>
      <c r="AX1443" s="1">
        <v>0</v>
      </c>
      <c r="AY1443" s="1">
        <v>0</v>
      </c>
      <c r="AZ1443" s="1">
        <v>0</v>
      </c>
      <c r="BA1443" s="1">
        <v>0</v>
      </c>
      <c r="BB1443" s="1">
        <v>0</v>
      </c>
      <c r="BC1443" s="1">
        <v>0</v>
      </c>
      <c r="BD1443" s="1">
        <v>0</v>
      </c>
      <c r="BE1443" s="1">
        <v>0</v>
      </c>
      <c r="BF1443" s="1">
        <v>0</v>
      </c>
      <c r="BG1443" s="1">
        <v>0</v>
      </c>
      <c r="BH1443" s="1">
        <v>0</v>
      </c>
      <c r="BI1443" s="1">
        <v>0</v>
      </c>
      <c r="BJ1443" s="1">
        <v>0</v>
      </c>
      <c r="BK1443" s="1">
        <v>0</v>
      </c>
      <c r="BL1443" s="1">
        <v>0</v>
      </c>
      <c r="BM1443" s="1">
        <v>0</v>
      </c>
      <c r="BN1443" s="1">
        <v>0</v>
      </c>
      <c r="BO1443" s="1">
        <v>0</v>
      </c>
      <c r="BP1443" s="1">
        <v>0</v>
      </c>
      <c r="BQ1443" s="1" t="s">
        <v>104</v>
      </c>
      <c r="BR1443" s="1">
        <v>1514</v>
      </c>
      <c r="BS1443" s="1" t="s">
        <v>104</v>
      </c>
      <c r="BX1443" s="1">
        <v>0</v>
      </c>
      <c r="BY1443" s="1">
        <v>2</v>
      </c>
      <c r="BZ1443" s="1" t="s">
        <v>104</v>
      </c>
      <c r="CA1443" s="1">
        <v>2</v>
      </c>
      <c r="CB1443" s="1" t="s">
        <v>104</v>
      </c>
      <c r="CC1443" s="1">
        <v>2</v>
      </c>
      <c r="CD1443" s="1" t="s">
        <v>104</v>
      </c>
      <c r="CE1443" s="1" t="s">
        <v>104</v>
      </c>
      <c r="CF1443" s="1" t="s">
        <v>104</v>
      </c>
      <c r="CG1443" s="1" t="s">
        <v>104</v>
      </c>
      <c r="CH1443" s="1">
        <v>2</v>
      </c>
      <c r="CJ1443" s="1">
        <v>0</v>
      </c>
      <c r="CK1443" s="1">
        <v>0</v>
      </c>
      <c r="CL1443" s="1">
        <v>0</v>
      </c>
      <c r="CM1443" s="1" t="s">
        <v>104</v>
      </c>
    </row>
    <row r="1444" spans="1:91" ht="14.25" customHeight="1" x14ac:dyDescent="0.3">
      <c r="A1444" s="1" t="s">
        <v>8236</v>
      </c>
      <c r="B1444" s="1" t="s">
        <v>434</v>
      </c>
      <c r="D1444" s="1" t="s">
        <v>5171</v>
      </c>
      <c r="E1444" s="1" t="s">
        <v>8237</v>
      </c>
      <c r="F1444" s="1" t="s">
        <v>95</v>
      </c>
      <c r="G1444" s="1" t="s">
        <v>127</v>
      </c>
      <c r="H1444" s="1">
        <v>0</v>
      </c>
      <c r="I1444" s="1" t="s">
        <v>117</v>
      </c>
      <c r="K1444" s="1" t="s">
        <v>8238</v>
      </c>
      <c r="M1444" s="1" t="s">
        <v>4313</v>
      </c>
      <c r="N1444" s="1">
        <v>0</v>
      </c>
      <c r="O1444" s="1">
        <v>0</v>
      </c>
      <c r="P1444" s="1" t="s">
        <v>183</v>
      </c>
      <c r="Q1444" s="1" t="s">
        <v>184</v>
      </c>
      <c r="R1444" s="1" t="s">
        <v>8239</v>
      </c>
      <c r="S1444" s="1" t="s">
        <v>8109</v>
      </c>
      <c r="T1444" s="1">
        <v>1</v>
      </c>
      <c r="U1444" s="1">
        <v>1</v>
      </c>
      <c r="V1444" s="1">
        <v>0</v>
      </c>
      <c r="W1444" s="1">
        <v>0</v>
      </c>
      <c r="X1444" s="1">
        <v>1</v>
      </c>
      <c r="Y1444" s="1" t="s">
        <v>104</v>
      </c>
      <c r="Z1444" s="1" t="s">
        <v>104</v>
      </c>
      <c r="AA1444" s="1">
        <v>2</v>
      </c>
      <c r="AB1444" s="1" t="s">
        <v>104</v>
      </c>
      <c r="AC1444" s="1" t="s">
        <v>104</v>
      </c>
      <c r="AD1444" s="1" t="s">
        <v>104</v>
      </c>
      <c r="AE1444" s="1">
        <v>2</v>
      </c>
      <c r="AF1444" s="1" t="s">
        <v>104</v>
      </c>
      <c r="AG1444" s="1" t="s">
        <v>104</v>
      </c>
      <c r="AH1444" s="1" t="s">
        <v>104</v>
      </c>
      <c r="AI1444" s="1">
        <v>3</v>
      </c>
      <c r="AJ1444" s="1">
        <v>2</v>
      </c>
      <c r="AK1444" s="1" t="s">
        <v>104</v>
      </c>
      <c r="AL1444" s="1" t="s">
        <v>104</v>
      </c>
      <c r="AM1444" s="1" t="s">
        <v>104</v>
      </c>
      <c r="AO1444" s="1">
        <v>2</v>
      </c>
      <c r="AR1444" s="1">
        <v>0</v>
      </c>
      <c r="AS1444" s="1">
        <v>0</v>
      </c>
      <c r="AT1444" s="1">
        <v>0</v>
      </c>
      <c r="AU1444" s="1">
        <v>0</v>
      </c>
      <c r="AV1444" s="1">
        <v>0</v>
      </c>
      <c r="AW1444" s="1">
        <v>0</v>
      </c>
      <c r="AX1444" s="1">
        <v>0</v>
      </c>
      <c r="AY1444" s="1">
        <v>0</v>
      </c>
      <c r="AZ1444" s="1">
        <v>0</v>
      </c>
      <c r="BA1444" s="1">
        <v>0</v>
      </c>
      <c r="BB1444" s="1">
        <v>0</v>
      </c>
      <c r="BC1444" s="1">
        <v>0</v>
      </c>
      <c r="BD1444" s="1">
        <v>0</v>
      </c>
      <c r="BE1444" s="1">
        <v>0</v>
      </c>
      <c r="BF1444" s="1">
        <v>0</v>
      </c>
      <c r="BG1444" s="1">
        <v>1</v>
      </c>
      <c r="BH1444" s="1">
        <v>0</v>
      </c>
      <c r="BI1444" s="1">
        <v>0</v>
      </c>
      <c r="BJ1444" s="1">
        <v>1</v>
      </c>
      <c r="BK1444" s="1">
        <v>0</v>
      </c>
      <c r="BL1444" s="1">
        <v>0</v>
      </c>
      <c r="BM1444" s="1">
        <v>0</v>
      </c>
      <c r="BN1444" s="1">
        <v>0</v>
      </c>
      <c r="BO1444" s="1">
        <v>0</v>
      </c>
      <c r="BP1444" s="1">
        <v>0</v>
      </c>
      <c r="BQ1444" s="1" t="s">
        <v>104</v>
      </c>
      <c r="BR1444" s="1">
        <v>1515</v>
      </c>
      <c r="BS1444" s="1" t="s">
        <v>104</v>
      </c>
      <c r="BV1444" s="1" t="s">
        <v>8240</v>
      </c>
      <c r="BX1444" s="1">
        <v>1</v>
      </c>
      <c r="BY1444" s="1" t="s">
        <v>104</v>
      </c>
      <c r="BZ1444" s="1" t="s">
        <v>104</v>
      </c>
      <c r="CA1444" s="1" t="s">
        <v>104</v>
      </c>
      <c r="CB1444" s="1" t="s">
        <v>104</v>
      </c>
      <c r="CC1444" s="1" t="s">
        <v>104</v>
      </c>
      <c r="CD1444" s="1" t="s">
        <v>104</v>
      </c>
      <c r="CE1444" s="1" t="s">
        <v>104</v>
      </c>
      <c r="CF1444" s="1" t="s">
        <v>104</v>
      </c>
      <c r="CG1444" s="1" t="s">
        <v>104</v>
      </c>
      <c r="CH1444" s="1" t="s">
        <v>104</v>
      </c>
      <c r="CJ1444" s="1">
        <v>0</v>
      </c>
      <c r="CK1444" s="1">
        <v>0</v>
      </c>
      <c r="CL1444" s="1">
        <v>0</v>
      </c>
      <c r="CM1444" s="1" t="s">
        <v>104</v>
      </c>
    </row>
    <row r="1445" spans="1:91" ht="14.25" customHeight="1" x14ac:dyDescent="0.3">
      <c r="A1445" s="1" t="s">
        <v>8241</v>
      </c>
      <c r="B1445" s="1" t="s">
        <v>137</v>
      </c>
      <c r="E1445" s="1" t="s">
        <v>6193</v>
      </c>
      <c r="F1445" s="1" t="s">
        <v>95</v>
      </c>
      <c r="G1445" s="1" t="s">
        <v>116</v>
      </c>
      <c r="H1445" s="1">
        <v>0</v>
      </c>
      <c r="I1445" s="1" t="s">
        <v>128</v>
      </c>
      <c r="L1445" s="1" t="s">
        <v>8242</v>
      </c>
      <c r="M1445" s="1" t="s">
        <v>2330</v>
      </c>
      <c r="N1445" s="1">
        <v>0</v>
      </c>
      <c r="O1445" s="1">
        <v>0</v>
      </c>
      <c r="P1445" s="1" t="s">
        <v>1058</v>
      </c>
      <c r="Q1445" s="1" t="s">
        <v>131</v>
      </c>
      <c r="R1445" s="1" t="s">
        <v>8243</v>
      </c>
      <c r="S1445" s="1" t="s">
        <v>8109</v>
      </c>
      <c r="T1445" s="1">
        <v>1</v>
      </c>
      <c r="U1445" s="1">
        <v>1</v>
      </c>
      <c r="V1445" s="1">
        <v>0</v>
      </c>
      <c r="W1445" s="1">
        <v>0</v>
      </c>
      <c r="X1445" s="1">
        <v>0</v>
      </c>
      <c r="Y1445" s="1" t="s">
        <v>104</v>
      </c>
      <c r="Z1445" s="1" t="s">
        <v>104</v>
      </c>
      <c r="AA1445" s="1">
        <v>2</v>
      </c>
      <c r="AB1445" s="1" t="s">
        <v>104</v>
      </c>
      <c r="AC1445" s="1" t="s">
        <v>104</v>
      </c>
      <c r="AD1445" s="1" t="s">
        <v>104</v>
      </c>
      <c r="AE1445" s="1" t="s">
        <v>104</v>
      </c>
      <c r="AF1445" s="1" t="s">
        <v>104</v>
      </c>
      <c r="AG1445" s="1" t="s">
        <v>104</v>
      </c>
      <c r="AH1445" s="1" t="s">
        <v>104</v>
      </c>
      <c r="AI1445" s="1" t="s">
        <v>104</v>
      </c>
      <c r="AJ1445" s="1">
        <v>2</v>
      </c>
      <c r="AK1445" s="1" t="s">
        <v>104</v>
      </c>
      <c r="AL1445" s="1" t="s">
        <v>104</v>
      </c>
      <c r="AM1445" s="1" t="s">
        <v>104</v>
      </c>
      <c r="AO1445" s="1">
        <v>2</v>
      </c>
      <c r="AR1445" s="1">
        <v>0</v>
      </c>
      <c r="AS1445" s="1">
        <v>0</v>
      </c>
      <c r="AT1445" s="1">
        <v>0</v>
      </c>
      <c r="AU1445" s="1">
        <v>0</v>
      </c>
      <c r="AV1445" s="1">
        <v>0</v>
      </c>
      <c r="AW1445" s="1">
        <v>0</v>
      </c>
      <c r="AX1445" s="1">
        <v>0</v>
      </c>
      <c r="AY1445" s="1">
        <v>0</v>
      </c>
      <c r="AZ1445" s="1">
        <v>0</v>
      </c>
      <c r="BA1445" s="1">
        <v>0</v>
      </c>
      <c r="BB1445" s="1">
        <v>0</v>
      </c>
      <c r="BC1445" s="1">
        <v>0</v>
      </c>
      <c r="BD1445" s="1">
        <v>0</v>
      </c>
      <c r="BE1445" s="1">
        <v>0</v>
      </c>
      <c r="BF1445" s="1">
        <v>0</v>
      </c>
      <c r="BG1445" s="1">
        <v>0</v>
      </c>
      <c r="BH1445" s="1">
        <v>0</v>
      </c>
      <c r="BI1445" s="1">
        <v>0</v>
      </c>
      <c r="BJ1445" s="1">
        <v>0</v>
      </c>
      <c r="BK1445" s="1">
        <v>0</v>
      </c>
      <c r="BL1445" s="1">
        <v>0</v>
      </c>
      <c r="BM1445" s="1">
        <v>0</v>
      </c>
      <c r="BN1445" s="1">
        <v>0</v>
      </c>
      <c r="BO1445" s="1">
        <v>0</v>
      </c>
      <c r="BP1445" s="1">
        <v>0</v>
      </c>
      <c r="BQ1445" s="1" t="s">
        <v>104</v>
      </c>
      <c r="BR1445" s="1">
        <v>1516</v>
      </c>
      <c r="BS1445" s="1" t="s">
        <v>104</v>
      </c>
      <c r="BX1445" s="1">
        <v>0</v>
      </c>
      <c r="BY1445" s="1" t="s">
        <v>104</v>
      </c>
      <c r="BZ1445" s="1" t="s">
        <v>104</v>
      </c>
      <c r="CA1445" s="1" t="s">
        <v>104</v>
      </c>
      <c r="CB1445" s="1" t="s">
        <v>104</v>
      </c>
      <c r="CC1445" s="1" t="s">
        <v>104</v>
      </c>
      <c r="CD1445" s="1" t="s">
        <v>104</v>
      </c>
      <c r="CE1445" s="1" t="s">
        <v>104</v>
      </c>
      <c r="CF1445" s="1" t="s">
        <v>104</v>
      </c>
      <c r="CG1445" s="1" t="s">
        <v>104</v>
      </c>
      <c r="CH1445" s="1" t="s">
        <v>104</v>
      </c>
      <c r="CJ1445" s="1">
        <v>0</v>
      </c>
      <c r="CK1445" s="1">
        <v>0</v>
      </c>
      <c r="CL1445" s="1">
        <v>0</v>
      </c>
      <c r="CM1445" s="1" t="s">
        <v>104</v>
      </c>
    </row>
    <row r="1446" spans="1:91" ht="14.25" customHeight="1" x14ac:dyDescent="0.3">
      <c r="A1446" s="1" t="s">
        <v>8244</v>
      </c>
      <c r="B1446" s="1" t="s">
        <v>216</v>
      </c>
      <c r="E1446" s="1" t="s">
        <v>3158</v>
      </c>
      <c r="F1446" s="1" t="s">
        <v>95</v>
      </c>
      <c r="G1446" s="1" t="s">
        <v>116</v>
      </c>
      <c r="H1446" s="1">
        <v>0</v>
      </c>
      <c r="I1446" s="1" t="s">
        <v>128</v>
      </c>
      <c r="L1446" s="1" t="s">
        <v>374</v>
      </c>
      <c r="M1446" s="1" t="s">
        <v>4292</v>
      </c>
      <c r="N1446" s="1">
        <v>0</v>
      </c>
      <c r="O1446" s="1">
        <v>0</v>
      </c>
      <c r="P1446" s="1" t="s">
        <v>1058</v>
      </c>
      <c r="Q1446" s="1" t="s">
        <v>131</v>
      </c>
      <c r="R1446" s="1" t="s">
        <v>8245</v>
      </c>
      <c r="S1446" s="1" t="s">
        <v>8109</v>
      </c>
      <c r="T1446" s="1">
        <v>1</v>
      </c>
      <c r="U1446" s="1">
        <v>1</v>
      </c>
      <c r="V1446" s="1">
        <v>0</v>
      </c>
      <c r="W1446" s="1">
        <v>0</v>
      </c>
      <c r="X1446" s="1">
        <v>0</v>
      </c>
      <c r="Y1446" s="1" t="s">
        <v>104</v>
      </c>
      <c r="Z1446" s="1" t="s">
        <v>104</v>
      </c>
      <c r="AA1446" s="1">
        <v>5</v>
      </c>
      <c r="AB1446" s="1" t="s">
        <v>104</v>
      </c>
      <c r="AC1446" s="1" t="s">
        <v>104</v>
      </c>
      <c r="AD1446" s="1" t="s">
        <v>104</v>
      </c>
      <c r="AE1446" s="1" t="s">
        <v>104</v>
      </c>
      <c r="AF1446" s="1" t="s">
        <v>104</v>
      </c>
      <c r="AG1446" s="1" t="s">
        <v>104</v>
      </c>
      <c r="AH1446" s="1" t="s">
        <v>104</v>
      </c>
      <c r="AI1446" s="1">
        <v>5</v>
      </c>
      <c r="AJ1446" s="1">
        <v>5</v>
      </c>
      <c r="AK1446" s="1" t="s">
        <v>104</v>
      </c>
      <c r="AL1446" s="1" t="s">
        <v>104</v>
      </c>
      <c r="AM1446" s="1" t="s">
        <v>104</v>
      </c>
      <c r="AO1446" s="1">
        <v>5</v>
      </c>
      <c r="AR1446" s="1">
        <v>0</v>
      </c>
      <c r="AS1446" s="1">
        <v>0</v>
      </c>
      <c r="AT1446" s="1">
        <v>0</v>
      </c>
      <c r="AU1446" s="1">
        <v>0</v>
      </c>
      <c r="AV1446" s="1">
        <v>0</v>
      </c>
      <c r="AW1446" s="1">
        <v>0</v>
      </c>
      <c r="AX1446" s="1">
        <v>0</v>
      </c>
      <c r="AY1446" s="1">
        <v>0</v>
      </c>
      <c r="AZ1446" s="1">
        <v>0</v>
      </c>
      <c r="BA1446" s="1">
        <v>0</v>
      </c>
      <c r="BB1446" s="1">
        <v>0</v>
      </c>
      <c r="BC1446" s="1">
        <v>0</v>
      </c>
      <c r="BD1446" s="1">
        <v>0</v>
      </c>
      <c r="BE1446" s="1">
        <v>0</v>
      </c>
      <c r="BF1446" s="1">
        <v>0</v>
      </c>
      <c r="BG1446" s="1">
        <v>0</v>
      </c>
      <c r="BH1446" s="1">
        <v>0</v>
      </c>
      <c r="BI1446" s="1">
        <v>0</v>
      </c>
      <c r="BJ1446" s="1">
        <v>0</v>
      </c>
      <c r="BK1446" s="1">
        <v>0</v>
      </c>
      <c r="BL1446" s="1">
        <v>0</v>
      </c>
      <c r="BM1446" s="1">
        <v>0</v>
      </c>
      <c r="BN1446" s="1">
        <v>0</v>
      </c>
      <c r="BO1446" s="1">
        <v>0</v>
      </c>
      <c r="BP1446" s="1">
        <v>0</v>
      </c>
      <c r="BQ1446" s="1" t="s">
        <v>104</v>
      </c>
      <c r="BR1446" s="1">
        <v>1517</v>
      </c>
      <c r="BS1446" s="1" t="s">
        <v>104</v>
      </c>
      <c r="BX1446" s="1">
        <v>0</v>
      </c>
      <c r="BY1446" s="1" t="s">
        <v>104</v>
      </c>
      <c r="BZ1446" s="1" t="s">
        <v>104</v>
      </c>
      <c r="CA1446" s="1" t="s">
        <v>104</v>
      </c>
      <c r="CB1446" s="1" t="s">
        <v>104</v>
      </c>
      <c r="CC1446" s="1" t="s">
        <v>104</v>
      </c>
      <c r="CD1446" s="1" t="s">
        <v>104</v>
      </c>
      <c r="CE1446" s="1" t="s">
        <v>104</v>
      </c>
      <c r="CF1446" s="1" t="s">
        <v>104</v>
      </c>
      <c r="CG1446" s="1" t="s">
        <v>104</v>
      </c>
      <c r="CH1446" s="1" t="s">
        <v>104</v>
      </c>
      <c r="CJ1446" s="1">
        <v>0</v>
      </c>
      <c r="CK1446" s="1">
        <v>0</v>
      </c>
      <c r="CL1446" s="1">
        <v>0</v>
      </c>
      <c r="CM1446" s="1" t="s">
        <v>104</v>
      </c>
    </row>
    <row r="1447" spans="1:91" ht="14.25" customHeight="1" x14ac:dyDescent="0.3">
      <c r="A1447" s="1" t="s">
        <v>8246</v>
      </c>
      <c r="B1447" s="1" t="s">
        <v>137</v>
      </c>
      <c r="C1447" s="1" t="s">
        <v>154</v>
      </c>
      <c r="E1447" s="1" t="s">
        <v>8247</v>
      </c>
      <c r="F1447" s="1" t="s">
        <v>95</v>
      </c>
      <c r="G1447" s="1" t="s">
        <v>116</v>
      </c>
      <c r="H1447" s="1">
        <v>0</v>
      </c>
      <c r="I1447" s="1" t="s">
        <v>128</v>
      </c>
      <c r="L1447" s="1" t="s">
        <v>8248</v>
      </c>
      <c r="M1447" s="1" t="s">
        <v>5573</v>
      </c>
      <c r="N1447" s="1">
        <v>1</v>
      </c>
      <c r="O1447" s="1">
        <v>0</v>
      </c>
      <c r="P1447" s="1" t="s">
        <v>375</v>
      </c>
      <c r="Q1447" s="1" t="s">
        <v>131</v>
      </c>
      <c r="R1447" s="1" t="s">
        <v>8249</v>
      </c>
      <c r="S1447" s="1" t="s">
        <v>8109</v>
      </c>
      <c r="T1447" s="1">
        <v>1</v>
      </c>
      <c r="U1447" s="1">
        <v>1</v>
      </c>
      <c r="V1447" s="1">
        <v>0</v>
      </c>
      <c r="W1447" s="1">
        <v>0</v>
      </c>
      <c r="X1447" s="1">
        <v>0</v>
      </c>
      <c r="Y1447" s="1">
        <v>3</v>
      </c>
      <c r="Z1447" s="1">
        <v>3</v>
      </c>
      <c r="AA1447" s="1">
        <v>2</v>
      </c>
      <c r="AB1447" s="1" t="s">
        <v>104</v>
      </c>
      <c r="AC1447" s="1" t="s">
        <v>104</v>
      </c>
      <c r="AD1447" s="1" t="s">
        <v>104</v>
      </c>
      <c r="AE1447" s="1" t="s">
        <v>104</v>
      </c>
      <c r="AF1447" s="1">
        <v>2</v>
      </c>
      <c r="AG1447" s="1" t="s">
        <v>104</v>
      </c>
      <c r="AH1447" s="1">
        <v>2</v>
      </c>
      <c r="AI1447" s="1" t="s">
        <v>104</v>
      </c>
      <c r="AJ1447" s="1">
        <v>2</v>
      </c>
      <c r="AK1447" s="1">
        <v>3</v>
      </c>
      <c r="AL1447" s="1" t="s">
        <v>104</v>
      </c>
      <c r="AM1447" s="1" t="s">
        <v>104</v>
      </c>
      <c r="AO1447" s="1">
        <v>3</v>
      </c>
      <c r="AR1447" s="1">
        <v>0</v>
      </c>
      <c r="AS1447" s="1">
        <v>0</v>
      </c>
      <c r="AT1447" s="1">
        <v>0</v>
      </c>
      <c r="AU1447" s="1">
        <v>0</v>
      </c>
      <c r="AV1447" s="1">
        <v>0</v>
      </c>
      <c r="AW1447" s="1">
        <v>0</v>
      </c>
      <c r="AX1447" s="1">
        <v>0</v>
      </c>
      <c r="AY1447" s="1">
        <v>0</v>
      </c>
      <c r="AZ1447" s="1">
        <v>0</v>
      </c>
      <c r="BA1447" s="1">
        <v>0</v>
      </c>
      <c r="BB1447" s="1">
        <v>0</v>
      </c>
      <c r="BC1447" s="1">
        <v>0</v>
      </c>
      <c r="BD1447" s="1">
        <v>0</v>
      </c>
      <c r="BE1447" s="1">
        <v>0</v>
      </c>
      <c r="BF1447" s="1">
        <v>0</v>
      </c>
      <c r="BG1447" s="1">
        <v>0</v>
      </c>
      <c r="BH1447" s="1">
        <v>0</v>
      </c>
      <c r="BI1447" s="1">
        <v>0</v>
      </c>
      <c r="BJ1447" s="1">
        <v>0</v>
      </c>
      <c r="BK1447" s="1">
        <v>0</v>
      </c>
      <c r="BL1447" s="1">
        <v>0</v>
      </c>
      <c r="BM1447" s="1">
        <v>0</v>
      </c>
      <c r="BN1447" s="1">
        <v>0</v>
      </c>
      <c r="BO1447" s="1">
        <v>0</v>
      </c>
      <c r="BP1447" s="1">
        <v>0</v>
      </c>
      <c r="BQ1447" s="1" t="s">
        <v>104</v>
      </c>
      <c r="BR1447" s="1">
        <v>1518</v>
      </c>
      <c r="BS1447" s="1" t="s">
        <v>104</v>
      </c>
      <c r="BX1447" s="1">
        <v>0</v>
      </c>
      <c r="BY1447" s="1" t="s">
        <v>104</v>
      </c>
      <c r="BZ1447" s="1" t="s">
        <v>104</v>
      </c>
      <c r="CA1447" s="1">
        <v>2</v>
      </c>
      <c r="CB1447" s="1" t="s">
        <v>104</v>
      </c>
      <c r="CC1447" s="1" t="s">
        <v>104</v>
      </c>
      <c r="CD1447" s="1" t="s">
        <v>104</v>
      </c>
      <c r="CE1447" s="1" t="s">
        <v>104</v>
      </c>
      <c r="CF1447" s="1" t="s">
        <v>104</v>
      </c>
      <c r="CG1447" s="1" t="s">
        <v>104</v>
      </c>
      <c r="CH1447" s="1" t="s">
        <v>104</v>
      </c>
      <c r="CJ1447" s="1">
        <v>0</v>
      </c>
      <c r="CK1447" s="1">
        <v>0</v>
      </c>
      <c r="CL1447" s="1">
        <v>0</v>
      </c>
      <c r="CM1447" s="1" t="s">
        <v>104</v>
      </c>
    </row>
    <row r="1448" spans="1:91" ht="14.25" customHeight="1" x14ac:dyDescent="0.3">
      <c r="A1448" s="1" t="s">
        <v>8250</v>
      </c>
      <c r="B1448" s="1" t="s">
        <v>92</v>
      </c>
      <c r="C1448" s="1" t="s">
        <v>93</v>
      </c>
      <c r="E1448" s="1" t="s">
        <v>8251</v>
      </c>
      <c r="F1448" s="1" t="s">
        <v>95</v>
      </c>
      <c r="G1448" s="1" t="s">
        <v>116</v>
      </c>
      <c r="H1448" s="1">
        <v>0</v>
      </c>
      <c r="I1448" s="1" t="s">
        <v>117</v>
      </c>
      <c r="K1448" s="1" t="s">
        <v>8252</v>
      </c>
      <c r="M1448" s="1" t="s">
        <v>130</v>
      </c>
      <c r="N1448" s="1">
        <v>0</v>
      </c>
      <c r="O1448" s="1">
        <v>0</v>
      </c>
      <c r="P1448" s="1" t="s">
        <v>4047</v>
      </c>
      <c r="Q1448" s="1" t="s">
        <v>101</v>
      </c>
      <c r="R1448" s="1" t="s">
        <v>8253</v>
      </c>
      <c r="S1448" s="1" t="s">
        <v>8109</v>
      </c>
      <c r="T1448" s="1">
        <v>1</v>
      </c>
      <c r="U1448" s="1">
        <v>1</v>
      </c>
      <c r="V1448" s="1">
        <v>0</v>
      </c>
      <c r="W1448" s="1">
        <v>0</v>
      </c>
      <c r="X1448" s="1">
        <v>0</v>
      </c>
      <c r="Y1448" s="1">
        <v>1</v>
      </c>
      <c r="Z1448" s="1">
        <v>1</v>
      </c>
      <c r="AA1448" s="1" t="s">
        <v>104</v>
      </c>
      <c r="AB1448" s="1" t="s">
        <v>104</v>
      </c>
      <c r="AC1448" s="1" t="s">
        <v>104</v>
      </c>
      <c r="AD1448" s="1" t="s">
        <v>104</v>
      </c>
      <c r="AE1448" s="1" t="s">
        <v>104</v>
      </c>
      <c r="AF1448" s="1" t="s">
        <v>104</v>
      </c>
      <c r="AG1448" s="1" t="s">
        <v>104</v>
      </c>
      <c r="AH1448" s="1">
        <v>1</v>
      </c>
      <c r="AI1448" s="1" t="s">
        <v>104</v>
      </c>
      <c r="AJ1448" s="1" t="s">
        <v>104</v>
      </c>
      <c r="AK1448" s="1" t="s">
        <v>104</v>
      </c>
      <c r="AL1448" s="1">
        <v>1</v>
      </c>
      <c r="AM1448" s="1" t="s">
        <v>104</v>
      </c>
      <c r="AO1448" s="1">
        <v>1</v>
      </c>
      <c r="AR1448" s="1">
        <v>0</v>
      </c>
      <c r="AS1448" s="1">
        <v>0</v>
      </c>
      <c r="AT1448" s="1">
        <v>0</v>
      </c>
      <c r="AU1448" s="1">
        <v>0</v>
      </c>
      <c r="AV1448" s="1">
        <v>0</v>
      </c>
      <c r="AW1448" s="1">
        <v>0</v>
      </c>
      <c r="AX1448" s="1">
        <v>0</v>
      </c>
      <c r="AY1448" s="1">
        <v>0</v>
      </c>
      <c r="AZ1448" s="1">
        <v>0</v>
      </c>
      <c r="BA1448" s="1">
        <v>0</v>
      </c>
      <c r="BB1448" s="1">
        <v>0</v>
      </c>
      <c r="BC1448" s="1">
        <v>0</v>
      </c>
      <c r="BD1448" s="1">
        <v>0</v>
      </c>
      <c r="BE1448" s="1">
        <v>0</v>
      </c>
      <c r="BF1448" s="1">
        <v>0</v>
      </c>
      <c r="BG1448" s="1">
        <v>0</v>
      </c>
      <c r="BH1448" s="1">
        <v>0</v>
      </c>
      <c r="BI1448" s="1">
        <v>0</v>
      </c>
      <c r="BJ1448" s="1">
        <v>0</v>
      </c>
      <c r="BK1448" s="1">
        <v>0</v>
      </c>
      <c r="BL1448" s="1">
        <v>0</v>
      </c>
      <c r="BM1448" s="1">
        <v>0</v>
      </c>
      <c r="BN1448" s="1">
        <v>0</v>
      </c>
      <c r="BO1448" s="1">
        <v>0</v>
      </c>
      <c r="BP1448" s="1">
        <v>0</v>
      </c>
      <c r="BQ1448" s="1" t="s">
        <v>104</v>
      </c>
      <c r="BR1448" s="1">
        <v>1519</v>
      </c>
      <c r="BS1448" s="1" t="s">
        <v>104</v>
      </c>
      <c r="BX1448" s="1">
        <v>0</v>
      </c>
      <c r="BY1448" s="1">
        <v>1</v>
      </c>
      <c r="BZ1448" s="1" t="s">
        <v>104</v>
      </c>
      <c r="CA1448" s="1" t="s">
        <v>104</v>
      </c>
      <c r="CB1448" s="1" t="s">
        <v>104</v>
      </c>
      <c r="CC1448" s="1" t="s">
        <v>104</v>
      </c>
      <c r="CD1448" s="1" t="s">
        <v>104</v>
      </c>
      <c r="CE1448" s="1" t="s">
        <v>104</v>
      </c>
      <c r="CF1448" s="1" t="s">
        <v>104</v>
      </c>
      <c r="CG1448" s="1" t="s">
        <v>104</v>
      </c>
      <c r="CH1448" s="1" t="s">
        <v>104</v>
      </c>
      <c r="CJ1448" s="1">
        <v>0</v>
      </c>
      <c r="CK1448" s="1">
        <v>0</v>
      </c>
      <c r="CL1448" s="1">
        <v>0</v>
      </c>
      <c r="CM1448" s="1" t="s">
        <v>104</v>
      </c>
    </row>
    <row r="1449" spans="1:91" ht="14.25" customHeight="1" x14ac:dyDescent="0.3">
      <c r="A1449" s="1" t="s">
        <v>8254</v>
      </c>
      <c r="B1449" s="1" t="s">
        <v>92</v>
      </c>
      <c r="C1449" s="1" t="s">
        <v>93</v>
      </c>
      <c r="E1449" s="1" t="s">
        <v>7183</v>
      </c>
      <c r="F1449" s="1" t="s">
        <v>95</v>
      </c>
      <c r="G1449" s="1" t="s">
        <v>116</v>
      </c>
      <c r="H1449" s="1">
        <v>0</v>
      </c>
      <c r="I1449" s="1" t="s">
        <v>109</v>
      </c>
      <c r="K1449" s="1" t="s">
        <v>711</v>
      </c>
      <c r="M1449" s="1" t="s">
        <v>2330</v>
      </c>
      <c r="N1449" s="1">
        <v>0</v>
      </c>
      <c r="O1449" s="1">
        <v>0</v>
      </c>
      <c r="P1449" s="1" t="s">
        <v>1406</v>
      </c>
      <c r="Q1449" s="1" t="s">
        <v>101</v>
      </c>
      <c r="R1449" s="1" t="s">
        <v>8255</v>
      </c>
      <c r="S1449" s="1" t="s">
        <v>8109</v>
      </c>
      <c r="T1449" s="1">
        <v>1</v>
      </c>
      <c r="U1449" s="1">
        <v>1</v>
      </c>
      <c r="V1449" s="1">
        <v>0</v>
      </c>
      <c r="W1449" s="1">
        <v>0</v>
      </c>
      <c r="X1449" s="1">
        <v>0</v>
      </c>
      <c r="Y1449" s="1">
        <v>4</v>
      </c>
      <c r="Z1449" s="1">
        <v>4</v>
      </c>
      <c r="AA1449" s="1" t="s">
        <v>104</v>
      </c>
      <c r="AB1449" s="1" t="s">
        <v>104</v>
      </c>
      <c r="AC1449" s="1" t="s">
        <v>104</v>
      </c>
      <c r="AD1449" s="1" t="s">
        <v>104</v>
      </c>
      <c r="AE1449" s="1" t="s">
        <v>104</v>
      </c>
      <c r="AF1449" s="1" t="s">
        <v>104</v>
      </c>
      <c r="AG1449" s="1" t="s">
        <v>104</v>
      </c>
      <c r="AH1449" s="1">
        <v>4</v>
      </c>
      <c r="AI1449" s="1" t="s">
        <v>104</v>
      </c>
      <c r="AJ1449" s="1" t="s">
        <v>104</v>
      </c>
      <c r="AK1449" s="1" t="s">
        <v>104</v>
      </c>
      <c r="AL1449" s="1" t="s">
        <v>104</v>
      </c>
      <c r="AM1449" s="1" t="s">
        <v>104</v>
      </c>
      <c r="AO1449" s="1">
        <v>4</v>
      </c>
      <c r="AR1449" s="1">
        <v>0</v>
      </c>
      <c r="AS1449" s="1">
        <v>0</v>
      </c>
      <c r="AT1449" s="1">
        <v>0</v>
      </c>
      <c r="AU1449" s="1">
        <v>0</v>
      </c>
      <c r="AV1449" s="1">
        <v>0</v>
      </c>
      <c r="AW1449" s="1">
        <v>0</v>
      </c>
      <c r="AX1449" s="1">
        <v>0</v>
      </c>
      <c r="AY1449" s="1">
        <v>0</v>
      </c>
      <c r="AZ1449" s="1">
        <v>0</v>
      </c>
      <c r="BA1449" s="1">
        <v>0</v>
      </c>
      <c r="BB1449" s="1">
        <v>0</v>
      </c>
      <c r="BC1449" s="1">
        <v>0</v>
      </c>
      <c r="BD1449" s="1">
        <v>0</v>
      </c>
      <c r="BE1449" s="1">
        <v>0</v>
      </c>
      <c r="BF1449" s="1">
        <v>0</v>
      </c>
      <c r="BG1449" s="1">
        <v>0</v>
      </c>
      <c r="BH1449" s="1">
        <v>0</v>
      </c>
      <c r="BI1449" s="1">
        <v>0</v>
      </c>
      <c r="BJ1449" s="1">
        <v>0</v>
      </c>
      <c r="BK1449" s="1">
        <v>0</v>
      </c>
      <c r="BL1449" s="1">
        <v>0</v>
      </c>
      <c r="BM1449" s="1">
        <v>0</v>
      </c>
      <c r="BN1449" s="1">
        <v>0</v>
      </c>
      <c r="BO1449" s="1">
        <v>0</v>
      </c>
      <c r="BP1449" s="1">
        <v>0</v>
      </c>
      <c r="BQ1449" s="1" t="s">
        <v>104</v>
      </c>
      <c r="BR1449" s="1">
        <v>1520</v>
      </c>
      <c r="BS1449" s="1" t="s">
        <v>104</v>
      </c>
      <c r="BX1449" s="1">
        <v>0</v>
      </c>
      <c r="BY1449" s="1" t="s">
        <v>104</v>
      </c>
      <c r="BZ1449" s="1" t="s">
        <v>104</v>
      </c>
      <c r="CA1449" s="1" t="s">
        <v>104</v>
      </c>
      <c r="CB1449" s="1" t="s">
        <v>104</v>
      </c>
      <c r="CC1449" s="1" t="s">
        <v>104</v>
      </c>
      <c r="CD1449" s="1" t="s">
        <v>104</v>
      </c>
      <c r="CE1449" s="1" t="s">
        <v>104</v>
      </c>
      <c r="CF1449" s="1" t="s">
        <v>104</v>
      </c>
      <c r="CG1449" s="1" t="s">
        <v>104</v>
      </c>
      <c r="CH1449" s="1" t="s">
        <v>104</v>
      </c>
      <c r="CJ1449" s="1">
        <v>0</v>
      </c>
      <c r="CK1449" s="1">
        <v>0</v>
      </c>
      <c r="CL1449" s="1">
        <v>0</v>
      </c>
      <c r="CM1449" s="1" t="s">
        <v>104</v>
      </c>
    </row>
    <row r="1450" spans="1:91" ht="14.25" customHeight="1" x14ac:dyDescent="0.3">
      <c r="A1450" s="1" t="s">
        <v>8256</v>
      </c>
      <c r="B1450" s="1" t="s">
        <v>92</v>
      </c>
      <c r="C1450" s="1" t="s">
        <v>93</v>
      </c>
      <c r="D1450" s="1" t="s">
        <v>65</v>
      </c>
      <c r="E1450" s="1" t="s">
        <v>8257</v>
      </c>
      <c r="F1450" s="1" t="s">
        <v>95</v>
      </c>
      <c r="G1450" s="1" t="s">
        <v>116</v>
      </c>
      <c r="H1450" s="1">
        <v>0</v>
      </c>
      <c r="I1450" s="1" t="s">
        <v>109</v>
      </c>
      <c r="K1450" s="1" t="s">
        <v>8258</v>
      </c>
      <c r="M1450" s="1" t="s">
        <v>119</v>
      </c>
      <c r="N1450" s="1">
        <v>0</v>
      </c>
      <c r="O1450" s="1">
        <v>0</v>
      </c>
      <c r="P1450" s="1" t="s">
        <v>4047</v>
      </c>
      <c r="Q1450" s="1" t="s">
        <v>184</v>
      </c>
      <c r="R1450" s="1" t="s">
        <v>8259</v>
      </c>
      <c r="S1450" s="1" t="s">
        <v>8109</v>
      </c>
      <c r="T1450" s="1">
        <v>1</v>
      </c>
      <c r="U1450" s="1">
        <v>1</v>
      </c>
      <c r="V1450" s="1">
        <v>0</v>
      </c>
      <c r="W1450" s="1">
        <v>0</v>
      </c>
      <c r="X1450" s="1">
        <v>0</v>
      </c>
      <c r="Y1450" s="1">
        <v>3</v>
      </c>
      <c r="Z1450" s="1">
        <v>3</v>
      </c>
      <c r="AA1450" s="1" t="s">
        <v>104</v>
      </c>
      <c r="AB1450" s="1" t="s">
        <v>104</v>
      </c>
      <c r="AC1450" s="1" t="s">
        <v>104</v>
      </c>
      <c r="AD1450" s="1" t="s">
        <v>104</v>
      </c>
      <c r="AE1450" s="1" t="s">
        <v>104</v>
      </c>
      <c r="AF1450" s="1" t="s">
        <v>104</v>
      </c>
      <c r="AG1450" s="1" t="s">
        <v>104</v>
      </c>
      <c r="AH1450" s="1">
        <v>3</v>
      </c>
      <c r="AI1450" s="1" t="s">
        <v>104</v>
      </c>
      <c r="AJ1450" s="1" t="s">
        <v>104</v>
      </c>
      <c r="AK1450" s="1" t="s">
        <v>104</v>
      </c>
      <c r="AL1450" s="1">
        <v>3</v>
      </c>
      <c r="AM1450" s="1" t="s">
        <v>104</v>
      </c>
      <c r="AO1450" s="1">
        <v>3</v>
      </c>
      <c r="AR1450" s="1">
        <v>0</v>
      </c>
      <c r="AS1450" s="1">
        <v>0</v>
      </c>
      <c r="AT1450" s="1">
        <v>0</v>
      </c>
      <c r="AU1450" s="1">
        <v>0</v>
      </c>
      <c r="AV1450" s="1">
        <v>0</v>
      </c>
      <c r="AW1450" s="1">
        <v>0</v>
      </c>
      <c r="AX1450" s="1">
        <v>0</v>
      </c>
      <c r="AY1450" s="1">
        <v>0</v>
      </c>
      <c r="AZ1450" s="1">
        <v>0</v>
      </c>
      <c r="BA1450" s="1">
        <v>0</v>
      </c>
      <c r="BB1450" s="1">
        <v>0</v>
      </c>
      <c r="BC1450" s="1">
        <v>0</v>
      </c>
      <c r="BD1450" s="1">
        <v>0</v>
      </c>
      <c r="BE1450" s="1">
        <v>0</v>
      </c>
      <c r="BF1450" s="1">
        <v>0</v>
      </c>
      <c r="BG1450" s="1">
        <v>0</v>
      </c>
      <c r="BH1450" s="1">
        <v>0</v>
      </c>
      <c r="BI1450" s="1">
        <v>0</v>
      </c>
      <c r="BJ1450" s="1">
        <v>0</v>
      </c>
      <c r="BK1450" s="1">
        <v>0</v>
      </c>
      <c r="BL1450" s="1">
        <v>0</v>
      </c>
      <c r="BM1450" s="1">
        <v>0</v>
      </c>
      <c r="BN1450" s="1">
        <v>1</v>
      </c>
      <c r="BO1450" s="1">
        <v>0</v>
      </c>
      <c r="BP1450" s="1">
        <v>0</v>
      </c>
      <c r="BQ1450" s="1" t="s">
        <v>104</v>
      </c>
      <c r="BR1450" s="1">
        <v>1521</v>
      </c>
      <c r="BS1450" s="1" t="s">
        <v>104</v>
      </c>
      <c r="BX1450" s="1">
        <v>0</v>
      </c>
      <c r="BY1450" s="1">
        <v>3</v>
      </c>
      <c r="BZ1450" s="1" t="s">
        <v>104</v>
      </c>
      <c r="CA1450" s="1" t="s">
        <v>104</v>
      </c>
      <c r="CB1450" s="1" t="s">
        <v>104</v>
      </c>
      <c r="CC1450" s="1" t="s">
        <v>104</v>
      </c>
      <c r="CD1450" s="1" t="s">
        <v>104</v>
      </c>
      <c r="CE1450" s="1" t="s">
        <v>104</v>
      </c>
      <c r="CF1450" s="1" t="s">
        <v>104</v>
      </c>
      <c r="CG1450" s="1" t="s">
        <v>104</v>
      </c>
      <c r="CH1450" s="1" t="s">
        <v>104</v>
      </c>
      <c r="CJ1450" s="1">
        <v>0</v>
      </c>
      <c r="CK1450" s="1">
        <v>0</v>
      </c>
      <c r="CL1450" s="1">
        <v>0</v>
      </c>
      <c r="CM1450" s="1" t="s">
        <v>104</v>
      </c>
    </row>
    <row r="1451" spans="1:91" ht="14.25" customHeight="1" x14ac:dyDescent="0.3">
      <c r="A1451" s="1" t="s">
        <v>8260</v>
      </c>
      <c r="B1451" s="1" t="s">
        <v>137</v>
      </c>
      <c r="E1451" s="1" t="s">
        <v>6701</v>
      </c>
      <c r="F1451" s="1" t="s">
        <v>95</v>
      </c>
      <c r="G1451" s="1" t="s">
        <v>8261</v>
      </c>
      <c r="H1451" s="1">
        <v>0</v>
      </c>
      <c r="I1451" s="1" t="s">
        <v>128</v>
      </c>
      <c r="L1451" s="1" t="s">
        <v>8262</v>
      </c>
      <c r="M1451" s="1" t="s">
        <v>5062</v>
      </c>
      <c r="N1451" s="1">
        <v>1</v>
      </c>
      <c r="O1451" s="1">
        <v>0</v>
      </c>
      <c r="P1451" s="1" t="s">
        <v>100</v>
      </c>
      <c r="Q1451" s="1" t="s">
        <v>101</v>
      </c>
      <c r="R1451" s="1" t="s">
        <v>8263</v>
      </c>
      <c r="S1451" s="1" t="s">
        <v>8109</v>
      </c>
      <c r="T1451" s="1">
        <v>1</v>
      </c>
      <c r="U1451" s="1">
        <v>1</v>
      </c>
      <c r="V1451" s="1">
        <v>1</v>
      </c>
      <c r="W1451" s="1">
        <v>0</v>
      </c>
      <c r="X1451" s="1">
        <v>0</v>
      </c>
      <c r="Y1451" s="1">
        <v>4</v>
      </c>
      <c r="Z1451" s="1">
        <v>4</v>
      </c>
      <c r="AA1451" s="1" t="s">
        <v>104</v>
      </c>
      <c r="AB1451" s="1" t="s">
        <v>104</v>
      </c>
      <c r="AC1451" s="1" t="s">
        <v>104</v>
      </c>
      <c r="AD1451" s="1" t="s">
        <v>104</v>
      </c>
      <c r="AE1451" s="1" t="s">
        <v>104</v>
      </c>
      <c r="AF1451" s="1" t="s">
        <v>104</v>
      </c>
      <c r="AG1451" s="1" t="s">
        <v>104</v>
      </c>
      <c r="AH1451" s="1" t="s">
        <v>104</v>
      </c>
      <c r="AI1451" s="1" t="s">
        <v>104</v>
      </c>
      <c r="AJ1451" s="1" t="s">
        <v>104</v>
      </c>
      <c r="AK1451" s="1" t="s">
        <v>104</v>
      </c>
      <c r="AL1451" s="1" t="s">
        <v>104</v>
      </c>
      <c r="AM1451" s="1" t="s">
        <v>104</v>
      </c>
      <c r="AO1451" s="1">
        <v>4</v>
      </c>
      <c r="AR1451" s="1">
        <v>0</v>
      </c>
      <c r="AS1451" s="1">
        <v>0</v>
      </c>
      <c r="AT1451" s="1">
        <v>0</v>
      </c>
      <c r="AU1451" s="1">
        <v>0</v>
      </c>
      <c r="AV1451" s="1">
        <v>0</v>
      </c>
      <c r="AW1451" s="1">
        <v>0</v>
      </c>
      <c r="AX1451" s="1">
        <v>0</v>
      </c>
      <c r="AY1451" s="1">
        <v>0</v>
      </c>
      <c r="AZ1451" s="1">
        <v>0</v>
      </c>
      <c r="BA1451" s="1">
        <v>0</v>
      </c>
      <c r="BB1451" s="1">
        <v>0</v>
      </c>
      <c r="BC1451" s="1">
        <v>0</v>
      </c>
      <c r="BD1451" s="1">
        <v>0</v>
      </c>
      <c r="BE1451" s="1">
        <v>0</v>
      </c>
      <c r="BF1451" s="1">
        <v>0</v>
      </c>
      <c r="BG1451" s="1">
        <v>0</v>
      </c>
      <c r="BH1451" s="1">
        <v>0</v>
      </c>
      <c r="BI1451" s="1">
        <v>0</v>
      </c>
      <c r="BJ1451" s="1">
        <v>0</v>
      </c>
      <c r="BK1451" s="1">
        <v>0</v>
      </c>
      <c r="BL1451" s="1">
        <v>0</v>
      </c>
      <c r="BM1451" s="1">
        <v>0</v>
      </c>
      <c r="BN1451" s="1">
        <v>0</v>
      </c>
      <c r="BO1451" s="1">
        <v>0</v>
      </c>
      <c r="BP1451" s="1">
        <v>0</v>
      </c>
      <c r="BQ1451" s="1" t="s">
        <v>104</v>
      </c>
      <c r="BR1451" s="1">
        <v>1522</v>
      </c>
      <c r="BS1451" s="1" t="s">
        <v>104</v>
      </c>
      <c r="BX1451" s="1">
        <v>0</v>
      </c>
      <c r="BY1451" s="1" t="s">
        <v>104</v>
      </c>
      <c r="BZ1451" s="1" t="s">
        <v>104</v>
      </c>
      <c r="CA1451" s="1">
        <v>4</v>
      </c>
      <c r="CB1451" s="1" t="s">
        <v>104</v>
      </c>
      <c r="CC1451" s="1" t="s">
        <v>104</v>
      </c>
      <c r="CD1451" s="1" t="s">
        <v>104</v>
      </c>
      <c r="CE1451" s="1" t="s">
        <v>104</v>
      </c>
      <c r="CF1451" s="1" t="s">
        <v>104</v>
      </c>
      <c r="CG1451" s="1" t="s">
        <v>104</v>
      </c>
      <c r="CH1451" s="1" t="s">
        <v>104</v>
      </c>
      <c r="CJ1451" s="1">
        <v>0</v>
      </c>
      <c r="CK1451" s="1">
        <v>0</v>
      </c>
      <c r="CL1451" s="1">
        <v>0</v>
      </c>
      <c r="CM1451" s="1" t="s">
        <v>104</v>
      </c>
    </row>
    <row r="1452" spans="1:91" ht="14.25" customHeight="1" x14ac:dyDescent="0.3">
      <c r="A1452" s="1" t="s">
        <v>8264</v>
      </c>
      <c r="B1452" s="1" t="s">
        <v>137</v>
      </c>
      <c r="D1452" s="1" t="s">
        <v>56</v>
      </c>
      <c r="E1452" s="1" t="s">
        <v>6481</v>
      </c>
      <c r="F1452" s="1" t="s">
        <v>95</v>
      </c>
      <c r="G1452" s="1" t="s">
        <v>116</v>
      </c>
      <c r="H1452" s="1">
        <v>0</v>
      </c>
      <c r="I1452" s="1" t="s">
        <v>157</v>
      </c>
      <c r="K1452" s="1" t="s">
        <v>8265</v>
      </c>
      <c r="M1452" s="1" t="s">
        <v>111</v>
      </c>
      <c r="N1452" s="1">
        <v>0</v>
      </c>
      <c r="O1452" s="1">
        <v>0</v>
      </c>
      <c r="P1452" s="1" t="s">
        <v>100</v>
      </c>
      <c r="Q1452" s="1" t="s">
        <v>184</v>
      </c>
      <c r="R1452" s="1" t="s">
        <v>8266</v>
      </c>
      <c r="S1452" s="1" t="s">
        <v>8109</v>
      </c>
      <c r="T1452" s="1">
        <v>1</v>
      </c>
      <c r="U1452" s="1">
        <v>1</v>
      </c>
      <c r="V1452" s="1">
        <v>0</v>
      </c>
      <c r="W1452" s="1">
        <v>0</v>
      </c>
      <c r="X1452" s="1">
        <v>0</v>
      </c>
      <c r="Y1452" s="1">
        <v>3</v>
      </c>
      <c r="Z1452" s="1">
        <v>3</v>
      </c>
      <c r="AA1452" s="1" t="s">
        <v>104</v>
      </c>
      <c r="AB1452" s="1" t="s">
        <v>104</v>
      </c>
      <c r="AC1452" s="1" t="s">
        <v>104</v>
      </c>
      <c r="AD1452" s="1" t="s">
        <v>104</v>
      </c>
      <c r="AE1452" s="1" t="s">
        <v>104</v>
      </c>
      <c r="AF1452" s="1">
        <v>3</v>
      </c>
      <c r="AG1452" s="1" t="s">
        <v>104</v>
      </c>
      <c r="AH1452" s="1" t="s">
        <v>104</v>
      </c>
      <c r="AI1452" s="1" t="s">
        <v>104</v>
      </c>
      <c r="AJ1452" s="1" t="s">
        <v>104</v>
      </c>
      <c r="AK1452" s="1" t="s">
        <v>104</v>
      </c>
      <c r="AL1452" s="1">
        <v>3</v>
      </c>
      <c r="AM1452" s="1" t="s">
        <v>104</v>
      </c>
      <c r="AO1452" s="1">
        <v>3</v>
      </c>
      <c r="AR1452" s="1">
        <v>0</v>
      </c>
      <c r="AS1452" s="1">
        <v>0</v>
      </c>
      <c r="AT1452" s="1">
        <v>0</v>
      </c>
      <c r="AU1452" s="1">
        <v>0</v>
      </c>
      <c r="AV1452" s="1">
        <v>0</v>
      </c>
      <c r="AW1452" s="1">
        <v>0</v>
      </c>
      <c r="AX1452" s="1">
        <v>0</v>
      </c>
      <c r="AY1452" s="1">
        <v>0</v>
      </c>
      <c r="AZ1452" s="1">
        <v>0</v>
      </c>
      <c r="BA1452" s="1">
        <v>0</v>
      </c>
      <c r="BB1452" s="1">
        <v>0</v>
      </c>
      <c r="BC1452" s="1">
        <v>0</v>
      </c>
      <c r="BD1452" s="1">
        <v>0</v>
      </c>
      <c r="BE1452" s="1">
        <v>1</v>
      </c>
      <c r="BF1452" s="1">
        <v>0</v>
      </c>
      <c r="BG1452" s="1">
        <v>0</v>
      </c>
      <c r="BH1452" s="1">
        <v>0</v>
      </c>
      <c r="BI1452" s="1">
        <v>0</v>
      </c>
      <c r="BJ1452" s="1">
        <v>0</v>
      </c>
      <c r="BK1452" s="1">
        <v>0</v>
      </c>
      <c r="BL1452" s="1">
        <v>0</v>
      </c>
      <c r="BM1452" s="1">
        <v>0</v>
      </c>
      <c r="BN1452" s="1">
        <v>0</v>
      </c>
      <c r="BO1452" s="1">
        <v>0</v>
      </c>
      <c r="BP1452" s="1">
        <v>0</v>
      </c>
      <c r="BQ1452" s="1" t="s">
        <v>104</v>
      </c>
      <c r="BR1452" s="1">
        <v>1523</v>
      </c>
      <c r="BS1452" s="1" t="s">
        <v>104</v>
      </c>
      <c r="BX1452" s="1">
        <v>0</v>
      </c>
      <c r="BY1452" s="1">
        <v>3</v>
      </c>
      <c r="BZ1452" s="1" t="s">
        <v>104</v>
      </c>
      <c r="CA1452" s="1" t="s">
        <v>104</v>
      </c>
      <c r="CB1452" s="1" t="s">
        <v>104</v>
      </c>
      <c r="CC1452" s="1" t="s">
        <v>104</v>
      </c>
      <c r="CD1452" s="1" t="s">
        <v>104</v>
      </c>
      <c r="CE1452" s="1" t="s">
        <v>104</v>
      </c>
      <c r="CF1452" s="1" t="s">
        <v>104</v>
      </c>
      <c r="CG1452" s="1" t="s">
        <v>104</v>
      </c>
      <c r="CH1452" s="1" t="s">
        <v>104</v>
      </c>
      <c r="CJ1452" s="1">
        <v>0</v>
      </c>
      <c r="CK1452" s="1">
        <v>0</v>
      </c>
      <c r="CL1452" s="1">
        <v>0</v>
      </c>
      <c r="CM1452" s="1" t="s">
        <v>104</v>
      </c>
    </row>
    <row r="1453" spans="1:91" ht="14.25" customHeight="1" x14ac:dyDescent="0.3">
      <c r="A1453" s="1" t="s">
        <v>8267</v>
      </c>
      <c r="B1453" s="1" t="s">
        <v>92</v>
      </c>
      <c r="C1453" s="1" t="s">
        <v>93</v>
      </c>
      <c r="D1453" s="1" t="s">
        <v>51</v>
      </c>
      <c r="E1453" s="1" t="s">
        <v>8268</v>
      </c>
      <c r="F1453" s="1" t="s">
        <v>95</v>
      </c>
      <c r="G1453" s="1" t="s">
        <v>116</v>
      </c>
      <c r="H1453" s="1">
        <v>0</v>
      </c>
      <c r="I1453" s="1" t="s">
        <v>117</v>
      </c>
      <c r="K1453" s="1" t="s">
        <v>8269</v>
      </c>
      <c r="M1453" s="1" t="s">
        <v>119</v>
      </c>
      <c r="N1453" s="1">
        <v>0</v>
      </c>
      <c r="O1453" s="1">
        <v>0</v>
      </c>
      <c r="P1453" s="1" t="s">
        <v>4047</v>
      </c>
      <c r="Q1453" s="1" t="s">
        <v>101</v>
      </c>
      <c r="R1453" s="1" t="s">
        <v>8270</v>
      </c>
      <c r="S1453" s="1" t="s">
        <v>8109</v>
      </c>
      <c r="T1453" s="1">
        <v>1</v>
      </c>
      <c r="U1453" s="1">
        <v>1</v>
      </c>
      <c r="V1453" s="1">
        <v>0</v>
      </c>
      <c r="W1453" s="1">
        <v>0</v>
      </c>
      <c r="X1453" s="1">
        <v>0</v>
      </c>
      <c r="Y1453" s="1">
        <v>1</v>
      </c>
      <c r="Z1453" s="1">
        <v>1</v>
      </c>
      <c r="AA1453" s="1" t="s">
        <v>104</v>
      </c>
      <c r="AB1453" s="1">
        <v>1</v>
      </c>
      <c r="AC1453" s="1" t="s">
        <v>104</v>
      </c>
      <c r="AD1453" s="1" t="s">
        <v>104</v>
      </c>
      <c r="AE1453" s="1" t="s">
        <v>104</v>
      </c>
      <c r="AF1453" s="1" t="s">
        <v>104</v>
      </c>
      <c r="AG1453" s="1" t="s">
        <v>104</v>
      </c>
      <c r="AH1453" s="1">
        <v>1</v>
      </c>
      <c r="AI1453" s="1" t="s">
        <v>104</v>
      </c>
      <c r="AJ1453" s="1" t="s">
        <v>104</v>
      </c>
      <c r="AK1453" s="1" t="s">
        <v>104</v>
      </c>
      <c r="AL1453" s="1">
        <v>1</v>
      </c>
      <c r="AM1453" s="1" t="s">
        <v>104</v>
      </c>
      <c r="AO1453" s="1">
        <v>1</v>
      </c>
      <c r="AR1453" s="1">
        <v>0</v>
      </c>
      <c r="AS1453" s="1">
        <v>0</v>
      </c>
      <c r="AT1453" s="1">
        <v>0</v>
      </c>
      <c r="AU1453" s="1">
        <v>0</v>
      </c>
      <c r="AV1453" s="1">
        <v>0</v>
      </c>
      <c r="AW1453" s="1">
        <v>0</v>
      </c>
      <c r="AX1453" s="1">
        <v>0</v>
      </c>
      <c r="AY1453" s="1">
        <v>0</v>
      </c>
      <c r="AZ1453" s="1">
        <v>1</v>
      </c>
      <c r="BA1453" s="1">
        <v>0</v>
      </c>
      <c r="BB1453" s="1">
        <v>0</v>
      </c>
      <c r="BC1453" s="1">
        <v>0</v>
      </c>
      <c r="BD1453" s="1">
        <v>0</v>
      </c>
      <c r="BE1453" s="1">
        <v>0</v>
      </c>
      <c r="BF1453" s="1">
        <v>0</v>
      </c>
      <c r="BG1453" s="1">
        <v>0</v>
      </c>
      <c r="BH1453" s="1">
        <v>0</v>
      </c>
      <c r="BI1453" s="1">
        <v>0</v>
      </c>
      <c r="BJ1453" s="1">
        <v>0</v>
      </c>
      <c r="BK1453" s="1">
        <v>0</v>
      </c>
      <c r="BL1453" s="1">
        <v>0</v>
      </c>
      <c r="BM1453" s="1">
        <v>0</v>
      </c>
      <c r="BN1453" s="1">
        <v>0</v>
      </c>
      <c r="BO1453" s="1">
        <v>0</v>
      </c>
      <c r="BP1453" s="1">
        <v>0</v>
      </c>
      <c r="BQ1453" s="1" t="s">
        <v>104</v>
      </c>
      <c r="BR1453" s="1">
        <v>1524</v>
      </c>
      <c r="BS1453" s="1" t="s">
        <v>104</v>
      </c>
      <c r="BX1453" s="1">
        <v>0</v>
      </c>
      <c r="BY1453" s="1" t="s">
        <v>104</v>
      </c>
      <c r="BZ1453" s="1" t="s">
        <v>104</v>
      </c>
      <c r="CA1453" s="1" t="s">
        <v>104</v>
      </c>
      <c r="CB1453" s="1" t="s">
        <v>104</v>
      </c>
      <c r="CC1453" s="1" t="s">
        <v>104</v>
      </c>
      <c r="CD1453" s="1" t="s">
        <v>104</v>
      </c>
      <c r="CE1453" s="1" t="s">
        <v>104</v>
      </c>
      <c r="CF1453" s="1" t="s">
        <v>104</v>
      </c>
      <c r="CG1453" s="1" t="s">
        <v>104</v>
      </c>
      <c r="CH1453" s="1">
        <v>1</v>
      </c>
      <c r="CJ1453" s="1">
        <v>0</v>
      </c>
      <c r="CK1453" s="1">
        <v>0</v>
      </c>
      <c r="CL1453" s="1">
        <v>0</v>
      </c>
      <c r="CM1453" s="1" t="s">
        <v>104</v>
      </c>
    </row>
    <row r="1454" spans="1:91" ht="14.25" customHeight="1" x14ac:dyDescent="0.3">
      <c r="A1454" s="1" t="s">
        <v>8271</v>
      </c>
      <c r="B1454" s="1" t="s">
        <v>92</v>
      </c>
      <c r="C1454" s="1" t="s">
        <v>8272</v>
      </c>
      <c r="E1454" s="1" t="s">
        <v>8273</v>
      </c>
      <c r="F1454" s="1" t="s">
        <v>95</v>
      </c>
      <c r="G1454" s="1" t="s">
        <v>116</v>
      </c>
      <c r="H1454" s="1">
        <v>0</v>
      </c>
      <c r="I1454" s="1" t="s">
        <v>157</v>
      </c>
      <c r="K1454" s="1" t="s">
        <v>8274</v>
      </c>
      <c r="M1454" s="1" t="s">
        <v>111</v>
      </c>
      <c r="N1454" s="1">
        <v>0</v>
      </c>
      <c r="O1454" s="1">
        <v>0</v>
      </c>
      <c r="R1454" s="1" t="s">
        <v>8275</v>
      </c>
      <c r="S1454" s="1" t="s">
        <v>8109</v>
      </c>
      <c r="T1454" s="1">
        <v>1</v>
      </c>
      <c r="U1454" s="1">
        <v>1</v>
      </c>
      <c r="V1454" s="1">
        <v>0</v>
      </c>
      <c r="W1454" s="1">
        <v>0</v>
      </c>
      <c r="X1454" s="1">
        <v>0</v>
      </c>
      <c r="Y1454" s="1">
        <v>4</v>
      </c>
      <c r="Z1454" s="1">
        <v>4</v>
      </c>
      <c r="AA1454" s="1" t="s">
        <v>104</v>
      </c>
      <c r="AB1454" s="1" t="s">
        <v>104</v>
      </c>
      <c r="AC1454" s="1" t="s">
        <v>104</v>
      </c>
      <c r="AD1454" s="1" t="s">
        <v>104</v>
      </c>
      <c r="AE1454" s="1" t="s">
        <v>104</v>
      </c>
      <c r="AF1454" s="1">
        <v>3</v>
      </c>
      <c r="AG1454" s="1">
        <v>3</v>
      </c>
      <c r="AH1454" s="1" t="s">
        <v>104</v>
      </c>
      <c r="AI1454" s="1" t="s">
        <v>104</v>
      </c>
      <c r="AJ1454" s="1" t="s">
        <v>104</v>
      </c>
      <c r="AK1454" s="1" t="s">
        <v>104</v>
      </c>
      <c r="AL1454" s="1">
        <v>3</v>
      </c>
      <c r="AM1454" s="1" t="s">
        <v>104</v>
      </c>
      <c r="AO1454" s="1">
        <v>4</v>
      </c>
      <c r="AR1454" s="1">
        <v>0</v>
      </c>
      <c r="AS1454" s="1">
        <v>0</v>
      </c>
      <c r="AT1454" s="1">
        <v>0</v>
      </c>
      <c r="AU1454" s="1">
        <v>0</v>
      </c>
      <c r="AV1454" s="1">
        <v>0</v>
      </c>
      <c r="AW1454" s="1">
        <v>0</v>
      </c>
      <c r="AX1454" s="1">
        <v>0</v>
      </c>
      <c r="AY1454" s="1">
        <v>0</v>
      </c>
      <c r="AZ1454" s="1">
        <v>0</v>
      </c>
      <c r="BA1454" s="1">
        <v>0</v>
      </c>
      <c r="BB1454" s="1">
        <v>0</v>
      </c>
      <c r="BC1454" s="1">
        <v>0</v>
      </c>
      <c r="BD1454" s="1">
        <v>0</v>
      </c>
      <c r="BE1454" s="1">
        <v>0</v>
      </c>
      <c r="BF1454" s="1">
        <v>0</v>
      </c>
      <c r="BG1454" s="1">
        <v>0</v>
      </c>
      <c r="BH1454" s="1">
        <v>0</v>
      </c>
      <c r="BI1454" s="1">
        <v>0</v>
      </c>
      <c r="BJ1454" s="1">
        <v>0</v>
      </c>
      <c r="BK1454" s="1">
        <v>0</v>
      </c>
      <c r="BL1454" s="1">
        <v>0</v>
      </c>
      <c r="BM1454" s="1">
        <v>0</v>
      </c>
      <c r="BN1454" s="1">
        <v>0</v>
      </c>
      <c r="BO1454" s="1">
        <v>0</v>
      </c>
      <c r="BP1454" s="1">
        <v>0</v>
      </c>
      <c r="BQ1454" s="1" t="s">
        <v>104</v>
      </c>
      <c r="BR1454" s="1">
        <v>1525</v>
      </c>
      <c r="BS1454" s="1" t="s">
        <v>104</v>
      </c>
      <c r="BV1454" s="1" t="s">
        <v>8276</v>
      </c>
      <c r="BW1454" s="1" t="s">
        <v>8277</v>
      </c>
      <c r="BX1454" s="1">
        <v>1</v>
      </c>
      <c r="BY1454" s="1" t="s">
        <v>104</v>
      </c>
      <c r="BZ1454" s="1" t="s">
        <v>104</v>
      </c>
      <c r="CA1454" s="1">
        <v>4</v>
      </c>
      <c r="CB1454" s="1" t="s">
        <v>104</v>
      </c>
      <c r="CC1454" s="1" t="s">
        <v>104</v>
      </c>
      <c r="CD1454" s="1" t="s">
        <v>104</v>
      </c>
      <c r="CE1454" s="1" t="s">
        <v>104</v>
      </c>
      <c r="CF1454" s="1" t="s">
        <v>104</v>
      </c>
      <c r="CG1454" s="1" t="s">
        <v>104</v>
      </c>
      <c r="CH1454" s="1" t="s">
        <v>104</v>
      </c>
      <c r="CJ1454" s="1">
        <v>0</v>
      </c>
      <c r="CK1454" s="1">
        <v>0</v>
      </c>
      <c r="CL1454" s="1">
        <v>0</v>
      </c>
      <c r="CM1454" s="1">
        <v>3</v>
      </c>
    </row>
    <row r="1455" spans="1:91" ht="14.25" customHeight="1" x14ac:dyDescent="0.3">
      <c r="A1455" s="1" t="s">
        <v>8278</v>
      </c>
      <c r="B1455" s="1" t="s">
        <v>507</v>
      </c>
      <c r="C1455" s="1" t="s">
        <v>1308</v>
      </c>
      <c r="D1455" s="1" t="s">
        <v>8279</v>
      </c>
      <c r="E1455" s="1" t="s">
        <v>8280</v>
      </c>
      <c r="F1455" s="1" t="s">
        <v>95</v>
      </c>
      <c r="G1455" s="1" t="s">
        <v>116</v>
      </c>
      <c r="H1455" s="1">
        <v>0</v>
      </c>
      <c r="I1455" s="1" t="s">
        <v>6041</v>
      </c>
      <c r="L1455" s="1" t="s">
        <v>417</v>
      </c>
      <c r="M1455" s="1" t="s">
        <v>111</v>
      </c>
      <c r="N1455" s="1">
        <v>0</v>
      </c>
      <c r="O1455" s="1">
        <v>0</v>
      </c>
      <c r="P1455" s="1" t="s">
        <v>211</v>
      </c>
      <c r="Q1455" s="1" t="s">
        <v>184</v>
      </c>
      <c r="R1455" s="1" t="s">
        <v>8281</v>
      </c>
      <c r="S1455" s="1" t="s">
        <v>8109</v>
      </c>
      <c r="T1455" s="1">
        <v>1</v>
      </c>
      <c r="U1455" s="1">
        <v>1</v>
      </c>
      <c r="V1455" s="1">
        <v>0</v>
      </c>
      <c r="W1455" s="1">
        <v>0</v>
      </c>
      <c r="X1455" s="1">
        <v>0</v>
      </c>
      <c r="Y1455" s="1" t="s">
        <v>104</v>
      </c>
      <c r="Z1455" s="1" t="s">
        <v>104</v>
      </c>
      <c r="AA1455" s="1">
        <v>3</v>
      </c>
      <c r="AB1455" s="1" t="s">
        <v>104</v>
      </c>
      <c r="AC1455" s="1" t="s">
        <v>104</v>
      </c>
      <c r="AD1455" s="1" t="s">
        <v>104</v>
      </c>
      <c r="AE1455" s="1" t="s">
        <v>104</v>
      </c>
      <c r="AF1455" s="1" t="s">
        <v>104</v>
      </c>
      <c r="AG1455" s="1" t="s">
        <v>104</v>
      </c>
      <c r="AH1455" s="1">
        <v>3</v>
      </c>
      <c r="AI1455" s="1">
        <v>3</v>
      </c>
      <c r="AJ1455" s="1">
        <v>3</v>
      </c>
      <c r="AK1455" s="1">
        <v>2</v>
      </c>
      <c r="AL1455" s="1" t="s">
        <v>104</v>
      </c>
      <c r="AM1455" s="1" t="s">
        <v>104</v>
      </c>
      <c r="AO1455" s="1">
        <v>3</v>
      </c>
      <c r="AR1455" s="1">
        <v>0</v>
      </c>
      <c r="AS1455" s="1">
        <v>0</v>
      </c>
      <c r="AT1455" s="1">
        <v>0</v>
      </c>
      <c r="AU1455" s="1">
        <v>0</v>
      </c>
      <c r="AV1455" s="1">
        <v>0</v>
      </c>
      <c r="AW1455" s="1">
        <v>0</v>
      </c>
      <c r="AX1455" s="1">
        <v>0</v>
      </c>
      <c r="AY1455" s="1">
        <v>0</v>
      </c>
      <c r="AZ1455" s="1">
        <v>0</v>
      </c>
      <c r="BA1455" s="1">
        <v>0</v>
      </c>
      <c r="BB1455" s="1">
        <v>1</v>
      </c>
      <c r="BC1455" s="1">
        <v>0</v>
      </c>
      <c r="BD1455" s="1">
        <v>0</v>
      </c>
      <c r="BE1455" s="1">
        <v>0</v>
      </c>
      <c r="BF1455" s="1">
        <v>0</v>
      </c>
      <c r="BG1455" s="1">
        <v>0</v>
      </c>
      <c r="BH1455" s="1">
        <v>0</v>
      </c>
      <c r="BI1455" s="1">
        <v>0</v>
      </c>
      <c r="BJ1455" s="1">
        <v>0</v>
      </c>
      <c r="BK1455" s="1">
        <v>1</v>
      </c>
      <c r="BL1455" s="1">
        <v>1</v>
      </c>
      <c r="BM1455" s="1">
        <v>0</v>
      </c>
      <c r="BN1455" s="1">
        <v>0</v>
      </c>
      <c r="BO1455" s="1">
        <v>0</v>
      </c>
      <c r="BP1455" s="1">
        <v>0</v>
      </c>
      <c r="BQ1455" s="1" t="s">
        <v>104</v>
      </c>
      <c r="BR1455" s="1">
        <v>1526</v>
      </c>
      <c r="BS1455" s="1" t="s">
        <v>104</v>
      </c>
      <c r="BX1455" s="1">
        <v>0</v>
      </c>
      <c r="BY1455" s="1" t="s">
        <v>104</v>
      </c>
      <c r="BZ1455" s="1" t="s">
        <v>104</v>
      </c>
      <c r="CA1455" s="1">
        <v>3</v>
      </c>
      <c r="CB1455" s="1" t="s">
        <v>104</v>
      </c>
      <c r="CC1455" s="1">
        <v>2</v>
      </c>
      <c r="CD1455" s="1" t="s">
        <v>104</v>
      </c>
      <c r="CE1455" s="1" t="s">
        <v>104</v>
      </c>
      <c r="CF1455" s="1" t="s">
        <v>104</v>
      </c>
      <c r="CG1455" s="1" t="s">
        <v>104</v>
      </c>
      <c r="CH1455" s="1" t="s">
        <v>104</v>
      </c>
      <c r="CJ1455" s="1">
        <v>0</v>
      </c>
      <c r="CK1455" s="1">
        <v>0</v>
      </c>
      <c r="CL1455" s="1">
        <v>0</v>
      </c>
      <c r="CM1455" s="1" t="s">
        <v>104</v>
      </c>
    </row>
    <row r="1456" spans="1:91" ht="14.25" customHeight="1" x14ac:dyDescent="0.3">
      <c r="A1456" s="1" t="s">
        <v>8282</v>
      </c>
      <c r="B1456" s="1" t="s">
        <v>434</v>
      </c>
      <c r="D1456" s="1" t="s">
        <v>56</v>
      </c>
      <c r="E1456" s="1" t="s">
        <v>8283</v>
      </c>
      <c r="F1456" s="1" t="s">
        <v>95</v>
      </c>
      <c r="G1456" s="1" t="s">
        <v>8284</v>
      </c>
      <c r="H1456" s="1">
        <v>0</v>
      </c>
      <c r="I1456" s="1" t="s">
        <v>109</v>
      </c>
      <c r="L1456" s="1" t="s">
        <v>610</v>
      </c>
      <c r="M1456" s="1" t="s">
        <v>119</v>
      </c>
      <c r="N1456" s="1">
        <v>0</v>
      </c>
      <c r="O1456" s="1">
        <v>0</v>
      </c>
      <c r="P1456" s="1" t="s">
        <v>550</v>
      </c>
      <c r="Q1456" s="1" t="s">
        <v>184</v>
      </c>
      <c r="R1456" s="1" t="s">
        <v>8285</v>
      </c>
      <c r="S1456" s="1" t="s">
        <v>8109</v>
      </c>
      <c r="T1456" s="1">
        <v>1</v>
      </c>
      <c r="U1456" s="1">
        <v>1</v>
      </c>
      <c r="V1456" s="1">
        <v>0</v>
      </c>
      <c r="W1456" s="1">
        <v>0</v>
      </c>
      <c r="X1456" s="1">
        <v>0</v>
      </c>
      <c r="Y1456" s="1">
        <v>6</v>
      </c>
      <c r="Z1456" s="1">
        <v>6</v>
      </c>
      <c r="AA1456" s="1" t="s">
        <v>104</v>
      </c>
      <c r="AB1456" s="1" t="s">
        <v>104</v>
      </c>
      <c r="AC1456" s="1" t="s">
        <v>104</v>
      </c>
      <c r="AD1456" s="1" t="s">
        <v>104</v>
      </c>
      <c r="AE1456" s="1" t="s">
        <v>104</v>
      </c>
      <c r="AF1456" s="1" t="s">
        <v>104</v>
      </c>
      <c r="AG1456" s="1" t="s">
        <v>104</v>
      </c>
      <c r="AH1456" s="1" t="s">
        <v>104</v>
      </c>
      <c r="AI1456" s="1" t="s">
        <v>104</v>
      </c>
      <c r="AJ1456" s="1" t="s">
        <v>104</v>
      </c>
      <c r="AK1456" s="1" t="s">
        <v>104</v>
      </c>
      <c r="AL1456" s="1">
        <v>6</v>
      </c>
      <c r="AM1456" s="1" t="s">
        <v>104</v>
      </c>
      <c r="AO1456" s="1">
        <v>6</v>
      </c>
      <c r="AR1456" s="1">
        <v>0</v>
      </c>
      <c r="AS1456" s="1">
        <v>0</v>
      </c>
      <c r="AT1456" s="1">
        <v>0</v>
      </c>
      <c r="AU1456" s="1">
        <v>0</v>
      </c>
      <c r="AV1456" s="1">
        <v>0</v>
      </c>
      <c r="AW1456" s="1">
        <v>0</v>
      </c>
      <c r="AX1456" s="1">
        <v>0</v>
      </c>
      <c r="AY1456" s="1">
        <v>0</v>
      </c>
      <c r="AZ1456" s="1">
        <v>0</v>
      </c>
      <c r="BA1456" s="1">
        <v>0</v>
      </c>
      <c r="BB1456" s="1">
        <v>0</v>
      </c>
      <c r="BC1456" s="1">
        <v>0</v>
      </c>
      <c r="BD1456" s="1">
        <v>0</v>
      </c>
      <c r="BE1456" s="1">
        <v>1</v>
      </c>
      <c r="BF1456" s="1">
        <v>0</v>
      </c>
      <c r="BG1456" s="1">
        <v>0</v>
      </c>
      <c r="BH1456" s="1">
        <v>0</v>
      </c>
      <c r="BI1456" s="1">
        <v>0</v>
      </c>
      <c r="BJ1456" s="1">
        <v>0</v>
      </c>
      <c r="BK1456" s="1">
        <v>0</v>
      </c>
      <c r="BL1456" s="1">
        <v>0</v>
      </c>
      <c r="BM1456" s="1">
        <v>0</v>
      </c>
      <c r="BN1456" s="1">
        <v>0</v>
      </c>
      <c r="BO1456" s="1">
        <v>0</v>
      </c>
      <c r="BP1456" s="1">
        <v>0</v>
      </c>
      <c r="BQ1456" s="1" t="s">
        <v>104</v>
      </c>
      <c r="BR1456" s="1">
        <v>1527</v>
      </c>
      <c r="BS1456" s="1" t="s">
        <v>104</v>
      </c>
      <c r="BX1456" s="1">
        <v>0</v>
      </c>
      <c r="BY1456" s="1" t="s">
        <v>104</v>
      </c>
      <c r="BZ1456" s="1" t="s">
        <v>104</v>
      </c>
      <c r="CA1456" s="1" t="s">
        <v>104</v>
      </c>
      <c r="CB1456" s="1" t="s">
        <v>104</v>
      </c>
      <c r="CC1456" s="1" t="s">
        <v>104</v>
      </c>
      <c r="CD1456" s="1" t="s">
        <v>104</v>
      </c>
      <c r="CE1456" s="1" t="s">
        <v>104</v>
      </c>
      <c r="CF1456" s="1" t="s">
        <v>104</v>
      </c>
      <c r="CG1456" s="1" t="s">
        <v>104</v>
      </c>
      <c r="CH1456" s="1" t="s">
        <v>104</v>
      </c>
      <c r="CJ1456" s="1">
        <v>0</v>
      </c>
      <c r="CK1456" s="1">
        <v>0</v>
      </c>
      <c r="CL1456" s="1">
        <v>0</v>
      </c>
      <c r="CM1456" s="1" t="s">
        <v>104</v>
      </c>
    </row>
    <row r="1457" spans="1:91" ht="14.25" customHeight="1" x14ac:dyDescent="0.3">
      <c r="A1457" s="1" t="s">
        <v>8286</v>
      </c>
      <c r="B1457" s="1" t="s">
        <v>216</v>
      </c>
      <c r="D1457" s="1" t="s">
        <v>8287</v>
      </c>
      <c r="E1457" s="1" t="s">
        <v>8288</v>
      </c>
      <c r="F1457" s="1" t="s">
        <v>255</v>
      </c>
      <c r="G1457" s="1" t="s">
        <v>116</v>
      </c>
      <c r="H1457" s="1">
        <v>0</v>
      </c>
      <c r="I1457" s="1" t="s">
        <v>128</v>
      </c>
      <c r="L1457" s="1" t="s">
        <v>129</v>
      </c>
      <c r="M1457" s="1" t="s">
        <v>1017</v>
      </c>
      <c r="N1457" s="1">
        <v>0</v>
      </c>
      <c r="O1457" s="1">
        <v>0</v>
      </c>
      <c r="P1457" s="1" t="s">
        <v>183</v>
      </c>
      <c r="Q1457" s="1" t="s">
        <v>184</v>
      </c>
      <c r="R1457" s="1" t="s">
        <v>8289</v>
      </c>
      <c r="S1457" s="1" t="s">
        <v>8109</v>
      </c>
      <c r="T1457" s="1">
        <v>1</v>
      </c>
      <c r="U1457" s="1">
        <v>1</v>
      </c>
      <c r="V1457" s="1">
        <v>0</v>
      </c>
      <c r="W1457" s="1">
        <v>0</v>
      </c>
      <c r="X1457" s="1">
        <v>0</v>
      </c>
      <c r="Y1457" s="1" t="s">
        <v>104</v>
      </c>
      <c r="Z1457" s="1" t="s">
        <v>104</v>
      </c>
      <c r="AA1457" s="1">
        <v>2</v>
      </c>
      <c r="AB1457" s="1" t="s">
        <v>104</v>
      </c>
      <c r="AC1457" s="1" t="s">
        <v>104</v>
      </c>
      <c r="AD1457" s="1" t="s">
        <v>104</v>
      </c>
      <c r="AE1457" s="1" t="s">
        <v>104</v>
      </c>
      <c r="AF1457" s="1" t="s">
        <v>104</v>
      </c>
      <c r="AG1457" s="1" t="s">
        <v>104</v>
      </c>
      <c r="AH1457" s="1">
        <v>2</v>
      </c>
      <c r="AI1457" s="1">
        <v>2</v>
      </c>
      <c r="AJ1457" s="1">
        <v>2</v>
      </c>
      <c r="AK1457" s="1">
        <v>1</v>
      </c>
      <c r="AL1457" s="1" t="s">
        <v>104</v>
      </c>
      <c r="AM1457" s="1" t="s">
        <v>104</v>
      </c>
      <c r="AO1457" s="1">
        <v>2</v>
      </c>
      <c r="AR1457" s="1">
        <v>0</v>
      </c>
      <c r="AS1457" s="1">
        <v>0</v>
      </c>
      <c r="AT1457" s="1">
        <v>0</v>
      </c>
      <c r="AU1457" s="1">
        <v>0</v>
      </c>
      <c r="AV1457" s="1">
        <v>0</v>
      </c>
      <c r="AW1457" s="1">
        <v>0</v>
      </c>
      <c r="AX1457" s="1">
        <v>1</v>
      </c>
      <c r="AY1457" s="1">
        <v>0</v>
      </c>
      <c r="AZ1457" s="1">
        <v>0</v>
      </c>
      <c r="BA1457" s="1">
        <v>0</v>
      </c>
      <c r="BB1457" s="1">
        <v>0</v>
      </c>
      <c r="BC1457" s="1">
        <v>1</v>
      </c>
      <c r="BD1457" s="1">
        <v>0</v>
      </c>
      <c r="BE1457" s="1">
        <v>1</v>
      </c>
      <c r="BF1457" s="1">
        <v>0</v>
      </c>
      <c r="BG1457" s="1">
        <v>0</v>
      </c>
      <c r="BH1457" s="1">
        <v>0</v>
      </c>
      <c r="BI1457" s="1">
        <v>0</v>
      </c>
      <c r="BJ1457" s="1">
        <v>0</v>
      </c>
      <c r="BK1457" s="1">
        <v>0</v>
      </c>
      <c r="BL1457" s="1">
        <v>0</v>
      </c>
      <c r="BM1457" s="1">
        <v>0</v>
      </c>
      <c r="BN1457" s="1">
        <v>0</v>
      </c>
      <c r="BO1457" s="1">
        <v>0</v>
      </c>
      <c r="BP1457" s="1">
        <v>0</v>
      </c>
      <c r="BQ1457" s="1" t="s">
        <v>104</v>
      </c>
      <c r="BR1457" s="1">
        <v>1528</v>
      </c>
      <c r="BS1457" s="1" t="s">
        <v>104</v>
      </c>
      <c r="BX1457" s="1">
        <v>0</v>
      </c>
      <c r="BY1457" s="1" t="s">
        <v>104</v>
      </c>
      <c r="BZ1457" s="1" t="s">
        <v>104</v>
      </c>
      <c r="CA1457" s="1" t="s">
        <v>104</v>
      </c>
      <c r="CB1457" s="1" t="s">
        <v>104</v>
      </c>
      <c r="CC1457" s="1" t="s">
        <v>104</v>
      </c>
      <c r="CD1457" s="1" t="s">
        <v>104</v>
      </c>
      <c r="CE1457" s="1" t="s">
        <v>104</v>
      </c>
      <c r="CF1457" s="1" t="s">
        <v>104</v>
      </c>
      <c r="CG1457" s="1" t="s">
        <v>104</v>
      </c>
      <c r="CH1457" s="1" t="s">
        <v>104</v>
      </c>
      <c r="CJ1457" s="1">
        <v>0</v>
      </c>
      <c r="CK1457" s="1">
        <v>0</v>
      </c>
      <c r="CL1457" s="1">
        <v>0</v>
      </c>
      <c r="CM1457" s="1" t="s">
        <v>104</v>
      </c>
    </row>
    <row r="1458" spans="1:91" ht="14.25" customHeight="1" x14ac:dyDescent="0.3">
      <c r="A1458" s="1" t="s">
        <v>8290</v>
      </c>
      <c r="B1458" s="1" t="s">
        <v>434</v>
      </c>
      <c r="D1458" s="1" t="s">
        <v>56</v>
      </c>
      <c r="E1458" s="1" t="s">
        <v>8291</v>
      </c>
      <c r="F1458" s="1" t="s">
        <v>95</v>
      </c>
      <c r="G1458" s="1" t="s">
        <v>116</v>
      </c>
      <c r="H1458" s="1">
        <v>0</v>
      </c>
      <c r="I1458" s="1" t="s">
        <v>697</v>
      </c>
      <c r="J1458" s="1" t="s">
        <v>8292</v>
      </c>
      <c r="M1458" s="1" t="s">
        <v>8293</v>
      </c>
      <c r="N1458" s="1">
        <v>0</v>
      </c>
      <c r="O1458" s="1">
        <v>0</v>
      </c>
      <c r="P1458" s="1" t="s">
        <v>550</v>
      </c>
      <c r="Q1458" s="1" t="s">
        <v>184</v>
      </c>
      <c r="R1458" s="1" t="s">
        <v>8294</v>
      </c>
      <c r="S1458" s="1" t="s">
        <v>8109</v>
      </c>
      <c r="T1458" s="1">
        <v>1</v>
      </c>
      <c r="U1458" s="1">
        <v>1</v>
      </c>
      <c r="V1458" s="1">
        <v>0</v>
      </c>
      <c r="W1458" s="1">
        <v>0</v>
      </c>
      <c r="X1458" s="1">
        <v>0</v>
      </c>
      <c r="Y1458" s="1">
        <v>3</v>
      </c>
      <c r="Z1458" s="1">
        <v>3</v>
      </c>
      <c r="AA1458" s="1" t="s">
        <v>104</v>
      </c>
      <c r="AB1458" s="1" t="s">
        <v>104</v>
      </c>
      <c r="AC1458" s="1" t="s">
        <v>104</v>
      </c>
      <c r="AD1458" s="1" t="s">
        <v>104</v>
      </c>
      <c r="AE1458" s="1" t="s">
        <v>104</v>
      </c>
      <c r="AF1458" s="1" t="s">
        <v>104</v>
      </c>
      <c r="AG1458" s="1" t="s">
        <v>104</v>
      </c>
      <c r="AH1458" s="1" t="s">
        <v>104</v>
      </c>
      <c r="AI1458" s="1" t="s">
        <v>104</v>
      </c>
      <c r="AJ1458" s="1" t="s">
        <v>104</v>
      </c>
      <c r="AK1458" s="1" t="s">
        <v>104</v>
      </c>
      <c r="AL1458" s="1">
        <v>3</v>
      </c>
      <c r="AM1458" s="1" t="s">
        <v>104</v>
      </c>
      <c r="AO1458" s="1">
        <v>3</v>
      </c>
      <c r="AR1458" s="1">
        <v>0</v>
      </c>
      <c r="AS1458" s="1">
        <v>0</v>
      </c>
      <c r="AT1458" s="1">
        <v>0</v>
      </c>
      <c r="AU1458" s="1">
        <v>0</v>
      </c>
      <c r="AV1458" s="1">
        <v>0</v>
      </c>
      <c r="AW1458" s="1">
        <v>0</v>
      </c>
      <c r="AX1458" s="1">
        <v>0</v>
      </c>
      <c r="AY1458" s="1">
        <v>0</v>
      </c>
      <c r="AZ1458" s="1">
        <v>0</v>
      </c>
      <c r="BA1458" s="1">
        <v>0</v>
      </c>
      <c r="BB1458" s="1">
        <v>0</v>
      </c>
      <c r="BC1458" s="1">
        <v>0</v>
      </c>
      <c r="BD1458" s="1">
        <v>0</v>
      </c>
      <c r="BE1458" s="1">
        <v>1</v>
      </c>
      <c r="BF1458" s="1">
        <v>0</v>
      </c>
      <c r="BG1458" s="1">
        <v>0</v>
      </c>
      <c r="BH1458" s="1">
        <v>0</v>
      </c>
      <c r="BI1458" s="1">
        <v>0</v>
      </c>
      <c r="BJ1458" s="1">
        <v>0</v>
      </c>
      <c r="BK1458" s="1">
        <v>0</v>
      </c>
      <c r="BL1458" s="1">
        <v>0</v>
      </c>
      <c r="BM1458" s="1">
        <v>0</v>
      </c>
      <c r="BN1458" s="1">
        <v>0</v>
      </c>
      <c r="BO1458" s="1">
        <v>0</v>
      </c>
      <c r="BP1458" s="1">
        <v>0</v>
      </c>
      <c r="BQ1458" s="1" t="s">
        <v>104</v>
      </c>
      <c r="BR1458" s="1">
        <v>1529</v>
      </c>
      <c r="BS1458" s="1" t="s">
        <v>104</v>
      </c>
      <c r="BV1458" s="1" t="s">
        <v>8295</v>
      </c>
      <c r="BW1458" s="1" t="s">
        <v>8296</v>
      </c>
      <c r="BX1458" s="1">
        <v>1</v>
      </c>
      <c r="BY1458" s="1">
        <v>3</v>
      </c>
      <c r="BZ1458" s="1" t="s">
        <v>104</v>
      </c>
      <c r="CA1458" s="1" t="s">
        <v>104</v>
      </c>
      <c r="CB1458" s="1" t="s">
        <v>104</v>
      </c>
      <c r="CC1458" s="1" t="s">
        <v>104</v>
      </c>
      <c r="CD1458" s="1" t="s">
        <v>104</v>
      </c>
      <c r="CE1458" s="1" t="s">
        <v>104</v>
      </c>
      <c r="CF1458" s="1" t="s">
        <v>104</v>
      </c>
      <c r="CG1458" s="1" t="s">
        <v>104</v>
      </c>
      <c r="CH1458" s="1" t="s">
        <v>104</v>
      </c>
      <c r="CJ1458" s="1">
        <v>0</v>
      </c>
      <c r="CK1458" s="1">
        <v>0</v>
      </c>
      <c r="CL1458" s="1">
        <v>0</v>
      </c>
      <c r="CM1458" s="1" t="s">
        <v>104</v>
      </c>
    </row>
    <row r="1459" spans="1:91" ht="14.25" customHeight="1" x14ac:dyDescent="0.3">
      <c r="A1459" s="1" t="s">
        <v>8297</v>
      </c>
      <c r="B1459" s="1" t="s">
        <v>137</v>
      </c>
      <c r="D1459" s="1" t="s">
        <v>8298</v>
      </c>
      <c r="E1459" s="1" t="s">
        <v>5284</v>
      </c>
      <c r="F1459" s="1" t="s">
        <v>95</v>
      </c>
      <c r="G1459" s="1" t="s">
        <v>116</v>
      </c>
      <c r="H1459" s="1">
        <v>0</v>
      </c>
      <c r="I1459" s="1" t="s">
        <v>117</v>
      </c>
      <c r="L1459" s="1" t="s">
        <v>1065</v>
      </c>
      <c r="M1459" s="1" t="s">
        <v>4292</v>
      </c>
      <c r="N1459" s="1">
        <v>0</v>
      </c>
      <c r="O1459" s="1">
        <v>0</v>
      </c>
      <c r="P1459" s="1" t="s">
        <v>183</v>
      </c>
      <c r="Q1459" s="1" t="s">
        <v>184</v>
      </c>
      <c r="R1459" s="1" t="s">
        <v>8299</v>
      </c>
      <c r="S1459" s="1" t="s">
        <v>8109</v>
      </c>
      <c r="T1459" s="1">
        <v>1</v>
      </c>
      <c r="U1459" s="1">
        <v>1</v>
      </c>
      <c r="V1459" s="1">
        <v>0</v>
      </c>
      <c r="W1459" s="1">
        <v>0</v>
      </c>
      <c r="X1459" s="1">
        <v>0</v>
      </c>
      <c r="Y1459" s="1" t="s">
        <v>104</v>
      </c>
      <c r="Z1459" s="1" t="s">
        <v>104</v>
      </c>
      <c r="AA1459" s="1" t="s">
        <v>104</v>
      </c>
      <c r="AB1459" s="1">
        <v>2</v>
      </c>
      <c r="AC1459" s="1" t="s">
        <v>104</v>
      </c>
      <c r="AD1459" s="1" t="s">
        <v>104</v>
      </c>
      <c r="AE1459" s="1" t="s">
        <v>104</v>
      </c>
      <c r="AF1459" s="1" t="s">
        <v>104</v>
      </c>
      <c r="AG1459" s="1" t="s">
        <v>104</v>
      </c>
      <c r="AH1459" s="1">
        <v>2</v>
      </c>
      <c r="AI1459" s="1" t="s">
        <v>104</v>
      </c>
      <c r="AJ1459" s="1" t="s">
        <v>104</v>
      </c>
      <c r="AK1459" s="1" t="s">
        <v>104</v>
      </c>
      <c r="AL1459" s="1" t="s">
        <v>104</v>
      </c>
      <c r="AM1459" s="1" t="s">
        <v>104</v>
      </c>
      <c r="AO1459" s="1">
        <v>2</v>
      </c>
      <c r="AR1459" s="1">
        <v>0</v>
      </c>
      <c r="AS1459" s="1">
        <v>0</v>
      </c>
      <c r="AT1459" s="1">
        <v>0</v>
      </c>
      <c r="AU1459" s="1">
        <v>0</v>
      </c>
      <c r="AV1459" s="1">
        <v>1</v>
      </c>
      <c r="AW1459" s="1">
        <v>0</v>
      </c>
      <c r="AX1459" s="1">
        <v>0</v>
      </c>
      <c r="AY1459" s="1">
        <v>0</v>
      </c>
      <c r="AZ1459" s="1">
        <v>0</v>
      </c>
      <c r="BA1459" s="1">
        <v>0</v>
      </c>
      <c r="BB1459" s="1">
        <v>0</v>
      </c>
      <c r="BC1459" s="1">
        <v>0</v>
      </c>
      <c r="BD1459" s="1">
        <v>0</v>
      </c>
      <c r="BE1459" s="1">
        <v>1</v>
      </c>
      <c r="BF1459" s="1">
        <v>0</v>
      </c>
      <c r="BG1459" s="1">
        <v>0</v>
      </c>
      <c r="BH1459" s="1">
        <v>0</v>
      </c>
      <c r="BI1459" s="1">
        <v>0</v>
      </c>
      <c r="BJ1459" s="1">
        <v>0</v>
      </c>
      <c r="BK1459" s="1">
        <v>0</v>
      </c>
      <c r="BL1459" s="1">
        <v>0</v>
      </c>
      <c r="BM1459" s="1">
        <v>0</v>
      </c>
      <c r="BN1459" s="1">
        <v>0</v>
      </c>
      <c r="BO1459" s="1">
        <v>0</v>
      </c>
      <c r="BP1459" s="1">
        <v>0</v>
      </c>
      <c r="BQ1459" s="1" t="s">
        <v>104</v>
      </c>
      <c r="BR1459" s="1">
        <v>1530</v>
      </c>
      <c r="BS1459" s="1" t="s">
        <v>104</v>
      </c>
      <c r="BX1459" s="1">
        <v>0</v>
      </c>
      <c r="BY1459" s="1" t="s">
        <v>104</v>
      </c>
      <c r="BZ1459" s="1" t="s">
        <v>104</v>
      </c>
      <c r="CA1459" s="1" t="s">
        <v>104</v>
      </c>
      <c r="CB1459" s="1" t="s">
        <v>104</v>
      </c>
      <c r="CC1459" s="1" t="s">
        <v>104</v>
      </c>
      <c r="CD1459" s="1" t="s">
        <v>104</v>
      </c>
      <c r="CE1459" s="1" t="s">
        <v>104</v>
      </c>
      <c r="CF1459" s="1" t="s">
        <v>104</v>
      </c>
      <c r="CG1459" s="1" t="s">
        <v>104</v>
      </c>
      <c r="CH1459" s="1">
        <v>2</v>
      </c>
      <c r="CJ1459" s="1">
        <v>0</v>
      </c>
      <c r="CK1459" s="1">
        <v>0</v>
      </c>
      <c r="CL1459" s="1">
        <v>0</v>
      </c>
      <c r="CM1459" s="1" t="s">
        <v>104</v>
      </c>
    </row>
    <row r="1460" spans="1:91" ht="14.25" customHeight="1" x14ac:dyDescent="0.3">
      <c r="A1460" s="1" t="s">
        <v>8300</v>
      </c>
      <c r="B1460" s="1" t="s">
        <v>162</v>
      </c>
      <c r="E1460" s="1" t="s">
        <v>8301</v>
      </c>
      <c r="F1460" s="1" t="s">
        <v>95</v>
      </c>
      <c r="G1460" s="1" t="s">
        <v>116</v>
      </c>
      <c r="H1460" s="1">
        <v>0</v>
      </c>
      <c r="I1460" s="1" t="s">
        <v>157</v>
      </c>
      <c r="L1460" s="1" t="s">
        <v>158</v>
      </c>
      <c r="M1460" s="1" t="s">
        <v>2330</v>
      </c>
      <c r="N1460" s="1">
        <v>0</v>
      </c>
      <c r="O1460" s="1">
        <v>0</v>
      </c>
      <c r="R1460" s="1" t="s">
        <v>8302</v>
      </c>
      <c r="S1460" s="1" t="s">
        <v>8109</v>
      </c>
      <c r="T1460" s="1">
        <v>1</v>
      </c>
      <c r="U1460" s="1">
        <v>1</v>
      </c>
      <c r="V1460" s="1">
        <v>0</v>
      </c>
      <c r="W1460" s="1">
        <v>0</v>
      </c>
      <c r="X1460" s="1">
        <v>0</v>
      </c>
      <c r="Y1460" s="1" t="s">
        <v>104</v>
      </c>
      <c r="Z1460" s="1" t="s">
        <v>104</v>
      </c>
      <c r="AA1460" s="1">
        <v>4</v>
      </c>
      <c r="AB1460" s="1">
        <v>4</v>
      </c>
      <c r="AC1460" s="1" t="s">
        <v>104</v>
      </c>
      <c r="AD1460" s="1" t="s">
        <v>104</v>
      </c>
      <c r="AE1460" s="1" t="s">
        <v>104</v>
      </c>
      <c r="AF1460" s="1">
        <v>4</v>
      </c>
      <c r="AG1460" s="1" t="s">
        <v>104</v>
      </c>
      <c r="AH1460" s="1" t="s">
        <v>104</v>
      </c>
      <c r="AI1460" s="1">
        <v>4</v>
      </c>
      <c r="AJ1460" s="1">
        <v>4</v>
      </c>
      <c r="AK1460" s="1" t="s">
        <v>104</v>
      </c>
      <c r="AL1460" s="1" t="s">
        <v>104</v>
      </c>
      <c r="AM1460" s="1" t="s">
        <v>104</v>
      </c>
      <c r="AO1460" s="1">
        <v>4</v>
      </c>
      <c r="AR1460" s="1">
        <v>0</v>
      </c>
      <c r="AS1460" s="1">
        <v>0</v>
      </c>
      <c r="AT1460" s="1">
        <v>0</v>
      </c>
      <c r="AU1460" s="1">
        <v>0</v>
      </c>
      <c r="AV1460" s="1">
        <v>0</v>
      </c>
      <c r="AW1460" s="1">
        <v>0</v>
      </c>
      <c r="AX1460" s="1">
        <v>0</v>
      </c>
      <c r="AY1460" s="1">
        <v>0</v>
      </c>
      <c r="AZ1460" s="1">
        <v>0</v>
      </c>
      <c r="BA1460" s="1">
        <v>0</v>
      </c>
      <c r="BB1460" s="1">
        <v>0</v>
      </c>
      <c r="BC1460" s="1">
        <v>0</v>
      </c>
      <c r="BD1460" s="1">
        <v>0</v>
      </c>
      <c r="BE1460" s="1">
        <v>0</v>
      </c>
      <c r="BF1460" s="1">
        <v>0</v>
      </c>
      <c r="BG1460" s="1">
        <v>0</v>
      </c>
      <c r="BH1460" s="1">
        <v>0</v>
      </c>
      <c r="BI1460" s="1">
        <v>0</v>
      </c>
      <c r="BJ1460" s="1">
        <v>0</v>
      </c>
      <c r="BK1460" s="1">
        <v>0</v>
      </c>
      <c r="BL1460" s="1">
        <v>0</v>
      </c>
      <c r="BM1460" s="1">
        <v>0</v>
      </c>
      <c r="BN1460" s="1">
        <v>0</v>
      </c>
      <c r="BO1460" s="1">
        <v>0</v>
      </c>
      <c r="BP1460" s="1">
        <v>0</v>
      </c>
      <c r="BQ1460" s="1" t="s">
        <v>104</v>
      </c>
      <c r="BR1460" s="1">
        <v>1531</v>
      </c>
      <c r="BS1460" s="1" t="s">
        <v>104</v>
      </c>
      <c r="BX1460" s="1">
        <v>0</v>
      </c>
      <c r="BY1460" s="1" t="s">
        <v>104</v>
      </c>
      <c r="BZ1460" s="1" t="s">
        <v>104</v>
      </c>
      <c r="CA1460" s="1">
        <v>4</v>
      </c>
      <c r="CB1460" s="1" t="s">
        <v>104</v>
      </c>
      <c r="CC1460" s="1" t="s">
        <v>104</v>
      </c>
      <c r="CD1460" s="1" t="s">
        <v>104</v>
      </c>
      <c r="CE1460" s="1" t="s">
        <v>104</v>
      </c>
      <c r="CF1460" s="1" t="s">
        <v>104</v>
      </c>
      <c r="CG1460" s="1" t="s">
        <v>104</v>
      </c>
      <c r="CH1460" s="1">
        <v>4</v>
      </c>
      <c r="CJ1460" s="1">
        <v>0</v>
      </c>
      <c r="CK1460" s="1">
        <v>0</v>
      </c>
      <c r="CL1460" s="1">
        <v>0</v>
      </c>
      <c r="CM1460" s="1" t="s">
        <v>104</v>
      </c>
    </row>
    <row r="1461" spans="1:91" ht="14.25" customHeight="1" x14ac:dyDescent="0.3">
      <c r="A1461" s="1" t="s">
        <v>8303</v>
      </c>
      <c r="B1461" s="1" t="s">
        <v>137</v>
      </c>
      <c r="D1461" s="1" t="s">
        <v>56</v>
      </c>
      <c r="E1461" s="1" t="s">
        <v>8304</v>
      </c>
      <c r="F1461" s="1" t="s">
        <v>95</v>
      </c>
      <c r="G1461" s="1" t="s">
        <v>8305</v>
      </c>
      <c r="H1461" s="1">
        <v>0</v>
      </c>
      <c r="I1461" s="1" t="s">
        <v>128</v>
      </c>
      <c r="L1461" s="1" t="s">
        <v>1728</v>
      </c>
      <c r="M1461" s="1" t="s">
        <v>2330</v>
      </c>
      <c r="N1461" s="1">
        <v>0</v>
      </c>
      <c r="O1461" s="1">
        <v>0</v>
      </c>
      <c r="P1461" s="1" t="s">
        <v>100</v>
      </c>
      <c r="Q1461" s="1" t="s">
        <v>101</v>
      </c>
      <c r="R1461" s="1" t="s">
        <v>8306</v>
      </c>
      <c r="S1461" s="1" t="s">
        <v>8109</v>
      </c>
      <c r="T1461" s="1">
        <v>0</v>
      </c>
      <c r="U1461" s="1">
        <v>1</v>
      </c>
      <c r="V1461" s="1">
        <v>1</v>
      </c>
      <c r="W1461" s="1">
        <v>0</v>
      </c>
      <c r="X1461" s="1">
        <v>0</v>
      </c>
      <c r="Y1461" s="1">
        <v>4</v>
      </c>
      <c r="Z1461" s="1">
        <v>4</v>
      </c>
      <c r="AA1461" s="1" t="s">
        <v>104</v>
      </c>
      <c r="AB1461" s="1" t="s">
        <v>104</v>
      </c>
      <c r="AC1461" s="1" t="s">
        <v>104</v>
      </c>
      <c r="AD1461" s="1" t="s">
        <v>104</v>
      </c>
      <c r="AE1461" s="1" t="s">
        <v>104</v>
      </c>
      <c r="AF1461" s="1">
        <v>4</v>
      </c>
      <c r="AG1461" s="1" t="s">
        <v>104</v>
      </c>
      <c r="AH1461" s="1" t="s">
        <v>104</v>
      </c>
      <c r="AI1461" s="1" t="s">
        <v>104</v>
      </c>
      <c r="AJ1461" s="1" t="s">
        <v>104</v>
      </c>
      <c r="AK1461" s="1" t="s">
        <v>104</v>
      </c>
      <c r="AL1461" s="1" t="s">
        <v>104</v>
      </c>
      <c r="AM1461" s="1" t="s">
        <v>104</v>
      </c>
      <c r="AO1461" s="1">
        <v>4</v>
      </c>
      <c r="AR1461" s="1">
        <v>0</v>
      </c>
      <c r="AS1461" s="1">
        <v>0</v>
      </c>
      <c r="AT1461" s="1">
        <v>0</v>
      </c>
      <c r="AU1461" s="1">
        <v>0</v>
      </c>
      <c r="AV1461" s="1">
        <v>0</v>
      </c>
      <c r="AW1461" s="1">
        <v>0</v>
      </c>
      <c r="AX1461" s="1">
        <v>0</v>
      </c>
      <c r="AY1461" s="1">
        <v>0</v>
      </c>
      <c r="AZ1461" s="1">
        <v>0</v>
      </c>
      <c r="BA1461" s="1">
        <v>0</v>
      </c>
      <c r="BB1461" s="1">
        <v>0</v>
      </c>
      <c r="BC1461" s="1">
        <v>0</v>
      </c>
      <c r="BD1461" s="1">
        <v>0</v>
      </c>
      <c r="BE1461" s="1">
        <v>1</v>
      </c>
      <c r="BF1461" s="1">
        <v>0</v>
      </c>
      <c r="BG1461" s="1">
        <v>0</v>
      </c>
      <c r="BH1461" s="1">
        <v>0</v>
      </c>
      <c r="BI1461" s="1">
        <v>0</v>
      </c>
      <c r="BJ1461" s="1">
        <v>0</v>
      </c>
      <c r="BK1461" s="1">
        <v>0</v>
      </c>
      <c r="BL1461" s="1">
        <v>0</v>
      </c>
      <c r="BM1461" s="1">
        <v>0</v>
      </c>
      <c r="BN1461" s="1">
        <v>0</v>
      </c>
      <c r="BO1461" s="1">
        <v>0</v>
      </c>
      <c r="BP1461" s="1">
        <v>0</v>
      </c>
      <c r="BQ1461" s="1" t="s">
        <v>104</v>
      </c>
      <c r="BR1461" s="1">
        <v>1532</v>
      </c>
      <c r="BS1461" s="1" t="s">
        <v>104</v>
      </c>
      <c r="BV1461" s="1" t="s">
        <v>8307</v>
      </c>
      <c r="BW1461" s="1" t="s">
        <v>8308</v>
      </c>
      <c r="BX1461" s="1">
        <v>1</v>
      </c>
      <c r="BY1461" s="1" t="s">
        <v>104</v>
      </c>
      <c r="BZ1461" s="1" t="s">
        <v>104</v>
      </c>
      <c r="CA1461" s="1" t="s">
        <v>104</v>
      </c>
      <c r="CB1461" s="1" t="s">
        <v>104</v>
      </c>
      <c r="CC1461" s="1" t="s">
        <v>104</v>
      </c>
      <c r="CD1461" s="1" t="s">
        <v>104</v>
      </c>
      <c r="CE1461" s="1" t="s">
        <v>104</v>
      </c>
      <c r="CF1461" s="1" t="s">
        <v>104</v>
      </c>
      <c r="CG1461" s="1" t="s">
        <v>104</v>
      </c>
      <c r="CH1461" s="1" t="s">
        <v>104</v>
      </c>
      <c r="CJ1461" s="1">
        <v>0</v>
      </c>
      <c r="CK1461" s="1">
        <v>0</v>
      </c>
      <c r="CL1461" s="1">
        <v>0</v>
      </c>
      <c r="CM1461" s="1" t="s">
        <v>104</v>
      </c>
    </row>
    <row r="1462" spans="1:91" ht="14.25" customHeight="1" x14ac:dyDescent="0.3">
      <c r="A1462" s="1" t="s">
        <v>8309</v>
      </c>
      <c r="B1462" s="1" t="s">
        <v>434</v>
      </c>
      <c r="D1462" s="1" t="s">
        <v>56</v>
      </c>
      <c r="E1462" s="1" t="s">
        <v>8310</v>
      </c>
      <c r="F1462" s="1" t="s">
        <v>95</v>
      </c>
      <c r="G1462" s="1" t="s">
        <v>116</v>
      </c>
      <c r="H1462" s="1">
        <v>0</v>
      </c>
      <c r="I1462" s="1" t="s">
        <v>128</v>
      </c>
      <c r="L1462" s="1" t="s">
        <v>2630</v>
      </c>
      <c r="M1462" s="1" t="s">
        <v>119</v>
      </c>
      <c r="N1462" s="1">
        <v>0</v>
      </c>
      <c r="O1462" s="1">
        <v>0</v>
      </c>
      <c r="P1462" s="1" t="s">
        <v>4047</v>
      </c>
      <c r="Q1462" s="1" t="s">
        <v>184</v>
      </c>
      <c r="R1462" s="1" t="s">
        <v>8311</v>
      </c>
      <c r="S1462" s="1" t="s">
        <v>8109</v>
      </c>
      <c r="T1462" s="1">
        <v>1</v>
      </c>
      <c r="U1462" s="1">
        <v>1</v>
      </c>
      <c r="V1462" s="1">
        <v>0</v>
      </c>
      <c r="W1462" s="1">
        <v>0</v>
      </c>
      <c r="X1462" s="1">
        <v>0</v>
      </c>
      <c r="Y1462" s="1">
        <v>1</v>
      </c>
      <c r="Z1462" s="1">
        <v>1</v>
      </c>
      <c r="AA1462" s="1" t="s">
        <v>104</v>
      </c>
      <c r="AB1462" s="1">
        <v>1</v>
      </c>
      <c r="AC1462" s="1" t="s">
        <v>104</v>
      </c>
      <c r="AD1462" s="1" t="s">
        <v>104</v>
      </c>
      <c r="AE1462" s="1" t="s">
        <v>104</v>
      </c>
      <c r="AF1462" s="1" t="s">
        <v>104</v>
      </c>
      <c r="AG1462" s="1" t="s">
        <v>104</v>
      </c>
      <c r="AH1462" s="1">
        <v>1</v>
      </c>
      <c r="AI1462" s="1">
        <v>1</v>
      </c>
      <c r="AJ1462" s="1" t="s">
        <v>104</v>
      </c>
      <c r="AK1462" s="1" t="s">
        <v>104</v>
      </c>
      <c r="AL1462" s="1">
        <v>1</v>
      </c>
      <c r="AM1462" s="1" t="s">
        <v>104</v>
      </c>
      <c r="AO1462" s="1">
        <v>1</v>
      </c>
      <c r="AR1462" s="1">
        <v>0</v>
      </c>
      <c r="AS1462" s="1">
        <v>0</v>
      </c>
      <c r="AT1462" s="1">
        <v>0</v>
      </c>
      <c r="AU1462" s="1">
        <v>0</v>
      </c>
      <c r="AV1462" s="1">
        <v>0</v>
      </c>
      <c r="AW1462" s="1">
        <v>0</v>
      </c>
      <c r="AX1462" s="1">
        <v>0</v>
      </c>
      <c r="AY1462" s="1">
        <v>0</v>
      </c>
      <c r="AZ1462" s="1">
        <v>0</v>
      </c>
      <c r="BA1462" s="1">
        <v>0</v>
      </c>
      <c r="BB1462" s="1">
        <v>0</v>
      </c>
      <c r="BC1462" s="1">
        <v>0</v>
      </c>
      <c r="BD1462" s="1">
        <v>0</v>
      </c>
      <c r="BE1462" s="1">
        <v>1</v>
      </c>
      <c r="BF1462" s="1">
        <v>0</v>
      </c>
      <c r="BG1462" s="1">
        <v>0</v>
      </c>
      <c r="BH1462" s="1">
        <v>0</v>
      </c>
      <c r="BI1462" s="1">
        <v>0</v>
      </c>
      <c r="BJ1462" s="1">
        <v>0</v>
      </c>
      <c r="BK1462" s="1">
        <v>0</v>
      </c>
      <c r="BL1462" s="1">
        <v>0</v>
      </c>
      <c r="BM1462" s="1">
        <v>0</v>
      </c>
      <c r="BN1462" s="1">
        <v>0</v>
      </c>
      <c r="BO1462" s="1">
        <v>0</v>
      </c>
      <c r="BP1462" s="1">
        <v>0</v>
      </c>
      <c r="BQ1462" s="1" t="s">
        <v>104</v>
      </c>
      <c r="BR1462" s="1">
        <v>1533</v>
      </c>
      <c r="BS1462" s="1" t="s">
        <v>104</v>
      </c>
      <c r="BX1462" s="1">
        <v>0</v>
      </c>
      <c r="BY1462" s="1">
        <v>1</v>
      </c>
      <c r="BZ1462" s="1" t="s">
        <v>104</v>
      </c>
      <c r="CA1462" s="1">
        <v>1</v>
      </c>
      <c r="CB1462" s="1" t="s">
        <v>104</v>
      </c>
      <c r="CC1462" s="1" t="s">
        <v>104</v>
      </c>
      <c r="CD1462" s="1" t="s">
        <v>104</v>
      </c>
      <c r="CE1462" s="1" t="s">
        <v>104</v>
      </c>
      <c r="CF1462" s="1" t="s">
        <v>104</v>
      </c>
      <c r="CG1462" s="1" t="s">
        <v>104</v>
      </c>
      <c r="CH1462" s="1">
        <v>1</v>
      </c>
      <c r="CJ1462" s="1">
        <v>0</v>
      </c>
      <c r="CK1462" s="1">
        <v>0</v>
      </c>
      <c r="CL1462" s="1">
        <v>0</v>
      </c>
      <c r="CM1462" s="1" t="s">
        <v>104</v>
      </c>
    </row>
    <row r="1463" spans="1:91" ht="14.25" customHeight="1" x14ac:dyDescent="0.3">
      <c r="A1463" s="1" t="s">
        <v>8312</v>
      </c>
      <c r="B1463" s="1" t="s">
        <v>137</v>
      </c>
      <c r="E1463" s="1" t="s">
        <v>8313</v>
      </c>
      <c r="F1463" s="1" t="s">
        <v>191</v>
      </c>
      <c r="G1463" s="1" t="s">
        <v>116</v>
      </c>
      <c r="H1463" s="1">
        <v>0</v>
      </c>
      <c r="I1463" s="1" t="s">
        <v>117</v>
      </c>
      <c r="L1463" s="1" t="s">
        <v>8314</v>
      </c>
      <c r="M1463" s="1" t="s">
        <v>119</v>
      </c>
      <c r="N1463" s="1">
        <v>0</v>
      </c>
      <c r="O1463" s="1">
        <v>0</v>
      </c>
      <c r="P1463" s="1" t="s">
        <v>471</v>
      </c>
      <c r="Q1463" s="1" t="s">
        <v>472</v>
      </c>
      <c r="R1463" s="1" t="s">
        <v>8315</v>
      </c>
      <c r="S1463" s="1" t="s">
        <v>8109</v>
      </c>
      <c r="T1463" s="1">
        <v>1</v>
      </c>
      <c r="U1463" s="1">
        <v>1</v>
      </c>
      <c r="V1463" s="1">
        <v>0</v>
      </c>
      <c r="W1463" s="1">
        <v>0</v>
      </c>
      <c r="X1463" s="1">
        <v>0</v>
      </c>
      <c r="Y1463" s="1">
        <v>3</v>
      </c>
      <c r="Z1463" s="1">
        <v>3</v>
      </c>
      <c r="AA1463" s="1" t="s">
        <v>104</v>
      </c>
      <c r="AB1463" s="1">
        <v>3</v>
      </c>
      <c r="AC1463" s="1">
        <v>2</v>
      </c>
      <c r="AD1463" s="1" t="s">
        <v>104</v>
      </c>
      <c r="AE1463" s="1" t="s">
        <v>104</v>
      </c>
      <c r="AF1463" s="1" t="s">
        <v>104</v>
      </c>
      <c r="AG1463" s="1" t="s">
        <v>104</v>
      </c>
      <c r="AH1463" s="1">
        <v>3</v>
      </c>
      <c r="AI1463" s="1">
        <v>3</v>
      </c>
      <c r="AJ1463" s="1" t="s">
        <v>104</v>
      </c>
      <c r="AK1463" s="1">
        <v>2</v>
      </c>
      <c r="AL1463" s="1" t="s">
        <v>104</v>
      </c>
      <c r="AM1463" s="1" t="s">
        <v>104</v>
      </c>
      <c r="AO1463" s="1">
        <v>3</v>
      </c>
      <c r="AP1463" s="1" t="s">
        <v>8316</v>
      </c>
      <c r="AR1463" s="1">
        <v>0</v>
      </c>
      <c r="AS1463" s="1">
        <v>0</v>
      </c>
      <c r="AT1463" s="1">
        <v>0</v>
      </c>
      <c r="AU1463" s="1">
        <v>0</v>
      </c>
      <c r="AV1463" s="1">
        <v>0</v>
      </c>
      <c r="AW1463" s="1">
        <v>0</v>
      </c>
      <c r="AX1463" s="1">
        <v>0</v>
      </c>
      <c r="AY1463" s="1">
        <v>0</v>
      </c>
      <c r="AZ1463" s="1">
        <v>0</v>
      </c>
      <c r="BA1463" s="1">
        <v>0</v>
      </c>
      <c r="BB1463" s="1">
        <v>0</v>
      </c>
      <c r="BC1463" s="1">
        <v>0</v>
      </c>
      <c r="BD1463" s="1">
        <v>0</v>
      </c>
      <c r="BE1463" s="1">
        <v>0</v>
      </c>
      <c r="BF1463" s="1">
        <v>0</v>
      </c>
      <c r="BG1463" s="1">
        <v>0</v>
      </c>
      <c r="BH1463" s="1">
        <v>0</v>
      </c>
      <c r="BI1463" s="1">
        <v>0</v>
      </c>
      <c r="BJ1463" s="1">
        <v>0</v>
      </c>
      <c r="BK1463" s="1">
        <v>0</v>
      </c>
      <c r="BL1463" s="1">
        <v>0</v>
      </c>
      <c r="BM1463" s="1">
        <v>0</v>
      </c>
      <c r="BN1463" s="1">
        <v>0</v>
      </c>
      <c r="BO1463" s="1">
        <v>0</v>
      </c>
      <c r="BP1463" s="1">
        <v>0</v>
      </c>
      <c r="BQ1463" s="1" t="s">
        <v>104</v>
      </c>
      <c r="BR1463" s="1">
        <v>1534</v>
      </c>
      <c r="BS1463" s="1" t="s">
        <v>104</v>
      </c>
      <c r="BX1463" s="1">
        <v>0</v>
      </c>
      <c r="BY1463" s="1" t="s">
        <v>104</v>
      </c>
      <c r="BZ1463" s="1" t="s">
        <v>104</v>
      </c>
      <c r="CA1463" s="1" t="s">
        <v>104</v>
      </c>
      <c r="CB1463" s="1" t="s">
        <v>104</v>
      </c>
      <c r="CC1463" s="1" t="s">
        <v>104</v>
      </c>
      <c r="CD1463" s="1" t="s">
        <v>104</v>
      </c>
      <c r="CE1463" s="1" t="s">
        <v>104</v>
      </c>
      <c r="CF1463" s="1" t="s">
        <v>104</v>
      </c>
      <c r="CG1463" s="1" t="s">
        <v>104</v>
      </c>
      <c r="CH1463" s="1">
        <v>2</v>
      </c>
      <c r="CJ1463" s="1">
        <v>0</v>
      </c>
      <c r="CK1463" s="1">
        <v>0</v>
      </c>
      <c r="CL1463" s="1">
        <v>0</v>
      </c>
      <c r="CM1463" s="1" t="s">
        <v>104</v>
      </c>
    </row>
    <row r="1464" spans="1:91" ht="14.25" customHeight="1" x14ac:dyDescent="0.3">
      <c r="A1464" s="1" t="s">
        <v>8317</v>
      </c>
      <c r="B1464" s="1" t="s">
        <v>137</v>
      </c>
      <c r="D1464" s="1" t="s">
        <v>56</v>
      </c>
      <c r="E1464" s="1" t="s">
        <v>8318</v>
      </c>
      <c r="F1464" s="1" t="s">
        <v>95</v>
      </c>
      <c r="G1464" s="1" t="s">
        <v>116</v>
      </c>
      <c r="H1464" s="1">
        <v>0</v>
      </c>
      <c r="I1464" s="1" t="s">
        <v>128</v>
      </c>
      <c r="L1464" s="1" t="s">
        <v>374</v>
      </c>
      <c r="M1464" s="1" t="s">
        <v>426</v>
      </c>
      <c r="N1464" s="1">
        <v>1</v>
      </c>
      <c r="O1464" s="1">
        <v>0</v>
      </c>
      <c r="P1464" s="1" t="s">
        <v>1058</v>
      </c>
      <c r="Q1464" s="1" t="s">
        <v>131</v>
      </c>
      <c r="R1464" s="1" t="s">
        <v>8319</v>
      </c>
      <c r="S1464" s="1" t="s">
        <v>8109</v>
      </c>
      <c r="T1464" s="1">
        <v>1</v>
      </c>
      <c r="U1464" s="1">
        <v>1</v>
      </c>
      <c r="V1464" s="1">
        <v>0</v>
      </c>
      <c r="W1464" s="1">
        <v>0</v>
      </c>
      <c r="X1464" s="1">
        <v>0</v>
      </c>
      <c r="Y1464" s="1">
        <v>2</v>
      </c>
      <c r="Z1464" s="1">
        <v>2</v>
      </c>
      <c r="AA1464" s="1">
        <v>2</v>
      </c>
      <c r="AB1464" s="1" t="s">
        <v>104</v>
      </c>
      <c r="AC1464" s="1" t="s">
        <v>104</v>
      </c>
      <c r="AD1464" s="1" t="s">
        <v>104</v>
      </c>
      <c r="AE1464" s="1" t="s">
        <v>104</v>
      </c>
      <c r="AF1464" s="1">
        <v>2</v>
      </c>
      <c r="AG1464" s="1" t="s">
        <v>104</v>
      </c>
      <c r="AH1464" s="1">
        <v>2</v>
      </c>
      <c r="AI1464" s="1" t="s">
        <v>104</v>
      </c>
      <c r="AJ1464" s="1">
        <v>2</v>
      </c>
      <c r="AK1464" s="1">
        <v>1</v>
      </c>
      <c r="AL1464" s="1">
        <v>2</v>
      </c>
      <c r="AM1464" s="1" t="s">
        <v>104</v>
      </c>
      <c r="AO1464" s="1">
        <v>2</v>
      </c>
      <c r="AR1464" s="1">
        <v>0</v>
      </c>
      <c r="AS1464" s="1">
        <v>0</v>
      </c>
      <c r="AT1464" s="1">
        <v>0</v>
      </c>
      <c r="AU1464" s="1">
        <v>0</v>
      </c>
      <c r="AV1464" s="1">
        <v>0</v>
      </c>
      <c r="AW1464" s="1">
        <v>0</v>
      </c>
      <c r="AX1464" s="1">
        <v>0</v>
      </c>
      <c r="AY1464" s="1">
        <v>0</v>
      </c>
      <c r="AZ1464" s="1">
        <v>0</v>
      </c>
      <c r="BA1464" s="1">
        <v>0</v>
      </c>
      <c r="BB1464" s="1">
        <v>0</v>
      </c>
      <c r="BC1464" s="1">
        <v>0</v>
      </c>
      <c r="BD1464" s="1">
        <v>0</v>
      </c>
      <c r="BE1464" s="1">
        <v>1</v>
      </c>
      <c r="BF1464" s="1">
        <v>0</v>
      </c>
      <c r="BG1464" s="1">
        <v>0</v>
      </c>
      <c r="BH1464" s="1">
        <v>0</v>
      </c>
      <c r="BI1464" s="1">
        <v>0</v>
      </c>
      <c r="BJ1464" s="1">
        <v>0</v>
      </c>
      <c r="BK1464" s="1">
        <v>0</v>
      </c>
      <c r="BL1464" s="1">
        <v>0</v>
      </c>
      <c r="BM1464" s="1">
        <v>0</v>
      </c>
      <c r="BN1464" s="1">
        <v>0</v>
      </c>
      <c r="BO1464" s="1">
        <v>0</v>
      </c>
      <c r="BP1464" s="1">
        <v>0</v>
      </c>
      <c r="BQ1464" s="1" t="s">
        <v>104</v>
      </c>
      <c r="BR1464" s="1">
        <v>1535</v>
      </c>
      <c r="BS1464" s="1" t="s">
        <v>104</v>
      </c>
      <c r="BX1464" s="1">
        <v>0</v>
      </c>
      <c r="BY1464" s="1">
        <v>2</v>
      </c>
      <c r="BZ1464" s="1" t="s">
        <v>104</v>
      </c>
      <c r="CA1464" s="1">
        <v>2</v>
      </c>
      <c r="CB1464" s="1" t="s">
        <v>104</v>
      </c>
      <c r="CC1464" s="1" t="s">
        <v>104</v>
      </c>
      <c r="CD1464" s="1" t="s">
        <v>104</v>
      </c>
      <c r="CE1464" s="1" t="s">
        <v>104</v>
      </c>
      <c r="CF1464" s="1" t="s">
        <v>104</v>
      </c>
      <c r="CG1464" s="1" t="s">
        <v>104</v>
      </c>
      <c r="CH1464" s="1" t="s">
        <v>104</v>
      </c>
      <c r="CJ1464" s="1">
        <v>0</v>
      </c>
      <c r="CK1464" s="1">
        <v>0</v>
      </c>
      <c r="CL1464" s="1">
        <v>0</v>
      </c>
      <c r="CM1464" s="1" t="s">
        <v>104</v>
      </c>
    </row>
    <row r="1465" spans="1:91" ht="14.25" customHeight="1" x14ac:dyDescent="0.3">
      <c r="A1465" s="1" t="s">
        <v>8320</v>
      </c>
      <c r="B1465" s="1" t="s">
        <v>137</v>
      </c>
      <c r="E1465" s="1" t="s">
        <v>8321</v>
      </c>
      <c r="F1465" s="1" t="s">
        <v>95</v>
      </c>
      <c r="G1465" s="1" t="s">
        <v>116</v>
      </c>
      <c r="H1465" s="1">
        <v>0</v>
      </c>
      <c r="I1465" s="1" t="s">
        <v>109</v>
      </c>
      <c r="L1465" s="1" t="s">
        <v>8322</v>
      </c>
      <c r="M1465" s="1" t="s">
        <v>4641</v>
      </c>
      <c r="N1465" s="1">
        <v>1</v>
      </c>
      <c r="O1465" s="1">
        <v>0</v>
      </c>
      <c r="P1465" s="1" t="s">
        <v>375</v>
      </c>
      <c r="Q1465" s="1" t="s">
        <v>131</v>
      </c>
      <c r="R1465" s="1" t="s">
        <v>8323</v>
      </c>
      <c r="S1465" s="1" t="s">
        <v>8109</v>
      </c>
      <c r="T1465" s="1">
        <v>1</v>
      </c>
      <c r="U1465" s="1">
        <v>1</v>
      </c>
      <c r="V1465" s="1">
        <v>0</v>
      </c>
      <c r="W1465" s="1">
        <v>0</v>
      </c>
      <c r="X1465" s="1">
        <v>0</v>
      </c>
      <c r="Y1465" s="1">
        <v>3</v>
      </c>
      <c r="Z1465" s="1">
        <v>3</v>
      </c>
      <c r="AA1465" s="1">
        <v>3</v>
      </c>
      <c r="AB1465" s="1">
        <v>3</v>
      </c>
      <c r="AC1465" s="1">
        <v>2</v>
      </c>
      <c r="AD1465" s="1" t="s">
        <v>104</v>
      </c>
      <c r="AE1465" s="1" t="s">
        <v>104</v>
      </c>
      <c r="AF1465" s="1">
        <v>3</v>
      </c>
      <c r="AG1465" s="1" t="s">
        <v>104</v>
      </c>
      <c r="AH1465" s="1">
        <v>3</v>
      </c>
      <c r="AI1465" s="1">
        <v>3</v>
      </c>
      <c r="AJ1465" s="1">
        <v>3</v>
      </c>
      <c r="AK1465" s="1">
        <v>2</v>
      </c>
      <c r="AL1465" s="1" t="s">
        <v>104</v>
      </c>
      <c r="AM1465" s="1" t="s">
        <v>104</v>
      </c>
      <c r="AO1465" s="1">
        <v>3</v>
      </c>
      <c r="AR1465" s="1">
        <v>0</v>
      </c>
      <c r="AS1465" s="1">
        <v>0</v>
      </c>
      <c r="AT1465" s="1">
        <v>0</v>
      </c>
      <c r="AU1465" s="1">
        <v>0</v>
      </c>
      <c r="AV1465" s="1">
        <v>0</v>
      </c>
      <c r="AW1465" s="1">
        <v>0</v>
      </c>
      <c r="AX1465" s="1">
        <v>0</v>
      </c>
      <c r="AY1465" s="1">
        <v>0</v>
      </c>
      <c r="AZ1465" s="1">
        <v>0</v>
      </c>
      <c r="BA1465" s="1">
        <v>0</v>
      </c>
      <c r="BB1465" s="1">
        <v>0</v>
      </c>
      <c r="BC1465" s="1">
        <v>0</v>
      </c>
      <c r="BD1465" s="1">
        <v>0</v>
      </c>
      <c r="BE1465" s="1">
        <v>0</v>
      </c>
      <c r="BF1465" s="1">
        <v>0</v>
      </c>
      <c r="BG1465" s="1">
        <v>0</v>
      </c>
      <c r="BH1465" s="1">
        <v>0</v>
      </c>
      <c r="BI1465" s="1">
        <v>0</v>
      </c>
      <c r="BJ1465" s="1">
        <v>0</v>
      </c>
      <c r="BK1465" s="1">
        <v>0</v>
      </c>
      <c r="BL1465" s="1">
        <v>0</v>
      </c>
      <c r="BM1465" s="1">
        <v>0</v>
      </c>
      <c r="BN1465" s="1">
        <v>0</v>
      </c>
      <c r="BO1465" s="1">
        <v>0</v>
      </c>
      <c r="BP1465" s="1">
        <v>0</v>
      </c>
      <c r="BQ1465" s="1" t="s">
        <v>104</v>
      </c>
      <c r="BR1465" s="1">
        <v>1536</v>
      </c>
      <c r="BS1465" s="1" t="s">
        <v>104</v>
      </c>
      <c r="BX1465" s="1">
        <v>0</v>
      </c>
      <c r="BY1465" s="1">
        <v>3</v>
      </c>
      <c r="BZ1465" s="1" t="s">
        <v>104</v>
      </c>
      <c r="CA1465" s="1">
        <v>3</v>
      </c>
      <c r="CB1465" s="1" t="s">
        <v>104</v>
      </c>
      <c r="CC1465" s="1" t="s">
        <v>104</v>
      </c>
      <c r="CD1465" s="1" t="s">
        <v>104</v>
      </c>
      <c r="CE1465" s="1" t="s">
        <v>104</v>
      </c>
      <c r="CF1465" s="1" t="s">
        <v>104</v>
      </c>
      <c r="CG1465" s="1" t="s">
        <v>104</v>
      </c>
      <c r="CH1465" s="1">
        <v>2</v>
      </c>
      <c r="CJ1465" s="1">
        <v>0</v>
      </c>
      <c r="CK1465" s="1">
        <v>0</v>
      </c>
      <c r="CL1465" s="1">
        <v>0</v>
      </c>
      <c r="CM1465" s="1" t="s">
        <v>104</v>
      </c>
    </row>
    <row r="1466" spans="1:91" ht="14.25" customHeight="1" x14ac:dyDescent="0.3">
      <c r="A1466" s="1" t="s">
        <v>8324</v>
      </c>
      <c r="B1466" s="1" t="s">
        <v>216</v>
      </c>
      <c r="D1466" s="1" t="s">
        <v>1015</v>
      </c>
      <c r="E1466" s="1" t="s">
        <v>8325</v>
      </c>
      <c r="F1466" s="1" t="s">
        <v>8326</v>
      </c>
      <c r="G1466" s="1" t="s">
        <v>8327</v>
      </c>
      <c r="H1466" s="1">
        <v>0</v>
      </c>
      <c r="I1466" s="1" t="s">
        <v>128</v>
      </c>
      <c r="L1466" s="1" t="s">
        <v>129</v>
      </c>
      <c r="M1466" s="1" t="s">
        <v>8328</v>
      </c>
      <c r="N1466" s="1">
        <v>0</v>
      </c>
      <c r="O1466" s="1">
        <v>0</v>
      </c>
      <c r="P1466" s="1" t="s">
        <v>100</v>
      </c>
      <c r="Q1466" s="1" t="s">
        <v>184</v>
      </c>
      <c r="R1466" s="1" t="s">
        <v>8329</v>
      </c>
      <c r="S1466" s="1" t="s">
        <v>8109</v>
      </c>
      <c r="T1466" s="1">
        <v>1</v>
      </c>
      <c r="U1466" s="1">
        <v>1</v>
      </c>
      <c r="V1466" s="1">
        <v>1</v>
      </c>
      <c r="W1466" s="1">
        <v>0</v>
      </c>
      <c r="X1466" s="1">
        <v>0</v>
      </c>
      <c r="Y1466" s="1" t="s">
        <v>104</v>
      </c>
      <c r="Z1466" s="1" t="s">
        <v>104</v>
      </c>
      <c r="AA1466" s="1">
        <v>2</v>
      </c>
      <c r="AB1466" s="1" t="s">
        <v>104</v>
      </c>
      <c r="AC1466" s="1" t="s">
        <v>104</v>
      </c>
      <c r="AD1466" s="1" t="s">
        <v>104</v>
      </c>
      <c r="AE1466" s="1" t="s">
        <v>104</v>
      </c>
      <c r="AF1466" s="1" t="s">
        <v>104</v>
      </c>
      <c r="AG1466" s="1" t="s">
        <v>104</v>
      </c>
      <c r="AH1466" s="1">
        <v>2</v>
      </c>
      <c r="AI1466" s="1" t="s">
        <v>104</v>
      </c>
      <c r="AJ1466" s="1">
        <v>2</v>
      </c>
      <c r="AK1466" s="1">
        <v>2</v>
      </c>
      <c r="AL1466" s="1" t="s">
        <v>104</v>
      </c>
      <c r="AM1466" s="1" t="s">
        <v>104</v>
      </c>
      <c r="AO1466" s="1">
        <v>2</v>
      </c>
      <c r="AP1466" s="1" t="s">
        <v>8330</v>
      </c>
      <c r="AR1466" s="1">
        <v>0</v>
      </c>
      <c r="AS1466" s="1">
        <v>0</v>
      </c>
      <c r="AT1466" s="1">
        <v>0</v>
      </c>
      <c r="AU1466" s="1">
        <v>0</v>
      </c>
      <c r="AV1466" s="1">
        <v>0</v>
      </c>
      <c r="AW1466" s="1">
        <v>0</v>
      </c>
      <c r="AX1466" s="1">
        <v>1</v>
      </c>
      <c r="AY1466" s="1">
        <v>0</v>
      </c>
      <c r="AZ1466" s="1">
        <v>0</v>
      </c>
      <c r="BA1466" s="1">
        <v>0</v>
      </c>
      <c r="BB1466" s="1">
        <v>0</v>
      </c>
      <c r="BC1466" s="1">
        <v>1</v>
      </c>
      <c r="BD1466" s="1">
        <v>0</v>
      </c>
      <c r="BE1466" s="1">
        <v>0</v>
      </c>
      <c r="BF1466" s="1">
        <v>0</v>
      </c>
      <c r="BG1466" s="1">
        <v>0</v>
      </c>
      <c r="BH1466" s="1">
        <v>0</v>
      </c>
      <c r="BI1466" s="1">
        <v>0</v>
      </c>
      <c r="BJ1466" s="1">
        <v>0</v>
      </c>
      <c r="BK1466" s="1">
        <v>0</v>
      </c>
      <c r="BL1466" s="1">
        <v>0</v>
      </c>
      <c r="BM1466" s="1">
        <v>0</v>
      </c>
      <c r="BN1466" s="1">
        <v>0</v>
      </c>
      <c r="BO1466" s="1">
        <v>0</v>
      </c>
      <c r="BP1466" s="1">
        <v>0</v>
      </c>
      <c r="BQ1466" s="1" t="s">
        <v>104</v>
      </c>
      <c r="BR1466" s="1">
        <v>1537</v>
      </c>
      <c r="BS1466" s="1" t="s">
        <v>104</v>
      </c>
      <c r="BX1466" s="1">
        <v>0</v>
      </c>
      <c r="BY1466" s="1" t="s">
        <v>104</v>
      </c>
      <c r="BZ1466" s="1" t="s">
        <v>104</v>
      </c>
      <c r="CA1466" s="1" t="s">
        <v>104</v>
      </c>
      <c r="CB1466" s="1" t="s">
        <v>104</v>
      </c>
      <c r="CC1466" s="1" t="s">
        <v>104</v>
      </c>
      <c r="CD1466" s="1" t="s">
        <v>104</v>
      </c>
      <c r="CE1466" s="1" t="s">
        <v>104</v>
      </c>
      <c r="CF1466" s="1" t="s">
        <v>104</v>
      </c>
      <c r="CG1466" s="1" t="s">
        <v>104</v>
      </c>
      <c r="CH1466" s="1" t="s">
        <v>104</v>
      </c>
      <c r="CJ1466" s="1">
        <v>0</v>
      </c>
      <c r="CK1466" s="1">
        <v>0</v>
      </c>
      <c r="CL1466" s="1">
        <v>0</v>
      </c>
      <c r="CM1466" s="1" t="s">
        <v>104</v>
      </c>
    </row>
    <row r="1467" spans="1:91" ht="14.25" customHeight="1" x14ac:dyDescent="0.3">
      <c r="A1467" s="1" t="s">
        <v>8331</v>
      </c>
      <c r="B1467" s="1" t="s">
        <v>216</v>
      </c>
      <c r="D1467" s="1" t="s">
        <v>54</v>
      </c>
      <c r="E1467" s="1" t="s">
        <v>8332</v>
      </c>
      <c r="F1467" s="1" t="s">
        <v>273</v>
      </c>
      <c r="G1467" s="1" t="s">
        <v>8333</v>
      </c>
      <c r="H1467" s="1">
        <v>1</v>
      </c>
      <c r="I1467" s="1" t="s">
        <v>128</v>
      </c>
      <c r="L1467" s="1" t="s">
        <v>8334</v>
      </c>
      <c r="M1467" s="1" t="s">
        <v>8335</v>
      </c>
      <c r="N1467" s="1">
        <v>1</v>
      </c>
      <c r="O1467" s="1">
        <v>0</v>
      </c>
      <c r="P1467" s="1" t="s">
        <v>100</v>
      </c>
      <c r="Q1467" s="1" t="s">
        <v>101</v>
      </c>
      <c r="R1467" s="1" t="s">
        <v>8336</v>
      </c>
      <c r="S1467" s="1" t="s">
        <v>8109</v>
      </c>
      <c r="T1467" s="1">
        <v>1</v>
      </c>
      <c r="U1467" s="1">
        <v>1</v>
      </c>
      <c r="V1467" s="1">
        <v>1</v>
      </c>
      <c r="W1467" s="1">
        <v>0</v>
      </c>
      <c r="X1467" s="1">
        <v>0</v>
      </c>
      <c r="Y1467" s="1">
        <v>2</v>
      </c>
      <c r="Z1467" s="1">
        <v>2</v>
      </c>
      <c r="AA1467" s="1">
        <v>2</v>
      </c>
      <c r="AB1467" s="1" t="s">
        <v>104</v>
      </c>
      <c r="AC1467" s="1" t="s">
        <v>104</v>
      </c>
      <c r="AD1467" s="1" t="s">
        <v>104</v>
      </c>
      <c r="AE1467" s="1" t="s">
        <v>104</v>
      </c>
      <c r="AF1467" s="1" t="s">
        <v>104</v>
      </c>
      <c r="AG1467" s="1" t="s">
        <v>104</v>
      </c>
      <c r="AH1467" s="1">
        <v>2</v>
      </c>
      <c r="AI1467" s="1" t="s">
        <v>104</v>
      </c>
      <c r="AJ1467" s="1">
        <v>2</v>
      </c>
      <c r="AK1467" s="1">
        <v>1</v>
      </c>
      <c r="AL1467" s="1" t="s">
        <v>104</v>
      </c>
      <c r="AM1467" s="1" t="s">
        <v>104</v>
      </c>
      <c r="AO1467" s="1">
        <v>2</v>
      </c>
      <c r="AR1467" s="1">
        <v>0</v>
      </c>
      <c r="AS1467" s="1">
        <v>0</v>
      </c>
      <c r="AT1467" s="1">
        <v>0</v>
      </c>
      <c r="AU1467" s="1">
        <v>0</v>
      </c>
      <c r="AV1467" s="1">
        <v>0</v>
      </c>
      <c r="AW1467" s="1">
        <v>0</v>
      </c>
      <c r="AX1467" s="1">
        <v>0</v>
      </c>
      <c r="AY1467" s="1">
        <v>0</v>
      </c>
      <c r="AZ1467" s="1">
        <v>0</v>
      </c>
      <c r="BA1467" s="1">
        <v>0</v>
      </c>
      <c r="BB1467" s="1">
        <v>0</v>
      </c>
      <c r="BC1467" s="1">
        <v>1</v>
      </c>
      <c r="BD1467" s="1">
        <v>0</v>
      </c>
      <c r="BE1467" s="1">
        <v>0</v>
      </c>
      <c r="BF1467" s="1">
        <v>0</v>
      </c>
      <c r="BG1467" s="1">
        <v>0</v>
      </c>
      <c r="BH1467" s="1">
        <v>0</v>
      </c>
      <c r="BI1467" s="1">
        <v>0</v>
      </c>
      <c r="BJ1467" s="1">
        <v>0</v>
      </c>
      <c r="BK1467" s="1">
        <v>0</v>
      </c>
      <c r="BL1467" s="1">
        <v>0</v>
      </c>
      <c r="BM1467" s="1">
        <v>0</v>
      </c>
      <c r="BN1467" s="1">
        <v>0</v>
      </c>
      <c r="BO1467" s="1">
        <v>0</v>
      </c>
      <c r="BP1467" s="1">
        <v>0</v>
      </c>
      <c r="BQ1467" s="1" t="s">
        <v>104</v>
      </c>
      <c r="BR1467" s="1">
        <v>1538</v>
      </c>
      <c r="BS1467" s="1">
        <v>10</v>
      </c>
      <c r="BX1467" s="1">
        <v>0</v>
      </c>
      <c r="BY1467" s="1" t="s">
        <v>104</v>
      </c>
      <c r="BZ1467" s="1" t="s">
        <v>104</v>
      </c>
      <c r="CA1467" s="1" t="s">
        <v>104</v>
      </c>
      <c r="CB1467" s="1" t="s">
        <v>104</v>
      </c>
      <c r="CC1467" s="1" t="s">
        <v>104</v>
      </c>
      <c r="CD1467" s="1" t="s">
        <v>104</v>
      </c>
      <c r="CE1467" s="1" t="s">
        <v>104</v>
      </c>
      <c r="CF1467" s="1" t="s">
        <v>104</v>
      </c>
      <c r="CG1467" s="1" t="s">
        <v>104</v>
      </c>
      <c r="CH1467" s="1" t="s">
        <v>104</v>
      </c>
      <c r="CJ1467" s="1">
        <v>0</v>
      </c>
      <c r="CK1467" s="1">
        <v>0</v>
      </c>
      <c r="CL1467" s="1">
        <v>0</v>
      </c>
      <c r="CM1467" s="1" t="s">
        <v>104</v>
      </c>
    </row>
    <row r="1468" spans="1:91" ht="14.25" customHeight="1" x14ac:dyDescent="0.3">
      <c r="A1468" s="1" t="s">
        <v>8337</v>
      </c>
      <c r="B1468" s="1" t="s">
        <v>137</v>
      </c>
      <c r="D1468" s="1" t="s">
        <v>51</v>
      </c>
      <c r="E1468" s="1" t="s">
        <v>5284</v>
      </c>
      <c r="F1468" s="1" t="s">
        <v>95</v>
      </c>
      <c r="G1468" s="1" t="s">
        <v>127</v>
      </c>
      <c r="H1468" s="1">
        <v>0</v>
      </c>
      <c r="I1468" s="1" t="s">
        <v>117</v>
      </c>
      <c r="L1468" s="1" t="s">
        <v>8338</v>
      </c>
      <c r="M1468" s="1" t="s">
        <v>111</v>
      </c>
      <c r="N1468" s="1">
        <v>0</v>
      </c>
      <c r="O1468" s="1">
        <v>0</v>
      </c>
      <c r="P1468" s="1" t="s">
        <v>183</v>
      </c>
      <c r="Q1468" s="1" t="s">
        <v>184</v>
      </c>
      <c r="R1468" s="1" t="s">
        <v>8339</v>
      </c>
      <c r="S1468" s="1" t="s">
        <v>8109</v>
      </c>
      <c r="T1468" s="1">
        <v>1</v>
      </c>
      <c r="U1468" s="1">
        <v>1</v>
      </c>
      <c r="V1468" s="1">
        <v>0</v>
      </c>
      <c r="W1468" s="1">
        <v>0</v>
      </c>
      <c r="X1468" s="1">
        <v>1</v>
      </c>
      <c r="Y1468" s="1" t="s">
        <v>104</v>
      </c>
      <c r="Z1468" s="1" t="s">
        <v>104</v>
      </c>
      <c r="AA1468" s="1" t="s">
        <v>104</v>
      </c>
      <c r="AB1468" s="1">
        <v>2</v>
      </c>
      <c r="AC1468" s="1" t="s">
        <v>104</v>
      </c>
      <c r="AD1468" s="1" t="s">
        <v>104</v>
      </c>
      <c r="AE1468" s="1" t="s">
        <v>104</v>
      </c>
      <c r="AF1468" s="1" t="s">
        <v>104</v>
      </c>
      <c r="AG1468" s="1" t="s">
        <v>104</v>
      </c>
      <c r="AH1468" s="1">
        <v>2</v>
      </c>
      <c r="AI1468" s="1" t="s">
        <v>104</v>
      </c>
      <c r="AJ1468" s="1" t="s">
        <v>104</v>
      </c>
      <c r="AK1468" s="1" t="s">
        <v>104</v>
      </c>
      <c r="AL1468" s="1" t="s">
        <v>104</v>
      </c>
      <c r="AM1468" s="1" t="s">
        <v>104</v>
      </c>
      <c r="AO1468" s="1">
        <v>2</v>
      </c>
      <c r="AR1468" s="1">
        <v>0</v>
      </c>
      <c r="AS1468" s="1">
        <v>0</v>
      </c>
      <c r="AT1468" s="1">
        <v>0</v>
      </c>
      <c r="AU1468" s="1">
        <v>0</v>
      </c>
      <c r="AV1468" s="1">
        <v>0</v>
      </c>
      <c r="AW1468" s="1">
        <v>0</v>
      </c>
      <c r="AX1468" s="1">
        <v>0</v>
      </c>
      <c r="AY1468" s="1">
        <v>0</v>
      </c>
      <c r="AZ1468" s="1">
        <v>1</v>
      </c>
      <c r="BA1468" s="1">
        <v>0</v>
      </c>
      <c r="BB1468" s="1">
        <v>0</v>
      </c>
      <c r="BC1468" s="1">
        <v>0</v>
      </c>
      <c r="BD1468" s="1">
        <v>0</v>
      </c>
      <c r="BE1468" s="1">
        <v>0</v>
      </c>
      <c r="BF1468" s="1">
        <v>0</v>
      </c>
      <c r="BG1468" s="1">
        <v>0</v>
      </c>
      <c r="BH1468" s="1">
        <v>0</v>
      </c>
      <c r="BI1468" s="1">
        <v>0</v>
      </c>
      <c r="BJ1468" s="1">
        <v>0</v>
      </c>
      <c r="BK1468" s="1">
        <v>0</v>
      </c>
      <c r="BL1468" s="1">
        <v>0</v>
      </c>
      <c r="BM1468" s="1">
        <v>0</v>
      </c>
      <c r="BN1468" s="1">
        <v>0</v>
      </c>
      <c r="BO1468" s="1">
        <v>0</v>
      </c>
      <c r="BP1468" s="1">
        <v>0</v>
      </c>
      <c r="BQ1468" s="1" t="s">
        <v>104</v>
      </c>
      <c r="BR1468" s="1">
        <v>1539</v>
      </c>
      <c r="BS1468" s="1" t="s">
        <v>104</v>
      </c>
      <c r="BX1468" s="1">
        <v>0</v>
      </c>
      <c r="BY1468" s="1" t="s">
        <v>104</v>
      </c>
      <c r="BZ1468" s="1" t="s">
        <v>104</v>
      </c>
      <c r="CA1468" s="1" t="s">
        <v>104</v>
      </c>
      <c r="CB1468" s="1" t="s">
        <v>104</v>
      </c>
      <c r="CC1468" s="1" t="s">
        <v>104</v>
      </c>
      <c r="CD1468" s="1" t="s">
        <v>104</v>
      </c>
      <c r="CE1468" s="1" t="s">
        <v>104</v>
      </c>
      <c r="CF1468" s="1" t="s">
        <v>104</v>
      </c>
      <c r="CG1468" s="1" t="s">
        <v>104</v>
      </c>
      <c r="CH1468" s="1">
        <v>2</v>
      </c>
      <c r="CJ1468" s="1">
        <v>0</v>
      </c>
      <c r="CK1468" s="1">
        <v>0</v>
      </c>
      <c r="CL1468" s="1">
        <v>0</v>
      </c>
      <c r="CM1468" s="1" t="s">
        <v>104</v>
      </c>
    </row>
    <row r="1469" spans="1:91" ht="14.25" customHeight="1" x14ac:dyDescent="0.3">
      <c r="A1469" s="1" t="s">
        <v>8340</v>
      </c>
      <c r="B1469" s="1" t="s">
        <v>137</v>
      </c>
      <c r="D1469" s="1" t="s">
        <v>51</v>
      </c>
      <c r="E1469" s="1" t="s">
        <v>5560</v>
      </c>
      <c r="F1469" s="1" t="s">
        <v>95</v>
      </c>
      <c r="G1469" s="1" t="s">
        <v>127</v>
      </c>
      <c r="H1469" s="1">
        <v>0</v>
      </c>
      <c r="I1469" s="1" t="s">
        <v>117</v>
      </c>
      <c r="L1469" s="1" t="s">
        <v>3221</v>
      </c>
      <c r="M1469" s="1" t="s">
        <v>111</v>
      </c>
      <c r="N1469" s="1">
        <v>0</v>
      </c>
      <c r="O1469" s="1">
        <v>0</v>
      </c>
      <c r="P1469" s="1" t="s">
        <v>183</v>
      </c>
      <c r="Q1469" s="1" t="s">
        <v>184</v>
      </c>
      <c r="R1469" s="1" t="s">
        <v>8341</v>
      </c>
      <c r="S1469" s="1" t="s">
        <v>8109</v>
      </c>
      <c r="T1469" s="1">
        <v>1</v>
      </c>
      <c r="U1469" s="1">
        <v>1</v>
      </c>
      <c r="V1469" s="1">
        <v>0</v>
      </c>
      <c r="W1469" s="1">
        <v>0</v>
      </c>
      <c r="X1469" s="1">
        <v>1</v>
      </c>
      <c r="Y1469" s="1" t="s">
        <v>104</v>
      </c>
      <c r="Z1469" s="1" t="s">
        <v>104</v>
      </c>
      <c r="AA1469" s="1" t="s">
        <v>104</v>
      </c>
      <c r="AB1469" s="1">
        <v>6</v>
      </c>
      <c r="AC1469" s="1" t="s">
        <v>104</v>
      </c>
      <c r="AD1469" s="1" t="s">
        <v>104</v>
      </c>
      <c r="AE1469" s="1" t="s">
        <v>104</v>
      </c>
      <c r="AF1469" s="1" t="s">
        <v>104</v>
      </c>
      <c r="AG1469" s="1" t="s">
        <v>104</v>
      </c>
      <c r="AH1469" s="1">
        <v>6</v>
      </c>
      <c r="AI1469" s="1" t="s">
        <v>104</v>
      </c>
      <c r="AJ1469" s="1" t="s">
        <v>104</v>
      </c>
      <c r="AK1469" s="1" t="s">
        <v>104</v>
      </c>
      <c r="AL1469" s="1" t="s">
        <v>104</v>
      </c>
      <c r="AM1469" s="1" t="s">
        <v>104</v>
      </c>
      <c r="AO1469" s="1">
        <v>6</v>
      </c>
      <c r="AR1469" s="1">
        <v>0</v>
      </c>
      <c r="AS1469" s="1">
        <v>0</v>
      </c>
      <c r="AT1469" s="1">
        <v>0</v>
      </c>
      <c r="AU1469" s="1">
        <v>0</v>
      </c>
      <c r="AV1469" s="1">
        <v>0</v>
      </c>
      <c r="AW1469" s="1">
        <v>0</v>
      </c>
      <c r="AX1469" s="1">
        <v>0</v>
      </c>
      <c r="AY1469" s="1">
        <v>0</v>
      </c>
      <c r="AZ1469" s="1">
        <v>1</v>
      </c>
      <c r="BA1469" s="1">
        <v>0</v>
      </c>
      <c r="BB1469" s="1">
        <v>0</v>
      </c>
      <c r="BC1469" s="1">
        <v>0</v>
      </c>
      <c r="BD1469" s="1">
        <v>0</v>
      </c>
      <c r="BE1469" s="1">
        <v>0</v>
      </c>
      <c r="BF1469" s="1">
        <v>0</v>
      </c>
      <c r="BG1469" s="1">
        <v>0</v>
      </c>
      <c r="BH1469" s="1">
        <v>0</v>
      </c>
      <c r="BI1469" s="1">
        <v>0</v>
      </c>
      <c r="BJ1469" s="1">
        <v>0</v>
      </c>
      <c r="BK1469" s="1">
        <v>0</v>
      </c>
      <c r="BL1469" s="1">
        <v>0</v>
      </c>
      <c r="BM1469" s="1">
        <v>0</v>
      </c>
      <c r="BN1469" s="1">
        <v>0</v>
      </c>
      <c r="BO1469" s="1">
        <v>0</v>
      </c>
      <c r="BP1469" s="1">
        <v>0</v>
      </c>
      <c r="BQ1469" s="1" t="s">
        <v>104</v>
      </c>
      <c r="BR1469" s="1">
        <v>1540</v>
      </c>
      <c r="BS1469" s="1" t="s">
        <v>104</v>
      </c>
      <c r="BX1469" s="1">
        <v>0</v>
      </c>
      <c r="BY1469" s="1" t="s">
        <v>104</v>
      </c>
      <c r="BZ1469" s="1" t="s">
        <v>104</v>
      </c>
      <c r="CA1469" s="1" t="s">
        <v>104</v>
      </c>
      <c r="CB1469" s="1" t="s">
        <v>104</v>
      </c>
      <c r="CC1469" s="1" t="s">
        <v>104</v>
      </c>
      <c r="CD1469" s="1" t="s">
        <v>104</v>
      </c>
      <c r="CE1469" s="1" t="s">
        <v>104</v>
      </c>
      <c r="CF1469" s="1" t="s">
        <v>104</v>
      </c>
      <c r="CG1469" s="1" t="s">
        <v>104</v>
      </c>
      <c r="CH1469" s="1">
        <v>6</v>
      </c>
      <c r="CJ1469" s="1">
        <v>0</v>
      </c>
      <c r="CK1469" s="1">
        <v>0</v>
      </c>
      <c r="CL1469" s="1">
        <v>0</v>
      </c>
      <c r="CM1469" s="1" t="s">
        <v>104</v>
      </c>
    </row>
    <row r="1470" spans="1:91" ht="14.25" customHeight="1" x14ac:dyDescent="0.3">
      <c r="A1470" s="1" t="s">
        <v>8342</v>
      </c>
      <c r="B1470" s="1" t="s">
        <v>92</v>
      </c>
      <c r="C1470" s="1" t="s">
        <v>93</v>
      </c>
      <c r="D1470" s="1" t="s">
        <v>51</v>
      </c>
      <c r="E1470" s="1" t="s">
        <v>8074</v>
      </c>
      <c r="F1470" s="1" t="s">
        <v>95</v>
      </c>
      <c r="G1470" s="1" t="s">
        <v>127</v>
      </c>
      <c r="H1470" s="1">
        <v>0</v>
      </c>
      <c r="I1470" s="1" t="s">
        <v>117</v>
      </c>
      <c r="L1470" s="1" t="s">
        <v>1065</v>
      </c>
      <c r="M1470" s="1" t="s">
        <v>119</v>
      </c>
      <c r="N1470" s="1">
        <v>0</v>
      </c>
      <c r="O1470" s="1">
        <v>0</v>
      </c>
      <c r="P1470" s="1" t="s">
        <v>100</v>
      </c>
      <c r="Q1470" s="1" t="s">
        <v>184</v>
      </c>
      <c r="R1470" s="1" t="s">
        <v>8343</v>
      </c>
      <c r="S1470" s="1" t="s">
        <v>8109</v>
      </c>
      <c r="T1470" s="1">
        <v>1</v>
      </c>
      <c r="U1470" s="1">
        <v>1</v>
      </c>
      <c r="V1470" s="1">
        <v>0</v>
      </c>
      <c r="W1470" s="1">
        <v>0</v>
      </c>
      <c r="X1470" s="1">
        <v>1</v>
      </c>
      <c r="Y1470" s="1" t="s">
        <v>104</v>
      </c>
      <c r="Z1470" s="1" t="s">
        <v>104</v>
      </c>
      <c r="AA1470" s="1">
        <v>1</v>
      </c>
      <c r="AB1470" s="1">
        <v>1</v>
      </c>
      <c r="AC1470" s="1" t="s">
        <v>104</v>
      </c>
      <c r="AD1470" s="1" t="s">
        <v>104</v>
      </c>
      <c r="AE1470" s="1" t="s">
        <v>104</v>
      </c>
      <c r="AF1470" s="1" t="s">
        <v>104</v>
      </c>
      <c r="AG1470" s="1" t="s">
        <v>104</v>
      </c>
      <c r="AH1470" s="1" t="s">
        <v>104</v>
      </c>
      <c r="AI1470" s="1" t="s">
        <v>104</v>
      </c>
      <c r="AJ1470" s="1">
        <v>1</v>
      </c>
      <c r="AK1470" s="1" t="s">
        <v>104</v>
      </c>
      <c r="AL1470" s="1" t="s">
        <v>104</v>
      </c>
      <c r="AM1470" s="1" t="s">
        <v>104</v>
      </c>
      <c r="AO1470" s="1">
        <v>1</v>
      </c>
      <c r="AR1470" s="1">
        <v>0</v>
      </c>
      <c r="AS1470" s="1">
        <v>0</v>
      </c>
      <c r="AT1470" s="1">
        <v>0</v>
      </c>
      <c r="AU1470" s="1">
        <v>0</v>
      </c>
      <c r="AV1470" s="1">
        <v>0</v>
      </c>
      <c r="AW1470" s="1">
        <v>0</v>
      </c>
      <c r="AX1470" s="1">
        <v>0</v>
      </c>
      <c r="AY1470" s="1">
        <v>0</v>
      </c>
      <c r="AZ1470" s="1">
        <v>1</v>
      </c>
      <c r="BA1470" s="1">
        <v>0</v>
      </c>
      <c r="BB1470" s="1">
        <v>0</v>
      </c>
      <c r="BC1470" s="1">
        <v>0</v>
      </c>
      <c r="BD1470" s="1">
        <v>0</v>
      </c>
      <c r="BE1470" s="1">
        <v>0</v>
      </c>
      <c r="BF1470" s="1">
        <v>0</v>
      </c>
      <c r="BG1470" s="1">
        <v>0</v>
      </c>
      <c r="BH1470" s="1">
        <v>0</v>
      </c>
      <c r="BI1470" s="1">
        <v>0</v>
      </c>
      <c r="BJ1470" s="1">
        <v>0</v>
      </c>
      <c r="BK1470" s="1">
        <v>0</v>
      </c>
      <c r="BL1470" s="1">
        <v>0</v>
      </c>
      <c r="BM1470" s="1">
        <v>0</v>
      </c>
      <c r="BN1470" s="1">
        <v>0</v>
      </c>
      <c r="BO1470" s="1">
        <v>0</v>
      </c>
      <c r="BP1470" s="1">
        <v>0</v>
      </c>
      <c r="BQ1470" s="1" t="s">
        <v>104</v>
      </c>
      <c r="BR1470" s="1">
        <v>1541</v>
      </c>
      <c r="BS1470" s="1" t="s">
        <v>104</v>
      </c>
      <c r="BV1470" s="1" t="s">
        <v>8344</v>
      </c>
      <c r="BX1470" s="1">
        <v>1</v>
      </c>
      <c r="BY1470" s="1" t="s">
        <v>104</v>
      </c>
      <c r="BZ1470" s="1" t="s">
        <v>104</v>
      </c>
      <c r="CA1470" s="1" t="s">
        <v>104</v>
      </c>
      <c r="CB1470" s="1" t="s">
        <v>104</v>
      </c>
      <c r="CC1470" s="1" t="s">
        <v>104</v>
      </c>
      <c r="CD1470" s="1" t="s">
        <v>104</v>
      </c>
      <c r="CE1470" s="1" t="s">
        <v>104</v>
      </c>
      <c r="CF1470" s="1" t="s">
        <v>104</v>
      </c>
      <c r="CG1470" s="1" t="s">
        <v>104</v>
      </c>
      <c r="CH1470" s="1">
        <v>1</v>
      </c>
      <c r="CJ1470" s="1">
        <v>0</v>
      </c>
      <c r="CK1470" s="1">
        <v>0</v>
      </c>
      <c r="CL1470" s="1">
        <v>0</v>
      </c>
      <c r="CM1470" s="1" t="s">
        <v>104</v>
      </c>
    </row>
    <row r="1471" spans="1:91" ht="14.25" customHeight="1" x14ac:dyDescent="0.3">
      <c r="A1471" s="1" t="s">
        <v>8345</v>
      </c>
      <c r="B1471" s="1" t="s">
        <v>137</v>
      </c>
      <c r="D1471" s="1" t="s">
        <v>51</v>
      </c>
      <c r="E1471" s="1" t="s">
        <v>8346</v>
      </c>
      <c r="F1471" s="1" t="s">
        <v>255</v>
      </c>
      <c r="G1471" s="1" t="s">
        <v>127</v>
      </c>
      <c r="H1471" s="1">
        <v>0</v>
      </c>
      <c r="I1471" s="1" t="s">
        <v>117</v>
      </c>
      <c r="K1471" s="1" t="s">
        <v>8347</v>
      </c>
      <c r="M1471" s="1" t="s">
        <v>2537</v>
      </c>
      <c r="N1471" s="1">
        <v>0</v>
      </c>
      <c r="O1471" s="1">
        <v>0</v>
      </c>
      <c r="P1471" s="1" t="s">
        <v>100</v>
      </c>
      <c r="Q1471" s="1" t="s">
        <v>184</v>
      </c>
      <c r="R1471" s="1" t="s">
        <v>8348</v>
      </c>
      <c r="S1471" s="1" t="s">
        <v>8109</v>
      </c>
      <c r="T1471" s="1">
        <v>1</v>
      </c>
      <c r="U1471" s="1">
        <v>1</v>
      </c>
      <c r="V1471" s="1">
        <v>0</v>
      </c>
      <c r="W1471" s="1">
        <v>0</v>
      </c>
      <c r="X1471" s="1">
        <v>1</v>
      </c>
      <c r="Y1471" s="1">
        <v>3</v>
      </c>
      <c r="Z1471" s="1">
        <v>3</v>
      </c>
      <c r="AA1471" s="1">
        <v>3</v>
      </c>
      <c r="AB1471" s="1">
        <v>3</v>
      </c>
      <c r="AC1471" s="1" t="s">
        <v>104</v>
      </c>
      <c r="AD1471" s="1">
        <v>3</v>
      </c>
      <c r="AE1471" s="1" t="s">
        <v>104</v>
      </c>
      <c r="AF1471" s="1" t="s">
        <v>104</v>
      </c>
      <c r="AG1471" s="1" t="s">
        <v>104</v>
      </c>
      <c r="AH1471" s="1">
        <v>3</v>
      </c>
      <c r="AI1471" s="1" t="s">
        <v>104</v>
      </c>
      <c r="AJ1471" s="1">
        <v>3</v>
      </c>
      <c r="AK1471" s="1" t="s">
        <v>104</v>
      </c>
      <c r="AL1471" s="1" t="s">
        <v>104</v>
      </c>
      <c r="AM1471" s="1" t="s">
        <v>104</v>
      </c>
      <c r="AO1471" s="1">
        <v>3</v>
      </c>
      <c r="AR1471" s="1">
        <v>0</v>
      </c>
      <c r="AS1471" s="1">
        <v>0</v>
      </c>
      <c r="AT1471" s="1">
        <v>0</v>
      </c>
      <c r="AU1471" s="1">
        <v>0</v>
      </c>
      <c r="AV1471" s="1">
        <v>0</v>
      </c>
      <c r="AW1471" s="1">
        <v>0</v>
      </c>
      <c r="AX1471" s="1">
        <v>0</v>
      </c>
      <c r="AY1471" s="1">
        <v>0</v>
      </c>
      <c r="AZ1471" s="1">
        <v>1</v>
      </c>
      <c r="BA1471" s="1">
        <v>0</v>
      </c>
      <c r="BB1471" s="1">
        <v>0</v>
      </c>
      <c r="BC1471" s="1">
        <v>0</v>
      </c>
      <c r="BD1471" s="1">
        <v>0</v>
      </c>
      <c r="BE1471" s="1">
        <v>0</v>
      </c>
      <c r="BF1471" s="1">
        <v>0</v>
      </c>
      <c r="BG1471" s="1">
        <v>0</v>
      </c>
      <c r="BH1471" s="1">
        <v>0</v>
      </c>
      <c r="BI1471" s="1">
        <v>0</v>
      </c>
      <c r="BJ1471" s="1">
        <v>0</v>
      </c>
      <c r="BK1471" s="1">
        <v>0</v>
      </c>
      <c r="BL1471" s="1">
        <v>0</v>
      </c>
      <c r="BM1471" s="1">
        <v>0</v>
      </c>
      <c r="BN1471" s="1">
        <v>0</v>
      </c>
      <c r="BO1471" s="1">
        <v>0</v>
      </c>
      <c r="BP1471" s="1">
        <v>0</v>
      </c>
      <c r="BQ1471" s="1" t="s">
        <v>104</v>
      </c>
      <c r="BR1471" s="1">
        <v>1542</v>
      </c>
      <c r="BS1471" s="1" t="s">
        <v>104</v>
      </c>
      <c r="BX1471" s="1">
        <v>0</v>
      </c>
      <c r="BY1471" s="1">
        <v>3</v>
      </c>
      <c r="BZ1471" s="1" t="s">
        <v>104</v>
      </c>
      <c r="CA1471" s="1" t="s">
        <v>104</v>
      </c>
      <c r="CB1471" s="1" t="s">
        <v>104</v>
      </c>
      <c r="CC1471" s="1" t="s">
        <v>104</v>
      </c>
      <c r="CD1471" s="1" t="s">
        <v>104</v>
      </c>
      <c r="CE1471" s="1" t="s">
        <v>104</v>
      </c>
      <c r="CF1471" s="1" t="s">
        <v>104</v>
      </c>
      <c r="CG1471" s="1" t="s">
        <v>104</v>
      </c>
      <c r="CH1471" s="1">
        <v>3</v>
      </c>
      <c r="CJ1471" s="1">
        <v>0</v>
      </c>
      <c r="CK1471" s="1">
        <v>0</v>
      </c>
      <c r="CL1471" s="1">
        <v>0</v>
      </c>
      <c r="CM1471" s="1" t="s">
        <v>104</v>
      </c>
    </row>
    <row r="1472" spans="1:91" ht="14.25" customHeight="1" x14ac:dyDescent="0.3">
      <c r="A1472" s="1" t="s">
        <v>8349</v>
      </c>
      <c r="B1472" s="1" t="s">
        <v>92</v>
      </c>
      <c r="C1472" s="1" t="s">
        <v>93</v>
      </c>
      <c r="D1472" s="1" t="s">
        <v>51</v>
      </c>
      <c r="E1472" s="1" t="s">
        <v>8350</v>
      </c>
      <c r="F1472" s="1" t="s">
        <v>1502</v>
      </c>
      <c r="G1472" s="1" t="s">
        <v>127</v>
      </c>
      <c r="H1472" s="1">
        <v>0</v>
      </c>
      <c r="I1472" s="1" t="s">
        <v>705</v>
      </c>
      <c r="K1472" s="1" t="s">
        <v>8351</v>
      </c>
      <c r="M1472" s="1" t="s">
        <v>255</v>
      </c>
      <c r="N1472" s="1">
        <v>0</v>
      </c>
      <c r="O1472" s="1">
        <v>0</v>
      </c>
      <c r="P1472" s="1" t="s">
        <v>100</v>
      </c>
      <c r="Q1472" s="1" t="s">
        <v>101</v>
      </c>
      <c r="R1472" s="1" t="s">
        <v>8352</v>
      </c>
      <c r="S1472" s="1" t="s">
        <v>8109</v>
      </c>
      <c r="T1472" s="1">
        <v>1</v>
      </c>
      <c r="U1472" s="1">
        <v>1</v>
      </c>
      <c r="V1472" s="1">
        <v>0</v>
      </c>
      <c r="W1472" s="1">
        <v>0</v>
      </c>
      <c r="X1472" s="1">
        <v>1</v>
      </c>
      <c r="Y1472" s="1">
        <v>1</v>
      </c>
      <c r="Z1472" s="1">
        <v>1</v>
      </c>
      <c r="AA1472" s="1">
        <v>1</v>
      </c>
      <c r="AB1472" s="1">
        <v>1</v>
      </c>
      <c r="AC1472" s="1" t="s">
        <v>104</v>
      </c>
      <c r="AD1472" s="1" t="s">
        <v>104</v>
      </c>
      <c r="AE1472" s="1" t="s">
        <v>104</v>
      </c>
      <c r="AF1472" s="1" t="s">
        <v>104</v>
      </c>
      <c r="AG1472" s="1">
        <v>1</v>
      </c>
      <c r="AH1472" s="1" t="s">
        <v>104</v>
      </c>
      <c r="AI1472" s="1" t="s">
        <v>104</v>
      </c>
      <c r="AJ1472" s="1">
        <v>1</v>
      </c>
      <c r="AK1472" s="1" t="s">
        <v>104</v>
      </c>
      <c r="AL1472" s="1">
        <v>2</v>
      </c>
      <c r="AM1472" s="1" t="s">
        <v>104</v>
      </c>
      <c r="AO1472" s="1">
        <v>1</v>
      </c>
      <c r="AR1472" s="1">
        <v>0</v>
      </c>
      <c r="AS1472" s="1">
        <v>0</v>
      </c>
      <c r="AT1472" s="1">
        <v>0</v>
      </c>
      <c r="AU1472" s="1">
        <v>0</v>
      </c>
      <c r="AV1472" s="1">
        <v>0</v>
      </c>
      <c r="AW1472" s="1">
        <v>0</v>
      </c>
      <c r="AX1472" s="1">
        <v>0</v>
      </c>
      <c r="AY1472" s="1">
        <v>0</v>
      </c>
      <c r="AZ1472" s="1">
        <v>1</v>
      </c>
      <c r="BA1472" s="1">
        <v>0</v>
      </c>
      <c r="BB1472" s="1">
        <v>0</v>
      </c>
      <c r="BC1472" s="1">
        <v>0</v>
      </c>
      <c r="BD1472" s="1">
        <v>0</v>
      </c>
      <c r="BE1472" s="1">
        <v>0</v>
      </c>
      <c r="BF1472" s="1">
        <v>0</v>
      </c>
      <c r="BG1472" s="1">
        <v>0</v>
      </c>
      <c r="BH1472" s="1">
        <v>0</v>
      </c>
      <c r="BI1472" s="1">
        <v>0</v>
      </c>
      <c r="BJ1472" s="1">
        <v>0</v>
      </c>
      <c r="BK1472" s="1">
        <v>0</v>
      </c>
      <c r="BL1472" s="1">
        <v>0</v>
      </c>
      <c r="BM1472" s="1">
        <v>0</v>
      </c>
      <c r="BN1472" s="1">
        <v>0</v>
      </c>
      <c r="BO1472" s="1">
        <v>0</v>
      </c>
      <c r="BP1472" s="1">
        <v>0</v>
      </c>
      <c r="BQ1472" s="1" t="s">
        <v>104</v>
      </c>
      <c r="BR1472" s="1">
        <v>1543</v>
      </c>
      <c r="BS1472" s="1" t="s">
        <v>104</v>
      </c>
      <c r="BX1472" s="1">
        <v>0</v>
      </c>
      <c r="BY1472" s="1" t="s">
        <v>104</v>
      </c>
      <c r="BZ1472" s="1" t="s">
        <v>104</v>
      </c>
      <c r="CA1472" s="1" t="s">
        <v>104</v>
      </c>
      <c r="CB1472" s="1" t="s">
        <v>104</v>
      </c>
      <c r="CC1472" s="1" t="s">
        <v>104</v>
      </c>
      <c r="CD1472" s="1" t="s">
        <v>104</v>
      </c>
      <c r="CE1472" s="1" t="s">
        <v>104</v>
      </c>
      <c r="CF1472" s="1" t="s">
        <v>104</v>
      </c>
      <c r="CG1472" s="1" t="s">
        <v>104</v>
      </c>
      <c r="CH1472" s="1">
        <v>1</v>
      </c>
      <c r="CJ1472" s="1">
        <v>0</v>
      </c>
      <c r="CK1472" s="1">
        <v>0</v>
      </c>
      <c r="CL1472" s="1">
        <v>0</v>
      </c>
      <c r="CM1472" s="1">
        <v>1</v>
      </c>
    </row>
    <row r="1473" spans="1:91" ht="14.25" customHeight="1" x14ac:dyDescent="0.3">
      <c r="A1473" s="1" t="s">
        <v>8353</v>
      </c>
      <c r="B1473" s="1" t="s">
        <v>137</v>
      </c>
      <c r="E1473" s="1" t="s">
        <v>8354</v>
      </c>
      <c r="F1473" s="1" t="s">
        <v>95</v>
      </c>
      <c r="G1473" s="1" t="s">
        <v>116</v>
      </c>
      <c r="H1473" s="1">
        <v>0</v>
      </c>
      <c r="I1473" s="1" t="s">
        <v>128</v>
      </c>
      <c r="L1473" s="1" t="s">
        <v>8355</v>
      </c>
      <c r="M1473" s="1" t="s">
        <v>2330</v>
      </c>
      <c r="N1473" s="1">
        <v>0</v>
      </c>
      <c r="O1473" s="1">
        <v>0</v>
      </c>
      <c r="P1473" s="1" t="s">
        <v>4401</v>
      </c>
      <c r="Q1473" s="1" t="s">
        <v>184</v>
      </c>
      <c r="R1473" s="1" t="s">
        <v>8356</v>
      </c>
      <c r="S1473" s="1" t="s">
        <v>8109</v>
      </c>
      <c r="T1473" s="1">
        <v>1</v>
      </c>
      <c r="U1473" s="1">
        <v>1</v>
      </c>
      <c r="V1473" s="1">
        <v>0</v>
      </c>
      <c r="W1473" s="1">
        <v>0</v>
      </c>
      <c r="X1473" s="1">
        <v>0</v>
      </c>
      <c r="Y1473" s="1">
        <v>1</v>
      </c>
      <c r="Z1473" s="1">
        <v>1</v>
      </c>
      <c r="AA1473" s="1">
        <v>2</v>
      </c>
      <c r="AB1473" s="1" t="s">
        <v>104</v>
      </c>
      <c r="AC1473" s="1" t="s">
        <v>104</v>
      </c>
      <c r="AD1473" s="1" t="s">
        <v>104</v>
      </c>
      <c r="AE1473" s="1" t="s">
        <v>104</v>
      </c>
      <c r="AF1473" s="1" t="s">
        <v>104</v>
      </c>
      <c r="AG1473" s="1" t="s">
        <v>104</v>
      </c>
      <c r="AH1473" s="1">
        <v>1</v>
      </c>
      <c r="AI1473" s="1" t="s">
        <v>104</v>
      </c>
      <c r="AJ1473" s="1">
        <v>2</v>
      </c>
      <c r="AK1473" s="1" t="s">
        <v>104</v>
      </c>
      <c r="AL1473" s="1" t="s">
        <v>104</v>
      </c>
      <c r="AM1473" s="1" t="s">
        <v>104</v>
      </c>
      <c r="AO1473" s="1">
        <v>1</v>
      </c>
      <c r="AR1473" s="1">
        <v>0</v>
      </c>
      <c r="AS1473" s="1">
        <v>0</v>
      </c>
      <c r="AT1473" s="1">
        <v>0</v>
      </c>
      <c r="AU1473" s="1">
        <v>0</v>
      </c>
      <c r="AV1473" s="1">
        <v>0</v>
      </c>
      <c r="AW1473" s="1">
        <v>0</v>
      </c>
      <c r="AX1473" s="1">
        <v>0</v>
      </c>
      <c r="AY1473" s="1">
        <v>0</v>
      </c>
      <c r="AZ1473" s="1">
        <v>0</v>
      </c>
      <c r="BA1473" s="1">
        <v>0</v>
      </c>
      <c r="BB1473" s="1">
        <v>0</v>
      </c>
      <c r="BC1473" s="1">
        <v>0</v>
      </c>
      <c r="BD1473" s="1">
        <v>0</v>
      </c>
      <c r="BE1473" s="1">
        <v>0</v>
      </c>
      <c r="BF1473" s="1">
        <v>0</v>
      </c>
      <c r="BG1473" s="1">
        <v>0</v>
      </c>
      <c r="BH1473" s="1">
        <v>0</v>
      </c>
      <c r="BI1473" s="1">
        <v>0</v>
      </c>
      <c r="BJ1473" s="1">
        <v>0</v>
      </c>
      <c r="BK1473" s="1">
        <v>0</v>
      </c>
      <c r="BL1473" s="1">
        <v>0</v>
      </c>
      <c r="BM1473" s="1">
        <v>0</v>
      </c>
      <c r="BN1473" s="1">
        <v>0</v>
      </c>
      <c r="BO1473" s="1">
        <v>0</v>
      </c>
      <c r="BP1473" s="1">
        <v>0</v>
      </c>
      <c r="BQ1473" s="1" t="s">
        <v>104</v>
      </c>
      <c r="BR1473" s="1">
        <v>1544</v>
      </c>
      <c r="BS1473" s="1" t="s">
        <v>104</v>
      </c>
      <c r="BX1473" s="1">
        <v>0</v>
      </c>
      <c r="BY1473" s="1" t="s">
        <v>104</v>
      </c>
      <c r="BZ1473" s="1" t="s">
        <v>104</v>
      </c>
      <c r="CA1473" s="1" t="s">
        <v>104</v>
      </c>
      <c r="CB1473" s="1" t="s">
        <v>104</v>
      </c>
      <c r="CC1473" s="1" t="s">
        <v>104</v>
      </c>
      <c r="CD1473" s="1" t="s">
        <v>104</v>
      </c>
      <c r="CE1473" s="1" t="s">
        <v>104</v>
      </c>
      <c r="CF1473" s="1" t="s">
        <v>104</v>
      </c>
      <c r="CG1473" s="1" t="s">
        <v>104</v>
      </c>
      <c r="CH1473" s="1" t="s">
        <v>104</v>
      </c>
      <c r="CJ1473" s="1">
        <v>0</v>
      </c>
      <c r="CK1473" s="1">
        <v>0</v>
      </c>
      <c r="CL1473" s="1">
        <v>0</v>
      </c>
      <c r="CM1473" s="1" t="s">
        <v>104</v>
      </c>
    </row>
    <row r="1474" spans="1:91" ht="14.25" customHeight="1" x14ac:dyDescent="0.3">
      <c r="A1474" s="1" t="s">
        <v>8357</v>
      </c>
      <c r="B1474" s="1" t="s">
        <v>92</v>
      </c>
      <c r="C1474" s="1" t="s">
        <v>523</v>
      </c>
      <c r="E1474" s="1" t="s">
        <v>8358</v>
      </c>
      <c r="F1474" s="1" t="s">
        <v>95</v>
      </c>
      <c r="G1474" s="1" t="s">
        <v>127</v>
      </c>
      <c r="H1474" s="1">
        <v>0</v>
      </c>
      <c r="I1474" s="1" t="s">
        <v>128</v>
      </c>
      <c r="L1474" s="1" t="s">
        <v>374</v>
      </c>
      <c r="M1474" s="1" t="s">
        <v>8359</v>
      </c>
      <c r="N1474" s="1">
        <v>0</v>
      </c>
      <c r="O1474" s="1">
        <v>0</v>
      </c>
      <c r="P1474" s="1" t="s">
        <v>1058</v>
      </c>
      <c r="Q1474" s="1" t="s">
        <v>131</v>
      </c>
      <c r="R1474" s="1" t="s">
        <v>8360</v>
      </c>
      <c r="S1474" s="1" t="s">
        <v>8109</v>
      </c>
      <c r="T1474" s="1">
        <v>1</v>
      </c>
      <c r="U1474" s="1">
        <v>1</v>
      </c>
      <c r="V1474" s="1">
        <v>0</v>
      </c>
      <c r="W1474" s="1">
        <v>0</v>
      </c>
      <c r="X1474" s="1">
        <v>1</v>
      </c>
      <c r="Y1474" s="1" t="s">
        <v>104</v>
      </c>
      <c r="Z1474" s="1" t="s">
        <v>104</v>
      </c>
      <c r="AA1474" s="1">
        <v>2</v>
      </c>
      <c r="AB1474" s="1">
        <v>2</v>
      </c>
      <c r="AC1474" s="1">
        <v>2</v>
      </c>
      <c r="AD1474" s="1" t="s">
        <v>104</v>
      </c>
      <c r="AE1474" s="1">
        <v>2</v>
      </c>
      <c r="AF1474" s="1">
        <v>2</v>
      </c>
      <c r="AG1474" s="1" t="s">
        <v>104</v>
      </c>
      <c r="AH1474" s="1">
        <v>1</v>
      </c>
      <c r="AI1474" s="1">
        <v>2</v>
      </c>
      <c r="AJ1474" s="1">
        <v>2</v>
      </c>
      <c r="AK1474" s="1" t="s">
        <v>104</v>
      </c>
      <c r="AL1474" s="1" t="s">
        <v>104</v>
      </c>
      <c r="AM1474" s="1" t="s">
        <v>104</v>
      </c>
      <c r="AO1474" s="1">
        <v>2</v>
      </c>
      <c r="AR1474" s="1">
        <v>0</v>
      </c>
      <c r="AS1474" s="1">
        <v>0</v>
      </c>
      <c r="AT1474" s="1">
        <v>0</v>
      </c>
      <c r="AU1474" s="1">
        <v>0</v>
      </c>
      <c r="AV1474" s="1">
        <v>0</v>
      </c>
      <c r="AW1474" s="1">
        <v>0</v>
      </c>
      <c r="AX1474" s="1">
        <v>0</v>
      </c>
      <c r="AY1474" s="1">
        <v>0</v>
      </c>
      <c r="AZ1474" s="1">
        <v>0</v>
      </c>
      <c r="BA1474" s="1">
        <v>0</v>
      </c>
      <c r="BB1474" s="1">
        <v>0</v>
      </c>
      <c r="BC1474" s="1">
        <v>0</v>
      </c>
      <c r="BD1474" s="1">
        <v>0</v>
      </c>
      <c r="BE1474" s="1">
        <v>0</v>
      </c>
      <c r="BF1474" s="1">
        <v>0</v>
      </c>
      <c r="BG1474" s="1">
        <v>0</v>
      </c>
      <c r="BH1474" s="1">
        <v>0</v>
      </c>
      <c r="BI1474" s="1">
        <v>0</v>
      </c>
      <c r="BJ1474" s="1">
        <v>0</v>
      </c>
      <c r="BK1474" s="1">
        <v>0</v>
      </c>
      <c r="BL1474" s="1">
        <v>0</v>
      </c>
      <c r="BM1474" s="1">
        <v>0</v>
      </c>
      <c r="BN1474" s="1">
        <v>0</v>
      </c>
      <c r="BO1474" s="1">
        <v>0</v>
      </c>
      <c r="BP1474" s="1">
        <v>0</v>
      </c>
      <c r="BQ1474" s="1" t="s">
        <v>104</v>
      </c>
      <c r="BR1474" s="1">
        <v>1545</v>
      </c>
      <c r="BS1474" s="1" t="s">
        <v>104</v>
      </c>
      <c r="BX1474" s="1">
        <v>0</v>
      </c>
      <c r="BY1474" s="1" t="s">
        <v>104</v>
      </c>
      <c r="BZ1474" s="1" t="s">
        <v>104</v>
      </c>
      <c r="CA1474" s="1" t="s">
        <v>104</v>
      </c>
      <c r="CB1474" s="1" t="s">
        <v>104</v>
      </c>
      <c r="CC1474" s="1">
        <v>2</v>
      </c>
      <c r="CD1474" s="1" t="s">
        <v>104</v>
      </c>
      <c r="CE1474" s="1" t="s">
        <v>104</v>
      </c>
      <c r="CF1474" s="1" t="s">
        <v>104</v>
      </c>
      <c r="CG1474" s="1" t="s">
        <v>104</v>
      </c>
      <c r="CH1474" s="1">
        <v>2</v>
      </c>
      <c r="CJ1474" s="1">
        <v>0</v>
      </c>
      <c r="CK1474" s="1">
        <v>0</v>
      </c>
      <c r="CL1474" s="1">
        <v>0</v>
      </c>
      <c r="CM1474" s="1" t="s">
        <v>104</v>
      </c>
    </row>
    <row r="1475" spans="1:91" ht="14.25" customHeight="1" x14ac:dyDescent="0.3">
      <c r="A1475" s="1" t="s">
        <v>8361</v>
      </c>
      <c r="B1475" s="1" t="s">
        <v>137</v>
      </c>
      <c r="D1475" s="1" t="s">
        <v>50</v>
      </c>
      <c r="E1475" s="1" t="s">
        <v>8362</v>
      </c>
      <c r="F1475" s="1" t="s">
        <v>95</v>
      </c>
      <c r="G1475" s="1" t="s">
        <v>116</v>
      </c>
      <c r="H1475" s="1">
        <v>0</v>
      </c>
      <c r="I1475" s="1" t="s">
        <v>157</v>
      </c>
      <c r="L1475" s="1" t="s">
        <v>158</v>
      </c>
      <c r="M1475" s="1" t="s">
        <v>111</v>
      </c>
      <c r="N1475" s="1">
        <v>0</v>
      </c>
      <c r="O1475" s="1">
        <v>0</v>
      </c>
      <c r="P1475" s="1" t="s">
        <v>2807</v>
      </c>
      <c r="Q1475" s="1" t="s">
        <v>184</v>
      </c>
      <c r="R1475" s="1" t="s">
        <v>8363</v>
      </c>
      <c r="S1475" s="1" t="s">
        <v>8109</v>
      </c>
      <c r="T1475" s="1">
        <v>1</v>
      </c>
      <c r="U1475" s="1">
        <v>1</v>
      </c>
      <c r="V1475" s="1">
        <v>0</v>
      </c>
      <c r="W1475" s="1">
        <v>0</v>
      </c>
      <c r="X1475" s="1">
        <v>0</v>
      </c>
      <c r="Y1475" s="1" t="s">
        <v>104</v>
      </c>
      <c r="Z1475" s="1" t="s">
        <v>104</v>
      </c>
      <c r="AA1475" s="1" t="s">
        <v>104</v>
      </c>
      <c r="AB1475" s="1">
        <v>2</v>
      </c>
      <c r="AC1475" s="1">
        <v>4</v>
      </c>
      <c r="AD1475" s="1" t="s">
        <v>104</v>
      </c>
      <c r="AE1475" s="1" t="s">
        <v>104</v>
      </c>
      <c r="AF1475" s="1">
        <v>2</v>
      </c>
      <c r="AG1475" s="1" t="s">
        <v>104</v>
      </c>
      <c r="AH1475" s="1">
        <v>2</v>
      </c>
      <c r="AI1475" s="1" t="s">
        <v>104</v>
      </c>
      <c r="AJ1475" s="1" t="s">
        <v>104</v>
      </c>
      <c r="AK1475" s="1">
        <v>2</v>
      </c>
      <c r="AL1475" s="1">
        <v>3</v>
      </c>
      <c r="AM1475" s="1" t="s">
        <v>104</v>
      </c>
      <c r="AO1475" s="1">
        <v>2</v>
      </c>
      <c r="AR1475" s="1">
        <v>0</v>
      </c>
      <c r="AS1475" s="1">
        <v>0</v>
      </c>
      <c r="AT1475" s="1">
        <v>0</v>
      </c>
      <c r="AU1475" s="1">
        <v>0</v>
      </c>
      <c r="AV1475" s="1">
        <v>0</v>
      </c>
      <c r="AW1475" s="1">
        <v>0</v>
      </c>
      <c r="AX1475" s="1">
        <v>0</v>
      </c>
      <c r="AY1475" s="1">
        <v>1</v>
      </c>
      <c r="AZ1475" s="1">
        <v>0</v>
      </c>
      <c r="BA1475" s="1">
        <v>0</v>
      </c>
      <c r="BB1475" s="1">
        <v>0</v>
      </c>
      <c r="BC1475" s="1">
        <v>0</v>
      </c>
      <c r="BD1475" s="1">
        <v>0</v>
      </c>
      <c r="BE1475" s="1">
        <v>0</v>
      </c>
      <c r="BF1475" s="1">
        <v>0</v>
      </c>
      <c r="BG1475" s="1">
        <v>0</v>
      </c>
      <c r="BH1475" s="1">
        <v>0</v>
      </c>
      <c r="BI1475" s="1">
        <v>0</v>
      </c>
      <c r="BJ1475" s="1">
        <v>0</v>
      </c>
      <c r="BK1475" s="1">
        <v>0</v>
      </c>
      <c r="BL1475" s="1">
        <v>0</v>
      </c>
      <c r="BM1475" s="1">
        <v>0</v>
      </c>
      <c r="BN1475" s="1">
        <v>0</v>
      </c>
      <c r="BO1475" s="1">
        <v>0</v>
      </c>
      <c r="BP1475" s="1">
        <v>0</v>
      </c>
      <c r="BQ1475" s="1" t="s">
        <v>104</v>
      </c>
      <c r="BR1475" s="1">
        <v>1546</v>
      </c>
      <c r="BS1475" s="1" t="s">
        <v>104</v>
      </c>
      <c r="BX1475" s="1">
        <v>0</v>
      </c>
      <c r="BY1475" s="1" t="s">
        <v>104</v>
      </c>
      <c r="BZ1475" s="1" t="s">
        <v>104</v>
      </c>
      <c r="CA1475" s="1" t="s">
        <v>104</v>
      </c>
      <c r="CB1475" s="1" t="s">
        <v>104</v>
      </c>
      <c r="CC1475" s="1" t="s">
        <v>104</v>
      </c>
      <c r="CD1475" s="1" t="s">
        <v>104</v>
      </c>
      <c r="CE1475" s="1" t="s">
        <v>104</v>
      </c>
      <c r="CF1475" s="1" t="s">
        <v>104</v>
      </c>
      <c r="CG1475" s="1" t="s">
        <v>104</v>
      </c>
      <c r="CH1475" s="1">
        <v>2</v>
      </c>
      <c r="CJ1475" s="1">
        <v>0</v>
      </c>
      <c r="CK1475" s="1">
        <v>0</v>
      </c>
      <c r="CL1475" s="1">
        <v>0</v>
      </c>
      <c r="CM1475" s="1" t="s">
        <v>104</v>
      </c>
    </row>
    <row r="1476" spans="1:91" ht="14.25" customHeight="1" x14ac:dyDescent="0.3">
      <c r="A1476" s="1" t="s">
        <v>8364</v>
      </c>
      <c r="B1476" s="1" t="s">
        <v>137</v>
      </c>
      <c r="D1476" s="1" t="s">
        <v>44</v>
      </c>
      <c r="E1476" s="1" t="s">
        <v>8365</v>
      </c>
      <c r="F1476" s="1" t="s">
        <v>95</v>
      </c>
      <c r="G1476" s="1" t="s">
        <v>116</v>
      </c>
      <c r="H1476" s="1">
        <v>0</v>
      </c>
      <c r="I1476" s="1" t="s">
        <v>117</v>
      </c>
      <c r="L1476" s="1" t="s">
        <v>8366</v>
      </c>
      <c r="M1476" s="1" t="s">
        <v>6947</v>
      </c>
      <c r="N1476" s="1">
        <v>0</v>
      </c>
      <c r="O1476" s="1">
        <v>0</v>
      </c>
      <c r="P1476" s="1" t="s">
        <v>145</v>
      </c>
      <c r="Q1476" s="1" t="s">
        <v>101</v>
      </c>
      <c r="R1476" s="1" t="s">
        <v>8367</v>
      </c>
      <c r="S1476" s="1" t="s">
        <v>8109</v>
      </c>
      <c r="T1476" s="1">
        <v>1</v>
      </c>
      <c r="U1476" s="1">
        <v>1</v>
      </c>
      <c r="V1476" s="1">
        <v>0</v>
      </c>
      <c r="W1476" s="1">
        <v>0</v>
      </c>
      <c r="X1476" s="1">
        <v>0</v>
      </c>
      <c r="Y1476" s="1">
        <v>4</v>
      </c>
      <c r="Z1476" s="1">
        <v>4</v>
      </c>
      <c r="AA1476" s="1" t="s">
        <v>104</v>
      </c>
      <c r="AB1476" s="1">
        <v>4</v>
      </c>
      <c r="AC1476" s="1" t="s">
        <v>104</v>
      </c>
      <c r="AD1476" s="1" t="s">
        <v>104</v>
      </c>
      <c r="AE1476" s="1" t="s">
        <v>104</v>
      </c>
      <c r="AF1476" s="1">
        <v>4</v>
      </c>
      <c r="AG1476" s="1" t="s">
        <v>104</v>
      </c>
      <c r="AH1476" s="1" t="s">
        <v>104</v>
      </c>
      <c r="AI1476" s="1" t="s">
        <v>104</v>
      </c>
      <c r="AJ1476" s="1" t="s">
        <v>104</v>
      </c>
      <c r="AK1476" s="1" t="s">
        <v>104</v>
      </c>
      <c r="AL1476" s="1" t="s">
        <v>104</v>
      </c>
      <c r="AM1476" s="1" t="s">
        <v>104</v>
      </c>
      <c r="AO1476" s="1">
        <v>4</v>
      </c>
      <c r="AR1476" s="1">
        <v>0</v>
      </c>
      <c r="AS1476" s="1">
        <v>1</v>
      </c>
      <c r="AT1476" s="1">
        <v>0</v>
      </c>
      <c r="AU1476" s="1">
        <v>0</v>
      </c>
      <c r="AV1476" s="1">
        <v>0</v>
      </c>
      <c r="AW1476" s="1">
        <v>0</v>
      </c>
      <c r="AX1476" s="1">
        <v>0</v>
      </c>
      <c r="AY1476" s="1">
        <v>0</v>
      </c>
      <c r="AZ1476" s="1">
        <v>0</v>
      </c>
      <c r="BA1476" s="1">
        <v>0</v>
      </c>
      <c r="BB1476" s="1">
        <v>0</v>
      </c>
      <c r="BC1476" s="1">
        <v>0</v>
      </c>
      <c r="BD1476" s="1">
        <v>0</v>
      </c>
      <c r="BE1476" s="1">
        <v>0</v>
      </c>
      <c r="BF1476" s="1">
        <v>0</v>
      </c>
      <c r="BG1476" s="1">
        <v>0</v>
      </c>
      <c r="BH1476" s="1">
        <v>0</v>
      </c>
      <c r="BI1476" s="1">
        <v>0</v>
      </c>
      <c r="BJ1476" s="1">
        <v>0</v>
      </c>
      <c r="BK1476" s="1">
        <v>0</v>
      </c>
      <c r="BL1476" s="1">
        <v>0</v>
      </c>
      <c r="BM1476" s="1">
        <v>0</v>
      </c>
      <c r="BN1476" s="1">
        <v>0</v>
      </c>
      <c r="BO1476" s="1">
        <v>0</v>
      </c>
      <c r="BP1476" s="1">
        <v>0</v>
      </c>
      <c r="BQ1476" s="1" t="s">
        <v>104</v>
      </c>
      <c r="BR1476" s="1">
        <v>1547</v>
      </c>
      <c r="BS1476" s="1" t="s">
        <v>104</v>
      </c>
      <c r="BX1476" s="1">
        <v>0</v>
      </c>
      <c r="BY1476" s="1">
        <v>4</v>
      </c>
      <c r="BZ1476" s="1" t="s">
        <v>104</v>
      </c>
      <c r="CA1476" s="1" t="s">
        <v>104</v>
      </c>
      <c r="CB1476" s="1" t="s">
        <v>104</v>
      </c>
      <c r="CC1476" s="1" t="s">
        <v>104</v>
      </c>
      <c r="CD1476" s="1" t="s">
        <v>104</v>
      </c>
      <c r="CE1476" s="1" t="s">
        <v>104</v>
      </c>
      <c r="CF1476" s="1" t="s">
        <v>104</v>
      </c>
      <c r="CG1476" s="1" t="s">
        <v>104</v>
      </c>
      <c r="CH1476" s="1">
        <v>4</v>
      </c>
      <c r="CJ1476" s="1">
        <v>0</v>
      </c>
      <c r="CK1476" s="1">
        <v>0</v>
      </c>
      <c r="CL1476" s="1">
        <v>0</v>
      </c>
      <c r="CM1476" s="1" t="s">
        <v>104</v>
      </c>
    </row>
    <row r="1477" spans="1:91" ht="14.25" customHeight="1" x14ac:dyDescent="0.3">
      <c r="A1477" s="1" t="s">
        <v>8368</v>
      </c>
      <c r="B1477" s="1" t="s">
        <v>137</v>
      </c>
      <c r="D1477" s="1" t="s">
        <v>44</v>
      </c>
      <c r="E1477" s="1" t="s">
        <v>8369</v>
      </c>
      <c r="F1477" s="1" t="s">
        <v>95</v>
      </c>
      <c r="G1477" s="1" t="s">
        <v>1727</v>
      </c>
      <c r="H1477" s="1">
        <v>0</v>
      </c>
      <c r="I1477" s="1" t="s">
        <v>157</v>
      </c>
      <c r="L1477" s="1" t="s">
        <v>158</v>
      </c>
      <c r="M1477" s="1" t="s">
        <v>4992</v>
      </c>
      <c r="N1477" s="1">
        <v>1</v>
      </c>
      <c r="O1477" s="1">
        <v>0</v>
      </c>
      <c r="P1477" s="1" t="s">
        <v>100</v>
      </c>
      <c r="Q1477" s="1" t="s">
        <v>101</v>
      </c>
      <c r="R1477" s="1" t="s">
        <v>8370</v>
      </c>
      <c r="S1477" s="1" t="s">
        <v>8109</v>
      </c>
      <c r="T1477" s="1">
        <v>0</v>
      </c>
      <c r="U1477" s="1">
        <v>1</v>
      </c>
      <c r="V1477" s="1">
        <v>1</v>
      </c>
      <c r="W1477" s="1">
        <v>0</v>
      </c>
      <c r="X1477" s="1">
        <v>1</v>
      </c>
      <c r="Y1477" s="1">
        <v>4</v>
      </c>
      <c r="Z1477" s="1">
        <v>4</v>
      </c>
      <c r="AA1477" s="1" t="s">
        <v>104</v>
      </c>
      <c r="AB1477" s="1">
        <v>4</v>
      </c>
      <c r="AC1477" s="1">
        <v>4</v>
      </c>
      <c r="AD1477" s="1" t="s">
        <v>104</v>
      </c>
      <c r="AE1477" s="1" t="s">
        <v>104</v>
      </c>
      <c r="AF1477" s="1" t="s">
        <v>104</v>
      </c>
      <c r="AG1477" s="1" t="s">
        <v>104</v>
      </c>
      <c r="AH1477" s="1" t="s">
        <v>104</v>
      </c>
      <c r="AI1477" s="1" t="s">
        <v>104</v>
      </c>
      <c r="AJ1477" s="1" t="s">
        <v>104</v>
      </c>
      <c r="AK1477" s="1" t="s">
        <v>104</v>
      </c>
      <c r="AL1477" s="1" t="s">
        <v>104</v>
      </c>
      <c r="AM1477" s="1" t="s">
        <v>104</v>
      </c>
      <c r="AO1477" s="1">
        <v>4</v>
      </c>
      <c r="AR1477" s="1">
        <v>0</v>
      </c>
      <c r="AS1477" s="1">
        <v>1</v>
      </c>
      <c r="AT1477" s="1">
        <v>0</v>
      </c>
      <c r="AU1477" s="1">
        <v>0</v>
      </c>
      <c r="AV1477" s="1">
        <v>0</v>
      </c>
      <c r="AW1477" s="1">
        <v>0</v>
      </c>
      <c r="AX1477" s="1">
        <v>0</v>
      </c>
      <c r="AY1477" s="1">
        <v>0</v>
      </c>
      <c r="AZ1477" s="1">
        <v>0</v>
      </c>
      <c r="BA1477" s="1">
        <v>0</v>
      </c>
      <c r="BB1477" s="1">
        <v>0</v>
      </c>
      <c r="BC1477" s="1">
        <v>0</v>
      </c>
      <c r="BD1477" s="1">
        <v>0</v>
      </c>
      <c r="BE1477" s="1">
        <v>0</v>
      </c>
      <c r="BF1477" s="1">
        <v>0</v>
      </c>
      <c r="BG1477" s="1">
        <v>0</v>
      </c>
      <c r="BH1477" s="1">
        <v>0</v>
      </c>
      <c r="BI1477" s="1">
        <v>0</v>
      </c>
      <c r="BJ1477" s="1">
        <v>0</v>
      </c>
      <c r="BK1477" s="1">
        <v>0</v>
      </c>
      <c r="BL1477" s="1">
        <v>0</v>
      </c>
      <c r="BM1477" s="1">
        <v>0</v>
      </c>
      <c r="BN1477" s="1">
        <v>0</v>
      </c>
      <c r="BO1477" s="1">
        <v>0</v>
      </c>
      <c r="BP1477" s="1">
        <v>0</v>
      </c>
      <c r="BQ1477" s="1" t="s">
        <v>104</v>
      </c>
      <c r="BR1477" s="1">
        <v>1548</v>
      </c>
      <c r="BS1477" s="1" t="s">
        <v>104</v>
      </c>
      <c r="BX1477" s="1">
        <v>0</v>
      </c>
      <c r="BY1477" s="1" t="s">
        <v>104</v>
      </c>
      <c r="BZ1477" s="1" t="s">
        <v>104</v>
      </c>
      <c r="CA1477" s="1" t="s">
        <v>104</v>
      </c>
      <c r="CB1477" s="1" t="s">
        <v>104</v>
      </c>
      <c r="CC1477" s="1" t="s">
        <v>104</v>
      </c>
      <c r="CD1477" s="1" t="s">
        <v>104</v>
      </c>
      <c r="CE1477" s="1" t="s">
        <v>104</v>
      </c>
      <c r="CF1477" s="1" t="s">
        <v>104</v>
      </c>
      <c r="CG1477" s="1" t="s">
        <v>104</v>
      </c>
      <c r="CH1477" s="1">
        <v>4</v>
      </c>
      <c r="CJ1477" s="1">
        <v>0</v>
      </c>
      <c r="CK1477" s="1">
        <v>0</v>
      </c>
      <c r="CL1477" s="1">
        <v>0</v>
      </c>
      <c r="CM1477" s="1" t="s">
        <v>104</v>
      </c>
    </row>
    <row r="1478" spans="1:91" ht="14.25" customHeight="1" x14ac:dyDescent="0.3">
      <c r="A1478" s="1" t="s">
        <v>8371</v>
      </c>
      <c r="B1478" s="1" t="s">
        <v>434</v>
      </c>
      <c r="D1478" s="1" t="s">
        <v>44</v>
      </c>
      <c r="E1478" s="1" t="s">
        <v>6287</v>
      </c>
      <c r="F1478" s="1" t="s">
        <v>95</v>
      </c>
      <c r="G1478" s="1" t="s">
        <v>116</v>
      </c>
      <c r="H1478" s="1">
        <v>0</v>
      </c>
      <c r="I1478" s="1" t="s">
        <v>109</v>
      </c>
      <c r="K1478" s="1" t="s">
        <v>8372</v>
      </c>
      <c r="M1478" s="1" t="s">
        <v>111</v>
      </c>
      <c r="N1478" s="1">
        <v>0</v>
      </c>
      <c r="O1478" s="1">
        <v>0</v>
      </c>
      <c r="P1478" s="1" t="s">
        <v>8373</v>
      </c>
      <c r="Q1478" s="1" t="s">
        <v>184</v>
      </c>
      <c r="R1478" s="1" t="s">
        <v>8374</v>
      </c>
      <c r="S1478" s="1" t="s">
        <v>8109</v>
      </c>
      <c r="T1478" s="1">
        <v>1</v>
      </c>
      <c r="U1478" s="1">
        <v>1</v>
      </c>
      <c r="V1478" s="1">
        <v>0</v>
      </c>
      <c r="W1478" s="1">
        <v>0</v>
      </c>
      <c r="X1478" s="1">
        <v>0</v>
      </c>
      <c r="Y1478" s="1">
        <v>2</v>
      </c>
      <c r="Z1478" s="1">
        <v>2</v>
      </c>
      <c r="AA1478" s="1" t="s">
        <v>104</v>
      </c>
      <c r="AB1478" s="1">
        <v>2</v>
      </c>
      <c r="AC1478" s="1" t="s">
        <v>104</v>
      </c>
      <c r="AD1478" s="1" t="s">
        <v>104</v>
      </c>
      <c r="AE1478" s="1" t="s">
        <v>104</v>
      </c>
      <c r="AF1478" s="1" t="s">
        <v>104</v>
      </c>
      <c r="AG1478" s="1" t="s">
        <v>104</v>
      </c>
      <c r="AH1478" s="1" t="s">
        <v>104</v>
      </c>
      <c r="AI1478" s="1" t="s">
        <v>104</v>
      </c>
      <c r="AJ1478" s="1" t="s">
        <v>104</v>
      </c>
      <c r="AK1478" s="1" t="s">
        <v>104</v>
      </c>
      <c r="AL1478" s="1">
        <v>2</v>
      </c>
      <c r="AM1478" s="1" t="s">
        <v>104</v>
      </c>
      <c r="AO1478" s="1">
        <v>2</v>
      </c>
      <c r="AR1478" s="1">
        <v>0</v>
      </c>
      <c r="AS1478" s="1">
        <v>1</v>
      </c>
      <c r="AT1478" s="1">
        <v>0</v>
      </c>
      <c r="AU1478" s="1">
        <v>0</v>
      </c>
      <c r="AV1478" s="1">
        <v>0</v>
      </c>
      <c r="AW1478" s="1">
        <v>0</v>
      </c>
      <c r="AX1478" s="1">
        <v>0</v>
      </c>
      <c r="AY1478" s="1">
        <v>0</v>
      </c>
      <c r="AZ1478" s="1">
        <v>0</v>
      </c>
      <c r="BA1478" s="1">
        <v>0</v>
      </c>
      <c r="BB1478" s="1">
        <v>0</v>
      </c>
      <c r="BC1478" s="1">
        <v>0</v>
      </c>
      <c r="BD1478" s="1">
        <v>0</v>
      </c>
      <c r="BE1478" s="1">
        <v>0</v>
      </c>
      <c r="BF1478" s="1">
        <v>0</v>
      </c>
      <c r="BG1478" s="1">
        <v>0</v>
      </c>
      <c r="BH1478" s="1">
        <v>0</v>
      </c>
      <c r="BI1478" s="1">
        <v>0</v>
      </c>
      <c r="BJ1478" s="1">
        <v>0</v>
      </c>
      <c r="BK1478" s="1">
        <v>0</v>
      </c>
      <c r="BL1478" s="1">
        <v>0</v>
      </c>
      <c r="BM1478" s="1">
        <v>0</v>
      </c>
      <c r="BN1478" s="1">
        <v>0</v>
      </c>
      <c r="BO1478" s="1">
        <v>0</v>
      </c>
      <c r="BP1478" s="1">
        <v>0</v>
      </c>
      <c r="BQ1478" s="1" t="s">
        <v>104</v>
      </c>
      <c r="BR1478" s="1">
        <v>1549</v>
      </c>
      <c r="BS1478" s="1" t="s">
        <v>104</v>
      </c>
      <c r="BX1478" s="1">
        <v>0</v>
      </c>
      <c r="BY1478" s="1">
        <v>2</v>
      </c>
      <c r="BZ1478" s="1" t="s">
        <v>104</v>
      </c>
      <c r="CA1478" s="1" t="s">
        <v>104</v>
      </c>
      <c r="CB1478" s="1" t="s">
        <v>104</v>
      </c>
      <c r="CC1478" s="1" t="s">
        <v>104</v>
      </c>
      <c r="CD1478" s="1" t="s">
        <v>104</v>
      </c>
      <c r="CE1478" s="1" t="s">
        <v>104</v>
      </c>
      <c r="CF1478" s="1" t="s">
        <v>104</v>
      </c>
      <c r="CG1478" s="1" t="s">
        <v>104</v>
      </c>
      <c r="CH1478" s="1">
        <v>2</v>
      </c>
      <c r="CJ1478" s="1">
        <v>0</v>
      </c>
      <c r="CK1478" s="1">
        <v>0</v>
      </c>
      <c r="CL1478" s="1">
        <v>0</v>
      </c>
      <c r="CM1478" s="1" t="s">
        <v>104</v>
      </c>
    </row>
    <row r="1479" spans="1:91" ht="14.25" customHeight="1" x14ac:dyDescent="0.3">
      <c r="A1479" s="1" t="s">
        <v>8375</v>
      </c>
      <c r="B1479" s="1" t="s">
        <v>137</v>
      </c>
      <c r="D1479" s="1" t="s">
        <v>8376</v>
      </c>
      <c r="E1479" s="1" t="s">
        <v>8304</v>
      </c>
      <c r="F1479" s="1" t="s">
        <v>95</v>
      </c>
      <c r="G1479" s="1" t="s">
        <v>8377</v>
      </c>
      <c r="H1479" s="1">
        <v>1</v>
      </c>
      <c r="I1479" s="1" t="s">
        <v>128</v>
      </c>
      <c r="L1479" s="1" t="s">
        <v>1728</v>
      </c>
      <c r="M1479" s="1" t="s">
        <v>2330</v>
      </c>
      <c r="N1479" s="1">
        <v>0</v>
      </c>
      <c r="O1479" s="1">
        <v>0</v>
      </c>
      <c r="P1479" s="1" t="s">
        <v>195</v>
      </c>
      <c r="Q1479" s="1" t="s">
        <v>101</v>
      </c>
      <c r="R1479" s="1" t="s">
        <v>8378</v>
      </c>
      <c r="S1479" s="1" t="s">
        <v>8109</v>
      </c>
      <c r="T1479" s="1">
        <v>0</v>
      </c>
      <c r="U1479" s="1">
        <v>1</v>
      </c>
      <c r="V1479" s="1">
        <v>1</v>
      </c>
      <c r="W1479" s="1">
        <v>0</v>
      </c>
      <c r="X1479" s="1">
        <v>0</v>
      </c>
      <c r="Y1479" s="1">
        <v>4</v>
      </c>
      <c r="Z1479" s="1">
        <v>4</v>
      </c>
      <c r="AA1479" s="1" t="s">
        <v>104</v>
      </c>
      <c r="AB1479" s="1" t="s">
        <v>104</v>
      </c>
      <c r="AC1479" s="1" t="s">
        <v>104</v>
      </c>
      <c r="AD1479" s="1" t="s">
        <v>104</v>
      </c>
      <c r="AE1479" s="1" t="s">
        <v>104</v>
      </c>
      <c r="AF1479" s="1">
        <v>4</v>
      </c>
      <c r="AG1479" s="1" t="s">
        <v>104</v>
      </c>
      <c r="AH1479" s="1" t="s">
        <v>104</v>
      </c>
      <c r="AI1479" s="1" t="s">
        <v>104</v>
      </c>
      <c r="AJ1479" s="1" t="s">
        <v>104</v>
      </c>
      <c r="AK1479" s="1" t="s">
        <v>104</v>
      </c>
      <c r="AL1479" s="1" t="s">
        <v>104</v>
      </c>
      <c r="AM1479" s="1" t="s">
        <v>104</v>
      </c>
      <c r="AO1479" s="1">
        <v>4</v>
      </c>
      <c r="AR1479" s="1">
        <v>0</v>
      </c>
      <c r="AS1479" s="1">
        <v>1</v>
      </c>
      <c r="AT1479" s="1">
        <v>0</v>
      </c>
      <c r="AU1479" s="1">
        <v>0</v>
      </c>
      <c r="AV1479" s="1">
        <v>0</v>
      </c>
      <c r="AW1479" s="1">
        <v>0</v>
      </c>
      <c r="AX1479" s="1">
        <v>0</v>
      </c>
      <c r="AY1479" s="1">
        <v>0</v>
      </c>
      <c r="AZ1479" s="1">
        <v>0</v>
      </c>
      <c r="BA1479" s="1">
        <v>0</v>
      </c>
      <c r="BB1479" s="1">
        <v>0</v>
      </c>
      <c r="BC1479" s="1">
        <v>0</v>
      </c>
      <c r="BD1479" s="1">
        <v>0</v>
      </c>
      <c r="BE1479" s="1">
        <v>0</v>
      </c>
      <c r="BF1479" s="1">
        <v>0</v>
      </c>
      <c r="BG1479" s="1">
        <v>0</v>
      </c>
      <c r="BH1479" s="1">
        <v>0</v>
      </c>
      <c r="BI1479" s="1">
        <v>0</v>
      </c>
      <c r="BJ1479" s="1">
        <v>0</v>
      </c>
      <c r="BK1479" s="1">
        <v>0</v>
      </c>
      <c r="BL1479" s="1">
        <v>0</v>
      </c>
      <c r="BM1479" s="1">
        <v>1</v>
      </c>
      <c r="BN1479" s="1">
        <v>0</v>
      </c>
      <c r="BO1479" s="1">
        <v>0</v>
      </c>
      <c r="BP1479" s="1">
        <v>0</v>
      </c>
      <c r="BQ1479" s="1" t="s">
        <v>104</v>
      </c>
      <c r="BR1479" s="1">
        <v>1550</v>
      </c>
      <c r="BS1479" s="1">
        <v>100</v>
      </c>
      <c r="BT1479" s="1" t="s">
        <v>8379</v>
      </c>
      <c r="BX1479" s="1">
        <v>0</v>
      </c>
      <c r="BY1479" s="1" t="s">
        <v>104</v>
      </c>
      <c r="BZ1479" s="1" t="s">
        <v>104</v>
      </c>
      <c r="CA1479" s="1" t="s">
        <v>104</v>
      </c>
      <c r="CB1479" s="1" t="s">
        <v>104</v>
      </c>
      <c r="CC1479" s="1" t="s">
        <v>104</v>
      </c>
      <c r="CD1479" s="1" t="s">
        <v>104</v>
      </c>
      <c r="CE1479" s="1" t="s">
        <v>104</v>
      </c>
      <c r="CF1479" s="1" t="s">
        <v>104</v>
      </c>
      <c r="CG1479" s="1" t="s">
        <v>104</v>
      </c>
      <c r="CH1479" s="1" t="s">
        <v>104</v>
      </c>
      <c r="CJ1479" s="1">
        <v>0</v>
      </c>
      <c r="CK1479" s="1">
        <v>0</v>
      </c>
      <c r="CL1479" s="1">
        <v>0</v>
      </c>
      <c r="CM1479" s="1" t="s">
        <v>104</v>
      </c>
    </row>
    <row r="1480" spans="1:91" ht="14.25" customHeight="1" x14ac:dyDescent="0.3">
      <c r="A1480" s="1" t="s">
        <v>8380</v>
      </c>
      <c r="B1480" s="1" t="s">
        <v>434</v>
      </c>
      <c r="D1480" s="1" t="s">
        <v>44</v>
      </c>
      <c r="E1480" s="1" t="s">
        <v>2604</v>
      </c>
      <c r="F1480" s="1" t="s">
        <v>95</v>
      </c>
      <c r="G1480" s="1" t="s">
        <v>6118</v>
      </c>
      <c r="H1480" s="1">
        <v>0</v>
      </c>
      <c r="I1480" s="1" t="s">
        <v>8381</v>
      </c>
      <c r="K1480" s="1" t="s">
        <v>8382</v>
      </c>
      <c r="M1480" s="1" t="s">
        <v>8383</v>
      </c>
      <c r="N1480" s="1">
        <v>0</v>
      </c>
      <c r="O1480" s="1">
        <v>0</v>
      </c>
      <c r="P1480" s="1" t="s">
        <v>183</v>
      </c>
      <c r="Q1480" s="1" t="s">
        <v>184</v>
      </c>
      <c r="R1480" s="1" t="s">
        <v>8384</v>
      </c>
      <c r="S1480" s="1" t="s">
        <v>8109</v>
      </c>
      <c r="T1480" s="1">
        <v>1</v>
      </c>
      <c r="U1480" s="1">
        <v>1</v>
      </c>
      <c r="V1480" s="1">
        <v>0</v>
      </c>
      <c r="W1480" s="1">
        <v>0</v>
      </c>
      <c r="X1480" s="1">
        <v>0</v>
      </c>
      <c r="Y1480" s="1">
        <v>6</v>
      </c>
      <c r="Z1480" s="1">
        <v>6</v>
      </c>
      <c r="AA1480" s="1" t="s">
        <v>104</v>
      </c>
      <c r="AB1480" s="1">
        <v>6</v>
      </c>
      <c r="AC1480" s="1" t="s">
        <v>104</v>
      </c>
      <c r="AD1480" s="1" t="s">
        <v>104</v>
      </c>
      <c r="AE1480" s="1" t="s">
        <v>104</v>
      </c>
      <c r="AF1480" s="1" t="s">
        <v>104</v>
      </c>
      <c r="AG1480" s="1" t="s">
        <v>104</v>
      </c>
      <c r="AH1480" s="1" t="s">
        <v>104</v>
      </c>
      <c r="AI1480" s="1" t="s">
        <v>104</v>
      </c>
      <c r="AJ1480" s="1" t="s">
        <v>104</v>
      </c>
      <c r="AK1480" s="1" t="s">
        <v>104</v>
      </c>
      <c r="AL1480" s="1" t="s">
        <v>104</v>
      </c>
      <c r="AM1480" s="1" t="s">
        <v>104</v>
      </c>
      <c r="AO1480" s="1">
        <v>6</v>
      </c>
      <c r="AR1480" s="1">
        <v>0</v>
      </c>
      <c r="AS1480" s="1">
        <v>1</v>
      </c>
      <c r="AT1480" s="1">
        <v>0</v>
      </c>
      <c r="AU1480" s="1">
        <v>0</v>
      </c>
      <c r="AV1480" s="1">
        <v>0</v>
      </c>
      <c r="AW1480" s="1">
        <v>0</v>
      </c>
      <c r="AX1480" s="1">
        <v>0</v>
      </c>
      <c r="AY1480" s="1">
        <v>0</v>
      </c>
      <c r="AZ1480" s="1">
        <v>0</v>
      </c>
      <c r="BA1480" s="1">
        <v>0</v>
      </c>
      <c r="BB1480" s="1">
        <v>0</v>
      </c>
      <c r="BC1480" s="1">
        <v>0</v>
      </c>
      <c r="BD1480" s="1">
        <v>0</v>
      </c>
      <c r="BE1480" s="1">
        <v>0</v>
      </c>
      <c r="BF1480" s="1">
        <v>0</v>
      </c>
      <c r="BG1480" s="1">
        <v>0</v>
      </c>
      <c r="BH1480" s="1">
        <v>0</v>
      </c>
      <c r="BI1480" s="1">
        <v>0</v>
      </c>
      <c r="BJ1480" s="1">
        <v>0</v>
      </c>
      <c r="BK1480" s="1">
        <v>0</v>
      </c>
      <c r="BL1480" s="1">
        <v>0</v>
      </c>
      <c r="BM1480" s="1">
        <v>0</v>
      </c>
      <c r="BN1480" s="1">
        <v>0</v>
      </c>
      <c r="BO1480" s="1">
        <v>0</v>
      </c>
      <c r="BP1480" s="1">
        <v>0</v>
      </c>
      <c r="BQ1480" s="1" t="s">
        <v>104</v>
      </c>
      <c r="BR1480" s="1">
        <v>1551</v>
      </c>
      <c r="BS1480" s="1" t="s">
        <v>104</v>
      </c>
      <c r="BX1480" s="1">
        <v>0</v>
      </c>
      <c r="BY1480" s="1" t="s">
        <v>104</v>
      </c>
      <c r="BZ1480" s="1" t="s">
        <v>104</v>
      </c>
      <c r="CA1480" s="1" t="s">
        <v>104</v>
      </c>
      <c r="CB1480" s="1" t="s">
        <v>104</v>
      </c>
      <c r="CC1480" s="1" t="s">
        <v>104</v>
      </c>
      <c r="CD1480" s="1" t="s">
        <v>104</v>
      </c>
      <c r="CE1480" s="1" t="s">
        <v>104</v>
      </c>
      <c r="CF1480" s="1" t="s">
        <v>104</v>
      </c>
      <c r="CG1480" s="1" t="s">
        <v>104</v>
      </c>
      <c r="CH1480" s="1">
        <v>6</v>
      </c>
      <c r="CJ1480" s="1">
        <v>0</v>
      </c>
      <c r="CK1480" s="1">
        <v>0</v>
      </c>
      <c r="CL1480" s="1">
        <v>0</v>
      </c>
      <c r="CM1480" s="1" t="s">
        <v>104</v>
      </c>
    </row>
    <row r="1481" spans="1:91" ht="14.25" customHeight="1" x14ac:dyDescent="0.3">
      <c r="A1481" s="1" t="s">
        <v>8385</v>
      </c>
      <c r="B1481" s="1" t="s">
        <v>137</v>
      </c>
      <c r="D1481" s="1" t="s">
        <v>44</v>
      </c>
      <c r="E1481" s="1" t="s">
        <v>8386</v>
      </c>
      <c r="F1481" s="1" t="s">
        <v>95</v>
      </c>
      <c r="G1481" s="1" t="s">
        <v>116</v>
      </c>
      <c r="H1481" s="1">
        <v>0</v>
      </c>
      <c r="I1481" s="1" t="s">
        <v>128</v>
      </c>
      <c r="L1481" s="1" t="s">
        <v>374</v>
      </c>
      <c r="M1481" s="1" t="s">
        <v>111</v>
      </c>
      <c r="N1481" s="1">
        <v>0</v>
      </c>
      <c r="O1481" s="1">
        <v>0</v>
      </c>
      <c r="P1481" s="1" t="s">
        <v>211</v>
      </c>
      <c r="Q1481" s="1" t="s">
        <v>184</v>
      </c>
      <c r="R1481" s="1" t="s">
        <v>8387</v>
      </c>
      <c r="S1481" s="1" t="s">
        <v>8109</v>
      </c>
      <c r="T1481" s="1">
        <v>1</v>
      </c>
      <c r="U1481" s="1">
        <v>1</v>
      </c>
      <c r="V1481" s="1">
        <v>0</v>
      </c>
      <c r="W1481" s="1">
        <v>0</v>
      </c>
      <c r="X1481" s="1">
        <v>0</v>
      </c>
      <c r="Y1481" s="1">
        <v>5</v>
      </c>
      <c r="Z1481" s="1">
        <v>5</v>
      </c>
      <c r="AA1481" s="1" t="s">
        <v>104</v>
      </c>
      <c r="AB1481" s="1">
        <v>5</v>
      </c>
      <c r="AC1481" s="1" t="s">
        <v>104</v>
      </c>
      <c r="AD1481" s="1" t="s">
        <v>104</v>
      </c>
      <c r="AE1481" s="1" t="s">
        <v>104</v>
      </c>
      <c r="AF1481" s="1" t="s">
        <v>104</v>
      </c>
      <c r="AG1481" s="1" t="s">
        <v>104</v>
      </c>
      <c r="AH1481" s="1">
        <v>5</v>
      </c>
      <c r="AI1481" s="1" t="s">
        <v>104</v>
      </c>
      <c r="AJ1481" s="1" t="s">
        <v>104</v>
      </c>
      <c r="AK1481" s="1" t="s">
        <v>104</v>
      </c>
      <c r="AL1481" s="1">
        <v>5</v>
      </c>
      <c r="AM1481" s="1" t="s">
        <v>104</v>
      </c>
      <c r="AO1481" s="1">
        <v>5</v>
      </c>
      <c r="AR1481" s="1">
        <v>0</v>
      </c>
      <c r="AS1481" s="1">
        <v>1</v>
      </c>
      <c r="AT1481" s="1">
        <v>0</v>
      </c>
      <c r="AU1481" s="1">
        <v>0</v>
      </c>
      <c r="AV1481" s="1">
        <v>0</v>
      </c>
      <c r="AW1481" s="1">
        <v>0</v>
      </c>
      <c r="AX1481" s="1">
        <v>0</v>
      </c>
      <c r="AY1481" s="1">
        <v>0</v>
      </c>
      <c r="AZ1481" s="1">
        <v>0</v>
      </c>
      <c r="BA1481" s="1">
        <v>0</v>
      </c>
      <c r="BB1481" s="1">
        <v>0</v>
      </c>
      <c r="BC1481" s="1">
        <v>0</v>
      </c>
      <c r="BD1481" s="1">
        <v>0</v>
      </c>
      <c r="BE1481" s="1">
        <v>0</v>
      </c>
      <c r="BF1481" s="1">
        <v>0</v>
      </c>
      <c r="BG1481" s="1">
        <v>0</v>
      </c>
      <c r="BH1481" s="1">
        <v>0</v>
      </c>
      <c r="BI1481" s="1">
        <v>0</v>
      </c>
      <c r="BJ1481" s="1">
        <v>0</v>
      </c>
      <c r="BK1481" s="1">
        <v>0</v>
      </c>
      <c r="BL1481" s="1">
        <v>0</v>
      </c>
      <c r="BM1481" s="1">
        <v>0</v>
      </c>
      <c r="BN1481" s="1">
        <v>0</v>
      </c>
      <c r="BO1481" s="1">
        <v>0</v>
      </c>
      <c r="BP1481" s="1">
        <v>0</v>
      </c>
      <c r="BQ1481" s="1" t="s">
        <v>104</v>
      </c>
      <c r="BR1481" s="1">
        <v>1552</v>
      </c>
      <c r="BS1481" s="1" t="s">
        <v>104</v>
      </c>
      <c r="BX1481" s="1">
        <v>0</v>
      </c>
      <c r="BY1481" s="1" t="s">
        <v>104</v>
      </c>
      <c r="BZ1481" s="1" t="s">
        <v>104</v>
      </c>
      <c r="CA1481" s="1" t="s">
        <v>104</v>
      </c>
      <c r="CB1481" s="1" t="s">
        <v>104</v>
      </c>
      <c r="CC1481" s="1" t="s">
        <v>104</v>
      </c>
      <c r="CD1481" s="1" t="s">
        <v>104</v>
      </c>
      <c r="CE1481" s="1" t="s">
        <v>104</v>
      </c>
      <c r="CF1481" s="1" t="s">
        <v>104</v>
      </c>
      <c r="CG1481" s="1" t="s">
        <v>104</v>
      </c>
      <c r="CH1481" s="1">
        <v>5</v>
      </c>
      <c r="CJ1481" s="1">
        <v>0</v>
      </c>
      <c r="CK1481" s="1">
        <v>0</v>
      </c>
      <c r="CL1481" s="1">
        <v>0</v>
      </c>
      <c r="CM1481" s="1" t="s">
        <v>104</v>
      </c>
    </row>
    <row r="1482" spans="1:91" ht="14.25" customHeight="1" x14ac:dyDescent="0.3">
      <c r="A1482" s="1" t="s">
        <v>8388</v>
      </c>
      <c r="B1482" s="1" t="s">
        <v>137</v>
      </c>
      <c r="D1482" s="1" t="s">
        <v>44</v>
      </c>
      <c r="E1482" s="1" t="s">
        <v>8389</v>
      </c>
      <c r="F1482" s="1" t="s">
        <v>1502</v>
      </c>
      <c r="G1482" s="1" t="s">
        <v>116</v>
      </c>
      <c r="H1482" s="1">
        <v>0</v>
      </c>
      <c r="I1482" s="1" t="s">
        <v>157</v>
      </c>
      <c r="L1482" s="1" t="s">
        <v>158</v>
      </c>
      <c r="M1482" s="1" t="s">
        <v>119</v>
      </c>
      <c r="N1482" s="1">
        <v>0</v>
      </c>
      <c r="O1482" s="1">
        <v>0</v>
      </c>
      <c r="R1482" s="1" t="s">
        <v>8390</v>
      </c>
      <c r="S1482" s="1" t="s">
        <v>8109</v>
      </c>
      <c r="T1482" s="1">
        <v>1</v>
      </c>
      <c r="U1482" s="1">
        <v>1</v>
      </c>
      <c r="V1482" s="1">
        <v>0</v>
      </c>
      <c r="W1482" s="1">
        <v>0</v>
      </c>
      <c r="X1482" s="1">
        <v>0</v>
      </c>
      <c r="Y1482" s="1">
        <v>1</v>
      </c>
      <c r="Z1482" s="1">
        <v>1</v>
      </c>
      <c r="AA1482" s="1" t="s">
        <v>104</v>
      </c>
      <c r="AB1482" s="1">
        <v>1</v>
      </c>
      <c r="AC1482" s="1" t="s">
        <v>104</v>
      </c>
      <c r="AD1482" s="1">
        <v>1</v>
      </c>
      <c r="AE1482" s="1" t="s">
        <v>104</v>
      </c>
      <c r="AF1482" s="1" t="s">
        <v>104</v>
      </c>
      <c r="AG1482" s="1" t="s">
        <v>104</v>
      </c>
      <c r="AH1482" s="1" t="s">
        <v>104</v>
      </c>
      <c r="AI1482" s="1" t="s">
        <v>104</v>
      </c>
      <c r="AJ1482" s="1" t="s">
        <v>104</v>
      </c>
      <c r="AK1482" s="1" t="s">
        <v>104</v>
      </c>
      <c r="AL1482" s="1">
        <v>1</v>
      </c>
      <c r="AM1482" s="1" t="s">
        <v>104</v>
      </c>
      <c r="AO1482" s="1">
        <v>1</v>
      </c>
      <c r="AR1482" s="1">
        <v>0</v>
      </c>
      <c r="AS1482" s="1">
        <v>1</v>
      </c>
      <c r="AT1482" s="1">
        <v>0</v>
      </c>
      <c r="AU1482" s="1">
        <v>0</v>
      </c>
      <c r="AV1482" s="1">
        <v>0</v>
      </c>
      <c r="AW1482" s="1">
        <v>0</v>
      </c>
      <c r="AX1482" s="1">
        <v>0</v>
      </c>
      <c r="AY1482" s="1">
        <v>0</v>
      </c>
      <c r="AZ1482" s="1">
        <v>0</v>
      </c>
      <c r="BA1482" s="1">
        <v>0</v>
      </c>
      <c r="BB1482" s="1">
        <v>0</v>
      </c>
      <c r="BC1482" s="1">
        <v>0</v>
      </c>
      <c r="BD1482" s="1">
        <v>0</v>
      </c>
      <c r="BE1482" s="1">
        <v>0</v>
      </c>
      <c r="BF1482" s="1">
        <v>0</v>
      </c>
      <c r="BG1482" s="1">
        <v>0</v>
      </c>
      <c r="BH1482" s="1">
        <v>0</v>
      </c>
      <c r="BI1482" s="1">
        <v>0</v>
      </c>
      <c r="BJ1482" s="1">
        <v>0</v>
      </c>
      <c r="BK1482" s="1">
        <v>0</v>
      </c>
      <c r="BL1482" s="1">
        <v>0</v>
      </c>
      <c r="BM1482" s="1">
        <v>0</v>
      </c>
      <c r="BN1482" s="1">
        <v>0</v>
      </c>
      <c r="BO1482" s="1">
        <v>0</v>
      </c>
      <c r="BP1482" s="1">
        <v>0</v>
      </c>
      <c r="BQ1482" s="1" t="s">
        <v>104</v>
      </c>
      <c r="BR1482" s="1">
        <v>1553</v>
      </c>
      <c r="BS1482" s="1" t="s">
        <v>104</v>
      </c>
      <c r="BX1482" s="1">
        <v>0</v>
      </c>
      <c r="BY1482" s="1">
        <v>1</v>
      </c>
      <c r="BZ1482" s="1" t="s">
        <v>104</v>
      </c>
      <c r="CA1482" s="1" t="s">
        <v>104</v>
      </c>
      <c r="CB1482" s="1" t="s">
        <v>104</v>
      </c>
      <c r="CC1482" s="1" t="s">
        <v>104</v>
      </c>
      <c r="CD1482" s="1" t="s">
        <v>104</v>
      </c>
      <c r="CE1482" s="1" t="s">
        <v>104</v>
      </c>
      <c r="CF1482" s="1" t="s">
        <v>104</v>
      </c>
      <c r="CG1482" s="1" t="s">
        <v>104</v>
      </c>
      <c r="CH1482" s="1">
        <v>1</v>
      </c>
      <c r="CJ1482" s="1">
        <v>0</v>
      </c>
      <c r="CK1482" s="1">
        <v>0</v>
      </c>
      <c r="CL1482" s="1">
        <v>0</v>
      </c>
      <c r="CM1482" s="1" t="s">
        <v>104</v>
      </c>
    </row>
    <row r="1483" spans="1:91" ht="14.25" customHeight="1" x14ac:dyDescent="0.3">
      <c r="A1483" s="1" t="s">
        <v>8391</v>
      </c>
      <c r="B1483" s="1" t="s">
        <v>172</v>
      </c>
      <c r="E1483" s="1" t="s">
        <v>8392</v>
      </c>
      <c r="F1483" s="1" t="s">
        <v>95</v>
      </c>
      <c r="G1483" s="1" t="s">
        <v>116</v>
      </c>
      <c r="H1483" s="1">
        <v>0</v>
      </c>
      <c r="I1483" s="1" t="s">
        <v>157</v>
      </c>
      <c r="L1483" s="1" t="s">
        <v>158</v>
      </c>
      <c r="M1483" s="1" t="s">
        <v>861</v>
      </c>
      <c r="N1483" s="1">
        <v>0</v>
      </c>
      <c r="O1483" s="1">
        <v>0</v>
      </c>
      <c r="R1483" s="1" t="s">
        <v>8393</v>
      </c>
      <c r="S1483" s="1" t="s">
        <v>8109</v>
      </c>
      <c r="T1483" s="1">
        <v>1</v>
      </c>
      <c r="U1483" s="1">
        <v>1</v>
      </c>
      <c r="V1483" s="1">
        <v>0</v>
      </c>
      <c r="W1483" s="1">
        <v>0</v>
      </c>
      <c r="X1483" s="1">
        <v>0</v>
      </c>
      <c r="Y1483" s="1">
        <v>2</v>
      </c>
      <c r="Z1483" s="1">
        <v>2</v>
      </c>
      <c r="AA1483" s="1" t="s">
        <v>104</v>
      </c>
      <c r="AB1483" s="1">
        <v>1</v>
      </c>
      <c r="AC1483" s="1">
        <v>1</v>
      </c>
      <c r="AD1483" s="1">
        <v>2</v>
      </c>
      <c r="AE1483" s="1" t="s">
        <v>104</v>
      </c>
      <c r="AF1483" s="1" t="s">
        <v>104</v>
      </c>
      <c r="AG1483" s="1" t="s">
        <v>104</v>
      </c>
      <c r="AH1483" s="1">
        <v>2</v>
      </c>
      <c r="AI1483" s="1" t="s">
        <v>104</v>
      </c>
      <c r="AJ1483" s="1" t="s">
        <v>104</v>
      </c>
      <c r="AK1483" s="1" t="s">
        <v>104</v>
      </c>
      <c r="AL1483" s="1" t="s">
        <v>104</v>
      </c>
      <c r="AM1483" s="1" t="s">
        <v>104</v>
      </c>
      <c r="AO1483" s="1">
        <v>2</v>
      </c>
      <c r="AR1483" s="1">
        <v>0</v>
      </c>
      <c r="AS1483" s="1">
        <v>0</v>
      </c>
      <c r="AT1483" s="1">
        <v>0</v>
      </c>
      <c r="AU1483" s="1">
        <v>0</v>
      </c>
      <c r="AV1483" s="1">
        <v>0</v>
      </c>
      <c r="AW1483" s="1">
        <v>0</v>
      </c>
      <c r="AX1483" s="1">
        <v>0</v>
      </c>
      <c r="AY1483" s="1">
        <v>0</v>
      </c>
      <c r="AZ1483" s="1">
        <v>0</v>
      </c>
      <c r="BA1483" s="1">
        <v>0</v>
      </c>
      <c r="BB1483" s="1">
        <v>0</v>
      </c>
      <c r="BC1483" s="1">
        <v>0</v>
      </c>
      <c r="BD1483" s="1">
        <v>0</v>
      </c>
      <c r="BE1483" s="1">
        <v>0</v>
      </c>
      <c r="BF1483" s="1">
        <v>0</v>
      </c>
      <c r="BG1483" s="1">
        <v>0</v>
      </c>
      <c r="BH1483" s="1">
        <v>0</v>
      </c>
      <c r="BI1483" s="1">
        <v>0</v>
      </c>
      <c r="BJ1483" s="1">
        <v>0</v>
      </c>
      <c r="BK1483" s="1">
        <v>0</v>
      </c>
      <c r="BL1483" s="1">
        <v>0</v>
      </c>
      <c r="BM1483" s="1">
        <v>0</v>
      </c>
      <c r="BN1483" s="1">
        <v>0</v>
      </c>
      <c r="BO1483" s="1">
        <v>0</v>
      </c>
      <c r="BP1483" s="1">
        <v>0</v>
      </c>
      <c r="BQ1483" s="1" t="s">
        <v>104</v>
      </c>
      <c r="BR1483" s="1">
        <v>1554</v>
      </c>
      <c r="BS1483" s="1" t="s">
        <v>104</v>
      </c>
      <c r="BX1483" s="1">
        <v>0</v>
      </c>
      <c r="BY1483" s="1" t="s">
        <v>104</v>
      </c>
      <c r="BZ1483" s="1">
        <v>2</v>
      </c>
      <c r="CA1483" s="1">
        <v>2</v>
      </c>
      <c r="CB1483" s="1" t="s">
        <v>104</v>
      </c>
      <c r="CC1483" s="1">
        <v>2</v>
      </c>
      <c r="CD1483" s="1" t="s">
        <v>104</v>
      </c>
      <c r="CE1483" s="1" t="s">
        <v>104</v>
      </c>
      <c r="CF1483" s="1" t="s">
        <v>104</v>
      </c>
      <c r="CG1483" s="1" t="s">
        <v>104</v>
      </c>
      <c r="CH1483" s="1">
        <v>1</v>
      </c>
      <c r="CJ1483" s="1">
        <v>0</v>
      </c>
      <c r="CK1483" s="1">
        <v>0</v>
      </c>
      <c r="CL1483" s="1">
        <v>0</v>
      </c>
      <c r="CM1483" s="1" t="s">
        <v>104</v>
      </c>
    </row>
    <row r="1484" spans="1:91" ht="14.25" customHeight="1" x14ac:dyDescent="0.3">
      <c r="A1484" s="1" t="s">
        <v>8394</v>
      </c>
      <c r="B1484" s="1" t="s">
        <v>162</v>
      </c>
      <c r="E1484" s="1" t="s">
        <v>8395</v>
      </c>
      <c r="F1484" s="1" t="s">
        <v>95</v>
      </c>
      <c r="G1484" s="1" t="s">
        <v>116</v>
      </c>
      <c r="H1484" s="1">
        <v>0</v>
      </c>
      <c r="I1484" s="1" t="s">
        <v>128</v>
      </c>
      <c r="L1484" s="1" t="s">
        <v>7756</v>
      </c>
      <c r="M1484" s="1" t="s">
        <v>8359</v>
      </c>
      <c r="N1484" s="1">
        <v>0</v>
      </c>
      <c r="O1484" s="1">
        <v>0</v>
      </c>
      <c r="P1484" s="1" t="s">
        <v>148</v>
      </c>
      <c r="Q1484" s="1" t="s">
        <v>149</v>
      </c>
      <c r="R1484" s="1" t="s">
        <v>8396</v>
      </c>
      <c r="S1484" s="1" t="s">
        <v>8109</v>
      </c>
      <c r="T1484" s="1">
        <v>1</v>
      </c>
      <c r="U1484" s="1">
        <v>1</v>
      </c>
      <c r="V1484" s="1">
        <v>0</v>
      </c>
      <c r="W1484" s="1">
        <v>0</v>
      </c>
      <c r="X1484" s="1">
        <v>0</v>
      </c>
      <c r="Y1484" s="1">
        <v>1</v>
      </c>
      <c r="Z1484" s="1">
        <v>1</v>
      </c>
      <c r="AA1484" s="1">
        <v>1</v>
      </c>
      <c r="AB1484" s="1" t="s">
        <v>104</v>
      </c>
      <c r="AC1484" s="1" t="s">
        <v>104</v>
      </c>
      <c r="AD1484" s="1" t="s">
        <v>104</v>
      </c>
      <c r="AE1484" s="1" t="s">
        <v>104</v>
      </c>
      <c r="AF1484" s="1" t="s">
        <v>104</v>
      </c>
      <c r="AG1484" s="1" t="s">
        <v>104</v>
      </c>
      <c r="AH1484" s="1">
        <v>1</v>
      </c>
      <c r="AI1484" s="1">
        <v>1</v>
      </c>
      <c r="AJ1484" s="1">
        <v>1</v>
      </c>
      <c r="AK1484" s="1" t="s">
        <v>104</v>
      </c>
      <c r="AL1484" s="1" t="s">
        <v>104</v>
      </c>
      <c r="AM1484" s="1" t="s">
        <v>104</v>
      </c>
      <c r="AO1484" s="1">
        <v>1</v>
      </c>
      <c r="AR1484" s="1">
        <v>0</v>
      </c>
      <c r="AS1484" s="1">
        <v>0</v>
      </c>
      <c r="AT1484" s="1">
        <v>0</v>
      </c>
      <c r="AU1484" s="1">
        <v>0</v>
      </c>
      <c r="AV1484" s="1">
        <v>0</v>
      </c>
      <c r="AW1484" s="1">
        <v>0</v>
      </c>
      <c r="AX1484" s="1">
        <v>0</v>
      </c>
      <c r="AY1484" s="1">
        <v>0</v>
      </c>
      <c r="AZ1484" s="1">
        <v>0</v>
      </c>
      <c r="BA1484" s="1">
        <v>0</v>
      </c>
      <c r="BB1484" s="1">
        <v>0</v>
      </c>
      <c r="BC1484" s="1">
        <v>0</v>
      </c>
      <c r="BD1484" s="1">
        <v>0</v>
      </c>
      <c r="BE1484" s="1">
        <v>0</v>
      </c>
      <c r="BF1484" s="1">
        <v>0</v>
      </c>
      <c r="BG1484" s="1">
        <v>0</v>
      </c>
      <c r="BH1484" s="1">
        <v>0</v>
      </c>
      <c r="BI1484" s="1">
        <v>0</v>
      </c>
      <c r="BJ1484" s="1">
        <v>0</v>
      </c>
      <c r="BK1484" s="1">
        <v>0</v>
      </c>
      <c r="BL1484" s="1">
        <v>0</v>
      </c>
      <c r="BM1484" s="1">
        <v>0</v>
      </c>
      <c r="BN1484" s="1">
        <v>0</v>
      </c>
      <c r="BO1484" s="1">
        <v>0</v>
      </c>
      <c r="BP1484" s="1">
        <v>0</v>
      </c>
      <c r="BQ1484" s="1" t="s">
        <v>104</v>
      </c>
      <c r="BR1484" s="1">
        <v>1555</v>
      </c>
      <c r="BS1484" s="1" t="s">
        <v>104</v>
      </c>
      <c r="BX1484" s="1">
        <v>0</v>
      </c>
      <c r="BY1484" s="1" t="s">
        <v>104</v>
      </c>
      <c r="BZ1484" s="1" t="s">
        <v>104</v>
      </c>
      <c r="CA1484" s="1" t="s">
        <v>104</v>
      </c>
      <c r="CB1484" s="1" t="s">
        <v>104</v>
      </c>
      <c r="CC1484" s="1">
        <v>1</v>
      </c>
      <c r="CD1484" s="1" t="s">
        <v>104</v>
      </c>
      <c r="CE1484" s="1" t="s">
        <v>104</v>
      </c>
      <c r="CF1484" s="1" t="s">
        <v>104</v>
      </c>
      <c r="CG1484" s="1" t="s">
        <v>104</v>
      </c>
      <c r="CH1484" s="1" t="s">
        <v>104</v>
      </c>
      <c r="CJ1484" s="1">
        <v>0</v>
      </c>
      <c r="CK1484" s="1">
        <v>0</v>
      </c>
      <c r="CL1484" s="1">
        <v>0</v>
      </c>
      <c r="CM1484" s="1" t="s">
        <v>104</v>
      </c>
    </row>
    <row r="1485" spans="1:91" ht="14.25" customHeight="1" x14ac:dyDescent="0.3">
      <c r="A1485" s="1" t="s">
        <v>8397</v>
      </c>
      <c r="B1485" s="1" t="s">
        <v>162</v>
      </c>
      <c r="E1485" s="1" t="s">
        <v>8398</v>
      </c>
      <c r="F1485" s="1" t="s">
        <v>95</v>
      </c>
      <c r="G1485" s="1" t="s">
        <v>116</v>
      </c>
      <c r="H1485" s="1">
        <v>0</v>
      </c>
      <c r="I1485" s="1" t="s">
        <v>128</v>
      </c>
      <c r="L1485" s="1" t="s">
        <v>8399</v>
      </c>
      <c r="M1485" s="1" t="s">
        <v>341</v>
      </c>
      <c r="N1485" s="1">
        <v>0</v>
      </c>
      <c r="O1485" s="1">
        <v>0</v>
      </c>
      <c r="P1485" s="1" t="s">
        <v>375</v>
      </c>
      <c r="Q1485" s="1" t="s">
        <v>131</v>
      </c>
      <c r="R1485" s="1" t="s">
        <v>8400</v>
      </c>
      <c r="S1485" s="1" t="s">
        <v>8109</v>
      </c>
      <c r="T1485" s="1">
        <v>1</v>
      </c>
      <c r="U1485" s="1">
        <v>1</v>
      </c>
      <c r="V1485" s="1">
        <v>0</v>
      </c>
      <c r="W1485" s="1">
        <v>0</v>
      </c>
      <c r="X1485" s="1">
        <v>0</v>
      </c>
      <c r="Y1485" s="1">
        <v>1</v>
      </c>
      <c r="Z1485" s="1">
        <v>1</v>
      </c>
      <c r="AA1485" s="1">
        <v>1</v>
      </c>
      <c r="AB1485" s="1">
        <v>1</v>
      </c>
      <c r="AC1485" s="1">
        <v>1</v>
      </c>
      <c r="AD1485" s="1" t="s">
        <v>104</v>
      </c>
      <c r="AE1485" s="1" t="s">
        <v>104</v>
      </c>
      <c r="AF1485" s="1" t="s">
        <v>104</v>
      </c>
      <c r="AG1485" s="1" t="s">
        <v>104</v>
      </c>
      <c r="AH1485" s="1" t="s">
        <v>104</v>
      </c>
      <c r="AI1485" s="1">
        <v>1</v>
      </c>
      <c r="AJ1485" s="1">
        <v>1</v>
      </c>
      <c r="AK1485" s="1" t="s">
        <v>104</v>
      </c>
      <c r="AL1485" s="1" t="s">
        <v>104</v>
      </c>
      <c r="AM1485" s="1" t="s">
        <v>104</v>
      </c>
      <c r="AO1485" s="1">
        <v>1</v>
      </c>
      <c r="AR1485" s="1">
        <v>0</v>
      </c>
      <c r="AS1485" s="1">
        <v>0</v>
      </c>
      <c r="AT1485" s="1">
        <v>0</v>
      </c>
      <c r="AU1485" s="1">
        <v>0</v>
      </c>
      <c r="AV1485" s="1">
        <v>0</v>
      </c>
      <c r="AW1485" s="1">
        <v>0</v>
      </c>
      <c r="AX1485" s="1">
        <v>0</v>
      </c>
      <c r="AY1485" s="1">
        <v>0</v>
      </c>
      <c r="AZ1485" s="1">
        <v>0</v>
      </c>
      <c r="BA1485" s="1">
        <v>0</v>
      </c>
      <c r="BB1485" s="1">
        <v>0</v>
      </c>
      <c r="BC1485" s="1">
        <v>0</v>
      </c>
      <c r="BD1485" s="1">
        <v>0</v>
      </c>
      <c r="BE1485" s="1">
        <v>0</v>
      </c>
      <c r="BF1485" s="1">
        <v>0</v>
      </c>
      <c r="BG1485" s="1">
        <v>0</v>
      </c>
      <c r="BH1485" s="1">
        <v>0</v>
      </c>
      <c r="BI1485" s="1">
        <v>0</v>
      </c>
      <c r="BJ1485" s="1">
        <v>0</v>
      </c>
      <c r="BK1485" s="1">
        <v>0</v>
      </c>
      <c r="BL1485" s="1">
        <v>0</v>
      </c>
      <c r="BM1485" s="1">
        <v>0</v>
      </c>
      <c r="BN1485" s="1">
        <v>0</v>
      </c>
      <c r="BO1485" s="1">
        <v>0</v>
      </c>
      <c r="BP1485" s="1">
        <v>0</v>
      </c>
      <c r="BQ1485" s="1" t="s">
        <v>104</v>
      </c>
      <c r="BR1485" s="1">
        <v>1556</v>
      </c>
      <c r="BS1485" s="1" t="s">
        <v>104</v>
      </c>
      <c r="BX1485" s="1">
        <v>0</v>
      </c>
      <c r="BY1485" s="1">
        <v>1</v>
      </c>
      <c r="BZ1485" s="1" t="s">
        <v>104</v>
      </c>
      <c r="CA1485" s="1" t="s">
        <v>104</v>
      </c>
      <c r="CB1485" s="1" t="s">
        <v>104</v>
      </c>
      <c r="CC1485" s="1" t="s">
        <v>104</v>
      </c>
      <c r="CD1485" s="1" t="s">
        <v>104</v>
      </c>
      <c r="CE1485" s="1" t="s">
        <v>104</v>
      </c>
      <c r="CF1485" s="1" t="s">
        <v>104</v>
      </c>
      <c r="CG1485" s="1" t="s">
        <v>104</v>
      </c>
      <c r="CH1485" s="1">
        <v>1</v>
      </c>
      <c r="CJ1485" s="1">
        <v>0</v>
      </c>
      <c r="CK1485" s="1">
        <v>0</v>
      </c>
      <c r="CL1485" s="1">
        <v>0</v>
      </c>
      <c r="CM1485" s="1" t="s">
        <v>104</v>
      </c>
    </row>
    <row r="1486" spans="1:91" ht="14.25" customHeight="1" x14ac:dyDescent="0.3">
      <c r="A1486" s="1" t="s">
        <v>8401</v>
      </c>
      <c r="B1486" s="1" t="s">
        <v>92</v>
      </c>
      <c r="C1486" s="1" t="s">
        <v>1160</v>
      </c>
      <c r="D1486" s="1" t="s">
        <v>56</v>
      </c>
      <c r="E1486" s="1" t="s">
        <v>8402</v>
      </c>
      <c r="F1486" s="1" t="s">
        <v>95</v>
      </c>
      <c r="G1486" s="1" t="s">
        <v>237</v>
      </c>
      <c r="H1486" s="1">
        <v>0</v>
      </c>
      <c r="L1486" s="1" t="s">
        <v>8403</v>
      </c>
      <c r="M1486" s="1" t="s">
        <v>119</v>
      </c>
      <c r="N1486" s="1">
        <v>0</v>
      </c>
      <c r="O1486" s="1">
        <v>0</v>
      </c>
      <c r="P1486" s="1" t="s">
        <v>8404</v>
      </c>
      <c r="Q1486" s="1" t="s">
        <v>101</v>
      </c>
      <c r="R1486" s="1" t="s">
        <v>8405</v>
      </c>
      <c r="S1486" s="1" t="s">
        <v>8109</v>
      </c>
      <c r="T1486" s="1">
        <v>1</v>
      </c>
      <c r="U1486" s="1">
        <v>0</v>
      </c>
      <c r="V1486" s="1">
        <v>0</v>
      </c>
      <c r="W1486" s="1">
        <v>0</v>
      </c>
      <c r="X1486" s="1">
        <v>0</v>
      </c>
      <c r="Y1486" s="1">
        <v>5</v>
      </c>
      <c r="Z1486" s="1">
        <v>5</v>
      </c>
      <c r="AA1486" s="1" t="s">
        <v>104</v>
      </c>
      <c r="AB1486" s="1" t="s">
        <v>104</v>
      </c>
      <c r="AC1486" s="1" t="s">
        <v>104</v>
      </c>
      <c r="AD1486" s="1" t="s">
        <v>104</v>
      </c>
      <c r="AE1486" s="1" t="s">
        <v>104</v>
      </c>
      <c r="AF1486" s="1" t="s">
        <v>104</v>
      </c>
      <c r="AG1486" s="1">
        <v>4</v>
      </c>
      <c r="AH1486" s="1">
        <v>5</v>
      </c>
      <c r="AI1486" s="1" t="s">
        <v>104</v>
      </c>
      <c r="AJ1486" s="1" t="s">
        <v>104</v>
      </c>
      <c r="AK1486" s="1" t="s">
        <v>104</v>
      </c>
      <c r="AL1486" s="1" t="s">
        <v>104</v>
      </c>
      <c r="AM1486" s="1" t="s">
        <v>104</v>
      </c>
      <c r="AO1486" s="1">
        <v>5</v>
      </c>
      <c r="AR1486" s="1">
        <v>0</v>
      </c>
      <c r="AS1486" s="1">
        <v>0</v>
      </c>
      <c r="AT1486" s="1">
        <v>0</v>
      </c>
      <c r="AU1486" s="1">
        <v>0</v>
      </c>
      <c r="AV1486" s="1">
        <v>0</v>
      </c>
      <c r="AW1486" s="1">
        <v>0</v>
      </c>
      <c r="AX1486" s="1">
        <v>0</v>
      </c>
      <c r="AY1486" s="1">
        <v>0</v>
      </c>
      <c r="AZ1486" s="1">
        <v>0</v>
      </c>
      <c r="BA1486" s="1">
        <v>0</v>
      </c>
      <c r="BB1486" s="1">
        <v>0</v>
      </c>
      <c r="BC1486" s="1">
        <v>0</v>
      </c>
      <c r="BD1486" s="1">
        <v>0</v>
      </c>
      <c r="BE1486" s="1">
        <v>1</v>
      </c>
      <c r="BF1486" s="1">
        <v>0</v>
      </c>
      <c r="BG1486" s="1">
        <v>0</v>
      </c>
      <c r="BH1486" s="1">
        <v>0</v>
      </c>
      <c r="BI1486" s="1">
        <v>0</v>
      </c>
      <c r="BJ1486" s="1">
        <v>0</v>
      </c>
      <c r="BK1486" s="1">
        <v>0</v>
      </c>
      <c r="BL1486" s="1">
        <v>0</v>
      </c>
      <c r="BM1486" s="1">
        <v>0</v>
      </c>
      <c r="BN1486" s="1">
        <v>0</v>
      </c>
      <c r="BO1486" s="1">
        <v>0</v>
      </c>
      <c r="BP1486" s="1">
        <v>0</v>
      </c>
      <c r="BQ1486" s="1" t="s">
        <v>104</v>
      </c>
      <c r="BR1486" s="1">
        <v>1557</v>
      </c>
      <c r="BS1486" s="1" t="s">
        <v>104</v>
      </c>
      <c r="BX1486" s="1">
        <v>0</v>
      </c>
      <c r="BY1486" s="1" t="s">
        <v>104</v>
      </c>
      <c r="BZ1486" s="1" t="s">
        <v>104</v>
      </c>
      <c r="CA1486" s="1" t="s">
        <v>104</v>
      </c>
      <c r="CB1486" s="1" t="s">
        <v>104</v>
      </c>
      <c r="CC1486" s="1" t="s">
        <v>104</v>
      </c>
      <c r="CD1486" s="1" t="s">
        <v>104</v>
      </c>
      <c r="CE1486" s="1" t="s">
        <v>104</v>
      </c>
      <c r="CF1486" s="1" t="s">
        <v>104</v>
      </c>
      <c r="CG1486" s="1" t="s">
        <v>104</v>
      </c>
      <c r="CH1486" s="1" t="s">
        <v>104</v>
      </c>
      <c r="CJ1486" s="1">
        <v>0</v>
      </c>
      <c r="CK1486" s="1">
        <v>0</v>
      </c>
      <c r="CL1486" s="1">
        <v>0</v>
      </c>
      <c r="CM1486" s="1">
        <v>4</v>
      </c>
    </row>
    <row r="1487" spans="1:91" ht="14.25" customHeight="1" x14ac:dyDescent="0.3">
      <c r="A1487" s="1" t="s">
        <v>8406</v>
      </c>
      <c r="B1487" s="1" t="s">
        <v>137</v>
      </c>
      <c r="D1487" s="1" t="s">
        <v>8407</v>
      </c>
      <c r="E1487" s="1" t="s">
        <v>8408</v>
      </c>
      <c r="F1487" s="1" t="s">
        <v>95</v>
      </c>
      <c r="G1487" s="1" t="s">
        <v>116</v>
      </c>
      <c r="H1487" s="1">
        <v>0</v>
      </c>
      <c r="I1487" s="1" t="s">
        <v>157</v>
      </c>
      <c r="L1487" s="1" t="s">
        <v>158</v>
      </c>
      <c r="M1487" s="1" t="s">
        <v>426</v>
      </c>
      <c r="N1487" s="1">
        <v>1</v>
      </c>
      <c r="O1487" s="1">
        <v>0</v>
      </c>
      <c r="R1487" s="1" t="s">
        <v>8409</v>
      </c>
      <c r="S1487" s="1" t="s">
        <v>8109</v>
      </c>
      <c r="T1487" s="1">
        <v>1</v>
      </c>
      <c r="U1487" s="1">
        <v>1</v>
      </c>
      <c r="V1487" s="1">
        <v>0</v>
      </c>
      <c r="W1487" s="1">
        <v>0</v>
      </c>
      <c r="X1487" s="1">
        <v>0</v>
      </c>
      <c r="Y1487" s="1">
        <v>4</v>
      </c>
      <c r="Z1487" s="1">
        <v>4</v>
      </c>
      <c r="AA1487" s="1" t="s">
        <v>104</v>
      </c>
      <c r="AB1487" s="1" t="s">
        <v>104</v>
      </c>
      <c r="AC1487" s="1" t="s">
        <v>104</v>
      </c>
      <c r="AD1487" s="1" t="s">
        <v>104</v>
      </c>
      <c r="AE1487" s="1" t="s">
        <v>104</v>
      </c>
      <c r="AF1487" s="1" t="s">
        <v>104</v>
      </c>
      <c r="AG1487" s="1" t="s">
        <v>104</v>
      </c>
      <c r="AH1487" s="1">
        <v>4</v>
      </c>
      <c r="AI1487" s="1" t="s">
        <v>104</v>
      </c>
      <c r="AJ1487" s="1" t="s">
        <v>104</v>
      </c>
      <c r="AK1487" s="1" t="s">
        <v>104</v>
      </c>
      <c r="AL1487" s="1" t="s">
        <v>104</v>
      </c>
      <c r="AM1487" s="1" t="s">
        <v>104</v>
      </c>
      <c r="AO1487" s="1">
        <v>4</v>
      </c>
      <c r="AR1487" s="1">
        <v>1</v>
      </c>
      <c r="AS1487" s="1">
        <v>0</v>
      </c>
      <c r="AT1487" s="1">
        <v>0</v>
      </c>
      <c r="AU1487" s="1">
        <v>0</v>
      </c>
      <c r="AV1487" s="1">
        <v>0</v>
      </c>
      <c r="AW1487" s="1">
        <v>0</v>
      </c>
      <c r="AX1487" s="1">
        <v>0</v>
      </c>
      <c r="AY1487" s="1">
        <v>0</v>
      </c>
      <c r="AZ1487" s="1">
        <v>0</v>
      </c>
      <c r="BA1487" s="1">
        <v>1</v>
      </c>
      <c r="BB1487" s="1">
        <v>0</v>
      </c>
      <c r="BC1487" s="1">
        <v>0</v>
      </c>
      <c r="BD1487" s="1">
        <v>0</v>
      </c>
      <c r="BE1487" s="1">
        <v>1</v>
      </c>
      <c r="BF1487" s="1">
        <v>0</v>
      </c>
      <c r="BG1487" s="1">
        <v>0</v>
      </c>
      <c r="BH1487" s="1">
        <v>0</v>
      </c>
      <c r="BI1487" s="1">
        <v>0</v>
      </c>
      <c r="BJ1487" s="1">
        <v>0</v>
      </c>
      <c r="BK1487" s="1">
        <v>0</v>
      </c>
      <c r="BL1487" s="1">
        <v>0</v>
      </c>
      <c r="BM1487" s="1">
        <v>0</v>
      </c>
      <c r="BN1487" s="1">
        <v>0</v>
      </c>
      <c r="BO1487" s="1">
        <v>0</v>
      </c>
      <c r="BP1487" s="1">
        <v>0</v>
      </c>
      <c r="BQ1487" s="1" t="s">
        <v>104</v>
      </c>
      <c r="BR1487" s="1">
        <v>1558</v>
      </c>
      <c r="BS1487" s="1" t="s">
        <v>104</v>
      </c>
      <c r="BX1487" s="1">
        <v>0</v>
      </c>
      <c r="BY1487" s="1">
        <v>4</v>
      </c>
      <c r="BZ1487" s="1" t="s">
        <v>104</v>
      </c>
      <c r="CA1487" s="1" t="s">
        <v>104</v>
      </c>
      <c r="CB1487" s="1" t="s">
        <v>104</v>
      </c>
      <c r="CC1487" s="1" t="s">
        <v>104</v>
      </c>
      <c r="CD1487" s="1" t="s">
        <v>104</v>
      </c>
      <c r="CE1487" s="1" t="s">
        <v>104</v>
      </c>
      <c r="CF1487" s="1" t="s">
        <v>104</v>
      </c>
      <c r="CG1487" s="1" t="s">
        <v>104</v>
      </c>
      <c r="CH1487" s="1" t="s">
        <v>104</v>
      </c>
      <c r="CJ1487" s="1">
        <v>0</v>
      </c>
      <c r="CK1487" s="1">
        <v>0</v>
      </c>
      <c r="CL1487" s="1">
        <v>0</v>
      </c>
      <c r="CM1487" s="1" t="s">
        <v>104</v>
      </c>
    </row>
    <row r="1488" spans="1:91" ht="14.25" customHeight="1" x14ac:dyDescent="0.3">
      <c r="A1488" s="1" t="s">
        <v>8410</v>
      </c>
      <c r="B1488" s="1" t="s">
        <v>137</v>
      </c>
      <c r="D1488" s="1" t="s">
        <v>67</v>
      </c>
      <c r="E1488" s="1" t="s">
        <v>8411</v>
      </c>
      <c r="F1488" s="1" t="s">
        <v>95</v>
      </c>
      <c r="G1488" s="1" t="s">
        <v>116</v>
      </c>
      <c r="H1488" s="1">
        <v>0</v>
      </c>
      <c r="I1488" s="1" t="s">
        <v>128</v>
      </c>
      <c r="L1488" s="1" t="s">
        <v>4274</v>
      </c>
      <c r="M1488" s="1" t="s">
        <v>2330</v>
      </c>
      <c r="N1488" s="1">
        <v>0</v>
      </c>
      <c r="O1488" s="1">
        <v>0</v>
      </c>
      <c r="P1488" s="1" t="s">
        <v>375</v>
      </c>
      <c r="Q1488" s="1" t="s">
        <v>131</v>
      </c>
      <c r="R1488" s="1" t="s">
        <v>8412</v>
      </c>
      <c r="S1488" s="1" t="s">
        <v>8109</v>
      </c>
      <c r="T1488" s="1">
        <v>1</v>
      </c>
      <c r="U1488" s="1">
        <v>1</v>
      </c>
      <c r="V1488" s="1">
        <v>0</v>
      </c>
      <c r="W1488" s="1">
        <v>0</v>
      </c>
      <c r="X1488" s="1">
        <v>0</v>
      </c>
      <c r="Y1488" s="1">
        <v>1</v>
      </c>
      <c r="Z1488" s="1">
        <v>1</v>
      </c>
      <c r="AA1488" s="1">
        <v>1</v>
      </c>
      <c r="AB1488" s="1">
        <v>1</v>
      </c>
      <c r="AC1488" s="1">
        <v>1</v>
      </c>
      <c r="AD1488" s="1" t="s">
        <v>104</v>
      </c>
      <c r="AE1488" s="1" t="s">
        <v>104</v>
      </c>
      <c r="AF1488" s="1" t="s">
        <v>104</v>
      </c>
      <c r="AG1488" s="1" t="s">
        <v>104</v>
      </c>
      <c r="AH1488" s="1">
        <v>1</v>
      </c>
      <c r="AI1488" s="1" t="s">
        <v>104</v>
      </c>
      <c r="AJ1488" s="1">
        <v>1</v>
      </c>
      <c r="AK1488" s="1" t="s">
        <v>104</v>
      </c>
      <c r="AL1488" s="1" t="s">
        <v>104</v>
      </c>
      <c r="AM1488" s="1" t="s">
        <v>104</v>
      </c>
      <c r="AO1488" s="1">
        <v>1</v>
      </c>
      <c r="AR1488" s="1">
        <v>0</v>
      </c>
      <c r="AS1488" s="1">
        <v>0</v>
      </c>
      <c r="AT1488" s="1">
        <v>0</v>
      </c>
      <c r="AU1488" s="1">
        <v>0</v>
      </c>
      <c r="AV1488" s="1">
        <v>0</v>
      </c>
      <c r="AW1488" s="1">
        <v>0</v>
      </c>
      <c r="AX1488" s="1">
        <v>0</v>
      </c>
      <c r="AY1488" s="1">
        <v>0</v>
      </c>
      <c r="AZ1488" s="1">
        <v>0</v>
      </c>
      <c r="BA1488" s="1">
        <v>0</v>
      </c>
      <c r="BB1488" s="1">
        <v>0</v>
      </c>
      <c r="BC1488" s="1">
        <v>0</v>
      </c>
      <c r="BD1488" s="1">
        <v>0</v>
      </c>
      <c r="BE1488" s="1">
        <v>0</v>
      </c>
      <c r="BF1488" s="1">
        <v>0</v>
      </c>
      <c r="BG1488" s="1">
        <v>0</v>
      </c>
      <c r="BH1488" s="1">
        <v>0</v>
      </c>
      <c r="BI1488" s="1">
        <v>0</v>
      </c>
      <c r="BJ1488" s="1">
        <v>0</v>
      </c>
      <c r="BK1488" s="1">
        <v>0</v>
      </c>
      <c r="BL1488" s="1">
        <v>0</v>
      </c>
      <c r="BM1488" s="1">
        <v>0</v>
      </c>
      <c r="BN1488" s="1">
        <v>0</v>
      </c>
      <c r="BO1488" s="1">
        <v>0</v>
      </c>
      <c r="BP1488" s="1">
        <v>1</v>
      </c>
      <c r="BQ1488" s="1" t="s">
        <v>104</v>
      </c>
      <c r="BR1488" s="1">
        <v>1559</v>
      </c>
      <c r="BS1488" s="1" t="s">
        <v>104</v>
      </c>
      <c r="BX1488" s="1">
        <v>0</v>
      </c>
      <c r="BY1488" s="1" t="s">
        <v>104</v>
      </c>
      <c r="BZ1488" s="1" t="s">
        <v>104</v>
      </c>
      <c r="CA1488" s="1" t="s">
        <v>104</v>
      </c>
      <c r="CB1488" s="1" t="s">
        <v>104</v>
      </c>
      <c r="CC1488" s="1" t="s">
        <v>104</v>
      </c>
      <c r="CD1488" s="1" t="s">
        <v>104</v>
      </c>
      <c r="CE1488" s="1" t="s">
        <v>104</v>
      </c>
      <c r="CF1488" s="1" t="s">
        <v>104</v>
      </c>
      <c r="CG1488" s="1" t="s">
        <v>104</v>
      </c>
      <c r="CH1488" s="1">
        <v>1</v>
      </c>
      <c r="CJ1488" s="1">
        <v>0</v>
      </c>
      <c r="CK1488" s="1">
        <v>0</v>
      </c>
      <c r="CL1488" s="1">
        <v>0</v>
      </c>
      <c r="CM1488" s="1" t="s">
        <v>104</v>
      </c>
    </row>
    <row r="1489" spans="1:91" ht="14.25" customHeight="1" x14ac:dyDescent="0.3">
      <c r="A1489" s="1" t="s">
        <v>8413</v>
      </c>
      <c r="B1489" s="1" t="s">
        <v>162</v>
      </c>
      <c r="E1489" s="1" t="s">
        <v>8414</v>
      </c>
      <c r="F1489" s="1" t="s">
        <v>95</v>
      </c>
      <c r="G1489" s="1" t="s">
        <v>116</v>
      </c>
      <c r="H1489" s="1">
        <v>0</v>
      </c>
      <c r="I1489" s="1" t="s">
        <v>157</v>
      </c>
      <c r="L1489" s="1" t="s">
        <v>158</v>
      </c>
      <c r="M1489" s="1" t="s">
        <v>111</v>
      </c>
      <c r="N1489" s="1">
        <v>0</v>
      </c>
      <c r="O1489" s="1">
        <v>0</v>
      </c>
      <c r="R1489" s="1" t="s">
        <v>8415</v>
      </c>
      <c r="S1489" s="1" t="s">
        <v>8109</v>
      </c>
      <c r="T1489" s="1">
        <v>1</v>
      </c>
      <c r="U1489" s="1">
        <v>1</v>
      </c>
      <c r="V1489" s="1">
        <v>0</v>
      </c>
      <c r="W1489" s="1">
        <v>0</v>
      </c>
      <c r="X1489" s="1">
        <v>0</v>
      </c>
      <c r="Y1489" s="1" t="s">
        <v>104</v>
      </c>
      <c r="Z1489" s="1" t="s">
        <v>104</v>
      </c>
      <c r="AA1489" s="1" t="s">
        <v>104</v>
      </c>
      <c r="AB1489" s="1">
        <v>1</v>
      </c>
      <c r="AC1489" s="1" t="s">
        <v>104</v>
      </c>
      <c r="AD1489" s="1" t="s">
        <v>104</v>
      </c>
      <c r="AE1489" s="1" t="s">
        <v>104</v>
      </c>
      <c r="AF1489" s="1" t="s">
        <v>104</v>
      </c>
      <c r="AG1489" s="1" t="s">
        <v>104</v>
      </c>
      <c r="AH1489" s="1">
        <v>1</v>
      </c>
      <c r="AI1489" s="1" t="s">
        <v>104</v>
      </c>
      <c r="AJ1489" s="1" t="s">
        <v>104</v>
      </c>
      <c r="AK1489" s="1" t="s">
        <v>104</v>
      </c>
      <c r="AL1489" s="1" t="s">
        <v>104</v>
      </c>
      <c r="AM1489" s="1" t="s">
        <v>104</v>
      </c>
      <c r="AO1489" s="1">
        <v>1</v>
      </c>
      <c r="AR1489" s="1">
        <v>0</v>
      </c>
      <c r="AS1489" s="1">
        <v>0</v>
      </c>
      <c r="AT1489" s="1">
        <v>0</v>
      </c>
      <c r="AU1489" s="1">
        <v>0</v>
      </c>
      <c r="AV1489" s="1">
        <v>0</v>
      </c>
      <c r="AW1489" s="1">
        <v>0</v>
      </c>
      <c r="AX1489" s="1">
        <v>0</v>
      </c>
      <c r="AY1489" s="1">
        <v>0</v>
      </c>
      <c r="AZ1489" s="1">
        <v>0</v>
      </c>
      <c r="BA1489" s="1">
        <v>0</v>
      </c>
      <c r="BB1489" s="1">
        <v>0</v>
      </c>
      <c r="BC1489" s="1">
        <v>0</v>
      </c>
      <c r="BD1489" s="1">
        <v>0</v>
      </c>
      <c r="BE1489" s="1">
        <v>0</v>
      </c>
      <c r="BF1489" s="1">
        <v>0</v>
      </c>
      <c r="BG1489" s="1">
        <v>0</v>
      </c>
      <c r="BH1489" s="1">
        <v>0</v>
      </c>
      <c r="BI1489" s="1">
        <v>0</v>
      </c>
      <c r="BJ1489" s="1">
        <v>0</v>
      </c>
      <c r="BK1489" s="1">
        <v>0</v>
      </c>
      <c r="BL1489" s="1">
        <v>0</v>
      </c>
      <c r="BM1489" s="1">
        <v>0</v>
      </c>
      <c r="BN1489" s="1">
        <v>0</v>
      </c>
      <c r="BO1489" s="1">
        <v>0</v>
      </c>
      <c r="BP1489" s="1">
        <v>0</v>
      </c>
      <c r="BQ1489" s="1" t="s">
        <v>104</v>
      </c>
      <c r="BR1489" s="1">
        <v>1560</v>
      </c>
      <c r="BS1489" s="1" t="s">
        <v>104</v>
      </c>
      <c r="BX1489" s="1">
        <v>0</v>
      </c>
      <c r="BY1489" s="1" t="s">
        <v>104</v>
      </c>
      <c r="BZ1489" s="1" t="s">
        <v>104</v>
      </c>
      <c r="CA1489" s="1" t="s">
        <v>104</v>
      </c>
      <c r="CB1489" s="1" t="s">
        <v>104</v>
      </c>
      <c r="CC1489" s="1" t="s">
        <v>104</v>
      </c>
      <c r="CD1489" s="1" t="s">
        <v>104</v>
      </c>
      <c r="CE1489" s="1" t="s">
        <v>104</v>
      </c>
      <c r="CF1489" s="1" t="s">
        <v>104</v>
      </c>
      <c r="CG1489" s="1" t="s">
        <v>104</v>
      </c>
      <c r="CH1489" s="1">
        <v>1</v>
      </c>
      <c r="CJ1489" s="1">
        <v>0</v>
      </c>
      <c r="CK1489" s="1">
        <v>0</v>
      </c>
      <c r="CL1489" s="1">
        <v>0</v>
      </c>
      <c r="CM1489" s="1" t="s">
        <v>104</v>
      </c>
    </row>
    <row r="1490" spans="1:91" ht="14.25" customHeight="1" x14ac:dyDescent="0.3">
      <c r="A1490" s="1" t="s">
        <v>8416</v>
      </c>
      <c r="B1490" s="1" t="s">
        <v>123</v>
      </c>
      <c r="C1490" s="1" t="s">
        <v>635</v>
      </c>
      <c r="D1490" s="1" t="s">
        <v>207</v>
      </c>
      <c r="E1490" s="1" t="s">
        <v>8417</v>
      </c>
      <c r="F1490" s="1" t="s">
        <v>95</v>
      </c>
      <c r="G1490" s="1" t="s">
        <v>116</v>
      </c>
      <c r="H1490" s="1">
        <v>0</v>
      </c>
      <c r="I1490" s="1" t="s">
        <v>8418</v>
      </c>
      <c r="L1490" s="1" t="s">
        <v>8419</v>
      </c>
      <c r="M1490" s="1" t="s">
        <v>5978</v>
      </c>
      <c r="N1490" s="1">
        <v>1</v>
      </c>
      <c r="O1490" s="1">
        <v>0</v>
      </c>
      <c r="P1490" s="1" t="s">
        <v>211</v>
      </c>
      <c r="Q1490" s="1" t="s">
        <v>184</v>
      </c>
      <c r="R1490" s="1" t="s">
        <v>8420</v>
      </c>
      <c r="S1490" s="1" t="s">
        <v>8109</v>
      </c>
      <c r="T1490" s="1">
        <v>1</v>
      </c>
      <c r="U1490" s="1">
        <v>1</v>
      </c>
      <c r="V1490" s="1">
        <v>0</v>
      </c>
      <c r="W1490" s="1">
        <v>0</v>
      </c>
      <c r="X1490" s="1">
        <v>0</v>
      </c>
      <c r="Y1490" s="1">
        <v>4</v>
      </c>
      <c r="Z1490" s="1">
        <v>4</v>
      </c>
      <c r="AA1490" s="1" t="s">
        <v>104</v>
      </c>
      <c r="AB1490" s="1">
        <v>4</v>
      </c>
      <c r="AC1490" s="1" t="s">
        <v>104</v>
      </c>
      <c r="AD1490" s="1">
        <v>3</v>
      </c>
      <c r="AE1490" s="1" t="s">
        <v>104</v>
      </c>
      <c r="AF1490" s="1" t="s">
        <v>104</v>
      </c>
      <c r="AG1490" s="1">
        <v>4</v>
      </c>
      <c r="AH1490" s="1">
        <v>4</v>
      </c>
      <c r="AI1490" s="1" t="s">
        <v>104</v>
      </c>
      <c r="AJ1490" s="1" t="s">
        <v>104</v>
      </c>
      <c r="AK1490" s="1" t="s">
        <v>104</v>
      </c>
      <c r="AL1490" s="1" t="s">
        <v>104</v>
      </c>
      <c r="AM1490" s="1" t="s">
        <v>104</v>
      </c>
      <c r="AO1490" s="1">
        <v>4</v>
      </c>
      <c r="AR1490" s="1">
        <v>0</v>
      </c>
      <c r="AS1490" s="1">
        <v>0</v>
      </c>
      <c r="AT1490" s="1">
        <v>0</v>
      </c>
      <c r="AU1490" s="1">
        <v>0</v>
      </c>
      <c r="AV1490" s="1">
        <v>0</v>
      </c>
      <c r="AW1490" s="1">
        <v>0</v>
      </c>
      <c r="AX1490" s="1">
        <v>0</v>
      </c>
      <c r="AY1490" s="1">
        <v>0</v>
      </c>
      <c r="AZ1490" s="1">
        <v>0</v>
      </c>
      <c r="BA1490" s="1">
        <v>0</v>
      </c>
      <c r="BB1490" s="1">
        <v>0</v>
      </c>
      <c r="BC1490" s="1">
        <v>0</v>
      </c>
      <c r="BD1490" s="1">
        <v>0</v>
      </c>
      <c r="BE1490" s="1">
        <v>0</v>
      </c>
      <c r="BF1490" s="1">
        <v>0</v>
      </c>
      <c r="BG1490" s="1">
        <v>0</v>
      </c>
      <c r="BH1490" s="1">
        <v>0</v>
      </c>
      <c r="BI1490" s="1">
        <v>0</v>
      </c>
      <c r="BJ1490" s="1">
        <v>0</v>
      </c>
      <c r="BK1490" s="1">
        <v>1</v>
      </c>
      <c r="BL1490" s="1">
        <v>0</v>
      </c>
      <c r="BM1490" s="1">
        <v>0</v>
      </c>
      <c r="BN1490" s="1">
        <v>0</v>
      </c>
      <c r="BO1490" s="1">
        <v>1</v>
      </c>
      <c r="BP1490" s="1">
        <v>0</v>
      </c>
      <c r="BQ1490" s="1" t="s">
        <v>104</v>
      </c>
      <c r="BR1490" s="1">
        <v>1561</v>
      </c>
      <c r="BS1490" s="1" t="s">
        <v>104</v>
      </c>
      <c r="BX1490" s="1">
        <v>0</v>
      </c>
      <c r="BY1490" s="1" t="s">
        <v>104</v>
      </c>
      <c r="BZ1490" s="1" t="s">
        <v>104</v>
      </c>
      <c r="CA1490" s="1">
        <v>3</v>
      </c>
      <c r="CB1490" s="1" t="s">
        <v>104</v>
      </c>
      <c r="CC1490" s="1">
        <v>3</v>
      </c>
      <c r="CD1490" s="1" t="s">
        <v>104</v>
      </c>
      <c r="CE1490" s="1" t="s">
        <v>104</v>
      </c>
      <c r="CF1490" s="1" t="s">
        <v>104</v>
      </c>
      <c r="CG1490" s="1" t="s">
        <v>104</v>
      </c>
      <c r="CH1490" s="1">
        <v>4</v>
      </c>
      <c r="CJ1490" s="1">
        <v>0</v>
      </c>
      <c r="CK1490" s="1">
        <v>0</v>
      </c>
      <c r="CL1490" s="1">
        <v>0</v>
      </c>
      <c r="CM1490" s="1">
        <v>4</v>
      </c>
    </row>
    <row r="1491" spans="1:91" ht="14.25" customHeight="1" x14ac:dyDescent="0.3">
      <c r="A1491" s="1" t="s">
        <v>8421</v>
      </c>
      <c r="B1491" s="1" t="s">
        <v>216</v>
      </c>
      <c r="D1491" s="1" t="s">
        <v>8422</v>
      </c>
      <c r="E1491" s="1" t="s">
        <v>8423</v>
      </c>
      <c r="F1491" s="1" t="s">
        <v>95</v>
      </c>
      <c r="G1491" s="1" t="s">
        <v>116</v>
      </c>
      <c r="H1491" s="1">
        <v>0</v>
      </c>
      <c r="I1491" s="1" t="s">
        <v>117</v>
      </c>
      <c r="L1491" s="1" t="s">
        <v>1065</v>
      </c>
      <c r="M1491" s="1" t="s">
        <v>201</v>
      </c>
      <c r="N1491" s="1">
        <v>0</v>
      </c>
      <c r="O1491" s="1">
        <v>0</v>
      </c>
      <c r="P1491" s="1" t="s">
        <v>211</v>
      </c>
      <c r="Q1491" s="1" t="s">
        <v>184</v>
      </c>
      <c r="R1491" s="1" t="s">
        <v>8424</v>
      </c>
      <c r="S1491" s="1" t="s">
        <v>8109</v>
      </c>
      <c r="T1491" s="1">
        <v>1</v>
      </c>
      <c r="U1491" s="1">
        <v>1</v>
      </c>
      <c r="V1491" s="1">
        <v>0</v>
      </c>
      <c r="W1491" s="1">
        <v>0</v>
      </c>
      <c r="X1491" s="1">
        <v>0</v>
      </c>
      <c r="Y1491" s="1">
        <v>1</v>
      </c>
      <c r="Z1491" s="1">
        <v>1</v>
      </c>
      <c r="AA1491" s="1" t="s">
        <v>104</v>
      </c>
      <c r="AB1491" s="1" t="s">
        <v>104</v>
      </c>
      <c r="AC1491" s="1" t="s">
        <v>104</v>
      </c>
      <c r="AD1491" s="1" t="s">
        <v>104</v>
      </c>
      <c r="AE1491" s="1" t="s">
        <v>104</v>
      </c>
      <c r="AF1491" s="1" t="s">
        <v>104</v>
      </c>
      <c r="AG1491" s="1" t="s">
        <v>104</v>
      </c>
      <c r="AH1491" s="1">
        <v>1</v>
      </c>
      <c r="AI1491" s="1" t="s">
        <v>104</v>
      </c>
      <c r="AJ1491" s="1" t="s">
        <v>104</v>
      </c>
      <c r="AK1491" s="1" t="s">
        <v>104</v>
      </c>
      <c r="AL1491" s="1" t="s">
        <v>104</v>
      </c>
      <c r="AM1491" s="1" t="s">
        <v>104</v>
      </c>
      <c r="AO1491" s="1">
        <v>1</v>
      </c>
      <c r="AR1491" s="1">
        <v>0</v>
      </c>
      <c r="AS1491" s="1">
        <v>0</v>
      </c>
      <c r="AT1491" s="1">
        <v>0</v>
      </c>
      <c r="AU1491" s="1">
        <v>0</v>
      </c>
      <c r="AV1491" s="1">
        <v>1</v>
      </c>
      <c r="AW1491" s="1">
        <v>0</v>
      </c>
      <c r="AX1491" s="1">
        <v>0</v>
      </c>
      <c r="AY1491" s="1">
        <v>0</v>
      </c>
      <c r="AZ1491" s="1">
        <v>0</v>
      </c>
      <c r="BA1491" s="1">
        <v>0</v>
      </c>
      <c r="BB1491" s="1">
        <v>0</v>
      </c>
      <c r="BC1491" s="1">
        <v>1</v>
      </c>
      <c r="BD1491" s="1">
        <v>0</v>
      </c>
      <c r="BE1491" s="1">
        <v>0</v>
      </c>
      <c r="BF1491" s="1">
        <v>0</v>
      </c>
      <c r="BG1491" s="1">
        <v>0</v>
      </c>
      <c r="BH1491" s="1">
        <v>0</v>
      </c>
      <c r="BI1491" s="1">
        <v>0</v>
      </c>
      <c r="BJ1491" s="1">
        <v>0</v>
      </c>
      <c r="BK1491" s="1">
        <v>0</v>
      </c>
      <c r="BL1491" s="1">
        <v>0</v>
      </c>
      <c r="BM1491" s="1">
        <v>0</v>
      </c>
      <c r="BN1491" s="1">
        <v>0</v>
      </c>
      <c r="BO1491" s="1">
        <v>0</v>
      </c>
      <c r="BP1491" s="1">
        <v>0</v>
      </c>
      <c r="BQ1491" s="1" t="s">
        <v>104</v>
      </c>
      <c r="BR1491" s="1">
        <v>1562</v>
      </c>
      <c r="BS1491" s="1" t="s">
        <v>104</v>
      </c>
      <c r="BX1491" s="1">
        <v>0</v>
      </c>
      <c r="BY1491" s="1" t="s">
        <v>104</v>
      </c>
      <c r="BZ1491" s="1" t="s">
        <v>104</v>
      </c>
      <c r="CA1491" s="1" t="s">
        <v>104</v>
      </c>
      <c r="CB1491" s="1" t="s">
        <v>104</v>
      </c>
      <c r="CC1491" s="1" t="s">
        <v>104</v>
      </c>
      <c r="CD1491" s="1" t="s">
        <v>104</v>
      </c>
      <c r="CE1491" s="1" t="s">
        <v>104</v>
      </c>
      <c r="CF1491" s="1" t="s">
        <v>104</v>
      </c>
      <c r="CG1491" s="1" t="s">
        <v>104</v>
      </c>
      <c r="CH1491" s="1" t="s">
        <v>104</v>
      </c>
      <c r="CJ1491" s="1">
        <v>0</v>
      </c>
      <c r="CK1491" s="1">
        <v>0</v>
      </c>
      <c r="CL1491" s="1">
        <v>0</v>
      </c>
      <c r="CM1491" s="1" t="s">
        <v>104</v>
      </c>
    </row>
    <row r="1492" spans="1:91" ht="14.25" customHeight="1" x14ac:dyDescent="0.3">
      <c r="A1492" s="1" t="s">
        <v>8425</v>
      </c>
      <c r="B1492" s="1" t="s">
        <v>123</v>
      </c>
      <c r="C1492" s="1" t="s">
        <v>124</v>
      </c>
      <c r="D1492" s="1" t="s">
        <v>125</v>
      </c>
      <c r="E1492" s="1" t="s">
        <v>8426</v>
      </c>
      <c r="F1492" s="1" t="s">
        <v>95</v>
      </c>
      <c r="G1492" s="1" t="s">
        <v>116</v>
      </c>
      <c r="H1492" s="1">
        <v>0</v>
      </c>
      <c r="I1492" s="1" t="s">
        <v>117</v>
      </c>
      <c r="L1492" s="1" t="s">
        <v>1065</v>
      </c>
      <c r="M1492" s="1" t="s">
        <v>298</v>
      </c>
      <c r="N1492" s="1">
        <v>0</v>
      </c>
      <c r="O1492" s="1">
        <v>0</v>
      </c>
      <c r="P1492" s="1" t="s">
        <v>211</v>
      </c>
      <c r="Q1492" s="1" t="s">
        <v>184</v>
      </c>
      <c r="R1492" s="1" t="s">
        <v>8427</v>
      </c>
      <c r="S1492" s="1" t="s">
        <v>8109</v>
      </c>
      <c r="T1492" s="1">
        <v>1</v>
      </c>
      <c r="U1492" s="1">
        <v>1</v>
      </c>
      <c r="V1492" s="1">
        <v>0</v>
      </c>
      <c r="W1492" s="1">
        <v>0</v>
      </c>
      <c r="X1492" s="1">
        <v>0</v>
      </c>
      <c r="Y1492" s="1">
        <v>1</v>
      </c>
      <c r="Z1492" s="1">
        <v>1</v>
      </c>
      <c r="AA1492" s="1" t="s">
        <v>104</v>
      </c>
      <c r="AB1492" s="1" t="s">
        <v>104</v>
      </c>
      <c r="AC1492" s="1" t="s">
        <v>104</v>
      </c>
      <c r="AD1492" s="1">
        <v>1</v>
      </c>
      <c r="AE1492" s="1" t="s">
        <v>104</v>
      </c>
      <c r="AF1492" s="1" t="s">
        <v>104</v>
      </c>
      <c r="AG1492" s="1" t="s">
        <v>104</v>
      </c>
      <c r="AH1492" s="1">
        <v>1</v>
      </c>
      <c r="AI1492" s="1" t="s">
        <v>104</v>
      </c>
      <c r="AJ1492" s="1" t="s">
        <v>104</v>
      </c>
      <c r="AK1492" s="1" t="s">
        <v>104</v>
      </c>
      <c r="AL1492" s="1" t="s">
        <v>104</v>
      </c>
      <c r="AM1492" s="1" t="s">
        <v>104</v>
      </c>
      <c r="AO1492" s="1">
        <v>1</v>
      </c>
      <c r="AP1492" s="1" t="s">
        <v>8428</v>
      </c>
      <c r="AR1492" s="1">
        <v>0</v>
      </c>
      <c r="AS1492" s="1">
        <v>0</v>
      </c>
      <c r="AT1492" s="1">
        <v>0</v>
      </c>
      <c r="AU1492" s="1">
        <v>0</v>
      </c>
      <c r="AV1492" s="1">
        <v>0</v>
      </c>
      <c r="AW1492" s="1">
        <v>0</v>
      </c>
      <c r="AX1492" s="1">
        <v>0</v>
      </c>
      <c r="AY1492" s="1">
        <v>0</v>
      </c>
      <c r="AZ1492" s="1">
        <v>0</v>
      </c>
      <c r="BA1492" s="1">
        <v>0</v>
      </c>
      <c r="BB1492" s="1">
        <v>0</v>
      </c>
      <c r="BC1492" s="1">
        <v>0</v>
      </c>
      <c r="BD1492" s="1">
        <v>0</v>
      </c>
      <c r="BE1492" s="1">
        <v>0</v>
      </c>
      <c r="BF1492" s="1">
        <v>0</v>
      </c>
      <c r="BG1492" s="1">
        <v>0</v>
      </c>
      <c r="BH1492" s="1">
        <v>0</v>
      </c>
      <c r="BI1492" s="1">
        <v>0</v>
      </c>
      <c r="BJ1492" s="1">
        <v>0</v>
      </c>
      <c r="BK1492" s="1">
        <v>1</v>
      </c>
      <c r="BL1492" s="1">
        <v>0</v>
      </c>
      <c r="BM1492" s="1">
        <v>0</v>
      </c>
      <c r="BN1492" s="1">
        <v>0</v>
      </c>
      <c r="BO1492" s="1">
        <v>0</v>
      </c>
      <c r="BP1492" s="1">
        <v>0</v>
      </c>
      <c r="BQ1492" s="1" t="s">
        <v>104</v>
      </c>
      <c r="BR1492" s="1">
        <v>1563</v>
      </c>
      <c r="BS1492" s="1" t="s">
        <v>104</v>
      </c>
      <c r="BX1492" s="1">
        <v>0</v>
      </c>
      <c r="BY1492" s="1" t="s">
        <v>104</v>
      </c>
      <c r="BZ1492" s="1" t="s">
        <v>104</v>
      </c>
      <c r="CA1492" s="1">
        <v>1</v>
      </c>
      <c r="CB1492" s="1" t="s">
        <v>104</v>
      </c>
      <c r="CC1492" s="1">
        <v>1</v>
      </c>
      <c r="CD1492" s="1" t="s">
        <v>104</v>
      </c>
      <c r="CE1492" s="1" t="s">
        <v>104</v>
      </c>
      <c r="CF1492" s="1" t="s">
        <v>104</v>
      </c>
      <c r="CG1492" s="1" t="s">
        <v>104</v>
      </c>
      <c r="CH1492" s="1" t="s">
        <v>104</v>
      </c>
      <c r="CJ1492" s="1">
        <v>0</v>
      </c>
      <c r="CK1492" s="1">
        <v>0</v>
      </c>
      <c r="CL1492" s="1">
        <v>0</v>
      </c>
      <c r="CM1492" s="1" t="s">
        <v>104</v>
      </c>
    </row>
    <row r="1493" spans="1:91" ht="14.25" customHeight="1" x14ac:dyDescent="0.3">
      <c r="A1493" s="1" t="s">
        <v>8429</v>
      </c>
      <c r="B1493" s="1" t="s">
        <v>137</v>
      </c>
      <c r="E1493" s="1" t="s">
        <v>8430</v>
      </c>
      <c r="F1493" s="1" t="s">
        <v>95</v>
      </c>
      <c r="G1493" s="1" t="s">
        <v>8431</v>
      </c>
      <c r="H1493" s="1">
        <v>0</v>
      </c>
      <c r="I1493" s="1" t="s">
        <v>128</v>
      </c>
      <c r="L1493" s="1" t="s">
        <v>4080</v>
      </c>
      <c r="M1493" s="1" t="s">
        <v>2890</v>
      </c>
      <c r="N1493" s="1">
        <v>0</v>
      </c>
      <c r="O1493" s="1">
        <v>0</v>
      </c>
      <c r="P1493" s="1" t="s">
        <v>211</v>
      </c>
      <c r="Q1493" s="1" t="s">
        <v>184</v>
      </c>
      <c r="R1493" s="1" t="s">
        <v>8432</v>
      </c>
      <c r="S1493" s="1" t="s">
        <v>8109</v>
      </c>
      <c r="T1493" s="1">
        <v>1</v>
      </c>
      <c r="U1493" s="1">
        <v>1</v>
      </c>
      <c r="V1493" s="1">
        <v>1</v>
      </c>
      <c r="W1493" s="1">
        <v>0</v>
      </c>
      <c r="X1493" s="1">
        <v>1</v>
      </c>
      <c r="Y1493" s="1">
        <v>2</v>
      </c>
      <c r="Z1493" s="1">
        <v>2</v>
      </c>
      <c r="AA1493" s="1">
        <v>2</v>
      </c>
      <c r="AB1493" s="1">
        <v>2</v>
      </c>
      <c r="AC1493" s="1" t="s">
        <v>104</v>
      </c>
      <c r="AD1493" s="1" t="s">
        <v>104</v>
      </c>
      <c r="AE1493" s="1" t="s">
        <v>104</v>
      </c>
      <c r="AF1493" s="1" t="s">
        <v>104</v>
      </c>
      <c r="AG1493" s="1" t="s">
        <v>104</v>
      </c>
      <c r="AH1493" s="1">
        <v>2</v>
      </c>
      <c r="AI1493" s="1" t="s">
        <v>104</v>
      </c>
      <c r="AJ1493" s="1">
        <v>2</v>
      </c>
      <c r="AK1493" s="1" t="s">
        <v>104</v>
      </c>
      <c r="AL1493" s="1" t="s">
        <v>104</v>
      </c>
      <c r="AM1493" s="1" t="s">
        <v>104</v>
      </c>
      <c r="AO1493" s="1">
        <v>2</v>
      </c>
      <c r="AR1493" s="1">
        <v>0</v>
      </c>
      <c r="AS1493" s="1">
        <v>0</v>
      </c>
      <c r="AT1493" s="1">
        <v>0</v>
      </c>
      <c r="AU1493" s="1">
        <v>0</v>
      </c>
      <c r="AV1493" s="1">
        <v>0</v>
      </c>
      <c r="AW1493" s="1">
        <v>0</v>
      </c>
      <c r="AX1493" s="1">
        <v>0</v>
      </c>
      <c r="AY1493" s="1">
        <v>0</v>
      </c>
      <c r="AZ1493" s="1">
        <v>0</v>
      </c>
      <c r="BA1493" s="1">
        <v>0</v>
      </c>
      <c r="BB1493" s="1">
        <v>0</v>
      </c>
      <c r="BC1493" s="1">
        <v>0</v>
      </c>
      <c r="BD1493" s="1">
        <v>0</v>
      </c>
      <c r="BE1493" s="1">
        <v>0</v>
      </c>
      <c r="BF1493" s="1">
        <v>0</v>
      </c>
      <c r="BG1493" s="1">
        <v>0</v>
      </c>
      <c r="BH1493" s="1">
        <v>0</v>
      </c>
      <c r="BI1493" s="1">
        <v>0</v>
      </c>
      <c r="BJ1493" s="1">
        <v>0</v>
      </c>
      <c r="BK1493" s="1">
        <v>0</v>
      </c>
      <c r="BL1493" s="1">
        <v>0</v>
      </c>
      <c r="BM1493" s="1">
        <v>0</v>
      </c>
      <c r="BN1493" s="1">
        <v>0</v>
      </c>
      <c r="BO1493" s="1">
        <v>0</v>
      </c>
      <c r="BP1493" s="1">
        <v>0</v>
      </c>
      <c r="BQ1493" s="1" t="s">
        <v>104</v>
      </c>
      <c r="BR1493" s="1">
        <v>1564</v>
      </c>
      <c r="BS1493" s="1" t="s">
        <v>104</v>
      </c>
      <c r="BX1493" s="1">
        <v>0</v>
      </c>
      <c r="BY1493" s="1" t="s">
        <v>104</v>
      </c>
      <c r="BZ1493" s="1" t="s">
        <v>104</v>
      </c>
      <c r="CA1493" s="1" t="s">
        <v>104</v>
      </c>
      <c r="CB1493" s="1" t="s">
        <v>104</v>
      </c>
      <c r="CC1493" s="1" t="s">
        <v>104</v>
      </c>
      <c r="CD1493" s="1" t="s">
        <v>104</v>
      </c>
      <c r="CE1493" s="1" t="s">
        <v>104</v>
      </c>
      <c r="CF1493" s="1" t="s">
        <v>104</v>
      </c>
      <c r="CG1493" s="1" t="s">
        <v>104</v>
      </c>
      <c r="CH1493" s="1">
        <v>2</v>
      </c>
      <c r="CJ1493" s="1">
        <v>0</v>
      </c>
      <c r="CK1493" s="1">
        <v>0</v>
      </c>
      <c r="CL1493" s="1">
        <v>0</v>
      </c>
      <c r="CM1493" s="1" t="s">
        <v>104</v>
      </c>
    </row>
    <row r="1494" spans="1:91" ht="14.25" customHeight="1" x14ac:dyDescent="0.3">
      <c r="A1494" s="1" t="s">
        <v>8433</v>
      </c>
      <c r="B1494" s="1" t="s">
        <v>137</v>
      </c>
      <c r="C1494" s="1" t="s">
        <v>154</v>
      </c>
      <c r="E1494" s="1" t="s">
        <v>8434</v>
      </c>
      <c r="F1494" s="1" t="s">
        <v>95</v>
      </c>
      <c r="G1494" s="1" t="s">
        <v>116</v>
      </c>
      <c r="H1494" s="1">
        <v>0</v>
      </c>
      <c r="I1494" s="1" t="s">
        <v>128</v>
      </c>
      <c r="L1494" s="1" t="s">
        <v>4274</v>
      </c>
      <c r="M1494" s="1" t="s">
        <v>620</v>
      </c>
      <c r="N1494" s="1">
        <v>1</v>
      </c>
      <c r="O1494" s="1">
        <v>0</v>
      </c>
      <c r="P1494" s="1" t="s">
        <v>100</v>
      </c>
      <c r="Q1494" s="1" t="s">
        <v>184</v>
      </c>
      <c r="R1494" s="1" t="s">
        <v>8435</v>
      </c>
      <c r="S1494" s="1" t="s">
        <v>8109</v>
      </c>
      <c r="T1494" s="1">
        <v>1</v>
      </c>
      <c r="U1494" s="1">
        <v>1</v>
      </c>
      <c r="V1494" s="1">
        <v>0</v>
      </c>
      <c r="W1494" s="1">
        <v>0</v>
      </c>
      <c r="X1494" s="1">
        <v>0</v>
      </c>
      <c r="Y1494" s="1">
        <v>3</v>
      </c>
      <c r="Z1494" s="1">
        <v>3</v>
      </c>
      <c r="AA1494" s="1" t="s">
        <v>104</v>
      </c>
      <c r="AB1494" s="1">
        <v>3</v>
      </c>
      <c r="AC1494" s="1" t="s">
        <v>104</v>
      </c>
      <c r="AD1494" s="1" t="s">
        <v>104</v>
      </c>
      <c r="AE1494" s="1" t="s">
        <v>104</v>
      </c>
      <c r="AF1494" s="1" t="s">
        <v>104</v>
      </c>
      <c r="AG1494" s="1" t="s">
        <v>104</v>
      </c>
      <c r="AH1494" s="1">
        <v>3</v>
      </c>
      <c r="AI1494" s="1" t="s">
        <v>104</v>
      </c>
      <c r="AJ1494" s="1" t="s">
        <v>104</v>
      </c>
      <c r="AK1494" s="1" t="s">
        <v>104</v>
      </c>
      <c r="AL1494" s="1" t="s">
        <v>104</v>
      </c>
      <c r="AM1494" s="1" t="s">
        <v>104</v>
      </c>
      <c r="AO1494" s="1">
        <v>3</v>
      </c>
      <c r="AR1494" s="1">
        <v>0</v>
      </c>
      <c r="AS1494" s="1">
        <v>0</v>
      </c>
      <c r="AT1494" s="1">
        <v>0</v>
      </c>
      <c r="AU1494" s="1">
        <v>0</v>
      </c>
      <c r="AV1494" s="1">
        <v>0</v>
      </c>
      <c r="AW1494" s="1">
        <v>0</v>
      </c>
      <c r="AX1494" s="1">
        <v>0</v>
      </c>
      <c r="AY1494" s="1">
        <v>0</v>
      </c>
      <c r="AZ1494" s="1">
        <v>0</v>
      </c>
      <c r="BA1494" s="1">
        <v>0</v>
      </c>
      <c r="BB1494" s="1">
        <v>0</v>
      </c>
      <c r="BC1494" s="1">
        <v>0</v>
      </c>
      <c r="BD1494" s="1">
        <v>0</v>
      </c>
      <c r="BE1494" s="1">
        <v>0</v>
      </c>
      <c r="BF1494" s="1">
        <v>0</v>
      </c>
      <c r="BG1494" s="1">
        <v>0</v>
      </c>
      <c r="BH1494" s="1">
        <v>0</v>
      </c>
      <c r="BI1494" s="1">
        <v>0</v>
      </c>
      <c r="BJ1494" s="1">
        <v>0</v>
      </c>
      <c r="BK1494" s="1">
        <v>0</v>
      </c>
      <c r="BL1494" s="1">
        <v>0</v>
      </c>
      <c r="BM1494" s="1">
        <v>0</v>
      </c>
      <c r="BN1494" s="1">
        <v>0</v>
      </c>
      <c r="BO1494" s="1">
        <v>0</v>
      </c>
      <c r="BP1494" s="1">
        <v>0</v>
      </c>
      <c r="BQ1494" s="1" t="s">
        <v>104</v>
      </c>
      <c r="BR1494" s="1">
        <v>1565</v>
      </c>
      <c r="BS1494" s="1" t="s">
        <v>104</v>
      </c>
      <c r="BX1494" s="1">
        <v>0</v>
      </c>
      <c r="BY1494" s="1" t="s">
        <v>104</v>
      </c>
      <c r="BZ1494" s="1">
        <v>3</v>
      </c>
      <c r="CA1494" s="1" t="s">
        <v>104</v>
      </c>
      <c r="CB1494" s="1" t="s">
        <v>104</v>
      </c>
      <c r="CC1494" s="1" t="s">
        <v>104</v>
      </c>
      <c r="CD1494" s="1" t="s">
        <v>104</v>
      </c>
      <c r="CE1494" s="1" t="s">
        <v>104</v>
      </c>
      <c r="CF1494" s="1" t="s">
        <v>104</v>
      </c>
      <c r="CG1494" s="1" t="s">
        <v>104</v>
      </c>
      <c r="CH1494" s="1">
        <v>3</v>
      </c>
      <c r="CJ1494" s="1">
        <v>0</v>
      </c>
      <c r="CK1494" s="1">
        <v>0</v>
      </c>
      <c r="CL1494" s="1">
        <v>0</v>
      </c>
      <c r="CM1494" s="1" t="s">
        <v>104</v>
      </c>
    </row>
    <row r="1495" spans="1:91" ht="14.25" customHeight="1" x14ac:dyDescent="0.3">
      <c r="A1495" s="1" t="s">
        <v>8436</v>
      </c>
      <c r="B1495" s="1" t="s">
        <v>172</v>
      </c>
      <c r="D1495" s="1" t="s">
        <v>58</v>
      </c>
      <c r="E1495" s="1" t="s">
        <v>8437</v>
      </c>
      <c r="F1495" s="1" t="s">
        <v>95</v>
      </c>
      <c r="G1495" s="1" t="s">
        <v>116</v>
      </c>
      <c r="H1495" s="1">
        <v>0</v>
      </c>
      <c r="I1495" s="1" t="s">
        <v>128</v>
      </c>
      <c r="L1495" s="1" t="s">
        <v>374</v>
      </c>
      <c r="M1495" s="1" t="s">
        <v>111</v>
      </c>
      <c r="N1495" s="1">
        <v>0</v>
      </c>
      <c r="O1495" s="1">
        <v>0</v>
      </c>
      <c r="P1495" s="1" t="s">
        <v>375</v>
      </c>
      <c r="Q1495" s="1" t="s">
        <v>131</v>
      </c>
      <c r="R1495" s="1" t="s">
        <v>8438</v>
      </c>
      <c r="S1495" s="1" t="s">
        <v>8109</v>
      </c>
      <c r="T1495" s="1">
        <v>1</v>
      </c>
      <c r="U1495" s="1">
        <v>1</v>
      </c>
      <c r="V1495" s="1">
        <v>0</v>
      </c>
      <c r="W1495" s="1">
        <v>0</v>
      </c>
      <c r="X1495" s="1">
        <v>0</v>
      </c>
      <c r="Y1495" s="1" t="s">
        <v>104</v>
      </c>
      <c r="Z1495" s="1" t="s">
        <v>104</v>
      </c>
      <c r="AA1495" s="1">
        <v>1</v>
      </c>
      <c r="AB1495" s="1" t="s">
        <v>104</v>
      </c>
      <c r="AC1495" s="1" t="s">
        <v>104</v>
      </c>
      <c r="AD1495" s="1" t="s">
        <v>104</v>
      </c>
      <c r="AE1495" s="1" t="s">
        <v>104</v>
      </c>
      <c r="AF1495" s="1" t="s">
        <v>104</v>
      </c>
      <c r="AG1495" s="1" t="s">
        <v>104</v>
      </c>
      <c r="AH1495" s="1">
        <v>1</v>
      </c>
      <c r="AI1495" s="1" t="s">
        <v>104</v>
      </c>
      <c r="AJ1495" s="1">
        <v>1</v>
      </c>
      <c r="AK1495" s="1" t="s">
        <v>104</v>
      </c>
      <c r="AL1495" s="1" t="s">
        <v>104</v>
      </c>
      <c r="AM1495" s="1" t="s">
        <v>104</v>
      </c>
      <c r="AO1495" s="1">
        <v>1</v>
      </c>
      <c r="AR1495" s="1">
        <v>0</v>
      </c>
      <c r="AS1495" s="1">
        <v>0</v>
      </c>
      <c r="AT1495" s="1">
        <v>0</v>
      </c>
      <c r="AU1495" s="1">
        <v>0</v>
      </c>
      <c r="AV1495" s="1">
        <v>0</v>
      </c>
      <c r="AW1495" s="1">
        <v>0</v>
      </c>
      <c r="AX1495" s="1">
        <v>0</v>
      </c>
      <c r="AY1495" s="1">
        <v>0</v>
      </c>
      <c r="AZ1495" s="1">
        <v>0</v>
      </c>
      <c r="BA1495" s="1">
        <v>0</v>
      </c>
      <c r="BB1495" s="1">
        <v>0</v>
      </c>
      <c r="BC1495" s="1">
        <v>0</v>
      </c>
      <c r="BD1495" s="1">
        <v>0</v>
      </c>
      <c r="BE1495" s="1">
        <v>0</v>
      </c>
      <c r="BF1495" s="1">
        <v>0</v>
      </c>
      <c r="BG1495" s="1">
        <v>1</v>
      </c>
      <c r="BH1495" s="1">
        <v>0</v>
      </c>
      <c r="BI1495" s="1">
        <v>0</v>
      </c>
      <c r="BJ1495" s="1">
        <v>0</v>
      </c>
      <c r="BK1495" s="1">
        <v>0</v>
      </c>
      <c r="BL1495" s="1">
        <v>0</v>
      </c>
      <c r="BM1495" s="1">
        <v>0</v>
      </c>
      <c r="BN1495" s="1">
        <v>0</v>
      </c>
      <c r="BO1495" s="1">
        <v>0</v>
      </c>
      <c r="BP1495" s="1">
        <v>0</v>
      </c>
      <c r="BQ1495" s="1" t="s">
        <v>104</v>
      </c>
      <c r="BR1495" s="1">
        <v>1566</v>
      </c>
      <c r="BS1495" s="1" t="s">
        <v>104</v>
      </c>
      <c r="BX1495" s="1">
        <v>0</v>
      </c>
      <c r="BY1495" s="1" t="s">
        <v>104</v>
      </c>
      <c r="BZ1495" s="1" t="s">
        <v>104</v>
      </c>
      <c r="CA1495" s="1" t="s">
        <v>104</v>
      </c>
      <c r="CB1495" s="1" t="s">
        <v>104</v>
      </c>
      <c r="CC1495" s="1" t="s">
        <v>104</v>
      </c>
      <c r="CD1495" s="1" t="s">
        <v>104</v>
      </c>
      <c r="CE1495" s="1" t="s">
        <v>104</v>
      </c>
      <c r="CF1495" s="1" t="s">
        <v>104</v>
      </c>
      <c r="CG1495" s="1" t="s">
        <v>104</v>
      </c>
      <c r="CH1495" s="1" t="s">
        <v>104</v>
      </c>
      <c r="CJ1495" s="1">
        <v>0</v>
      </c>
      <c r="CK1495" s="1">
        <v>0</v>
      </c>
      <c r="CL1495" s="1">
        <v>0</v>
      </c>
      <c r="CM1495" s="1" t="s">
        <v>104</v>
      </c>
    </row>
    <row r="1496" spans="1:91" ht="14.25" customHeight="1" x14ac:dyDescent="0.3">
      <c r="A1496" s="1" t="s">
        <v>8439</v>
      </c>
      <c r="B1496" s="1" t="s">
        <v>137</v>
      </c>
      <c r="E1496" s="1" t="s">
        <v>8440</v>
      </c>
      <c r="F1496" s="1" t="s">
        <v>95</v>
      </c>
      <c r="G1496" s="1" t="s">
        <v>116</v>
      </c>
      <c r="H1496" s="1">
        <v>0</v>
      </c>
      <c r="I1496" s="1" t="s">
        <v>128</v>
      </c>
      <c r="L1496" s="1" t="s">
        <v>374</v>
      </c>
      <c r="M1496" s="1" t="s">
        <v>2330</v>
      </c>
      <c r="N1496" s="1">
        <v>0</v>
      </c>
      <c r="O1496" s="1">
        <v>0</v>
      </c>
      <c r="P1496" s="1" t="s">
        <v>1058</v>
      </c>
      <c r="Q1496" s="1" t="s">
        <v>131</v>
      </c>
      <c r="R1496" s="1" t="s">
        <v>8441</v>
      </c>
      <c r="S1496" s="1" t="s">
        <v>8109</v>
      </c>
      <c r="T1496" s="1">
        <v>1</v>
      </c>
      <c r="U1496" s="1">
        <v>1</v>
      </c>
      <c r="V1496" s="1">
        <v>0</v>
      </c>
      <c r="W1496" s="1">
        <v>0</v>
      </c>
      <c r="X1496" s="1">
        <v>0</v>
      </c>
      <c r="Y1496" s="1">
        <v>1</v>
      </c>
      <c r="Z1496" s="1">
        <v>1</v>
      </c>
      <c r="AA1496" s="1" t="s">
        <v>104</v>
      </c>
      <c r="AB1496" s="1">
        <v>1</v>
      </c>
      <c r="AC1496" s="1">
        <v>1</v>
      </c>
      <c r="AD1496" s="1" t="s">
        <v>104</v>
      </c>
      <c r="AE1496" s="1" t="s">
        <v>104</v>
      </c>
      <c r="AF1496" s="1" t="s">
        <v>104</v>
      </c>
      <c r="AG1496" s="1" t="s">
        <v>104</v>
      </c>
      <c r="AH1496" s="1">
        <v>1</v>
      </c>
      <c r="AI1496" s="1" t="s">
        <v>104</v>
      </c>
      <c r="AJ1496" s="1" t="s">
        <v>104</v>
      </c>
      <c r="AK1496" s="1" t="s">
        <v>104</v>
      </c>
      <c r="AL1496" s="1" t="s">
        <v>104</v>
      </c>
      <c r="AM1496" s="1" t="s">
        <v>104</v>
      </c>
      <c r="AO1496" s="1">
        <v>1</v>
      </c>
      <c r="AR1496" s="1">
        <v>0</v>
      </c>
      <c r="AS1496" s="1">
        <v>0</v>
      </c>
      <c r="AT1496" s="1">
        <v>0</v>
      </c>
      <c r="AU1496" s="1">
        <v>0</v>
      </c>
      <c r="AV1496" s="1">
        <v>0</v>
      </c>
      <c r="AW1496" s="1">
        <v>0</v>
      </c>
      <c r="AX1496" s="1">
        <v>0</v>
      </c>
      <c r="AY1496" s="1">
        <v>0</v>
      </c>
      <c r="AZ1496" s="1">
        <v>0</v>
      </c>
      <c r="BA1496" s="1">
        <v>0</v>
      </c>
      <c r="BB1496" s="1">
        <v>0</v>
      </c>
      <c r="BC1496" s="1">
        <v>0</v>
      </c>
      <c r="BD1496" s="1">
        <v>0</v>
      </c>
      <c r="BE1496" s="1">
        <v>0</v>
      </c>
      <c r="BF1496" s="1">
        <v>0</v>
      </c>
      <c r="BG1496" s="1">
        <v>0</v>
      </c>
      <c r="BH1496" s="1">
        <v>0</v>
      </c>
      <c r="BI1496" s="1">
        <v>0</v>
      </c>
      <c r="BJ1496" s="1">
        <v>0</v>
      </c>
      <c r="BK1496" s="1">
        <v>0</v>
      </c>
      <c r="BL1496" s="1">
        <v>0</v>
      </c>
      <c r="BM1496" s="1">
        <v>0</v>
      </c>
      <c r="BN1496" s="1">
        <v>0</v>
      </c>
      <c r="BO1496" s="1">
        <v>0</v>
      </c>
      <c r="BP1496" s="1">
        <v>0</v>
      </c>
      <c r="BQ1496" s="1" t="s">
        <v>104</v>
      </c>
      <c r="BR1496" s="1">
        <v>1567</v>
      </c>
      <c r="BS1496" s="1" t="s">
        <v>104</v>
      </c>
      <c r="BX1496" s="1">
        <v>0</v>
      </c>
      <c r="BY1496" s="1">
        <v>1</v>
      </c>
      <c r="BZ1496" s="1" t="s">
        <v>104</v>
      </c>
      <c r="CA1496" s="1" t="s">
        <v>104</v>
      </c>
      <c r="CB1496" s="1" t="s">
        <v>104</v>
      </c>
      <c r="CC1496" s="1" t="s">
        <v>104</v>
      </c>
      <c r="CD1496" s="1" t="s">
        <v>104</v>
      </c>
      <c r="CE1496" s="1" t="s">
        <v>104</v>
      </c>
      <c r="CF1496" s="1" t="s">
        <v>104</v>
      </c>
      <c r="CG1496" s="1" t="s">
        <v>104</v>
      </c>
      <c r="CH1496" s="1">
        <v>1</v>
      </c>
      <c r="CJ1496" s="1">
        <v>0</v>
      </c>
      <c r="CK1496" s="1">
        <v>0</v>
      </c>
      <c r="CL1496" s="1">
        <v>0</v>
      </c>
      <c r="CM1496" s="1" t="s">
        <v>104</v>
      </c>
    </row>
    <row r="1497" spans="1:91" ht="14.25" customHeight="1" x14ac:dyDescent="0.3">
      <c r="A1497" s="1" t="s">
        <v>8442</v>
      </c>
      <c r="B1497" s="1" t="s">
        <v>434</v>
      </c>
      <c r="D1497" s="1" t="s">
        <v>145</v>
      </c>
      <c r="E1497" s="1" t="s">
        <v>8443</v>
      </c>
      <c r="F1497" s="1" t="s">
        <v>287</v>
      </c>
      <c r="G1497" s="1" t="s">
        <v>116</v>
      </c>
      <c r="H1497" s="1">
        <v>0</v>
      </c>
      <c r="I1497" s="1" t="s">
        <v>128</v>
      </c>
      <c r="L1497" s="1" t="s">
        <v>2104</v>
      </c>
      <c r="M1497" s="1" t="s">
        <v>8444</v>
      </c>
      <c r="N1497" s="1">
        <v>1</v>
      </c>
      <c r="O1497" s="1">
        <v>0</v>
      </c>
      <c r="P1497" s="1" t="s">
        <v>375</v>
      </c>
      <c r="Q1497" s="1" t="s">
        <v>131</v>
      </c>
      <c r="R1497" s="1" t="s">
        <v>8445</v>
      </c>
      <c r="S1497" s="1" t="s">
        <v>8109</v>
      </c>
      <c r="T1497" s="1">
        <v>1</v>
      </c>
      <c r="U1497" s="1">
        <v>1</v>
      </c>
      <c r="V1497" s="1">
        <v>0</v>
      </c>
      <c r="W1497" s="1">
        <v>0</v>
      </c>
      <c r="X1497" s="1">
        <v>0</v>
      </c>
      <c r="Y1497" s="1">
        <v>2</v>
      </c>
      <c r="Z1497" s="1">
        <v>2</v>
      </c>
      <c r="AA1497" s="1">
        <v>2</v>
      </c>
      <c r="AB1497" s="1" t="s">
        <v>104</v>
      </c>
      <c r="AC1497" s="1" t="s">
        <v>104</v>
      </c>
      <c r="AD1497" s="1" t="s">
        <v>104</v>
      </c>
      <c r="AE1497" s="1" t="s">
        <v>104</v>
      </c>
      <c r="AF1497" s="1" t="s">
        <v>104</v>
      </c>
      <c r="AG1497" s="1" t="s">
        <v>104</v>
      </c>
      <c r="AH1497" s="1" t="s">
        <v>104</v>
      </c>
      <c r="AI1497" s="1" t="s">
        <v>104</v>
      </c>
      <c r="AJ1497" s="1">
        <v>2</v>
      </c>
      <c r="AK1497" s="1" t="s">
        <v>104</v>
      </c>
      <c r="AL1497" s="1">
        <v>2</v>
      </c>
      <c r="AM1497" s="1" t="s">
        <v>104</v>
      </c>
      <c r="AO1497" s="1">
        <v>2</v>
      </c>
      <c r="AR1497" s="1">
        <v>0</v>
      </c>
      <c r="AS1497" s="1">
        <v>0</v>
      </c>
      <c r="AT1497" s="1">
        <v>0</v>
      </c>
      <c r="AU1497" s="1">
        <v>0</v>
      </c>
      <c r="AV1497" s="1">
        <v>0</v>
      </c>
      <c r="AW1497" s="1">
        <v>0</v>
      </c>
      <c r="AX1497" s="1">
        <v>0</v>
      </c>
      <c r="AY1497" s="1">
        <v>0</v>
      </c>
      <c r="AZ1497" s="1">
        <v>0</v>
      </c>
      <c r="BA1497" s="1">
        <v>0</v>
      </c>
      <c r="BB1497" s="1">
        <v>0</v>
      </c>
      <c r="BC1497" s="1">
        <v>0</v>
      </c>
      <c r="BD1497" s="1">
        <v>0</v>
      </c>
      <c r="BE1497" s="1">
        <v>0</v>
      </c>
      <c r="BF1497" s="1">
        <v>0</v>
      </c>
      <c r="BG1497" s="1">
        <v>0</v>
      </c>
      <c r="BH1497" s="1">
        <v>0</v>
      </c>
      <c r="BI1497" s="1">
        <v>0</v>
      </c>
      <c r="BJ1497" s="1">
        <v>0</v>
      </c>
      <c r="BK1497" s="1">
        <v>0</v>
      </c>
      <c r="BL1497" s="1">
        <v>0</v>
      </c>
      <c r="BM1497" s="1">
        <v>0</v>
      </c>
      <c r="BN1497" s="1">
        <v>0</v>
      </c>
      <c r="BO1497" s="1">
        <v>0</v>
      </c>
      <c r="BP1497" s="1">
        <v>0</v>
      </c>
      <c r="BQ1497" s="1" t="s">
        <v>104</v>
      </c>
      <c r="BR1497" s="1">
        <v>1568</v>
      </c>
      <c r="BS1497" s="1" t="s">
        <v>104</v>
      </c>
      <c r="BX1497" s="1">
        <v>0</v>
      </c>
      <c r="BY1497" s="1">
        <v>2</v>
      </c>
      <c r="BZ1497" s="1">
        <v>2</v>
      </c>
      <c r="CA1497" s="1" t="s">
        <v>104</v>
      </c>
      <c r="CB1497" s="1" t="s">
        <v>104</v>
      </c>
      <c r="CC1497" s="1" t="s">
        <v>104</v>
      </c>
      <c r="CD1497" s="1" t="s">
        <v>104</v>
      </c>
      <c r="CE1497" s="1" t="s">
        <v>104</v>
      </c>
      <c r="CF1497" s="1" t="s">
        <v>104</v>
      </c>
      <c r="CG1497" s="1" t="s">
        <v>104</v>
      </c>
      <c r="CH1497" s="1" t="s">
        <v>104</v>
      </c>
      <c r="CJ1497" s="1">
        <v>0</v>
      </c>
      <c r="CK1497" s="1">
        <v>0</v>
      </c>
      <c r="CL1497" s="1">
        <v>0</v>
      </c>
      <c r="CM1497" s="1" t="s">
        <v>104</v>
      </c>
    </row>
    <row r="1498" spans="1:91" ht="14.25" customHeight="1" x14ac:dyDescent="0.3">
      <c r="A1498" s="1" t="s">
        <v>8446</v>
      </c>
      <c r="B1498" s="1" t="s">
        <v>137</v>
      </c>
      <c r="D1498" s="1" t="s">
        <v>51</v>
      </c>
      <c r="E1498" s="1" t="s">
        <v>8447</v>
      </c>
      <c r="F1498" s="1" t="s">
        <v>95</v>
      </c>
      <c r="G1498" s="1" t="s">
        <v>116</v>
      </c>
      <c r="H1498" s="1">
        <v>0</v>
      </c>
      <c r="I1498" s="1" t="s">
        <v>128</v>
      </c>
      <c r="L1498" s="1" t="s">
        <v>374</v>
      </c>
      <c r="M1498" s="1" t="s">
        <v>111</v>
      </c>
      <c r="N1498" s="1">
        <v>0</v>
      </c>
      <c r="O1498" s="1">
        <v>0</v>
      </c>
      <c r="P1498" s="1" t="s">
        <v>375</v>
      </c>
      <c r="Q1498" s="1" t="s">
        <v>131</v>
      </c>
      <c r="R1498" s="1" t="s">
        <v>8448</v>
      </c>
      <c r="S1498" s="1" t="s">
        <v>8109</v>
      </c>
      <c r="T1498" s="1">
        <v>1</v>
      </c>
      <c r="U1498" s="1">
        <v>1</v>
      </c>
      <c r="V1498" s="1">
        <v>0</v>
      </c>
      <c r="W1498" s="1">
        <v>0</v>
      </c>
      <c r="X1498" s="1">
        <v>0</v>
      </c>
      <c r="Y1498" s="1">
        <v>4</v>
      </c>
      <c r="Z1498" s="1">
        <v>4</v>
      </c>
      <c r="AA1498" s="1" t="s">
        <v>104</v>
      </c>
      <c r="AB1498" s="1">
        <v>4</v>
      </c>
      <c r="AC1498" s="1" t="s">
        <v>104</v>
      </c>
      <c r="AD1498" s="1" t="s">
        <v>104</v>
      </c>
      <c r="AE1498" s="1" t="s">
        <v>104</v>
      </c>
      <c r="AF1498" s="1">
        <v>4</v>
      </c>
      <c r="AG1498" s="1" t="s">
        <v>104</v>
      </c>
      <c r="AH1498" s="1" t="s">
        <v>104</v>
      </c>
      <c r="AI1498" s="1" t="s">
        <v>104</v>
      </c>
      <c r="AJ1498" s="1" t="s">
        <v>104</v>
      </c>
      <c r="AK1498" s="1" t="s">
        <v>104</v>
      </c>
      <c r="AL1498" s="1" t="s">
        <v>104</v>
      </c>
      <c r="AM1498" s="1" t="s">
        <v>104</v>
      </c>
      <c r="AO1498" s="1">
        <v>4</v>
      </c>
      <c r="AR1498" s="1">
        <v>0</v>
      </c>
      <c r="AS1498" s="1">
        <v>0</v>
      </c>
      <c r="AT1498" s="1">
        <v>0</v>
      </c>
      <c r="AU1498" s="1">
        <v>0</v>
      </c>
      <c r="AV1498" s="1">
        <v>0</v>
      </c>
      <c r="AW1498" s="1">
        <v>0</v>
      </c>
      <c r="AX1498" s="1">
        <v>0</v>
      </c>
      <c r="AY1498" s="1">
        <v>0</v>
      </c>
      <c r="AZ1498" s="1">
        <v>1</v>
      </c>
      <c r="BA1498" s="1">
        <v>0</v>
      </c>
      <c r="BB1498" s="1">
        <v>0</v>
      </c>
      <c r="BC1498" s="1">
        <v>0</v>
      </c>
      <c r="BD1498" s="1">
        <v>0</v>
      </c>
      <c r="BE1498" s="1">
        <v>0</v>
      </c>
      <c r="BF1498" s="1">
        <v>0</v>
      </c>
      <c r="BG1498" s="1">
        <v>0</v>
      </c>
      <c r="BH1498" s="1">
        <v>0</v>
      </c>
      <c r="BI1498" s="1">
        <v>0</v>
      </c>
      <c r="BJ1498" s="1">
        <v>0</v>
      </c>
      <c r="BK1498" s="1">
        <v>0</v>
      </c>
      <c r="BL1498" s="1">
        <v>0</v>
      </c>
      <c r="BM1498" s="1">
        <v>0</v>
      </c>
      <c r="BN1498" s="1">
        <v>0</v>
      </c>
      <c r="BO1498" s="1">
        <v>0</v>
      </c>
      <c r="BP1498" s="1">
        <v>0</v>
      </c>
      <c r="BQ1498" s="1" t="s">
        <v>104</v>
      </c>
      <c r="BR1498" s="1">
        <v>1569</v>
      </c>
      <c r="BS1498" s="1" t="s">
        <v>104</v>
      </c>
      <c r="BX1498" s="1">
        <v>0</v>
      </c>
      <c r="BY1498" s="1">
        <v>4</v>
      </c>
      <c r="BZ1498" s="1">
        <v>4</v>
      </c>
      <c r="CA1498" s="1" t="s">
        <v>104</v>
      </c>
      <c r="CB1498" s="1" t="s">
        <v>104</v>
      </c>
      <c r="CC1498" s="1" t="s">
        <v>104</v>
      </c>
      <c r="CD1498" s="1" t="s">
        <v>104</v>
      </c>
      <c r="CE1498" s="1" t="s">
        <v>104</v>
      </c>
      <c r="CF1498" s="1" t="s">
        <v>104</v>
      </c>
      <c r="CG1498" s="1" t="s">
        <v>104</v>
      </c>
      <c r="CH1498" s="1">
        <v>4</v>
      </c>
      <c r="CJ1498" s="1">
        <v>0</v>
      </c>
      <c r="CK1498" s="1">
        <v>0</v>
      </c>
      <c r="CL1498" s="1">
        <v>0</v>
      </c>
      <c r="CM1498" s="1" t="s">
        <v>104</v>
      </c>
    </row>
    <row r="1499" spans="1:91" ht="14.25" customHeight="1" x14ac:dyDescent="0.3">
      <c r="A1499" s="1" t="s">
        <v>8449</v>
      </c>
      <c r="B1499" s="1" t="s">
        <v>137</v>
      </c>
      <c r="E1499" s="1" t="s">
        <v>8450</v>
      </c>
      <c r="F1499" s="1" t="s">
        <v>95</v>
      </c>
      <c r="G1499" s="1" t="s">
        <v>116</v>
      </c>
      <c r="H1499" s="1">
        <v>0</v>
      </c>
      <c r="I1499" s="1" t="s">
        <v>128</v>
      </c>
      <c r="L1499" s="1" t="s">
        <v>374</v>
      </c>
      <c r="M1499" s="1" t="s">
        <v>426</v>
      </c>
      <c r="N1499" s="1">
        <v>1</v>
      </c>
      <c r="O1499" s="1">
        <v>0</v>
      </c>
      <c r="P1499" s="1" t="s">
        <v>1058</v>
      </c>
      <c r="Q1499" s="1" t="s">
        <v>131</v>
      </c>
      <c r="R1499" s="1" t="s">
        <v>8451</v>
      </c>
      <c r="S1499" s="1" t="s">
        <v>8109</v>
      </c>
      <c r="T1499" s="1">
        <v>1</v>
      </c>
      <c r="U1499" s="1">
        <v>1</v>
      </c>
      <c r="V1499" s="1">
        <v>0</v>
      </c>
      <c r="W1499" s="1">
        <v>0</v>
      </c>
      <c r="X1499" s="1">
        <v>0</v>
      </c>
      <c r="Y1499" s="1">
        <v>3</v>
      </c>
      <c r="Z1499" s="1">
        <v>3</v>
      </c>
      <c r="AA1499" s="1" t="s">
        <v>104</v>
      </c>
      <c r="AB1499" s="1" t="s">
        <v>104</v>
      </c>
      <c r="AC1499" s="1" t="s">
        <v>104</v>
      </c>
      <c r="AD1499" s="1">
        <v>3</v>
      </c>
      <c r="AE1499" s="1" t="s">
        <v>104</v>
      </c>
      <c r="AF1499" s="1">
        <v>3</v>
      </c>
      <c r="AG1499" s="1" t="s">
        <v>104</v>
      </c>
      <c r="AH1499" s="1" t="s">
        <v>104</v>
      </c>
      <c r="AI1499" s="1" t="s">
        <v>104</v>
      </c>
      <c r="AJ1499" s="1" t="s">
        <v>104</v>
      </c>
      <c r="AK1499" s="1" t="s">
        <v>104</v>
      </c>
      <c r="AL1499" s="1">
        <v>3</v>
      </c>
      <c r="AM1499" s="1" t="s">
        <v>104</v>
      </c>
      <c r="AO1499" s="1">
        <v>3</v>
      </c>
      <c r="AR1499" s="1">
        <v>0</v>
      </c>
      <c r="AS1499" s="1">
        <v>0</v>
      </c>
      <c r="AT1499" s="1">
        <v>0</v>
      </c>
      <c r="AU1499" s="1">
        <v>0</v>
      </c>
      <c r="AV1499" s="1">
        <v>0</v>
      </c>
      <c r="AW1499" s="1">
        <v>0</v>
      </c>
      <c r="AX1499" s="1">
        <v>0</v>
      </c>
      <c r="AY1499" s="1">
        <v>0</v>
      </c>
      <c r="AZ1499" s="1">
        <v>0</v>
      </c>
      <c r="BA1499" s="1">
        <v>0</v>
      </c>
      <c r="BB1499" s="1">
        <v>0</v>
      </c>
      <c r="BC1499" s="1">
        <v>0</v>
      </c>
      <c r="BD1499" s="1">
        <v>0</v>
      </c>
      <c r="BE1499" s="1">
        <v>0</v>
      </c>
      <c r="BF1499" s="1">
        <v>0</v>
      </c>
      <c r="BG1499" s="1">
        <v>0</v>
      </c>
      <c r="BH1499" s="1">
        <v>0</v>
      </c>
      <c r="BI1499" s="1">
        <v>0</v>
      </c>
      <c r="BJ1499" s="1">
        <v>0</v>
      </c>
      <c r="BK1499" s="1">
        <v>0</v>
      </c>
      <c r="BL1499" s="1">
        <v>0</v>
      </c>
      <c r="BM1499" s="1">
        <v>0</v>
      </c>
      <c r="BN1499" s="1">
        <v>0</v>
      </c>
      <c r="BO1499" s="1">
        <v>0</v>
      </c>
      <c r="BP1499" s="1">
        <v>0</v>
      </c>
      <c r="BQ1499" s="1" t="s">
        <v>104</v>
      </c>
      <c r="BR1499" s="1">
        <v>1570</v>
      </c>
      <c r="BS1499" s="1" t="s">
        <v>104</v>
      </c>
      <c r="BX1499" s="1">
        <v>0</v>
      </c>
      <c r="BY1499" s="1" t="s">
        <v>104</v>
      </c>
      <c r="BZ1499" s="1" t="s">
        <v>104</v>
      </c>
      <c r="CA1499" s="1" t="s">
        <v>104</v>
      </c>
      <c r="CB1499" s="1" t="s">
        <v>104</v>
      </c>
      <c r="CC1499" s="1" t="s">
        <v>104</v>
      </c>
      <c r="CD1499" s="1" t="s">
        <v>104</v>
      </c>
      <c r="CE1499" s="1" t="s">
        <v>104</v>
      </c>
      <c r="CF1499" s="1" t="s">
        <v>104</v>
      </c>
      <c r="CG1499" s="1" t="s">
        <v>104</v>
      </c>
      <c r="CH1499" s="1" t="s">
        <v>104</v>
      </c>
      <c r="CJ1499" s="1">
        <v>0</v>
      </c>
      <c r="CK1499" s="1">
        <v>0</v>
      </c>
      <c r="CL1499" s="1">
        <v>0</v>
      </c>
      <c r="CM1499" s="1" t="s">
        <v>104</v>
      </c>
    </row>
    <row r="1500" spans="1:91" ht="14.25" customHeight="1" x14ac:dyDescent="0.3">
      <c r="A1500" s="1" t="s">
        <v>8452</v>
      </c>
      <c r="B1500" s="1" t="s">
        <v>137</v>
      </c>
      <c r="C1500" s="1" t="s">
        <v>154</v>
      </c>
      <c r="E1500" s="1" t="s">
        <v>8453</v>
      </c>
      <c r="F1500" s="1" t="s">
        <v>95</v>
      </c>
      <c r="G1500" s="1" t="s">
        <v>116</v>
      </c>
      <c r="H1500" s="1">
        <v>0</v>
      </c>
      <c r="I1500" s="1" t="s">
        <v>128</v>
      </c>
      <c r="L1500" s="1" t="s">
        <v>374</v>
      </c>
      <c r="M1500" s="1" t="s">
        <v>2330</v>
      </c>
      <c r="N1500" s="1">
        <v>0</v>
      </c>
      <c r="O1500" s="1">
        <v>0</v>
      </c>
      <c r="P1500" s="1" t="s">
        <v>1058</v>
      </c>
      <c r="Q1500" s="1" t="s">
        <v>131</v>
      </c>
      <c r="R1500" s="1" t="s">
        <v>8454</v>
      </c>
      <c r="S1500" s="1" t="s">
        <v>8109</v>
      </c>
      <c r="T1500" s="1">
        <v>1</v>
      </c>
      <c r="U1500" s="1">
        <v>1</v>
      </c>
      <c r="V1500" s="1">
        <v>0</v>
      </c>
      <c r="W1500" s="1">
        <v>0</v>
      </c>
      <c r="X1500" s="1">
        <v>0</v>
      </c>
      <c r="Y1500" s="1">
        <v>2</v>
      </c>
      <c r="Z1500" s="1">
        <v>2</v>
      </c>
      <c r="AA1500" s="1" t="s">
        <v>104</v>
      </c>
      <c r="AB1500" s="1" t="s">
        <v>104</v>
      </c>
      <c r="AC1500" s="1" t="s">
        <v>104</v>
      </c>
      <c r="AD1500" s="1" t="s">
        <v>104</v>
      </c>
      <c r="AE1500" s="1" t="s">
        <v>104</v>
      </c>
      <c r="AF1500" s="1">
        <v>2</v>
      </c>
      <c r="AG1500" s="1" t="s">
        <v>104</v>
      </c>
      <c r="AH1500" s="1">
        <v>2</v>
      </c>
      <c r="AI1500" s="1" t="s">
        <v>104</v>
      </c>
      <c r="AJ1500" s="1" t="s">
        <v>104</v>
      </c>
      <c r="AK1500" s="1" t="s">
        <v>104</v>
      </c>
      <c r="AL1500" s="1" t="s">
        <v>104</v>
      </c>
      <c r="AM1500" s="1" t="s">
        <v>104</v>
      </c>
      <c r="AO1500" s="1">
        <v>2</v>
      </c>
      <c r="AR1500" s="1">
        <v>0</v>
      </c>
      <c r="AS1500" s="1">
        <v>0</v>
      </c>
      <c r="AT1500" s="1">
        <v>0</v>
      </c>
      <c r="AU1500" s="1">
        <v>0</v>
      </c>
      <c r="AV1500" s="1">
        <v>0</v>
      </c>
      <c r="AW1500" s="1">
        <v>0</v>
      </c>
      <c r="AX1500" s="1">
        <v>0</v>
      </c>
      <c r="AY1500" s="1">
        <v>0</v>
      </c>
      <c r="AZ1500" s="1">
        <v>0</v>
      </c>
      <c r="BA1500" s="1">
        <v>0</v>
      </c>
      <c r="BB1500" s="1">
        <v>0</v>
      </c>
      <c r="BC1500" s="1">
        <v>0</v>
      </c>
      <c r="BD1500" s="1">
        <v>0</v>
      </c>
      <c r="BE1500" s="1">
        <v>0</v>
      </c>
      <c r="BF1500" s="1">
        <v>0</v>
      </c>
      <c r="BG1500" s="1">
        <v>0</v>
      </c>
      <c r="BH1500" s="1">
        <v>0</v>
      </c>
      <c r="BI1500" s="1">
        <v>0</v>
      </c>
      <c r="BJ1500" s="1">
        <v>0</v>
      </c>
      <c r="BK1500" s="1">
        <v>0</v>
      </c>
      <c r="BL1500" s="1">
        <v>0</v>
      </c>
      <c r="BM1500" s="1">
        <v>0</v>
      </c>
      <c r="BN1500" s="1">
        <v>0</v>
      </c>
      <c r="BO1500" s="1">
        <v>0</v>
      </c>
      <c r="BP1500" s="1">
        <v>0</v>
      </c>
      <c r="BQ1500" s="1" t="s">
        <v>104</v>
      </c>
      <c r="BR1500" s="1">
        <v>1571</v>
      </c>
      <c r="BS1500" s="1" t="s">
        <v>104</v>
      </c>
      <c r="BX1500" s="1">
        <v>0</v>
      </c>
      <c r="BY1500" s="1" t="s">
        <v>104</v>
      </c>
      <c r="BZ1500" s="1" t="s">
        <v>104</v>
      </c>
      <c r="CA1500" s="1" t="s">
        <v>104</v>
      </c>
      <c r="CB1500" s="1" t="s">
        <v>104</v>
      </c>
      <c r="CC1500" s="1" t="s">
        <v>104</v>
      </c>
      <c r="CD1500" s="1" t="s">
        <v>104</v>
      </c>
      <c r="CE1500" s="1" t="s">
        <v>104</v>
      </c>
      <c r="CF1500" s="1" t="s">
        <v>104</v>
      </c>
      <c r="CG1500" s="1" t="s">
        <v>104</v>
      </c>
      <c r="CH1500" s="1" t="s">
        <v>104</v>
      </c>
      <c r="CJ1500" s="1">
        <v>0</v>
      </c>
      <c r="CK1500" s="1">
        <v>0</v>
      </c>
      <c r="CL1500" s="1">
        <v>0</v>
      </c>
      <c r="CM1500" s="1" t="s">
        <v>104</v>
      </c>
    </row>
    <row r="1501" spans="1:91" ht="14.25" customHeight="1" x14ac:dyDescent="0.3">
      <c r="A1501" s="1" t="s">
        <v>8455</v>
      </c>
      <c r="B1501" s="1" t="s">
        <v>507</v>
      </c>
      <c r="C1501" s="1" t="s">
        <v>65</v>
      </c>
      <c r="D1501" s="1" t="s">
        <v>65</v>
      </c>
      <c r="E1501" s="1" t="s">
        <v>6312</v>
      </c>
      <c r="F1501" s="1" t="s">
        <v>95</v>
      </c>
      <c r="G1501" s="1" t="s">
        <v>1802</v>
      </c>
      <c r="H1501" s="1">
        <v>0</v>
      </c>
      <c r="I1501" s="1" t="s">
        <v>128</v>
      </c>
      <c r="K1501" s="1" t="s">
        <v>8456</v>
      </c>
      <c r="L1501" s="1" t="s">
        <v>374</v>
      </c>
      <c r="M1501" s="1" t="s">
        <v>5385</v>
      </c>
      <c r="N1501" s="1">
        <v>1</v>
      </c>
      <c r="O1501" s="1">
        <v>0</v>
      </c>
      <c r="P1501" s="1" t="s">
        <v>211</v>
      </c>
      <c r="Q1501" s="1" t="s">
        <v>184</v>
      </c>
      <c r="R1501" s="1" t="s">
        <v>8457</v>
      </c>
      <c r="S1501" s="1" t="s">
        <v>8109</v>
      </c>
      <c r="T1501" s="1">
        <v>0</v>
      </c>
      <c r="U1501" s="1">
        <v>1</v>
      </c>
      <c r="V1501" s="1">
        <v>0</v>
      </c>
      <c r="W1501" s="1">
        <v>0</v>
      </c>
      <c r="X1501" s="1">
        <v>0</v>
      </c>
      <c r="Y1501" s="1">
        <v>2</v>
      </c>
      <c r="Z1501" s="1">
        <v>2</v>
      </c>
      <c r="AA1501" s="1" t="s">
        <v>104</v>
      </c>
      <c r="AB1501" s="1" t="s">
        <v>104</v>
      </c>
      <c r="AC1501" s="1" t="s">
        <v>104</v>
      </c>
      <c r="AD1501" s="1">
        <v>2</v>
      </c>
      <c r="AE1501" s="1" t="s">
        <v>104</v>
      </c>
      <c r="AF1501" s="1" t="s">
        <v>104</v>
      </c>
      <c r="AG1501" s="1" t="s">
        <v>104</v>
      </c>
      <c r="AH1501" s="1">
        <v>2</v>
      </c>
      <c r="AI1501" s="1" t="s">
        <v>104</v>
      </c>
      <c r="AJ1501" s="1" t="s">
        <v>104</v>
      </c>
      <c r="AK1501" s="1" t="s">
        <v>104</v>
      </c>
      <c r="AL1501" s="1" t="s">
        <v>104</v>
      </c>
      <c r="AM1501" s="1" t="s">
        <v>104</v>
      </c>
      <c r="AO1501" s="1">
        <v>2</v>
      </c>
      <c r="AR1501" s="1">
        <v>0</v>
      </c>
      <c r="AS1501" s="1">
        <v>0</v>
      </c>
      <c r="AT1501" s="1">
        <v>0</v>
      </c>
      <c r="AU1501" s="1">
        <v>0</v>
      </c>
      <c r="AV1501" s="1">
        <v>0</v>
      </c>
      <c r="AW1501" s="1">
        <v>0</v>
      </c>
      <c r="AX1501" s="1">
        <v>0</v>
      </c>
      <c r="AY1501" s="1">
        <v>0</v>
      </c>
      <c r="AZ1501" s="1">
        <v>0</v>
      </c>
      <c r="BA1501" s="1">
        <v>0</v>
      </c>
      <c r="BB1501" s="1">
        <v>0</v>
      </c>
      <c r="BC1501" s="1">
        <v>0</v>
      </c>
      <c r="BD1501" s="1">
        <v>0</v>
      </c>
      <c r="BE1501" s="1">
        <v>0</v>
      </c>
      <c r="BF1501" s="1">
        <v>0</v>
      </c>
      <c r="BG1501" s="1">
        <v>0</v>
      </c>
      <c r="BH1501" s="1">
        <v>0</v>
      </c>
      <c r="BI1501" s="1">
        <v>0</v>
      </c>
      <c r="BJ1501" s="1">
        <v>0</v>
      </c>
      <c r="BK1501" s="1">
        <v>0</v>
      </c>
      <c r="BL1501" s="1">
        <v>0</v>
      </c>
      <c r="BM1501" s="1">
        <v>0</v>
      </c>
      <c r="BN1501" s="1">
        <v>1</v>
      </c>
      <c r="BO1501" s="1">
        <v>0</v>
      </c>
      <c r="BP1501" s="1">
        <v>0</v>
      </c>
      <c r="BQ1501" s="1" t="s">
        <v>104</v>
      </c>
      <c r="BR1501" s="1">
        <v>1572</v>
      </c>
      <c r="BS1501" s="1" t="s">
        <v>104</v>
      </c>
      <c r="BV1501" s="1" t="s">
        <v>8458</v>
      </c>
      <c r="BX1501" s="1">
        <v>1</v>
      </c>
      <c r="BY1501" s="1" t="s">
        <v>104</v>
      </c>
      <c r="BZ1501" s="1" t="s">
        <v>104</v>
      </c>
      <c r="CA1501" s="1">
        <v>2</v>
      </c>
      <c r="CB1501" s="1" t="s">
        <v>104</v>
      </c>
      <c r="CC1501" s="1">
        <v>2</v>
      </c>
      <c r="CD1501" s="1" t="s">
        <v>104</v>
      </c>
      <c r="CE1501" s="1" t="s">
        <v>104</v>
      </c>
      <c r="CF1501" s="1" t="s">
        <v>104</v>
      </c>
      <c r="CG1501" s="1" t="s">
        <v>104</v>
      </c>
      <c r="CH1501" s="1" t="s">
        <v>104</v>
      </c>
      <c r="CJ1501" s="1">
        <v>0</v>
      </c>
      <c r="CK1501" s="1">
        <v>0</v>
      </c>
      <c r="CL1501" s="1">
        <v>0</v>
      </c>
      <c r="CM1501" s="1" t="s">
        <v>104</v>
      </c>
    </row>
    <row r="1502" spans="1:91" ht="14.25" customHeight="1" x14ac:dyDescent="0.3">
      <c r="A1502" s="1" t="s">
        <v>8459</v>
      </c>
      <c r="B1502" s="1" t="s">
        <v>137</v>
      </c>
      <c r="E1502" s="1" t="s">
        <v>8460</v>
      </c>
      <c r="F1502" s="1" t="s">
        <v>4934</v>
      </c>
      <c r="G1502" s="1" t="s">
        <v>116</v>
      </c>
      <c r="H1502" s="1">
        <v>0</v>
      </c>
      <c r="I1502" s="1" t="s">
        <v>705</v>
      </c>
      <c r="K1502" s="1" t="s">
        <v>8461</v>
      </c>
      <c r="M1502" s="1" t="s">
        <v>4208</v>
      </c>
      <c r="N1502" s="1">
        <v>0</v>
      </c>
      <c r="O1502" s="1">
        <v>0</v>
      </c>
      <c r="R1502" s="1" t="s">
        <v>8462</v>
      </c>
      <c r="S1502" s="1" t="s">
        <v>8463</v>
      </c>
      <c r="T1502" s="1">
        <v>1</v>
      </c>
      <c r="U1502" s="1">
        <v>1</v>
      </c>
      <c r="V1502" s="1">
        <v>0</v>
      </c>
      <c r="W1502" s="1">
        <v>0</v>
      </c>
      <c r="X1502" s="1">
        <v>0</v>
      </c>
      <c r="Y1502" s="1">
        <v>1</v>
      </c>
      <c r="Z1502" s="1">
        <v>1</v>
      </c>
      <c r="AA1502" s="1" t="s">
        <v>104</v>
      </c>
      <c r="AB1502" s="1" t="s">
        <v>104</v>
      </c>
      <c r="AC1502" s="1" t="s">
        <v>104</v>
      </c>
      <c r="AD1502" s="1" t="s">
        <v>104</v>
      </c>
      <c r="AE1502" s="1" t="s">
        <v>104</v>
      </c>
      <c r="AF1502" s="1" t="s">
        <v>104</v>
      </c>
      <c r="AG1502" s="1" t="s">
        <v>104</v>
      </c>
      <c r="AH1502" s="1">
        <v>1</v>
      </c>
      <c r="AI1502" s="1" t="s">
        <v>104</v>
      </c>
      <c r="AJ1502" s="1" t="s">
        <v>104</v>
      </c>
      <c r="AK1502" s="1" t="s">
        <v>104</v>
      </c>
      <c r="AL1502" s="1">
        <v>1</v>
      </c>
      <c r="AM1502" s="1" t="s">
        <v>104</v>
      </c>
      <c r="AO1502" s="1">
        <v>1</v>
      </c>
      <c r="AR1502" s="1">
        <v>0</v>
      </c>
      <c r="AS1502" s="1">
        <v>0</v>
      </c>
      <c r="AT1502" s="1">
        <v>0</v>
      </c>
      <c r="AU1502" s="1">
        <v>0</v>
      </c>
      <c r="AV1502" s="1">
        <v>0</v>
      </c>
      <c r="AW1502" s="1">
        <v>0</v>
      </c>
      <c r="AX1502" s="1">
        <v>0</v>
      </c>
      <c r="AY1502" s="1">
        <v>0</v>
      </c>
      <c r="AZ1502" s="1">
        <v>0</v>
      </c>
      <c r="BA1502" s="1">
        <v>0</v>
      </c>
      <c r="BB1502" s="1">
        <v>0</v>
      </c>
      <c r="BC1502" s="1">
        <v>0</v>
      </c>
      <c r="BD1502" s="1">
        <v>0</v>
      </c>
      <c r="BE1502" s="1">
        <v>0</v>
      </c>
      <c r="BF1502" s="1">
        <v>0</v>
      </c>
      <c r="BG1502" s="1">
        <v>0</v>
      </c>
      <c r="BH1502" s="1">
        <v>0</v>
      </c>
      <c r="BI1502" s="1">
        <v>0</v>
      </c>
      <c r="BJ1502" s="1">
        <v>0</v>
      </c>
      <c r="BK1502" s="1">
        <v>0</v>
      </c>
      <c r="BL1502" s="1">
        <v>0</v>
      </c>
      <c r="BM1502" s="1">
        <v>0</v>
      </c>
      <c r="BN1502" s="1">
        <v>0</v>
      </c>
      <c r="BO1502" s="1">
        <v>0</v>
      </c>
      <c r="BP1502" s="1">
        <v>0</v>
      </c>
      <c r="BQ1502" s="1" t="s">
        <v>104</v>
      </c>
      <c r="BR1502" s="1">
        <v>1574</v>
      </c>
      <c r="BS1502" s="1" t="s">
        <v>104</v>
      </c>
      <c r="BX1502" s="1">
        <v>0</v>
      </c>
      <c r="BY1502" s="1" t="s">
        <v>104</v>
      </c>
      <c r="BZ1502" s="1" t="s">
        <v>104</v>
      </c>
      <c r="CA1502" s="1" t="s">
        <v>104</v>
      </c>
      <c r="CB1502" s="1" t="s">
        <v>104</v>
      </c>
      <c r="CC1502" s="1" t="s">
        <v>104</v>
      </c>
      <c r="CD1502" s="1" t="s">
        <v>104</v>
      </c>
      <c r="CE1502" s="1" t="s">
        <v>104</v>
      </c>
      <c r="CF1502" s="1" t="s">
        <v>104</v>
      </c>
      <c r="CG1502" s="1" t="s">
        <v>104</v>
      </c>
      <c r="CH1502" s="1" t="s">
        <v>104</v>
      </c>
      <c r="CJ1502" s="1">
        <v>0</v>
      </c>
      <c r="CK1502" s="1">
        <v>0</v>
      </c>
      <c r="CL1502" s="1">
        <v>0</v>
      </c>
      <c r="CM1502" s="1" t="s">
        <v>104</v>
      </c>
    </row>
    <row r="1503" spans="1:91" ht="14.25" customHeight="1" x14ac:dyDescent="0.3">
      <c r="A1503" s="1" t="s">
        <v>8464</v>
      </c>
      <c r="B1503" s="1" t="s">
        <v>162</v>
      </c>
      <c r="E1503" s="1" t="s">
        <v>8465</v>
      </c>
      <c r="F1503" s="1" t="s">
        <v>95</v>
      </c>
      <c r="G1503" s="1" t="s">
        <v>116</v>
      </c>
      <c r="H1503" s="1">
        <v>0</v>
      </c>
      <c r="I1503" s="1" t="s">
        <v>157</v>
      </c>
      <c r="J1503" s="1" t="s">
        <v>8466</v>
      </c>
      <c r="M1503" s="1" t="s">
        <v>5119</v>
      </c>
      <c r="N1503" s="1">
        <v>0</v>
      </c>
      <c r="O1503" s="1">
        <v>0</v>
      </c>
      <c r="P1503" s="1" t="s">
        <v>100</v>
      </c>
      <c r="Q1503" s="1" t="s">
        <v>101</v>
      </c>
      <c r="R1503" s="1" t="s">
        <v>8467</v>
      </c>
      <c r="S1503" s="1" t="s">
        <v>8463</v>
      </c>
      <c r="T1503" s="1">
        <v>1</v>
      </c>
      <c r="U1503" s="1">
        <v>1</v>
      </c>
      <c r="V1503" s="1">
        <v>0</v>
      </c>
      <c r="W1503" s="1">
        <v>0</v>
      </c>
      <c r="X1503" s="1">
        <v>0</v>
      </c>
      <c r="Y1503" s="1">
        <v>5</v>
      </c>
      <c r="Z1503" s="1">
        <v>5</v>
      </c>
      <c r="AA1503" s="1" t="s">
        <v>104</v>
      </c>
      <c r="AB1503" s="1" t="s">
        <v>104</v>
      </c>
      <c r="AC1503" s="1" t="s">
        <v>104</v>
      </c>
      <c r="AD1503" s="1">
        <v>5</v>
      </c>
      <c r="AE1503" s="1" t="s">
        <v>104</v>
      </c>
      <c r="AF1503" s="1" t="s">
        <v>104</v>
      </c>
      <c r="AG1503" s="1" t="s">
        <v>104</v>
      </c>
      <c r="AH1503" s="1" t="s">
        <v>104</v>
      </c>
      <c r="AI1503" s="1" t="s">
        <v>104</v>
      </c>
      <c r="AJ1503" s="1" t="s">
        <v>104</v>
      </c>
      <c r="AK1503" s="1" t="s">
        <v>104</v>
      </c>
      <c r="AL1503" s="1" t="s">
        <v>104</v>
      </c>
      <c r="AM1503" s="1" t="s">
        <v>104</v>
      </c>
      <c r="AO1503" s="1">
        <v>5</v>
      </c>
      <c r="AR1503" s="1">
        <v>0</v>
      </c>
      <c r="AS1503" s="1">
        <v>0</v>
      </c>
      <c r="AT1503" s="1">
        <v>0</v>
      </c>
      <c r="AU1503" s="1">
        <v>0</v>
      </c>
      <c r="AV1503" s="1">
        <v>0</v>
      </c>
      <c r="AW1503" s="1">
        <v>0</v>
      </c>
      <c r="AX1503" s="1">
        <v>0</v>
      </c>
      <c r="AY1503" s="1">
        <v>0</v>
      </c>
      <c r="AZ1503" s="1">
        <v>0</v>
      </c>
      <c r="BA1503" s="1">
        <v>0</v>
      </c>
      <c r="BB1503" s="1">
        <v>0</v>
      </c>
      <c r="BC1503" s="1">
        <v>0</v>
      </c>
      <c r="BD1503" s="1">
        <v>0</v>
      </c>
      <c r="BE1503" s="1">
        <v>0</v>
      </c>
      <c r="BF1503" s="1">
        <v>0</v>
      </c>
      <c r="BG1503" s="1">
        <v>0</v>
      </c>
      <c r="BH1503" s="1">
        <v>0</v>
      </c>
      <c r="BI1503" s="1">
        <v>0</v>
      </c>
      <c r="BJ1503" s="1">
        <v>0</v>
      </c>
      <c r="BK1503" s="1">
        <v>0</v>
      </c>
      <c r="BL1503" s="1">
        <v>0</v>
      </c>
      <c r="BM1503" s="1">
        <v>0</v>
      </c>
      <c r="BN1503" s="1">
        <v>0</v>
      </c>
      <c r="BO1503" s="1">
        <v>0</v>
      </c>
      <c r="BP1503" s="1">
        <v>0</v>
      </c>
      <c r="BQ1503" s="1" t="s">
        <v>104</v>
      </c>
      <c r="BR1503" s="1">
        <v>1575</v>
      </c>
      <c r="BS1503" s="1" t="s">
        <v>104</v>
      </c>
      <c r="BV1503" s="1" t="s">
        <v>8468</v>
      </c>
      <c r="BW1503" s="1" t="s">
        <v>8469</v>
      </c>
      <c r="BX1503" s="1">
        <v>1</v>
      </c>
      <c r="BY1503" s="1" t="s">
        <v>104</v>
      </c>
      <c r="BZ1503" s="1" t="s">
        <v>104</v>
      </c>
      <c r="CA1503" s="1" t="s">
        <v>104</v>
      </c>
      <c r="CB1503" s="1" t="s">
        <v>104</v>
      </c>
      <c r="CC1503" s="1" t="s">
        <v>104</v>
      </c>
      <c r="CD1503" s="1" t="s">
        <v>104</v>
      </c>
      <c r="CE1503" s="1" t="s">
        <v>104</v>
      </c>
      <c r="CF1503" s="1" t="s">
        <v>104</v>
      </c>
      <c r="CG1503" s="1" t="s">
        <v>104</v>
      </c>
      <c r="CH1503" s="1" t="s">
        <v>104</v>
      </c>
      <c r="CJ1503" s="1">
        <v>0</v>
      </c>
      <c r="CK1503" s="1">
        <v>0</v>
      </c>
      <c r="CL1503" s="1">
        <v>0</v>
      </c>
      <c r="CM1503" s="1" t="s">
        <v>104</v>
      </c>
    </row>
    <row r="1504" spans="1:91" ht="14.25" customHeight="1" x14ac:dyDescent="0.3">
      <c r="A1504" s="1" t="s">
        <v>8470</v>
      </c>
      <c r="B1504" s="1" t="s">
        <v>216</v>
      </c>
      <c r="E1504" s="1" t="s">
        <v>8471</v>
      </c>
      <c r="F1504" s="1" t="s">
        <v>191</v>
      </c>
      <c r="G1504" s="1" t="s">
        <v>116</v>
      </c>
      <c r="H1504" s="1">
        <v>0</v>
      </c>
      <c r="I1504" s="1" t="s">
        <v>128</v>
      </c>
      <c r="L1504" s="1" t="s">
        <v>8472</v>
      </c>
      <c r="M1504" s="1" t="s">
        <v>201</v>
      </c>
      <c r="N1504" s="1">
        <v>0</v>
      </c>
      <c r="O1504" s="1">
        <v>0</v>
      </c>
      <c r="P1504" s="1" t="s">
        <v>8473</v>
      </c>
      <c r="Q1504" s="1" t="s">
        <v>8474</v>
      </c>
      <c r="R1504" s="1" t="s">
        <v>8475</v>
      </c>
      <c r="S1504" s="1" t="s">
        <v>8463</v>
      </c>
      <c r="T1504" s="1">
        <v>1</v>
      </c>
      <c r="U1504" s="1">
        <v>1</v>
      </c>
      <c r="V1504" s="1">
        <v>0</v>
      </c>
      <c r="W1504" s="1">
        <v>0</v>
      </c>
      <c r="X1504" s="1">
        <v>0</v>
      </c>
      <c r="Y1504" s="1">
        <v>3</v>
      </c>
      <c r="Z1504" s="1">
        <v>3</v>
      </c>
      <c r="AA1504" s="1">
        <v>2</v>
      </c>
      <c r="AB1504" s="1" t="s">
        <v>104</v>
      </c>
      <c r="AC1504" s="1" t="s">
        <v>104</v>
      </c>
      <c r="AD1504" s="1" t="s">
        <v>104</v>
      </c>
      <c r="AE1504" s="1" t="s">
        <v>104</v>
      </c>
      <c r="AF1504" s="1">
        <v>2</v>
      </c>
      <c r="AG1504" s="1" t="s">
        <v>104</v>
      </c>
      <c r="AH1504" s="1">
        <v>3</v>
      </c>
      <c r="AI1504" s="1" t="s">
        <v>104</v>
      </c>
      <c r="AJ1504" s="1">
        <v>2</v>
      </c>
      <c r="AK1504" s="1" t="s">
        <v>104</v>
      </c>
      <c r="AL1504" s="1" t="s">
        <v>104</v>
      </c>
      <c r="AM1504" s="1" t="s">
        <v>104</v>
      </c>
      <c r="AO1504" s="1">
        <v>3</v>
      </c>
      <c r="AR1504" s="1">
        <v>0</v>
      </c>
      <c r="AS1504" s="1">
        <v>0</v>
      </c>
      <c r="AT1504" s="1">
        <v>0</v>
      </c>
      <c r="AU1504" s="1">
        <v>0</v>
      </c>
      <c r="AV1504" s="1">
        <v>0</v>
      </c>
      <c r="AW1504" s="1">
        <v>0</v>
      </c>
      <c r="AX1504" s="1">
        <v>0</v>
      </c>
      <c r="AY1504" s="1">
        <v>0</v>
      </c>
      <c r="AZ1504" s="1">
        <v>0</v>
      </c>
      <c r="BA1504" s="1">
        <v>0</v>
      </c>
      <c r="BB1504" s="1">
        <v>0</v>
      </c>
      <c r="BC1504" s="1">
        <v>0</v>
      </c>
      <c r="BD1504" s="1">
        <v>0</v>
      </c>
      <c r="BE1504" s="1">
        <v>0</v>
      </c>
      <c r="BF1504" s="1">
        <v>0</v>
      </c>
      <c r="BG1504" s="1">
        <v>0</v>
      </c>
      <c r="BH1504" s="1">
        <v>0</v>
      </c>
      <c r="BI1504" s="1">
        <v>0</v>
      </c>
      <c r="BJ1504" s="1">
        <v>0</v>
      </c>
      <c r="BK1504" s="1">
        <v>0</v>
      </c>
      <c r="BL1504" s="1">
        <v>0</v>
      </c>
      <c r="BM1504" s="1">
        <v>0</v>
      </c>
      <c r="BN1504" s="1">
        <v>0</v>
      </c>
      <c r="BO1504" s="1">
        <v>0</v>
      </c>
      <c r="BP1504" s="1">
        <v>0</v>
      </c>
      <c r="BQ1504" s="1" t="s">
        <v>104</v>
      </c>
      <c r="BR1504" s="1">
        <v>1576</v>
      </c>
      <c r="BS1504" s="1" t="s">
        <v>104</v>
      </c>
      <c r="BX1504" s="1">
        <v>0</v>
      </c>
      <c r="BY1504" s="1" t="s">
        <v>104</v>
      </c>
      <c r="BZ1504" s="1" t="s">
        <v>104</v>
      </c>
      <c r="CA1504" s="1" t="s">
        <v>104</v>
      </c>
      <c r="CB1504" s="1" t="s">
        <v>104</v>
      </c>
      <c r="CC1504" s="1" t="s">
        <v>104</v>
      </c>
      <c r="CD1504" s="1" t="s">
        <v>104</v>
      </c>
      <c r="CE1504" s="1" t="s">
        <v>104</v>
      </c>
      <c r="CF1504" s="1" t="s">
        <v>104</v>
      </c>
      <c r="CG1504" s="1" t="s">
        <v>104</v>
      </c>
      <c r="CH1504" s="1" t="s">
        <v>104</v>
      </c>
      <c r="CJ1504" s="1">
        <v>0</v>
      </c>
      <c r="CK1504" s="1">
        <v>0</v>
      </c>
      <c r="CL1504" s="1">
        <v>0</v>
      </c>
      <c r="CM1504" s="1" t="s">
        <v>104</v>
      </c>
    </row>
    <row r="1505" spans="1:91" ht="14.25" customHeight="1" x14ac:dyDescent="0.3">
      <c r="A1505" s="1" t="s">
        <v>8476</v>
      </c>
      <c r="B1505" s="1" t="s">
        <v>434</v>
      </c>
      <c r="D1505" s="1" t="s">
        <v>57</v>
      </c>
      <c r="E1505" s="1" t="s">
        <v>4310</v>
      </c>
      <c r="F1505" s="1" t="s">
        <v>95</v>
      </c>
      <c r="G1505" s="1" t="s">
        <v>8477</v>
      </c>
      <c r="H1505" s="1">
        <v>1</v>
      </c>
      <c r="I1505" s="1" t="s">
        <v>157</v>
      </c>
      <c r="J1505" s="1" t="s">
        <v>8478</v>
      </c>
      <c r="M1505" s="1" t="s">
        <v>119</v>
      </c>
      <c r="N1505" s="1">
        <v>0</v>
      </c>
      <c r="O1505" s="1">
        <v>0</v>
      </c>
      <c r="P1505" s="1" t="s">
        <v>550</v>
      </c>
      <c r="Q1505" s="1" t="s">
        <v>184</v>
      </c>
      <c r="R1505" s="1" t="s">
        <v>8479</v>
      </c>
      <c r="S1505" s="1" t="s">
        <v>8463</v>
      </c>
      <c r="T1505" s="1">
        <v>1</v>
      </c>
      <c r="U1505" s="1">
        <v>1</v>
      </c>
      <c r="V1505" s="1">
        <v>0</v>
      </c>
      <c r="W1505" s="1">
        <v>0</v>
      </c>
      <c r="X1505" s="1">
        <v>0</v>
      </c>
      <c r="Y1505" s="1">
        <v>6</v>
      </c>
      <c r="Z1505" s="1">
        <v>6</v>
      </c>
      <c r="AA1505" s="1">
        <v>6</v>
      </c>
      <c r="AB1505" s="1" t="s">
        <v>104</v>
      </c>
      <c r="AC1505" s="1" t="s">
        <v>104</v>
      </c>
      <c r="AD1505" s="1" t="s">
        <v>104</v>
      </c>
      <c r="AE1505" s="1" t="s">
        <v>104</v>
      </c>
      <c r="AF1505" s="1" t="s">
        <v>104</v>
      </c>
      <c r="AG1505" s="1" t="s">
        <v>104</v>
      </c>
      <c r="AH1505" s="1" t="s">
        <v>104</v>
      </c>
      <c r="AI1505" s="1" t="s">
        <v>104</v>
      </c>
      <c r="AJ1505" s="1">
        <v>6</v>
      </c>
      <c r="AK1505" s="1" t="s">
        <v>104</v>
      </c>
      <c r="AL1505" s="1" t="s">
        <v>104</v>
      </c>
      <c r="AM1505" s="1" t="s">
        <v>104</v>
      </c>
      <c r="AO1505" s="1">
        <v>6</v>
      </c>
      <c r="AR1505" s="1">
        <v>0</v>
      </c>
      <c r="AS1505" s="1">
        <v>0</v>
      </c>
      <c r="AT1505" s="1">
        <v>0</v>
      </c>
      <c r="AU1505" s="1">
        <v>0</v>
      </c>
      <c r="AV1505" s="1">
        <v>0</v>
      </c>
      <c r="AW1505" s="1">
        <v>0</v>
      </c>
      <c r="AX1505" s="1">
        <v>0</v>
      </c>
      <c r="AY1505" s="1">
        <v>0</v>
      </c>
      <c r="AZ1505" s="1">
        <v>0</v>
      </c>
      <c r="BA1505" s="1">
        <v>0</v>
      </c>
      <c r="BB1505" s="1">
        <v>0</v>
      </c>
      <c r="BC1505" s="1">
        <v>0</v>
      </c>
      <c r="BD1505" s="1">
        <v>0</v>
      </c>
      <c r="BE1505" s="1">
        <v>0</v>
      </c>
      <c r="BF1505" s="1">
        <v>0</v>
      </c>
      <c r="BG1505" s="1">
        <v>0</v>
      </c>
      <c r="BH1505" s="1">
        <v>0</v>
      </c>
      <c r="BI1505" s="1">
        <v>0</v>
      </c>
      <c r="BJ1505" s="1">
        <v>0</v>
      </c>
      <c r="BK1505" s="1">
        <v>0</v>
      </c>
      <c r="BL1505" s="1">
        <v>0</v>
      </c>
      <c r="BM1505" s="1">
        <v>0</v>
      </c>
      <c r="BN1505" s="1">
        <v>0</v>
      </c>
      <c r="BO1505" s="1">
        <v>0</v>
      </c>
      <c r="BP1505" s="1">
        <v>0</v>
      </c>
      <c r="BQ1505" s="1" t="s">
        <v>104</v>
      </c>
      <c r="BR1505" s="1">
        <v>1577</v>
      </c>
      <c r="BS1505" s="1">
        <v>1000</v>
      </c>
      <c r="BX1505" s="1">
        <v>0</v>
      </c>
      <c r="BY1505" s="1" t="s">
        <v>104</v>
      </c>
      <c r="BZ1505" s="1" t="s">
        <v>104</v>
      </c>
      <c r="CA1505" s="1" t="s">
        <v>104</v>
      </c>
      <c r="CB1505" s="1" t="s">
        <v>104</v>
      </c>
      <c r="CC1505" s="1" t="s">
        <v>104</v>
      </c>
      <c r="CD1505" s="1" t="s">
        <v>104</v>
      </c>
      <c r="CE1505" s="1" t="s">
        <v>104</v>
      </c>
      <c r="CF1505" s="1" t="s">
        <v>104</v>
      </c>
      <c r="CG1505" s="1" t="s">
        <v>104</v>
      </c>
      <c r="CH1505" s="1" t="s">
        <v>104</v>
      </c>
      <c r="CJ1505" s="1">
        <v>0</v>
      </c>
      <c r="CK1505" s="1">
        <v>0</v>
      </c>
      <c r="CL1505" s="1">
        <v>0</v>
      </c>
      <c r="CM1505" s="1" t="s">
        <v>104</v>
      </c>
    </row>
    <row r="1506" spans="1:91" ht="14.25" customHeight="1" x14ac:dyDescent="0.3">
      <c r="A1506" s="1" t="s">
        <v>8480</v>
      </c>
      <c r="B1506" s="1" t="s">
        <v>92</v>
      </c>
      <c r="C1506" s="1" t="s">
        <v>1160</v>
      </c>
      <c r="E1506" s="1" t="s">
        <v>8481</v>
      </c>
      <c r="F1506" s="1" t="s">
        <v>95</v>
      </c>
      <c r="G1506" s="1" t="s">
        <v>116</v>
      </c>
      <c r="H1506" s="1">
        <v>0</v>
      </c>
      <c r="I1506" s="1" t="s">
        <v>117</v>
      </c>
      <c r="L1506" s="1" t="s">
        <v>8482</v>
      </c>
      <c r="M1506" s="1" t="s">
        <v>8483</v>
      </c>
      <c r="N1506" s="1">
        <v>0</v>
      </c>
      <c r="O1506" s="1">
        <v>0</v>
      </c>
      <c r="P1506" s="1" t="s">
        <v>100</v>
      </c>
      <c r="Q1506" s="1" t="s">
        <v>101</v>
      </c>
      <c r="R1506" s="1" t="s">
        <v>8484</v>
      </c>
      <c r="S1506" s="1" t="s">
        <v>8463</v>
      </c>
      <c r="T1506" s="1">
        <v>1</v>
      </c>
      <c r="U1506" s="1">
        <v>1</v>
      </c>
      <c r="V1506" s="1">
        <v>0</v>
      </c>
      <c r="W1506" s="1">
        <v>0</v>
      </c>
      <c r="X1506" s="1">
        <v>0</v>
      </c>
      <c r="Y1506" s="1">
        <v>3</v>
      </c>
      <c r="Z1506" s="1">
        <v>3</v>
      </c>
      <c r="AA1506" s="1" t="s">
        <v>104</v>
      </c>
      <c r="AB1506" s="1" t="s">
        <v>104</v>
      </c>
      <c r="AC1506" s="1" t="s">
        <v>104</v>
      </c>
      <c r="AD1506" s="1">
        <v>2</v>
      </c>
      <c r="AE1506" s="1" t="s">
        <v>104</v>
      </c>
      <c r="AF1506" s="1" t="s">
        <v>104</v>
      </c>
      <c r="AG1506" s="1" t="s">
        <v>104</v>
      </c>
      <c r="AH1506" s="1" t="s">
        <v>104</v>
      </c>
      <c r="AI1506" s="1" t="s">
        <v>104</v>
      </c>
      <c r="AJ1506" s="1" t="s">
        <v>104</v>
      </c>
      <c r="AK1506" s="1" t="s">
        <v>104</v>
      </c>
      <c r="AL1506" s="1" t="s">
        <v>104</v>
      </c>
      <c r="AM1506" s="1" t="s">
        <v>104</v>
      </c>
      <c r="AO1506" s="1">
        <v>3</v>
      </c>
      <c r="AR1506" s="1">
        <v>0</v>
      </c>
      <c r="AS1506" s="1">
        <v>0</v>
      </c>
      <c r="AT1506" s="1">
        <v>0</v>
      </c>
      <c r="AU1506" s="1">
        <v>0</v>
      </c>
      <c r="AV1506" s="1">
        <v>0</v>
      </c>
      <c r="AW1506" s="1">
        <v>0</v>
      </c>
      <c r="AX1506" s="1">
        <v>0</v>
      </c>
      <c r="AY1506" s="1">
        <v>0</v>
      </c>
      <c r="AZ1506" s="1">
        <v>0</v>
      </c>
      <c r="BA1506" s="1">
        <v>0</v>
      </c>
      <c r="BB1506" s="1">
        <v>0</v>
      </c>
      <c r="BC1506" s="1">
        <v>0</v>
      </c>
      <c r="BD1506" s="1">
        <v>0</v>
      </c>
      <c r="BE1506" s="1">
        <v>0</v>
      </c>
      <c r="BF1506" s="1">
        <v>0</v>
      </c>
      <c r="BG1506" s="1">
        <v>0</v>
      </c>
      <c r="BH1506" s="1">
        <v>0</v>
      </c>
      <c r="BI1506" s="1">
        <v>0</v>
      </c>
      <c r="BJ1506" s="1">
        <v>0</v>
      </c>
      <c r="BK1506" s="1">
        <v>0</v>
      </c>
      <c r="BL1506" s="1">
        <v>0</v>
      </c>
      <c r="BM1506" s="1">
        <v>0</v>
      </c>
      <c r="BN1506" s="1">
        <v>0</v>
      </c>
      <c r="BO1506" s="1">
        <v>0</v>
      </c>
      <c r="BP1506" s="1">
        <v>0</v>
      </c>
      <c r="BQ1506" s="1" t="s">
        <v>104</v>
      </c>
      <c r="BR1506" s="1">
        <v>1578</v>
      </c>
      <c r="BS1506" s="1" t="s">
        <v>104</v>
      </c>
      <c r="BX1506" s="1">
        <v>0</v>
      </c>
      <c r="BY1506" s="1" t="s">
        <v>104</v>
      </c>
      <c r="BZ1506" s="1" t="s">
        <v>104</v>
      </c>
      <c r="CA1506" s="1" t="s">
        <v>104</v>
      </c>
      <c r="CB1506" s="1" t="s">
        <v>104</v>
      </c>
      <c r="CC1506" s="1" t="s">
        <v>104</v>
      </c>
      <c r="CD1506" s="1" t="s">
        <v>104</v>
      </c>
      <c r="CE1506" s="1" t="s">
        <v>104</v>
      </c>
      <c r="CF1506" s="1" t="s">
        <v>104</v>
      </c>
      <c r="CG1506" s="1" t="s">
        <v>104</v>
      </c>
      <c r="CH1506" s="1" t="s">
        <v>104</v>
      </c>
      <c r="CJ1506" s="1">
        <v>0</v>
      </c>
      <c r="CK1506" s="1">
        <v>0</v>
      </c>
      <c r="CL1506" s="1">
        <v>0</v>
      </c>
      <c r="CM1506" s="1" t="s">
        <v>104</v>
      </c>
    </row>
    <row r="1507" spans="1:91" ht="14.25" customHeight="1" x14ac:dyDescent="0.3">
      <c r="A1507" s="1" t="s">
        <v>8485</v>
      </c>
      <c r="B1507" s="1" t="s">
        <v>123</v>
      </c>
      <c r="C1507" s="1" t="s">
        <v>124</v>
      </c>
      <c r="D1507" s="1" t="s">
        <v>728</v>
      </c>
      <c r="E1507" s="1" t="s">
        <v>8486</v>
      </c>
      <c r="F1507" s="1" t="s">
        <v>287</v>
      </c>
      <c r="G1507" s="1" t="s">
        <v>237</v>
      </c>
      <c r="H1507" s="1">
        <v>0</v>
      </c>
      <c r="I1507" s="1" t="s">
        <v>8487</v>
      </c>
      <c r="L1507" s="1" t="s">
        <v>8488</v>
      </c>
      <c r="M1507" s="1" t="s">
        <v>8489</v>
      </c>
      <c r="N1507" s="1">
        <v>1</v>
      </c>
      <c r="O1507" s="1">
        <v>0</v>
      </c>
      <c r="P1507" s="1" t="s">
        <v>211</v>
      </c>
      <c r="Q1507" s="1" t="s">
        <v>184</v>
      </c>
      <c r="R1507" s="1" t="s">
        <v>8490</v>
      </c>
      <c r="S1507" s="1" t="s">
        <v>8463</v>
      </c>
      <c r="T1507" s="1">
        <v>1</v>
      </c>
      <c r="U1507" s="1">
        <v>0</v>
      </c>
      <c r="V1507" s="1">
        <v>0</v>
      </c>
      <c r="W1507" s="1">
        <v>0</v>
      </c>
      <c r="X1507" s="1">
        <v>0</v>
      </c>
      <c r="Y1507" s="1">
        <v>6</v>
      </c>
      <c r="Z1507" s="1">
        <v>6</v>
      </c>
      <c r="AA1507" s="1" t="s">
        <v>104</v>
      </c>
      <c r="AB1507" s="1" t="s">
        <v>104</v>
      </c>
      <c r="AC1507" s="1" t="s">
        <v>104</v>
      </c>
      <c r="AD1507" s="1">
        <v>6</v>
      </c>
      <c r="AE1507" s="1" t="s">
        <v>104</v>
      </c>
      <c r="AF1507" s="1" t="s">
        <v>104</v>
      </c>
      <c r="AG1507" s="1" t="s">
        <v>104</v>
      </c>
      <c r="AH1507" s="1">
        <v>6</v>
      </c>
      <c r="AI1507" s="1">
        <v>6</v>
      </c>
      <c r="AJ1507" s="1" t="s">
        <v>104</v>
      </c>
      <c r="AK1507" s="1" t="s">
        <v>104</v>
      </c>
      <c r="AL1507" s="1" t="s">
        <v>104</v>
      </c>
      <c r="AM1507" s="1" t="s">
        <v>104</v>
      </c>
      <c r="AO1507" s="1">
        <v>6</v>
      </c>
      <c r="AR1507" s="1">
        <v>0</v>
      </c>
      <c r="AS1507" s="1">
        <v>0</v>
      </c>
      <c r="AT1507" s="1">
        <v>0</v>
      </c>
      <c r="AU1507" s="1">
        <v>0</v>
      </c>
      <c r="AV1507" s="1">
        <v>0</v>
      </c>
      <c r="AW1507" s="1">
        <v>0</v>
      </c>
      <c r="AX1507" s="1">
        <v>0</v>
      </c>
      <c r="AY1507" s="1">
        <v>0</v>
      </c>
      <c r="AZ1507" s="1">
        <v>0</v>
      </c>
      <c r="BA1507" s="1">
        <v>0</v>
      </c>
      <c r="BB1507" s="1">
        <v>0</v>
      </c>
      <c r="BC1507" s="1">
        <v>0</v>
      </c>
      <c r="BD1507" s="1">
        <v>0</v>
      </c>
      <c r="BE1507" s="1">
        <v>0</v>
      </c>
      <c r="BF1507" s="1">
        <v>0</v>
      </c>
      <c r="BG1507" s="1">
        <v>0</v>
      </c>
      <c r="BH1507" s="1">
        <v>1</v>
      </c>
      <c r="BI1507" s="1">
        <v>0</v>
      </c>
      <c r="BJ1507" s="1">
        <v>0</v>
      </c>
      <c r="BK1507" s="1">
        <v>1</v>
      </c>
      <c r="BL1507" s="1">
        <v>0</v>
      </c>
      <c r="BM1507" s="1">
        <v>0</v>
      </c>
      <c r="BN1507" s="1">
        <v>0</v>
      </c>
      <c r="BO1507" s="1">
        <v>0</v>
      </c>
      <c r="BP1507" s="1">
        <v>0</v>
      </c>
      <c r="BQ1507" s="1" t="s">
        <v>104</v>
      </c>
      <c r="BR1507" s="1">
        <v>1579</v>
      </c>
      <c r="BS1507" s="1" t="s">
        <v>104</v>
      </c>
      <c r="BX1507" s="1">
        <v>0</v>
      </c>
      <c r="BY1507" s="1" t="s">
        <v>104</v>
      </c>
      <c r="BZ1507" s="1" t="s">
        <v>104</v>
      </c>
      <c r="CA1507" s="1" t="s">
        <v>104</v>
      </c>
      <c r="CB1507" s="1" t="s">
        <v>104</v>
      </c>
      <c r="CC1507" s="1" t="s">
        <v>104</v>
      </c>
      <c r="CD1507" s="1" t="s">
        <v>104</v>
      </c>
      <c r="CE1507" s="1" t="s">
        <v>104</v>
      </c>
      <c r="CF1507" s="1" t="s">
        <v>104</v>
      </c>
      <c r="CG1507" s="1" t="s">
        <v>104</v>
      </c>
      <c r="CH1507" s="1" t="s">
        <v>104</v>
      </c>
      <c r="CJ1507" s="1">
        <v>0</v>
      </c>
      <c r="CK1507" s="1">
        <v>0</v>
      </c>
      <c r="CL1507" s="1">
        <v>0</v>
      </c>
      <c r="CM1507" s="1" t="s">
        <v>104</v>
      </c>
    </row>
    <row r="1508" spans="1:91" ht="14.25" customHeight="1" x14ac:dyDescent="0.3">
      <c r="A1508" s="1" t="s">
        <v>8491</v>
      </c>
      <c r="B1508" s="1" t="s">
        <v>137</v>
      </c>
      <c r="E1508" s="1" t="s">
        <v>8074</v>
      </c>
      <c r="F1508" s="1" t="s">
        <v>95</v>
      </c>
      <c r="G1508" s="1" t="s">
        <v>8492</v>
      </c>
      <c r="H1508" s="1">
        <v>1</v>
      </c>
      <c r="I1508" s="1" t="s">
        <v>128</v>
      </c>
      <c r="L1508" s="1" t="s">
        <v>8493</v>
      </c>
      <c r="M1508" s="1" t="s">
        <v>194</v>
      </c>
      <c r="N1508" s="1">
        <v>0</v>
      </c>
      <c r="O1508" s="1">
        <v>0</v>
      </c>
      <c r="P1508" s="1" t="s">
        <v>100</v>
      </c>
      <c r="Q1508" s="1" t="s">
        <v>184</v>
      </c>
      <c r="R1508" s="1" t="s">
        <v>8494</v>
      </c>
      <c r="S1508" s="1" t="s">
        <v>8495</v>
      </c>
      <c r="T1508" s="1">
        <v>1</v>
      </c>
      <c r="U1508" s="1">
        <v>1</v>
      </c>
      <c r="V1508" s="1">
        <v>1</v>
      </c>
      <c r="W1508" s="1">
        <v>0</v>
      </c>
      <c r="X1508" s="1">
        <v>1</v>
      </c>
      <c r="Y1508" s="1" t="s">
        <v>104</v>
      </c>
      <c r="Z1508" s="1" t="s">
        <v>104</v>
      </c>
      <c r="AA1508" s="1">
        <v>1</v>
      </c>
      <c r="AB1508" s="1">
        <v>1</v>
      </c>
      <c r="AC1508" s="1" t="s">
        <v>104</v>
      </c>
      <c r="AD1508" s="1" t="s">
        <v>104</v>
      </c>
      <c r="AE1508" s="1" t="s">
        <v>104</v>
      </c>
      <c r="AF1508" s="1" t="s">
        <v>104</v>
      </c>
      <c r="AG1508" s="1" t="s">
        <v>104</v>
      </c>
      <c r="AH1508" s="1" t="s">
        <v>104</v>
      </c>
      <c r="AI1508" s="1" t="s">
        <v>104</v>
      </c>
      <c r="AJ1508" s="1">
        <v>1</v>
      </c>
      <c r="AK1508" s="1" t="s">
        <v>104</v>
      </c>
      <c r="AL1508" s="1" t="s">
        <v>104</v>
      </c>
      <c r="AM1508" s="1" t="s">
        <v>104</v>
      </c>
      <c r="AN1508" s="1" t="s">
        <v>8496</v>
      </c>
      <c r="AO1508" s="1">
        <v>1</v>
      </c>
      <c r="AR1508" s="1">
        <v>0</v>
      </c>
      <c r="AS1508" s="1">
        <v>0</v>
      </c>
      <c r="AT1508" s="1">
        <v>0</v>
      </c>
      <c r="AU1508" s="1">
        <v>0</v>
      </c>
      <c r="AV1508" s="1">
        <v>0</v>
      </c>
      <c r="AW1508" s="1">
        <v>0</v>
      </c>
      <c r="AX1508" s="1">
        <v>0</v>
      </c>
      <c r="AY1508" s="1">
        <v>0</v>
      </c>
      <c r="AZ1508" s="1">
        <v>0</v>
      </c>
      <c r="BA1508" s="1">
        <v>0</v>
      </c>
      <c r="BB1508" s="1">
        <v>0</v>
      </c>
      <c r="BC1508" s="1">
        <v>0</v>
      </c>
      <c r="BD1508" s="1">
        <v>0</v>
      </c>
      <c r="BE1508" s="1">
        <v>0</v>
      </c>
      <c r="BF1508" s="1">
        <v>0</v>
      </c>
      <c r="BG1508" s="1">
        <v>0</v>
      </c>
      <c r="BH1508" s="1">
        <v>0</v>
      </c>
      <c r="BI1508" s="1">
        <v>0</v>
      </c>
      <c r="BJ1508" s="1">
        <v>0</v>
      </c>
      <c r="BK1508" s="1">
        <v>0</v>
      </c>
      <c r="BL1508" s="1">
        <v>0</v>
      </c>
      <c r="BM1508" s="1">
        <v>0</v>
      </c>
      <c r="BN1508" s="1">
        <v>0</v>
      </c>
      <c r="BO1508" s="1">
        <v>0</v>
      </c>
      <c r="BP1508" s="1">
        <v>0</v>
      </c>
      <c r="BQ1508" s="1" t="s">
        <v>104</v>
      </c>
      <c r="BR1508" s="1">
        <v>1581</v>
      </c>
      <c r="BS1508" s="1">
        <v>1</v>
      </c>
      <c r="BX1508" s="1">
        <v>0</v>
      </c>
      <c r="BY1508" s="1" t="s">
        <v>104</v>
      </c>
      <c r="BZ1508" s="1" t="s">
        <v>104</v>
      </c>
      <c r="CA1508" s="1" t="s">
        <v>104</v>
      </c>
      <c r="CB1508" s="1" t="s">
        <v>104</v>
      </c>
      <c r="CC1508" s="1" t="s">
        <v>104</v>
      </c>
      <c r="CD1508" s="1" t="s">
        <v>104</v>
      </c>
      <c r="CE1508" s="1" t="s">
        <v>104</v>
      </c>
      <c r="CF1508" s="1" t="s">
        <v>104</v>
      </c>
      <c r="CG1508" s="1" t="s">
        <v>104</v>
      </c>
      <c r="CH1508" s="1">
        <v>1</v>
      </c>
      <c r="CJ1508" s="1">
        <v>0</v>
      </c>
      <c r="CK1508" s="1">
        <v>0</v>
      </c>
      <c r="CL1508" s="1">
        <v>0</v>
      </c>
      <c r="CM1508" s="1" t="s">
        <v>104</v>
      </c>
    </row>
    <row r="1509" spans="1:91" ht="14.25" customHeight="1" x14ac:dyDescent="0.3">
      <c r="A1509" s="1" t="s">
        <v>8497</v>
      </c>
      <c r="B1509" s="1" t="s">
        <v>216</v>
      </c>
      <c r="E1509" s="1" t="s">
        <v>8498</v>
      </c>
      <c r="F1509" s="1" t="s">
        <v>95</v>
      </c>
      <c r="G1509" s="1" t="s">
        <v>8499</v>
      </c>
      <c r="H1509" s="1">
        <v>0</v>
      </c>
      <c r="I1509" s="1" t="s">
        <v>128</v>
      </c>
      <c r="L1509" s="1" t="s">
        <v>1975</v>
      </c>
      <c r="M1509" s="1" t="s">
        <v>2638</v>
      </c>
      <c r="N1509" s="1">
        <v>0</v>
      </c>
      <c r="O1509" s="1">
        <v>0</v>
      </c>
      <c r="P1509" s="1" t="s">
        <v>1058</v>
      </c>
      <c r="Q1509" s="1" t="s">
        <v>131</v>
      </c>
      <c r="R1509" s="1" t="s">
        <v>8500</v>
      </c>
      <c r="S1509" s="1" t="s">
        <v>8501</v>
      </c>
      <c r="T1509" s="1">
        <v>1</v>
      </c>
      <c r="U1509" s="1">
        <v>1</v>
      </c>
      <c r="V1509" s="1">
        <v>1</v>
      </c>
      <c r="W1509" s="1">
        <v>0</v>
      </c>
      <c r="X1509" s="1">
        <v>0</v>
      </c>
      <c r="Y1509" s="1">
        <v>1</v>
      </c>
      <c r="Z1509" s="1">
        <v>1</v>
      </c>
      <c r="AA1509" s="1" t="s">
        <v>104</v>
      </c>
      <c r="AB1509" s="1" t="s">
        <v>104</v>
      </c>
      <c r="AC1509" s="1" t="s">
        <v>104</v>
      </c>
      <c r="AD1509" s="1" t="s">
        <v>104</v>
      </c>
      <c r="AE1509" s="1">
        <v>1</v>
      </c>
      <c r="AF1509" s="1" t="s">
        <v>104</v>
      </c>
      <c r="AG1509" s="1" t="s">
        <v>104</v>
      </c>
      <c r="AH1509" s="1" t="s">
        <v>104</v>
      </c>
      <c r="AI1509" s="1">
        <v>1</v>
      </c>
      <c r="AJ1509" s="1" t="s">
        <v>104</v>
      </c>
      <c r="AK1509" s="1" t="s">
        <v>104</v>
      </c>
      <c r="AL1509" s="1">
        <v>1</v>
      </c>
      <c r="AM1509" s="1" t="s">
        <v>104</v>
      </c>
      <c r="AO1509" s="1">
        <v>1</v>
      </c>
      <c r="AR1509" s="1">
        <v>0</v>
      </c>
      <c r="AS1509" s="1">
        <v>0</v>
      </c>
      <c r="AT1509" s="1">
        <v>0</v>
      </c>
      <c r="AU1509" s="1">
        <v>0</v>
      </c>
      <c r="AV1509" s="1">
        <v>0</v>
      </c>
      <c r="AW1509" s="1">
        <v>0</v>
      </c>
      <c r="AX1509" s="1">
        <v>0</v>
      </c>
      <c r="AY1509" s="1">
        <v>0</v>
      </c>
      <c r="AZ1509" s="1">
        <v>0</v>
      </c>
      <c r="BA1509" s="1">
        <v>0</v>
      </c>
      <c r="BB1509" s="1">
        <v>0</v>
      </c>
      <c r="BC1509" s="1">
        <v>0</v>
      </c>
      <c r="BD1509" s="1">
        <v>0</v>
      </c>
      <c r="BE1509" s="1">
        <v>0</v>
      </c>
      <c r="BF1509" s="1">
        <v>0</v>
      </c>
      <c r="BG1509" s="1">
        <v>0</v>
      </c>
      <c r="BH1509" s="1">
        <v>0</v>
      </c>
      <c r="BI1509" s="1">
        <v>0</v>
      </c>
      <c r="BJ1509" s="1">
        <v>0</v>
      </c>
      <c r="BK1509" s="1">
        <v>0</v>
      </c>
      <c r="BL1509" s="1">
        <v>0</v>
      </c>
      <c r="BM1509" s="1">
        <v>0</v>
      </c>
      <c r="BN1509" s="1">
        <v>0</v>
      </c>
      <c r="BO1509" s="1">
        <v>0</v>
      </c>
      <c r="BP1509" s="1">
        <v>0</v>
      </c>
      <c r="BQ1509" s="1" t="s">
        <v>104</v>
      </c>
      <c r="BR1509" s="1">
        <v>1582</v>
      </c>
      <c r="BS1509" s="1" t="s">
        <v>104</v>
      </c>
      <c r="BX1509" s="1">
        <v>0</v>
      </c>
      <c r="BY1509" s="1" t="s">
        <v>104</v>
      </c>
      <c r="BZ1509" s="1" t="s">
        <v>104</v>
      </c>
      <c r="CA1509" s="1" t="s">
        <v>104</v>
      </c>
      <c r="CB1509" s="1" t="s">
        <v>104</v>
      </c>
      <c r="CC1509" s="1" t="s">
        <v>104</v>
      </c>
      <c r="CD1509" s="1" t="s">
        <v>104</v>
      </c>
      <c r="CE1509" s="1" t="s">
        <v>104</v>
      </c>
      <c r="CF1509" s="1" t="s">
        <v>104</v>
      </c>
      <c r="CG1509" s="1" t="s">
        <v>104</v>
      </c>
      <c r="CH1509" s="1" t="s">
        <v>104</v>
      </c>
      <c r="CJ1509" s="1">
        <v>0</v>
      </c>
      <c r="CK1509" s="1">
        <v>0</v>
      </c>
      <c r="CL1509" s="1">
        <v>0</v>
      </c>
      <c r="CM1509" s="1" t="s">
        <v>104</v>
      </c>
    </row>
    <row r="1510" spans="1:91" ht="14.25" customHeight="1" x14ac:dyDescent="0.3">
      <c r="A1510" s="1" t="s">
        <v>8502</v>
      </c>
      <c r="B1510" s="1" t="s">
        <v>137</v>
      </c>
      <c r="E1510" s="1" t="s">
        <v>8503</v>
      </c>
      <c r="F1510" s="1" t="s">
        <v>95</v>
      </c>
      <c r="G1510" s="1" t="s">
        <v>8504</v>
      </c>
      <c r="H1510" s="1">
        <v>0</v>
      </c>
      <c r="I1510" s="1" t="s">
        <v>128</v>
      </c>
      <c r="L1510" s="1" t="s">
        <v>8505</v>
      </c>
      <c r="M1510" s="1" t="s">
        <v>2486</v>
      </c>
      <c r="N1510" s="1">
        <v>0</v>
      </c>
      <c r="O1510" s="1">
        <v>0</v>
      </c>
      <c r="P1510" s="1" t="s">
        <v>100</v>
      </c>
      <c r="Q1510" s="1" t="s">
        <v>131</v>
      </c>
      <c r="R1510" s="1" t="s">
        <v>8506</v>
      </c>
      <c r="S1510" s="1" t="s">
        <v>8501</v>
      </c>
      <c r="T1510" s="1">
        <v>1</v>
      </c>
      <c r="U1510" s="1">
        <v>1</v>
      </c>
      <c r="V1510" s="1">
        <v>1</v>
      </c>
      <c r="W1510" s="1">
        <v>0</v>
      </c>
      <c r="X1510" s="1">
        <v>0</v>
      </c>
      <c r="Y1510" s="1">
        <v>2</v>
      </c>
      <c r="Z1510" s="1">
        <v>2</v>
      </c>
      <c r="AA1510" s="1" t="s">
        <v>104</v>
      </c>
      <c r="AB1510" s="1">
        <v>2</v>
      </c>
      <c r="AC1510" s="1">
        <v>2</v>
      </c>
      <c r="AD1510" s="1" t="s">
        <v>104</v>
      </c>
      <c r="AE1510" s="1">
        <v>2</v>
      </c>
      <c r="AF1510" s="1" t="s">
        <v>104</v>
      </c>
      <c r="AG1510" s="1" t="s">
        <v>104</v>
      </c>
      <c r="AH1510" s="1">
        <v>2</v>
      </c>
      <c r="AI1510" s="1" t="s">
        <v>104</v>
      </c>
      <c r="AJ1510" s="1" t="s">
        <v>104</v>
      </c>
      <c r="AK1510" s="1" t="s">
        <v>104</v>
      </c>
      <c r="AL1510" s="1" t="s">
        <v>104</v>
      </c>
      <c r="AM1510" s="1" t="s">
        <v>104</v>
      </c>
      <c r="AO1510" s="1">
        <v>2</v>
      </c>
      <c r="AR1510" s="1">
        <v>0</v>
      </c>
      <c r="AS1510" s="1">
        <v>0</v>
      </c>
      <c r="AT1510" s="1">
        <v>0</v>
      </c>
      <c r="AU1510" s="1">
        <v>0</v>
      </c>
      <c r="AV1510" s="1">
        <v>0</v>
      </c>
      <c r="AW1510" s="1">
        <v>0</v>
      </c>
      <c r="AX1510" s="1">
        <v>0</v>
      </c>
      <c r="AY1510" s="1">
        <v>0</v>
      </c>
      <c r="AZ1510" s="1">
        <v>0</v>
      </c>
      <c r="BA1510" s="1">
        <v>0</v>
      </c>
      <c r="BB1510" s="1">
        <v>0</v>
      </c>
      <c r="BC1510" s="1">
        <v>0</v>
      </c>
      <c r="BD1510" s="1">
        <v>0</v>
      </c>
      <c r="BE1510" s="1">
        <v>0</v>
      </c>
      <c r="BF1510" s="1">
        <v>0</v>
      </c>
      <c r="BG1510" s="1">
        <v>0</v>
      </c>
      <c r="BH1510" s="1">
        <v>0</v>
      </c>
      <c r="BI1510" s="1">
        <v>0</v>
      </c>
      <c r="BJ1510" s="1">
        <v>0</v>
      </c>
      <c r="BK1510" s="1">
        <v>0</v>
      </c>
      <c r="BL1510" s="1">
        <v>0</v>
      </c>
      <c r="BM1510" s="1">
        <v>0</v>
      </c>
      <c r="BN1510" s="1">
        <v>0</v>
      </c>
      <c r="BO1510" s="1">
        <v>0</v>
      </c>
      <c r="BP1510" s="1">
        <v>0</v>
      </c>
      <c r="BQ1510" s="1" t="s">
        <v>104</v>
      </c>
      <c r="BR1510" s="1">
        <v>1583</v>
      </c>
      <c r="BS1510" s="1" t="s">
        <v>104</v>
      </c>
      <c r="BX1510" s="1">
        <v>0</v>
      </c>
      <c r="BY1510" s="1" t="s">
        <v>104</v>
      </c>
      <c r="BZ1510" s="1" t="s">
        <v>104</v>
      </c>
      <c r="CA1510" s="1" t="s">
        <v>104</v>
      </c>
      <c r="CB1510" s="1" t="s">
        <v>104</v>
      </c>
      <c r="CC1510" s="1" t="s">
        <v>104</v>
      </c>
      <c r="CD1510" s="1" t="s">
        <v>104</v>
      </c>
      <c r="CE1510" s="1" t="s">
        <v>104</v>
      </c>
      <c r="CF1510" s="1" t="s">
        <v>104</v>
      </c>
      <c r="CG1510" s="1" t="s">
        <v>104</v>
      </c>
      <c r="CH1510" s="1">
        <v>2</v>
      </c>
      <c r="CJ1510" s="1">
        <v>0</v>
      </c>
      <c r="CK1510" s="1">
        <v>0</v>
      </c>
      <c r="CL1510" s="1">
        <v>0</v>
      </c>
      <c r="CM1510" s="1" t="s">
        <v>104</v>
      </c>
    </row>
    <row r="1511" spans="1:91" ht="14.25" customHeight="1" x14ac:dyDescent="0.3">
      <c r="A1511" s="1" t="s">
        <v>8507</v>
      </c>
      <c r="B1511" s="1" t="s">
        <v>507</v>
      </c>
      <c r="E1511" s="1" t="s">
        <v>8508</v>
      </c>
      <c r="F1511" s="1" t="s">
        <v>95</v>
      </c>
      <c r="G1511" s="1" t="s">
        <v>8509</v>
      </c>
      <c r="H1511" s="1">
        <v>0</v>
      </c>
      <c r="I1511" s="1" t="s">
        <v>128</v>
      </c>
      <c r="L1511" s="1" t="s">
        <v>374</v>
      </c>
      <c r="M1511" s="1" t="s">
        <v>4292</v>
      </c>
      <c r="N1511" s="1">
        <v>0</v>
      </c>
      <c r="O1511" s="1">
        <v>0</v>
      </c>
      <c r="P1511" s="1" t="s">
        <v>1058</v>
      </c>
      <c r="Q1511" s="1" t="s">
        <v>131</v>
      </c>
      <c r="R1511" s="1" t="s">
        <v>8510</v>
      </c>
      <c r="S1511" s="1" t="s">
        <v>8501</v>
      </c>
      <c r="T1511" s="1">
        <v>1</v>
      </c>
      <c r="U1511" s="1">
        <v>1</v>
      </c>
      <c r="V1511" s="1">
        <v>1</v>
      </c>
      <c r="W1511" s="1">
        <v>0</v>
      </c>
      <c r="X1511" s="1">
        <v>0</v>
      </c>
      <c r="Y1511" s="1">
        <v>1</v>
      </c>
      <c r="Z1511" s="1">
        <v>1</v>
      </c>
      <c r="AA1511" s="1">
        <v>1</v>
      </c>
      <c r="AB1511" s="1" t="s">
        <v>104</v>
      </c>
      <c r="AC1511" s="1" t="s">
        <v>104</v>
      </c>
      <c r="AD1511" s="1">
        <v>1</v>
      </c>
      <c r="AE1511" s="1" t="s">
        <v>104</v>
      </c>
      <c r="AF1511" s="1" t="s">
        <v>104</v>
      </c>
      <c r="AG1511" s="1" t="s">
        <v>104</v>
      </c>
      <c r="AH1511" s="1" t="s">
        <v>104</v>
      </c>
      <c r="AI1511" s="1" t="s">
        <v>104</v>
      </c>
      <c r="AJ1511" s="1">
        <v>1</v>
      </c>
      <c r="AK1511" s="1" t="s">
        <v>104</v>
      </c>
      <c r="AL1511" s="1">
        <v>1</v>
      </c>
      <c r="AM1511" s="1" t="s">
        <v>104</v>
      </c>
      <c r="AO1511" s="1">
        <v>1</v>
      </c>
      <c r="AR1511" s="1">
        <v>0</v>
      </c>
      <c r="AS1511" s="1">
        <v>0</v>
      </c>
      <c r="AT1511" s="1">
        <v>0</v>
      </c>
      <c r="AU1511" s="1">
        <v>0</v>
      </c>
      <c r="AV1511" s="1">
        <v>0</v>
      </c>
      <c r="AW1511" s="1">
        <v>0</v>
      </c>
      <c r="AX1511" s="1">
        <v>0</v>
      </c>
      <c r="AY1511" s="1">
        <v>0</v>
      </c>
      <c r="AZ1511" s="1">
        <v>0</v>
      </c>
      <c r="BA1511" s="1">
        <v>0</v>
      </c>
      <c r="BB1511" s="1">
        <v>0</v>
      </c>
      <c r="BC1511" s="1">
        <v>0</v>
      </c>
      <c r="BD1511" s="1">
        <v>0</v>
      </c>
      <c r="BE1511" s="1">
        <v>0</v>
      </c>
      <c r="BF1511" s="1">
        <v>0</v>
      </c>
      <c r="BG1511" s="1">
        <v>0</v>
      </c>
      <c r="BH1511" s="1">
        <v>0</v>
      </c>
      <c r="BI1511" s="1">
        <v>0</v>
      </c>
      <c r="BJ1511" s="1">
        <v>0</v>
      </c>
      <c r="BK1511" s="1">
        <v>0</v>
      </c>
      <c r="BL1511" s="1">
        <v>0</v>
      </c>
      <c r="BM1511" s="1">
        <v>0</v>
      </c>
      <c r="BN1511" s="1">
        <v>0</v>
      </c>
      <c r="BO1511" s="1">
        <v>0</v>
      </c>
      <c r="BP1511" s="1">
        <v>0</v>
      </c>
      <c r="BQ1511" s="1" t="s">
        <v>104</v>
      </c>
      <c r="BR1511" s="1">
        <v>1584</v>
      </c>
      <c r="BS1511" s="1" t="s">
        <v>104</v>
      </c>
      <c r="BX1511" s="1">
        <v>0</v>
      </c>
      <c r="BY1511" s="1" t="s">
        <v>104</v>
      </c>
      <c r="BZ1511" s="1" t="s">
        <v>104</v>
      </c>
      <c r="CA1511" s="1" t="s">
        <v>104</v>
      </c>
      <c r="CB1511" s="1" t="s">
        <v>104</v>
      </c>
      <c r="CC1511" s="1" t="s">
        <v>104</v>
      </c>
      <c r="CD1511" s="1" t="s">
        <v>104</v>
      </c>
      <c r="CE1511" s="1" t="s">
        <v>104</v>
      </c>
      <c r="CF1511" s="1" t="s">
        <v>104</v>
      </c>
      <c r="CG1511" s="1" t="s">
        <v>104</v>
      </c>
      <c r="CH1511" s="1" t="s">
        <v>104</v>
      </c>
      <c r="CJ1511" s="1">
        <v>0</v>
      </c>
      <c r="CK1511" s="1">
        <v>0</v>
      </c>
      <c r="CL1511" s="1">
        <v>0</v>
      </c>
      <c r="CM1511" s="1" t="s">
        <v>104</v>
      </c>
    </row>
    <row r="1512" spans="1:91" ht="14.25" customHeight="1" x14ac:dyDescent="0.3">
      <c r="A1512" s="1" t="s">
        <v>8511</v>
      </c>
      <c r="B1512" s="1" t="s">
        <v>137</v>
      </c>
      <c r="E1512" s="1" t="s">
        <v>8512</v>
      </c>
      <c r="F1512" s="1" t="s">
        <v>95</v>
      </c>
      <c r="G1512" s="1" t="s">
        <v>8513</v>
      </c>
      <c r="H1512" s="1">
        <v>0</v>
      </c>
      <c r="I1512" s="1" t="s">
        <v>128</v>
      </c>
      <c r="L1512" s="1" t="s">
        <v>374</v>
      </c>
      <c r="M1512" s="1" t="s">
        <v>201</v>
      </c>
      <c r="N1512" s="1">
        <v>0</v>
      </c>
      <c r="O1512" s="1">
        <v>0</v>
      </c>
      <c r="P1512" s="1" t="s">
        <v>375</v>
      </c>
      <c r="Q1512" s="1" t="s">
        <v>131</v>
      </c>
      <c r="R1512" s="1" t="s">
        <v>8514</v>
      </c>
      <c r="S1512" s="1" t="s">
        <v>8501</v>
      </c>
      <c r="T1512" s="1">
        <v>0</v>
      </c>
      <c r="U1512" s="1">
        <v>1</v>
      </c>
      <c r="V1512" s="1">
        <v>0</v>
      </c>
      <c r="W1512" s="1">
        <v>0</v>
      </c>
      <c r="X1512" s="1">
        <v>0</v>
      </c>
      <c r="Y1512" s="1">
        <v>1</v>
      </c>
      <c r="Z1512" s="1">
        <v>1</v>
      </c>
      <c r="AA1512" s="1" t="s">
        <v>104</v>
      </c>
      <c r="AB1512" s="1" t="s">
        <v>104</v>
      </c>
      <c r="AC1512" s="1" t="s">
        <v>104</v>
      </c>
      <c r="AD1512" s="1" t="s">
        <v>104</v>
      </c>
      <c r="AE1512" s="1">
        <v>1</v>
      </c>
      <c r="AF1512" s="1" t="s">
        <v>104</v>
      </c>
      <c r="AG1512" s="1" t="s">
        <v>104</v>
      </c>
      <c r="AH1512" s="1" t="s">
        <v>104</v>
      </c>
      <c r="AI1512" s="1" t="s">
        <v>104</v>
      </c>
      <c r="AJ1512" s="1" t="s">
        <v>104</v>
      </c>
      <c r="AK1512" s="1" t="s">
        <v>104</v>
      </c>
      <c r="AL1512" s="1">
        <v>1</v>
      </c>
      <c r="AM1512" s="1" t="s">
        <v>104</v>
      </c>
      <c r="AO1512" s="1">
        <v>1</v>
      </c>
      <c r="AR1512" s="1">
        <v>0</v>
      </c>
      <c r="AS1512" s="1">
        <v>0</v>
      </c>
      <c r="AT1512" s="1">
        <v>0</v>
      </c>
      <c r="AU1512" s="1">
        <v>0</v>
      </c>
      <c r="AV1512" s="1">
        <v>0</v>
      </c>
      <c r="AW1512" s="1">
        <v>0</v>
      </c>
      <c r="AX1512" s="1">
        <v>0</v>
      </c>
      <c r="AY1512" s="1">
        <v>0</v>
      </c>
      <c r="AZ1512" s="1">
        <v>0</v>
      </c>
      <c r="BA1512" s="1">
        <v>0</v>
      </c>
      <c r="BB1512" s="1">
        <v>0</v>
      </c>
      <c r="BC1512" s="1">
        <v>0</v>
      </c>
      <c r="BD1512" s="1">
        <v>0</v>
      </c>
      <c r="BE1512" s="1">
        <v>0</v>
      </c>
      <c r="BF1512" s="1">
        <v>0</v>
      </c>
      <c r="BG1512" s="1">
        <v>0</v>
      </c>
      <c r="BH1512" s="1">
        <v>0</v>
      </c>
      <c r="BI1512" s="1">
        <v>0</v>
      </c>
      <c r="BJ1512" s="1">
        <v>0</v>
      </c>
      <c r="BK1512" s="1">
        <v>0</v>
      </c>
      <c r="BL1512" s="1">
        <v>0</v>
      </c>
      <c r="BM1512" s="1">
        <v>0</v>
      </c>
      <c r="BN1512" s="1">
        <v>0</v>
      </c>
      <c r="BO1512" s="1">
        <v>0</v>
      </c>
      <c r="BP1512" s="1">
        <v>0</v>
      </c>
      <c r="BQ1512" s="1" t="s">
        <v>104</v>
      </c>
      <c r="BR1512" s="1">
        <v>1585</v>
      </c>
      <c r="BS1512" s="1" t="s">
        <v>104</v>
      </c>
      <c r="BX1512" s="1">
        <v>0</v>
      </c>
      <c r="BY1512" s="1" t="s">
        <v>104</v>
      </c>
      <c r="BZ1512" s="1" t="s">
        <v>104</v>
      </c>
      <c r="CA1512" s="1" t="s">
        <v>104</v>
      </c>
      <c r="CB1512" s="1" t="s">
        <v>104</v>
      </c>
      <c r="CC1512" s="1" t="s">
        <v>104</v>
      </c>
      <c r="CD1512" s="1" t="s">
        <v>104</v>
      </c>
      <c r="CE1512" s="1" t="s">
        <v>104</v>
      </c>
      <c r="CF1512" s="1" t="s">
        <v>104</v>
      </c>
      <c r="CG1512" s="1" t="s">
        <v>104</v>
      </c>
      <c r="CH1512" s="1" t="s">
        <v>104</v>
      </c>
      <c r="CJ1512" s="1">
        <v>0</v>
      </c>
      <c r="CK1512" s="1">
        <v>0</v>
      </c>
      <c r="CL1512" s="1">
        <v>0</v>
      </c>
      <c r="CM1512" s="1" t="s">
        <v>104</v>
      </c>
    </row>
    <row r="1513" spans="1:91" ht="14.25" customHeight="1" x14ac:dyDescent="0.3">
      <c r="A1513" s="1" t="s">
        <v>8515</v>
      </c>
      <c r="B1513" s="1" t="s">
        <v>123</v>
      </c>
      <c r="E1513" s="1" t="s">
        <v>8516</v>
      </c>
      <c r="F1513" s="1" t="s">
        <v>95</v>
      </c>
      <c r="G1513" s="1" t="s">
        <v>116</v>
      </c>
      <c r="H1513" s="1">
        <v>0</v>
      </c>
      <c r="I1513" s="1" t="s">
        <v>128</v>
      </c>
      <c r="L1513" s="1" t="s">
        <v>8517</v>
      </c>
      <c r="M1513" s="1" t="s">
        <v>8518</v>
      </c>
      <c r="N1513" s="1">
        <v>0</v>
      </c>
      <c r="O1513" s="1">
        <v>0</v>
      </c>
      <c r="P1513" s="1" t="s">
        <v>375</v>
      </c>
      <c r="Q1513" s="1" t="s">
        <v>131</v>
      </c>
      <c r="R1513" s="1" t="s">
        <v>8519</v>
      </c>
      <c r="S1513" s="1" t="s">
        <v>8501</v>
      </c>
      <c r="T1513" s="1">
        <v>1</v>
      </c>
      <c r="U1513" s="1">
        <v>1</v>
      </c>
      <c r="V1513" s="1">
        <v>0</v>
      </c>
      <c r="W1513" s="1">
        <v>0</v>
      </c>
      <c r="X1513" s="1">
        <v>0</v>
      </c>
      <c r="Y1513" s="1">
        <v>1</v>
      </c>
      <c r="Z1513" s="1">
        <v>1</v>
      </c>
      <c r="AA1513" s="1" t="s">
        <v>104</v>
      </c>
      <c r="AB1513" s="1" t="s">
        <v>104</v>
      </c>
      <c r="AC1513" s="1">
        <v>1</v>
      </c>
      <c r="AD1513" s="1" t="s">
        <v>104</v>
      </c>
      <c r="AE1513" s="1">
        <v>1</v>
      </c>
      <c r="AF1513" s="1" t="s">
        <v>104</v>
      </c>
      <c r="AG1513" s="1" t="s">
        <v>104</v>
      </c>
      <c r="AH1513" s="1" t="s">
        <v>104</v>
      </c>
      <c r="AI1513" s="1">
        <v>1</v>
      </c>
      <c r="AJ1513" s="1" t="s">
        <v>104</v>
      </c>
      <c r="AK1513" s="1" t="s">
        <v>104</v>
      </c>
      <c r="AL1513" s="1">
        <v>1</v>
      </c>
      <c r="AM1513" s="1" t="s">
        <v>104</v>
      </c>
      <c r="AO1513" s="1">
        <v>1</v>
      </c>
      <c r="AR1513" s="1">
        <v>0</v>
      </c>
      <c r="AS1513" s="1">
        <v>0</v>
      </c>
      <c r="AT1513" s="1">
        <v>0</v>
      </c>
      <c r="AU1513" s="1">
        <v>0</v>
      </c>
      <c r="AV1513" s="1">
        <v>0</v>
      </c>
      <c r="AW1513" s="1">
        <v>0</v>
      </c>
      <c r="AX1513" s="1">
        <v>0</v>
      </c>
      <c r="AY1513" s="1">
        <v>0</v>
      </c>
      <c r="AZ1513" s="1">
        <v>0</v>
      </c>
      <c r="BA1513" s="1">
        <v>0</v>
      </c>
      <c r="BB1513" s="1">
        <v>0</v>
      </c>
      <c r="BC1513" s="1">
        <v>0</v>
      </c>
      <c r="BD1513" s="1">
        <v>0</v>
      </c>
      <c r="BE1513" s="1">
        <v>0</v>
      </c>
      <c r="BF1513" s="1">
        <v>0</v>
      </c>
      <c r="BG1513" s="1">
        <v>0</v>
      </c>
      <c r="BH1513" s="1">
        <v>0</v>
      </c>
      <c r="BI1513" s="1">
        <v>0</v>
      </c>
      <c r="BJ1513" s="1">
        <v>0</v>
      </c>
      <c r="BK1513" s="1">
        <v>0</v>
      </c>
      <c r="BL1513" s="1">
        <v>0</v>
      </c>
      <c r="BM1513" s="1">
        <v>0</v>
      </c>
      <c r="BN1513" s="1">
        <v>0</v>
      </c>
      <c r="BO1513" s="1">
        <v>0</v>
      </c>
      <c r="BP1513" s="1">
        <v>0</v>
      </c>
      <c r="BQ1513" s="1" t="s">
        <v>104</v>
      </c>
      <c r="BR1513" s="1">
        <v>1586</v>
      </c>
      <c r="BS1513" s="1" t="s">
        <v>104</v>
      </c>
      <c r="BX1513" s="1">
        <v>0</v>
      </c>
      <c r="BY1513" s="1" t="s">
        <v>104</v>
      </c>
      <c r="BZ1513" s="1" t="s">
        <v>104</v>
      </c>
      <c r="CA1513" s="1" t="s">
        <v>104</v>
      </c>
      <c r="CB1513" s="1" t="s">
        <v>104</v>
      </c>
      <c r="CC1513" s="1" t="s">
        <v>104</v>
      </c>
      <c r="CD1513" s="1" t="s">
        <v>104</v>
      </c>
      <c r="CE1513" s="1" t="s">
        <v>104</v>
      </c>
      <c r="CF1513" s="1" t="s">
        <v>104</v>
      </c>
      <c r="CG1513" s="1" t="s">
        <v>104</v>
      </c>
      <c r="CH1513" s="1">
        <v>1</v>
      </c>
      <c r="CJ1513" s="1">
        <v>0</v>
      </c>
      <c r="CK1513" s="1">
        <v>0</v>
      </c>
      <c r="CL1513" s="1">
        <v>0</v>
      </c>
      <c r="CM1513" s="1" t="s">
        <v>104</v>
      </c>
    </row>
    <row r="1514" spans="1:91" ht="14.25" customHeight="1" x14ac:dyDescent="0.3">
      <c r="A1514" s="1" t="s">
        <v>8520</v>
      </c>
      <c r="B1514" s="1" t="s">
        <v>137</v>
      </c>
      <c r="E1514" s="1" t="s">
        <v>8521</v>
      </c>
      <c r="F1514" s="1" t="s">
        <v>95</v>
      </c>
      <c r="G1514" s="1" t="s">
        <v>8522</v>
      </c>
      <c r="H1514" s="1">
        <v>0</v>
      </c>
      <c r="I1514" s="1" t="s">
        <v>109</v>
      </c>
      <c r="L1514" s="1" t="s">
        <v>8523</v>
      </c>
      <c r="M1514" s="1" t="s">
        <v>426</v>
      </c>
      <c r="N1514" s="1">
        <v>1</v>
      </c>
      <c r="O1514" s="1">
        <v>0</v>
      </c>
      <c r="P1514" s="1" t="s">
        <v>1406</v>
      </c>
      <c r="Q1514" s="1" t="s">
        <v>184</v>
      </c>
      <c r="R1514" s="1" t="s">
        <v>8524</v>
      </c>
      <c r="S1514" s="1" t="s">
        <v>8501</v>
      </c>
      <c r="T1514" s="1">
        <v>1</v>
      </c>
      <c r="U1514" s="1">
        <v>1</v>
      </c>
      <c r="V1514" s="1">
        <v>1</v>
      </c>
      <c r="W1514" s="1">
        <v>0</v>
      </c>
      <c r="X1514" s="1">
        <v>0</v>
      </c>
      <c r="Y1514" s="1">
        <v>3</v>
      </c>
      <c r="Z1514" s="1">
        <v>3</v>
      </c>
      <c r="AA1514" s="1" t="s">
        <v>104</v>
      </c>
      <c r="AB1514" s="1" t="s">
        <v>104</v>
      </c>
      <c r="AC1514" s="1" t="s">
        <v>104</v>
      </c>
      <c r="AD1514" s="1" t="s">
        <v>104</v>
      </c>
      <c r="AE1514" s="1" t="s">
        <v>104</v>
      </c>
      <c r="AF1514" s="1" t="s">
        <v>104</v>
      </c>
      <c r="AG1514" s="1" t="s">
        <v>104</v>
      </c>
      <c r="AH1514" s="1">
        <v>3</v>
      </c>
      <c r="AI1514" s="1" t="s">
        <v>104</v>
      </c>
      <c r="AJ1514" s="1" t="s">
        <v>104</v>
      </c>
      <c r="AK1514" s="1" t="s">
        <v>104</v>
      </c>
      <c r="AL1514" s="1">
        <v>2</v>
      </c>
      <c r="AM1514" s="1" t="s">
        <v>104</v>
      </c>
      <c r="AO1514" s="1">
        <v>3</v>
      </c>
      <c r="AR1514" s="1">
        <v>0</v>
      </c>
      <c r="AS1514" s="1">
        <v>0</v>
      </c>
      <c r="AT1514" s="1">
        <v>0</v>
      </c>
      <c r="AU1514" s="1">
        <v>0</v>
      </c>
      <c r="AV1514" s="1">
        <v>0</v>
      </c>
      <c r="AW1514" s="1">
        <v>0</v>
      </c>
      <c r="AX1514" s="1">
        <v>0</v>
      </c>
      <c r="AY1514" s="1">
        <v>0</v>
      </c>
      <c r="AZ1514" s="1">
        <v>0</v>
      </c>
      <c r="BA1514" s="1">
        <v>0</v>
      </c>
      <c r="BB1514" s="1">
        <v>0</v>
      </c>
      <c r="BC1514" s="1">
        <v>0</v>
      </c>
      <c r="BD1514" s="1">
        <v>0</v>
      </c>
      <c r="BE1514" s="1">
        <v>0</v>
      </c>
      <c r="BF1514" s="1">
        <v>0</v>
      </c>
      <c r="BG1514" s="1">
        <v>0</v>
      </c>
      <c r="BH1514" s="1">
        <v>0</v>
      </c>
      <c r="BI1514" s="1">
        <v>0</v>
      </c>
      <c r="BJ1514" s="1">
        <v>0</v>
      </c>
      <c r="BK1514" s="1">
        <v>0</v>
      </c>
      <c r="BL1514" s="1">
        <v>0</v>
      </c>
      <c r="BM1514" s="1">
        <v>0</v>
      </c>
      <c r="BN1514" s="1">
        <v>0</v>
      </c>
      <c r="BO1514" s="1">
        <v>0</v>
      </c>
      <c r="BP1514" s="1">
        <v>0</v>
      </c>
      <c r="BQ1514" s="1" t="s">
        <v>104</v>
      </c>
      <c r="BR1514" s="1">
        <v>1587</v>
      </c>
      <c r="BS1514" s="1" t="s">
        <v>104</v>
      </c>
      <c r="BX1514" s="1">
        <v>0</v>
      </c>
      <c r="BY1514" s="1" t="s">
        <v>104</v>
      </c>
      <c r="BZ1514" s="1" t="s">
        <v>104</v>
      </c>
      <c r="CA1514" s="1" t="s">
        <v>104</v>
      </c>
      <c r="CB1514" s="1" t="s">
        <v>104</v>
      </c>
      <c r="CC1514" s="1" t="s">
        <v>104</v>
      </c>
      <c r="CD1514" s="1" t="s">
        <v>104</v>
      </c>
      <c r="CE1514" s="1" t="s">
        <v>104</v>
      </c>
      <c r="CF1514" s="1" t="s">
        <v>104</v>
      </c>
      <c r="CG1514" s="1" t="s">
        <v>104</v>
      </c>
      <c r="CH1514" s="1" t="s">
        <v>104</v>
      </c>
      <c r="CJ1514" s="1">
        <v>0</v>
      </c>
      <c r="CK1514" s="1">
        <v>0</v>
      </c>
      <c r="CL1514" s="1">
        <v>0</v>
      </c>
      <c r="CM1514" s="1" t="s">
        <v>104</v>
      </c>
    </row>
    <row r="1515" spans="1:91" ht="14.25" customHeight="1" x14ac:dyDescent="0.3">
      <c r="A1515" s="1" t="s">
        <v>8525</v>
      </c>
      <c r="B1515" s="1" t="s">
        <v>137</v>
      </c>
      <c r="E1515" s="1" t="s">
        <v>8512</v>
      </c>
      <c r="F1515" s="1" t="s">
        <v>95</v>
      </c>
      <c r="G1515" s="1" t="s">
        <v>8526</v>
      </c>
      <c r="H1515" s="1">
        <v>0</v>
      </c>
      <c r="I1515" s="1" t="s">
        <v>8527</v>
      </c>
      <c r="L1515" s="1" t="s">
        <v>8528</v>
      </c>
      <c r="M1515" s="1" t="s">
        <v>119</v>
      </c>
      <c r="N1515" s="1">
        <v>0</v>
      </c>
      <c r="O1515" s="1">
        <v>0</v>
      </c>
      <c r="P1515" s="1" t="s">
        <v>100</v>
      </c>
      <c r="Q1515" s="1" t="s">
        <v>131</v>
      </c>
      <c r="R1515" s="1" t="s">
        <v>8529</v>
      </c>
      <c r="S1515" s="1" t="s">
        <v>8501</v>
      </c>
      <c r="T1515" s="1">
        <v>1</v>
      </c>
      <c r="U1515" s="1">
        <v>1</v>
      </c>
      <c r="V1515" s="1">
        <v>1</v>
      </c>
      <c r="W1515" s="1">
        <v>0</v>
      </c>
      <c r="X1515" s="1">
        <v>0</v>
      </c>
      <c r="Y1515" s="1">
        <v>1</v>
      </c>
      <c r="Z1515" s="1">
        <v>1</v>
      </c>
      <c r="AA1515" s="1" t="s">
        <v>104</v>
      </c>
      <c r="AB1515" s="1" t="s">
        <v>104</v>
      </c>
      <c r="AC1515" s="1" t="s">
        <v>104</v>
      </c>
      <c r="AD1515" s="1" t="s">
        <v>104</v>
      </c>
      <c r="AE1515" s="1">
        <v>1</v>
      </c>
      <c r="AF1515" s="1" t="s">
        <v>104</v>
      </c>
      <c r="AG1515" s="1" t="s">
        <v>104</v>
      </c>
      <c r="AH1515" s="1" t="s">
        <v>104</v>
      </c>
      <c r="AI1515" s="1" t="s">
        <v>104</v>
      </c>
      <c r="AJ1515" s="1" t="s">
        <v>104</v>
      </c>
      <c r="AK1515" s="1" t="s">
        <v>104</v>
      </c>
      <c r="AL1515" s="1">
        <v>1</v>
      </c>
      <c r="AM1515" s="1" t="s">
        <v>104</v>
      </c>
      <c r="AO1515" s="1">
        <v>1</v>
      </c>
      <c r="AR1515" s="1">
        <v>0</v>
      </c>
      <c r="AS1515" s="1">
        <v>0</v>
      </c>
      <c r="AT1515" s="1">
        <v>0</v>
      </c>
      <c r="AU1515" s="1">
        <v>0</v>
      </c>
      <c r="AV1515" s="1">
        <v>0</v>
      </c>
      <c r="AW1515" s="1">
        <v>0</v>
      </c>
      <c r="AX1515" s="1">
        <v>0</v>
      </c>
      <c r="AY1515" s="1">
        <v>0</v>
      </c>
      <c r="AZ1515" s="1">
        <v>0</v>
      </c>
      <c r="BA1515" s="1">
        <v>0</v>
      </c>
      <c r="BB1515" s="1">
        <v>0</v>
      </c>
      <c r="BC1515" s="1">
        <v>0</v>
      </c>
      <c r="BD1515" s="1">
        <v>0</v>
      </c>
      <c r="BE1515" s="1">
        <v>0</v>
      </c>
      <c r="BF1515" s="1">
        <v>0</v>
      </c>
      <c r="BG1515" s="1">
        <v>0</v>
      </c>
      <c r="BH1515" s="1">
        <v>0</v>
      </c>
      <c r="BI1515" s="1">
        <v>0</v>
      </c>
      <c r="BJ1515" s="1">
        <v>0</v>
      </c>
      <c r="BK1515" s="1">
        <v>0</v>
      </c>
      <c r="BL1515" s="1">
        <v>0</v>
      </c>
      <c r="BM1515" s="1">
        <v>0</v>
      </c>
      <c r="BN1515" s="1">
        <v>0</v>
      </c>
      <c r="BO1515" s="1">
        <v>0</v>
      </c>
      <c r="BP1515" s="1">
        <v>0</v>
      </c>
      <c r="BQ1515" s="1" t="s">
        <v>104</v>
      </c>
      <c r="BR1515" s="1">
        <v>1588</v>
      </c>
      <c r="BS1515" s="1" t="s">
        <v>104</v>
      </c>
      <c r="BX1515" s="1">
        <v>0</v>
      </c>
      <c r="BY1515" s="1" t="s">
        <v>104</v>
      </c>
      <c r="BZ1515" s="1" t="s">
        <v>104</v>
      </c>
      <c r="CA1515" s="1" t="s">
        <v>104</v>
      </c>
      <c r="CB1515" s="1" t="s">
        <v>104</v>
      </c>
      <c r="CC1515" s="1" t="s">
        <v>104</v>
      </c>
      <c r="CD1515" s="1" t="s">
        <v>104</v>
      </c>
      <c r="CE1515" s="1" t="s">
        <v>104</v>
      </c>
      <c r="CF1515" s="1" t="s">
        <v>104</v>
      </c>
      <c r="CG1515" s="1" t="s">
        <v>104</v>
      </c>
      <c r="CH1515" s="1" t="s">
        <v>104</v>
      </c>
      <c r="CJ1515" s="1">
        <v>0</v>
      </c>
      <c r="CK1515" s="1">
        <v>0</v>
      </c>
      <c r="CL1515" s="1">
        <v>0</v>
      </c>
      <c r="CM1515" s="1" t="s">
        <v>104</v>
      </c>
    </row>
    <row r="1516" spans="1:91" ht="14.25" customHeight="1" x14ac:dyDescent="0.3">
      <c r="A1516" s="1" t="s">
        <v>8530</v>
      </c>
      <c r="B1516" s="1" t="s">
        <v>162</v>
      </c>
      <c r="E1516" s="1" t="s">
        <v>8531</v>
      </c>
      <c r="F1516" s="1" t="s">
        <v>95</v>
      </c>
      <c r="G1516" s="1" t="s">
        <v>116</v>
      </c>
      <c r="H1516" s="1">
        <v>0</v>
      </c>
      <c r="I1516" s="1" t="s">
        <v>128</v>
      </c>
      <c r="L1516" s="1" t="s">
        <v>8532</v>
      </c>
      <c r="M1516" s="1" t="s">
        <v>2330</v>
      </c>
      <c r="N1516" s="1">
        <v>0</v>
      </c>
      <c r="O1516" s="1">
        <v>0</v>
      </c>
      <c r="P1516" s="1" t="s">
        <v>375</v>
      </c>
      <c r="Q1516" s="1" t="s">
        <v>131</v>
      </c>
      <c r="R1516" s="1" t="s">
        <v>8533</v>
      </c>
      <c r="S1516" s="1" t="s">
        <v>8501</v>
      </c>
      <c r="T1516" s="1">
        <v>1</v>
      </c>
      <c r="U1516" s="1">
        <v>1</v>
      </c>
      <c r="V1516" s="1">
        <v>0</v>
      </c>
      <c r="W1516" s="1">
        <v>0</v>
      </c>
      <c r="X1516" s="1">
        <v>0</v>
      </c>
      <c r="Y1516" s="1">
        <v>4</v>
      </c>
      <c r="Z1516" s="1">
        <v>4</v>
      </c>
      <c r="AA1516" s="1">
        <v>4</v>
      </c>
      <c r="AB1516" s="1" t="s">
        <v>104</v>
      </c>
      <c r="AC1516" s="1" t="s">
        <v>104</v>
      </c>
      <c r="AD1516" s="1" t="s">
        <v>104</v>
      </c>
      <c r="AE1516" s="1" t="s">
        <v>104</v>
      </c>
      <c r="AF1516" s="1" t="s">
        <v>104</v>
      </c>
      <c r="AG1516" s="1" t="s">
        <v>104</v>
      </c>
      <c r="AH1516" s="1" t="s">
        <v>104</v>
      </c>
      <c r="AI1516" s="1">
        <v>4</v>
      </c>
      <c r="AJ1516" s="1">
        <v>4</v>
      </c>
      <c r="AK1516" s="1" t="s">
        <v>104</v>
      </c>
      <c r="AL1516" s="1">
        <v>4</v>
      </c>
      <c r="AM1516" s="1" t="s">
        <v>104</v>
      </c>
      <c r="AO1516" s="1">
        <v>4</v>
      </c>
      <c r="AR1516" s="1">
        <v>0</v>
      </c>
      <c r="AS1516" s="1">
        <v>0</v>
      </c>
      <c r="AT1516" s="1">
        <v>0</v>
      </c>
      <c r="AU1516" s="1">
        <v>0</v>
      </c>
      <c r="AV1516" s="1">
        <v>0</v>
      </c>
      <c r="AW1516" s="1">
        <v>0</v>
      </c>
      <c r="AX1516" s="1">
        <v>0</v>
      </c>
      <c r="AY1516" s="1">
        <v>0</v>
      </c>
      <c r="AZ1516" s="1">
        <v>0</v>
      </c>
      <c r="BA1516" s="1">
        <v>0</v>
      </c>
      <c r="BB1516" s="1">
        <v>0</v>
      </c>
      <c r="BC1516" s="1">
        <v>0</v>
      </c>
      <c r="BD1516" s="1">
        <v>0</v>
      </c>
      <c r="BE1516" s="1">
        <v>0</v>
      </c>
      <c r="BF1516" s="1">
        <v>0</v>
      </c>
      <c r="BG1516" s="1">
        <v>0</v>
      </c>
      <c r="BH1516" s="1">
        <v>0</v>
      </c>
      <c r="BI1516" s="1">
        <v>0</v>
      </c>
      <c r="BJ1516" s="1">
        <v>0</v>
      </c>
      <c r="BK1516" s="1">
        <v>0</v>
      </c>
      <c r="BL1516" s="1">
        <v>0</v>
      </c>
      <c r="BM1516" s="1">
        <v>0</v>
      </c>
      <c r="BN1516" s="1">
        <v>0</v>
      </c>
      <c r="BO1516" s="1">
        <v>0</v>
      </c>
      <c r="BP1516" s="1">
        <v>0</v>
      </c>
      <c r="BQ1516" s="1" t="s">
        <v>104</v>
      </c>
      <c r="BR1516" s="1">
        <v>1589</v>
      </c>
      <c r="BS1516" s="1" t="s">
        <v>104</v>
      </c>
      <c r="BX1516" s="1">
        <v>0</v>
      </c>
      <c r="BY1516" s="1" t="s">
        <v>104</v>
      </c>
      <c r="BZ1516" s="1" t="s">
        <v>104</v>
      </c>
      <c r="CA1516" s="1" t="s">
        <v>104</v>
      </c>
      <c r="CB1516" s="1" t="s">
        <v>104</v>
      </c>
      <c r="CC1516" s="1" t="s">
        <v>104</v>
      </c>
      <c r="CD1516" s="1" t="s">
        <v>104</v>
      </c>
      <c r="CE1516" s="1" t="s">
        <v>104</v>
      </c>
      <c r="CF1516" s="1" t="s">
        <v>104</v>
      </c>
      <c r="CG1516" s="1" t="s">
        <v>104</v>
      </c>
      <c r="CH1516" s="1" t="s">
        <v>104</v>
      </c>
      <c r="CJ1516" s="1">
        <v>0</v>
      </c>
      <c r="CK1516" s="1">
        <v>0</v>
      </c>
      <c r="CL1516" s="1">
        <v>0</v>
      </c>
      <c r="CM1516" s="1" t="s">
        <v>104</v>
      </c>
    </row>
    <row r="1517" spans="1:91" ht="14.25" customHeight="1" x14ac:dyDescent="0.3">
      <c r="A1517" s="1" t="s">
        <v>8534</v>
      </c>
      <c r="B1517" s="1" t="s">
        <v>216</v>
      </c>
      <c r="D1517" s="1" t="s">
        <v>47</v>
      </c>
      <c r="E1517" s="1" t="s">
        <v>6193</v>
      </c>
      <c r="F1517" s="1" t="s">
        <v>191</v>
      </c>
      <c r="G1517" s="1" t="s">
        <v>127</v>
      </c>
      <c r="H1517" s="1">
        <v>0</v>
      </c>
      <c r="I1517" s="1" t="s">
        <v>128</v>
      </c>
      <c r="L1517" s="1" t="s">
        <v>983</v>
      </c>
      <c r="M1517" s="1" t="s">
        <v>119</v>
      </c>
      <c r="N1517" s="1">
        <v>0</v>
      </c>
      <c r="O1517" s="1">
        <v>0</v>
      </c>
      <c r="P1517" s="1" t="s">
        <v>471</v>
      </c>
      <c r="Q1517" s="1" t="s">
        <v>472</v>
      </c>
      <c r="R1517" s="1" t="s">
        <v>8535</v>
      </c>
      <c r="S1517" s="1" t="s">
        <v>8536</v>
      </c>
      <c r="T1517" s="1">
        <v>1</v>
      </c>
      <c r="U1517" s="1">
        <v>1</v>
      </c>
      <c r="V1517" s="1">
        <v>0</v>
      </c>
      <c r="W1517" s="1">
        <v>0</v>
      </c>
      <c r="X1517" s="1">
        <v>1</v>
      </c>
      <c r="Y1517" s="1" t="s">
        <v>104</v>
      </c>
      <c r="Z1517" s="1" t="s">
        <v>104</v>
      </c>
      <c r="AA1517" s="1">
        <v>2</v>
      </c>
      <c r="AB1517" s="1" t="s">
        <v>104</v>
      </c>
      <c r="AC1517" s="1" t="s">
        <v>104</v>
      </c>
      <c r="AD1517" s="1" t="s">
        <v>104</v>
      </c>
      <c r="AE1517" s="1" t="s">
        <v>104</v>
      </c>
      <c r="AF1517" s="1" t="s">
        <v>104</v>
      </c>
      <c r="AG1517" s="1" t="s">
        <v>104</v>
      </c>
      <c r="AH1517" s="1" t="s">
        <v>104</v>
      </c>
      <c r="AI1517" s="1" t="s">
        <v>104</v>
      </c>
      <c r="AJ1517" s="1">
        <v>2</v>
      </c>
      <c r="AK1517" s="1" t="s">
        <v>104</v>
      </c>
      <c r="AL1517" s="1" t="s">
        <v>104</v>
      </c>
      <c r="AM1517" s="1" t="s">
        <v>104</v>
      </c>
      <c r="AN1517" s="1" t="s">
        <v>8537</v>
      </c>
      <c r="AO1517" s="1">
        <v>2</v>
      </c>
      <c r="AR1517" s="1">
        <v>0</v>
      </c>
      <c r="AS1517" s="1">
        <v>0</v>
      </c>
      <c r="AT1517" s="1">
        <v>0</v>
      </c>
      <c r="AU1517" s="1">
        <v>0</v>
      </c>
      <c r="AV1517" s="1">
        <v>1</v>
      </c>
      <c r="AW1517" s="1">
        <v>0</v>
      </c>
      <c r="AX1517" s="1">
        <v>0</v>
      </c>
      <c r="AY1517" s="1">
        <v>0</v>
      </c>
      <c r="AZ1517" s="1">
        <v>0</v>
      </c>
      <c r="BA1517" s="1">
        <v>0</v>
      </c>
      <c r="BB1517" s="1">
        <v>0</v>
      </c>
      <c r="BC1517" s="1">
        <v>0</v>
      </c>
      <c r="BD1517" s="1">
        <v>0</v>
      </c>
      <c r="BE1517" s="1">
        <v>0</v>
      </c>
      <c r="BF1517" s="1">
        <v>0</v>
      </c>
      <c r="BG1517" s="1">
        <v>0</v>
      </c>
      <c r="BH1517" s="1">
        <v>0</v>
      </c>
      <c r="BI1517" s="1">
        <v>0</v>
      </c>
      <c r="BJ1517" s="1">
        <v>0</v>
      </c>
      <c r="BK1517" s="1">
        <v>0</v>
      </c>
      <c r="BL1517" s="1">
        <v>0</v>
      </c>
      <c r="BM1517" s="1">
        <v>0</v>
      </c>
      <c r="BN1517" s="1">
        <v>0</v>
      </c>
      <c r="BO1517" s="1">
        <v>0</v>
      </c>
      <c r="BP1517" s="1">
        <v>0</v>
      </c>
      <c r="BQ1517" s="1" t="s">
        <v>104</v>
      </c>
      <c r="BR1517" s="1">
        <v>1590</v>
      </c>
      <c r="BS1517" s="1" t="s">
        <v>104</v>
      </c>
      <c r="BX1517" s="1">
        <v>0</v>
      </c>
      <c r="BY1517" s="1" t="s">
        <v>104</v>
      </c>
      <c r="BZ1517" s="1" t="s">
        <v>104</v>
      </c>
      <c r="CA1517" s="1" t="s">
        <v>104</v>
      </c>
      <c r="CB1517" s="1" t="s">
        <v>104</v>
      </c>
      <c r="CC1517" s="1" t="s">
        <v>104</v>
      </c>
      <c r="CD1517" s="1" t="s">
        <v>104</v>
      </c>
      <c r="CE1517" s="1" t="s">
        <v>104</v>
      </c>
      <c r="CF1517" s="1" t="s">
        <v>104</v>
      </c>
      <c r="CG1517" s="1" t="s">
        <v>104</v>
      </c>
      <c r="CH1517" s="1" t="s">
        <v>104</v>
      </c>
      <c r="CJ1517" s="1">
        <v>0</v>
      </c>
      <c r="CK1517" s="1">
        <v>0</v>
      </c>
      <c r="CL1517" s="1">
        <v>0</v>
      </c>
      <c r="CM1517" s="1" t="s">
        <v>104</v>
      </c>
    </row>
    <row r="1518" spans="1:91" ht="14.25" customHeight="1" x14ac:dyDescent="0.3">
      <c r="A1518" s="1" t="s">
        <v>8538</v>
      </c>
      <c r="B1518" s="1" t="s">
        <v>145</v>
      </c>
      <c r="E1518" s="1" t="s">
        <v>8539</v>
      </c>
      <c r="F1518" s="1" t="s">
        <v>287</v>
      </c>
      <c r="G1518" s="1" t="s">
        <v>3270</v>
      </c>
      <c r="H1518" s="1">
        <v>1</v>
      </c>
      <c r="I1518" s="1" t="s">
        <v>128</v>
      </c>
      <c r="L1518" s="1" t="s">
        <v>3271</v>
      </c>
      <c r="M1518" s="1" t="s">
        <v>8540</v>
      </c>
      <c r="N1518" s="1">
        <v>0</v>
      </c>
      <c r="O1518" s="1">
        <v>0</v>
      </c>
      <c r="P1518" s="1" t="s">
        <v>1605</v>
      </c>
      <c r="Q1518" s="1" t="s">
        <v>101</v>
      </c>
      <c r="R1518" s="1" t="s">
        <v>8541</v>
      </c>
      <c r="S1518" s="1" t="s">
        <v>8542</v>
      </c>
      <c r="T1518" s="1">
        <v>1</v>
      </c>
      <c r="U1518" s="1">
        <v>1</v>
      </c>
      <c r="V1518" s="1">
        <v>1</v>
      </c>
      <c r="W1518" s="1">
        <v>0</v>
      </c>
      <c r="X1518" s="1">
        <v>0</v>
      </c>
      <c r="Y1518" s="1">
        <v>3</v>
      </c>
      <c r="Z1518" s="1">
        <v>3</v>
      </c>
      <c r="AA1518" s="1">
        <v>3</v>
      </c>
      <c r="AB1518" s="1" t="s">
        <v>104</v>
      </c>
      <c r="AC1518" s="1" t="s">
        <v>104</v>
      </c>
      <c r="AD1518" s="1" t="s">
        <v>104</v>
      </c>
      <c r="AE1518" s="1" t="s">
        <v>104</v>
      </c>
      <c r="AF1518" s="1" t="s">
        <v>104</v>
      </c>
      <c r="AG1518" s="1" t="s">
        <v>104</v>
      </c>
      <c r="AH1518" s="1" t="s">
        <v>104</v>
      </c>
      <c r="AI1518" s="1" t="s">
        <v>104</v>
      </c>
      <c r="AJ1518" s="1">
        <v>3</v>
      </c>
      <c r="AK1518" s="1" t="s">
        <v>104</v>
      </c>
      <c r="AL1518" s="1" t="s">
        <v>104</v>
      </c>
      <c r="AM1518" s="1" t="s">
        <v>104</v>
      </c>
      <c r="AN1518" s="1" t="s">
        <v>8543</v>
      </c>
      <c r="AO1518" s="1">
        <v>3</v>
      </c>
      <c r="AR1518" s="1">
        <v>0</v>
      </c>
      <c r="AS1518" s="1">
        <v>0</v>
      </c>
      <c r="AT1518" s="1">
        <v>0</v>
      </c>
      <c r="AU1518" s="1">
        <v>0</v>
      </c>
      <c r="AV1518" s="1">
        <v>0</v>
      </c>
      <c r="AW1518" s="1">
        <v>0</v>
      </c>
      <c r="AX1518" s="1">
        <v>0</v>
      </c>
      <c r="AY1518" s="1">
        <v>0</v>
      </c>
      <c r="AZ1518" s="1">
        <v>0</v>
      </c>
      <c r="BA1518" s="1">
        <v>0</v>
      </c>
      <c r="BB1518" s="1">
        <v>0</v>
      </c>
      <c r="BC1518" s="1">
        <v>0</v>
      </c>
      <c r="BD1518" s="1">
        <v>0</v>
      </c>
      <c r="BE1518" s="1">
        <v>0</v>
      </c>
      <c r="BF1518" s="1">
        <v>0</v>
      </c>
      <c r="BG1518" s="1">
        <v>0</v>
      </c>
      <c r="BH1518" s="1">
        <v>0</v>
      </c>
      <c r="BI1518" s="1">
        <v>0</v>
      </c>
      <c r="BJ1518" s="1">
        <v>0</v>
      </c>
      <c r="BK1518" s="1">
        <v>0</v>
      </c>
      <c r="BL1518" s="1">
        <v>0</v>
      </c>
      <c r="BM1518" s="1">
        <v>0</v>
      </c>
      <c r="BN1518" s="1">
        <v>0</v>
      </c>
      <c r="BO1518" s="1">
        <v>0</v>
      </c>
      <c r="BP1518" s="1">
        <v>0</v>
      </c>
      <c r="BQ1518" s="1" t="s">
        <v>104</v>
      </c>
      <c r="BR1518" s="1">
        <v>1591</v>
      </c>
      <c r="BS1518" s="1">
        <v>500</v>
      </c>
      <c r="BX1518" s="1">
        <v>0</v>
      </c>
      <c r="BY1518" s="1" t="s">
        <v>104</v>
      </c>
      <c r="BZ1518" s="1" t="s">
        <v>104</v>
      </c>
      <c r="CA1518" s="1" t="s">
        <v>104</v>
      </c>
      <c r="CB1518" s="1" t="s">
        <v>104</v>
      </c>
      <c r="CC1518" s="1" t="s">
        <v>104</v>
      </c>
      <c r="CD1518" s="1" t="s">
        <v>104</v>
      </c>
      <c r="CE1518" s="1" t="s">
        <v>104</v>
      </c>
      <c r="CF1518" s="1" t="s">
        <v>104</v>
      </c>
      <c r="CG1518" s="1" t="s">
        <v>104</v>
      </c>
      <c r="CH1518" s="1" t="s">
        <v>104</v>
      </c>
      <c r="CJ1518" s="1">
        <v>0</v>
      </c>
      <c r="CK1518" s="1">
        <v>0</v>
      </c>
      <c r="CL1518" s="1">
        <v>0</v>
      </c>
      <c r="CM1518" s="1" t="s">
        <v>104</v>
      </c>
    </row>
    <row r="1519" spans="1:91" ht="14.25" customHeight="1" x14ac:dyDescent="0.3">
      <c r="A1519" s="1" t="s">
        <v>8544</v>
      </c>
      <c r="B1519" s="1" t="s">
        <v>507</v>
      </c>
      <c r="C1519" s="1" t="s">
        <v>65</v>
      </c>
      <c r="E1519" s="1" t="s">
        <v>8545</v>
      </c>
      <c r="F1519" s="1" t="s">
        <v>95</v>
      </c>
      <c r="G1519" s="1" t="s">
        <v>8546</v>
      </c>
      <c r="H1519" s="1">
        <v>0</v>
      </c>
      <c r="I1519" s="1" t="s">
        <v>157</v>
      </c>
      <c r="L1519" s="1" t="s">
        <v>158</v>
      </c>
      <c r="M1519" s="1" t="s">
        <v>8547</v>
      </c>
      <c r="N1519" s="1">
        <v>0</v>
      </c>
      <c r="O1519" s="1">
        <v>0</v>
      </c>
      <c r="R1519" s="1" t="s">
        <v>8548</v>
      </c>
      <c r="S1519" s="1" t="s">
        <v>8549</v>
      </c>
      <c r="T1519" s="1">
        <v>1</v>
      </c>
      <c r="U1519" s="1">
        <v>1</v>
      </c>
      <c r="V1519" s="1">
        <v>1</v>
      </c>
      <c r="W1519" s="1">
        <v>0</v>
      </c>
      <c r="X1519" s="1">
        <v>0</v>
      </c>
      <c r="Y1519" s="1">
        <v>3</v>
      </c>
      <c r="Z1519" s="1">
        <v>3</v>
      </c>
      <c r="AA1519" s="1">
        <v>2</v>
      </c>
      <c r="AB1519" s="1" t="s">
        <v>104</v>
      </c>
      <c r="AC1519" s="1" t="s">
        <v>104</v>
      </c>
      <c r="AD1519" s="1">
        <v>2</v>
      </c>
      <c r="AE1519" s="1" t="s">
        <v>104</v>
      </c>
      <c r="AF1519" s="1" t="s">
        <v>104</v>
      </c>
      <c r="AG1519" s="1" t="s">
        <v>104</v>
      </c>
      <c r="AH1519" s="1">
        <v>2</v>
      </c>
      <c r="AI1519" s="1">
        <v>2</v>
      </c>
      <c r="AJ1519" s="1">
        <v>2</v>
      </c>
      <c r="AK1519" s="1" t="s">
        <v>104</v>
      </c>
      <c r="AL1519" s="1" t="s">
        <v>104</v>
      </c>
      <c r="AM1519" s="1" t="s">
        <v>104</v>
      </c>
      <c r="AO1519" s="1">
        <v>3</v>
      </c>
      <c r="AR1519" s="1">
        <v>0</v>
      </c>
      <c r="AS1519" s="1">
        <v>0</v>
      </c>
      <c r="AT1519" s="1">
        <v>0</v>
      </c>
      <c r="AU1519" s="1">
        <v>0</v>
      </c>
      <c r="AV1519" s="1">
        <v>0</v>
      </c>
      <c r="AW1519" s="1">
        <v>0</v>
      </c>
      <c r="AX1519" s="1">
        <v>0</v>
      </c>
      <c r="AY1519" s="1">
        <v>0</v>
      </c>
      <c r="AZ1519" s="1">
        <v>0</v>
      </c>
      <c r="BA1519" s="1">
        <v>0</v>
      </c>
      <c r="BB1519" s="1">
        <v>0</v>
      </c>
      <c r="BC1519" s="1">
        <v>0</v>
      </c>
      <c r="BD1519" s="1">
        <v>0</v>
      </c>
      <c r="BE1519" s="1">
        <v>0</v>
      </c>
      <c r="BF1519" s="1">
        <v>0</v>
      </c>
      <c r="BG1519" s="1">
        <v>0</v>
      </c>
      <c r="BH1519" s="1">
        <v>0</v>
      </c>
      <c r="BI1519" s="1">
        <v>0</v>
      </c>
      <c r="BJ1519" s="1">
        <v>0</v>
      </c>
      <c r="BK1519" s="1">
        <v>0</v>
      </c>
      <c r="BL1519" s="1">
        <v>0</v>
      </c>
      <c r="BM1519" s="1">
        <v>0</v>
      </c>
      <c r="BN1519" s="1">
        <v>0</v>
      </c>
      <c r="BO1519" s="1">
        <v>0</v>
      </c>
      <c r="BP1519" s="1">
        <v>0</v>
      </c>
      <c r="BQ1519" s="1" t="s">
        <v>104</v>
      </c>
      <c r="BR1519" s="1">
        <v>1592</v>
      </c>
      <c r="BS1519" s="1" t="s">
        <v>104</v>
      </c>
      <c r="BX1519" s="1">
        <v>0</v>
      </c>
      <c r="BY1519" s="1" t="s">
        <v>104</v>
      </c>
      <c r="BZ1519" s="1" t="s">
        <v>104</v>
      </c>
      <c r="CA1519" s="1" t="s">
        <v>104</v>
      </c>
      <c r="CB1519" s="1" t="s">
        <v>104</v>
      </c>
      <c r="CC1519" s="1" t="s">
        <v>104</v>
      </c>
      <c r="CD1519" s="1" t="s">
        <v>104</v>
      </c>
      <c r="CE1519" s="1" t="s">
        <v>104</v>
      </c>
      <c r="CF1519" s="1" t="s">
        <v>104</v>
      </c>
      <c r="CG1519" s="1" t="s">
        <v>104</v>
      </c>
      <c r="CH1519" s="1" t="s">
        <v>104</v>
      </c>
      <c r="CJ1519" s="1">
        <v>0</v>
      </c>
      <c r="CK1519" s="1">
        <v>0</v>
      </c>
      <c r="CL1519" s="1">
        <v>0</v>
      </c>
      <c r="CM1519" s="1" t="s">
        <v>104</v>
      </c>
    </row>
    <row r="1520" spans="1:91" ht="14.25" customHeight="1" x14ac:dyDescent="0.3">
      <c r="A1520" s="1" t="s">
        <v>8550</v>
      </c>
      <c r="B1520" s="1" t="s">
        <v>172</v>
      </c>
      <c r="D1520" s="1" t="s">
        <v>125</v>
      </c>
      <c r="E1520" s="1" t="s">
        <v>8551</v>
      </c>
      <c r="F1520" s="1" t="s">
        <v>95</v>
      </c>
      <c r="G1520" s="1" t="s">
        <v>1128</v>
      </c>
      <c r="H1520" s="1">
        <v>0</v>
      </c>
      <c r="I1520" s="1" t="s">
        <v>776</v>
      </c>
      <c r="J1520" s="1" t="s">
        <v>1030</v>
      </c>
      <c r="M1520" s="1" t="s">
        <v>8552</v>
      </c>
      <c r="N1520" s="1">
        <v>1</v>
      </c>
      <c r="O1520" s="1">
        <v>0</v>
      </c>
      <c r="P1520" s="1" t="s">
        <v>418</v>
      </c>
      <c r="Q1520" s="1" t="s">
        <v>101</v>
      </c>
      <c r="R1520" s="1" t="s">
        <v>8553</v>
      </c>
      <c r="S1520" s="1" t="s">
        <v>8549</v>
      </c>
      <c r="T1520" s="1">
        <v>1</v>
      </c>
      <c r="U1520" s="1">
        <v>1</v>
      </c>
      <c r="V1520" s="1">
        <v>0</v>
      </c>
      <c r="W1520" s="1">
        <v>0</v>
      </c>
      <c r="X1520" s="1">
        <v>1</v>
      </c>
      <c r="Y1520" s="1">
        <v>3</v>
      </c>
      <c r="Z1520" s="1">
        <v>3</v>
      </c>
      <c r="AA1520" s="1" t="s">
        <v>104</v>
      </c>
      <c r="AB1520" s="1" t="s">
        <v>104</v>
      </c>
      <c r="AC1520" s="1" t="s">
        <v>104</v>
      </c>
      <c r="AD1520" s="1">
        <v>3</v>
      </c>
      <c r="AE1520" s="1" t="s">
        <v>104</v>
      </c>
      <c r="AF1520" s="1" t="s">
        <v>104</v>
      </c>
      <c r="AG1520" s="1" t="s">
        <v>104</v>
      </c>
      <c r="AH1520" s="1">
        <v>3</v>
      </c>
      <c r="AI1520" s="1">
        <v>3</v>
      </c>
      <c r="AJ1520" s="1" t="s">
        <v>104</v>
      </c>
      <c r="AK1520" s="1" t="s">
        <v>104</v>
      </c>
      <c r="AL1520" s="1" t="s">
        <v>104</v>
      </c>
      <c r="AM1520" s="1" t="s">
        <v>104</v>
      </c>
      <c r="AO1520" s="1">
        <v>3</v>
      </c>
      <c r="AR1520" s="1">
        <v>0</v>
      </c>
      <c r="AS1520" s="1">
        <v>0</v>
      </c>
      <c r="AT1520" s="1">
        <v>0</v>
      </c>
      <c r="AU1520" s="1">
        <v>0</v>
      </c>
      <c r="AV1520" s="1">
        <v>0</v>
      </c>
      <c r="AW1520" s="1">
        <v>0</v>
      </c>
      <c r="AX1520" s="1">
        <v>0</v>
      </c>
      <c r="AY1520" s="1">
        <v>0</v>
      </c>
      <c r="AZ1520" s="1">
        <v>0</v>
      </c>
      <c r="BA1520" s="1">
        <v>0</v>
      </c>
      <c r="BB1520" s="1">
        <v>0</v>
      </c>
      <c r="BC1520" s="1">
        <v>0</v>
      </c>
      <c r="BD1520" s="1">
        <v>0</v>
      </c>
      <c r="BE1520" s="1">
        <v>0</v>
      </c>
      <c r="BF1520" s="1">
        <v>0</v>
      </c>
      <c r="BG1520" s="1">
        <v>0</v>
      </c>
      <c r="BH1520" s="1">
        <v>0</v>
      </c>
      <c r="BI1520" s="1">
        <v>0</v>
      </c>
      <c r="BJ1520" s="1">
        <v>0</v>
      </c>
      <c r="BK1520" s="1">
        <v>1</v>
      </c>
      <c r="BL1520" s="1">
        <v>0</v>
      </c>
      <c r="BM1520" s="1">
        <v>0</v>
      </c>
      <c r="BN1520" s="1">
        <v>0</v>
      </c>
      <c r="BO1520" s="1">
        <v>0</v>
      </c>
      <c r="BP1520" s="1">
        <v>0</v>
      </c>
      <c r="BQ1520" s="1" t="s">
        <v>104</v>
      </c>
      <c r="BR1520" s="1">
        <v>1593</v>
      </c>
      <c r="BS1520" s="1" t="s">
        <v>104</v>
      </c>
      <c r="BX1520" s="1">
        <v>0</v>
      </c>
      <c r="BY1520" s="1" t="s">
        <v>104</v>
      </c>
      <c r="BZ1520" s="1" t="s">
        <v>104</v>
      </c>
      <c r="CA1520" s="1" t="s">
        <v>104</v>
      </c>
      <c r="CB1520" s="1" t="s">
        <v>104</v>
      </c>
      <c r="CC1520" s="1" t="s">
        <v>104</v>
      </c>
      <c r="CD1520" s="1" t="s">
        <v>104</v>
      </c>
      <c r="CE1520" s="1" t="s">
        <v>104</v>
      </c>
      <c r="CF1520" s="1" t="s">
        <v>104</v>
      </c>
      <c r="CG1520" s="1" t="s">
        <v>104</v>
      </c>
      <c r="CH1520" s="1" t="s">
        <v>104</v>
      </c>
      <c r="CJ1520" s="1">
        <v>0</v>
      </c>
      <c r="CK1520" s="1">
        <v>0</v>
      </c>
      <c r="CL1520" s="1">
        <v>0</v>
      </c>
      <c r="CM1520" s="1" t="s">
        <v>104</v>
      </c>
    </row>
    <row r="1521" spans="1:91" ht="14.25" customHeight="1" x14ac:dyDescent="0.3">
      <c r="A1521" s="1" t="s">
        <v>8554</v>
      </c>
      <c r="B1521" s="1" t="s">
        <v>216</v>
      </c>
      <c r="D1521" s="1" t="s">
        <v>8422</v>
      </c>
      <c r="E1521" s="1" t="s">
        <v>8555</v>
      </c>
      <c r="F1521" s="1" t="s">
        <v>95</v>
      </c>
      <c r="G1521" s="1" t="s">
        <v>116</v>
      </c>
      <c r="H1521" s="1">
        <v>0</v>
      </c>
      <c r="I1521" s="1" t="s">
        <v>128</v>
      </c>
      <c r="L1521" s="1" t="s">
        <v>129</v>
      </c>
      <c r="M1521" s="1" t="s">
        <v>298</v>
      </c>
      <c r="N1521" s="1">
        <v>0</v>
      </c>
      <c r="O1521" s="1">
        <v>0</v>
      </c>
      <c r="P1521" s="1" t="s">
        <v>211</v>
      </c>
      <c r="Q1521" s="1" t="s">
        <v>184</v>
      </c>
      <c r="R1521" s="1" t="s">
        <v>8556</v>
      </c>
      <c r="S1521" s="1" t="s">
        <v>8549</v>
      </c>
      <c r="T1521" s="1">
        <v>1</v>
      </c>
      <c r="U1521" s="1">
        <v>1</v>
      </c>
      <c r="V1521" s="1">
        <v>0</v>
      </c>
      <c r="W1521" s="1">
        <v>0</v>
      </c>
      <c r="X1521" s="1">
        <v>0</v>
      </c>
      <c r="Y1521" s="1">
        <v>4</v>
      </c>
      <c r="Z1521" s="1">
        <v>4</v>
      </c>
      <c r="AA1521" s="1">
        <v>3</v>
      </c>
      <c r="AB1521" s="1" t="s">
        <v>104</v>
      </c>
      <c r="AC1521" s="1" t="s">
        <v>104</v>
      </c>
      <c r="AD1521" s="1" t="s">
        <v>104</v>
      </c>
      <c r="AE1521" s="1" t="s">
        <v>104</v>
      </c>
      <c r="AF1521" s="1" t="s">
        <v>104</v>
      </c>
      <c r="AG1521" s="1" t="s">
        <v>104</v>
      </c>
      <c r="AH1521" s="1">
        <v>3</v>
      </c>
      <c r="AI1521" s="1" t="s">
        <v>104</v>
      </c>
      <c r="AJ1521" s="1">
        <v>3</v>
      </c>
      <c r="AK1521" s="1" t="s">
        <v>104</v>
      </c>
      <c r="AL1521" s="1" t="s">
        <v>104</v>
      </c>
      <c r="AM1521" s="1" t="s">
        <v>104</v>
      </c>
      <c r="AO1521" s="1">
        <v>3</v>
      </c>
      <c r="AR1521" s="1">
        <v>0</v>
      </c>
      <c r="AS1521" s="1">
        <v>0</v>
      </c>
      <c r="AT1521" s="1">
        <v>0</v>
      </c>
      <c r="AU1521" s="1">
        <v>0</v>
      </c>
      <c r="AV1521" s="1">
        <v>1</v>
      </c>
      <c r="AW1521" s="1">
        <v>0</v>
      </c>
      <c r="AX1521" s="1">
        <v>0</v>
      </c>
      <c r="AY1521" s="1">
        <v>0</v>
      </c>
      <c r="AZ1521" s="1">
        <v>0</v>
      </c>
      <c r="BA1521" s="1">
        <v>0</v>
      </c>
      <c r="BB1521" s="1">
        <v>0</v>
      </c>
      <c r="BC1521" s="1">
        <v>1</v>
      </c>
      <c r="BD1521" s="1">
        <v>0</v>
      </c>
      <c r="BE1521" s="1">
        <v>0</v>
      </c>
      <c r="BF1521" s="1">
        <v>0</v>
      </c>
      <c r="BG1521" s="1">
        <v>0</v>
      </c>
      <c r="BH1521" s="1">
        <v>0</v>
      </c>
      <c r="BI1521" s="1">
        <v>0</v>
      </c>
      <c r="BJ1521" s="1">
        <v>0</v>
      </c>
      <c r="BK1521" s="1">
        <v>0</v>
      </c>
      <c r="BL1521" s="1">
        <v>0</v>
      </c>
      <c r="BM1521" s="1">
        <v>0</v>
      </c>
      <c r="BN1521" s="1">
        <v>0</v>
      </c>
      <c r="BO1521" s="1">
        <v>0</v>
      </c>
      <c r="BP1521" s="1">
        <v>0</v>
      </c>
      <c r="BQ1521" s="1" t="s">
        <v>104</v>
      </c>
      <c r="BR1521" s="1">
        <v>1594</v>
      </c>
      <c r="BS1521" s="1" t="s">
        <v>104</v>
      </c>
      <c r="BX1521" s="1">
        <v>0</v>
      </c>
      <c r="BY1521" s="1" t="s">
        <v>104</v>
      </c>
      <c r="BZ1521" s="1" t="s">
        <v>104</v>
      </c>
      <c r="CA1521" s="1" t="s">
        <v>104</v>
      </c>
      <c r="CB1521" s="1" t="s">
        <v>104</v>
      </c>
      <c r="CC1521" s="1" t="s">
        <v>104</v>
      </c>
      <c r="CD1521" s="1" t="s">
        <v>104</v>
      </c>
      <c r="CE1521" s="1" t="s">
        <v>104</v>
      </c>
      <c r="CF1521" s="1" t="s">
        <v>104</v>
      </c>
      <c r="CG1521" s="1" t="s">
        <v>104</v>
      </c>
      <c r="CH1521" s="1" t="s">
        <v>104</v>
      </c>
      <c r="CJ1521" s="1">
        <v>0</v>
      </c>
      <c r="CK1521" s="1">
        <v>0</v>
      </c>
      <c r="CL1521" s="1">
        <v>0</v>
      </c>
      <c r="CM1521" s="1" t="s">
        <v>104</v>
      </c>
    </row>
    <row r="1522" spans="1:91" ht="14.25" customHeight="1" x14ac:dyDescent="0.3">
      <c r="A1522" s="1" t="s">
        <v>8557</v>
      </c>
      <c r="B1522" s="1" t="s">
        <v>137</v>
      </c>
      <c r="E1522" s="1" t="s">
        <v>8558</v>
      </c>
      <c r="F1522" s="1" t="s">
        <v>95</v>
      </c>
      <c r="G1522" s="1" t="s">
        <v>8559</v>
      </c>
      <c r="H1522" s="1">
        <v>0</v>
      </c>
      <c r="I1522" s="1" t="s">
        <v>128</v>
      </c>
      <c r="L1522" s="1" t="s">
        <v>374</v>
      </c>
      <c r="M1522" s="1" t="s">
        <v>341</v>
      </c>
      <c r="N1522" s="1">
        <v>0</v>
      </c>
      <c r="O1522" s="1">
        <v>0</v>
      </c>
      <c r="P1522" s="1" t="s">
        <v>183</v>
      </c>
      <c r="Q1522" s="1" t="s">
        <v>184</v>
      </c>
      <c r="R1522" s="1" t="s">
        <v>8560</v>
      </c>
      <c r="S1522" s="1" t="s">
        <v>8549</v>
      </c>
      <c r="T1522" s="1">
        <v>1</v>
      </c>
      <c r="U1522" s="1">
        <v>1</v>
      </c>
      <c r="V1522" s="1">
        <v>1</v>
      </c>
      <c r="W1522" s="1">
        <v>0</v>
      </c>
      <c r="X1522" s="1">
        <v>0</v>
      </c>
      <c r="Y1522" s="1">
        <v>3</v>
      </c>
      <c r="Z1522" s="1">
        <v>3</v>
      </c>
      <c r="AA1522" s="1">
        <v>3</v>
      </c>
      <c r="AB1522" s="1">
        <v>3</v>
      </c>
      <c r="AC1522" s="1" t="s">
        <v>104</v>
      </c>
      <c r="AD1522" s="1" t="s">
        <v>104</v>
      </c>
      <c r="AE1522" s="1" t="s">
        <v>104</v>
      </c>
      <c r="AF1522" s="1" t="s">
        <v>104</v>
      </c>
      <c r="AG1522" s="1" t="s">
        <v>104</v>
      </c>
      <c r="AH1522" s="1">
        <v>3</v>
      </c>
      <c r="AI1522" s="1" t="s">
        <v>104</v>
      </c>
      <c r="AJ1522" s="1">
        <v>3</v>
      </c>
      <c r="AK1522" s="1" t="s">
        <v>104</v>
      </c>
      <c r="AL1522" s="1" t="s">
        <v>104</v>
      </c>
      <c r="AM1522" s="1" t="s">
        <v>104</v>
      </c>
      <c r="AO1522" s="1">
        <v>3</v>
      </c>
      <c r="AR1522" s="1">
        <v>0</v>
      </c>
      <c r="AS1522" s="1">
        <v>0</v>
      </c>
      <c r="AT1522" s="1">
        <v>0</v>
      </c>
      <c r="AU1522" s="1">
        <v>0</v>
      </c>
      <c r="AV1522" s="1">
        <v>0</v>
      </c>
      <c r="AW1522" s="1">
        <v>0</v>
      </c>
      <c r="AX1522" s="1">
        <v>0</v>
      </c>
      <c r="AY1522" s="1">
        <v>0</v>
      </c>
      <c r="AZ1522" s="1">
        <v>0</v>
      </c>
      <c r="BA1522" s="1">
        <v>0</v>
      </c>
      <c r="BB1522" s="1">
        <v>0</v>
      </c>
      <c r="BC1522" s="1">
        <v>0</v>
      </c>
      <c r="BD1522" s="1">
        <v>0</v>
      </c>
      <c r="BE1522" s="1">
        <v>0</v>
      </c>
      <c r="BF1522" s="1">
        <v>0</v>
      </c>
      <c r="BG1522" s="1">
        <v>0</v>
      </c>
      <c r="BH1522" s="1">
        <v>0</v>
      </c>
      <c r="BI1522" s="1">
        <v>0</v>
      </c>
      <c r="BJ1522" s="1">
        <v>0</v>
      </c>
      <c r="BK1522" s="1">
        <v>0</v>
      </c>
      <c r="BL1522" s="1">
        <v>0</v>
      </c>
      <c r="BM1522" s="1">
        <v>0</v>
      </c>
      <c r="BN1522" s="1">
        <v>0</v>
      </c>
      <c r="BO1522" s="1">
        <v>0</v>
      </c>
      <c r="BP1522" s="1">
        <v>0</v>
      </c>
      <c r="BQ1522" s="1" t="s">
        <v>104</v>
      </c>
      <c r="BR1522" s="1">
        <v>1595</v>
      </c>
      <c r="BS1522" s="1" t="s">
        <v>104</v>
      </c>
      <c r="BX1522" s="1">
        <v>0</v>
      </c>
      <c r="BY1522" s="1" t="s">
        <v>104</v>
      </c>
      <c r="BZ1522" s="1" t="s">
        <v>104</v>
      </c>
      <c r="CA1522" s="1" t="s">
        <v>104</v>
      </c>
      <c r="CB1522" s="1" t="s">
        <v>104</v>
      </c>
      <c r="CC1522" s="1" t="s">
        <v>104</v>
      </c>
      <c r="CD1522" s="1" t="s">
        <v>104</v>
      </c>
      <c r="CE1522" s="1" t="s">
        <v>104</v>
      </c>
      <c r="CF1522" s="1" t="s">
        <v>104</v>
      </c>
      <c r="CG1522" s="1" t="s">
        <v>104</v>
      </c>
      <c r="CH1522" s="1">
        <v>3</v>
      </c>
      <c r="CJ1522" s="1">
        <v>0</v>
      </c>
      <c r="CK1522" s="1">
        <v>0</v>
      </c>
      <c r="CL1522" s="1">
        <v>0</v>
      </c>
      <c r="CM1522" s="1" t="s">
        <v>104</v>
      </c>
    </row>
    <row r="1523" spans="1:91" ht="14.25" customHeight="1" x14ac:dyDescent="0.3">
      <c r="A1523" s="1" t="s">
        <v>8561</v>
      </c>
      <c r="B1523" s="1" t="s">
        <v>137</v>
      </c>
      <c r="E1523" s="1" t="s">
        <v>8562</v>
      </c>
      <c r="F1523" s="1" t="s">
        <v>95</v>
      </c>
      <c r="G1523" s="1" t="s">
        <v>8559</v>
      </c>
      <c r="H1523" s="1">
        <v>0</v>
      </c>
      <c r="I1523" s="1" t="s">
        <v>128</v>
      </c>
      <c r="L1523" s="1" t="s">
        <v>374</v>
      </c>
      <c r="M1523" s="1" t="s">
        <v>194</v>
      </c>
      <c r="N1523" s="1">
        <v>0</v>
      </c>
      <c r="O1523" s="1">
        <v>0</v>
      </c>
      <c r="P1523" s="1" t="s">
        <v>183</v>
      </c>
      <c r="Q1523" s="1" t="s">
        <v>184</v>
      </c>
      <c r="R1523" s="1" t="s">
        <v>8563</v>
      </c>
      <c r="S1523" s="1" t="s">
        <v>8549</v>
      </c>
      <c r="T1523" s="1">
        <v>1</v>
      </c>
      <c r="U1523" s="1">
        <v>1</v>
      </c>
      <c r="V1523" s="1">
        <v>1</v>
      </c>
      <c r="W1523" s="1">
        <v>0</v>
      </c>
      <c r="X1523" s="1">
        <v>0</v>
      </c>
      <c r="Y1523" s="1">
        <v>5</v>
      </c>
      <c r="Z1523" s="1">
        <v>5</v>
      </c>
      <c r="AA1523" s="1">
        <v>5</v>
      </c>
      <c r="AB1523" s="1">
        <v>5</v>
      </c>
      <c r="AC1523" s="1" t="s">
        <v>104</v>
      </c>
      <c r="AD1523" s="1" t="s">
        <v>104</v>
      </c>
      <c r="AE1523" s="1" t="s">
        <v>104</v>
      </c>
      <c r="AF1523" s="1" t="s">
        <v>104</v>
      </c>
      <c r="AG1523" s="1" t="s">
        <v>104</v>
      </c>
      <c r="AH1523" s="1">
        <v>5</v>
      </c>
      <c r="AI1523" s="1" t="s">
        <v>104</v>
      </c>
      <c r="AJ1523" s="1">
        <v>5</v>
      </c>
      <c r="AK1523" s="1" t="s">
        <v>104</v>
      </c>
      <c r="AL1523" s="1" t="s">
        <v>104</v>
      </c>
      <c r="AM1523" s="1" t="s">
        <v>104</v>
      </c>
      <c r="AO1523" s="1">
        <v>5</v>
      </c>
      <c r="AR1523" s="1">
        <v>0</v>
      </c>
      <c r="AS1523" s="1">
        <v>0</v>
      </c>
      <c r="AT1523" s="1">
        <v>0</v>
      </c>
      <c r="AU1523" s="1">
        <v>0</v>
      </c>
      <c r="AV1523" s="1">
        <v>0</v>
      </c>
      <c r="AW1523" s="1">
        <v>0</v>
      </c>
      <c r="AX1523" s="1">
        <v>0</v>
      </c>
      <c r="AY1523" s="1">
        <v>0</v>
      </c>
      <c r="AZ1523" s="1">
        <v>0</v>
      </c>
      <c r="BA1523" s="1">
        <v>0</v>
      </c>
      <c r="BB1523" s="1">
        <v>0</v>
      </c>
      <c r="BC1523" s="1">
        <v>0</v>
      </c>
      <c r="BD1523" s="1">
        <v>0</v>
      </c>
      <c r="BE1523" s="1">
        <v>0</v>
      </c>
      <c r="BF1523" s="1">
        <v>0</v>
      </c>
      <c r="BG1523" s="1">
        <v>0</v>
      </c>
      <c r="BH1523" s="1">
        <v>0</v>
      </c>
      <c r="BI1523" s="1">
        <v>0</v>
      </c>
      <c r="BJ1523" s="1">
        <v>0</v>
      </c>
      <c r="BK1523" s="1">
        <v>0</v>
      </c>
      <c r="BL1523" s="1">
        <v>0</v>
      </c>
      <c r="BM1523" s="1">
        <v>0</v>
      </c>
      <c r="BN1523" s="1">
        <v>0</v>
      </c>
      <c r="BO1523" s="1">
        <v>0</v>
      </c>
      <c r="BP1523" s="1">
        <v>0</v>
      </c>
      <c r="BQ1523" s="1" t="s">
        <v>104</v>
      </c>
      <c r="BR1523" s="1">
        <v>1596</v>
      </c>
      <c r="BS1523" s="1" t="s">
        <v>104</v>
      </c>
      <c r="BX1523" s="1">
        <v>0</v>
      </c>
      <c r="BY1523" s="1" t="s">
        <v>104</v>
      </c>
      <c r="BZ1523" s="1" t="s">
        <v>104</v>
      </c>
      <c r="CA1523" s="1" t="s">
        <v>104</v>
      </c>
      <c r="CB1523" s="1" t="s">
        <v>104</v>
      </c>
      <c r="CC1523" s="1" t="s">
        <v>104</v>
      </c>
      <c r="CD1523" s="1" t="s">
        <v>104</v>
      </c>
      <c r="CE1523" s="1" t="s">
        <v>104</v>
      </c>
      <c r="CF1523" s="1" t="s">
        <v>104</v>
      </c>
      <c r="CG1523" s="1" t="s">
        <v>104</v>
      </c>
      <c r="CH1523" s="1">
        <v>5</v>
      </c>
      <c r="CJ1523" s="1">
        <v>0</v>
      </c>
      <c r="CK1523" s="1">
        <v>0</v>
      </c>
      <c r="CL1523" s="1">
        <v>0</v>
      </c>
      <c r="CM1523" s="1" t="s">
        <v>104</v>
      </c>
    </row>
    <row r="1524" spans="1:91" ht="14.25" customHeight="1" x14ac:dyDescent="0.3">
      <c r="A1524" s="1" t="s">
        <v>8564</v>
      </c>
      <c r="B1524" s="1" t="s">
        <v>137</v>
      </c>
      <c r="E1524" s="1" t="s">
        <v>6975</v>
      </c>
      <c r="F1524" s="1" t="s">
        <v>95</v>
      </c>
      <c r="G1524" s="1" t="s">
        <v>8565</v>
      </c>
      <c r="H1524" s="1">
        <v>0</v>
      </c>
      <c r="I1524" s="1" t="s">
        <v>128</v>
      </c>
      <c r="L1524" s="1" t="s">
        <v>8566</v>
      </c>
      <c r="M1524" s="1" t="s">
        <v>119</v>
      </c>
      <c r="N1524" s="1">
        <v>0</v>
      </c>
      <c r="O1524" s="1">
        <v>0</v>
      </c>
      <c r="P1524" s="1" t="s">
        <v>4401</v>
      </c>
      <c r="Q1524" s="1" t="s">
        <v>472</v>
      </c>
      <c r="R1524" s="1" t="s">
        <v>8567</v>
      </c>
      <c r="S1524" s="1" t="s">
        <v>8549</v>
      </c>
      <c r="T1524" s="1">
        <v>1</v>
      </c>
      <c r="U1524" s="1">
        <v>1</v>
      </c>
      <c r="V1524" s="1">
        <v>1</v>
      </c>
      <c r="W1524" s="1">
        <v>0</v>
      </c>
      <c r="X1524" s="1">
        <v>0</v>
      </c>
      <c r="Y1524" s="1">
        <v>2</v>
      </c>
      <c r="Z1524" s="1">
        <v>2</v>
      </c>
      <c r="AA1524" s="1">
        <v>2</v>
      </c>
      <c r="AB1524" s="1" t="s">
        <v>104</v>
      </c>
      <c r="AC1524" s="1" t="s">
        <v>104</v>
      </c>
      <c r="AD1524" s="1" t="s">
        <v>104</v>
      </c>
      <c r="AE1524" s="1" t="s">
        <v>104</v>
      </c>
      <c r="AF1524" s="1" t="s">
        <v>104</v>
      </c>
      <c r="AG1524" s="1" t="s">
        <v>104</v>
      </c>
      <c r="AH1524" s="1">
        <v>2</v>
      </c>
      <c r="AI1524" s="1" t="s">
        <v>104</v>
      </c>
      <c r="AJ1524" s="1">
        <v>2</v>
      </c>
      <c r="AK1524" s="1" t="s">
        <v>104</v>
      </c>
      <c r="AL1524" s="1" t="s">
        <v>104</v>
      </c>
      <c r="AM1524" s="1" t="s">
        <v>104</v>
      </c>
      <c r="AO1524" s="1">
        <v>2</v>
      </c>
      <c r="AR1524" s="1">
        <v>0</v>
      </c>
      <c r="AS1524" s="1">
        <v>0</v>
      </c>
      <c r="AT1524" s="1">
        <v>0</v>
      </c>
      <c r="AU1524" s="1">
        <v>0</v>
      </c>
      <c r="AV1524" s="1">
        <v>0</v>
      </c>
      <c r="AW1524" s="1">
        <v>0</v>
      </c>
      <c r="AX1524" s="1">
        <v>0</v>
      </c>
      <c r="AY1524" s="1">
        <v>0</v>
      </c>
      <c r="AZ1524" s="1">
        <v>0</v>
      </c>
      <c r="BA1524" s="1">
        <v>0</v>
      </c>
      <c r="BB1524" s="1">
        <v>0</v>
      </c>
      <c r="BC1524" s="1">
        <v>0</v>
      </c>
      <c r="BD1524" s="1">
        <v>0</v>
      </c>
      <c r="BE1524" s="1">
        <v>0</v>
      </c>
      <c r="BF1524" s="1">
        <v>0</v>
      </c>
      <c r="BG1524" s="1">
        <v>0</v>
      </c>
      <c r="BH1524" s="1">
        <v>0</v>
      </c>
      <c r="BI1524" s="1">
        <v>0</v>
      </c>
      <c r="BJ1524" s="1">
        <v>0</v>
      </c>
      <c r="BK1524" s="1">
        <v>0</v>
      </c>
      <c r="BL1524" s="1">
        <v>0</v>
      </c>
      <c r="BM1524" s="1">
        <v>0</v>
      </c>
      <c r="BN1524" s="1">
        <v>0</v>
      </c>
      <c r="BO1524" s="1">
        <v>0</v>
      </c>
      <c r="BP1524" s="1">
        <v>0</v>
      </c>
      <c r="BQ1524" s="1" t="s">
        <v>104</v>
      </c>
      <c r="BR1524" s="1">
        <v>1597</v>
      </c>
      <c r="BS1524" s="1" t="s">
        <v>104</v>
      </c>
      <c r="BX1524" s="1">
        <v>0</v>
      </c>
      <c r="BY1524" s="1" t="s">
        <v>104</v>
      </c>
      <c r="BZ1524" s="1" t="s">
        <v>104</v>
      </c>
      <c r="CA1524" s="1" t="s">
        <v>104</v>
      </c>
      <c r="CB1524" s="1" t="s">
        <v>104</v>
      </c>
      <c r="CC1524" s="1" t="s">
        <v>104</v>
      </c>
      <c r="CD1524" s="1" t="s">
        <v>104</v>
      </c>
      <c r="CE1524" s="1" t="s">
        <v>104</v>
      </c>
      <c r="CF1524" s="1" t="s">
        <v>104</v>
      </c>
      <c r="CG1524" s="1" t="s">
        <v>104</v>
      </c>
      <c r="CH1524" s="1" t="s">
        <v>104</v>
      </c>
      <c r="CJ1524" s="1">
        <v>0</v>
      </c>
      <c r="CK1524" s="1">
        <v>0</v>
      </c>
      <c r="CL1524" s="1">
        <v>0</v>
      </c>
      <c r="CM1524" s="1" t="s">
        <v>104</v>
      </c>
    </row>
    <row r="1525" spans="1:91" ht="14.25" customHeight="1" x14ac:dyDescent="0.3">
      <c r="A1525" s="1" t="s">
        <v>8568</v>
      </c>
      <c r="B1525" s="1" t="s">
        <v>92</v>
      </c>
      <c r="C1525" s="1" t="s">
        <v>93</v>
      </c>
      <c r="D1525" s="1" t="s">
        <v>46</v>
      </c>
      <c r="E1525" s="1" t="s">
        <v>5284</v>
      </c>
      <c r="F1525" s="1" t="s">
        <v>95</v>
      </c>
      <c r="G1525" s="1" t="s">
        <v>8569</v>
      </c>
      <c r="H1525" s="1">
        <v>0</v>
      </c>
      <c r="I1525" s="1" t="s">
        <v>109</v>
      </c>
      <c r="J1525" s="1" t="s">
        <v>425</v>
      </c>
      <c r="M1525" s="1" t="s">
        <v>111</v>
      </c>
      <c r="N1525" s="1">
        <v>0</v>
      </c>
      <c r="O1525" s="1">
        <v>0</v>
      </c>
      <c r="P1525" s="1" t="s">
        <v>100</v>
      </c>
      <c r="Q1525" s="1" t="s">
        <v>101</v>
      </c>
      <c r="R1525" s="1" t="s">
        <v>8570</v>
      </c>
      <c r="S1525" s="1" t="s">
        <v>8571</v>
      </c>
      <c r="T1525" s="1">
        <v>1</v>
      </c>
      <c r="U1525" s="1">
        <v>1</v>
      </c>
      <c r="V1525" s="1">
        <v>1</v>
      </c>
      <c r="W1525" s="1">
        <v>0</v>
      </c>
      <c r="X1525" s="1">
        <v>1</v>
      </c>
      <c r="Y1525" s="1" t="s">
        <v>104</v>
      </c>
      <c r="Z1525" s="1" t="s">
        <v>104</v>
      </c>
      <c r="AA1525" s="1" t="s">
        <v>104</v>
      </c>
      <c r="AB1525" s="1">
        <v>2</v>
      </c>
      <c r="AC1525" s="1" t="s">
        <v>104</v>
      </c>
      <c r="AD1525" s="1" t="s">
        <v>104</v>
      </c>
      <c r="AE1525" s="1" t="s">
        <v>104</v>
      </c>
      <c r="AF1525" s="1" t="s">
        <v>104</v>
      </c>
      <c r="AG1525" s="1" t="s">
        <v>104</v>
      </c>
      <c r="AH1525" s="1">
        <v>2</v>
      </c>
      <c r="AI1525" s="1" t="s">
        <v>104</v>
      </c>
      <c r="AJ1525" s="1" t="s">
        <v>104</v>
      </c>
      <c r="AK1525" s="1" t="s">
        <v>104</v>
      </c>
      <c r="AL1525" s="1" t="s">
        <v>104</v>
      </c>
      <c r="AM1525" s="1" t="s">
        <v>104</v>
      </c>
      <c r="AO1525" s="1">
        <v>2</v>
      </c>
      <c r="AR1525" s="1">
        <v>0</v>
      </c>
      <c r="AS1525" s="1">
        <v>0</v>
      </c>
      <c r="AT1525" s="1">
        <v>0</v>
      </c>
      <c r="AU1525" s="1">
        <v>1</v>
      </c>
      <c r="AV1525" s="1">
        <v>0</v>
      </c>
      <c r="AW1525" s="1">
        <v>0</v>
      </c>
      <c r="AX1525" s="1">
        <v>0</v>
      </c>
      <c r="AY1525" s="1">
        <v>0</v>
      </c>
      <c r="AZ1525" s="1">
        <v>0</v>
      </c>
      <c r="BA1525" s="1">
        <v>0</v>
      </c>
      <c r="BB1525" s="1">
        <v>0</v>
      </c>
      <c r="BC1525" s="1">
        <v>0</v>
      </c>
      <c r="BD1525" s="1">
        <v>0</v>
      </c>
      <c r="BE1525" s="1">
        <v>0</v>
      </c>
      <c r="BF1525" s="1">
        <v>0</v>
      </c>
      <c r="BG1525" s="1">
        <v>0</v>
      </c>
      <c r="BH1525" s="1">
        <v>0</v>
      </c>
      <c r="BI1525" s="1">
        <v>0</v>
      </c>
      <c r="BJ1525" s="1">
        <v>0</v>
      </c>
      <c r="BK1525" s="1">
        <v>0</v>
      </c>
      <c r="BL1525" s="1">
        <v>0</v>
      </c>
      <c r="BM1525" s="1">
        <v>0</v>
      </c>
      <c r="BN1525" s="1">
        <v>0</v>
      </c>
      <c r="BO1525" s="1">
        <v>0</v>
      </c>
      <c r="BP1525" s="1">
        <v>0</v>
      </c>
      <c r="BQ1525" s="1" t="s">
        <v>104</v>
      </c>
      <c r="BR1525" s="1">
        <v>1601</v>
      </c>
      <c r="BS1525" s="1" t="s">
        <v>104</v>
      </c>
      <c r="BX1525" s="1">
        <v>0</v>
      </c>
      <c r="BY1525" s="1" t="s">
        <v>104</v>
      </c>
      <c r="BZ1525" s="1" t="s">
        <v>104</v>
      </c>
      <c r="CA1525" s="1" t="s">
        <v>104</v>
      </c>
      <c r="CB1525" s="1" t="s">
        <v>104</v>
      </c>
      <c r="CC1525" s="1" t="s">
        <v>104</v>
      </c>
      <c r="CD1525" s="1" t="s">
        <v>104</v>
      </c>
      <c r="CE1525" s="1" t="s">
        <v>104</v>
      </c>
      <c r="CF1525" s="1" t="s">
        <v>104</v>
      </c>
      <c r="CG1525" s="1" t="s">
        <v>104</v>
      </c>
      <c r="CH1525" s="1">
        <v>2</v>
      </c>
      <c r="CJ1525" s="1">
        <v>0</v>
      </c>
      <c r="CK1525" s="1">
        <v>0</v>
      </c>
      <c r="CL1525" s="1">
        <v>0</v>
      </c>
      <c r="CM1525" s="1" t="s">
        <v>104</v>
      </c>
    </row>
    <row r="1526" spans="1:91" ht="14.25" customHeight="1" x14ac:dyDescent="0.3">
      <c r="A1526" s="1" t="s">
        <v>8572</v>
      </c>
      <c r="B1526" s="1" t="s">
        <v>172</v>
      </c>
      <c r="C1526" s="1" t="s">
        <v>285</v>
      </c>
      <c r="E1526" s="1" t="s">
        <v>7498</v>
      </c>
      <c r="F1526" s="1" t="s">
        <v>287</v>
      </c>
      <c r="G1526" s="1" t="s">
        <v>8573</v>
      </c>
      <c r="H1526" s="1">
        <v>0</v>
      </c>
      <c r="I1526" s="1" t="s">
        <v>145</v>
      </c>
      <c r="K1526" s="1" t="s">
        <v>290</v>
      </c>
      <c r="M1526" s="1" t="s">
        <v>2330</v>
      </c>
      <c r="N1526" s="1">
        <v>0</v>
      </c>
      <c r="O1526" s="1">
        <v>0</v>
      </c>
      <c r="P1526" s="1" t="s">
        <v>100</v>
      </c>
      <c r="Q1526" s="1" t="s">
        <v>101</v>
      </c>
      <c r="R1526" s="1" t="s">
        <v>8574</v>
      </c>
      <c r="S1526" s="1" t="s">
        <v>8575</v>
      </c>
      <c r="T1526" s="1">
        <v>1</v>
      </c>
      <c r="U1526" s="1">
        <v>1</v>
      </c>
      <c r="V1526" s="1">
        <v>0</v>
      </c>
      <c r="W1526" s="1">
        <v>0</v>
      </c>
      <c r="X1526" s="1">
        <v>0</v>
      </c>
      <c r="Y1526" s="1">
        <v>3</v>
      </c>
      <c r="Z1526" s="1">
        <v>3</v>
      </c>
      <c r="AA1526" s="1" t="s">
        <v>104</v>
      </c>
      <c r="AB1526" s="1" t="s">
        <v>104</v>
      </c>
      <c r="AC1526" s="1" t="s">
        <v>104</v>
      </c>
      <c r="AD1526" s="1" t="s">
        <v>104</v>
      </c>
      <c r="AE1526" s="1" t="s">
        <v>104</v>
      </c>
      <c r="AF1526" s="1" t="s">
        <v>104</v>
      </c>
      <c r="AG1526" s="1" t="s">
        <v>104</v>
      </c>
      <c r="AH1526" s="1">
        <v>3</v>
      </c>
      <c r="AI1526" s="1" t="s">
        <v>104</v>
      </c>
      <c r="AJ1526" s="1" t="s">
        <v>104</v>
      </c>
      <c r="AK1526" s="1" t="s">
        <v>104</v>
      </c>
      <c r="AL1526" s="1" t="s">
        <v>104</v>
      </c>
      <c r="AM1526" s="1" t="s">
        <v>104</v>
      </c>
      <c r="AO1526" s="1">
        <v>3</v>
      </c>
      <c r="AR1526" s="1">
        <v>0</v>
      </c>
      <c r="AS1526" s="1">
        <v>0</v>
      </c>
      <c r="AT1526" s="1">
        <v>0</v>
      </c>
      <c r="AU1526" s="1">
        <v>0</v>
      </c>
      <c r="AV1526" s="1">
        <v>0</v>
      </c>
      <c r="AW1526" s="1">
        <v>0</v>
      </c>
      <c r="AX1526" s="1">
        <v>0</v>
      </c>
      <c r="AY1526" s="1">
        <v>0</v>
      </c>
      <c r="AZ1526" s="1">
        <v>0</v>
      </c>
      <c r="BA1526" s="1">
        <v>0</v>
      </c>
      <c r="BB1526" s="1">
        <v>0</v>
      </c>
      <c r="BC1526" s="1">
        <v>0</v>
      </c>
      <c r="BD1526" s="1">
        <v>0</v>
      </c>
      <c r="BE1526" s="1">
        <v>0</v>
      </c>
      <c r="BF1526" s="1">
        <v>0</v>
      </c>
      <c r="BG1526" s="1">
        <v>0</v>
      </c>
      <c r="BH1526" s="1">
        <v>0</v>
      </c>
      <c r="BI1526" s="1">
        <v>0</v>
      </c>
      <c r="BJ1526" s="1">
        <v>0</v>
      </c>
      <c r="BK1526" s="1">
        <v>0</v>
      </c>
      <c r="BL1526" s="1">
        <v>0</v>
      </c>
      <c r="BM1526" s="1">
        <v>0</v>
      </c>
      <c r="BN1526" s="1">
        <v>0</v>
      </c>
      <c r="BO1526" s="1">
        <v>0</v>
      </c>
      <c r="BP1526" s="1">
        <v>0</v>
      </c>
      <c r="BQ1526" s="1" t="s">
        <v>104</v>
      </c>
      <c r="BR1526" s="1">
        <v>1604</v>
      </c>
      <c r="BS1526" s="1" t="s">
        <v>104</v>
      </c>
      <c r="BX1526" s="1">
        <v>0</v>
      </c>
      <c r="BY1526" s="1" t="s">
        <v>104</v>
      </c>
      <c r="BZ1526" s="1" t="s">
        <v>104</v>
      </c>
      <c r="CA1526" s="1" t="s">
        <v>104</v>
      </c>
      <c r="CB1526" s="1" t="s">
        <v>104</v>
      </c>
      <c r="CC1526" s="1" t="s">
        <v>104</v>
      </c>
      <c r="CD1526" s="1" t="s">
        <v>104</v>
      </c>
      <c r="CE1526" s="1" t="s">
        <v>104</v>
      </c>
      <c r="CF1526" s="1" t="s">
        <v>104</v>
      </c>
      <c r="CG1526" s="1" t="s">
        <v>104</v>
      </c>
      <c r="CH1526" s="1" t="s">
        <v>104</v>
      </c>
      <c r="CJ1526" s="1">
        <v>0</v>
      </c>
      <c r="CK1526" s="1">
        <v>0</v>
      </c>
      <c r="CL1526" s="1">
        <v>0</v>
      </c>
      <c r="CM1526" s="1" t="s">
        <v>104</v>
      </c>
    </row>
    <row r="1527" spans="1:91" ht="14.25" customHeight="1" x14ac:dyDescent="0.3">
      <c r="A1527" s="1" t="s">
        <v>8576</v>
      </c>
      <c r="B1527" s="1" t="s">
        <v>123</v>
      </c>
      <c r="C1527" s="1" t="s">
        <v>124</v>
      </c>
      <c r="E1527" s="1" t="s">
        <v>8577</v>
      </c>
      <c r="F1527" s="1" t="s">
        <v>1502</v>
      </c>
      <c r="G1527" s="1" t="s">
        <v>116</v>
      </c>
      <c r="H1527" s="1">
        <v>0</v>
      </c>
      <c r="I1527" s="1" t="s">
        <v>128</v>
      </c>
      <c r="L1527" s="1" t="s">
        <v>8578</v>
      </c>
      <c r="M1527" s="1" t="s">
        <v>119</v>
      </c>
      <c r="N1527" s="1">
        <v>0</v>
      </c>
      <c r="O1527" s="1">
        <v>0</v>
      </c>
      <c r="P1527" s="1" t="s">
        <v>100</v>
      </c>
      <c r="Q1527" s="1" t="s">
        <v>101</v>
      </c>
      <c r="R1527" s="1" t="s">
        <v>8579</v>
      </c>
      <c r="S1527" s="1" t="s">
        <v>8580</v>
      </c>
      <c r="T1527" s="1">
        <v>1</v>
      </c>
      <c r="U1527" s="1">
        <v>1</v>
      </c>
      <c r="V1527" s="1">
        <v>0</v>
      </c>
      <c r="W1527" s="1">
        <v>0</v>
      </c>
      <c r="X1527" s="1">
        <v>0</v>
      </c>
      <c r="Y1527" s="1">
        <v>5</v>
      </c>
      <c r="Z1527" s="1">
        <v>5</v>
      </c>
      <c r="AA1527" s="1" t="s">
        <v>104</v>
      </c>
      <c r="AB1527" s="1">
        <v>5</v>
      </c>
      <c r="AC1527" s="1" t="s">
        <v>104</v>
      </c>
      <c r="AD1527" s="1" t="s">
        <v>104</v>
      </c>
      <c r="AE1527" s="1" t="s">
        <v>104</v>
      </c>
      <c r="AF1527" s="1" t="s">
        <v>104</v>
      </c>
      <c r="AG1527" s="1" t="s">
        <v>104</v>
      </c>
      <c r="AH1527" s="1">
        <v>5</v>
      </c>
      <c r="AI1527" s="1" t="s">
        <v>104</v>
      </c>
      <c r="AJ1527" s="1" t="s">
        <v>104</v>
      </c>
      <c r="AK1527" s="1">
        <v>4</v>
      </c>
      <c r="AL1527" s="1" t="s">
        <v>104</v>
      </c>
      <c r="AM1527" s="1" t="s">
        <v>104</v>
      </c>
      <c r="AO1527" s="1">
        <v>5</v>
      </c>
      <c r="AR1527" s="1">
        <v>0</v>
      </c>
      <c r="AS1527" s="1">
        <v>0</v>
      </c>
      <c r="AT1527" s="1">
        <v>0</v>
      </c>
      <c r="AU1527" s="1">
        <v>0</v>
      </c>
      <c r="AV1527" s="1">
        <v>0</v>
      </c>
      <c r="AW1527" s="1">
        <v>0</v>
      </c>
      <c r="AX1527" s="1">
        <v>0</v>
      </c>
      <c r="AY1527" s="1">
        <v>0</v>
      </c>
      <c r="AZ1527" s="1">
        <v>0</v>
      </c>
      <c r="BA1527" s="1">
        <v>0</v>
      </c>
      <c r="BB1527" s="1">
        <v>0</v>
      </c>
      <c r="BC1527" s="1">
        <v>0</v>
      </c>
      <c r="BD1527" s="1">
        <v>0</v>
      </c>
      <c r="BE1527" s="1">
        <v>0</v>
      </c>
      <c r="BF1527" s="1">
        <v>0</v>
      </c>
      <c r="BG1527" s="1">
        <v>0</v>
      </c>
      <c r="BH1527" s="1">
        <v>0</v>
      </c>
      <c r="BI1527" s="1">
        <v>0</v>
      </c>
      <c r="BJ1527" s="1">
        <v>0</v>
      </c>
      <c r="BK1527" s="1">
        <v>0</v>
      </c>
      <c r="BL1527" s="1">
        <v>0</v>
      </c>
      <c r="BM1527" s="1">
        <v>0</v>
      </c>
      <c r="BN1527" s="1">
        <v>0</v>
      </c>
      <c r="BO1527" s="1">
        <v>0</v>
      </c>
      <c r="BP1527" s="1">
        <v>0</v>
      </c>
      <c r="BQ1527" s="1" t="s">
        <v>104</v>
      </c>
      <c r="BR1527" s="1">
        <v>1607</v>
      </c>
      <c r="BS1527" s="1" t="s">
        <v>104</v>
      </c>
      <c r="BX1527" s="1">
        <v>0</v>
      </c>
      <c r="BY1527" s="1" t="s">
        <v>104</v>
      </c>
      <c r="BZ1527" s="1" t="s">
        <v>104</v>
      </c>
      <c r="CA1527" s="1" t="s">
        <v>104</v>
      </c>
      <c r="CB1527" s="1" t="s">
        <v>104</v>
      </c>
      <c r="CC1527" s="1" t="s">
        <v>104</v>
      </c>
      <c r="CD1527" s="1" t="s">
        <v>104</v>
      </c>
      <c r="CE1527" s="1" t="s">
        <v>104</v>
      </c>
      <c r="CF1527" s="1" t="s">
        <v>104</v>
      </c>
      <c r="CG1527" s="1" t="s">
        <v>104</v>
      </c>
      <c r="CH1527" s="1">
        <v>5</v>
      </c>
      <c r="CJ1527" s="1">
        <v>0</v>
      </c>
      <c r="CK1527" s="1">
        <v>0</v>
      </c>
      <c r="CL1527" s="1">
        <v>0</v>
      </c>
      <c r="CM1527" s="1" t="s">
        <v>104</v>
      </c>
    </row>
    <row r="1528" spans="1:91" ht="14.25" customHeight="1" x14ac:dyDescent="0.3">
      <c r="A1528" s="1" t="s">
        <v>8581</v>
      </c>
      <c r="B1528" s="1" t="s">
        <v>507</v>
      </c>
      <c r="C1528" s="1" t="s">
        <v>1767</v>
      </c>
      <c r="E1528" s="1" t="s">
        <v>7078</v>
      </c>
      <c r="F1528" s="1" t="s">
        <v>95</v>
      </c>
      <c r="G1528" s="1" t="s">
        <v>116</v>
      </c>
      <c r="H1528" s="1">
        <v>0</v>
      </c>
      <c r="I1528" s="1" t="s">
        <v>128</v>
      </c>
      <c r="L1528" s="1" t="s">
        <v>5436</v>
      </c>
      <c r="M1528" s="1" t="s">
        <v>426</v>
      </c>
      <c r="N1528" s="1">
        <v>1</v>
      </c>
      <c r="O1528" s="1">
        <v>0</v>
      </c>
      <c r="P1528" s="1" t="s">
        <v>100</v>
      </c>
      <c r="Q1528" s="1" t="s">
        <v>101</v>
      </c>
      <c r="R1528" s="1" t="s">
        <v>8582</v>
      </c>
      <c r="S1528" s="1" t="s">
        <v>8580</v>
      </c>
      <c r="T1528" s="1">
        <v>1</v>
      </c>
      <c r="U1528" s="1">
        <v>1</v>
      </c>
      <c r="V1528" s="1">
        <v>0</v>
      </c>
      <c r="W1528" s="1">
        <v>0</v>
      </c>
      <c r="X1528" s="1">
        <v>0</v>
      </c>
      <c r="Y1528" s="1">
        <v>2</v>
      </c>
      <c r="Z1528" s="1">
        <v>2</v>
      </c>
      <c r="AA1528" s="1" t="s">
        <v>104</v>
      </c>
      <c r="AB1528" s="1" t="s">
        <v>104</v>
      </c>
      <c r="AC1528" s="1" t="s">
        <v>104</v>
      </c>
      <c r="AD1528" s="1" t="s">
        <v>104</v>
      </c>
      <c r="AE1528" s="1" t="s">
        <v>104</v>
      </c>
      <c r="AF1528" s="1" t="s">
        <v>104</v>
      </c>
      <c r="AG1528" s="1" t="s">
        <v>104</v>
      </c>
      <c r="AH1528" s="1">
        <v>2</v>
      </c>
      <c r="AI1528" s="1" t="s">
        <v>104</v>
      </c>
      <c r="AJ1528" s="1" t="s">
        <v>104</v>
      </c>
      <c r="AK1528" s="1" t="s">
        <v>104</v>
      </c>
      <c r="AL1528" s="1" t="s">
        <v>104</v>
      </c>
      <c r="AM1528" s="1" t="s">
        <v>104</v>
      </c>
      <c r="AO1528" s="1">
        <v>2</v>
      </c>
      <c r="AR1528" s="1">
        <v>0</v>
      </c>
      <c r="AS1528" s="1">
        <v>0</v>
      </c>
      <c r="AT1528" s="1">
        <v>0</v>
      </c>
      <c r="AU1528" s="1">
        <v>0</v>
      </c>
      <c r="AV1528" s="1">
        <v>0</v>
      </c>
      <c r="AW1528" s="1">
        <v>0</v>
      </c>
      <c r="AX1528" s="1">
        <v>0</v>
      </c>
      <c r="AY1528" s="1">
        <v>0</v>
      </c>
      <c r="AZ1528" s="1">
        <v>0</v>
      </c>
      <c r="BA1528" s="1">
        <v>0</v>
      </c>
      <c r="BB1528" s="1">
        <v>0</v>
      </c>
      <c r="BC1528" s="1">
        <v>0</v>
      </c>
      <c r="BD1528" s="1">
        <v>0</v>
      </c>
      <c r="BE1528" s="1">
        <v>0</v>
      </c>
      <c r="BF1528" s="1">
        <v>0</v>
      </c>
      <c r="BG1528" s="1">
        <v>0</v>
      </c>
      <c r="BH1528" s="1">
        <v>0</v>
      </c>
      <c r="BI1528" s="1">
        <v>0</v>
      </c>
      <c r="BJ1528" s="1">
        <v>0</v>
      </c>
      <c r="BK1528" s="1">
        <v>0</v>
      </c>
      <c r="BL1528" s="1">
        <v>0</v>
      </c>
      <c r="BM1528" s="1">
        <v>0</v>
      </c>
      <c r="BN1528" s="1">
        <v>0</v>
      </c>
      <c r="BO1528" s="1">
        <v>0</v>
      </c>
      <c r="BP1528" s="1">
        <v>0</v>
      </c>
      <c r="BQ1528" s="1" t="s">
        <v>104</v>
      </c>
      <c r="BR1528" s="1">
        <v>1608</v>
      </c>
      <c r="BS1528" s="1" t="s">
        <v>104</v>
      </c>
      <c r="BX1528" s="1">
        <v>0</v>
      </c>
      <c r="BY1528" s="1" t="s">
        <v>104</v>
      </c>
      <c r="BZ1528" s="1" t="s">
        <v>104</v>
      </c>
      <c r="CA1528" s="1" t="s">
        <v>104</v>
      </c>
      <c r="CB1528" s="1" t="s">
        <v>104</v>
      </c>
      <c r="CC1528" s="1" t="s">
        <v>104</v>
      </c>
      <c r="CD1528" s="1" t="s">
        <v>104</v>
      </c>
      <c r="CE1528" s="1" t="s">
        <v>104</v>
      </c>
      <c r="CF1528" s="1" t="s">
        <v>104</v>
      </c>
      <c r="CG1528" s="1" t="s">
        <v>104</v>
      </c>
      <c r="CH1528" s="1" t="s">
        <v>104</v>
      </c>
      <c r="CJ1528" s="1">
        <v>0</v>
      </c>
      <c r="CK1528" s="1">
        <v>0</v>
      </c>
      <c r="CL1528" s="1">
        <v>0</v>
      </c>
      <c r="CM1528" s="1" t="s">
        <v>104</v>
      </c>
    </row>
    <row r="1529" spans="1:91" ht="14.25" customHeight="1" x14ac:dyDescent="0.3">
      <c r="A1529" s="1" t="s">
        <v>8583</v>
      </c>
      <c r="B1529" s="1" t="s">
        <v>137</v>
      </c>
      <c r="E1529" s="1" t="s">
        <v>3455</v>
      </c>
      <c r="F1529" s="1" t="s">
        <v>95</v>
      </c>
      <c r="G1529" s="1" t="s">
        <v>127</v>
      </c>
      <c r="H1529" s="1">
        <v>0</v>
      </c>
      <c r="I1529" s="1" t="s">
        <v>128</v>
      </c>
      <c r="L1529" s="1" t="s">
        <v>7404</v>
      </c>
      <c r="M1529" s="1" t="s">
        <v>620</v>
      </c>
      <c r="N1529" s="1">
        <v>1</v>
      </c>
      <c r="O1529" s="1">
        <v>0</v>
      </c>
      <c r="P1529" s="1" t="s">
        <v>375</v>
      </c>
      <c r="Q1529" s="1" t="s">
        <v>101</v>
      </c>
      <c r="R1529" s="1" t="s">
        <v>8584</v>
      </c>
      <c r="S1529" s="1" t="s">
        <v>8580</v>
      </c>
      <c r="T1529" s="1">
        <v>1</v>
      </c>
      <c r="U1529" s="1">
        <v>1</v>
      </c>
      <c r="V1529" s="1">
        <v>0</v>
      </c>
      <c r="W1529" s="1">
        <v>0</v>
      </c>
      <c r="X1529" s="1">
        <v>1</v>
      </c>
      <c r="Y1529" s="1" t="s">
        <v>104</v>
      </c>
      <c r="Z1529" s="1" t="s">
        <v>104</v>
      </c>
      <c r="AA1529" s="1" t="s">
        <v>104</v>
      </c>
      <c r="AB1529" s="1">
        <v>3</v>
      </c>
      <c r="AC1529" s="1">
        <v>2</v>
      </c>
      <c r="AD1529" s="1" t="s">
        <v>104</v>
      </c>
      <c r="AE1529" s="1" t="s">
        <v>104</v>
      </c>
      <c r="AF1529" s="1" t="s">
        <v>104</v>
      </c>
      <c r="AG1529" s="1" t="s">
        <v>104</v>
      </c>
      <c r="AH1529" s="1" t="s">
        <v>104</v>
      </c>
      <c r="AI1529" s="1" t="s">
        <v>104</v>
      </c>
      <c r="AJ1529" s="1" t="s">
        <v>104</v>
      </c>
      <c r="AK1529" s="1" t="s">
        <v>104</v>
      </c>
      <c r="AL1529" s="1" t="s">
        <v>104</v>
      </c>
      <c r="AM1529" s="1" t="s">
        <v>104</v>
      </c>
      <c r="AO1529" s="1">
        <v>3</v>
      </c>
      <c r="AR1529" s="1">
        <v>0</v>
      </c>
      <c r="AS1529" s="1">
        <v>0</v>
      </c>
      <c r="AT1529" s="1">
        <v>0</v>
      </c>
      <c r="AU1529" s="1">
        <v>0</v>
      </c>
      <c r="AV1529" s="1">
        <v>0</v>
      </c>
      <c r="AW1529" s="1">
        <v>0</v>
      </c>
      <c r="AX1529" s="1">
        <v>0</v>
      </c>
      <c r="AY1529" s="1">
        <v>0</v>
      </c>
      <c r="AZ1529" s="1">
        <v>0</v>
      </c>
      <c r="BA1529" s="1">
        <v>0</v>
      </c>
      <c r="BB1529" s="1">
        <v>0</v>
      </c>
      <c r="BC1529" s="1">
        <v>0</v>
      </c>
      <c r="BD1529" s="1">
        <v>0</v>
      </c>
      <c r="BE1529" s="1">
        <v>0</v>
      </c>
      <c r="BF1529" s="1">
        <v>0</v>
      </c>
      <c r="BG1529" s="1">
        <v>0</v>
      </c>
      <c r="BH1529" s="1">
        <v>0</v>
      </c>
      <c r="BI1529" s="1">
        <v>0</v>
      </c>
      <c r="BJ1529" s="1">
        <v>0</v>
      </c>
      <c r="BK1529" s="1">
        <v>0</v>
      </c>
      <c r="BL1529" s="1">
        <v>0</v>
      </c>
      <c r="BM1529" s="1">
        <v>0</v>
      </c>
      <c r="BN1529" s="1">
        <v>0</v>
      </c>
      <c r="BO1529" s="1">
        <v>0</v>
      </c>
      <c r="BP1529" s="1">
        <v>0</v>
      </c>
      <c r="BQ1529" s="1" t="s">
        <v>104</v>
      </c>
      <c r="BR1529" s="1">
        <v>1609</v>
      </c>
      <c r="BS1529" s="1" t="s">
        <v>104</v>
      </c>
      <c r="BX1529" s="1">
        <v>0</v>
      </c>
      <c r="BY1529" s="1" t="s">
        <v>104</v>
      </c>
      <c r="BZ1529" s="1" t="s">
        <v>104</v>
      </c>
      <c r="CA1529" s="1" t="s">
        <v>104</v>
      </c>
      <c r="CB1529" s="1" t="s">
        <v>104</v>
      </c>
      <c r="CC1529" s="1" t="s">
        <v>104</v>
      </c>
      <c r="CD1529" s="1" t="s">
        <v>104</v>
      </c>
      <c r="CE1529" s="1" t="s">
        <v>104</v>
      </c>
      <c r="CF1529" s="1" t="s">
        <v>104</v>
      </c>
      <c r="CG1529" s="1" t="s">
        <v>104</v>
      </c>
      <c r="CH1529" s="1">
        <v>2</v>
      </c>
      <c r="CJ1529" s="1">
        <v>0</v>
      </c>
      <c r="CK1529" s="1">
        <v>0</v>
      </c>
      <c r="CL1529" s="1">
        <v>0</v>
      </c>
      <c r="CM1529" s="1" t="s">
        <v>104</v>
      </c>
    </row>
    <row r="1530" spans="1:91" ht="14.25" customHeight="1" x14ac:dyDescent="0.3">
      <c r="A1530" s="1" t="s">
        <v>8585</v>
      </c>
      <c r="B1530" s="1" t="s">
        <v>137</v>
      </c>
      <c r="C1530" s="1" t="s">
        <v>154</v>
      </c>
      <c r="E1530" s="1" t="s">
        <v>8586</v>
      </c>
      <c r="F1530" s="1" t="s">
        <v>95</v>
      </c>
      <c r="G1530" s="1" t="s">
        <v>156</v>
      </c>
      <c r="H1530" s="1">
        <v>0</v>
      </c>
      <c r="I1530" s="1" t="s">
        <v>157</v>
      </c>
      <c r="L1530" s="1" t="s">
        <v>158</v>
      </c>
      <c r="M1530" s="1" t="s">
        <v>620</v>
      </c>
      <c r="N1530" s="1">
        <v>1</v>
      </c>
      <c r="O1530" s="1">
        <v>0</v>
      </c>
      <c r="R1530" s="1" t="s">
        <v>8587</v>
      </c>
      <c r="S1530" s="1" t="s">
        <v>8580</v>
      </c>
      <c r="T1530" s="1">
        <v>1</v>
      </c>
      <c r="U1530" s="1">
        <v>1</v>
      </c>
      <c r="V1530" s="1">
        <v>1</v>
      </c>
      <c r="W1530" s="1">
        <v>0</v>
      </c>
      <c r="X1530" s="1">
        <v>0</v>
      </c>
      <c r="Y1530" s="1">
        <v>4</v>
      </c>
      <c r="Z1530" s="1">
        <v>4</v>
      </c>
      <c r="AA1530" s="1" t="s">
        <v>104</v>
      </c>
      <c r="AB1530" s="1" t="s">
        <v>104</v>
      </c>
      <c r="AC1530" s="1">
        <v>3</v>
      </c>
      <c r="AD1530" s="1" t="s">
        <v>104</v>
      </c>
      <c r="AE1530" s="1" t="s">
        <v>104</v>
      </c>
      <c r="AF1530" s="1" t="s">
        <v>104</v>
      </c>
      <c r="AG1530" s="1" t="s">
        <v>104</v>
      </c>
      <c r="AH1530" s="1">
        <v>4</v>
      </c>
      <c r="AI1530" s="1" t="s">
        <v>104</v>
      </c>
      <c r="AJ1530" s="1" t="s">
        <v>104</v>
      </c>
      <c r="AK1530" s="1" t="s">
        <v>104</v>
      </c>
      <c r="AL1530" s="1" t="s">
        <v>104</v>
      </c>
      <c r="AM1530" s="1" t="s">
        <v>104</v>
      </c>
      <c r="AO1530" s="1">
        <v>4</v>
      </c>
      <c r="AR1530" s="1">
        <v>0</v>
      </c>
      <c r="AS1530" s="1">
        <v>0</v>
      </c>
      <c r="AT1530" s="1">
        <v>0</v>
      </c>
      <c r="AU1530" s="1">
        <v>0</v>
      </c>
      <c r="AV1530" s="1">
        <v>0</v>
      </c>
      <c r="AW1530" s="1">
        <v>0</v>
      </c>
      <c r="AX1530" s="1">
        <v>0</v>
      </c>
      <c r="AY1530" s="1">
        <v>0</v>
      </c>
      <c r="AZ1530" s="1">
        <v>0</v>
      </c>
      <c r="BA1530" s="1">
        <v>0</v>
      </c>
      <c r="BB1530" s="1">
        <v>0</v>
      </c>
      <c r="BC1530" s="1">
        <v>0</v>
      </c>
      <c r="BD1530" s="1">
        <v>0</v>
      </c>
      <c r="BE1530" s="1">
        <v>0</v>
      </c>
      <c r="BF1530" s="1">
        <v>0</v>
      </c>
      <c r="BG1530" s="1">
        <v>0</v>
      </c>
      <c r="BH1530" s="1">
        <v>0</v>
      </c>
      <c r="BI1530" s="1">
        <v>0</v>
      </c>
      <c r="BJ1530" s="1">
        <v>0</v>
      </c>
      <c r="BK1530" s="1">
        <v>0</v>
      </c>
      <c r="BL1530" s="1">
        <v>0</v>
      </c>
      <c r="BM1530" s="1">
        <v>0</v>
      </c>
      <c r="BN1530" s="1">
        <v>0</v>
      </c>
      <c r="BO1530" s="1">
        <v>0</v>
      </c>
      <c r="BP1530" s="1">
        <v>0</v>
      </c>
      <c r="BQ1530" s="1" t="s">
        <v>104</v>
      </c>
      <c r="BR1530" s="1">
        <v>1613</v>
      </c>
      <c r="BS1530" s="1" t="s">
        <v>104</v>
      </c>
      <c r="BX1530" s="1">
        <v>0</v>
      </c>
      <c r="BY1530" s="1" t="s">
        <v>104</v>
      </c>
      <c r="BZ1530" s="1" t="s">
        <v>104</v>
      </c>
      <c r="CA1530" s="1" t="s">
        <v>104</v>
      </c>
      <c r="CB1530" s="1" t="s">
        <v>104</v>
      </c>
      <c r="CC1530" s="1" t="s">
        <v>104</v>
      </c>
      <c r="CD1530" s="1" t="s">
        <v>104</v>
      </c>
      <c r="CE1530" s="1" t="s">
        <v>104</v>
      </c>
      <c r="CF1530" s="1" t="s">
        <v>104</v>
      </c>
      <c r="CG1530" s="1" t="s">
        <v>104</v>
      </c>
      <c r="CH1530" s="1">
        <v>3</v>
      </c>
      <c r="CJ1530" s="1">
        <v>0</v>
      </c>
      <c r="CK1530" s="1">
        <v>0</v>
      </c>
      <c r="CL1530" s="1">
        <v>0</v>
      </c>
      <c r="CM1530" s="1" t="s">
        <v>104</v>
      </c>
    </row>
    <row r="1531" spans="1:91" ht="14.25" customHeight="1" x14ac:dyDescent="0.3">
      <c r="A1531" s="1" t="s">
        <v>8588</v>
      </c>
      <c r="B1531" s="1" t="s">
        <v>434</v>
      </c>
      <c r="D1531" s="1" t="s">
        <v>8589</v>
      </c>
      <c r="E1531" s="1" t="s">
        <v>8590</v>
      </c>
      <c r="F1531" s="1" t="s">
        <v>95</v>
      </c>
      <c r="G1531" s="1" t="s">
        <v>116</v>
      </c>
      <c r="H1531" s="1">
        <v>0</v>
      </c>
      <c r="I1531" s="1" t="s">
        <v>914</v>
      </c>
      <c r="J1531" s="1" t="s">
        <v>549</v>
      </c>
      <c r="M1531" s="1" t="s">
        <v>119</v>
      </c>
      <c r="N1531" s="1">
        <v>0</v>
      </c>
      <c r="O1531" s="1">
        <v>0</v>
      </c>
      <c r="P1531" s="1" t="s">
        <v>550</v>
      </c>
      <c r="Q1531" s="1" t="s">
        <v>101</v>
      </c>
      <c r="R1531" s="1" t="s">
        <v>8591</v>
      </c>
      <c r="S1531" s="1" t="s">
        <v>8575</v>
      </c>
      <c r="T1531" s="1">
        <v>1</v>
      </c>
      <c r="U1531" s="1">
        <v>1</v>
      </c>
      <c r="V1531" s="1">
        <v>0</v>
      </c>
      <c r="W1531" s="1">
        <v>0</v>
      </c>
      <c r="X1531" s="1">
        <v>0</v>
      </c>
      <c r="Y1531" s="1">
        <v>2</v>
      </c>
      <c r="Z1531" s="1">
        <v>2</v>
      </c>
      <c r="AA1531" s="1" t="s">
        <v>104</v>
      </c>
      <c r="AB1531" s="1">
        <v>2</v>
      </c>
      <c r="AC1531" s="1" t="s">
        <v>104</v>
      </c>
      <c r="AD1531" s="1" t="s">
        <v>104</v>
      </c>
      <c r="AE1531" s="1" t="s">
        <v>104</v>
      </c>
      <c r="AF1531" s="1" t="s">
        <v>104</v>
      </c>
      <c r="AG1531" s="1" t="s">
        <v>104</v>
      </c>
      <c r="AH1531" s="1">
        <v>2</v>
      </c>
      <c r="AI1531" s="1" t="s">
        <v>104</v>
      </c>
      <c r="AJ1531" s="1" t="s">
        <v>104</v>
      </c>
      <c r="AK1531" s="1" t="s">
        <v>104</v>
      </c>
      <c r="AL1531" s="1">
        <v>2</v>
      </c>
      <c r="AM1531" s="1" t="s">
        <v>104</v>
      </c>
      <c r="AO1531" s="1">
        <v>2</v>
      </c>
      <c r="AR1531" s="1">
        <v>0</v>
      </c>
      <c r="AS1531" s="1">
        <v>0</v>
      </c>
      <c r="AT1531" s="1">
        <v>0</v>
      </c>
      <c r="AU1531" s="1">
        <v>1</v>
      </c>
      <c r="AV1531" s="1">
        <v>0</v>
      </c>
      <c r="AW1531" s="1">
        <v>0</v>
      </c>
      <c r="AX1531" s="1">
        <v>0</v>
      </c>
      <c r="AY1531" s="1">
        <v>0</v>
      </c>
      <c r="AZ1531" s="1">
        <v>0</v>
      </c>
      <c r="BA1531" s="1">
        <v>0</v>
      </c>
      <c r="BB1531" s="1">
        <v>0</v>
      </c>
      <c r="BC1531" s="1">
        <v>0</v>
      </c>
      <c r="BD1531" s="1">
        <v>0</v>
      </c>
      <c r="BE1531" s="1">
        <v>0</v>
      </c>
      <c r="BF1531" s="1">
        <v>0</v>
      </c>
      <c r="BG1531" s="1">
        <v>0</v>
      </c>
      <c r="BH1531" s="1">
        <v>0</v>
      </c>
      <c r="BI1531" s="1">
        <v>0</v>
      </c>
      <c r="BJ1531" s="1">
        <v>0</v>
      </c>
      <c r="BK1531" s="1">
        <v>0</v>
      </c>
      <c r="BL1531" s="1">
        <v>0</v>
      </c>
      <c r="BM1531" s="1">
        <v>0</v>
      </c>
      <c r="BN1531" s="1">
        <v>0</v>
      </c>
      <c r="BO1531" s="1">
        <v>0</v>
      </c>
      <c r="BP1531" s="1">
        <v>1</v>
      </c>
      <c r="BQ1531" s="1" t="s">
        <v>104</v>
      </c>
      <c r="BR1531" s="1">
        <v>1616</v>
      </c>
      <c r="BS1531" s="1" t="s">
        <v>104</v>
      </c>
      <c r="BX1531" s="1">
        <v>0</v>
      </c>
      <c r="BY1531" s="1" t="s">
        <v>104</v>
      </c>
      <c r="BZ1531" s="1" t="s">
        <v>104</v>
      </c>
      <c r="CA1531" s="1" t="s">
        <v>104</v>
      </c>
      <c r="CB1531" s="1" t="s">
        <v>104</v>
      </c>
      <c r="CC1531" s="1" t="s">
        <v>104</v>
      </c>
      <c r="CD1531" s="1" t="s">
        <v>104</v>
      </c>
      <c r="CE1531" s="1" t="s">
        <v>104</v>
      </c>
      <c r="CF1531" s="1" t="s">
        <v>104</v>
      </c>
      <c r="CG1531" s="1" t="s">
        <v>104</v>
      </c>
      <c r="CH1531" s="1">
        <v>2</v>
      </c>
      <c r="CJ1531" s="1">
        <v>0</v>
      </c>
      <c r="CK1531" s="1">
        <v>0</v>
      </c>
      <c r="CL1531" s="1">
        <v>0</v>
      </c>
      <c r="CM1531" s="1" t="s">
        <v>104</v>
      </c>
    </row>
    <row r="1532" spans="1:91" ht="14.25" customHeight="1" x14ac:dyDescent="0.3">
      <c r="A1532" s="1" t="s">
        <v>8592</v>
      </c>
      <c r="B1532" s="1" t="s">
        <v>92</v>
      </c>
      <c r="D1532" s="1" t="s">
        <v>46</v>
      </c>
      <c r="E1532" s="1" t="s">
        <v>5872</v>
      </c>
      <c r="F1532" s="1" t="s">
        <v>95</v>
      </c>
      <c r="G1532" s="1" t="s">
        <v>8593</v>
      </c>
      <c r="H1532" s="1">
        <v>0</v>
      </c>
      <c r="I1532" s="1" t="s">
        <v>117</v>
      </c>
      <c r="K1532" s="1" t="s">
        <v>8594</v>
      </c>
      <c r="M1532" s="1" t="s">
        <v>119</v>
      </c>
      <c r="N1532" s="1">
        <v>0</v>
      </c>
      <c r="O1532" s="1">
        <v>0</v>
      </c>
      <c r="P1532" s="1" t="s">
        <v>8595</v>
      </c>
      <c r="Q1532" s="1" t="s">
        <v>101</v>
      </c>
      <c r="R1532" s="1" t="s">
        <v>8596</v>
      </c>
      <c r="S1532" s="1" t="s">
        <v>8575</v>
      </c>
      <c r="T1532" s="1">
        <v>1</v>
      </c>
      <c r="U1532" s="1">
        <v>1</v>
      </c>
      <c r="V1532" s="1">
        <v>1</v>
      </c>
      <c r="W1532" s="1">
        <v>0</v>
      </c>
      <c r="X1532" s="1">
        <v>0</v>
      </c>
      <c r="Y1532" s="1">
        <v>3</v>
      </c>
      <c r="Z1532" s="1">
        <v>3</v>
      </c>
      <c r="AA1532" s="1" t="s">
        <v>104</v>
      </c>
      <c r="AB1532" s="1">
        <v>3</v>
      </c>
      <c r="AC1532" s="1" t="s">
        <v>104</v>
      </c>
      <c r="AD1532" s="1" t="s">
        <v>104</v>
      </c>
      <c r="AE1532" s="1" t="s">
        <v>104</v>
      </c>
      <c r="AF1532" s="1" t="s">
        <v>104</v>
      </c>
      <c r="AG1532" s="1" t="s">
        <v>104</v>
      </c>
      <c r="AH1532" s="1">
        <v>3</v>
      </c>
      <c r="AI1532" s="1" t="s">
        <v>104</v>
      </c>
      <c r="AJ1532" s="1" t="s">
        <v>104</v>
      </c>
      <c r="AK1532" s="1" t="s">
        <v>104</v>
      </c>
      <c r="AL1532" s="1" t="s">
        <v>104</v>
      </c>
      <c r="AM1532" s="1" t="s">
        <v>104</v>
      </c>
      <c r="AO1532" s="1">
        <v>3</v>
      </c>
      <c r="AR1532" s="1">
        <v>0</v>
      </c>
      <c r="AS1532" s="1">
        <v>0</v>
      </c>
      <c r="AT1532" s="1">
        <v>0</v>
      </c>
      <c r="AU1532" s="1">
        <v>1</v>
      </c>
      <c r="AV1532" s="1">
        <v>0</v>
      </c>
      <c r="AW1532" s="1">
        <v>0</v>
      </c>
      <c r="AX1532" s="1">
        <v>0</v>
      </c>
      <c r="AY1532" s="1">
        <v>0</v>
      </c>
      <c r="AZ1532" s="1">
        <v>0</v>
      </c>
      <c r="BA1532" s="1">
        <v>0</v>
      </c>
      <c r="BB1532" s="1">
        <v>0</v>
      </c>
      <c r="BC1532" s="1">
        <v>0</v>
      </c>
      <c r="BD1532" s="1">
        <v>0</v>
      </c>
      <c r="BE1532" s="1">
        <v>0</v>
      </c>
      <c r="BF1532" s="1">
        <v>0</v>
      </c>
      <c r="BG1532" s="1">
        <v>0</v>
      </c>
      <c r="BH1532" s="1">
        <v>0</v>
      </c>
      <c r="BI1532" s="1">
        <v>0</v>
      </c>
      <c r="BJ1532" s="1">
        <v>0</v>
      </c>
      <c r="BK1532" s="1">
        <v>0</v>
      </c>
      <c r="BL1532" s="1">
        <v>0</v>
      </c>
      <c r="BM1532" s="1">
        <v>0</v>
      </c>
      <c r="BN1532" s="1">
        <v>0</v>
      </c>
      <c r="BO1532" s="1">
        <v>0</v>
      </c>
      <c r="BP1532" s="1">
        <v>0</v>
      </c>
      <c r="BQ1532" s="1" t="s">
        <v>104</v>
      </c>
      <c r="BR1532" s="1">
        <v>1618</v>
      </c>
      <c r="BS1532" s="1" t="s">
        <v>104</v>
      </c>
      <c r="BX1532" s="1">
        <v>0</v>
      </c>
      <c r="BY1532" s="1" t="s">
        <v>104</v>
      </c>
      <c r="BZ1532" s="1" t="s">
        <v>104</v>
      </c>
      <c r="CA1532" s="1" t="s">
        <v>104</v>
      </c>
      <c r="CB1532" s="1" t="s">
        <v>104</v>
      </c>
      <c r="CC1532" s="1" t="s">
        <v>104</v>
      </c>
      <c r="CD1532" s="1" t="s">
        <v>104</v>
      </c>
      <c r="CE1532" s="1" t="s">
        <v>104</v>
      </c>
      <c r="CF1532" s="1" t="s">
        <v>104</v>
      </c>
      <c r="CG1532" s="1" t="s">
        <v>104</v>
      </c>
      <c r="CH1532" s="1">
        <v>3</v>
      </c>
      <c r="CJ1532" s="1">
        <v>0</v>
      </c>
      <c r="CK1532" s="1">
        <v>0</v>
      </c>
      <c r="CL1532" s="1">
        <v>0</v>
      </c>
      <c r="CM1532" s="1" t="s">
        <v>104</v>
      </c>
    </row>
    <row r="1533" spans="1:91" ht="14.25" customHeight="1" x14ac:dyDescent="0.3">
      <c r="A1533" s="1" t="s">
        <v>8597</v>
      </c>
      <c r="B1533" s="1" t="s">
        <v>92</v>
      </c>
      <c r="C1533" s="1" t="s">
        <v>523</v>
      </c>
      <c r="E1533" s="1" t="s">
        <v>8598</v>
      </c>
      <c r="F1533" s="1" t="s">
        <v>191</v>
      </c>
      <c r="G1533" s="1" t="s">
        <v>127</v>
      </c>
      <c r="H1533" s="1">
        <v>0</v>
      </c>
      <c r="I1533" s="1" t="s">
        <v>8599</v>
      </c>
      <c r="L1533" s="1" t="s">
        <v>8600</v>
      </c>
      <c r="M1533" s="1" t="s">
        <v>8601</v>
      </c>
      <c r="N1533" s="1">
        <v>0</v>
      </c>
      <c r="O1533" s="1">
        <v>0</v>
      </c>
      <c r="P1533" s="1" t="s">
        <v>8602</v>
      </c>
      <c r="Q1533" s="1" t="s">
        <v>131</v>
      </c>
      <c r="R1533" s="1" t="s">
        <v>8603</v>
      </c>
      <c r="S1533" s="1" t="s">
        <v>8604</v>
      </c>
      <c r="T1533" s="1">
        <v>1</v>
      </c>
      <c r="U1533" s="1">
        <v>1</v>
      </c>
      <c r="V1533" s="1">
        <v>0</v>
      </c>
      <c r="W1533" s="1">
        <v>0</v>
      </c>
      <c r="X1533" s="1">
        <v>1</v>
      </c>
      <c r="Y1533" s="1" t="s">
        <v>104</v>
      </c>
      <c r="Z1533" s="1" t="s">
        <v>104</v>
      </c>
      <c r="AA1533" s="1">
        <v>3</v>
      </c>
      <c r="AB1533" s="1" t="s">
        <v>104</v>
      </c>
      <c r="AC1533" s="1">
        <v>3</v>
      </c>
      <c r="AD1533" s="1" t="s">
        <v>104</v>
      </c>
      <c r="AE1533" s="1" t="s">
        <v>104</v>
      </c>
      <c r="AF1533" s="1" t="s">
        <v>104</v>
      </c>
      <c r="AG1533" s="1" t="s">
        <v>104</v>
      </c>
      <c r="AH1533" s="1" t="s">
        <v>104</v>
      </c>
      <c r="AI1533" s="1" t="s">
        <v>104</v>
      </c>
      <c r="AJ1533" s="1">
        <v>3</v>
      </c>
      <c r="AK1533" s="1" t="s">
        <v>104</v>
      </c>
      <c r="AL1533" s="1" t="s">
        <v>104</v>
      </c>
      <c r="AM1533" s="1" t="s">
        <v>104</v>
      </c>
      <c r="AN1533" s="1" t="s">
        <v>8605</v>
      </c>
      <c r="AO1533" s="1">
        <v>3</v>
      </c>
      <c r="AR1533" s="1">
        <v>0</v>
      </c>
      <c r="AS1533" s="1">
        <v>0</v>
      </c>
      <c r="AT1533" s="1">
        <v>0</v>
      </c>
      <c r="AU1533" s="1">
        <v>0</v>
      </c>
      <c r="AV1533" s="1">
        <v>0</v>
      </c>
      <c r="AW1533" s="1">
        <v>0</v>
      </c>
      <c r="AX1533" s="1">
        <v>0</v>
      </c>
      <c r="AY1533" s="1">
        <v>0</v>
      </c>
      <c r="AZ1533" s="1">
        <v>0</v>
      </c>
      <c r="BA1533" s="1">
        <v>0</v>
      </c>
      <c r="BB1533" s="1">
        <v>0</v>
      </c>
      <c r="BC1533" s="1">
        <v>0</v>
      </c>
      <c r="BD1533" s="1">
        <v>0</v>
      </c>
      <c r="BE1533" s="1">
        <v>0</v>
      </c>
      <c r="BF1533" s="1">
        <v>0</v>
      </c>
      <c r="BG1533" s="1">
        <v>0</v>
      </c>
      <c r="BH1533" s="1">
        <v>0</v>
      </c>
      <c r="BI1533" s="1">
        <v>0</v>
      </c>
      <c r="BJ1533" s="1">
        <v>0</v>
      </c>
      <c r="BK1533" s="1">
        <v>0</v>
      </c>
      <c r="BL1533" s="1">
        <v>0</v>
      </c>
      <c r="BM1533" s="1">
        <v>0</v>
      </c>
      <c r="BN1533" s="1">
        <v>0</v>
      </c>
      <c r="BO1533" s="1">
        <v>0</v>
      </c>
      <c r="BP1533" s="1">
        <v>0</v>
      </c>
      <c r="BQ1533" s="1" t="s">
        <v>104</v>
      </c>
      <c r="BR1533" s="1">
        <v>1619</v>
      </c>
      <c r="BS1533" s="1" t="s">
        <v>104</v>
      </c>
      <c r="BX1533" s="1">
        <v>0</v>
      </c>
      <c r="BY1533" s="1" t="s">
        <v>104</v>
      </c>
      <c r="BZ1533" s="1" t="s">
        <v>104</v>
      </c>
      <c r="CA1533" s="1" t="s">
        <v>104</v>
      </c>
      <c r="CB1533" s="1" t="s">
        <v>104</v>
      </c>
      <c r="CC1533" s="1" t="s">
        <v>104</v>
      </c>
      <c r="CD1533" s="1" t="s">
        <v>104</v>
      </c>
      <c r="CE1533" s="1" t="s">
        <v>104</v>
      </c>
      <c r="CF1533" s="1" t="s">
        <v>104</v>
      </c>
      <c r="CG1533" s="1" t="s">
        <v>104</v>
      </c>
      <c r="CH1533" s="1">
        <v>3</v>
      </c>
      <c r="CJ1533" s="1">
        <v>0</v>
      </c>
      <c r="CK1533" s="1">
        <v>0</v>
      </c>
      <c r="CL1533" s="1">
        <v>0</v>
      </c>
      <c r="CM1533" s="1" t="s">
        <v>104</v>
      </c>
    </row>
    <row r="1534" spans="1:91" ht="14.25" customHeight="1" x14ac:dyDescent="0.3">
      <c r="A1534" s="1" t="s">
        <v>8606</v>
      </c>
      <c r="B1534" s="1" t="s">
        <v>137</v>
      </c>
      <c r="E1534" s="1" t="s">
        <v>8607</v>
      </c>
      <c r="F1534" s="1" t="s">
        <v>95</v>
      </c>
      <c r="G1534" s="1" t="s">
        <v>127</v>
      </c>
      <c r="H1534" s="1">
        <v>0</v>
      </c>
      <c r="I1534" s="1" t="s">
        <v>128</v>
      </c>
      <c r="L1534" s="1" t="s">
        <v>8608</v>
      </c>
      <c r="M1534" s="1" t="s">
        <v>4641</v>
      </c>
      <c r="N1534" s="1">
        <v>1</v>
      </c>
      <c r="O1534" s="1">
        <v>0</v>
      </c>
      <c r="P1534" s="1" t="s">
        <v>148</v>
      </c>
      <c r="Q1534" s="1" t="s">
        <v>149</v>
      </c>
      <c r="R1534" s="1" t="s">
        <v>8609</v>
      </c>
      <c r="S1534" s="1" t="s">
        <v>8604</v>
      </c>
      <c r="T1534" s="1">
        <v>1</v>
      </c>
      <c r="U1534" s="1">
        <v>1</v>
      </c>
      <c r="V1534" s="1">
        <v>0</v>
      </c>
      <c r="W1534" s="1">
        <v>0</v>
      </c>
      <c r="X1534" s="1">
        <v>1</v>
      </c>
      <c r="Y1534" s="1">
        <v>1</v>
      </c>
      <c r="Z1534" s="1">
        <v>1</v>
      </c>
      <c r="AA1534" s="1">
        <v>1</v>
      </c>
      <c r="AB1534" s="1" t="s">
        <v>104</v>
      </c>
      <c r="AC1534" s="1">
        <v>1</v>
      </c>
      <c r="AD1534" s="1" t="s">
        <v>104</v>
      </c>
      <c r="AE1534" s="1" t="s">
        <v>104</v>
      </c>
      <c r="AF1534" s="1" t="s">
        <v>104</v>
      </c>
      <c r="AG1534" s="1" t="s">
        <v>104</v>
      </c>
      <c r="AH1534" s="1" t="s">
        <v>104</v>
      </c>
      <c r="AI1534" s="1">
        <v>1</v>
      </c>
      <c r="AJ1534" s="1">
        <v>1</v>
      </c>
      <c r="AK1534" s="1" t="s">
        <v>104</v>
      </c>
      <c r="AL1534" s="1" t="s">
        <v>104</v>
      </c>
      <c r="AM1534" s="1" t="s">
        <v>104</v>
      </c>
      <c r="AN1534" s="1" t="s">
        <v>8605</v>
      </c>
      <c r="AO1534" s="1">
        <v>1</v>
      </c>
      <c r="AR1534" s="1">
        <v>0</v>
      </c>
      <c r="AS1534" s="1">
        <v>0</v>
      </c>
      <c r="AT1534" s="1">
        <v>0</v>
      </c>
      <c r="AU1534" s="1">
        <v>0</v>
      </c>
      <c r="AV1534" s="1">
        <v>0</v>
      </c>
      <c r="AW1534" s="1">
        <v>0</v>
      </c>
      <c r="AX1534" s="1">
        <v>0</v>
      </c>
      <c r="AY1534" s="1">
        <v>0</v>
      </c>
      <c r="AZ1534" s="1">
        <v>0</v>
      </c>
      <c r="BA1534" s="1">
        <v>0</v>
      </c>
      <c r="BB1534" s="1">
        <v>0</v>
      </c>
      <c r="BC1534" s="1">
        <v>0</v>
      </c>
      <c r="BD1534" s="1">
        <v>0</v>
      </c>
      <c r="BE1534" s="1">
        <v>0</v>
      </c>
      <c r="BF1534" s="1">
        <v>0</v>
      </c>
      <c r="BG1534" s="1">
        <v>0</v>
      </c>
      <c r="BH1534" s="1">
        <v>0</v>
      </c>
      <c r="BI1534" s="1">
        <v>0</v>
      </c>
      <c r="BJ1534" s="1">
        <v>0</v>
      </c>
      <c r="BK1534" s="1">
        <v>0</v>
      </c>
      <c r="BL1534" s="1">
        <v>0</v>
      </c>
      <c r="BM1534" s="1">
        <v>0</v>
      </c>
      <c r="BN1534" s="1">
        <v>0</v>
      </c>
      <c r="BO1534" s="1">
        <v>0</v>
      </c>
      <c r="BP1534" s="1">
        <v>0</v>
      </c>
      <c r="BQ1534" s="1" t="s">
        <v>104</v>
      </c>
      <c r="BR1534" s="1">
        <v>1620</v>
      </c>
      <c r="BS1534" s="1" t="s">
        <v>104</v>
      </c>
      <c r="BX1534" s="1">
        <v>0</v>
      </c>
      <c r="BY1534" s="1" t="s">
        <v>104</v>
      </c>
      <c r="BZ1534" s="1" t="s">
        <v>104</v>
      </c>
      <c r="CA1534" s="1" t="s">
        <v>104</v>
      </c>
      <c r="CB1534" s="1" t="s">
        <v>104</v>
      </c>
      <c r="CC1534" s="1" t="s">
        <v>104</v>
      </c>
      <c r="CD1534" s="1" t="s">
        <v>104</v>
      </c>
      <c r="CE1534" s="1" t="s">
        <v>104</v>
      </c>
      <c r="CF1534" s="1" t="s">
        <v>104</v>
      </c>
      <c r="CG1534" s="1" t="s">
        <v>104</v>
      </c>
      <c r="CH1534" s="1">
        <v>1</v>
      </c>
      <c r="CJ1534" s="1">
        <v>0</v>
      </c>
      <c r="CK1534" s="1">
        <v>0</v>
      </c>
      <c r="CL1534" s="1">
        <v>0</v>
      </c>
      <c r="CM1534" s="1" t="s">
        <v>104</v>
      </c>
    </row>
    <row r="1535" spans="1:91" ht="14.25" customHeight="1" x14ac:dyDescent="0.3">
      <c r="A1535" s="1" t="s">
        <v>8610</v>
      </c>
      <c r="B1535" s="1" t="s">
        <v>92</v>
      </c>
      <c r="C1535" s="1" t="s">
        <v>93</v>
      </c>
      <c r="E1535" s="1" t="s">
        <v>8611</v>
      </c>
      <c r="F1535" s="1" t="s">
        <v>95</v>
      </c>
      <c r="G1535" s="1" t="s">
        <v>8612</v>
      </c>
      <c r="H1535" s="1">
        <v>0</v>
      </c>
      <c r="I1535" s="1" t="s">
        <v>109</v>
      </c>
      <c r="J1535" s="1" t="s">
        <v>145</v>
      </c>
      <c r="K1535" s="1" t="s">
        <v>8613</v>
      </c>
      <c r="M1535" s="1" t="s">
        <v>119</v>
      </c>
      <c r="N1535" s="1">
        <v>0</v>
      </c>
      <c r="O1535" s="1">
        <v>0</v>
      </c>
      <c r="P1535" s="1" t="s">
        <v>8614</v>
      </c>
      <c r="Q1535" s="1" t="s">
        <v>184</v>
      </c>
      <c r="R1535" s="1" t="s">
        <v>8615</v>
      </c>
      <c r="S1535" s="1" t="s">
        <v>8616</v>
      </c>
      <c r="T1535" s="1">
        <v>1</v>
      </c>
      <c r="U1535" s="1">
        <v>1</v>
      </c>
      <c r="V1535" s="1">
        <v>1</v>
      </c>
      <c r="W1535" s="1">
        <v>0</v>
      </c>
      <c r="X1535" s="1">
        <v>0</v>
      </c>
      <c r="Y1535" s="1">
        <v>4</v>
      </c>
      <c r="Z1535" s="1">
        <v>4</v>
      </c>
      <c r="AA1535" s="1" t="s">
        <v>104</v>
      </c>
      <c r="AB1535" s="1" t="s">
        <v>104</v>
      </c>
      <c r="AC1535" s="1" t="s">
        <v>104</v>
      </c>
      <c r="AD1535" s="1" t="s">
        <v>104</v>
      </c>
      <c r="AE1535" s="1" t="s">
        <v>104</v>
      </c>
      <c r="AF1535" s="1" t="s">
        <v>104</v>
      </c>
      <c r="AG1535" s="1" t="s">
        <v>104</v>
      </c>
      <c r="AH1535" s="1" t="s">
        <v>104</v>
      </c>
      <c r="AI1535" s="1" t="s">
        <v>104</v>
      </c>
      <c r="AJ1535" s="1" t="s">
        <v>104</v>
      </c>
      <c r="AK1535" s="1" t="s">
        <v>104</v>
      </c>
      <c r="AL1535" s="1">
        <v>5</v>
      </c>
      <c r="AM1535" s="1" t="s">
        <v>104</v>
      </c>
      <c r="AO1535" s="1">
        <v>4</v>
      </c>
      <c r="AR1535" s="1">
        <v>0</v>
      </c>
      <c r="AS1535" s="1">
        <v>0</v>
      </c>
      <c r="AT1535" s="1">
        <v>0</v>
      </c>
      <c r="AU1535" s="1">
        <v>0</v>
      </c>
      <c r="AV1535" s="1">
        <v>0</v>
      </c>
      <c r="AW1535" s="1">
        <v>0</v>
      </c>
      <c r="AX1535" s="1">
        <v>0</v>
      </c>
      <c r="AY1535" s="1">
        <v>0</v>
      </c>
      <c r="AZ1535" s="1">
        <v>0</v>
      </c>
      <c r="BA1535" s="1">
        <v>0</v>
      </c>
      <c r="BB1535" s="1">
        <v>0</v>
      </c>
      <c r="BC1535" s="1">
        <v>0</v>
      </c>
      <c r="BD1535" s="1">
        <v>0</v>
      </c>
      <c r="BE1535" s="1">
        <v>0</v>
      </c>
      <c r="BF1535" s="1">
        <v>0</v>
      </c>
      <c r="BG1535" s="1">
        <v>0</v>
      </c>
      <c r="BH1535" s="1">
        <v>0</v>
      </c>
      <c r="BI1535" s="1">
        <v>0</v>
      </c>
      <c r="BJ1535" s="1">
        <v>0</v>
      </c>
      <c r="BK1535" s="1">
        <v>0</v>
      </c>
      <c r="BL1535" s="1">
        <v>0</v>
      </c>
      <c r="BM1535" s="1">
        <v>0</v>
      </c>
      <c r="BN1535" s="1">
        <v>0</v>
      </c>
      <c r="BO1535" s="1">
        <v>0</v>
      </c>
      <c r="BP1535" s="1">
        <v>0</v>
      </c>
      <c r="BQ1535" s="1" t="s">
        <v>104</v>
      </c>
      <c r="BR1535" s="1">
        <v>1621</v>
      </c>
      <c r="BS1535" s="1" t="s">
        <v>104</v>
      </c>
      <c r="BX1535" s="1">
        <v>0</v>
      </c>
      <c r="BY1535" s="1" t="s">
        <v>104</v>
      </c>
      <c r="BZ1535" s="1" t="s">
        <v>104</v>
      </c>
      <c r="CA1535" s="1" t="s">
        <v>104</v>
      </c>
      <c r="CB1535" s="1" t="s">
        <v>104</v>
      </c>
      <c r="CC1535" s="1" t="s">
        <v>104</v>
      </c>
      <c r="CD1535" s="1" t="s">
        <v>104</v>
      </c>
      <c r="CE1535" s="1" t="s">
        <v>104</v>
      </c>
      <c r="CF1535" s="1" t="s">
        <v>104</v>
      </c>
      <c r="CG1535" s="1" t="s">
        <v>104</v>
      </c>
      <c r="CH1535" s="1" t="s">
        <v>104</v>
      </c>
      <c r="CJ1535" s="1">
        <v>0</v>
      </c>
      <c r="CK1535" s="1">
        <v>0</v>
      </c>
      <c r="CL1535" s="1">
        <v>0</v>
      </c>
      <c r="CM1535" s="1" t="s">
        <v>104</v>
      </c>
    </row>
    <row r="1536" spans="1:91" ht="14.25" customHeight="1" x14ac:dyDescent="0.3">
      <c r="A1536" s="1" t="s">
        <v>8617</v>
      </c>
      <c r="B1536" s="1" t="s">
        <v>137</v>
      </c>
      <c r="E1536" s="1" t="s">
        <v>8618</v>
      </c>
      <c r="F1536" s="1" t="s">
        <v>95</v>
      </c>
      <c r="G1536" s="1" t="s">
        <v>8619</v>
      </c>
      <c r="H1536" s="1">
        <v>0</v>
      </c>
      <c r="I1536" s="1" t="s">
        <v>109</v>
      </c>
      <c r="K1536" s="1" t="s">
        <v>8620</v>
      </c>
      <c r="M1536" s="1" t="s">
        <v>620</v>
      </c>
      <c r="N1536" s="1">
        <v>1</v>
      </c>
      <c r="O1536" s="1">
        <v>0</v>
      </c>
      <c r="P1536" s="1" t="s">
        <v>100</v>
      </c>
      <c r="Q1536" s="1" t="s">
        <v>101</v>
      </c>
      <c r="R1536" s="1" t="s">
        <v>8621</v>
      </c>
      <c r="S1536" s="1" t="s">
        <v>8616</v>
      </c>
      <c r="T1536" s="1">
        <v>1</v>
      </c>
      <c r="U1536" s="1">
        <v>1</v>
      </c>
      <c r="V1536" s="1">
        <v>1</v>
      </c>
      <c r="W1536" s="1">
        <v>0</v>
      </c>
      <c r="X1536" s="1">
        <v>0</v>
      </c>
      <c r="Y1536" s="1">
        <v>4</v>
      </c>
      <c r="Z1536" s="1">
        <v>4</v>
      </c>
      <c r="AA1536" s="1" t="s">
        <v>104</v>
      </c>
      <c r="AB1536" s="1">
        <v>4</v>
      </c>
      <c r="AC1536" s="1">
        <v>3</v>
      </c>
      <c r="AD1536" s="1" t="s">
        <v>104</v>
      </c>
      <c r="AE1536" s="1" t="s">
        <v>104</v>
      </c>
      <c r="AF1536" s="1" t="s">
        <v>104</v>
      </c>
      <c r="AG1536" s="1" t="s">
        <v>104</v>
      </c>
      <c r="AH1536" s="1" t="s">
        <v>104</v>
      </c>
      <c r="AI1536" s="1" t="s">
        <v>104</v>
      </c>
      <c r="AJ1536" s="1" t="s">
        <v>104</v>
      </c>
      <c r="AK1536" s="1" t="s">
        <v>104</v>
      </c>
      <c r="AL1536" s="1" t="s">
        <v>104</v>
      </c>
      <c r="AM1536" s="1" t="s">
        <v>104</v>
      </c>
      <c r="AO1536" s="1">
        <v>4</v>
      </c>
      <c r="AR1536" s="1">
        <v>0</v>
      </c>
      <c r="AS1536" s="1">
        <v>0</v>
      </c>
      <c r="AT1536" s="1">
        <v>0</v>
      </c>
      <c r="AU1536" s="1">
        <v>0</v>
      </c>
      <c r="AV1536" s="1">
        <v>0</v>
      </c>
      <c r="AW1536" s="1">
        <v>0</v>
      </c>
      <c r="AX1536" s="1">
        <v>0</v>
      </c>
      <c r="AY1536" s="1">
        <v>0</v>
      </c>
      <c r="AZ1536" s="1">
        <v>0</v>
      </c>
      <c r="BA1536" s="1">
        <v>0</v>
      </c>
      <c r="BB1536" s="1">
        <v>0</v>
      </c>
      <c r="BC1536" s="1">
        <v>0</v>
      </c>
      <c r="BD1536" s="1">
        <v>0</v>
      </c>
      <c r="BE1536" s="1">
        <v>0</v>
      </c>
      <c r="BF1536" s="1">
        <v>0</v>
      </c>
      <c r="BG1536" s="1">
        <v>0</v>
      </c>
      <c r="BH1536" s="1">
        <v>0</v>
      </c>
      <c r="BI1536" s="1">
        <v>0</v>
      </c>
      <c r="BJ1536" s="1">
        <v>0</v>
      </c>
      <c r="BK1536" s="1">
        <v>0</v>
      </c>
      <c r="BL1536" s="1">
        <v>0</v>
      </c>
      <c r="BM1536" s="1">
        <v>0</v>
      </c>
      <c r="BN1536" s="1">
        <v>0</v>
      </c>
      <c r="BO1536" s="1">
        <v>0</v>
      </c>
      <c r="BP1536" s="1">
        <v>0</v>
      </c>
      <c r="BQ1536" s="1" t="s">
        <v>104</v>
      </c>
      <c r="BR1536" s="1">
        <v>1622</v>
      </c>
      <c r="BS1536" s="1" t="s">
        <v>104</v>
      </c>
      <c r="BX1536" s="1">
        <v>0</v>
      </c>
      <c r="BY1536" s="1" t="s">
        <v>104</v>
      </c>
      <c r="BZ1536" s="1" t="s">
        <v>104</v>
      </c>
      <c r="CA1536" s="1" t="s">
        <v>104</v>
      </c>
      <c r="CB1536" s="1" t="s">
        <v>104</v>
      </c>
      <c r="CC1536" s="1" t="s">
        <v>104</v>
      </c>
      <c r="CD1536" s="1" t="s">
        <v>104</v>
      </c>
      <c r="CE1536" s="1" t="s">
        <v>104</v>
      </c>
      <c r="CF1536" s="1" t="s">
        <v>104</v>
      </c>
      <c r="CG1536" s="1" t="s">
        <v>104</v>
      </c>
      <c r="CH1536" s="1">
        <v>3</v>
      </c>
      <c r="CJ1536" s="1">
        <v>0</v>
      </c>
      <c r="CK1536" s="1">
        <v>0</v>
      </c>
      <c r="CL1536" s="1">
        <v>0</v>
      </c>
      <c r="CM1536" s="1" t="s">
        <v>104</v>
      </c>
    </row>
    <row r="1537" spans="1:91" ht="14.25" customHeight="1" x14ac:dyDescent="0.3">
      <c r="A1537" s="1" t="s">
        <v>8622</v>
      </c>
      <c r="B1537" s="1" t="s">
        <v>172</v>
      </c>
      <c r="E1537" s="1" t="s">
        <v>8623</v>
      </c>
      <c r="F1537" s="1" t="s">
        <v>95</v>
      </c>
      <c r="G1537" s="1" t="s">
        <v>116</v>
      </c>
      <c r="H1537" s="1">
        <v>0</v>
      </c>
      <c r="I1537" s="1" t="s">
        <v>128</v>
      </c>
      <c r="L1537" s="1" t="s">
        <v>8624</v>
      </c>
      <c r="M1537" s="1" t="s">
        <v>8625</v>
      </c>
      <c r="N1537" s="1">
        <v>1</v>
      </c>
      <c r="O1537" s="1">
        <v>0</v>
      </c>
      <c r="P1537" s="1" t="s">
        <v>100</v>
      </c>
      <c r="Q1537" s="1" t="s">
        <v>101</v>
      </c>
      <c r="R1537" s="1" t="s">
        <v>8626</v>
      </c>
      <c r="S1537" s="1" t="s">
        <v>8616</v>
      </c>
      <c r="T1537" s="1">
        <v>1</v>
      </c>
      <c r="U1537" s="1">
        <v>1</v>
      </c>
      <c r="V1537" s="1">
        <v>0</v>
      </c>
      <c r="W1537" s="1">
        <v>0</v>
      </c>
      <c r="X1537" s="1">
        <v>0</v>
      </c>
      <c r="Y1537" s="1">
        <v>2</v>
      </c>
      <c r="Z1537" s="1">
        <v>2</v>
      </c>
      <c r="AA1537" s="1" t="s">
        <v>104</v>
      </c>
      <c r="AB1537" s="1">
        <v>2</v>
      </c>
      <c r="AC1537" s="1" t="s">
        <v>104</v>
      </c>
      <c r="AD1537" s="1">
        <v>2</v>
      </c>
      <c r="AE1537" s="1" t="s">
        <v>104</v>
      </c>
      <c r="AF1537" s="1" t="s">
        <v>104</v>
      </c>
      <c r="AG1537" s="1" t="s">
        <v>104</v>
      </c>
      <c r="AH1537" s="1" t="s">
        <v>104</v>
      </c>
      <c r="AI1537" s="1" t="s">
        <v>104</v>
      </c>
      <c r="AJ1537" s="1" t="s">
        <v>104</v>
      </c>
      <c r="AK1537" s="1" t="s">
        <v>104</v>
      </c>
      <c r="AL1537" s="1" t="s">
        <v>104</v>
      </c>
      <c r="AM1537" s="1" t="s">
        <v>104</v>
      </c>
      <c r="AO1537" s="1">
        <v>2</v>
      </c>
      <c r="AR1537" s="1">
        <v>0</v>
      </c>
      <c r="AS1537" s="1">
        <v>0</v>
      </c>
      <c r="AT1537" s="1">
        <v>0</v>
      </c>
      <c r="AU1537" s="1">
        <v>0</v>
      </c>
      <c r="AV1537" s="1">
        <v>0</v>
      </c>
      <c r="AW1537" s="1">
        <v>0</v>
      </c>
      <c r="AX1537" s="1">
        <v>0</v>
      </c>
      <c r="AY1537" s="1">
        <v>0</v>
      </c>
      <c r="AZ1537" s="1">
        <v>0</v>
      </c>
      <c r="BA1537" s="1">
        <v>0</v>
      </c>
      <c r="BB1537" s="1">
        <v>0</v>
      </c>
      <c r="BC1537" s="1">
        <v>0</v>
      </c>
      <c r="BD1537" s="1">
        <v>0</v>
      </c>
      <c r="BE1537" s="1">
        <v>0</v>
      </c>
      <c r="BF1537" s="1">
        <v>0</v>
      </c>
      <c r="BG1537" s="1">
        <v>0</v>
      </c>
      <c r="BH1537" s="1">
        <v>0</v>
      </c>
      <c r="BI1537" s="1">
        <v>0</v>
      </c>
      <c r="BJ1537" s="1">
        <v>0</v>
      </c>
      <c r="BK1537" s="1">
        <v>0</v>
      </c>
      <c r="BL1537" s="1">
        <v>0</v>
      </c>
      <c r="BM1537" s="1">
        <v>0</v>
      </c>
      <c r="BN1537" s="1">
        <v>0</v>
      </c>
      <c r="BO1537" s="1">
        <v>0</v>
      </c>
      <c r="BP1537" s="1">
        <v>0</v>
      </c>
      <c r="BQ1537" s="1" t="s">
        <v>104</v>
      </c>
      <c r="BR1537" s="1">
        <v>1623</v>
      </c>
      <c r="BS1537" s="1" t="s">
        <v>104</v>
      </c>
      <c r="BX1537" s="1">
        <v>0</v>
      </c>
      <c r="BY1537" s="1" t="s">
        <v>104</v>
      </c>
      <c r="BZ1537" s="1" t="s">
        <v>104</v>
      </c>
      <c r="CA1537" s="1" t="s">
        <v>104</v>
      </c>
      <c r="CB1537" s="1" t="s">
        <v>104</v>
      </c>
      <c r="CC1537" s="1" t="s">
        <v>104</v>
      </c>
      <c r="CD1537" s="1" t="s">
        <v>104</v>
      </c>
      <c r="CE1537" s="1" t="s">
        <v>104</v>
      </c>
      <c r="CF1537" s="1" t="s">
        <v>104</v>
      </c>
      <c r="CG1537" s="1" t="s">
        <v>104</v>
      </c>
      <c r="CH1537" s="1">
        <v>2</v>
      </c>
      <c r="CJ1537" s="1">
        <v>0</v>
      </c>
      <c r="CK1537" s="1">
        <v>0</v>
      </c>
      <c r="CL1537" s="1">
        <v>0</v>
      </c>
      <c r="CM1537" s="1" t="s">
        <v>104</v>
      </c>
    </row>
    <row r="1538" spans="1:91" ht="14.25" customHeight="1" x14ac:dyDescent="0.3">
      <c r="A1538" s="1" t="s">
        <v>8627</v>
      </c>
      <c r="B1538" s="1" t="s">
        <v>172</v>
      </c>
      <c r="E1538" s="1" t="s">
        <v>7107</v>
      </c>
      <c r="F1538" s="1" t="s">
        <v>95</v>
      </c>
      <c r="G1538" s="1" t="s">
        <v>8628</v>
      </c>
      <c r="H1538" s="1">
        <v>1</v>
      </c>
      <c r="I1538" s="1" t="s">
        <v>776</v>
      </c>
      <c r="J1538" s="1" t="s">
        <v>1030</v>
      </c>
      <c r="M1538" s="1" t="s">
        <v>8629</v>
      </c>
      <c r="N1538" s="1">
        <v>1</v>
      </c>
      <c r="O1538" s="1">
        <v>0</v>
      </c>
      <c r="P1538" s="1" t="s">
        <v>100</v>
      </c>
      <c r="Q1538" s="1" t="s">
        <v>101</v>
      </c>
      <c r="R1538" s="1" t="s">
        <v>8630</v>
      </c>
      <c r="S1538" s="1" t="s">
        <v>8616</v>
      </c>
      <c r="T1538" s="1">
        <v>1</v>
      </c>
      <c r="U1538" s="1">
        <v>1</v>
      </c>
      <c r="V1538" s="1">
        <v>0</v>
      </c>
      <c r="W1538" s="1">
        <v>0</v>
      </c>
      <c r="X1538" s="1">
        <v>0</v>
      </c>
      <c r="Y1538" s="1">
        <v>3</v>
      </c>
      <c r="Z1538" s="1">
        <v>3</v>
      </c>
      <c r="AA1538" s="1" t="s">
        <v>104</v>
      </c>
      <c r="AB1538" s="1" t="s">
        <v>104</v>
      </c>
      <c r="AC1538" s="1" t="s">
        <v>104</v>
      </c>
      <c r="AD1538" s="1">
        <v>3</v>
      </c>
      <c r="AE1538" s="1" t="s">
        <v>104</v>
      </c>
      <c r="AF1538" s="1" t="s">
        <v>104</v>
      </c>
      <c r="AG1538" s="1" t="s">
        <v>104</v>
      </c>
      <c r="AH1538" s="1" t="s">
        <v>104</v>
      </c>
      <c r="AI1538" s="1" t="s">
        <v>104</v>
      </c>
      <c r="AJ1538" s="1" t="s">
        <v>104</v>
      </c>
      <c r="AK1538" s="1" t="s">
        <v>104</v>
      </c>
      <c r="AL1538" s="1" t="s">
        <v>104</v>
      </c>
      <c r="AM1538" s="1" t="s">
        <v>104</v>
      </c>
      <c r="AO1538" s="1">
        <v>3</v>
      </c>
      <c r="AR1538" s="1">
        <v>0</v>
      </c>
      <c r="AS1538" s="1">
        <v>0</v>
      </c>
      <c r="AT1538" s="1">
        <v>0</v>
      </c>
      <c r="AU1538" s="1">
        <v>0</v>
      </c>
      <c r="AV1538" s="1">
        <v>0</v>
      </c>
      <c r="AW1538" s="1">
        <v>0</v>
      </c>
      <c r="AX1538" s="1">
        <v>0</v>
      </c>
      <c r="AY1538" s="1">
        <v>0</v>
      </c>
      <c r="AZ1538" s="1">
        <v>0</v>
      </c>
      <c r="BA1538" s="1">
        <v>0</v>
      </c>
      <c r="BB1538" s="1">
        <v>0</v>
      </c>
      <c r="BC1538" s="1">
        <v>0</v>
      </c>
      <c r="BD1538" s="1">
        <v>0</v>
      </c>
      <c r="BE1538" s="1">
        <v>0</v>
      </c>
      <c r="BF1538" s="1">
        <v>0</v>
      </c>
      <c r="BG1538" s="1">
        <v>0</v>
      </c>
      <c r="BH1538" s="1">
        <v>0</v>
      </c>
      <c r="BI1538" s="1">
        <v>0</v>
      </c>
      <c r="BJ1538" s="1">
        <v>0</v>
      </c>
      <c r="BK1538" s="1">
        <v>0</v>
      </c>
      <c r="BL1538" s="1">
        <v>0</v>
      </c>
      <c r="BM1538" s="1">
        <v>0</v>
      </c>
      <c r="BN1538" s="1">
        <v>0</v>
      </c>
      <c r="BO1538" s="1">
        <v>0</v>
      </c>
      <c r="BP1538" s="1">
        <v>0</v>
      </c>
      <c r="BQ1538" s="1" t="s">
        <v>104</v>
      </c>
      <c r="BR1538" s="1">
        <v>1624</v>
      </c>
      <c r="BS1538" s="1">
        <v>100</v>
      </c>
      <c r="BX1538" s="1">
        <v>0</v>
      </c>
      <c r="BY1538" s="1" t="s">
        <v>104</v>
      </c>
      <c r="BZ1538" s="1" t="s">
        <v>104</v>
      </c>
      <c r="CA1538" s="1" t="s">
        <v>104</v>
      </c>
      <c r="CB1538" s="1" t="s">
        <v>104</v>
      </c>
      <c r="CC1538" s="1" t="s">
        <v>104</v>
      </c>
      <c r="CD1538" s="1" t="s">
        <v>104</v>
      </c>
      <c r="CE1538" s="1" t="s">
        <v>104</v>
      </c>
      <c r="CF1538" s="1" t="s">
        <v>104</v>
      </c>
      <c r="CG1538" s="1" t="s">
        <v>104</v>
      </c>
      <c r="CH1538" s="1" t="s">
        <v>104</v>
      </c>
      <c r="CJ1538" s="1">
        <v>0</v>
      </c>
      <c r="CK1538" s="1">
        <v>0</v>
      </c>
      <c r="CL1538" s="1">
        <v>0</v>
      </c>
      <c r="CM1538" s="1" t="s">
        <v>104</v>
      </c>
    </row>
    <row r="1539" spans="1:91" ht="14.25" customHeight="1" x14ac:dyDescent="0.3">
      <c r="A1539" s="1" t="s">
        <v>8631</v>
      </c>
      <c r="B1539" s="1" t="s">
        <v>216</v>
      </c>
      <c r="E1539" s="1" t="s">
        <v>8632</v>
      </c>
      <c r="F1539" s="1" t="s">
        <v>8633</v>
      </c>
      <c r="G1539" s="1" t="s">
        <v>8634</v>
      </c>
      <c r="H1539" s="1">
        <v>0</v>
      </c>
      <c r="I1539" s="1" t="s">
        <v>4350</v>
      </c>
      <c r="L1539" s="1" t="s">
        <v>8635</v>
      </c>
      <c r="M1539" s="1" t="s">
        <v>119</v>
      </c>
      <c r="N1539" s="1">
        <v>0</v>
      </c>
      <c r="O1539" s="1">
        <v>0</v>
      </c>
      <c r="P1539" s="1" t="s">
        <v>100</v>
      </c>
      <c r="Q1539" s="1" t="s">
        <v>101</v>
      </c>
      <c r="R1539" s="1" t="s">
        <v>8636</v>
      </c>
      <c r="S1539" s="1" t="s">
        <v>8616</v>
      </c>
      <c r="T1539" s="1">
        <v>1</v>
      </c>
      <c r="U1539" s="1">
        <v>1</v>
      </c>
      <c r="V1539" s="1">
        <v>1</v>
      </c>
      <c r="W1539" s="1">
        <v>0</v>
      </c>
      <c r="X1539" s="1">
        <v>1</v>
      </c>
      <c r="Y1539" s="1" t="s">
        <v>104</v>
      </c>
      <c r="Z1539" s="1" t="s">
        <v>104</v>
      </c>
      <c r="AA1539" s="1">
        <v>4</v>
      </c>
      <c r="AB1539" s="1" t="s">
        <v>104</v>
      </c>
      <c r="AC1539" s="1" t="s">
        <v>104</v>
      </c>
      <c r="AD1539" s="1" t="s">
        <v>104</v>
      </c>
      <c r="AE1539" s="1" t="s">
        <v>104</v>
      </c>
      <c r="AF1539" s="1" t="s">
        <v>104</v>
      </c>
      <c r="AG1539" s="1" t="s">
        <v>104</v>
      </c>
      <c r="AH1539" s="1">
        <v>3</v>
      </c>
      <c r="AI1539" s="1" t="s">
        <v>104</v>
      </c>
      <c r="AJ1539" s="1">
        <v>4</v>
      </c>
      <c r="AK1539" s="1" t="s">
        <v>104</v>
      </c>
      <c r="AL1539" s="1" t="s">
        <v>104</v>
      </c>
      <c r="AM1539" s="1" t="s">
        <v>104</v>
      </c>
      <c r="AO1539" s="1">
        <v>4</v>
      </c>
      <c r="AR1539" s="1">
        <v>0</v>
      </c>
      <c r="AS1539" s="1">
        <v>0</v>
      </c>
      <c r="AT1539" s="1">
        <v>0</v>
      </c>
      <c r="AU1539" s="1">
        <v>0</v>
      </c>
      <c r="AV1539" s="1">
        <v>0</v>
      </c>
      <c r="AW1539" s="1">
        <v>0</v>
      </c>
      <c r="AX1539" s="1">
        <v>0</v>
      </c>
      <c r="AY1539" s="1">
        <v>0</v>
      </c>
      <c r="AZ1539" s="1">
        <v>0</v>
      </c>
      <c r="BA1539" s="1">
        <v>0</v>
      </c>
      <c r="BB1539" s="1">
        <v>0</v>
      </c>
      <c r="BC1539" s="1">
        <v>0</v>
      </c>
      <c r="BD1539" s="1">
        <v>0</v>
      </c>
      <c r="BE1539" s="1">
        <v>0</v>
      </c>
      <c r="BF1539" s="1">
        <v>0</v>
      </c>
      <c r="BG1539" s="1">
        <v>0</v>
      </c>
      <c r="BH1539" s="1">
        <v>0</v>
      </c>
      <c r="BI1539" s="1">
        <v>0</v>
      </c>
      <c r="BJ1539" s="1">
        <v>0</v>
      </c>
      <c r="BK1539" s="1">
        <v>0</v>
      </c>
      <c r="BL1539" s="1">
        <v>0</v>
      </c>
      <c r="BM1539" s="1">
        <v>0</v>
      </c>
      <c r="BN1539" s="1">
        <v>0</v>
      </c>
      <c r="BO1539" s="1">
        <v>0</v>
      </c>
      <c r="BP1539" s="1">
        <v>0</v>
      </c>
      <c r="BQ1539" s="1" t="s">
        <v>104</v>
      </c>
      <c r="BR1539" s="1">
        <v>1625</v>
      </c>
      <c r="BS1539" s="1" t="s">
        <v>104</v>
      </c>
      <c r="BX1539" s="1">
        <v>0</v>
      </c>
      <c r="BY1539" s="1" t="s">
        <v>104</v>
      </c>
      <c r="BZ1539" s="1" t="s">
        <v>104</v>
      </c>
      <c r="CA1539" s="1" t="s">
        <v>104</v>
      </c>
      <c r="CB1539" s="1" t="s">
        <v>104</v>
      </c>
      <c r="CC1539" s="1" t="s">
        <v>104</v>
      </c>
      <c r="CD1539" s="1" t="s">
        <v>104</v>
      </c>
      <c r="CE1539" s="1" t="s">
        <v>104</v>
      </c>
      <c r="CF1539" s="1" t="s">
        <v>104</v>
      </c>
      <c r="CG1539" s="1" t="s">
        <v>104</v>
      </c>
      <c r="CH1539" s="1" t="s">
        <v>104</v>
      </c>
      <c r="CJ1539" s="1">
        <v>0</v>
      </c>
      <c r="CK1539" s="1">
        <v>0</v>
      </c>
      <c r="CL1539" s="1">
        <v>0</v>
      </c>
      <c r="CM1539" s="1" t="s">
        <v>104</v>
      </c>
    </row>
    <row r="1540" spans="1:91" ht="14.25" customHeight="1" x14ac:dyDescent="0.3">
      <c r="A1540" s="1" t="s">
        <v>8637</v>
      </c>
      <c r="B1540" s="1" t="s">
        <v>216</v>
      </c>
      <c r="E1540" s="1" t="s">
        <v>8638</v>
      </c>
      <c r="F1540" s="1" t="s">
        <v>8639</v>
      </c>
      <c r="G1540" s="1" t="s">
        <v>8634</v>
      </c>
      <c r="H1540" s="1">
        <v>0</v>
      </c>
      <c r="I1540" s="1" t="s">
        <v>4350</v>
      </c>
      <c r="L1540" s="1" t="s">
        <v>8635</v>
      </c>
      <c r="M1540" s="1" t="s">
        <v>119</v>
      </c>
      <c r="N1540" s="1">
        <v>0</v>
      </c>
      <c r="O1540" s="1">
        <v>0</v>
      </c>
      <c r="P1540" s="1" t="s">
        <v>100</v>
      </c>
      <c r="Q1540" s="1" t="s">
        <v>101</v>
      </c>
      <c r="R1540" s="1" t="s">
        <v>8640</v>
      </c>
      <c r="S1540" s="1" t="s">
        <v>8616</v>
      </c>
      <c r="T1540" s="1">
        <v>1</v>
      </c>
      <c r="U1540" s="1">
        <v>1</v>
      </c>
      <c r="V1540" s="1">
        <v>1</v>
      </c>
      <c r="W1540" s="1">
        <v>0</v>
      </c>
      <c r="X1540" s="1">
        <v>1</v>
      </c>
      <c r="Y1540" s="1" t="s">
        <v>104</v>
      </c>
      <c r="Z1540" s="1" t="s">
        <v>104</v>
      </c>
      <c r="AA1540" s="1">
        <v>8</v>
      </c>
      <c r="AB1540" s="1" t="s">
        <v>104</v>
      </c>
      <c r="AC1540" s="1" t="s">
        <v>104</v>
      </c>
      <c r="AD1540" s="1" t="s">
        <v>104</v>
      </c>
      <c r="AE1540" s="1" t="s">
        <v>104</v>
      </c>
      <c r="AF1540" s="1" t="s">
        <v>104</v>
      </c>
      <c r="AG1540" s="1" t="s">
        <v>104</v>
      </c>
      <c r="AH1540" s="1">
        <v>7</v>
      </c>
      <c r="AI1540" s="1" t="s">
        <v>104</v>
      </c>
      <c r="AJ1540" s="1">
        <v>8</v>
      </c>
      <c r="AK1540" s="1" t="s">
        <v>104</v>
      </c>
      <c r="AL1540" s="1" t="s">
        <v>104</v>
      </c>
      <c r="AM1540" s="1" t="s">
        <v>104</v>
      </c>
      <c r="AO1540" s="1">
        <v>8</v>
      </c>
      <c r="AR1540" s="1">
        <v>0</v>
      </c>
      <c r="AS1540" s="1">
        <v>0</v>
      </c>
      <c r="AT1540" s="1">
        <v>0</v>
      </c>
      <c r="AU1540" s="1">
        <v>0</v>
      </c>
      <c r="AV1540" s="1">
        <v>0</v>
      </c>
      <c r="AW1540" s="1">
        <v>0</v>
      </c>
      <c r="AX1540" s="1">
        <v>0</v>
      </c>
      <c r="AY1540" s="1">
        <v>0</v>
      </c>
      <c r="AZ1540" s="1">
        <v>0</v>
      </c>
      <c r="BA1540" s="1">
        <v>0</v>
      </c>
      <c r="BB1540" s="1">
        <v>0</v>
      </c>
      <c r="BC1540" s="1">
        <v>0</v>
      </c>
      <c r="BD1540" s="1">
        <v>0</v>
      </c>
      <c r="BE1540" s="1">
        <v>0</v>
      </c>
      <c r="BF1540" s="1">
        <v>0</v>
      </c>
      <c r="BG1540" s="1">
        <v>0</v>
      </c>
      <c r="BH1540" s="1">
        <v>0</v>
      </c>
      <c r="BI1540" s="1">
        <v>0</v>
      </c>
      <c r="BJ1540" s="1">
        <v>0</v>
      </c>
      <c r="BK1540" s="1">
        <v>0</v>
      </c>
      <c r="BL1540" s="1">
        <v>0</v>
      </c>
      <c r="BM1540" s="1">
        <v>0</v>
      </c>
      <c r="BN1540" s="1">
        <v>0</v>
      </c>
      <c r="BO1540" s="1">
        <v>0</v>
      </c>
      <c r="BP1540" s="1">
        <v>0</v>
      </c>
      <c r="BQ1540" s="1" t="s">
        <v>104</v>
      </c>
      <c r="BR1540" s="1">
        <v>1626</v>
      </c>
      <c r="BS1540" s="1" t="s">
        <v>104</v>
      </c>
      <c r="BX1540" s="1">
        <v>0</v>
      </c>
      <c r="BY1540" s="1" t="s">
        <v>104</v>
      </c>
      <c r="BZ1540" s="1" t="s">
        <v>104</v>
      </c>
      <c r="CA1540" s="1" t="s">
        <v>104</v>
      </c>
      <c r="CB1540" s="1" t="s">
        <v>104</v>
      </c>
      <c r="CC1540" s="1" t="s">
        <v>104</v>
      </c>
      <c r="CD1540" s="1" t="s">
        <v>104</v>
      </c>
      <c r="CE1540" s="1" t="s">
        <v>104</v>
      </c>
      <c r="CF1540" s="1" t="s">
        <v>104</v>
      </c>
      <c r="CG1540" s="1" t="s">
        <v>104</v>
      </c>
      <c r="CH1540" s="1" t="s">
        <v>104</v>
      </c>
      <c r="CJ1540" s="1">
        <v>0</v>
      </c>
      <c r="CK1540" s="1">
        <v>0</v>
      </c>
      <c r="CL1540" s="1">
        <v>0</v>
      </c>
      <c r="CM1540" s="1" t="s">
        <v>104</v>
      </c>
    </row>
    <row r="1541" spans="1:91" ht="14.25" customHeight="1" x14ac:dyDescent="0.3">
      <c r="A1541" s="1" t="s">
        <v>8641</v>
      </c>
      <c r="B1541" s="1" t="s">
        <v>216</v>
      </c>
      <c r="E1541" s="1" t="s">
        <v>7183</v>
      </c>
      <c r="F1541" s="1" t="s">
        <v>95</v>
      </c>
      <c r="G1541" s="1" t="s">
        <v>7184</v>
      </c>
      <c r="H1541" s="1">
        <v>0</v>
      </c>
      <c r="I1541" s="1" t="s">
        <v>117</v>
      </c>
      <c r="K1541" s="1" t="s">
        <v>7185</v>
      </c>
      <c r="M1541" s="1" t="s">
        <v>111</v>
      </c>
      <c r="N1541" s="1">
        <v>0</v>
      </c>
      <c r="O1541" s="1">
        <v>0</v>
      </c>
      <c r="P1541" s="1" t="s">
        <v>100</v>
      </c>
      <c r="Q1541" s="1" t="s">
        <v>184</v>
      </c>
      <c r="R1541" s="1" t="s">
        <v>8642</v>
      </c>
      <c r="S1541" s="1" t="s">
        <v>7134</v>
      </c>
      <c r="T1541" s="1">
        <v>1</v>
      </c>
      <c r="U1541" s="1">
        <v>1</v>
      </c>
      <c r="V1541" s="1">
        <v>1</v>
      </c>
      <c r="W1541" s="1">
        <v>0</v>
      </c>
      <c r="X1541" s="1">
        <v>0</v>
      </c>
      <c r="Y1541" s="1">
        <v>4</v>
      </c>
      <c r="Z1541" s="1">
        <v>4</v>
      </c>
      <c r="AA1541" s="1" t="s">
        <v>104</v>
      </c>
      <c r="AB1541" s="1" t="s">
        <v>104</v>
      </c>
      <c r="AC1541" s="1" t="s">
        <v>104</v>
      </c>
      <c r="AD1541" s="1" t="s">
        <v>104</v>
      </c>
      <c r="AE1541" s="1" t="s">
        <v>104</v>
      </c>
      <c r="AF1541" s="1" t="s">
        <v>104</v>
      </c>
      <c r="AG1541" s="1" t="s">
        <v>104</v>
      </c>
      <c r="AH1541" s="1">
        <v>4</v>
      </c>
      <c r="AI1541" s="1" t="s">
        <v>104</v>
      </c>
      <c r="AJ1541" s="1" t="s">
        <v>104</v>
      </c>
      <c r="AK1541" s="1" t="s">
        <v>104</v>
      </c>
      <c r="AL1541" s="1" t="s">
        <v>104</v>
      </c>
      <c r="AM1541" s="1" t="s">
        <v>104</v>
      </c>
      <c r="AO1541" s="1">
        <v>4</v>
      </c>
      <c r="AR1541" s="1">
        <v>0</v>
      </c>
      <c r="AS1541" s="1">
        <v>0</v>
      </c>
      <c r="AT1541" s="1">
        <v>0</v>
      </c>
      <c r="AU1541" s="1">
        <v>0</v>
      </c>
      <c r="AV1541" s="1">
        <v>0</v>
      </c>
      <c r="AW1541" s="1">
        <v>0</v>
      </c>
      <c r="AX1541" s="1">
        <v>0</v>
      </c>
      <c r="AY1541" s="1">
        <v>0</v>
      </c>
      <c r="AZ1541" s="1">
        <v>0</v>
      </c>
      <c r="BA1541" s="1">
        <v>0</v>
      </c>
      <c r="BB1541" s="1">
        <v>0</v>
      </c>
      <c r="BC1541" s="1">
        <v>0</v>
      </c>
      <c r="BD1541" s="1">
        <v>0</v>
      </c>
      <c r="BE1541" s="1">
        <v>0</v>
      </c>
      <c r="BF1541" s="1">
        <v>0</v>
      </c>
      <c r="BG1541" s="1">
        <v>0</v>
      </c>
      <c r="BH1541" s="1">
        <v>0</v>
      </c>
      <c r="BI1541" s="1">
        <v>0</v>
      </c>
      <c r="BJ1541" s="1">
        <v>0</v>
      </c>
      <c r="BK1541" s="1">
        <v>0</v>
      </c>
      <c r="BL1541" s="1">
        <v>0</v>
      </c>
      <c r="BM1541" s="1">
        <v>0</v>
      </c>
      <c r="BN1541" s="1">
        <v>0</v>
      </c>
      <c r="BO1541" s="1">
        <v>0</v>
      </c>
      <c r="BP1541" s="1">
        <v>0</v>
      </c>
      <c r="BQ1541" s="1" t="s">
        <v>104</v>
      </c>
      <c r="BR1541" s="1">
        <v>1627</v>
      </c>
      <c r="BS1541" s="1" t="s">
        <v>104</v>
      </c>
      <c r="BX1541" s="1">
        <v>0</v>
      </c>
      <c r="BY1541" s="1" t="s">
        <v>104</v>
      </c>
      <c r="BZ1541" s="1" t="s">
        <v>104</v>
      </c>
      <c r="CA1541" s="1" t="s">
        <v>104</v>
      </c>
      <c r="CB1541" s="1" t="s">
        <v>104</v>
      </c>
      <c r="CC1541" s="1" t="s">
        <v>104</v>
      </c>
      <c r="CD1541" s="1" t="s">
        <v>104</v>
      </c>
      <c r="CE1541" s="1" t="s">
        <v>104</v>
      </c>
      <c r="CF1541" s="1" t="s">
        <v>104</v>
      </c>
      <c r="CG1541" s="1" t="s">
        <v>104</v>
      </c>
      <c r="CH1541" s="1" t="s">
        <v>104</v>
      </c>
      <c r="CJ1541" s="1">
        <v>0</v>
      </c>
      <c r="CK1541" s="1">
        <v>0</v>
      </c>
      <c r="CL1541" s="1">
        <v>0</v>
      </c>
      <c r="CM1541" s="1" t="s">
        <v>104</v>
      </c>
    </row>
    <row r="1542" spans="1:91" ht="14.25" customHeight="1" x14ac:dyDescent="0.3">
      <c r="A1542" s="1" t="s">
        <v>8643</v>
      </c>
      <c r="B1542" s="1" t="s">
        <v>216</v>
      </c>
      <c r="E1542" s="1" t="s">
        <v>8644</v>
      </c>
      <c r="F1542" s="1" t="s">
        <v>95</v>
      </c>
      <c r="G1542" s="1" t="s">
        <v>127</v>
      </c>
      <c r="H1542" s="1">
        <v>0</v>
      </c>
      <c r="I1542" s="1" t="s">
        <v>128</v>
      </c>
      <c r="L1542" s="1" t="s">
        <v>8645</v>
      </c>
      <c r="M1542" s="1" t="s">
        <v>8646</v>
      </c>
      <c r="N1542" s="1">
        <v>0</v>
      </c>
      <c r="O1542" s="1">
        <v>0</v>
      </c>
      <c r="P1542" s="1" t="s">
        <v>100</v>
      </c>
      <c r="Q1542" s="1" t="s">
        <v>101</v>
      </c>
      <c r="R1542" s="1" t="s">
        <v>8647</v>
      </c>
      <c r="S1542" s="1" t="s">
        <v>4288</v>
      </c>
      <c r="T1542" s="1">
        <v>1</v>
      </c>
      <c r="U1542" s="1">
        <v>1</v>
      </c>
      <c r="V1542" s="1">
        <v>0</v>
      </c>
      <c r="W1542" s="1">
        <v>0</v>
      </c>
      <c r="X1542" s="1">
        <v>1</v>
      </c>
      <c r="Y1542" s="1" t="s">
        <v>104</v>
      </c>
      <c r="Z1542" s="1" t="s">
        <v>104</v>
      </c>
      <c r="AA1542" s="1">
        <v>3</v>
      </c>
      <c r="AB1542" s="1" t="s">
        <v>104</v>
      </c>
      <c r="AC1542" s="1" t="s">
        <v>104</v>
      </c>
      <c r="AD1542" s="1" t="s">
        <v>104</v>
      </c>
      <c r="AE1542" s="1">
        <v>2</v>
      </c>
      <c r="AF1542" s="1" t="s">
        <v>104</v>
      </c>
      <c r="AG1542" s="1" t="s">
        <v>104</v>
      </c>
      <c r="AH1542" s="1" t="s">
        <v>104</v>
      </c>
      <c r="AI1542" s="1" t="s">
        <v>104</v>
      </c>
      <c r="AJ1542" s="1">
        <v>3</v>
      </c>
      <c r="AK1542" s="1" t="s">
        <v>104</v>
      </c>
      <c r="AL1542" s="1" t="s">
        <v>104</v>
      </c>
      <c r="AM1542" s="1" t="s">
        <v>104</v>
      </c>
      <c r="AN1542" s="1" t="s">
        <v>8648</v>
      </c>
      <c r="AO1542" s="1">
        <v>3</v>
      </c>
      <c r="AR1542" s="1">
        <v>0</v>
      </c>
      <c r="AS1542" s="1">
        <v>0</v>
      </c>
      <c r="AT1542" s="1">
        <v>0</v>
      </c>
      <c r="AU1542" s="1">
        <v>0</v>
      </c>
      <c r="AV1542" s="1">
        <v>0</v>
      </c>
      <c r="AW1542" s="1">
        <v>0</v>
      </c>
      <c r="AX1542" s="1">
        <v>0</v>
      </c>
      <c r="AY1542" s="1">
        <v>0</v>
      </c>
      <c r="AZ1542" s="1">
        <v>0</v>
      </c>
      <c r="BA1542" s="1">
        <v>0</v>
      </c>
      <c r="BB1542" s="1">
        <v>0</v>
      </c>
      <c r="BC1542" s="1">
        <v>0</v>
      </c>
      <c r="BD1542" s="1">
        <v>0</v>
      </c>
      <c r="BE1542" s="1">
        <v>0</v>
      </c>
      <c r="BF1542" s="1">
        <v>0</v>
      </c>
      <c r="BG1542" s="1">
        <v>0</v>
      </c>
      <c r="BH1542" s="1">
        <v>0</v>
      </c>
      <c r="BI1542" s="1">
        <v>0</v>
      </c>
      <c r="BJ1542" s="1">
        <v>0</v>
      </c>
      <c r="BK1542" s="1">
        <v>0</v>
      </c>
      <c r="BL1542" s="1">
        <v>0</v>
      </c>
      <c r="BM1542" s="1">
        <v>0</v>
      </c>
      <c r="BN1542" s="1">
        <v>0</v>
      </c>
      <c r="BO1542" s="1">
        <v>0</v>
      </c>
      <c r="BP1542" s="1">
        <v>0</v>
      </c>
      <c r="BQ1542" s="1" t="s">
        <v>104</v>
      </c>
      <c r="BR1542" s="1">
        <v>1628</v>
      </c>
      <c r="BS1542" s="1" t="s">
        <v>104</v>
      </c>
      <c r="BX1542" s="1">
        <v>0</v>
      </c>
      <c r="BY1542" s="1" t="s">
        <v>104</v>
      </c>
      <c r="BZ1542" s="1" t="s">
        <v>104</v>
      </c>
      <c r="CA1542" s="1" t="s">
        <v>104</v>
      </c>
      <c r="CB1542" s="1" t="s">
        <v>104</v>
      </c>
      <c r="CC1542" s="1" t="s">
        <v>104</v>
      </c>
      <c r="CD1542" s="1" t="s">
        <v>104</v>
      </c>
      <c r="CE1542" s="1" t="s">
        <v>104</v>
      </c>
      <c r="CF1542" s="1" t="s">
        <v>104</v>
      </c>
      <c r="CG1542" s="1" t="s">
        <v>104</v>
      </c>
      <c r="CH1542" s="1" t="s">
        <v>104</v>
      </c>
      <c r="CJ1542" s="1">
        <v>0</v>
      </c>
      <c r="CK1542" s="1">
        <v>0</v>
      </c>
      <c r="CL1542" s="1">
        <v>0</v>
      </c>
      <c r="CM1542" s="1" t="s">
        <v>104</v>
      </c>
    </row>
    <row r="1543" spans="1:91" ht="14.25" customHeight="1" x14ac:dyDescent="0.3">
      <c r="A1543" s="1" t="s">
        <v>8649</v>
      </c>
      <c r="B1543" s="1" t="s">
        <v>162</v>
      </c>
      <c r="E1543" s="1" t="s">
        <v>8650</v>
      </c>
      <c r="F1543" s="1" t="s">
        <v>95</v>
      </c>
      <c r="G1543" s="1" t="s">
        <v>116</v>
      </c>
      <c r="H1543" s="1">
        <v>0</v>
      </c>
      <c r="I1543" s="1" t="s">
        <v>117</v>
      </c>
      <c r="J1543" s="1" t="s">
        <v>8651</v>
      </c>
      <c r="M1543" s="1" t="s">
        <v>4292</v>
      </c>
      <c r="N1543" s="1">
        <v>0</v>
      </c>
      <c r="O1543" s="1">
        <v>0</v>
      </c>
      <c r="P1543" s="1" t="s">
        <v>375</v>
      </c>
      <c r="Q1543" s="1" t="s">
        <v>131</v>
      </c>
      <c r="R1543" s="1" t="s">
        <v>8652</v>
      </c>
      <c r="S1543" s="1" t="s">
        <v>4288</v>
      </c>
      <c r="T1543" s="1">
        <v>1</v>
      </c>
      <c r="U1543" s="1">
        <v>1</v>
      </c>
      <c r="V1543" s="1">
        <v>0</v>
      </c>
      <c r="W1543" s="1">
        <v>0</v>
      </c>
      <c r="X1543" s="1">
        <v>0</v>
      </c>
      <c r="Y1543" s="1" t="s">
        <v>104</v>
      </c>
      <c r="Z1543" s="1" t="s">
        <v>104</v>
      </c>
      <c r="AA1543" s="1">
        <v>3</v>
      </c>
      <c r="AB1543" s="1" t="s">
        <v>104</v>
      </c>
      <c r="AC1543" s="1">
        <v>4</v>
      </c>
      <c r="AD1543" s="1" t="s">
        <v>104</v>
      </c>
      <c r="AE1543" s="1">
        <v>3</v>
      </c>
      <c r="AF1543" s="1" t="s">
        <v>104</v>
      </c>
      <c r="AG1543" s="1" t="s">
        <v>104</v>
      </c>
      <c r="AH1543" s="1" t="s">
        <v>104</v>
      </c>
      <c r="AI1543" s="1" t="s">
        <v>104</v>
      </c>
      <c r="AJ1543" s="1">
        <v>3</v>
      </c>
      <c r="AK1543" s="1" t="s">
        <v>104</v>
      </c>
      <c r="AL1543" s="1" t="s">
        <v>104</v>
      </c>
      <c r="AM1543" s="1" t="s">
        <v>104</v>
      </c>
      <c r="AN1543" s="1" t="s">
        <v>8496</v>
      </c>
      <c r="AO1543" s="1">
        <v>3</v>
      </c>
      <c r="AR1543" s="1">
        <v>0</v>
      </c>
      <c r="AS1543" s="1">
        <v>0</v>
      </c>
      <c r="AT1543" s="1">
        <v>0</v>
      </c>
      <c r="AU1543" s="1">
        <v>0</v>
      </c>
      <c r="AV1543" s="1">
        <v>0</v>
      </c>
      <c r="AW1543" s="1">
        <v>0</v>
      </c>
      <c r="AX1543" s="1">
        <v>0</v>
      </c>
      <c r="AY1543" s="1">
        <v>0</v>
      </c>
      <c r="AZ1543" s="1">
        <v>0</v>
      </c>
      <c r="BA1543" s="1">
        <v>0</v>
      </c>
      <c r="BB1543" s="1">
        <v>0</v>
      </c>
      <c r="BC1543" s="1">
        <v>0</v>
      </c>
      <c r="BD1543" s="1">
        <v>0</v>
      </c>
      <c r="BE1543" s="1">
        <v>0</v>
      </c>
      <c r="BF1543" s="1">
        <v>0</v>
      </c>
      <c r="BG1543" s="1">
        <v>0</v>
      </c>
      <c r="BH1543" s="1">
        <v>0</v>
      </c>
      <c r="BI1543" s="1">
        <v>0</v>
      </c>
      <c r="BJ1543" s="1">
        <v>0</v>
      </c>
      <c r="BK1543" s="1">
        <v>0</v>
      </c>
      <c r="BL1543" s="1">
        <v>0</v>
      </c>
      <c r="BM1543" s="1">
        <v>0</v>
      </c>
      <c r="BN1543" s="1">
        <v>0</v>
      </c>
      <c r="BO1543" s="1">
        <v>0</v>
      </c>
      <c r="BP1543" s="1">
        <v>0</v>
      </c>
      <c r="BQ1543" s="1" t="s">
        <v>104</v>
      </c>
      <c r="BR1543" s="1">
        <v>1629</v>
      </c>
      <c r="BS1543" s="1" t="s">
        <v>104</v>
      </c>
      <c r="BX1543" s="1">
        <v>0</v>
      </c>
      <c r="BY1543" s="1" t="s">
        <v>104</v>
      </c>
      <c r="BZ1543" s="1" t="s">
        <v>104</v>
      </c>
      <c r="CA1543" s="1" t="s">
        <v>104</v>
      </c>
      <c r="CB1543" s="1" t="s">
        <v>104</v>
      </c>
      <c r="CC1543" s="1" t="s">
        <v>104</v>
      </c>
      <c r="CD1543" s="1" t="s">
        <v>104</v>
      </c>
      <c r="CE1543" s="1" t="s">
        <v>104</v>
      </c>
      <c r="CF1543" s="1" t="s">
        <v>104</v>
      </c>
      <c r="CG1543" s="1" t="s">
        <v>104</v>
      </c>
      <c r="CH1543" s="1">
        <v>4</v>
      </c>
      <c r="CJ1543" s="1">
        <v>0</v>
      </c>
      <c r="CK1543" s="1">
        <v>0</v>
      </c>
      <c r="CL1543" s="1">
        <v>0</v>
      </c>
      <c r="CM1543" s="1" t="s">
        <v>104</v>
      </c>
    </row>
    <row r="1544" spans="1:91" ht="14.25" customHeight="1" x14ac:dyDescent="0.3">
      <c r="A1544" s="1" t="s">
        <v>8653</v>
      </c>
      <c r="B1544" s="1" t="s">
        <v>92</v>
      </c>
      <c r="C1544" s="1" t="s">
        <v>523</v>
      </c>
      <c r="E1544" s="1" t="s">
        <v>8654</v>
      </c>
      <c r="F1544" s="1" t="s">
        <v>95</v>
      </c>
      <c r="G1544" s="1" t="s">
        <v>116</v>
      </c>
      <c r="H1544" s="1">
        <v>0</v>
      </c>
      <c r="I1544" s="1" t="s">
        <v>117</v>
      </c>
      <c r="L1544" s="1" t="s">
        <v>5827</v>
      </c>
      <c r="M1544" s="1" t="s">
        <v>119</v>
      </c>
      <c r="N1544" s="1">
        <v>0</v>
      </c>
      <c r="O1544" s="1">
        <v>0</v>
      </c>
      <c r="P1544" s="1" t="s">
        <v>375</v>
      </c>
      <c r="Q1544" s="1" t="s">
        <v>131</v>
      </c>
      <c r="R1544" s="1" t="s">
        <v>8655</v>
      </c>
      <c r="S1544" s="1" t="s">
        <v>8656</v>
      </c>
      <c r="T1544" s="1">
        <v>1</v>
      </c>
      <c r="U1544" s="1">
        <v>1</v>
      </c>
      <c r="V1544" s="1">
        <v>0</v>
      </c>
      <c r="W1544" s="1">
        <v>0</v>
      </c>
      <c r="X1544" s="1">
        <v>0</v>
      </c>
      <c r="Y1544" s="1" t="s">
        <v>104</v>
      </c>
      <c r="Z1544" s="1" t="s">
        <v>104</v>
      </c>
      <c r="AA1544" s="1">
        <v>2</v>
      </c>
      <c r="AB1544" s="1">
        <v>2</v>
      </c>
      <c r="AC1544" s="1">
        <v>3</v>
      </c>
      <c r="AD1544" s="1" t="s">
        <v>104</v>
      </c>
      <c r="AE1544" s="1">
        <v>2</v>
      </c>
      <c r="AF1544" s="1" t="s">
        <v>104</v>
      </c>
      <c r="AG1544" s="1" t="s">
        <v>104</v>
      </c>
      <c r="AH1544" s="1">
        <v>2</v>
      </c>
      <c r="AI1544" s="1">
        <v>2</v>
      </c>
      <c r="AJ1544" s="1">
        <v>2</v>
      </c>
      <c r="AK1544" s="1" t="s">
        <v>104</v>
      </c>
      <c r="AL1544" s="1" t="s">
        <v>104</v>
      </c>
      <c r="AM1544" s="1" t="s">
        <v>104</v>
      </c>
      <c r="AO1544" s="1">
        <v>2</v>
      </c>
      <c r="AR1544" s="1">
        <v>0</v>
      </c>
      <c r="AS1544" s="1">
        <v>0</v>
      </c>
      <c r="AT1544" s="1">
        <v>0</v>
      </c>
      <c r="AU1544" s="1">
        <v>0</v>
      </c>
      <c r="AV1544" s="1">
        <v>0</v>
      </c>
      <c r="AW1544" s="1">
        <v>0</v>
      </c>
      <c r="AX1544" s="1">
        <v>0</v>
      </c>
      <c r="AY1544" s="1">
        <v>0</v>
      </c>
      <c r="AZ1544" s="1">
        <v>0</v>
      </c>
      <c r="BA1544" s="1">
        <v>0</v>
      </c>
      <c r="BB1544" s="1">
        <v>0</v>
      </c>
      <c r="BC1544" s="1">
        <v>0</v>
      </c>
      <c r="BD1544" s="1">
        <v>0</v>
      </c>
      <c r="BE1544" s="1">
        <v>0</v>
      </c>
      <c r="BF1544" s="1">
        <v>0</v>
      </c>
      <c r="BG1544" s="1">
        <v>0</v>
      </c>
      <c r="BH1544" s="1">
        <v>0</v>
      </c>
      <c r="BI1544" s="1">
        <v>0</v>
      </c>
      <c r="BJ1544" s="1">
        <v>0</v>
      </c>
      <c r="BK1544" s="1">
        <v>0</v>
      </c>
      <c r="BL1544" s="1">
        <v>0</v>
      </c>
      <c r="BM1544" s="1">
        <v>0</v>
      </c>
      <c r="BN1544" s="1">
        <v>0</v>
      </c>
      <c r="BO1544" s="1">
        <v>0</v>
      </c>
      <c r="BP1544" s="1">
        <v>0</v>
      </c>
      <c r="BQ1544" s="1" t="s">
        <v>104</v>
      </c>
      <c r="BR1544" s="1">
        <v>1630</v>
      </c>
      <c r="BS1544" s="1" t="s">
        <v>104</v>
      </c>
      <c r="BX1544" s="1">
        <v>0</v>
      </c>
      <c r="BY1544" s="1" t="s">
        <v>104</v>
      </c>
      <c r="BZ1544" s="1" t="s">
        <v>104</v>
      </c>
      <c r="CA1544" s="1" t="s">
        <v>104</v>
      </c>
      <c r="CB1544" s="1" t="s">
        <v>104</v>
      </c>
      <c r="CC1544" s="1" t="s">
        <v>104</v>
      </c>
      <c r="CD1544" s="1" t="s">
        <v>104</v>
      </c>
      <c r="CE1544" s="1" t="s">
        <v>104</v>
      </c>
      <c r="CF1544" s="1" t="s">
        <v>104</v>
      </c>
      <c r="CG1544" s="1" t="s">
        <v>104</v>
      </c>
      <c r="CH1544" s="1">
        <v>2</v>
      </c>
      <c r="CJ1544" s="1">
        <v>0</v>
      </c>
      <c r="CK1544" s="1">
        <v>0</v>
      </c>
      <c r="CL1544" s="1">
        <v>0</v>
      </c>
      <c r="CM1544" s="1" t="s">
        <v>104</v>
      </c>
    </row>
    <row r="1545" spans="1:91" ht="14.25" customHeight="1" x14ac:dyDescent="0.3">
      <c r="A1545" s="1" t="s">
        <v>8657</v>
      </c>
      <c r="B1545" s="1" t="s">
        <v>434</v>
      </c>
      <c r="D1545" s="1" t="s">
        <v>46</v>
      </c>
      <c r="E1545" s="1" t="s">
        <v>8658</v>
      </c>
      <c r="F1545" s="1" t="s">
        <v>95</v>
      </c>
      <c r="G1545" s="1" t="s">
        <v>127</v>
      </c>
      <c r="H1545" s="1">
        <v>0</v>
      </c>
      <c r="I1545" s="1" t="s">
        <v>8659</v>
      </c>
      <c r="L1545" s="1" t="s">
        <v>1065</v>
      </c>
      <c r="M1545" s="1" t="s">
        <v>119</v>
      </c>
      <c r="N1545" s="1">
        <v>0</v>
      </c>
      <c r="O1545" s="1">
        <v>0</v>
      </c>
      <c r="P1545" s="1" t="s">
        <v>100</v>
      </c>
      <c r="Q1545" s="1" t="s">
        <v>184</v>
      </c>
      <c r="R1545" s="1" t="s">
        <v>8660</v>
      </c>
      <c r="S1545" s="1" t="s">
        <v>8661</v>
      </c>
      <c r="T1545" s="1">
        <v>1</v>
      </c>
      <c r="U1545" s="1">
        <v>1</v>
      </c>
      <c r="V1545" s="1">
        <v>0</v>
      </c>
      <c r="W1545" s="1">
        <v>0</v>
      </c>
      <c r="X1545" s="1">
        <v>1</v>
      </c>
      <c r="Y1545" s="1" t="s">
        <v>104</v>
      </c>
      <c r="Z1545" s="1" t="s">
        <v>104</v>
      </c>
      <c r="AA1545" s="1">
        <v>3</v>
      </c>
      <c r="AB1545" s="1" t="s">
        <v>104</v>
      </c>
      <c r="AC1545" s="1">
        <v>3</v>
      </c>
      <c r="AD1545" s="1" t="s">
        <v>104</v>
      </c>
      <c r="AE1545" s="1" t="s">
        <v>104</v>
      </c>
      <c r="AF1545" s="1" t="s">
        <v>104</v>
      </c>
      <c r="AG1545" s="1" t="s">
        <v>104</v>
      </c>
      <c r="AH1545" s="1" t="s">
        <v>104</v>
      </c>
      <c r="AI1545" s="1">
        <v>3</v>
      </c>
      <c r="AJ1545" s="1" t="s">
        <v>104</v>
      </c>
      <c r="AK1545" s="1">
        <v>3</v>
      </c>
      <c r="AL1545" s="1" t="s">
        <v>104</v>
      </c>
      <c r="AM1545" s="1" t="s">
        <v>104</v>
      </c>
      <c r="AN1545" s="1" t="s">
        <v>8662</v>
      </c>
      <c r="AO1545" s="1">
        <v>3</v>
      </c>
      <c r="AR1545" s="1">
        <v>0</v>
      </c>
      <c r="AS1545" s="1">
        <v>0</v>
      </c>
      <c r="AT1545" s="1">
        <v>0</v>
      </c>
      <c r="AU1545" s="1">
        <v>1</v>
      </c>
      <c r="AV1545" s="1">
        <v>0</v>
      </c>
      <c r="AW1545" s="1">
        <v>0</v>
      </c>
      <c r="AX1545" s="1">
        <v>0</v>
      </c>
      <c r="AY1545" s="1">
        <v>0</v>
      </c>
      <c r="AZ1545" s="1">
        <v>0</v>
      </c>
      <c r="BA1545" s="1">
        <v>0</v>
      </c>
      <c r="BB1545" s="1">
        <v>0</v>
      </c>
      <c r="BC1545" s="1">
        <v>0</v>
      </c>
      <c r="BD1545" s="1">
        <v>0</v>
      </c>
      <c r="BE1545" s="1">
        <v>0</v>
      </c>
      <c r="BF1545" s="1">
        <v>0</v>
      </c>
      <c r="BG1545" s="1">
        <v>0</v>
      </c>
      <c r="BH1545" s="1">
        <v>0</v>
      </c>
      <c r="BI1545" s="1">
        <v>0</v>
      </c>
      <c r="BJ1545" s="1">
        <v>0</v>
      </c>
      <c r="BK1545" s="1">
        <v>0</v>
      </c>
      <c r="BL1545" s="1">
        <v>0</v>
      </c>
      <c r="BM1545" s="1">
        <v>0</v>
      </c>
      <c r="BN1545" s="1">
        <v>0</v>
      </c>
      <c r="BO1545" s="1">
        <v>0</v>
      </c>
      <c r="BP1545" s="1">
        <v>0</v>
      </c>
      <c r="BQ1545" s="1" t="s">
        <v>104</v>
      </c>
      <c r="BR1545" s="1">
        <v>1631</v>
      </c>
      <c r="BS1545" s="1" t="s">
        <v>104</v>
      </c>
      <c r="BX1545" s="1">
        <v>0</v>
      </c>
      <c r="BY1545" s="1" t="s">
        <v>104</v>
      </c>
      <c r="BZ1545" s="1" t="s">
        <v>104</v>
      </c>
      <c r="CA1545" s="1" t="s">
        <v>104</v>
      </c>
      <c r="CB1545" s="1" t="s">
        <v>104</v>
      </c>
      <c r="CC1545" s="1" t="s">
        <v>104</v>
      </c>
      <c r="CD1545" s="1" t="s">
        <v>104</v>
      </c>
      <c r="CE1545" s="1" t="s">
        <v>104</v>
      </c>
      <c r="CF1545" s="1" t="s">
        <v>104</v>
      </c>
      <c r="CG1545" s="1" t="s">
        <v>104</v>
      </c>
      <c r="CH1545" s="1">
        <v>3</v>
      </c>
      <c r="CJ1545" s="1">
        <v>0</v>
      </c>
      <c r="CK1545" s="1">
        <v>0</v>
      </c>
      <c r="CL1545" s="1">
        <v>0</v>
      </c>
      <c r="CM1545" s="1" t="s">
        <v>104</v>
      </c>
    </row>
    <row r="1546" spans="1:91" ht="14.25" customHeight="1" x14ac:dyDescent="0.3">
      <c r="A1546" s="1" t="s">
        <v>8663</v>
      </c>
      <c r="B1546" s="1" t="s">
        <v>92</v>
      </c>
      <c r="C1546" s="1" t="s">
        <v>523</v>
      </c>
      <c r="D1546" s="1" t="s">
        <v>58</v>
      </c>
      <c r="E1546" s="1" t="s">
        <v>8664</v>
      </c>
      <c r="F1546" s="1" t="s">
        <v>95</v>
      </c>
      <c r="G1546" s="1" t="s">
        <v>8665</v>
      </c>
      <c r="H1546" s="1">
        <v>0</v>
      </c>
      <c r="I1546" s="1" t="s">
        <v>128</v>
      </c>
      <c r="L1546" s="1" t="s">
        <v>374</v>
      </c>
      <c r="M1546" s="1" t="s">
        <v>119</v>
      </c>
      <c r="N1546" s="1">
        <v>0</v>
      </c>
      <c r="O1546" s="1">
        <v>0</v>
      </c>
      <c r="P1546" s="1" t="s">
        <v>1058</v>
      </c>
      <c r="Q1546" s="1" t="s">
        <v>131</v>
      </c>
      <c r="R1546" s="1" t="s">
        <v>8666</v>
      </c>
      <c r="S1546" s="1" t="s">
        <v>8667</v>
      </c>
      <c r="T1546" s="1">
        <v>1</v>
      </c>
      <c r="U1546" s="1">
        <v>1</v>
      </c>
      <c r="V1546" s="1">
        <v>1</v>
      </c>
      <c r="W1546" s="1">
        <v>0</v>
      </c>
      <c r="X1546" s="1">
        <v>1</v>
      </c>
      <c r="Y1546" s="1" t="s">
        <v>104</v>
      </c>
      <c r="Z1546" s="1" t="s">
        <v>104</v>
      </c>
      <c r="AA1546" s="1">
        <v>3</v>
      </c>
      <c r="AB1546" s="1">
        <v>3</v>
      </c>
      <c r="AC1546" s="1" t="s">
        <v>104</v>
      </c>
      <c r="AD1546" s="1">
        <v>3</v>
      </c>
      <c r="AE1546" s="1">
        <v>3</v>
      </c>
      <c r="AF1546" s="1" t="s">
        <v>104</v>
      </c>
      <c r="AG1546" s="1" t="s">
        <v>104</v>
      </c>
      <c r="AH1546" s="1">
        <v>3</v>
      </c>
      <c r="AI1546" s="1" t="s">
        <v>104</v>
      </c>
      <c r="AJ1546" s="1">
        <v>3</v>
      </c>
      <c r="AK1546" s="1" t="s">
        <v>104</v>
      </c>
      <c r="AL1546" s="1" t="s">
        <v>104</v>
      </c>
      <c r="AM1546" s="1" t="s">
        <v>104</v>
      </c>
      <c r="AO1546" s="1">
        <v>3</v>
      </c>
      <c r="AR1546" s="1">
        <v>0</v>
      </c>
      <c r="AS1546" s="1">
        <v>0</v>
      </c>
      <c r="AT1546" s="1">
        <v>0</v>
      </c>
      <c r="AU1546" s="1">
        <v>0</v>
      </c>
      <c r="AV1546" s="1">
        <v>0</v>
      </c>
      <c r="AW1546" s="1">
        <v>0</v>
      </c>
      <c r="AX1546" s="1">
        <v>0</v>
      </c>
      <c r="AY1546" s="1">
        <v>0</v>
      </c>
      <c r="AZ1546" s="1">
        <v>0</v>
      </c>
      <c r="BA1546" s="1">
        <v>0</v>
      </c>
      <c r="BB1546" s="1">
        <v>0</v>
      </c>
      <c r="BC1546" s="1">
        <v>0</v>
      </c>
      <c r="BD1546" s="1">
        <v>0</v>
      </c>
      <c r="BE1546" s="1">
        <v>0</v>
      </c>
      <c r="BF1546" s="1">
        <v>0</v>
      </c>
      <c r="BG1546" s="1">
        <v>1</v>
      </c>
      <c r="BH1546" s="1">
        <v>0</v>
      </c>
      <c r="BI1546" s="1">
        <v>0</v>
      </c>
      <c r="BJ1546" s="1">
        <v>0</v>
      </c>
      <c r="BK1546" s="1">
        <v>0</v>
      </c>
      <c r="BL1546" s="1">
        <v>0</v>
      </c>
      <c r="BM1546" s="1">
        <v>0</v>
      </c>
      <c r="BN1546" s="1">
        <v>0</v>
      </c>
      <c r="BO1546" s="1">
        <v>0</v>
      </c>
      <c r="BP1546" s="1">
        <v>0</v>
      </c>
      <c r="BQ1546" s="1" t="s">
        <v>104</v>
      </c>
      <c r="BR1546" s="1">
        <v>1632</v>
      </c>
      <c r="BS1546" s="1" t="s">
        <v>104</v>
      </c>
      <c r="BX1546" s="1">
        <v>0</v>
      </c>
      <c r="BY1546" s="1" t="s">
        <v>104</v>
      </c>
      <c r="BZ1546" s="1" t="s">
        <v>104</v>
      </c>
      <c r="CA1546" s="1" t="s">
        <v>104</v>
      </c>
      <c r="CB1546" s="1" t="s">
        <v>104</v>
      </c>
      <c r="CC1546" s="1" t="s">
        <v>104</v>
      </c>
      <c r="CD1546" s="1" t="s">
        <v>104</v>
      </c>
      <c r="CE1546" s="1" t="s">
        <v>104</v>
      </c>
      <c r="CF1546" s="1" t="s">
        <v>104</v>
      </c>
      <c r="CG1546" s="1" t="s">
        <v>104</v>
      </c>
      <c r="CH1546" s="1">
        <v>3</v>
      </c>
      <c r="CJ1546" s="1">
        <v>0</v>
      </c>
      <c r="CK1546" s="1">
        <v>0</v>
      </c>
      <c r="CL1546" s="1">
        <v>0</v>
      </c>
      <c r="CM1546" s="1" t="s">
        <v>104</v>
      </c>
    </row>
    <row r="1547" spans="1:91" ht="14.25" customHeight="1" x14ac:dyDescent="0.3">
      <c r="A1547" s="1" t="s">
        <v>8668</v>
      </c>
      <c r="B1547" s="1" t="s">
        <v>137</v>
      </c>
      <c r="D1547" s="1" t="s">
        <v>58</v>
      </c>
      <c r="E1547" s="1" t="s">
        <v>8669</v>
      </c>
      <c r="F1547" s="1" t="s">
        <v>95</v>
      </c>
      <c r="G1547" s="1" t="s">
        <v>116</v>
      </c>
      <c r="H1547" s="1">
        <v>0</v>
      </c>
      <c r="I1547" s="1" t="s">
        <v>157</v>
      </c>
      <c r="L1547" s="1" t="s">
        <v>158</v>
      </c>
      <c r="M1547" s="1" t="s">
        <v>4641</v>
      </c>
      <c r="N1547" s="1">
        <v>1</v>
      </c>
      <c r="O1547" s="1">
        <v>0</v>
      </c>
      <c r="P1547" s="1" t="s">
        <v>100</v>
      </c>
      <c r="Q1547" s="1" t="s">
        <v>101</v>
      </c>
      <c r="R1547" s="1" t="s">
        <v>8670</v>
      </c>
      <c r="S1547" s="1" t="s">
        <v>8667</v>
      </c>
      <c r="T1547" s="1">
        <v>1</v>
      </c>
      <c r="U1547" s="1">
        <v>1</v>
      </c>
      <c r="V1547" s="1">
        <v>0</v>
      </c>
      <c r="W1547" s="1">
        <v>0</v>
      </c>
      <c r="X1547" s="1">
        <v>0</v>
      </c>
      <c r="Y1547" s="1">
        <v>2</v>
      </c>
      <c r="Z1547" s="1">
        <v>2</v>
      </c>
      <c r="AA1547" s="1">
        <v>2</v>
      </c>
      <c r="AB1547" s="1" t="s">
        <v>104</v>
      </c>
      <c r="AC1547" s="1" t="s">
        <v>104</v>
      </c>
      <c r="AD1547" s="1" t="s">
        <v>104</v>
      </c>
      <c r="AE1547" s="1">
        <v>2</v>
      </c>
      <c r="AF1547" s="1" t="s">
        <v>104</v>
      </c>
      <c r="AG1547" s="1" t="s">
        <v>104</v>
      </c>
      <c r="AH1547" s="1" t="s">
        <v>104</v>
      </c>
      <c r="AI1547" s="1" t="s">
        <v>104</v>
      </c>
      <c r="AJ1547" s="1">
        <v>2</v>
      </c>
      <c r="AK1547" s="1" t="s">
        <v>104</v>
      </c>
      <c r="AL1547" s="1" t="s">
        <v>104</v>
      </c>
      <c r="AM1547" s="1" t="s">
        <v>104</v>
      </c>
      <c r="AO1547" s="1">
        <v>2</v>
      </c>
      <c r="AR1547" s="1">
        <v>0</v>
      </c>
      <c r="AS1547" s="1">
        <v>0</v>
      </c>
      <c r="AT1547" s="1">
        <v>0</v>
      </c>
      <c r="AU1547" s="1">
        <v>0</v>
      </c>
      <c r="AV1547" s="1">
        <v>0</v>
      </c>
      <c r="AW1547" s="1">
        <v>0</v>
      </c>
      <c r="AX1547" s="1">
        <v>0</v>
      </c>
      <c r="AY1547" s="1">
        <v>0</v>
      </c>
      <c r="AZ1547" s="1">
        <v>0</v>
      </c>
      <c r="BA1547" s="1">
        <v>0</v>
      </c>
      <c r="BB1547" s="1">
        <v>0</v>
      </c>
      <c r="BC1547" s="1">
        <v>0</v>
      </c>
      <c r="BD1547" s="1">
        <v>0</v>
      </c>
      <c r="BE1547" s="1">
        <v>0</v>
      </c>
      <c r="BF1547" s="1">
        <v>0</v>
      </c>
      <c r="BG1547" s="1">
        <v>1</v>
      </c>
      <c r="BH1547" s="1">
        <v>0</v>
      </c>
      <c r="BI1547" s="1">
        <v>0</v>
      </c>
      <c r="BJ1547" s="1">
        <v>0</v>
      </c>
      <c r="BK1547" s="1">
        <v>0</v>
      </c>
      <c r="BL1547" s="1">
        <v>0</v>
      </c>
      <c r="BM1547" s="1">
        <v>0</v>
      </c>
      <c r="BN1547" s="1">
        <v>0</v>
      </c>
      <c r="BO1547" s="1">
        <v>0</v>
      </c>
      <c r="BP1547" s="1">
        <v>0</v>
      </c>
      <c r="BQ1547" s="1" t="s">
        <v>104</v>
      </c>
      <c r="BR1547" s="1">
        <v>1633</v>
      </c>
      <c r="BS1547" s="1" t="s">
        <v>104</v>
      </c>
      <c r="BX1547" s="1">
        <v>0</v>
      </c>
      <c r="BY1547" s="1" t="s">
        <v>104</v>
      </c>
      <c r="BZ1547" s="1" t="s">
        <v>104</v>
      </c>
      <c r="CA1547" s="1" t="s">
        <v>104</v>
      </c>
      <c r="CB1547" s="1" t="s">
        <v>104</v>
      </c>
      <c r="CC1547" s="1" t="s">
        <v>104</v>
      </c>
      <c r="CD1547" s="1" t="s">
        <v>104</v>
      </c>
      <c r="CE1547" s="1" t="s">
        <v>104</v>
      </c>
      <c r="CF1547" s="1" t="s">
        <v>104</v>
      </c>
      <c r="CG1547" s="1" t="s">
        <v>104</v>
      </c>
      <c r="CH1547" s="1" t="s">
        <v>104</v>
      </c>
      <c r="CJ1547" s="1">
        <v>0</v>
      </c>
      <c r="CK1547" s="1">
        <v>0</v>
      </c>
      <c r="CL1547" s="1">
        <v>0</v>
      </c>
      <c r="CM1547" s="1" t="s">
        <v>104</v>
      </c>
    </row>
    <row r="1548" spans="1:91" ht="14.25" customHeight="1" x14ac:dyDescent="0.3">
      <c r="A1548" s="1" t="s">
        <v>8671</v>
      </c>
      <c r="B1548" s="1" t="s">
        <v>137</v>
      </c>
      <c r="D1548" s="1" t="s">
        <v>58</v>
      </c>
      <c r="E1548" s="1" t="s">
        <v>8672</v>
      </c>
      <c r="F1548" s="1" t="s">
        <v>95</v>
      </c>
      <c r="G1548" s="1" t="s">
        <v>116</v>
      </c>
      <c r="H1548" s="1">
        <v>0</v>
      </c>
      <c r="I1548" s="1" t="s">
        <v>157</v>
      </c>
      <c r="L1548" s="1" t="s">
        <v>158</v>
      </c>
      <c r="M1548" s="1" t="s">
        <v>4641</v>
      </c>
      <c r="N1548" s="1">
        <v>1</v>
      </c>
      <c r="O1548" s="1">
        <v>0</v>
      </c>
      <c r="P1548" s="1" t="s">
        <v>100</v>
      </c>
      <c r="Q1548" s="1" t="s">
        <v>101</v>
      </c>
      <c r="R1548" s="1" t="s">
        <v>8673</v>
      </c>
      <c r="S1548" s="1" t="s">
        <v>8667</v>
      </c>
      <c r="T1548" s="1">
        <v>1</v>
      </c>
      <c r="U1548" s="1">
        <v>1</v>
      </c>
      <c r="V1548" s="1">
        <v>0</v>
      </c>
      <c r="W1548" s="1">
        <v>0</v>
      </c>
      <c r="X1548" s="1">
        <v>0</v>
      </c>
      <c r="Y1548" s="1">
        <v>8</v>
      </c>
      <c r="Z1548" s="1">
        <v>8</v>
      </c>
      <c r="AA1548" s="1">
        <v>8</v>
      </c>
      <c r="AB1548" s="1" t="s">
        <v>104</v>
      </c>
      <c r="AC1548" s="1" t="s">
        <v>104</v>
      </c>
      <c r="AD1548" s="1" t="s">
        <v>104</v>
      </c>
      <c r="AE1548" s="1">
        <v>4</v>
      </c>
      <c r="AF1548" s="1" t="s">
        <v>104</v>
      </c>
      <c r="AG1548" s="1" t="s">
        <v>104</v>
      </c>
      <c r="AH1548" s="1" t="s">
        <v>104</v>
      </c>
      <c r="AI1548" s="1" t="s">
        <v>104</v>
      </c>
      <c r="AJ1548" s="1">
        <v>8</v>
      </c>
      <c r="AK1548" s="1" t="s">
        <v>104</v>
      </c>
      <c r="AL1548" s="1" t="s">
        <v>104</v>
      </c>
      <c r="AM1548" s="1" t="s">
        <v>104</v>
      </c>
      <c r="AO1548" s="1">
        <v>8</v>
      </c>
      <c r="AR1548" s="1">
        <v>0</v>
      </c>
      <c r="AS1548" s="1">
        <v>0</v>
      </c>
      <c r="AT1548" s="1">
        <v>0</v>
      </c>
      <c r="AU1548" s="1">
        <v>0</v>
      </c>
      <c r="AV1548" s="1">
        <v>0</v>
      </c>
      <c r="AW1548" s="1">
        <v>0</v>
      </c>
      <c r="AX1548" s="1">
        <v>0</v>
      </c>
      <c r="AY1548" s="1">
        <v>0</v>
      </c>
      <c r="AZ1548" s="1">
        <v>0</v>
      </c>
      <c r="BA1548" s="1">
        <v>0</v>
      </c>
      <c r="BB1548" s="1">
        <v>0</v>
      </c>
      <c r="BC1548" s="1">
        <v>0</v>
      </c>
      <c r="BD1548" s="1">
        <v>0</v>
      </c>
      <c r="BE1548" s="1">
        <v>0</v>
      </c>
      <c r="BF1548" s="1">
        <v>0</v>
      </c>
      <c r="BG1548" s="1">
        <v>1</v>
      </c>
      <c r="BH1548" s="1">
        <v>0</v>
      </c>
      <c r="BI1548" s="1">
        <v>0</v>
      </c>
      <c r="BJ1548" s="1">
        <v>0</v>
      </c>
      <c r="BK1548" s="1">
        <v>0</v>
      </c>
      <c r="BL1548" s="1">
        <v>0</v>
      </c>
      <c r="BM1548" s="1">
        <v>0</v>
      </c>
      <c r="BN1548" s="1">
        <v>0</v>
      </c>
      <c r="BO1548" s="1">
        <v>0</v>
      </c>
      <c r="BP1548" s="1">
        <v>0</v>
      </c>
      <c r="BQ1548" s="1" t="s">
        <v>104</v>
      </c>
      <c r="BR1548" s="1">
        <v>1634</v>
      </c>
      <c r="BS1548" s="1" t="s">
        <v>104</v>
      </c>
      <c r="BX1548" s="1">
        <v>0</v>
      </c>
      <c r="BY1548" s="1" t="s">
        <v>104</v>
      </c>
      <c r="BZ1548" s="1" t="s">
        <v>104</v>
      </c>
      <c r="CA1548" s="1" t="s">
        <v>104</v>
      </c>
      <c r="CB1548" s="1" t="s">
        <v>104</v>
      </c>
      <c r="CC1548" s="1" t="s">
        <v>104</v>
      </c>
      <c r="CD1548" s="1" t="s">
        <v>104</v>
      </c>
      <c r="CE1548" s="1" t="s">
        <v>104</v>
      </c>
      <c r="CF1548" s="1" t="s">
        <v>104</v>
      </c>
      <c r="CG1548" s="1" t="s">
        <v>104</v>
      </c>
      <c r="CH1548" s="1" t="s">
        <v>104</v>
      </c>
      <c r="CJ1548" s="1">
        <v>0</v>
      </c>
      <c r="CK1548" s="1">
        <v>0</v>
      </c>
      <c r="CL1548" s="1">
        <v>0</v>
      </c>
      <c r="CM1548" s="1" t="s">
        <v>104</v>
      </c>
    </row>
    <row r="1549" spans="1:91" ht="14.25" customHeight="1" x14ac:dyDescent="0.3">
      <c r="A1549" s="1" t="s">
        <v>8674</v>
      </c>
      <c r="B1549" s="1" t="s">
        <v>137</v>
      </c>
      <c r="D1549" s="1" t="s">
        <v>58</v>
      </c>
      <c r="E1549" s="1" t="s">
        <v>8675</v>
      </c>
      <c r="F1549" s="1" t="s">
        <v>95</v>
      </c>
      <c r="G1549" s="1" t="s">
        <v>116</v>
      </c>
      <c r="H1549" s="1">
        <v>0</v>
      </c>
      <c r="I1549" s="1" t="s">
        <v>157</v>
      </c>
      <c r="L1549" s="1" t="s">
        <v>158</v>
      </c>
      <c r="M1549" s="1" t="s">
        <v>4641</v>
      </c>
      <c r="N1549" s="1">
        <v>1</v>
      </c>
      <c r="O1549" s="1">
        <v>0</v>
      </c>
      <c r="P1549" s="1" t="s">
        <v>100</v>
      </c>
      <c r="Q1549" s="1" t="s">
        <v>101</v>
      </c>
      <c r="R1549" s="1" t="s">
        <v>8676</v>
      </c>
      <c r="S1549" s="1" t="s">
        <v>8667</v>
      </c>
      <c r="T1549" s="1">
        <v>1</v>
      </c>
      <c r="U1549" s="1">
        <v>1</v>
      </c>
      <c r="V1549" s="1">
        <v>0</v>
      </c>
      <c r="W1549" s="1">
        <v>0</v>
      </c>
      <c r="X1549" s="1">
        <v>0</v>
      </c>
      <c r="Y1549" s="1">
        <v>5</v>
      </c>
      <c r="Z1549" s="1">
        <v>5</v>
      </c>
      <c r="AA1549" s="1">
        <v>5</v>
      </c>
      <c r="AB1549" s="1" t="s">
        <v>104</v>
      </c>
      <c r="AC1549" s="1" t="s">
        <v>104</v>
      </c>
      <c r="AD1549" s="1" t="s">
        <v>104</v>
      </c>
      <c r="AE1549" s="1">
        <v>3</v>
      </c>
      <c r="AF1549" s="1" t="s">
        <v>104</v>
      </c>
      <c r="AG1549" s="1" t="s">
        <v>104</v>
      </c>
      <c r="AH1549" s="1" t="s">
        <v>104</v>
      </c>
      <c r="AI1549" s="1" t="s">
        <v>104</v>
      </c>
      <c r="AJ1549" s="1">
        <v>5</v>
      </c>
      <c r="AK1549" s="1" t="s">
        <v>104</v>
      </c>
      <c r="AL1549" s="1" t="s">
        <v>104</v>
      </c>
      <c r="AM1549" s="1" t="s">
        <v>104</v>
      </c>
      <c r="AO1549" s="1">
        <v>5</v>
      </c>
      <c r="AR1549" s="1">
        <v>0</v>
      </c>
      <c r="AS1549" s="1">
        <v>0</v>
      </c>
      <c r="AT1549" s="1">
        <v>0</v>
      </c>
      <c r="AU1549" s="1">
        <v>0</v>
      </c>
      <c r="AV1549" s="1">
        <v>0</v>
      </c>
      <c r="AW1549" s="1">
        <v>0</v>
      </c>
      <c r="AX1549" s="1">
        <v>0</v>
      </c>
      <c r="AY1549" s="1">
        <v>0</v>
      </c>
      <c r="AZ1549" s="1">
        <v>0</v>
      </c>
      <c r="BA1549" s="1">
        <v>0</v>
      </c>
      <c r="BB1549" s="1">
        <v>0</v>
      </c>
      <c r="BC1549" s="1">
        <v>0</v>
      </c>
      <c r="BD1549" s="1">
        <v>0</v>
      </c>
      <c r="BE1549" s="1">
        <v>0</v>
      </c>
      <c r="BF1549" s="1">
        <v>0</v>
      </c>
      <c r="BG1549" s="1">
        <v>1</v>
      </c>
      <c r="BH1549" s="1">
        <v>0</v>
      </c>
      <c r="BI1549" s="1">
        <v>0</v>
      </c>
      <c r="BJ1549" s="1">
        <v>0</v>
      </c>
      <c r="BK1549" s="1">
        <v>0</v>
      </c>
      <c r="BL1549" s="1">
        <v>0</v>
      </c>
      <c r="BM1549" s="1">
        <v>0</v>
      </c>
      <c r="BN1549" s="1">
        <v>0</v>
      </c>
      <c r="BO1549" s="1">
        <v>0</v>
      </c>
      <c r="BP1549" s="1">
        <v>0</v>
      </c>
      <c r="BQ1549" s="1" t="s">
        <v>104</v>
      </c>
      <c r="BR1549" s="1">
        <v>1635</v>
      </c>
      <c r="BS1549" s="1" t="s">
        <v>104</v>
      </c>
      <c r="BX1549" s="1">
        <v>0</v>
      </c>
      <c r="BY1549" s="1" t="s">
        <v>104</v>
      </c>
      <c r="BZ1549" s="1" t="s">
        <v>104</v>
      </c>
      <c r="CA1549" s="1" t="s">
        <v>104</v>
      </c>
      <c r="CB1549" s="1" t="s">
        <v>104</v>
      </c>
      <c r="CC1549" s="1" t="s">
        <v>104</v>
      </c>
      <c r="CD1549" s="1" t="s">
        <v>104</v>
      </c>
      <c r="CE1549" s="1" t="s">
        <v>104</v>
      </c>
      <c r="CF1549" s="1" t="s">
        <v>104</v>
      </c>
      <c r="CG1549" s="1" t="s">
        <v>104</v>
      </c>
      <c r="CH1549" s="1" t="s">
        <v>104</v>
      </c>
      <c r="CJ1549" s="1">
        <v>0</v>
      </c>
      <c r="CK1549" s="1">
        <v>0</v>
      </c>
      <c r="CL1549" s="1">
        <v>0</v>
      </c>
      <c r="CM1549" s="1" t="s">
        <v>104</v>
      </c>
    </row>
    <row r="1550" spans="1:91" ht="14.25" customHeight="1" x14ac:dyDescent="0.3">
      <c r="A1550" s="1" t="s">
        <v>8677</v>
      </c>
      <c r="B1550" s="1" t="s">
        <v>434</v>
      </c>
      <c r="D1550" s="1" t="s">
        <v>2042</v>
      </c>
      <c r="E1550" s="1" t="s">
        <v>8678</v>
      </c>
      <c r="F1550" s="1" t="s">
        <v>95</v>
      </c>
      <c r="G1550" s="1" t="s">
        <v>116</v>
      </c>
      <c r="H1550" s="1">
        <v>0</v>
      </c>
      <c r="I1550" s="1" t="s">
        <v>914</v>
      </c>
      <c r="J1550" s="1" t="s">
        <v>549</v>
      </c>
      <c r="M1550" s="1" t="s">
        <v>119</v>
      </c>
      <c r="N1550" s="1">
        <v>0</v>
      </c>
      <c r="O1550" s="1">
        <v>0</v>
      </c>
      <c r="P1550" s="1" t="s">
        <v>183</v>
      </c>
      <c r="Q1550" s="1" t="s">
        <v>184</v>
      </c>
      <c r="R1550" s="1" t="s">
        <v>8679</v>
      </c>
      <c r="S1550" s="1" t="s">
        <v>8667</v>
      </c>
      <c r="T1550" s="1">
        <v>1</v>
      </c>
      <c r="U1550" s="1">
        <v>1</v>
      </c>
      <c r="V1550" s="1">
        <v>0</v>
      </c>
      <c r="W1550" s="1">
        <v>0</v>
      </c>
      <c r="X1550" s="1">
        <v>0</v>
      </c>
      <c r="Y1550" s="1">
        <v>7</v>
      </c>
      <c r="Z1550" s="1">
        <v>7</v>
      </c>
      <c r="AA1550" s="1">
        <v>7</v>
      </c>
      <c r="AB1550" s="1" t="s">
        <v>104</v>
      </c>
      <c r="AC1550" s="1" t="s">
        <v>104</v>
      </c>
      <c r="AD1550" s="1">
        <v>5</v>
      </c>
      <c r="AE1550" s="1">
        <v>4</v>
      </c>
      <c r="AF1550" s="1" t="s">
        <v>104</v>
      </c>
      <c r="AG1550" s="1" t="s">
        <v>104</v>
      </c>
      <c r="AH1550" s="1" t="s">
        <v>104</v>
      </c>
      <c r="AI1550" s="1" t="s">
        <v>104</v>
      </c>
      <c r="AJ1550" s="1">
        <v>7</v>
      </c>
      <c r="AK1550" s="1" t="s">
        <v>104</v>
      </c>
      <c r="AL1550" s="1" t="s">
        <v>104</v>
      </c>
      <c r="AM1550" s="1" t="s">
        <v>104</v>
      </c>
      <c r="AO1550" s="1">
        <v>7</v>
      </c>
      <c r="AR1550" s="1">
        <v>0</v>
      </c>
      <c r="AS1550" s="1">
        <v>0</v>
      </c>
      <c r="AT1550" s="1">
        <v>0</v>
      </c>
      <c r="AU1550" s="1">
        <v>0</v>
      </c>
      <c r="AV1550" s="1">
        <v>0</v>
      </c>
      <c r="AW1550" s="1">
        <v>0</v>
      </c>
      <c r="AX1550" s="1">
        <v>0</v>
      </c>
      <c r="AY1550" s="1">
        <v>0</v>
      </c>
      <c r="AZ1550" s="1">
        <v>0</v>
      </c>
      <c r="BA1550" s="1">
        <v>0</v>
      </c>
      <c r="BB1550" s="1">
        <v>0</v>
      </c>
      <c r="BC1550" s="1">
        <v>0</v>
      </c>
      <c r="BD1550" s="1">
        <v>0</v>
      </c>
      <c r="BE1550" s="1">
        <v>0</v>
      </c>
      <c r="BF1550" s="1">
        <v>0</v>
      </c>
      <c r="BG1550" s="1">
        <v>1</v>
      </c>
      <c r="BH1550" s="1">
        <v>0</v>
      </c>
      <c r="BI1550" s="1">
        <v>0</v>
      </c>
      <c r="BJ1550" s="1">
        <v>0</v>
      </c>
      <c r="BK1550" s="1">
        <v>0</v>
      </c>
      <c r="BL1550" s="1">
        <v>0</v>
      </c>
      <c r="BM1550" s="1">
        <v>0</v>
      </c>
      <c r="BN1550" s="1">
        <v>0</v>
      </c>
      <c r="BO1550" s="1">
        <v>1</v>
      </c>
      <c r="BP1550" s="1">
        <v>0</v>
      </c>
      <c r="BQ1550" s="1" t="s">
        <v>104</v>
      </c>
      <c r="BR1550" s="1">
        <v>1636</v>
      </c>
      <c r="BS1550" s="1" t="s">
        <v>104</v>
      </c>
      <c r="BX1550" s="1">
        <v>0</v>
      </c>
      <c r="BY1550" s="1" t="s">
        <v>104</v>
      </c>
      <c r="BZ1550" s="1" t="s">
        <v>104</v>
      </c>
      <c r="CA1550" s="1" t="s">
        <v>104</v>
      </c>
      <c r="CB1550" s="1" t="s">
        <v>104</v>
      </c>
      <c r="CC1550" s="1" t="s">
        <v>104</v>
      </c>
      <c r="CD1550" s="1" t="s">
        <v>104</v>
      </c>
      <c r="CE1550" s="1" t="s">
        <v>104</v>
      </c>
      <c r="CF1550" s="1" t="s">
        <v>104</v>
      </c>
      <c r="CG1550" s="1" t="s">
        <v>104</v>
      </c>
      <c r="CH1550" s="1" t="s">
        <v>104</v>
      </c>
      <c r="CJ1550" s="1">
        <v>0</v>
      </c>
      <c r="CK1550" s="1">
        <v>0</v>
      </c>
      <c r="CL1550" s="1">
        <v>0</v>
      </c>
      <c r="CM1550" s="1" t="s">
        <v>104</v>
      </c>
    </row>
    <row r="1551" spans="1:91" ht="14.25" customHeight="1" x14ac:dyDescent="0.3">
      <c r="A1551" s="1" t="s">
        <v>8680</v>
      </c>
      <c r="B1551" s="1" t="s">
        <v>434</v>
      </c>
      <c r="D1551" s="1" t="s">
        <v>5171</v>
      </c>
      <c r="E1551" s="1" t="s">
        <v>8079</v>
      </c>
      <c r="F1551" s="1" t="s">
        <v>95</v>
      </c>
      <c r="G1551" s="1" t="s">
        <v>8681</v>
      </c>
      <c r="H1551" s="1">
        <v>0</v>
      </c>
      <c r="I1551" s="1" t="s">
        <v>97</v>
      </c>
      <c r="J1551" s="1" t="s">
        <v>5994</v>
      </c>
      <c r="M1551" s="1" t="s">
        <v>119</v>
      </c>
      <c r="N1551" s="1">
        <v>0</v>
      </c>
      <c r="O1551" s="1">
        <v>0</v>
      </c>
      <c r="P1551" s="1" t="s">
        <v>3552</v>
      </c>
      <c r="Q1551" s="1" t="s">
        <v>184</v>
      </c>
      <c r="R1551" s="1" t="s">
        <v>8682</v>
      </c>
      <c r="S1551" s="1" t="s">
        <v>8667</v>
      </c>
      <c r="T1551" s="1">
        <v>1</v>
      </c>
      <c r="U1551" s="1">
        <v>1</v>
      </c>
      <c r="V1551" s="1">
        <v>1</v>
      </c>
      <c r="W1551" s="1">
        <v>0</v>
      </c>
      <c r="X1551" s="1">
        <v>1</v>
      </c>
      <c r="Y1551" s="1">
        <v>2</v>
      </c>
      <c r="Z1551" s="1">
        <v>2</v>
      </c>
      <c r="AA1551" s="1">
        <v>2</v>
      </c>
      <c r="AB1551" s="1">
        <v>2</v>
      </c>
      <c r="AC1551" s="1" t="s">
        <v>104</v>
      </c>
      <c r="AD1551" s="1" t="s">
        <v>104</v>
      </c>
      <c r="AE1551" s="1" t="s">
        <v>104</v>
      </c>
      <c r="AF1551" s="1" t="s">
        <v>104</v>
      </c>
      <c r="AG1551" s="1" t="s">
        <v>104</v>
      </c>
      <c r="AH1551" s="1" t="s">
        <v>104</v>
      </c>
      <c r="AI1551" s="1" t="s">
        <v>104</v>
      </c>
      <c r="AJ1551" s="1">
        <v>2</v>
      </c>
      <c r="AK1551" s="1" t="s">
        <v>104</v>
      </c>
      <c r="AL1551" s="1" t="s">
        <v>104</v>
      </c>
      <c r="AM1551" s="1" t="s">
        <v>104</v>
      </c>
      <c r="AO1551" s="1">
        <v>2</v>
      </c>
      <c r="AR1551" s="1">
        <v>0</v>
      </c>
      <c r="AS1551" s="1">
        <v>0</v>
      </c>
      <c r="AT1551" s="1">
        <v>0</v>
      </c>
      <c r="AU1551" s="1">
        <v>0</v>
      </c>
      <c r="AV1551" s="1">
        <v>0</v>
      </c>
      <c r="AW1551" s="1">
        <v>0</v>
      </c>
      <c r="AX1551" s="1">
        <v>0</v>
      </c>
      <c r="AY1551" s="1">
        <v>0</v>
      </c>
      <c r="AZ1551" s="1">
        <v>0</v>
      </c>
      <c r="BA1551" s="1">
        <v>0</v>
      </c>
      <c r="BB1551" s="1">
        <v>0</v>
      </c>
      <c r="BC1551" s="1">
        <v>0</v>
      </c>
      <c r="BD1551" s="1">
        <v>0</v>
      </c>
      <c r="BE1551" s="1">
        <v>0</v>
      </c>
      <c r="BF1551" s="1">
        <v>0</v>
      </c>
      <c r="BG1551" s="1">
        <v>1</v>
      </c>
      <c r="BH1551" s="1">
        <v>0</v>
      </c>
      <c r="BI1551" s="1">
        <v>0</v>
      </c>
      <c r="BJ1551" s="1">
        <v>1</v>
      </c>
      <c r="BK1551" s="1">
        <v>0</v>
      </c>
      <c r="BL1551" s="1">
        <v>0</v>
      </c>
      <c r="BM1551" s="1">
        <v>0</v>
      </c>
      <c r="BN1551" s="1">
        <v>0</v>
      </c>
      <c r="BO1551" s="1">
        <v>0</v>
      </c>
      <c r="BP1551" s="1">
        <v>0</v>
      </c>
      <c r="BQ1551" s="1" t="s">
        <v>104</v>
      </c>
      <c r="BR1551" s="1">
        <v>1637</v>
      </c>
      <c r="BS1551" s="1" t="s">
        <v>104</v>
      </c>
      <c r="BX1551" s="1">
        <v>0</v>
      </c>
      <c r="BY1551" s="1" t="s">
        <v>104</v>
      </c>
      <c r="BZ1551" s="1" t="s">
        <v>104</v>
      </c>
      <c r="CA1551" s="1" t="s">
        <v>104</v>
      </c>
      <c r="CB1551" s="1" t="s">
        <v>104</v>
      </c>
      <c r="CC1551" s="1" t="s">
        <v>104</v>
      </c>
      <c r="CD1551" s="1" t="s">
        <v>104</v>
      </c>
      <c r="CE1551" s="1" t="s">
        <v>104</v>
      </c>
      <c r="CF1551" s="1" t="s">
        <v>104</v>
      </c>
      <c r="CG1551" s="1" t="s">
        <v>104</v>
      </c>
      <c r="CH1551" s="1">
        <v>2</v>
      </c>
      <c r="CJ1551" s="1">
        <v>0</v>
      </c>
      <c r="CK1551" s="1">
        <v>0</v>
      </c>
      <c r="CL1551" s="1">
        <v>0</v>
      </c>
      <c r="CM1551" s="1" t="s">
        <v>104</v>
      </c>
    </row>
    <row r="1552" spans="1:91" ht="14.25" customHeight="1" x14ac:dyDescent="0.3">
      <c r="A1552" s="1" t="s">
        <v>8683</v>
      </c>
      <c r="B1552" s="1" t="s">
        <v>92</v>
      </c>
      <c r="C1552" s="1" t="s">
        <v>93</v>
      </c>
      <c r="D1552" s="1" t="s">
        <v>58</v>
      </c>
      <c r="E1552" s="1" t="s">
        <v>8684</v>
      </c>
      <c r="F1552" s="1" t="s">
        <v>95</v>
      </c>
      <c r="G1552" s="1" t="s">
        <v>8685</v>
      </c>
      <c r="H1552" s="1">
        <v>0</v>
      </c>
      <c r="I1552" s="1" t="s">
        <v>8686</v>
      </c>
      <c r="L1552" s="1" t="s">
        <v>1065</v>
      </c>
      <c r="M1552" s="1" t="s">
        <v>426</v>
      </c>
      <c r="N1552" s="1">
        <v>1</v>
      </c>
      <c r="O1552" s="1">
        <v>0</v>
      </c>
      <c r="P1552" s="1" t="s">
        <v>1605</v>
      </c>
      <c r="Q1552" s="1" t="s">
        <v>101</v>
      </c>
      <c r="R1552" s="1" t="s">
        <v>8687</v>
      </c>
      <c r="S1552" s="1" t="s">
        <v>8667</v>
      </c>
      <c r="T1552" s="1">
        <v>1</v>
      </c>
      <c r="U1552" s="1">
        <v>1</v>
      </c>
      <c r="V1552" s="1">
        <v>0</v>
      </c>
      <c r="W1552" s="1">
        <v>0</v>
      </c>
      <c r="X1552" s="1">
        <v>0</v>
      </c>
      <c r="Y1552" s="1">
        <v>6</v>
      </c>
      <c r="Z1552" s="1">
        <v>6</v>
      </c>
      <c r="AA1552" s="1">
        <v>6</v>
      </c>
      <c r="AB1552" s="1" t="s">
        <v>104</v>
      </c>
      <c r="AC1552" s="1" t="s">
        <v>104</v>
      </c>
      <c r="AD1552" s="1" t="s">
        <v>104</v>
      </c>
      <c r="AE1552" s="1">
        <v>4</v>
      </c>
      <c r="AF1552" s="1" t="s">
        <v>104</v>
      </c>
      <c r="AG1552" s="1" t="s">
        <v>104</v>
      </c>
      <c r="AH1552" s="1" t="s">
        <v>104</v>
      </c>
      <c r="AI1552" s="1">
        <v>5</v>
      </c>
      <c r="AJ1552" s="1">
        <v>6</v>
      </c>
      <c r="AK1552" s="1" t="s">
        <v>104</v>
      </c>
      <c r="AL1552" s="1" t="s">
        <v>104</v>
      </c>
      <c r="AM1552" s="1" t="s">
        <v>104</v>
      </c>
      <c r="AO1552" s="1">
        <v>6</v>
      </c>
      <c r="AR1552" s="1">
        <v>0</v>
      </c>
      <c r="AS1552" s="1">
        <v>0</v>
      </c>
      <c r="AT1552" s="1">
        <v>0</v>
      </c>
      <c r="AU1552" s="1">
        <v>0</v>
      </c>
      <c r="AV1552" s="1">
        <v>0</v>
      </c>
      <c r="AW1552" s="1">
        <v>0</v>
      </c>
      <c r="AX1552" s="1">
        <v>0</v>
      </c>
      <c r="AY1552" s="1">
        <v>0</v>
      </c>
      <c r="AZ1552" s="1">
        <v>0</v>
      </c>
      <c r="BA1552" s="1">
        <v>0</v>
      </c>
      <c r="BB1552" s="1">
        <v>0</v>
      </c>
      <c r="BC1552" s="1">
        <v>0</v>
      </c>
      <c r="BD1552" s="1">
        <v>0</v>
      </c>
      <c r="BE1552" s="1">
        <v>0</v>
      </c>
      <c r="BF1552" s="1">
        <v>0</v>
      </c>
      <c r="BG1552" s="1">
        <v>1</v>
      </c>
      <c r="BH1552" s="1">
        <v>0</v>
      </c>
      <c r="BI1552" s="1">
        <v>0</v>
      </c>
      <c r="BJ1552" s="1">
        <v>0</v>
      </c>
      <c r="BK1552" s="1">
        <v>0</v>
      </c>
      <c r="BL1552" s="1">
        <v>0</v>
      </c>
      <c r="BM1552" s="1">
        <v>0</v>
      </c>
      <c r="BN1552" s="1">
        <v>0</v>
      </c>
      <c r="BO1552" s="1">
        <v>0</v>
      </c>
      <c r="BP1552" s="1">
        <v>0</v>
      </c>
      <c r="BQ1552" s="1" t="s">
        <v>104</v>
      </c>
      <c r="BR1552" s="1">
        <v>1638</v>
      </c>
      <c r="BS1552" s="1" t="s">
        <v>104</v>
      </c>
      <c r="BX1552" s="1">
        <v>0</v>
      </c>
      <c r="BY1552" s="1" t="s">
        <v>104</v>
      </c>
      <c r="BZ1552" s="1" t="s">
        <v>104</v>
      </c>
      <c r="CA1552" s="1" t="s">
        <v>104</v>
      </c>
      <c r="CB1552" s="1" t="s">
        <v>104</v>
      </c>
      <c r="CC1552" s="1" t="s">
        <v>104</v>
      </c>
      <c r="CD1552" s="1" t="s">
        <v>104</v>
      </c>
      <c r="CE1552" s="1" t="s">
        <v>104</v>
      </c>
      <c r="CF1552" s="1" t="s">
        <v>104</v>
      </c>
      <c r="CG1552" s="1" t="s">
        <v>104</v>
      </c>
      <c r="CH1552" s="1" t="s">
        <v>104</v>
      </c>
      <c r="CJ1552" s="1">
        <v>0</v>
      </c>
      <c r="CK1552" s="1">
        <v>0</v>
      </c>
      <c r="CL1552" s="1">
        <v>0</v>
      </c>
      <c r="CM1552" s="1" t="s">
        <v>104</v>
      </c>
    </row>
    <row r="1553" spans="1:91" ht="14.25" customHeight="1" x14ac:dyDescent="0.3">
      <c r="A1553" s="1" t="s">
        <v>8688</v>
      </c>
      <c r="B1553" s="1" t="s">
        <v>123</v>
      </c>
      <c r="C1553" s="1" t="s">
        <v>124</v>
      </c>
      <c r="D1553" s="1" t="s">
        <v>4506</v>
      </c>
      <c r="E1553" s="1" t="s">
        <v>8065</v>
      </c>
      <c r="F1553" s="1" t="s">
        <v>95</v>
      </c>
      <c r="G1553" s="1" t="s">
        <v>127</v>
      </c>
      <c r="H1553" s="1">
        <v>0</v>
      </c>
      <c r="I1553" s="1" t="s">
        <v>128</v>
      </c>
      <c r="L1553" s="1" t="s">
        <v>1065</v>
      </c>
      <c r="M1553" s="1" t="s">
        <v>426</v>
      </c>
      <c r="N1553" s="1">
        <v>1</v>
      </c>
      <c r="O1553" s="1">
        <v>0</v>
      </c>
      <c r="P1553" s="1" t="s">
        <v>211</v>
      </c>
      <c r="Q1553" s="1" t="s">
        <v>184</v>
      </c>
      <c r="R1553" s="1" t="s">
        <v>8689</v>
      </c>
      <c r="S1553" s="1" t="s">
        <v>8667</v>
      </c>
      <c r="T1553" s="1">
        <v>1</v>
      </c>
      <c r="U1553" s="1">
        <v>1</v>
      </c>
      <c r="V1553" s="1">
        <v>0</v>
      </c>
      <c r="W1553" s="1">
        <v>0</v>
      </c>
      <c r="X1553" s="1">
        <v>1</v>
      </c>
      <c r="Y1553" s="1">
        <v>2</v>
      </c>
      <c r="Z1553" s="1">
        <v>2</v>
      </c>
      <c r="AA1553" s="1">
        <v>2</v>
      </c>
      <c r="AB1553" s="1" t="s">
        <v>104</v>
      </c>
      <c r="AC1553" s="1" t="s">
        <v>104</v>
      </c>
      <c r="AD1553" s="1">
        <v>2</v>
      </c>
      <c r="AE1553" s="1" t="s">
        <v>104</v>
      </c>
      <c r="AF1553" s="1" t="s">
        <v>104</v>
      </c>
      <c r="AG1553" s="1" t="s">
        <v>104</v>
      </c>
      <c r="AH1553" s="1" t="s">
        <v>104</v>
      </c>
      <c r="AI1553" s="1" t="s">
        <v>104</v>
      </c>
      <c r="AJ1553" s="1">
        <v>2</v>
      </c>
      <c r="AK1553" s="1" t="s">
        <v>104</v>
      </c>
      <c r="AL1553" s="1" t="s">
        <v>104</v>
      </c>
      <c r="AM1553" s="1" t="s">
        <v>104</v>
      </c>
      <c r="AO1553" s="1">
        <v>2</v>
      </c>
      <c r="AR1553" s="1">
        <v>0</v>
      </c>
      <c r="AS1553" s="1">
        <v>0</v>
      </c>
      <c r="AT1553" s="1">
        <v>0</v>
      </c>
      <c r="AU1553" s="1">
        <v>0</v>
      </c>
      <c r="AV1553" s="1">
        <v>0</v>
      </c>
      <c r="AW1553" s="1">
        <v>0</v>
      </c>
      <c r="AX1553" s="1">
        <v>0</v>
      </c>
      <c r="AY1553" s="1">
        <v>0</v>
      </c>
      <c r="AZ1553" s="1">
        <v>0</v>
      </c>
      <c r="BA1553" s="1">
        <v>0</v>
      </c>
      <c r="BB1553" s="1">
        <v>0</v>
      </c>
      <c r="BC1553" s="1">
        <v>0</v>
      </c>
      <c r="BD1553" s="1">
        <v>0</v>
      </c>
      <c r="BE1553" s="1">
        <v>0</v>
      </c>
      <c r="BF1553" s="1">
        <v>0</v>
      </c>
      <c r="BG1553" s="1">
        <v>1</v>
      </c>
      <c r="BH1553" s="1">
        <v>0</v>
      </c>
      <c r="BI1553" s="1">
        <v>0</v>
      </c>
      <c r="BJ1553" s="1">
        <v>0</v>
      </c>
      <c r="BK1553" s="1">
        <v>1</v>
      </c>
      <c r="BL1553" s="1">
        <v>0</v>
      </c>
      <c r="BM1553" s="1">
        <v>0</v>
      </c>
      <c r="BN1553" s="1">
        <v>0</v>
      </c>
      <c r="BO1553" s="1">
        <v>0</v>
      </c>
      <c r="BP1553" s="1">
        <v>0</v>
      </c>
      <c r="BQ1553" s="1" t="s">
        <v>104</v>
      </c>
      <c r="BR1553" s="1">
        <v>1639</v>
      </c>
      <c r="BS1553" s="1" t="s">
        <v>104</v>
      </c>
      <c r="BX1553" s="1">
        <v>0</v>
      </c>
      <c r="BY1553" s="1" t="s">
        <v>104</v>
      </c>
      <c r="BZ1553" s="1" t="s">
        <v>104</v>
      </c>
      <c r="CA1553" s="1" t="s">
        <v>104</v>
      </c>
      <c r="CB1553" s="1" t="s">
        <v>104</v>
      </c>
      <c r="CC1553" s="1" t="s">
        <v>104</v>
      </c>
      <c r="CD1553" s="1" t="s">
        <v>104</v>
      </c>
      <c r="CE1553" s="1" t="s">
        <v>104</v>
      </c>
      <c r="CF1553" s="1" t="s">
        <v>104</v>
      </c>
      <c r="CG1553" s="1" t="s">
        <v>104</v>
      </c>
      <c r="CH1553" s="1" t="s">
        <v>104</v>
      </c>
      <c r="CJ1553" s="1">
        <v>0</v>
      </c>
      <c r="CK1553" s="1">
        <v>0</v>
      </c>
      <c r="CL1553" s="1">
        <v>0</v>
      </c>
      <c r="CM1553" s="1" t="s">
        <v>104</v>
      </c>
    </row>
    <row r="1554" spans="1:91" ht="14.25" customHeight="1" x14ac:dyDescent="0.3">
      <c r="A1554" s="1" t="s">
        <v>8690</v>
      </c>
      <c r="B1554" s="1" t="s">
        <v>123</v>
      </c>
      <c r="C1554" s="1" t="s">
        <v>124</v>
      </c>
      <c r="D1554" s="1" t="s">
        <v>4506</v>
      </c>
      <c r="E1554" s="1" t="s">
        <v>8691</v>
      </c>
      <c r="F1554" s="1" t="s">
        <v>95</v>
      </c>
      <c r="G1554" s="1" t="s">
        <v>116</v>
      </c>
      <c r="H1554" s="1">
        <v>0</v>
      </c>
      <c r="I1554" s="1" t="s">
        <v>914</v>
      </c>
      <c r="J1554" s="1" t="s">
        <v>4508</v>
      </c>
      <c r="M1554" s="1" t="s">
        <v>426</v>
      </c>
      <c r="N1554" s="1">
        <v>1</v>
      </c>
      <c r="O1554" s="1">
        <v>0</v>
      </c>
      <c r="P1554" s="1" t="s">
        <v>211</v>
      </c>
      <c r="Q1554" s="1" t="s">
        <v>184</v>
      </c>
      <c r="R1554" s="1" t="s">
        <v>8692</v>
      </c>
      <c r="S1554" s="1" t="s">
        <v>8667</v>
      </c>
      <c r="T1554" s="1">
        <v>1</v>
      </c>
      <c r="U1554" s="1">
        <v>1</v>
      </c>
      <c r="V1554" s="1">
        <v>0</v>
      </c>
      <c r="W1554" s="1">
        <v>0</v>
      </c>
      <c r="X1554" s="1">
        <v>0</v>
      </c>
      <c r="Y1554" s="1" t="s">
        <v>104</v>
      </c>
      <c r="Z1554" s="1" t="s">
        <v>104</v>
      </c>
      <c r="AA1554" s="1">
        <v>5</v>
      </c>
      <c r="AB1554" s="1" t="s">
        <v>104</v>
      </c>
      <c r="AC1554" s="1" t="s">
        <v>104</v>
      </c>
      <c r="AD1554" s="1">
        <v>5</v>
      </c>
      <c r="AE1554" s="1" t="s">
        <v>104</v>
      </c>
      <c r="AF1554" s="1" t="s">
        <v>104</v>
      </c>
      <c r="AG1554" s="1" t="s">
        <v>104</v>
      </c>
      <c r="AH1554" s="1" t="s">
        <v>104</v>
      </c>
      <c r="AI1554" s="1" t="s">
        <v>104</v>
      </c>
      <c r="AJ1554" s="1">
        <v>5</v>
      </c>
      <c r="AK1554" s="1" t="s">
        <v>104</v>
      </c>
      <c r="AL1554" s="1" t="s">
        <v>104</v>
      </c>
      <c r="AM1554" s="1" t="s">
        <v>104</v>
      </c>
      <c r="AO1554" s="1">
        <v>5</v>
      </c>
      <c r="AR1554" s="1">
        <v>0</v>
      </c>
      <c r="AS1554" s="1">
        <v>0</v>
      </c>
      <c r="AT1554" s="1">
        <v>0</v>
      </c>
      <c r="AU1554" s="1">
        <v>0</v>
      </c>
      <c r="AV1554" s="1">
        <v>0</v>
      </c>
      <c r="AW1554" s="1">
        <v>0</v>
      </c>
      <c r="AX1554" s="1">
        <v>0</v>
      </c>
      <c r="AY1554" s="1">
        <v>0</v>
      </c>
      <c r="AZ1554" s="1">
        <v>0</v>
      </c>
      <c r="BA1554" s="1">
        <v>0</v>
      </c>
      <c r="BB1554" s="1">
        <v>0</v>
      </c>
      <c r="BC1554" s="1">
        <v>0</v>
      </c>
      <c r="BD1554" s="1">
        <v>0</v>
      </c>
      <c r="BE1554" s="1">
        <v>0</v>
      </c>
      <c r="BF1554" s="1">
        <v>0</v>
      </c>
      <c r="BG1554" s="1">
        <v>1</v>
      </c>
      <c r="BH1554" s="1">
        <v>0</v>
      </c>
      <c r="BI1554" s="1">
        <v>0</v>
      </c>
      <c r="BJ1554" s="1">
        <v>0</v>
      </c>
      <c r="BK1554" s="1">
        <v>1</v>
      </c>
      <c r="BL1554" s="1">
        <v>0</v>
      </c>
      <c r="BM1554" s="1">
        <v>0</v>
      </c>
      <c r="BN1554" s="1">
        <v>0</v>
      </c>
      <c r="BO1554" s="1">
        <v>0</v>
      </c>
      <c r="BP1554" s="1">
        <v>0</v>
      </c>
      <c r="BQ1554" s="1" t="s">
        <v>104</v>
      </c>
      <c r="BR1554" s="1">
        <v>1640</v>
      </c>
      <c r="BS1554" s="1" t="s">
        <v>104</v>
      </c>
      <c r="BX1554" s="1">
        <v>0</v>
      </c>
      <c r="BY1554" s="1" t="s">
        <v>104</v>
      </c>
      <c r="BZ1554" s="1" t="s">
        <v>104</v>
      </c>
      <c r="CA1554" s="1" t="s">
        <v>104</v>
      </c>
      <c r="CB1554" s="1" t="s">
        <v>104</v>
      </c>
      <c r="CC1554" s="1" t="s">
        <v>104</v>
      </c>
      <c r="CD1554" s="1" t="s">
        <v>104</v>
      </c>
      <c r="CE1554" s="1" t="s">
        <v>104</v>
      </c>
      <c r="CF1554" s="1" t="s">
        <v>104</v>
      </c>
      <c r="CG1554" s="1" t="s">
        <v>104</v>
      </c>
      <c r="CH1554" s="1" t="s">
        <v>104</v>
      </c>
      <c r="CJ1554" s="1">
        <v>0</v>
      </c>
      <c r="CK1554" s="1">
        <v>0</v>
      </c>
      <c r="CL1554" s="1">
        <v>0</v>
      </c>
      <c r="CM1554" s="1" t="s">
        <v>104</v>
      </c>
    </row>
    <row r="1555" spans="1:91" ht="14.25" customHeight="1" x14ac:dyDescent="0.3">
      <c r="A1555" s="1" t="s">
        <v>8693</v>
      </c>
      <c r="B1555" s="1" t="s">
        <v>162</v>
      </c>
      <c r="D1555" s="1" t="s">
        <v>58</v>
      </c>
      <c r="E1555" s="1" t="s">
        <v>8694</v>
      </c>
      <c r="F1555" s="1" t="s">
        <v>95</v>
      </c>
      <c r="G1555" s="1" t="s">
        <v>116</v>
      </c>
      <c r="H1555" s="1">
        <v>0</v>
      </c>
      <c r="I1555" s="1" t="s">
        <v>448</v>
      </c>
      <c r="J1555" s="1" t="s">
        <v>8695</v>
      </c>
      <c r="M1555" s="1" t="s">
        <v>426</v>
      </c>
      <c r="N1555" s="1">
        <v>1</v>
      </c>
      <c r="O1555" s="1">
        <v>0</v>
      </c>
      <c r="P1555" s="1" t="s">
        <v>211</v>
      </c>
      <c r="Q1555" s="1" t="s">
        <v>184</v>
      </c>
      <c r="R1555" s="1" t="s">
        <v>8696</v>
      </c>
      <c r="S1555" s="1" t="s">
        <v>8667</v>
      </c>
      <c r="T1555" s="1">
        <v>1</v>
      </c>
      <c r="U1555" s="1">
        <v>1</v>
      </c>
      <c r="V1555" s="1">
        <v>0</v>
      </c>
      <c r="W1555" s="1">
        <v>0</v>
      </c>
      <c r="X1555" s="1">
        <v>0</v>
      </c>
      <c r="Y1555" s="1" t="s">
        <v>104</v>
      </c>
      <c r="Z1555" s="1" t="s">
        <v>104</v>
      </c>
      <c r="AA1555" s="1">
        <v>7</v>
      </c>
      <c r="AB1555" s="1" t="s">
        <v>104</v>
      </c>
      <c r="AC1555" s="1" t="s">
        <v>104</v>
      </c>
      <c r="AD1555" s="1">
        <v>6</v>
      </c>
      <c r="AE1555" s="1" t="s">
        <v>104</v>
      </c>
      <c r="AF1555" s="1" t="s">
        <v>104</v>
      </c>
      <c r="AG1555" s="1" t="s">
        <v>104</v>
      </c>
      <c r="AH1555" s="1" t="s">
        <v>104</v>
      </c>
      <c r="AI1555" s="1" t="s">
        <v>104</v>
      </c>
      <c r="AJ1555" s="1">
        <v>7</v>
      </c>
      <c r="AK1555" s="1" t="s">
        <v>104</v>
      </c>
      <c r="AL1555" s="1" t="s">
        <v>104</v>
      </c>
      <c r="AM1555" s="1" t="s">
        <v>104</v>
      </c>
      <c r="AO1555" s="1">
        <v>7</v>
      </c>
      <c r="AR1555" s="1">
        <v>0</v>
      </c>
      <c r="AS1555" s="1">
        <v>0</v>
      </c>
      <c r="AT1555" s="1">
        <v>0</v>
      </c>
      <c r="AU1555" s="1">
        <v>0</v>
      </c>
      <c r="AV1555" s="1">
        <v>0</v>
      </c>
      <c r="AW1555" s="1">
        <v>0</v>
      </c>
      <c r="AX1555" s="1">
        <v>0</v>
      </c>
      <c r="AY1555" s="1">
        <v>0</v>
      </c>
      <c r="AZ1555" s="1">
        <v>0</v>
      </c>
      <c r="BA1555" s="1">
        <v>0</v>
      </c>
      <c r="BB1555" s="1">
        <v>0</v>
      </c>
      <c r="BC1555" s="1">
        <v>0</v>
      </c>
      <c r="BD1555" s="1">
        <v>0</v>
      </c>
      <c r="BE1555" s="1">
        <v>0</v>
      </c>
      <c r="BF1555" s="1">
        <v>0</v>
      </c>
      <c r="BG1555" s="1">
        <v>1</v>
      </c>
      <c r="BH1555" s="1">
        <v>0</v>
      </c>
      <c r="BI1555" s="1">
        <v>0</v>
      </c>
      <c r="BJ1555" s="1">
        <v>0</v>
      </c>
      <c r="BK1555" s="1">
        <v>0</v>
      </c>
      <c r="BL1555" s="1">
        <v>0</v>
      </c>
      <c r="BM1555" s="1">
        <v>0</v>
      </c>
      <c r="BN1555" s="1">
        <v>0</v>
      </c>
      <c r="BO1555" s="1">
        <v>0</v>
      </c>
      <c r="BP1555" s="1">
        <v>0</v>
      </c>
      <c r="BQ1555" s="1" t="s">
        <v>104</v>
      </c>
      <c r="BR1555" s="1">
        <v>1641</v>
      </c>
      <c r="BS1555" s="1" t="s">
        <v>104</v>
      </c>
      <c r="BX1555" s="1">
        <v>0</v>
      </c>
      <c r="BY1555" s="1" t="s">
        <v>104</v>
      </c>
      <c r="BZ1555" s="1" t="s">
        <v>104</v>
      </c>
      <c r="CA1555" s="1" t="s">
        <v>104</v>
      </c>
      <c r="CB1555" s="1" t="s">
        <v>104</v>
      </c>
      <c r="CC1555" s="1" t="s">
        <v>104</v>
      </c>
      <c r="CD1555" s="1" t="s">
        <v>104</v>
      </c>
      <c r="CE1555" s="1" t="s">
        <v>104</v>
      </c>
      <c r="CF1555" s="1" t="s">
        <v>104</v>
      </c>
      <c r="CG1555" s="1" t="s">
        <v>104</v>
      </c>
      <c r="CH1555" s="1" t="s">
        <v>104</v>
      </c>
      <c r="CJ1555" s="1">
        <v>0</v>
      </c>
      <c r="CK1555" s="1">
        <v>0</v>
      </c>
      <c r="CL1555" s="1">
        <v>0</v>
      </c>
      <c r="CM1555" s="1" t="s">
        <v>104</v>
      </c>
    </row>
    <row r="1556" spans="1:91" ht="14.25" customHeight="1" x14ac:dyDescent="0.3">
      <c r="A1556" s="1" t="s">
        <v>8697</v>
      </c>
      <c r="B1556" s="1" t="s">
        <v>216</v>
      </c>
      <c r="E1556" s="1" t="s">
        <v>8698</v>
      </c>
      <c r="F1556" s="1" t="s">
        <v>95</v>
      </c>
      <c r="G1556" s="1" t="s">
        <v>116</v>
      </c>
      <c r="H1556" s="1">
        <v>0</v>
      </c>
      <c r="I1556" s="1" t="s">
        <v>109</v>
      </c>
      <c r="L1556" s="1" t="s">
        <v>417</v>
      </c>
      <c r="M1556" s="1" t="s">
        <v>111</v>
      </c>
      <c r="N1556" s="1">
        <v>0</v>
      </c>
      <c r="O1556" s="1">
        <v>0</v>
      </c>
      <c r="P1556" s="1" t="s">
        <v>183</v>
      </c>
      <c r="Q1556" s="1" t="s">
        <v>184</v>
      </c>
      <c r="R1556" s="1" t="s">
        <v>8699</v>
      </c>
      <c r="S1556" s="1" t="s">
        <v>8700</v>
      </c>
      <c r="T1556" s="1">
        <v>1</v>
      </c>
      <c r="U1556" s="1">
        <v>1</v>
      </c>
      <c r="V1556" s="1">
        <v>0</v>
      </c>
      <c r="W1556" s="1">
        <v>0</v>
      </c>
      <c r="X1556" s="1">
        <v>0</v>
      </c>
      <c r="Y1556" s="1" t="s">
        <v>104</v>
      </c>
      <c r="Z1556" s="1" t="s">
        <v>104</v>
      </c>
      <c r="AA1556" s="1">
        <v>2</v>
      </c>
      <c r="AB1556" s="1" t="s">
        <v>104</v>
      </c>
      <c r="AC1556" s="1" t="s">
        <v>104</v>
      </c>
      <c r="AD1556" s="1" t="s">
        <v>104</v>
      </c>
      <c r="AE1556" s="1" t="s">
        <v>104</v>
      </c>
      <c r="AF1556" s="1" t="s">
        <v>104</v>
      </c>
      <c r="AG1556" s="1" t="s">
        <v>104</v>
      </c>
      <c r="AH1556" s="1" t="s">
        <v>104</v>
      </c>
      <c r="AI1556" s="1">
        <v>3</v>
      </c>
      <c r="AJ1556" s="1">
        <v>2</v>
      </c>
      <c r="AK1556" s="1" t="s">
        <v>104</v>
      </c>
      <c r="AL1556" s="1" t="s">
        <v>104</v>
      </c>
      <c r="AM1556" s="1" t="s">
        <v>104</v>
      </c>
      <c r="AO1556" s="1">
        <v>2</v>
      </c>
      <c r="AR1556" s="1">
        <v>0</v>
      </c>
      <c r="AS1556" s="1">
        <v>0</v>
      </c>
      <c r="AT1556" s="1">
        <v>0</v>
      </c>
      <c r="AU1556" s="1">
        <v>0</v>
      </c>
      <c r="AV1556" s="1">
        <v>0</v>
      </c>
      <c r="AW1556" s="1">
        <v>0</v>
      </c>
      <c r="AX1556" s="1">
        <v>0</v>
      </c>
      <c r="AY1556" s="1">
        <v>0</v>
      </c>
      <c r="AZ1556" s="1">
        <v>0</v>
      </c>
      <c r="BA1556" s="1">
        <v>0</v>
      </c>
      <c r="BB1556" s="1">
        <v>0</v>
      </c>
      <c r="BC1556" s="1">
        <v>0</v>
      </c>
      <c r="BD1556" s="1">
        <v>0</v>
      </c>
      <c r="BE1556" s="1">
        <v>0</v>
      </c>
      <c r="BF1556" s="1">
        <v>0</v>
      </c>
      <c r="BG1556" s="1">
        <v>0</v>
      </c>
      <c r="BH1556" s="1">
        <v>0</v>
      </c>
      <c r="BI1556" s="1">
        <v>0</v>
      </c>
      <c r="BJ1556" s="1">
        <v>0</v>
      </c>
      <c r="BK1556" s="1">
        <v>0</v>
      </c>
      <c r="BL1556" s="1">
        <v>0</v>
      </c>
      <c r="BM1556" s="1">
        <v>0</v>
      </c>
      <c r="BN1556" s="1">
        <v>0</v>
      </c>
      <c r="BO1556" s="1">
        <v>0</v>
      </c>
      <c r="BP1556" s="1">
        <v>0</v>
      </c>
      <c r="BQ1556" s="1" t="s">
        <v>104</v>
      </c>
      <c r="BR1556" s="1">
        <v>1642</v>
      </c>
      <c r="BS1556" s="1" t="s">
        <v>104</v>
      </c>
      <c r="BX1556" s="1">
        <v>0</v>
      </c>
      <c r="BY1556" s="1" t="s">
        <v>104</v>
      </c>
      <c r="BZ1556" s="1" t="s">
        <v>104</v>
      </c>
      <c r="CA1556" s="1" t="s">
        <v>104</v>
      </c>
      <c r="CB1556" s="1" t="s">
        <v>104</v>
      </c>
      <c r="CC1556" s="1" t="s">
        <v>104</v>
      </c>
      <c r="CD1556" s="1" t="s">
        <v>104</v>
      </c>
      <c r="CE1556" s="1" t="s">
        <v>104</v>
      </c>
      <c r="CF1556" s="1" t="s">
        <v>104</v>
      </c>
      <c r="CG1556" s="1" t="s">
        <v>104</v>
      </c>
      <c r="CH1556" s="1" t="s">
        <v>104</v>
      </c>
      <c r="CJ1556" s="1">
        <v>0</v>
      </c>
      <c r="CK1556" s="1">
        <v>0</v>
      </c>
      <c r="CL1556" s="1">
        <v>0</v>
      </c>
      <c r="CM1556" s="1" t="s">
        <v>104</v>
      </c>
    </row>
    <row r="1557" spans="1:91" ht="14.25" customHeight="1" x14ac:dyDescent="0.3">
      <c r="A1557" s="1" t="s">
        <v>8701</v>
      </c>
      <c r="B1557" s="1" t="s">
        <v>123</v>
      </c>
      <c r="C1557" s="1" t="s">
        <v>124</v>
      </c>
      <c r="D1557" s="1" t="s">
        <v>125</v>
      </c>
      <c r="E1557" s="1" t="s">
        <v>8702</v>
      </c>
      <c r="F1557" s="1" t="s">
        <v>95</v>
      </c>
      <c r="G1557" s="1" t="s">
        <v>8703</v>
      </c>
      <c r="H1557" s="1">
        <v>0</v>
      </c>
      <c r="I1557" s="1" t="s">
        <v>117</v>
      </c>
      <c r="L1557" s="1" t="s">
        <v>637</v>
      </c>
      <c r="M1557" s="1" t="s">
        <v>111</v>
      </c>
      <c r="N1557" s="1">
        <v>0</v>
      </c>
      <c r="O1557" s="1">
        <v>0</v>
      </c>
      <c r="P1557" s="1" t="s">
        <v>211</v>
      </c>
      <c r="Q1557" s="1" t="s">
        <v>184</v>
      </c>
      <c r="R1557" s="1" t="s">
        <v>8704</v>
      </c>
      <c r="S1557" s="1" t="s">
        <v>8700</v>
      </c>
      <c r="T1557" s="1">
        <v>1</v>
      </c>
      <c r="U1557" s="1">
        <v>1</v>
      </c>
      <c r="V1557" s="1">
        <v>0</v>
      </c>
      <c r="W1557" s="1">
        <v>0</v>
      </c>
      <c r="X1557" s="1">
        <v>1</v>
      </c>
      <c r="Y1557" s="1">
        <v>3</v>
      </c>
      <c r="Z1557" s="1">
        <v>3</v>
      </c>
      <c r="AA1557" s="1">
        <v>3</v>
      </c>
      <c r="AB1557" s="1" t="s">
        <v>104</v>
      </c>
      <c r="AC1557" s="1" t="s">
        <v>104</v>
      </c>
      <c r="AD1557" s="1">
        <v>2</v>
      </c>
      <c r="AE1557" s="1" t="s">
        <v>104</v>
      </c>
      <c r="AF1557" s="1" t="s">
        <v>104</v>
      </c>
      <c r="AG1557" s="1" t="s">
        <v>104</v>
      </c>
      <c r="AH1557" s="1">
        <v>3</v>
      </c>
      <c r="AI1557" s="1" t="s">
        <v>104</v>
      </c>
      <c r="AJ1557" s="1">
        <v>3</v>
      </c>
      <c r="AK1557" s="1" t="s">
        <v>104</v>
      </c>
      <c r="AL1557" s="1" t="s">
        <v>104</v>
      </c>
      <c r="AM1557" s="1" t="s">
        <v>104</v>
      </c>
      <c r="AO1557" s="1">
        <v>3</v>
      </c>
      <c r="AR1557" s="1">
        <v>0</v>
      </c>
      <c r="AS1557" s="1">
        <v>0</v>
      </c>
      <c r="AT1557" s="1">
        <v>0</v>
      </c>
      <c r="AU1557" s="1">
        <v>0</v>
      </c>
      <c r="AV1557" s="1">
        <v>0</v>
      </c>
      <c r="AW1557" s="1">
        <v>0</v>
      </c>
      <c r="AX1557" s="1">
        <v>0</v>
      </c>
      <c r="AY1557" s="1">
        <v>0</v>
      </c>
      <c r="AZ1557" s="1">
        <v>0</v>
      </c>
      <c r="BA1557" s="1">
        <v>0</v>
      </c>
      <c r="BB1557" s="1">
        <v>0</v>
      </c>
      <c r="BC1557" s="1">
        <v>0</v>
      </c>
      <c r="BD1557" s="1">
        <v>0</v>
      </c>
      <c r="BE1557" s="1">
        <v>0</v>
      </c>
      <c r="BF1557" s="1">
        <v>0</v>
      </c>
      <c r="BG1557" s="1">
        <v>0</v>
      </c>
      <c r="BH1557" s="1">
        <v>0</v>
      </c>
      <c r="BI1557" s="1">
        <v>0</v>
      </c>
      <c r="BJ1557" s="1">
        <v>0</v>
      </c>
      <c r="BK1557" s="1">
        <v>1</v>
      </c>
      <c r="BL1557" s="1">
        <v>0</v>
      </c>
      <c r="BM1557" s="1">
        <v>0</v>
      </c>
      <c r="BN1557" s="1">
        <v>0</v>
      </c>
      <c r="BO1557" s="1">
        <v>0</v>
      </c>
      <c r="BP1557" s="1">
        <v>0</v>
      </c>
      <c r="BQ1557" s="1" t="s">
        <v>104</v>
      </c>
      <c r="BR1557" s="1">
        <v>1643</v>
      </c>
      <c r="BS1557" s="1" t="s">
        <v>104</v>
      </c>
      <c r="BX1557" s="1">
        <v>0</v>
      </c>
      <c r="BY1557" s="1" t="s">
        <v>104</v>
      </c>
      <c r="BZ1557" s="1" t="s">
        <v>104</v>
      </c>
      <c r="CA1557" s="1" t="s">
        <v>104</v>
      </c>
      <c r="CB1557" s="1" t="s">
        <v>104</v>
      </c>
      <c r="CC1557" s="1" t="s">
        <v>104</v>
      </c>
      <c r="CD1557" s="1" t="s">
        <v>104</v>
      </c>
      <c r="CE1557" s="1" t="s">
        <v>104</v>
      </c>
      <c r="CF1557" s="1" t="s">
        <v>104</v>
      </c>
      <c r="CG1557" s="1" t="s">
        <v>104</v>
      </c>
      <c r="CH1557" s="1" t="s">
        <v>104</v>
      </c>
      <c r="CJ1557" s="1">
        <v>0</v>
      </c>
      <c r="CK1557" s="1">
        <v>0</v>
      </c>
      <c r="CL1557" s="1">
        <v>0</v>
      </c>
      <c r="CM1557" s="1" t="s">
        <v>104</v>
      </c>
    </row>
    <row r="1558" spans="1:91" ht="14.25" customHeight="1" x14ac:dyDescent="0.3">
      <c r="A1558" s="1" t="s">
        <v>8705</v>
      </c>
      <c r="B1558" s="1" t="s">
        <v>434</v>
      </c>
      <c r="D1558" s="1" t="s">
        <v>8706</v>
      </c>
      <c r="E1558" s="1" t="s">
        <v>4310</v>
      </c>
      <c r="F1558" s="1" t="s">
        <v>95</v>
      </c>
      <c r="G1558" s="1" t="s">
        <v>8707</v>
      </c>
      <c r="H1558" s="1">
        <v>0</v>
      </c>
      <c r="I1558" s="1" t="s">
        <v>117</v>
      </c>
      <c r="K1558" s="1" t="s">
        <v>8708</v>
      </c>
      <c r="M1558" s="1" t="s">
        <v>8709</v>
      </c>
      <c r="N1558" s="1">
        <v>0</v>
      </c>
      <c r="O1558" s="1">
        <v>0</v>
      </c>
      <c r="P1558" s="1" t="s">
        <v>100</v>
      </c>
      <c r="Q1558" s="1" t="s">
        <v>184</v>
      </c>
      <c r="R1558" s="1" t="s">
        <v>8710</v>
      </c>
      <c r="S1558" s="1" t="s">
        <v>8700</v>
      </c>
      <c r="T1558" s="1">
        <v>1</v>
      </c>
      <c r="U1558" s="1">
        <v>1</v>
      </c>
      <c r="V1558" s="1">
        <v>1</v>
      </c>
      <c r="W1558" s="1">
        <v>0</v>
      </c>
      <c r="X1558" s="1">
        <v>1</v>
      </c>
      <c r="Y1558" s="1">
        <v>6</v>
      </c>
      <c r="Z1558" s="1">
        <v>6</v>
      </c>
      <c r="AA1558" s="1">
        <v>6</v>
      </c>
      <c r="AB1558" s="1" t="s">
        <v>104</v>
      </c>
      <c r="AC1558" s="1" t="s">
        <v>104</v>
      </c>
      <c r="AD1558" s="1" t="s">
        <v>104</v>
      </c>
      <c r="AE1558" s="1" t="s">
        <v>104</v>
      </c>
      <c r="AF1558" s="1" t="s">
        <v>104</v>
      </c>
      <c r="AG1558" s="1" t="s">
        <v>104</v>
      </c>
      <c r="AH1558" s="1" t="s">
        <v>104</v>
      </c>
      <c r="AI1558" s="1" t="s">
        <v>104</v>
      </c>
      <c r="AJ1558" s="1">
        <v>6</v>
      </c>
      <c r="AK1558" s="1" t="s">
        <v>104</v>
      </c>
      <c r="AL1558" s="1" t="s">
        <v>104</v>
      </c>
      <c r="AM1558" s="1" t="s">
        <v>104</v>
      </c>
      <c r="AO1558" s="1">
        <v>6</v>
      </c>
      <c r="AR1558" s="1">
        <v>1</v>
      </c>
      <c r="AS1558" s="1">
        <v>0</v>
      </c>
      <c r="AT1558" s="1">
        <v>0</v>
      </c>
      <c r="AU1558" s="1">
        <v>1</v>
      </c>
      <c r="AV1558" s="1">
        <v>0</v>
      </c>
      <c r="AW1558" s="1">
        <v>0</v>
      </c>
      <c r="AX1558" s="1">
        <v>0</v>
      </c>
      <c r="AY1558" s="1">
        <v>0</v>
      </c>
      <c r="AZ1558" s="1">
        <v>0</v>
      </c>
      <c r="BA1558" s="1">
        <v>1</v>
      </c>
      <c r="BB1558" s="1">
        <v>0</v>
      </c>
      <c r="BC1558" s="1">
        <v>0</v>
      </c>
      <c r="BD1558" s="1">
        <v>0</v>
      </c>
      <c r="BE1558" s="1">
        <v>1</v>
      </c>
      <c r="BF1558" s="1">
        <v>0</v>
      </c>
      <c r="BG1558" s="1">
        <v>0</v>
      </c>
      <c r="BH1558" s="1">
        <v>0</v>
      </c>
      <c r="BI1558" s="1">
        <v>0</v>
      </c>
      <c r="BJ1558" s="1">
        <v>0</v>
      </c>
      <c r="BK1558" s="1">
        <v>0</v>
      </c>
      <c r="BL1558" s="1">
        <v>0</v>
      </c>
      <c r="BM1558" s="1">
        <v>0</v>
      </c>
      <c r="BN1558" s="1">
        <v>0</v>
      </c>
      <c r="BO1558" s="1">
        <v>0</v>
      </c>
      <c r="BP1558" s="1">
        <v>0</v>
      </c>
      <c r="BQ1558" s="1" t="s">
        <v>104</v>
      </c>
      <c r="BR1558" s="1">
        <v>1644</v>
      </c>
      <c r="BS1558" s="1" t="s">
        <v>104</v>
      </c>
      <c r="BX1558" s="1">
        <v>0</v>
      </c>
      <c r="BY1558" s="1" t="s">
        <v>104</v>
      </c>
      <c r="BZ1558" s="1" t="s">
        <v>104</v>
      </c>
      <c r="CA1558" s="1" t="s">
        <v>104</v>
      </c>
      <c r="CB1558" s="1" t="s">
        <v>104</v>
      </c>
      <c r="CC1558" s="1" t="s">
        <v>104</v>
      </c>
      <c r="CD1558" s="1" t="s">
        <v>104</v>
      </c>
      <c r="CE1558" s="1" t="s">
        <v>104</v>
      </c>
      <c r="CF1558" s="1" t="s">
        <v>104</v>
      </c>
      <c r="CG1558" s="1" t="s">
        <v>104</v>
      </c>
      <c r="CH1558" s="1" t="s">
        <v>104</v>
      </c>
      <c r="CJ1558" s="1">
        <v>0</v>
      </c>
      <c r="CK1558" s="1">
        <v>0</v>
      </c>
      <c r="CL1558" s="1">
        <v>0</v>
      </c>
      <c r="CM1558" s="1" t="s">
        <v>104</v>
      </c>
    </row>
    <row r="1559" spans="1:91" ht="14.25" customHeight="1" x14ac:dyDescent="0.3">
      <c r="A1559" s="1" t="s">
        <v>8711</v>
      </c>
      <c r="B1559" s="1" t="s">
        <v>137</v>
      </c>
      <c r="E1559" s="1" t="s">
        <v>8712</v>
      </c>
      <c r="F1559" s="1" t="s">
        <v>95</v>
      </c>
      <c r="G1559" s="1" t="s">
        <v>127</v>
      </c>
      <c r="H1559" s="1">
        <v>0</v>
      </c>
      <c r="I1559" s="1" t="s">
        <v>117</v>
      </c>
      <c r="J1559" s="1" t="s">
        <v>425</v>
      </c>
      <c r="M1559" s="1" t="s">
        <v>111</v>
      </c>
      <c r="N1559" s="1">
        <v>0</v>
      </c>
      <c r="O1559" s="1">
        <v>0</v>
      </c>
      <c r="P1559" s="1" t="s">
        <v>148</v>
      </c>
      <c r="Q1559" s="1" t="s">
        <v>149</v>
      </c>
      <c r="R1559" s="1" t="s">
        <v>8713</v>
      </c>
      <c r="S1559" s="1" t="s">
        <v>8700</v>
      </c>
      <c r="T1559" s="1">
        <v>1</v>
      </c>
      <c r="U1559" s="1">
        <v>1</v>
      </c>
      <c r="V1559" s="1">
        <v>0</v>
      </c>
      <c r="W1559" s="1">
        <v>0</v>
      </c>
      <c r="X1559" s="1">
        <v>1</v>
      </c>
      <c r="Y1559" s="1" t="s">
        <v>104</v>
      </c>
      <c r="Z1559" s="1" t="s">
        <v>104</v>
      </c>
      <c r="AA1559" s="1">
        <v>5</v>
      </c>
      <c r="AB1559" s="1" t="s">
        <v>104</v>
      </c>
      <c r="AC1559" s="1" t="s">
        <v>104</v>
      </c>
      <c r="AD1559" s="1" t="s">
        <v>104</v>
      </c>
      <c r="AE1559" s="1">
        <v>3</v>
      </c>
      <c r="AF1559" s="1" t="s">
        <v>104</v>
      </c>
      <c r="AG1559" s="1" t="s">
        <v>104</v>
      </c>
      <c r="AH1559" s="1" t="s">
        <v>104</v>
      </c>
      <c r="AI1559" s="1" t="s">
        <v>104</v>
      </c>
      <c r="AJ1559" s="1">
        <v>5</v>
      </c>
      <c r="AK1559" s="1" t="s">
        <v>104</v>
      </c>
      <c r="AL1559" s="1" t="s">
        <v>104</v>
      </c>
      <c r="AM1559" s="1" t="s">
        <v>104</v>
      </c>
      <c r="AO1559" s="1">
        <v>5</v>
      </c>
      <c r="AR1559" s="1">
        <v>0</v>
      </c>
      <c r="AS1559" s="1">
        <v>0</v>
      </c>
      <c r="AT1559" s="1">
        <v>0</v>
      </c>
      <c r="AU1559" s="1">
        <v>0</v>
      </c>
      <c r="AV1559" s="1">
        <v>0</v>
      </c>
      <c r="AW1559" s="1">
        <v>0</v>
      </c>
      <c r="AX1559" s="1">
        <v>0</v>
      </c>
      <c r="AY1559" s="1">
        <v>0</v>
      </c>
      <c r="AZ1559" s="1">
        <v>0</v>
      </c>
      <c r="BA1559" s="1">
        <v>0</v>
      </c>
      <c r="BB1559" s="1">
        <v>0</v>
      </c>
      <c r="BC1559" s="1">
        <v>0</v>
      </c>
      <c r="BD1559" s="1">
        <v>0</v>
      </c>
      <c r="BE1559" s="1">
        <v>0</v>
      </c>
      <c r="BF1559" s="1">
        <v>0</v>
      </c>
      <c r="BG1559" s="1">
        <v>0</v>
      </c>
      <c r="BH1559" s="1">
        <v>0</v>
      </c>
      <c r="BI1559" s="1">
        <v>0</v>
      </c>
      <c r="BJ1559" s="1">
        <v>0</v>
      </c>
      <c r="BK1559" s="1">
        <v>0</v>
      </c>
      <c r="BL1559" s="1">
        <v>0</v>
      </c>
      <c r="BM1559" s="1">
        <v>0</v>
      </c>
      <c r="BN1559" s="1">
        <v>0</v>
      </c>
      <c r="BO1559" s="1">
        <v>0</v>
      </c>
      <c r="BP1559" s="1">
        <v>0</v>
      </c>
      <c r="BQ1559" s="1" t="s">
        <v>104</v>
      </c>
      <c r="BR1559" s="1">
        <v>1645</v>
      </c>
      <c r="BS1559" s="1" t="s">
        <v>104</v>
      </c>
      <c r="BX1559" s="1">
        <v>0</v>
      </c>
      <c r="BY1559" s="1" t="s">
        <v>104</v>
      </c>
      <c r="BZ1559" s="1" t="s">
        <v>104</v>
      </c>
      <c r="CA1559" s="1" t="s">
        <v>104</v>
      </c>
      <c r="CB1559" s="1" t="s">
        <v>104</v>
      </c>
      <c r="CC1559" s="1" t="s">
        <v>104</v>
      </c>
      <c r="CD1559" s="1" t="s">
        <v>104</v>
      </c>
      <c r="CE1559" s="1" t="s">
        <v>104</v>
      </c>
      <c r="CF1559" s="1" t="s">
        <v>104</v>
      </c>
      <c r="CG1559" s="1" t="s">
        <v>104</v>
      </c>
      <c r="CH1559" s="1" t="s">
        <v>104</v>
      </c>
      <c r="CJ1559" s="1">
        <v>0</v>
      </c>
      <c r="CK1559" s="1">
        <v>0</v>
      </c>
      <c r="CL1559" s="1">
        <v>0</v>
      </c>
      <c r="CM1559" s="1" t="s">
        <v>104</v>
      </c>
    </row>
    <row r="1560" spans="1:91" ht="14.25" customHeight="1" x14ac:dyDescent="0.3">
      <c r="A1560" s="1" t="s">
        <v>8714</v>
      </c>
      <c r="B1560" s="1" t="s">
        <v>92</v>
      </c>
      <c r="C1560" s="1" t="s">
        <v>903</v>
      </c>
      <c r="E1560" s="1" t="s">
        <v>8715</v>
      </c>
      <c r="F1560" s="1" t="s">
        <v>255</v>
      </c>
      <c r="G1560" s="1" t="s">
        <v>8716</v>
      </c>
      <c r="H1560" s="1">
        <v>0</v>
      </c>
      <c r="I1560" s="1" t="s">
        <v>109</v>
      </c>
      <c r="K1560" s="1" t="s">
        <v>8717</v>
      </c>
      <c r="M1560" s="1" t="s">
        <v>111</v>
      </c>
      <c r="N1560" s="1">
        <v>0</v>
      </c>
      <c r="O1560" s="1">
        <v>0</v>
      </c>
      <c r="P1560" s="1" t="s">
        <v>8718</v>
      </c>
      <c r="Q1560" s="1" t="s">
        <v>101</v>
      </c>
      <c r="R1560" s="1" t="s">
        <v>8719</v>
      </c>
      <c r="S1560" s="1" t="s">
        <v>8700</v>
      </c>
      <c r="T1560" s="1">
        <v>1</v>
      </c>
      <c r="U1560" s="1">
        <v>1</v>
      </c>
      <c r="V1560" s="1">
        <v>1</v>
      </c>
      <c r="W1560" s="1">
        <v>0</v>
      </c>
      <c r="X1560" s="1">
        <v>0</v>
      </c>
      <c r="Y1560" s="1" t="s">
        <v>104</v>
      </c>
      <c r="Z1560" s="1" t="s">
        <v>104</v>
      </c>
      <c r="AA1560" s="1">
        <v>6</v>
      </c>
      <c r="AB1560" s="1">
        <v>6</v>
      </c>
      <c r="AC1560" s="1" t="s">
        <v>104</v>
      </c>
      <c r="AD1560" s="1" t="s">
        <v>104</v>
      </c>
      <c r="AE1560" s="1" t="s">
        <v>104</v>
      </c>
      <c r="AF1560" s="1" t="s">
        <v>104</v>
      </c>
      <c r="AG1560" s="1">
        <v>4</v>
      </c>
      <c r="AH1560" s="1" t="s">
        <v>104</v>
      </c>
      <c r="AI1560" s="1" t="s">
        <v>104</v>
      </c>
      <c r="AJ1560" s="1">
        <v>6</v>
      </c>
      <c r="AK1560" s="1" t="s">
        <v>104</v>
      </c>
      <c r="AL1560" s="1" t="s">
        <v>104</v>
      </c>
      <c r="AM1560" s="1" t="s">
        <v>104</v>
      </c>
      <c r="AO1560" s="1">
        <v>6</v>
      </c>
      <c r="AR1560" s="1">
        <v>0</v>
      </c>
      <c r="AS1560" s="1">
        <v>0</v>
      </c>
      <c r="AT1560" s="1">
        <v>0</v>
      </c>
      <c r="AU1560" s="1">
        <v>0</v>
      </c>
      <c r="AV1560" s="1">
        <v>0</v>
      </c>
      <c r="AW1560" s="1">
        <v>0</v>
      </c>
      <c r="AX1560" s="1">
        <v>0</v>
      </c>
      <c r="AY1560" s="1">
        <v>0</v>
      </c>
      <c r="AZ1560" s="1">
        <v>0</v>
      </c>
      <c r="BA1560" s="1">
        <v>0</v>
      </c>
      <c r="BB1560" s="1">
        <v>0</v>
      </c>
      <c r="BC1560" s="1">
        <v>0</v>
      </c>
      <c r="BD1560" s="1">
        <v>0</v>
      </c>
      <c r="BE1560" s="1">
        <v>0</v>
      </c>
      <c r="BF1560" s="1">
        <v>0</v>
      </c>
      <c r="BG1560" s="1">
        <v>0</v>
      </c>
      <c r="BH1560" s="1">
        <v>0</v>
      </c>
      <c r="BI1560" s="1">
        <v>0</v>
      </c>
      <c r="BJ1560" s="1">
        <v>0</v>
      </c>
      <c r="BK1560" s="1">
        <v>0</v>
      </c>
      <c r="BL1560" s="1">
        <v>0</v>
      </c>
      <c r="BM1560" s="1">
        <v>0</v>
      </c>
      <c r="BN1560" s="1">
        <v>0</v>
      </c>
      <c r="BO1560" s="1">
        <v>0</v>
      </c>
      <c r="BP1560" s="1">
        <v>0</v>
      </c>
      <c r="BQ1560" s="1" t="s">
        <v>104</v>
      </c>
      <c r="BR1560" s="1">
        <v>1646</v>
      </c>
      <c r="BS1560" s="1" t="s">
        <v>104</v>
      </c>
      <c r="BX1560" s="1">
        <v>0</v>
      </c>
      <c r="BY1560" s="1" t="s">
        <v>104</v>
      </c>
      <c r="BZ1560" s="1" t="s">
        <v>104</v>
      </c>
      <c r="CA1560" s="1" t="s">
        <v>104</v>
      </c>
      <c r="CB1560" s="1" t="s">
        <v>104</v>
      </c>
      <c r="CC1560" s="1" t="s">
        <v>104</v>
      </c>
      <c r="CD1560" s="1" t="s">
        <v>104</v>
      </c>
      <c r="CE1560" s="1" t="s">
        <v>104</v>
      </c>
      <c r="CF1560" s="1" t="s">
        <v>104</v>
      </c>
      <c r="CG1560" s="1" t="s">
        <v>104</v>
      </c>
      <c r="CH1560" s="1">
        <v>6</v>
      </c>
      <c r="CJ1560" s="1">
        <v>0</v>
      </c>
      <c r="CK1560" s="1">
        <v>0</v>
      </c>
      <c r="CL1560" s="1">
        <v>0</v>
      </c>
      <c r="CM1560" s="1">
        <v>4</v>
      </c>
    </row>
    <row r="1561" spans="1:91" ht="14.25" customHeight="1" x14ac:dyDescent="0.3">
      <c r="A1561" s="1" t="s">
        <v>8720</v>
      </c>
      <c r="B1561" s="1" t="s">
        <v>92</v>
      </c>
      <c r="E1561" s="1" t="s">
        <v>8721</v>
      </c>
      <c r="F1561" s="1" t="s">
        <v>287</v>
      </c>
      <c r="G1561" s="1" t="s">
        <v>127</v>
      </c>
      <c r="H1561" s="1">
        <v>0</v>
      </c>
      <c r="I1561" s="1" t="s">
        <v>97</v>
      </c>
      <c r="J1561" s="1" t="s">
        <v>8722</v>
      </c>
      <c r="M1561" s="1" t="s">
        <v>620</v>
      </c>
      <c r="N1561" s="1">
        <v>1</v>
      </c>
      <c r="O1561" s="1">
        <v>0</v>
      </c>
      <c r="P1561" s="1" t="s">
        <v>8614</v>
      </c>
      <c r="Q1561" s="1" t="s">
        <v>184</v>
      </c>
      <c r="R1561" s="1" t="s">
        <v>8723</v>
      </c>
      <c r="S1561" s="1" t="s">
        <v>8700</v>
      </c>
      <c r="T1561" s="1">
        <v>1</v>
      </c>
      <c r="U1561" s="1">
        <v>1</v>
      </c>
      <c r="V1561" s="1">
        <v>0</v>
      </c>
      <c r="W1561" s="1">
        <v>0</v>
      </c>
      <c r="X1561" s="1">
        <v>1</v>
      </c>
      <c r="Y1561" s="1" t="s">
        <v>104</v>
      </c>
      <c r="Z1561" s="1" t="s">
        <v>104</v>
      </c>
      <c r="AA1561" s="1">
        <v>8</v>
      </c>
      <c r="AB1561" s="1">
        <v>8</v>
      </c>
      <c r="AC1561" s="1" t="s">
        <v>104</v>
      </c>
      <c r="AD1561" s="1" t="s">
        <v>104</v>
      </c>
      <c r="AE1561" s="1" t="s">
        <v>104</v>
      </c>
      <c r="AF1561" s="1" t="s">
        <v>104</v>
      </c>
      <c r="AG1561" s="1" t="s">
        <v>104</v>
      </c>
      <c r="AH1561" s="1" t="s">
        <v>104</v>
      </c>
      <c r="AI1561" s="1" t="s">
        <v>104</v>
      </c>
      <c r="AJ1561" s="1">
        <v>8</v>
      </c>
      <c r="AK1561" s="1" t="s">
        <v>104</v>
      </c>
      <c r="AL1561" s="1" t="s">
        <v>104</v>
      </c>
      <c r="AM1561" s="1" t="s">
        <v>104</v>
      </c>
      <c r="AO1561" s="1">
        <v>8</v>
      </c>
      <c r="AR1561" s="1">
        <v>0</v>
      </c>
      <c r="AS1561" s="1">
        <v>0</v>
      </c>
      <c r="AT1561" s="1">
        <v>0</v>
      </c>
      <c r="AU1561" s="1">
        <v>0</v>
      </c>
      <c r="AV1561" s="1">
        <v>0</v>
      </c>
      <c r="AW1561" s="1">
        <v>0</v>
      </c>
      <c r="AX1561" s="1">
        <v>0</v>
      </c>
      <c r="AY1561" s="1">
        <v>0</v>
      </c>
      <c r="AZ1561" s="1">
        <v>0</v>
      </c>
      <c r="BA1561" s="1">
        <v>0</v>
      </c>
      <c r="BB1561" s="1">
        <v>0</v>
      </c>
      <c r="BC1561" s="1">
        <v>0</v>
      </c>
      <c r="BD1561" s="1">
        <v>0</v>
      </c>
      <c r="BE1561" s="1">
        <v>0</v>
      </c>
      <c r="BF1561" s="1">
        <v>0</v>
      </c>
      <c r="BG1561" s="1">
        <v>0</v>
      </c>
      <c r="BH1561" s="1">
        <v>0</v>
      </c>
      <c r="BI1561" s="1">
        <v>0</v>
      </c>
      <c r="BJ1561" s="1">
        <v>0</v>
      </c>
      <c r="BK1561" s="1">
        <v>0</v>
      </c>
      <c r="BL1561" s="1">
        <v>0</v>
      </c>
      <c r="BM1561" s="1">
        <v>0</v>
      </c>
      <c r="BN1561" s="1">
        <v>0</v>
      </c>
      <c r="BO1561" s="1">
        <v>0</v>
      </c>
      <c r="BP1561" s="1">
        <v>0</v>
      </c>
      <c r="BQ1561" s="1" t="s">
        <v>104</v>
      </c>
      <c r="BR1561" s="1">
        <v>1647</v>
      </c>
      <c r="BS1561" s="1" t="s">
        <v>104</v>
      </c>
      <c r="BX1561" s="1">
        <v>0</v>
      </c>
      <c r="BY1561" s="1" t="s">
        <v>104</v>
      </c>
      <c r="BZ1561" s="1" t="s">
        <v>104</v>
      </c>
      <c r="CA1561" s="1" t="s">
        <v>104</v>
      </c>
      <c r="CB1561" s="1" t="s">
        <v>104</v>
      </c>
      <c r="CC1561" s="1" t="s">
        <v>104</v>
      </c>
      <c r="CD1561" s="1" t="s">
        <v>104</v>
      </c>
      <c r="CE1561" s="1" t="s">
        <v>104</v>
      </c>
      <c r="CF1561" s="1" t="s">
        <v>104</v>
      </c>
      <c r="CG1561" s="1" t="s">
        <v>104</v>
      </c>
      <c r="CH1561" s="1" t="s">
        <v>104</v>
      </c>
      <c r="CJ1561" s="1">
        <v>0</v>
      </c>
      <c r="CK1561" s="1">
        <v>0</v>
      </c>
      <c r="CL1561" s="1">
        <v>0</v>
      </c>
      <c r="CM1561" s="1" t="s">
        <v>104</v>
      </c>
    </row>
    <row r="1562" spans="1:91" ht="14.25" customHeight="1" x14ac:dyDescent="0.3">
      <c r="A1562" s="1" t="s">
        <v>8724</v>
      </c>
      <c r="B1562" s="1" t="s">
        <v>216</v>
      </c>
      <c r="E1562" s="1" t="s">
        <v>8725</v>
      </c>
      <c r="F1562" s="1" t="s">
        <v>95</v>
      </c>
      <c r="G1562" s="1" t="s">
        <v>8726</v>
      </c>
      <c r="H1562" s="1">
        <v>0</v>
      </c>
      <c r="I1562" s="1" t="s">
        <v>128</v>
      </c>
      <c r="L1562" s="1" t="s">
        <v>8727</v>
      </c>
      <c r="M1562" s="1" t="s">
        <v>4641</v>
      </c>
      <c r="N1562" s="1">
        <v>1</v>
      </c>
      <c r="O1562" s="1">
        <v>0</v>
      </c>
      <c r="P1562" s="1" t="s">
        <v>148</v>
      </c>
      <c r="Q1562" s="1" t="s">
        <v>149</v>
      </c>
      <c r="R1562" s="1" t="s">
        <v>8728</v>
      </c>
      <c r="S1562" s="1" t="s">
        <v>8729</v>
      </c>
      <c r="T1562" s="1">
        <v>1</v>
      </c>
      <c r="U1562" s="1">
        <v>1</v>
      </c>
      <c r="V1562" s="1">
        <v>0</v>
      </c>
      <c r="W1562" s="1">
        <v>0</v>
      </c>
      <c r="X1562" s="1">
        <v>0</v>
      </c>
      <c r="Y1562" s="1">
        <v>3</v>
      </c>
      <c r="Z1562" s="1">
        <v>3</v>
      </c>
      <c r="AA1562" s="1">
        <v>3</v>
      </c>
      <c r="AB1562" s="1" t="s">
        <v>104</v>
      </c>
      <c r="AC1562" s="1">
        <v>3</v>
      </c>
      <c r="AD1562" s="1" t="s">
        <v>104</v>
      </c>
      <c r="AE1562" s="1" t="s">
        <v>104</v>
      </c>
      <c r="AF1562" s="1" t="s">
        <v>104</v>
      </c>
      <c r="AG1562" s="1" t="s">
        <v>104</v>
      </c>
      <c r="AH1562" s="1" t="s">
        <v>104</v>
      </c>
      <c r="AI1562" s="1" t="s">
        <v>104</v>
      </c>
      <c r="AJ1562" s="1">
        <v>3</v>
      </c>
      <c r="AK1562" s="1">
        <v>3</v>
      </c>
      <c r="AL1562" s="1" t="s">
        <v>104</v>
      </c>
      <c r="AM1562" s="1" t="s">
        <v>104</v>
      </c>
      <c r="AN1562" s="1" t="s">
        <v>8730</v>
      </c>
      <c r="AO1562" s="1">
        <v>3</v>
      </c>
      <c r="AR1562" s="1">
        <v>0</v>
      </c>
      <c r="AS1562" s="1">
        <v>0</v>
      </c>
      <c r="AT1562" s="1">
        <v>0</v>
      </c>
      <c r="AU1562" s="1">
        <v>0</v>
      </c>
      <c r="AV1562" s="1">
        <v>0</v>
      </c>
      <c r="AW1562" s="1">
        <v>0</v>
      </c>
      <c r="AX1562" s="1">
        <v>0</v>
      </c>
      <c r="AY1562" s="1">
        <v>0</v>
      </c>
      <c r="AZ1562" s="1">
        <v>0</v>
      </c>
      <c r="BA1562" s="1">
        <v>0</v>
      </c>
      <c r="BB1562" s="1">
        <v>0</v>
      </c>
      <c r="BC1562" s="1">
        <v>0</v>
      </c>
      <c r="BD1562" s="1">
        <v>0</v>
      </c>
      <c r="BE1562" s="1">
        <v>0</v>
      </c>
      <c r="BF1562" s="1">
        <v>0</v>
      </c>
      <c r="BG1562" s="1">
        <v>0</v>
      </c>
      <c r="BH1562" s="1">
        <v>0</v>
      </c>
      <c r="BI1562" s="1">
        <v>0</v>
      </c>
      <c r="BJ1562" s="1">
        <v>0</v>
      </c>
      <c r="BK1562" s="1">
        <v>0</v>
      </c>
      <c r="BL1562" s="1">
        <v>0</v>
      </c>
      <c r="BM1562" s="1">
        <v>0</v>
      </c>
      <c r="BN1562" s="1">
        <v>0</v>
      </c>
      <c r="BO1562" s="1">
        <v>0</v>
      </c>
      <c r="BP1562" s="1">
        <v>0</v>
      </c>
      <c r="BQ1562" s="1" t="s">
        <v>104</v>
      </c>
      <c r="BR1562" s="1">
        <v>1648</v>
      </c>
      <c r="BS1562" s="1" t="s">
        <v>104</v>
      </c>
      <c r="BX1562" s="1">
        <v>0</v>
      </c>
      <c r="BY1562" s="1" t="s">
        <v>104</v>
      </c>
      <c r="BZ1562" s="1" t="s">
        <v>104</v>
      </c>
      <c r="CA1562" s="1" t="s">
        <v>104</v>
      </c>
      <c r="CB1562" s="1" t="s">
        <v>104</v>
      </c>
      <c r="CC1562" s="1" t="s">
        <v>104</v>
      </c>
      <c r="CD1562" s="1" t="s">
        <v>104</v>
      </c>
      <c r="CE1562" s="1" t="s">
        <v>104</v>
      </c>
      <c r="CF1562" s="1" t="s">
        <v>104</v>
      </c>
      <c r="CG1562" s="1" t="s">
        <v>104</v>
      </c>
      <c r="CH1562" s="1">
        <v>3</v>
      </c>
      <c r="CJ1562" s="1">
        <v>0</v>
      </c>
      <c r="CK1562" s="1">
        <v>0</v>
      </c>
      <c r="CL1562" s="1">
        <v>0</v>
      </c>
      <c r="CM1562" s="1" t="s">
        <v>104</v>
      </c>
    </row>
    <row r="1563" spans="1:91" ht="14.25" customHeight="1" x14ac:dyDescent="0.3">
      <c r="A1563" s="1" t="s">
        <v>8731</v>
      </c>
      <c r="B1563" s="1" t="s">
        <v>216</v>
      </c>
      <c r="E1563" s="1" t="s">
        <v>8732</v>
      </c>
      <c r="F1563" s="1" t="s">
        <v>95</v>
      </c>
      <c r="G1563" s="1" t="s">
        <v>116</v>
      </c>
      <c r="H1563" s="1">
        <v>0</v>
      </c>
      <c r="I1563" s="1" t="s">
        <v>8733</v>
      </c>
      <c r="L1563" s="1" t="s">
        <v>8734</v>
      </c>
      <c r="M1563" s="1" t="s">
        <v>4292</v>
      </c>
      <c r="N1563" s="1">
        <v>0</v>
      </c>
      <c r="O1563" s="1">
        <v>0</v>
      </c>
      <c r="P1563" s="1" t="s">
        <v>100</v>
      </c>
      <c r="Q1563" s="1" t="s">
        <v>184</v>
      </c>
      <c r="R1563" s="1" t="s">
        <v>8735</v>
      </c>
      <c r="S1563" s="1" t="s">
        <v>8729</v>
      </c>
      <c r="T1563" s="1">
        <v>1</v>
      </c>
      <c r="U1563" s="1">
        <v>1</v>
      </c>
      <c r="V1563" s="1">
        <v>0</v>
      </c>
      <c r="W1563" s="1">
        <v>0</v>
      </c>
      <c r="X1563" s="1">
        <v>0</v>
      </c>
      <c r="Y1563" s="1">
        <v>2</v>
      </c>
      <c r="Z1563" s="1">
        <v>2</v>
      </c>
      <c r="AA1563" s="1">
        <v>2</v>
      </c>
      <c r="AB1563" s="1" t="s">
        <v>104</v>
      </c>
      <c r="AC1563" s="1" t="s">
        <v>104</v>
      </c>
      <c r="AD1563" s="1" t="s">
        <v>104</v>
      </c>
      <c r="AE1563" s="1" t="s">
        <v>104</v>
      </c>
      <c r="AF1563" s="1" t="s">
        <v>104</v>
      </c>
      <c r="AG1563" s="1" t="s">
        <v>104</v>
      </c>
      <c r="AH1563" s="1" t="s">
        <v>104</v>
      </c>
      <c r="AI1563" s="1" t="s">
        <v>104</v>
      </c>
      <c r="AJ1563" s="1">
        <v>2</v>
      </c>
      <c r="AK1563" s="1" t="s">
        <v>104</v>
      </c>
      <c r="AL1563" s="1" t="s">
        <v>104</v>
      </c>
      <c r="AM1563" s="1" t="s">
        <v>104</v>
      </c>
      <c r="AN1563" s="1" t="s">
        <v>8730</v>
      </c>
      <c r="AO1563" s="1">
        <v>2</v>
      </c>
      <c r="AR1563" s="1">
        <v>0</v>
      </c>
      <c r="AS1563" s="1">
        <v>0</v>
      </c>
      <c r="AT1563" s="1">
        <v>0</v>
      </c>
      <c r="AU1563" s="1">
        <v>0</v>
      </c>
      <c r="AV1563" s="1">
        <v>0</v>
      </c>
      <c r="AW1563" s="1">
        <v>0</v>
      </c>
      <c r="AX1563" s="1">
        <v>0</v>
      </c>
      <c r="AY1563" s="1">
        <v>0</v>
      </c>
      <c r="AZ1563" s="1">
        <v>0</v>
      </c>
      <c r="BA1563" s="1">
        <v>0</v>
      </c>
      <c r="BB1563" s="1">
        <v>0</v>
      </c>
      <c r="BC1563" s="1">
        <v>0</v>
      </c>
      <c r="BD1563" s="1">
        <v>0</v>
      </c>
      <c r="BE1563" s="1">
        <v>0</v>
      </c>
      <c r="BF1563" s="1">
        <v>0</v>
      </c>
      <c r="BG1563" s="1">
        <v>0</v>
      </c>
      <c r="BH1563" s="1">
        <v>0</v>
      </c>
      <c r="BI1563" s="1">
        <v>0</v>
      </c>
      <c r="BJ1563" s="1">
        <v>0</v>
      </c>
      <c r="BK1563" s="1">
        <v>0</v>
      </c>
      <c r="BL1563" s="1">
        <v>0</v>
      </c>
      <c r="BM1563" s="1">
        <v>0</v>
      </c>
      <c r="BN1563" s="1">
        <v>0</v>
      </c>
      <c r="BO1563" s="1">
        <v>0</v>
      </c>
      <c r="BP1563" s="1">
        <v>0</v>
      </c>
      <c r="BQ1563" s="1" t="s">
        <v>104</v>
      </c>
      <c r="BR1563" s="1">
        <v>1649</v>
      </c>
      <c r="BS1563" s="1" t="s">
        <v>104</v>
      </c>
      <c r="BX1563" s="1">
        <v>0</v>
      </c>
      <c r="BY1563" s="1" t="s">
        <v>104</v>
      </c>
      <c r="BZ1563" s="1" t="s">
        <v>104</v>
      </c>
      <c r="CA1563" s="1" t="s">
        <v>104</v>
      </c>
      <c r="CB1563" s="1" t="s">
        <v>104</v>
      </c>
      <c r="CC1563" s="1" t="s">
        <v>104</v>
      </c>
      <c r="CD1563" s="1" t="s">
        <v>104</v>
      </c>
      <c r="CE1563" s="1" t="s">
        <v>104</v>
      </c>
      <c r="CF1563" s="1" t="s">
        <v>104</v>
      </c>
      <c r="CG1563" s="1" t="s">
        <v>104</v>
      </c>
      <c r="CH1563" s="1" t="s">
        <v>104</v>
      </c>
      <c r="CJ1563" s="1">
        <v>0</v>
      </c>
      <c r="CK1563" s="1">
        <v>0</v>
      </c>
      <c r="CL1563" s="1">
        <v>0</v>
      </c>
      <c r="CM1563" s="1" t="s">
        <v>104</v>
      </c>
    </row>
    <row r="1564" spans="1:91" ht="14.25" customHeight="1" x14ac:dyDescent="0.3">
      <c r="A1564" s="1" t="s">
        <v>8736</v>
      </c>
      <c r="B1564" s="1" t="s">
        <v>137</v>
      </c>
      <c r="E1564" s="1" t="s">
        <v>8737</v>
      </c>
      <c r="F1564" s="1" t="s">
        <v>95</v>
      </c>
      <c r="G1564" s="1" t="s">
        <v>127</v>
      </c>
      <c r="H1564" s="1">
        <v>0</v>
      </c>
      <c r="I1564" s="1" t="s">
        <v>117</v>
      </c>
      <c r="L1564" s="1" t="s">
        <v>7293</v>
      </c>
      <c r="M1564" s="1" t="s">
        <v>426</v>
      </c>
      <c r="N1564" s="1">
        <v>1</v>
      </c>
      <c r="O1564" s="1">
        <v>0</v>
      </c>
      <c r="P1564" s="1" t="s">
        <v>471</v>
      </c>
      <c r="Q1564" s="1" t="s">
        <v>472</v>
      </c>
      <c r="R1564" s="1" t="s">
        <v>8738</v>
      </c>
      <c r="S1564" s="1" t="s">
        <v>8739</v>
      </c>
      <c r="T1564" s="1">
        <v>1</v>
      </c>
      <c r="U1564" s="1">
        <v>1</v>
      </c>
      <c r="V1564" s="1">
        <v>0</v>
      </c>
      <c r="W1564" s="1">
        <v>0</v>
      </c>
      <c r="X1564" s="1">
        <v>1</v>
      </c>
      <c r="Y1564" s="1">
        <v>5</v>
      </c>
      <c r="Z1564" s="1">
        <v>5</v>
      </c>
      <c r="AA1564" s="1" t="s">
        <v>104</v>
      </c>
      <c r="AB1564" s="1" t="s">
        <v>104</v>
      </c>
      <c r="AC1564" s="1" t="s">
        <v>104</v>
      </c>
      <c r="AD1564" s="1" t="s">
        <v>104</v>
      </c>
      <c r="AE1564" s="1" t="s">
        <v>104</v>
      </c>
      <c r="AF1564" s="1">
        <v>4</v>
      </c>
      <c r="AG1564" s="1" t="s">
        <v>104</v>
      </c>
      <c r="AH1564" s="1">
        <v>5</v>
      </c>
      <c r="AI1564" s="1">
        <v>4</v>
      </c>
      <c r="AJ1564" s="1" t="s">
        <v>104</v>
      </c>
      <c r="AK1564" s="1" t="s">
        <v>104</v>
      </c>
      <c r="AL1564" s="1">
        <v>4</v>
      </c>
      <c r="AM1564" s="1" t="s">
        <v>104</v>
      </c>
      <c r="AO1564" s="1">
        <v>5</v>
      </c>
      <c r="AR1564" s="1">
        <v>0</v>
      </c>
      <c r="AS1564" s="1">
        <v>0</v>
      </c>
      <c r="AT1564" s="1">
        <v>0</v>
      </c>
      <c r="AU1564" s="1">
        <v>0</v>
      </c>
      <c r="AV1564" s="1">
        <v>0</v>
      </c>
      <c r="AW1564" s="1">
        <v>0</v>
      </c>
      <c r="AX1564" s="1">
        <v>0</v>
      </c>
      <c r="AY1564" s="1">
        <v>0</v>
      </c>
      <c r="AZ1564" s="1">
        <v>0</v>
      </c>
      <c r="BA1564" s="1">
        <v>0</v>
      </c>
      <c r="BB1564" s="1">
        <v>0</v>
      </c>
      <c r="BC1564" s="1">
        <v>0</v>
      </c>
      <c r="BD1564" s="1">
        <v>0</v>
      </c>
      <c r="BE1564" s="1">
        <v>0</v>
      </c>
      <c r="BF1564" s="1">
        <v>0</v>
      </c>
      <c r="BG1564" s="1">
        <v>0</v>
      </c>
      <c r="BH1564" s="1">
        <v>0</v>
      </c>
      <c r="BI1564" s="1">
        <v>0</v>
      </c>
      <c r="BJ1564" s="1">
        <v>0</v>
      </c>
      <c r="BK1564" s="1">
        <v>0</v>
      </c>
      <c r="BL1564" s="1">
        <v>0</v>
      </c>
      <c r="BM1564" s="1">
        <v>0</v>
      </c>
      <c r="BN1564" s="1">
        <v>0</v>
      </c>
      <c r="BO1564" s="1">
        <v>0</v>
      </c>
      <c r="BP1564" s="1">
        <v>0</v>
      </c>
      <c r="BQ1564" s="1" t="s">
        <v>104</v>
      </c>
      <c r="BR1564" s="1">
        <v>1650</v>
      </c>
      <c r="BS1564" s="1" t="s">
        <v>104</v>
      </c>
      <c r="BX1564" s="1">
        <v>0</v>
      </c>
      <c r="BY1564" s="1" t="s">
        <v>104</v>
      </c>
      <c r="BZ1564" s="1" t="s">
        <v>104</v>
      </c>
      <c r="CA1564" s="1" t="s">
        <v>104</v>
      </c>
      <c r="CB1564" s="1" t="s">
        <v>104</v>
      </c>
      <c r="CC1564" s="1" t="s">
        <v>104</v>
      </c>
      <c r="CD1564" s="1" t="s">
        <v>104</v>
      </c>
      <c r="CE1564" s="1" t="s">
        <v>104</v>
      </c>
      <c r="CF1564" s="1" t="s">
        <v>104</v>
      </c>
      <c r="CG1564" s="1" t="s">
        <v>104</v>
      </c>
      <c r="CH1564" s="1" t="s">
        <v>104</v>
      </c>
      <c r="CJ1564" s="1">
        <v>0</v>
      </c>
      <c r="CK1564" s="1">
        <v>0</v>
      </c>
      <c r="CL1564" s="1">
        <v>0</v>
      </c>
      <c r="CM1564" s="1" t="s">
        <v>104</v>
      </c>
    </row>
    <row r="1565" spans="1:91" ht="14.25" customHeight="1" x14ac:dyDescent="0.3">
      <c r="A1565" s="1" t="s">
        <v>8740</v>
      </c>
      <c r="B1565" s="1" t="s">
        <v>137</v>
      </c>
      <c r="E1565" s="1" t="s">
        <v>8741</v>
      </c>
      <c r="F1565" s="1" t="s">
        <v>95</v>
      </c>
      <c r="G1565" s="1" t="s">
        <v>127</v>
      </c>
      <c r="H1565" s="1">
        <v>0</v>
      </c>
      <c r="I1565" s="1" t="s">
        <v>157</v>
      </c>
      <c r="L1565" s="1" t="s">
        <v>158</v>
      </c>
      <c r="M1565" s="1" t="s">
        <v>4992</v>
      </c>
      <c r="N1565" s="1">
        <v>1</v>
      </c>
      <c r="O1565" s="1">
        <v>0</v>
      </c>
      <c r="R1565" s="1" t="s">
        <v>8742</v>
      </c>
      <c r="S1565" s="1" t="s">
        <v>8739</v>
      </c>
      <c r="T1565" s="1">
        <v>1</v>
      </c>
      <c r="U1565" s="1">
        <v>1</v>
      </c>
      <c r="V1565" s="1">
        <v>0</v>
      </c>
      <c r="W1565" s="1">
        <v>0</v>
      </c>
      <c r="X1565" s="1">
        <v>1</v>
      </c>
      <c r="Y1565" s="1">
        <v>0</v>
      </c>
      <c r="Z1565" s="1">
        <v>0</v>
      </c>
      <c r="AA1565" s="1" t="s">
        <v>104</v>
      </c>
      <c r="AB1565" s="1">
        <v>0</v>
      </c>
      <c r="AC1565" s="1">
        <v>1</v>
      </c>
      <c r="AD1565" s="1" t="s">
        <v>104</v>
      </c>
      <c r="AE1565" s="1" t="s">
        <v>104</v>
      </c>
      <c r="AF1565" s="1">
        <v>1</v>
      </c>
      <c r="AG1565" s="1" t="s">
        <v>104</v>
      </c>
      <c r="AH1565" s="1" t="s">
        <v>104</v>
      </c>
      <c r="AI1565" s="1" t="s">
        <v>104</v>
      </c>
      <c r="AJ1565" s="1" t="s">
        <v>104</v>
      </c>
      <c r="AK1565" s="1" t="s">
        <v>104</v>
      </c>
      <c r="AL1565" s="1" t="s">
        <v>104</v>
      </c>
      <c r="AM1565" s="1" t="s">
        <v>104</v>
      </c>
      <c r="AO1565" s="1">
        <v>0</v>
      </c>
      <c r="AR1565" s="1">
        <v>0</v>
      </c>
      <c r="AS1565" s="1">
        <v>0</v>
      </c>
      <c r="AT1565" s="1">
        <v>0</v>
      </c>
      <c r="AU1565" s="1">
        <v>0</v>
      </c>
      <c r="AV1565" s="1">
        <v>0</v>
      </c>
      <c r="AW1565" s="1">
        <v>0</v>
      </c>
      <c r="AX1565" s="1">
        <v>0</v>
      </c>
      <c r="AY1565" s="1">
        <v>0</v>
      </c>
      <c r="AZ1565" s="1">
        <v>0</v>
      </c>
      <c r="BA1565" s="1">
        <v>0</v>
      </c>
      <c r="BB1565" s="1">
        <v>0</v>
      </c>
      <c r="BC1565" s="1">
        <v>0</v>
      </c>
      <c r="BD1565" s="1">
        <v>0</v>
      </c>
      <c r="BE1565" s="1">
        <v>0</v>
      </c>
      <c r="BF1565" s="1">
        <v>0</v>
      </c>
      <c r="BG1565" s="1">
        <v>0</v>
      </c>
      <c r="BH1565" s="1">
        <v>0</v>
      </c>
      <c r="BI1565" s="1">
        <v>0</v>
      </c>
      <c r="BJ1565" s="1">
        <v>0</v>
      </c>
      <c r="BK1565" s="1">
        <v>0</v>
      </c>
      <c r="BL1565" s="1">
        <v>0</v>
      </c>
      <c r="BM1565" s="1">
        <v>0</v>
      </c>
      <c r="BN1565" s="1">
        <v>0</v>
      </c>
      <c r="BO1565" s="1">
        <v>0</v>
      </c>
      <c r="BP1565" s="1">
        <v>0</v>
      </c>
      <c r="BQ1565" s="1" t="s">
        <v>104</v>
      </c>
      <c r="BR1565" s="1">
        <v>1651</v>
      </c>
      <c r="BS1565" s="1" t="s">
        <v>104</v>
      </c>
      <c r="BX1565" s="1">
        <v>0</v>
      </c>
      <c r="BY1565" s="1" t="s">
        <v>104</v>
      </c>
      <c r="BZ1565" s="1" t="s">
        <v>104</v>
      </c>
      <c r="CA1565" s="1" t="s">
        <v>104</v>
      </c>
      <c r="CB1565" s="1" t="s">
        <v>104</v>
      </c>
      <c r="CC1565" s="1" t="s">
        <v>104</v>
      </c>
      <c r="CD1565" s="1" t="s">
        <v>104</v>
      </c>
      <c r="CE1565" s="1" t="s">
        <v>104</v>
      </c>
      <c r="CF1565" s="1" t="s">
        <v>104</v>
      </c>
      <c r="CG1565" s="1" t="s">
        <v>104</v>
      </c>
      <c r="CH1565" s="1">
        <v>0</v>
      </c>
      <c r="CJ1565" s="1">
        <v>0</v>
      </c>
      <c r="CK1565" s="1">
        <v>0</v>
      </c>
      <c r="CL1565" s="1">
        <v>0</v>
      </c>
      <c r="CM1565" s="1" t="s">
        <v>104</v>
      </c>
    </row>
    <row r="1566" spans="1:91" ht="14.25" customHeight="1" x14ac:dyDescent="0.3">
      <c r="A1566" s="1" t="s">
        <v>8743</v>
      </c>
      <c r="B1566" s="1" t="s">
        <v>434</v>
      </c>
      <c r="D1566" s="1" t="s">
        <v>61</v>
      </c>
      <c r="E1566" s="1" t="s">
        <v>8744</v>
      </c>
      <c r="F1566" s="1" t="s">
        <v>95</v>
      </c>
      <c r="G1566" s="1" t="s">
        <v>8745</v>
      </c>
      <c r="H1566" s="1">
        <v>0</v>
      </c>
      <c r="I1566" s="1" t="s">
        <v>109</v>
      </c>
      <c r="J1566" s="1" t="s">
        <v>627</v>
      </c>
      <c r="L1566" s="1" t="s">
        <v>8746</v>
      </c>
      <c r="M1566" s="1" t="s">
        <v>119</v>
      </c>
      <c r="N1566" s="1">
        <v>0</v>
      </c>
      <c r="O1566" s="1">
        <v>0</v>
      </c>
      <c r="P1566" s="1" t="s">
        <v>1080</v>
      </c>
      <c r="Q1566" s="1" t="s">
        <v>184</v>
      </c>
      <c r="R1566" s="1" t="s">
        <v>8747</v>
      </c>
      <c r="S1566" s="1" t="s">
        <v>8739</v>
      </c>
      <c r="T1566" s="1">
        <v>1</v>
      </c>
      <c r="U1566" s="1">
        <v>1</v>
      </c>
      <c r="V1566" s="1">
        <v>1</v>
      </c>
      <c r="W1566" s="1">
        <v>0</v>
      </c>
      <c r="X1566" s="1">
        <v>1</v>
      </c>
      <c r="Y1566" s="1">
        <v>3</v>
      </c>
      <c r="Z1566" s="1">
        <v>3</v>
      </c>
      <c r="AA1566" s="1">
        <v>3</v>
      </c>
      <c r="AB1566" s="1">
        <v>3</v>
      </c>
      <c r="AC1566" s="1" t="s">
        <v>104</v>
      </c>
      <c r="AD1566" s="1" t="s">
        <v>104</v>
      </c>
      <c r="AE1566" s="1" t="s">
        <v>104</v>
      </c>
      <c r="AF1566" s="1" t="s">
        <v>104</v>
      </c>
      <c r="AG1566" s="1" t="s">
        <v>104</v>
      </c>
      <c r="AH1566" s="1" t="s">
        <v>104</v>
      </c>
      <c r="AI1566" s="1" t="s">
        <v>104</v>
      </c>
      <c r="AJ1566" s="1">
        <v>3</v>
      </c>
      <c r="AK1566" s="1" t="s">
        <v>104</v>
      </c>
      <c r="AL1566" s="1" t="s">
        <v>104</v>
      </c>
      <c r="AM1566" s="1" t="s">
        <v>104</v>
      </c>
      <c r="AO1566" s="1">
        <v>3</v>
      </c>
      <c r="AR1566" s="1">
        <v>0</v>
      </c>
      <c r="AS1566" s="1">
        <v>0</v>
      </c>
      <c r="AT1566" s="1">
        <v>0</v>
      </c>
      <c r="AU1566" s="1">
        <v>0</v>
      </c>
      <c r="AV1566" s="1">
        <v>0</v>
      </c>
      <c r="AW1566" s="1">
        <v>0</v>
      </c>
      <c r="AX1566" s="1">
        <v>0</v>
      </c>
      <c r="AY1566" s="1">
        <v>0</v>
      </c>
      <c r="AZ1566" s="1">
        <v>0</v>
      </c>
      <c r="BA1566" s="1">
        <v>0</v>
      </c>
      <c r="BB1566" s="1">
        <v>0</v>
      </c>
      <c r="BC1566" s="1">
        <v>0</v>
      </c>
      <c r="BD1566" s="1">
        <v>0</v>
      </c>
      <c r="BE1566" s="1">
        <v>0</v>
      </c>
      <c r="BF1566" s="1">
        <v>0</v>
      </c>
      <c r="BG1566" s="1">
        <v>0</v>
      </c>
      <c r="BH1566" s="1">
        <v>0</v>
      </c>
      <c r="BI1566" s="1">
        <v>0</v>
      </c>
      <c r="BJ1566" s="1">
        <v>1</v>
      </c>
      <c r="BK1566" s="1">
        <v>0</v>
      </c>
      <c r="BL1566" s="1">
        <v>0</v>
      </c>
      <c r="BM1566" s="1">
        <v>0</v>
      </c>
      <c r="BN1566" s="1">
        <v>0</v>
      </c>
      <c r="BO1566" s="1">
        <v>0</v>
      </c>
      <c r="BP1566" s="1">
        <v>0</v>
      </c>
      <c r="BQ1566" s="1" t="s">
        <v>104</v>
      </c>
      <c r="BR1566" s="1">
        <v>1652</v>
      </c>
      <c r="BS1566" s="1" t="s">
        <v>104</v>
      </c>
      <c r="BX1566" s="1">
        <v>0</v>
      </c>
      <c r="BY1566" s="1" t="s">
        <v>104</v>
      </c>
      <c r="BZ1566" s="1" t="s">
        <v>104</v>
      </c>
      <c r="CA1566" s="1" t="s">
        <v>104</v>
      </c>
      <c r="CB1566" s="1" t="s">
        <v>104</v>
      </c>
      <c r="CC1566" s="1" t="s">
        <v>104</v>
      </c>
      <c r="CD1566" s="1" t="s">
        <v>104</v>
      </c>
      <c r="CE1566" s="1" t="s">
        <v>104</v>
      </c>
      <c r="CF1566" s="1" t="s">
        <v>104</v>
      </c>
      <c r="CG1566" s="1" t="s">
        <v>104</v>
      </c>
      <c r="CH1566" s="1">
        <v>3</v>
      </c>
      <c r="CJ1566" s="1">
        <v>0</v>
      </c>
      <c r="CK1566" s="1">
        <v>0</v>
      </c>
      <c r="CL1566" s="1">
        <v>0</v>
      </c>
      <c r="CM1566" s="1" t="s">
        <v>104</v>
      </c>
    </row>
    <row r="1567" spans="1:91" ht="14.25" customHeight="1" x14ac:dyDescent="0.3">
      <c r="A1567" s="1" t="s">
        <v>8748</v>
      </c>
      <c r="B1567" s="1" t="s">
        <v>137</v>
      </c>
      <c r="E1567" s="1" t="s">
        <v>8749</v>
      </c>
      <c r="F1567" s="1" t="s">
        <v>95</v>
      </c>
      <c r="G1567" s="1" t="s">
        <v>116</v>
      </c>
      <c r="H1567" s="1">
        <v>0</v>
      </c>
      <c r="I1567" s="1" t="s">
        <v>157</v>
      </c>
      <c r="L1567" s="1" t="s">
        <v>8750</v>
      </c>
      <c r="M1567" s="1" t="s">
        <v>201</v>
      </c>
      <c r="N1567" s="1">
        <v>0</v>
      </c>
      <c r="O1567" s="1">
        <v>0</v>
      </c>
      <c r="R1567" s="1" t="s">
        <v>8751</v>
      </c>
      <c r="S1567" s="1" t="s">
        <v>8739</v>
      </c>
      <c r="T1567" s="1">
        <v>1</v>
      </c>
      <c r="U1567" s="1">
        <v>1</v>
      </c>
      <c r="V1567" s="1">
        <v>0</v>
      </c>
      <c r="W1567" s="1">
        <v>0</v>
      </c>
      <c r="X1567" s="1">
        <v>0</v>
      </c>
      <c r="Y1567" s="1">
        <v>1</v>
      </c>
      <c r="Z1567" s="1">
        <v>1</v>
      </c>
      <c r="AA1567" s="1" t="s">
        <v>104</v>
      </c>
      <c r="AB1567" s="1">
        <v>1</v>
      </c>
      <c r="AC1567" s="1" t="s">
        <v>104</v>
      </c>
      <c r="AD1567" s="1" t="s">
        <v>104</v>
      </c>
      <c r="AE1567" s="1" t="s">
        <v>104</v>
      </c>
      <c r="AF1567" s="1">
        <v>1</v>
      </c>
      <c r="AG1567" s="1">
        <v>1</v>
      </c>
      <c r="AH1567" s="1">
        <v>1</v>
      </c>
      <c r="AI1567" s="1" t="s">
        <v>104</v>
      </c>
      <c r="AJ1567" s="1" t="s">
        <v>104</v>
      </c>
      <c r="AK1567" s="1">
        <v>1</v>
      </c>
      <c r="AL1567" s="1">
        <v>1</v>
      </c>
      <c r="AM1567" s="1" t="s">
        <v>104</v>
      </c>
      <c r="AO1567" s="1">
        <v>1</v>
      </c>
      <c r="AR1567" s="1">
        <v>0</v>
      </c>
      <c r="AS1567" s="1">
        <v>0</v>
      </c>
      <c r="AT1567" s="1">
        <v>0</v>
      </c>
      <c r="AU1567" s="1">
        <v>0</v>
      </c>
      <c r="AV1567" s="1">
        <v>0</v>
      </c>
      <c r="AW1567" s="1">
        <v>0</v>
      </c>
      <c r="AX1567" s="1">
        <v>0</v>
      </c>
      <c r="AY1567" s="1">
        <v>0</v>
      </c>
      <c r="AZ1567" s="1">
        <v>0</v>
      </c>
      <c r="BA1567" s="1">
        <v>0</v>
      </c>
      <c r="BB1567" s="1">
        <v>0</v>
      </c>
      <c r="BC1567" s="1">
        <v>0</v>
      </c>
      <c r="BD1567" s="1">
        <v>0</v>
      </c>
      <c r="BE1567" s="1">
        <v>0</v>
      </c>
      <c r="BF1567" s="1">
        <v>0</v>
      </c>
      <c r="BG1567" s="1">
        <v>0</v>
      </c>
      <c r="BH1567" s="1">
        <v>0</v>
      </c>
      <c r="BI1567" s="1">
        <v>0</v>
      </c>
      <c r="BJ1567" s="1">
        <v>0</v>
      </c>
      <c r="BK1567" s="1">
        <v>0</v>
      </c>
      <c r="BL1567" s="1">
        <v>0</v>
      </c>
      <c r="BM1567" s="1">
        <v>0</v>
      </c>
      <c r="BN1567" s="1">
        <v>0</v>
      </c>
      <c r="BO1567" s="1">
        <v>0</v>
      </c>
      <c r="BP1567" s="1">
        <v>0</v>
      </c>
      <c r="BQ1567" s="1" t="s">
        <v>104</v>
      </c>
      <c r="BR1567" s="1">
        <v>1653</v>
      </c>
      <c r="BS1567" s="1" t="s">
        <v>104</v>
      </c>
      <c r="BX1567" s="1">
        <v>0</v>
      </c>
      <c r="BY1567" s="1" t="s">
        <v>104</v>
      </c>
      <c r="BZ1567" s="1" t="s">
        <v>104</v>
      </c>
      <c r="CA1567" s="1" t="s">
        <v>104</v>
      </c>
      <c r="CB1567" s="1" t="s">
        <v>104</v>
      </c>
      <c r="CC1567" s="1" t="s">
        <v>104</v>
      </c>
      <c r="CD1567" s="1" t="s">
        <v>104</v>
      </c>
      <c r="CE1567" s="1" t="s">
        <v>104</v>
      </c>
      <c r="CF1567" s="1" t="s">
        <v>104</v>
      </c>
      <c r="CG1567" s="1" t="s">
        <v>104</v>
      </c>
      <c r="CH1567" s="1">
        <v>1</v>
      </c>
      <c r="CJ1567" s="1">
        <v>0</v>
      </c>
      <c r="CK1567" s="1">
        <v>0</v>
      </c>
      <c r="CL1567" s="1">
        <v>0</v>
      </c>
      <c r="CM1567" s="1">
        <v>1</v>
      </c>
    </row>
    <row r="1568" spans="1:91" ht="14.25" customHeight="1" x14ac:dyDescent="0.3">
      <c r="A1568" s="1" t="s">
        <v>8752</v>
      </c>
      <c r="B1568" s="1" t="s">
        <v>92</v>
      </c>
      <c r="C1568" s="1" t="s">
        <v>93</v>
      </c>
      <c r="E1568" s="1" t="s">
        <v>8753</v>
      </c>
      <c r="F1568" s="1" t="s">
        <v>95</v>
      </c>
      <c r="G1568" s="1" t="s">
        <v>8754</v>
      </c>
      <c r="H1568" s="1">
        <v>0</v>
      </c>
      <c r="I1568" s="1" t="s">
        <v>128</v>
      </c>
      <c r="L1568" s="1" t="s">
        <v>8755</v>
      </c>
      <c r="M1568" s="1" t="s">
        <v>4641</v>
      </c>
      <c r="N1568" s="1">
        <v>1</v>
      </c>
      <c r="O1568" s="1">
        <v>0</v>
      </c>
      <c r="P1568" s="1" t="s">
        <v>148</v>
      </c>
      <c r="Q1568" s="1" t="s">
        <v>149</v>
      </c>
      <c r="R1568" s="1" t="s">
        <v>8756</v>
      </c>
      <c r="S1568" s="1" t="s">
        <v>8739</v>
      </c>
      <c r="T1568" s="1">
        <v>1</v>
      </c>
      <c r="U1568" s="1">
        <v>1</v>
      </c>
      <c r="V1568" s="1">
        <v>0</v>
      </c>
      <c r="W1568" s="1">
        <v>0</v>
      </c>
      <c r="X1568" s="1">
        <v>0</v>
      </c>
      <c r="Y1568" s="1">
        <v>2</v>
      </c>
      <c r="Z1568" s="1">
        <v>2</v>
      </c>
      <c r="AA1568" s="1">
        <v>2</v>
      </c>
      <c r="AB1568" s="1">
        <v>2</v>
      </c>
      <c r="AC1568" s="1">
        <v>2</v>
      </c>
      <c r="AD1568" s="1" t="s">
        <v>104</v>
      </c>
      <c r="AE1568" s="1" t="s">
        <v>104</v>
      </c>
      <c r="AF1568" s="1">
        <v>3</v>
      </c>
      <c r="AG1568" s="1" t="s">
        <v>104</v>
      </c>
      <c r="AH1568" s="1">
        <v>2</v>
      </c>
      <c r="AI1568" s="1" t="s">
        <v>104</v>
      </c>
      <c r="AJ1568" s="1">
        <v>2</v>
      </c>
      <c r="AK1568" s="1" t="s">
        <v>104</v>
      </c>
      <c r="AL1568" s="1" t="s">
        <v>104</v>
      </c>
      <c r="AM1568" s="1" t="s">
        <v>104</v>
      </c>
      <c r="AO1568" s="1">
        <v>2</v>
      </c>
      <c r="AR1568" s="1">
        <v>0</v>
      </c>
      <c r="AS1568" s="1">
        <v>0</v>
      </c>
      <c r="AT1568" s="1">
        <v>0</v>
      </c>
      <c r="AU1568" s="1">
        <v>0</v>
      </c>
      <c r="AV1568" s="1">
        <v>0</v>
      </c>
      <c r="AW1568" s="1">
        <v>0</v>
      </c>
      <c r="AX1568" s="1">
        <v>0</v>
      </c>
      <c r="AY1568" s="1">
        <v>0</v>
      </c>
      <c r="AZ1568" s="1">
        <v>0</v>
      </c>
      <c r="BA1568" s="1">
        <v>0</v>
      </c>
      <c r="BB1568" s="1">
        <v>0</v>
      </c>
      <c r="BC1568" s="1">
        <v>0</v>
      </c>
      <c r="BD1568" s="1">
        <v>0</v>
      </c>
      <c r="BE1568" s="1">
        <v>0</v>
      </c>
      <c r="BF1568" s="1">
        <v>0</v>
      </c>
      <c r="BG1568" s="1">
        <v>0</v>
      </c>
      <c r="BH1568" s="1">
        <v>0</v>
      </c>
      <c r="BI1568" s="1">
        <v>0</v>
      </c>
      <c r="BJ1568" s="1">
        <v>0</v>
      </c>
      <c r="BK1568" s="1">
        <v>0</v>
      </c>
      <c r="BL1568" s="1">
        <v>0</v>
      </c>
      <c r="BM1568" s="1">
        <v>0</v>
      </c>
      <c r="BN1568" s="1">
        <v>0</v>
      </c>
      <c r="BO1568" s="1">
        <v>0</v>
      </c>
      <c r="BP1568" s="1">
        <v>0</v>
      </c>
      <c r="BQ1568" s="1" t="s">
        <v>104</v>
      </c>
      <c r="BR1568" s="1">
        <v>1654</v>
      </c>
      <c r="BS1568" s="1" t="s">
        <v>104</v>
      </c>
      <c r="BX1568" s="1">
        <v>0</v>
      </c>
      <c r="BY1568" s="1" t="s">
        <v>104</v>
      </c>
      <c r="BZ1568" s="1" t="s">
        <v>104</v>
      </c>
      <c r="CA1568" s="1" t="s">
        <v>104</v>
      </c>
      <c r="CB1568" s="1" t="s">
        <v>104</v>
      </c>
      <c r="CC1568" s="1" t="s">
        <v>104</v>
      </c>
      <c r="CD1568" s="1" t="s">
        <v>104</v>
      </c>
      <c r="CE1568" s="1" t="s">
        <v>104</v>
      </c>
      <c r="CF1568" s="1" t="s">
        <v>104</v>
      </c>
      <c r="CG1568" s="1" t="s">
        <v>104</v>
      </c>
      <c r="CH1568" s="1">
        <v>2</v>
      </c>
      <c r="CJ1568" s="1">
        <v>0</v>
      </c>
      <c r="CK1568" s="1">
        <v>0</v>
      </c>
      <c r="CL1568" s="1">
        <v>0</v>
      </c>
      <c r="CM1568" s="1" t="s">
        <v>104</v>
      </c>
    </row>
    <row r="1569" spans="1:91" ht="14.25" customHeight="1" x14ac:dyDescent="0.3">
      <c r="A1569" s="1" t="s">
        <v>8757</v>
      </c>
      <c r="B1569" s="1" t="s">
        <v>507</v>
      </c>
      <c r="C1569" s="1" t="s">
        <v>65</v>
      </c>
      <c r="D1569" s="1" t="s">
        <v>65</v>
      </c>
      <c r="E1569" s="1" t="s">
        <v>8758</v>
      </c>
      <c r="F1569" s="1" t="s">
        <v>95</v>
      </c>
      <c r="G1569" s="1" t="s">
        <v>116</v>
      </c>
      <c r="H1569" s="1">
        <v>0</v>
      </c>
      <c r="I1569" s="1" t="s">
        <v>157</v>
      </c>
      <c r="M1569" s="1" t="s">
        <v>111</v>
      </c>
      <c r="N1569" s="1">
        <v>0</v>
      </c>
      <c r="O1569" s="1">
        <v>0</v>
      </c>
      <c r="P1569" s="1" t="s">
        <v>8759</v>
      </c>
      <c r="Q1569" s="1" t="s">
        <v>8760</v>
      </c>
      <c r="R1569" s="1" t="s">
        <v>8761</v>
      </c>
      <c r="S1569" s="1" t="s">
        <v>8739</v>
      </c>
      <c r="T1569" s="1">
        <v>1</v>
      </c>
      <c r="U1569" s="1">
        <v>1</v>
      </c>
      <c r="V1569" s="1">
        <v>0</v>
      </c>
      <c r="W1569" s="1">
        <v>0</v>
      </c>
      <c r="X1569" s="1">
        <v>0</v>
      </c>
      <c r="Y1569" s="1">
        <v>4</v>
      </c>
      <c r="Z1569" s="1">
        <v>4</v>
      </c>
      <c r="AA1569" s="1" t="s">
        <v>104</v>
      </c>
      <c r="AB1569" s="1" t="s">
        <v>104</v>
      </c>
      <c r="AC1569" s="1" t="s">
        <v>104</v>
      </c>
      <c r="AD1569" s="1">
        <v>4</v>
      </c>
      <c r="AE1569" s="1" t="s">
        <v>104</v>
      </c>
      <c r="AF1569" s="1" t="s">
        <v>104</v>
      </c>
      <c r="AG1569" s="1" t="s">
        <v>104</v>
      </c>
      <c r="AH1569" s="1" t="s">
        <v>104</v>
      </c>
      <c r="AI1569" s="1" t="s">
        <v>104</v>
      </c>
      <c r="AJ1569" s="1" t="s">
        <v>104</v>
      </c>
      <c r="AK1569" s="1" t="s">
        <v>104</v>
      </c>
      <c r="AL1569" s="1" t="s">
        <v>104</v>
      </c>
      <c r="AM1569" s="1" t="s">
        <v>104</v>
      </c>
      <c r="AO1569" s="1">
        <v>4</v>
      </c>
      <c r="AR1569" s="1">
        <v>0</v>
      </c>
      <c r="AS1569" s="1">
        <v>0</v>
      </c>
      <c r="AT1569" s="1">
        <v>0</v>
      </c>
      <c r="AU1569" s="1">
        <v>0</v>
      </c>
      <c r="AV1569" s="1">
        <v>0</v>
      </c>
      <c r="AW1569" s="1">
        <v>0</v>
      </c>
      <c r="AX1569" s="1">
        <v>0</v>
      </c>
      <c r="AY1569" s="1">
        <v>0</v>
      </c>
      <c r="AZ1569" s="1">
        <v>0</v>
      </c>
      <c r="BA1569" s="1">
        <v>0</v>
      </c>
      <c r="BB1569" s="1">
        <v>0</v>
      </c>
      <c r="BC1569" s="1">
        <v>0</v>
      </c>
      <c r="BD1569" s="1">
        <v>0</v>
      </c>
      <c r="BE1569" s="1">
        <v>0</v>
      </c>
      <c r="BF1569" s="1">
        <v>0</v>
      </c>
      <c r="BG1569" s="1">
        <v>0</v>
      </c>
      <c r="BH1569" s="1">
        <v>0</v>
      </c>
      <c r="BI1569" s="1">
        <v>0</v>
      </c>
      <c r="BJ1569" s="1">
        <v>0</v>
      </c>
      <c r="BK1569" s="1">
        <v>0</v>
      </c>
      <c r="BL1569" s="1">
        <v>0</v>
      </c>
      <c r="BM1569" s="1">
        <v>0</v>
      </c>
      <c r="BN1569" s="1">
        <v>1</v>
      </c>
      <c r="BO1569" s="1">
        <v>0</v>
      </c>
      <c r="BP1569" s="1">
        <v>0</v>
      </c>
      <c r="BQ1569" s="1" t="s">
        <v>104</v>
      </c>
      <c r="BR1569" s="1">
        <v>1655</v>
      </c>
      <c r="BS1569" s="1" t="s">
        <v>104</v>
      </c>
      <c r="BX1569" s="1">
        <v>0</v>
      </c>
      <c r="BY1569" s="1" t="s">
        <v>104</v>
      </c>
      <c r="BZ1569" s="1" t="s">
        <v>104</v>
      </c>
      <c r="CA1569" s="1" t="s">
        <v>104</v>
      </c>
      <c r="CB1569" s="1" t="s">
        <v>104</v>
      </c>
      <c r="CC1569" s="1" t="s">
        <v>104</v>
      </c>
      <c r="CD1569" s="1" t="s">
        <v>104</v>
      </c>
      <c r="CE1569" s="1" t="s">
        <v>104</v>
      </c>
      <c r="CF1569" s="1" t="s">
        <v>104</v>
      </c>
      <c r="CG1569" s="1" t="s">
        <v>104</v>
      </c>
      <c r="CH1569" s="1" t="s">
        <v>104</v>
      </c>
      <c r="CJ1569" s="1">
        <v>0</v>
      </c>
      <c r="CK1569" s="1">
        <v>0</v>
      </c>
      <c r="CL1569" s="1">
        <v>0</v>
      </c>
      <c r="CM1569" s="1" t="s">
        <v>104</v>
      </c>
    </row>
    <row r="1570" spans="1:91" ht="14.25" customHeight="1" x14ac:dyDescent="0.3">
      <c r="A1570" s="1" t="s">
        <v>8762</v>
      </c>
      <c r="B1570" s="1" t="s">
        <v>137</v>
      </c>
      <c r="E1570" s="1" t="s">
        <v>8763</v>
      </c>
      <c r="F1570" s="1" t="s">
        <v>95</v>
      </c>
      <c r="G1570" s="1" t="s">
        <v>8764</v>
      </c>
      <c r="H1570" s="1">
        <v>0</v>
      </c>
      <c r="I1570" s="1" t="s">
        <v>117</v>
      </c>
      <c r="L1570" s="1" t="s">
        <v>417</v>
      </c>
      <c r="M1570" s="1" t="s">
        <v>2330</v>
      </c>
      <c r="N1570" s="1">
        <v>0</v>
      </c>
      <c r="O1570" s="1">
        <v>0</v>
      </c>
      <c r="P1570" s="1" t="s">
        <v>8765</v>
      </c>
      <c r="Q1570" s="1" t="s">
        <v>184</v>
      </c>
      <c r="R1570" s="1" t="s">
        <v>8766</v>
      </c>
      <c r="S1570" s="1" t="s">
        <v>8739</v>
      </c>
      <c r="T1570" s="1">
        <v>1</v>
      </c>
      <c r="U1570" s="1">
        <v>1</v>
      </c>
      <c r="V1570" s="1">
        <v>1</v>
      </c>
      <c r="W1570" s="1">
        <v>0</v>
      </c>
      <c r="X1570" s="1">
        <v>1</v>
      </c>
      <c r="Y1570" s="1">
        <v>5</v>
      </c>
      <c r="Z1570" s="1">
        <v>5</v>
      </c>
      <c r="AA1570" s="1" t="s">
        <v>104</v>
      </c>
      <c r="AB1570" s="1">
        <v>4</v>
      </c>
      <c r="AC1570" s="1" t="s">
        <v>104</v>
      </c>
      <c r="AD1570" s="1" t="s">
        <v>104</v>
      </c>
      <c r="AE1570" s="1" t="s">
        <v>104</v>
      </c>
      <c r="AF1570" s="1" t="s">
        <v>104</v>
      </c>
      <c r="AG1570" s="1" t="s">
        <v>104</v>
      </c>
      <c r="AH1570" s="1">
        <v>5</v>
      </c>
      <c r="AI1570" s="1" t="s">
        <v>104</v>
      </c>
      <c r="AJ1570" s="1" t="s">
        <v>104</v>
      </c>
      <c r="AK1570" s="1" t="s">
        <v>104</v>
      </c>
      <c r="AL1570" s="1" t="s">
        <v>104</v>
      </c>
      <c r="AM1570" s="1" t="s">
        <v>104</v>
      </c>
      <c r="AO1570" s="1">
        <v>5</v>
      </c>
      <c r="AR1570" s="1">
        <v>0</v>
      </c>
      <c r="AS1570" s="1">
        <v>0</v>
      </c>
      <c r="AT1570" s="1">
        <v>0</v>
      </c>
      <c r="AU1570" s="1">
        <v>0</v>
      </c>
      <c r="AV1570" s="1">
        <v>0</v>
      </c>
      <c r="AW1570" s="1">
        <v>0</v>
      </c>
      <c r="AX1570" s="1">
        <v>0</v>
      </c>
      <c r="AY1570" s="1">
        <v>0</v>
      </c>
      <c r="AZ1570" s="1">
        <v>0</v>
      </c>
      <c r="BA1570" s="1">
        <v>0</v>
      </c>
      <c r="BB1570" s="1">
        <v>0</v>
      </c>
      <c r="BC1570" s="1">
        <v>0</v>
      </c>
      <c r="BD1570" s="1">
        <v>0</v>
      </c>
      <c r="BE1570" s="1">
        <v>0</v>
      </c>
      <c r="BF1570" s="1">
        <v>0</v>
      </c>
      <c r="BG1570" s="1">
        <v>0</v>
      </c>
      <c r="BH1570" s="1">
        <v>0</v>
      </c>
      <c r="BI1570" s="1">
        <v>0</v>
      </c>
      <c r="BJ1570" s="1">
        <v>0</v>
      </c>
      <c r="BK1570" s="1">
        <v>0</v>
      </c>
      <c r="BL1570" s="1">
        <v>0</v>
      </c>
      <c r="BM1570" s="1">
        <v>0</v>
      </c>
      <c r="BN1570" s="1">
        <v>0</v>
      </c>
      <c r="BO1570" s="1">
        <v>0</v>
      </c>
      <c r="BP1570" s="1">
        <v>0</v>
      </c>
      <c r="BQ1570" s="1" t="s">
        <v>104</v>
      </c>
      <c r="BR1570" s="1">
        <v>1656</v>
      </c>
      <c r="BS1570" s="1" t="s">
        <v>104</v>
      </c>
      <c r="BX1570" s="1">
        <v>0</v>
      </c>
      <c r="BY1570" s="1" t="s">
        <v>104</v>
      </c>
      <c r="BZ1570" s="1" t="s">
        <v>104</v>
      </c>
      <c r="CA1570" s="1" t="s">
        <v>104</v>
      </c>
      <c r="CB1570" s="1" t="s">
        <v>104</v>
      </c>
      <c r="CC1570" s="1" t="s">
        <v>104</v>
      </c>
      <c r="CD1570" s="1" t="s">
        <v>104</v>
      </c>
      <c r="CE1570" s="1" t="s">
        <v>104</v>
      </c>
      <c r="CF1570" s="1" t="s">
        <v>104</v>
      </c>
      <c r="CG1570" s="1" t="s">
        <v>104</v>
      </c>
      <c r="CH1570" s="1">
        <v>4</v>
      </c>
      <c r="CJ1570" s="1">
        <v>0</v>
      </c>
      <c r="CK1570" s="1">
        <v>0</v>
      </c>
      <c r="CL1570" s="1">
        <v>0</v>
      </c>
      <c r="CM1570" s="1" t="s">
        <v>104</v>
      </c>
    </row>
    <row r="1571" spans="1:91" ht="14.25" customHeight="1" x14ac:dyDescent="0.3">
      <c r="A1571" s="1" t="s">
        <v>8767</v>
      </c>
      <c r="B1571" s="1" t="s">
        <v>92</v>
      </c>
      <c r="C1571" s="1" t="s">
        <v>93</v>
      </c>
      <c r="E1571" s="1" t="s">
        <v>8768</v>
      </c>
      <c r="F1571" s="1" t="s">
        <v>95</v>
      </c>
      <c r="G1571" s="1" t="s">
        <v>8769</v>
      </c>
      <c r="H1571" s="1">
        <v>0</v>
      </c>
      <c r="I1571" s="1" t="s">
        <v>8770</v>
      </c>
      <c r="K1571" s="1" t="s">
        <v>8771</v>
      </c>
      <c r="M1571" s="1" t="s">
        <v>2330</v>
      </c>
      <c r="N1571" s="1">
        <v>0</v>
      </c>
      <c r="O1571" s="1">
        <v>0</v>
      </c>
      <c r="P1571" s="1" t="s">
        <v>100</v>
      </c>
      <c r="Q1571" s="1" t="s">
        <v>101</v>
      </c>
      <c r="R1571" s="1" t="s">
        <v>8772</v>
      </c>
      <c r="S1571" s="1" t="s">
        <v>8739</v>
      </c>
      <c r="T1571" s="1">
        <v>1</v>
      </c>
      <c r="U1571" s="1">
        <v>1</v>
      </c>
      <c r="V1571" s="1">
        <v>1</v>
      </c>
      <c r="W1571" s="1">
        <v>0</v>
      </c>
      <c r="X1571" s="1">
        <v>0</v>
      </c>
      <c r="Y1571" s="1">
        <v>3</v>
      </c>
      <c r="Z1571" s="1">
        <v>3</v>
      </c>
      <c r="AA1571" s="1" t="s">
        <v>104</v>
      </c>
      <c r="AB1571" s="1" t="s">
        <v>104</v>
      </c>
      <c r="AC1571" s="1" t="s">
        <v>104</v>
      </c>
      <c r="AD1571" s="1" t="s">
        <v>104</v>
      </c>
      <c r="AE1571" s="1" t="s">
        <v>104</v>
      </c>
      <c r="AF1571" s="1" t="s">
        <v>104</v>
      </c>
      <c r="AG1571" s="1">
        <v>2</v>
      </c>
      <c r="AH1571" s="1">
        <v>3</v>
      </c>
      <c r="AI1571" s="1" t="s">
        <v>104</v>
      </c>
      <c r="AJ1571" s="1" t="s">
        <v>104</v>
      </c>
      <c r="AK1571" s="1" t="s">
        <v>104</v>
      </c>
      <c r="AL1571" s="1" t="s">
        <v>104</v>
      </c>
      <c r="AM1571" s="1" t="s">
        <v>104</v>
      </c>
      <c r="AO1571" s="1">
        <v>3</v>
      </c>
      <c r="AR1571" s="1">
        <v>0</v>
      </c>
      <c r="AS1571" s="1">
        <v>0</v>
      </c>
      <c r="AT1571" s="1">
        <v>0</v>
      </c>
      <c r="AU1571" s="1">
        <v>0</v>
      </c>
      <c r="AV1571" s="1">
        <v>0</v>
      </c>
      <c r="AW1571" s="1">
        <v>0</v>
      </c>
      <c r="AX1571" s="1">
        <v>0</v>
      </c>
      <c r="AY1571" s="1">
        <v>0</v>
      </c>
      <c r="AZ1571" s="1">
        <v>0</v>
      </c>
      <c r="BA1571" s="1">
        <v>0</v>
      </c>
      <c r="BB1571" s="1">
        <v>0</v>
      </c>
      <c r="BC1571" s="1">
        <v>0</v>
      </c>
      <c r="BD1571" s="1">
        <v>0</v>
      </c>
      <c r="BE1571" s="1">
        <v>0</v>
      </c>
      <c r="BF1571" s="1">
        <v>0</v>
      </c>
      <c r="BG1571" s="1">
        <v>0</v>
      </c>
      <c r="BH1571" s="1">
        <v>0</v>
      </c>
      <c r="BI1571" s="1">
        <v>0</v>
      </c>
      <c r="BJ1571" s="1">
        <v>0</v>
      </c>
      <c r="BK1571" s="1">
        <v>0</v>
      </c>
      <c r="BL1571" s="1">
        <v>0</v>
      </c>
      <c r="BM1571" s="1">
        <v>0</v>
      </c>
      <c r="BN1571" s="1">
        <v>0</v>
      </c>
      <c r="BO1571" s="1">
        <v>0</v>
      </c>
      <c r="BP1571" s="1">
        <v>0</v>
      </c>
      <c r="BQ1571" s="1" t="s">
        <v>104</v>
      </c>
      <c r="BR1571" s="1">
        <v>1657</v>
      </c>
      <c r="BS1571" s="1" t="s">
        <v>104</v>
      </c>
      <c r="BX1571" s="1">
        <v>0</v>
      </c>
      <c r="BY1571" s="1" t="s">
        <v>104</v>
      </c>
      <c r="BZ1571" s="1" t="s">
        <v>104</v>
      </c>
      <c r="CA1571" s="1" t="s">
        <v>104</v>
      </c>
      <c r="CB1571" s="1" t="s">
        <v>104</v>
      </c>
      <c r="CC1571" s="1" t="s">
        <v>104</v>
      </c>
      <c r="CD1571" s="1" t="s">
        <v>104</v>
      </c>
      <c r="CE1571" s="1" t="s">
        <v>104</v>
      </c>
      <c r="CF1571" s="1" t="s">
        <v>104</v>
      </c>
      <c r="CG1571" s="1" t="s">
        <v>104</v>
      </c>
      <c r="CH1571" s="1" t="s">
        <v>104</v>
      </c>
      <c r="CJ1571" s="1">
        <v>0</v>
      </c>
      <c r="CK1571" s="1">
        <v>0</v>
      </c>
      <c r="CL1571" s="1">
        <v>0</v>
      </c>
      <c r="CM1571" s="1">
        <v>2</v>
      </c>
    </row>
    <row r="1572" spans="1:91" ht="14.25" customHeight="1" x14ac:dyDescent="0.3">
      <c r="A1572" s="1" t="s">
        <v>8773</v>
      </c>
      <c r="B1572" s="1" t="s">
        <v>172</v>
      </c>
      <c r="E1572" s="1" t="s">
        <v>8774</v>
      </c>
      <c r="F1572" s="1" t="s">
        <v>95</v>
      </c>
      <c r="G1572" s="1" t="s">
        <v>8775</v>
      </c>
      <c r="H1572" s="1">
        <v>0</v>
      </c>
      <c r="L1572" s="1" t="s">
        <v>8776</v>
      </c>
      <c r="M1572" s="1" t="s">
        <v>8552</v>
      </c>
      <c r="N1572" s="1">
        <v>1</v>
      </c>
      <c r="O1572" s="1">
        <v>0</v>
      </c>
      <c r="P1572" s="1" t="s">
        <v>418</v>
      </c>
      <c r="Q1572" s="1" t="s">
        <v>101</v>
      </c>
      <c r="R1572" s="1" t="s">
        <v>8777</v>
      </c>
      <c r="S1572" s="1" t="s">
        <v>8778</v>
      </c>
      <c r="T1572" s="1">
        <v>1</v>
      </c>
      <c r="U1572" s="1">
        <v>1</v>
      </c>
      <c r="V1572" s="1">
        <v>0</v>
      </c>
      <c r="W1572" s="1">
        <v>0</v>
      </c>
      <c r="X1572" s="1">
        <v>1</v>
      </c>
      <c r="Y1572" s="1" t="s">
        <v>104</v>
      </c>
      <c r="Z1572" s="1" t="s">
        <v>104</v>
      </c>
      <c r="AA1572" s="1">
        <v>2</v>
      </c>
      <c r="AB1572" s="1" t="s">
        <v>104</v>
      </c>
      <c r="AC1572" s="1" t="s">
        <v>104</v>
      </c>
      <c r="AD1572" s="1">
        <v>2</v>
      </c>
      <c r="AE1572" s="1" t="s">
        <v>104</v>
      </c>
      <c r="AF1572" s="1" t="s">
        <v>104</v>
      </c>
      <c r="AG1572" s="1" t="s">
        <v>104</v>
      </c>
      <c r="AH1572" s="1">
        <v>2</v>
      </c>
      <c r="AI1572" s="1">
        <v>2</v>
      </c>
      <c r="AJ1572" s="1">
        <v>2</v>
      </c>
      <c r="AK1572" s="1" t="s">
        <v>104</v>
      </c>
      <c r="AL1572" s="1" t="s">
        <v>104</v>
      </c>
      <c r="AM1572" s="1" t="s">
        <v>104</v>
      </c>
      <c r="AO1572" s="1">
        <v>2</v>
      </c>
      <c r="AR1572" s="1">
        <v>0</v>
      </c>
      <c r="AS1572" s="1">
        <v>0</v>
      </c>
      <c r="AT1572" s="1">
        <v>0</v>
      </c>
      <c r="AU1572" s="1">
        <v>0</v>
      </c>
      <c r="AV1572" s="1">
        <v>0</v>
      </c>
      <c r="AW1572" s="1">
        <v>0</v>
      </c>
      <c r="AX1572" s="1">
        <v>0</v>
      </c>
      <c r="AY1572" s="1">
        <v>0</v>
      </c>
      <c r="AZ1572" s="1">
        <v>0</v>
      </c>
      <c r="BA1572" s="1">
        <v>0</v>
      </c>
      <c r="BB1572" s="1">
        <v>0</v>
      </c>
      <c r="BC1572" s="1">
        <v>0</v>
      </c>
      <c r="BD1572" s="1">
        <v>0</v>
      </c>
      <c r="BE1572" s="1">
        <v>0</v>
      </c>
      <c r="BF1572" s="1">
        <v>0</v>
      </c>
      <c r="BG1572" s="1">
        <v>0</v>
      </c>
      <c r="BH1572" s="1">
        <v>0</v>
      </c>
      <c r="BI1572" s="1">
        <v>0</v>
      </c>
      <c r="BJ1572" s="1">
        <v>0</v>
      </c>
      <c r="BK1572" s="1">
        <v>0</v>
      </c>
      <c r="BL1572" s="1">
        <v>0</v>
      </c>
      <c r="BM1572" s="1">
        <v>0</v>
      </c>
      <c r="BN1572" s="1">
        <v>0</v>
      </c>
      <c r="BO1572" s="1">
        <v>0</v>
      </c>
      <c r="BP1572" s="1">
        <v>0</v>
      </c>
      <c r="BQ1572" s="1" t="s">
        <v>104</v>
      </c>
      <c r="BR1572" s="1">
        <v>1658</v>
      </c>
      <c r="BS1572" s="1" t="s">
        <v>104</v>
      </c>
      <c r="BX1572" s="1">
        <v>0</v>
      </c>
      <c r="BY1572" s="1" t="s">
        <v>104</v>
      </c>
      <c r="BZ1572" s="1" t="s">
        <v>104</v>
      </c>
      <c r="CA1572" s="1" t="s">
        <v>104</v>
      </c>
      <c r="CB1572" s="1" t="s">
        <v>104</v>
      </c>
      <c r="CC1572" s="1" t="s">
        <v>104</v>
      </c>
      <c r="CD1572" s="1" t="s">
        <v>104</v>
      </c>
      <c r="CE1572" s="1" t="s">
        <v>104</v>
      </c>
      <c r="CF1572" s="1" t="s">
        <v>104</v>
      </c>
      <c r="CG1572" s="1" t="s">
        <v>104</v>
      </c>
      <c r="CH1572" s="1" t="s">
        <v>104</v>
      </c>
      <c r="CJ1572" s="1">
        <v>0</v>
      </c>
      <c r="CK1572" s="1">
        <v>0</v>
      </c>
      <c r="CL1572" s="1">
        <v>0</v>
      </c>
      <c r="CM1572" s="1" t="s">
        <v>104</v>
      </c>
    </row>
    <row r="1573" spans="1:91" ht="14.25" customHeight="1" x14ac:dyDescent="0.3">
      <c r="A1573" s="1" t="s">
        <v>8779</v>
      </c>
      <c r="B1573" s="1" t="s">
        <v>123</v>
      </c>
      <c r="E1573" s="1" t="s">
        <v>7107</v>
      </c>
      <c r="F1573" s="1" t="s">
        <v>95</v>
      </c>
      <c r="G1573" s="1" t="s">
        <v>8780</v>
      </c>
      <c r="H1573" s="1">
        <v>1</v>
      </c>
      <c r="I1573" s="1" t="s">
        <v>128</v>
      </c>
      <c r="L1573" s="1" t="s">
        <v>8781</v>
      </c>
      <c r="M1573" s="1" t="s">
        <v>8782</v>
      </c>
      <c r="N1573" s="1">
        <v>1</v>
      </c>
      <c r="O1573" s="1">
        <v>0</v>
      </c>
      <c r="P1573" s="1" t="s">
        <v>100</v>
      </c>
      <c r="Q1573" s="1" t="s">
        <v>101</v>
      </c>
      <c r="R1573" s="1" t="s">
        <v>8783</v>
      </c>
      <c r="S1573" s="1" t="s">
        <v>8778</v>
      </c>
      <c r="T1573" s="1">
        <v>1</v>
      </c>
      <c r="U1573" s="1">
        <v>1</v>
      </c>
      <c r="V1573" s="1">
        <v>1</v>
      </c>
      <c r="W1573" s="1">
        <v>0</v>
      </c>
      <c r="X1573" s="1">
        <v>0</v>
      </c>
      <c r="Y1573" s="1">
        <v>3</v>
      </c>
      <c r="Z1573" s="1">
        <v>3</v>
      </c>
      <c r="AA1573" s="1" t="s">
        <v>104</v>
      </c>
      <c r="AB1573" s="1" t="s">
        <v>104</v>
      </c>
      <c r="AC1573" s="1" t="s">
        <v>104</v>
      </c>
      <c r="AD1573" s="1">
        <v>3</v>
      </c>
      <c r="AE1573" s="1" t="s">
        <v>104</v>
      </c>
      <c r="AF1573" s="1" t="s">
        <v>104</v>
      </c>
      <c r="AG1573" s="1" t="s">
        <v>104</v>
      </c>
      <c r="AH1573" s="1" t="s">
        <v>104</v>
      </c>
      <c r="AI1573" s="1" t="s">
        <v>104</v>
      </c>
      <c r="AJ1573" s="1" t="s">
        <v>104</v>
      </c>
      <c r="AK1573" s="1" t="s">
        <v>104</v>
      </c>
      <c r="AL1573" s="1" t="s">
        <v>104</v>
      </c>
      <c r="AM1573" s="1" t="s">
        <v>104</v>
      </c>
      <c r="AO1573" s="1">
        <v>3</v>
      </c>
      <c r="AR1573" s="1">
        <v>0</v>
      </c>
      <c r="AS1573" s="1">
        <v>0</v>
      </c>
      <c r="AT1573" s="1">
        <v>0</v>
      </c>
      <c r="AU1573" s="1">
        <v>0</v>
      </c>
      <c r="AV1573" s="1">
        <v>0</v>
      </c>
      <c r="AW1573" s="1">
        <v>0</v>
      </c>
      <c r="AX1573" s="1">
        <v>0</v>
      </c>
      <c r="AY1573" s="1">
        <v>0</v>
      </c>
      <c r="AZ1573" s="1">
        <v>0</v>
      </c>
      <c r="BA1573" s="1">
        <v>0</v>
      </c>
      <c r="BB1573" s="1">
        <v>0</v>
      </c>
      <c r="BC1573" s="1">
        <v>0</v>
      </c>
      <c r="BD1573" s="1">
        <v>0</v>
      </c>
      <c r="BE1573" s="1">
        <v>0</v>
      </c>
      <c r="BF1573" s="1">
        <v>0</v>
      </c>
      <c r="BG1573" s="1">
        <v>0</v>
      </c>
      <c r="BH1573" s="1">
        <v>0</v>
      </c>
      <c r="BI1573" s="1">
        <v>0</v>
      </c>
      <c r="BJ1573" s="1">
        <v>0</v>
      </c>
      <c r="BK1573" s="1">
        <v>0</v>
      </c>
      <c r="BL1573" s="1">
        <v>0</v>
      </c>
      <c r="BM1573" s="1">
        <v>0</v>
      </c>
      <c r="BN1573" s="1">
        <v>0</v>
      </c>
      <c r="BO1573" s="1">
        <v>0</v>
      </c>
      <c r="BP1573" s="1">
        <v>0</v>
      </c>
      <c r="BQ1573" s="1" t="s">
        <v>104</v>
      </c>
      <c r="BR1573" s="1">
        <v>1659</v>
      </c>
      <c r="BS1573" s="1">
        <v>10</v>
      </c>
      <c r="BX1573" s="1">
        <v>0</v>
      </c>
      <c r="BY1573" s="1" t="s">
        <v>104</v>
      </c>
      <c r="BZ1573" s="1" t="s">
        <v>104</v>
      </c>
      <c r="CA1573" s="1" t="s">
        <v>104</v>
      </c>
      <c r="CB1573" s="1" t="s">
        <v>104</v>
      </c>
      <c r="CC1573" s="1" t="s">
        <v>104</v>
      </c>
      <c r="CD1573" s="1" t="s">
        <v>104</v>
      </c>
      <c r="CE1573" s="1" t="s">
        <v>104</v>
      </c>
      <c r="CF1573" s="1" t="s">
        <v>104</v>
      </c>
      <c r="CG1573" s="1" t="s">
        <v>104</v>
      </c>
      <c r="CH1573" s="1" t="s">
        <v>104</v>
      </c>
      <c r="CJ1573" s="1">
        <v>0</v>
      </c>
      <c r="CK1573" s="1">
        <v>0</v>
      </c>
      <c r="CL1573" s="1">
        <v>0</v>
      </c>
      <c r="CM1573" s="1" t="s">
        <v>104</v>
      </c>
    </row>
    <row r="1574" spans="1:91" ht="14.25" customHeight="1" x14ac:dyDescent="0.3">
      <c r="A1574" s="1" t="s">
        <v>8784</v>
      </c>
      <c r="B1574" s="1" t="s">
        <v>123</v>
      </c>
      <c r="E1574" s="1" t="s">
        <v>7107</v>
      </c>
      <c r="F1574" s="1" t="s">
        <v>8359</v>
      </c>
      <c r="G1574" s="1" t="s">
        <v>116</v>
      </c>
      <c r="H1574" s="1">
        <v>0</v>
      </c>
      <c r="I1574" s="1" t="s">
        <v>128</v>
      </c>
      <c r="L1574" s="1" t="s">
        <v>8785</v>
      </c>
      <c r="M1574" s="1" t="s">
        <v>4400</v>
      </c>
      <c r="N1574" s="1">
        <v>1</v>
      </c>
      <c r="O1574" s="1">
        <v>0</v>
      </c>
      <c r="P1574" s="1" t="s">
        <v>100</v>
      </c>
      <c r="Q1574" s="1" t="s">
        <v>184</v>
      </c>
      <c r="R1574" s="1" t="s">
        <v>8786</v>
      </c>
      <c r="S1574" s="1" t="s">
        <v>8778</v>
      </c>
      <c r="T1574" s="1">
        <v>1</v>
      </c>
      <c r="U1574" s="1">
        <v>1</v>
      </c>
      <c r="V1574" s="1">
        <v>0</v>
      </c>
      <c r="W1574" s="1">
        <v>0</v>
      </c>
      <c r="X1574" s="1">
        <v>0</v>
      </c>
      <c r="Y1574" s="1">
        <v>3</v>
      </c>
      <c r="Z1574" s="1">
        <v>3</v>
      </c>
      <c r="AA1574" s="1" t="s">
        <v>104</v>
      </c>
      <c r="AB1574" s="1" t="s">
        <v>104</v>
      </c>
      <c r="AC1574" s="1" t="s">
        <v>104</v>
      </c>
      <c r="AD1574" s="1">
        <v>3</v>
      </c>
      <c r="AE1574" s="1" t="s">
        <v>104</v>
      </c>
      <c r="AF1574" s="1" t="s">
        <v>104</v>
      </c>
      <c r="AG1574" s="1" t="s">
        <v>104</v>
      </c>
      <c r="AH1574" s="1" t="s">
        <v>104</v>
      </c>
      <c r="AI1574" s="1" t="s">
        <v>104</v>
      </c>
      <c r="AJ1574" s="1" t="s">
        <v>104</v>
      </c>
      <c r="AK1574" s="1" t="s">
        <v>104</v>
      </c>
      <c r="AL1574" s="1" t="s">
        <v>104</v>
      </c>
      <c r="AM1574" s="1" t="s">
        <v>104</v>
      </c>
      <c r="AO1574" s="1">
        <v>3</v>
      </c>
      <c r="AR1574" s="1">
        <v>0</v>
      </c>
      <c r="AS1574" s="1">
        <v>0</v>
      </c>
      <c r="AT1574" s="1">
        <v>0</v>
      </c>
      <c r="AU1574" s="1">
        <v>0</v>
      </c>
      <c r="AV1574" s="1">
        <v>0</v>
      </c>
      <c r="AW1574" s="1">
        <v>0</v>
      </c>
      <c r="AX1574" s="1">
        <v>0</v>
      </c>
      <c r="AY1574" s="1">
        <v>0</v>
      </c>
      <c r="AZ1574" s="1">
        <v>0</v>
      </c>
      <c r="BA1574" s="1">
        <v>0</v>
      </c>
      <c r="BB1574" s="1">
        <v>0</v>
      </c>
      <c r="BC1574" s="1">
        <v>0</v>
      </c>
      <c r="BD1574" s="1">
        <v>0</v>
      </c>
      <c r="BE1574" s="1">
        <v>0</v>
      </c>
      <c r="BF1574" s="1">
        <v>0</v>
      </c>
      <c r="BG1574" s="1">
        <v>0</v>
      </c>
      <c r="BH1574" s="1">
        <v>0</v>
      </c>
      <c r="BI1574" s="1">
        <v>0</v>
      </c>
      <c r="BJ1574" s="1">
        <v>0</v>
      </c>
      <c r="BK1574" s="1">
        <v>0</v>
      </c>
      <c r="BL1574" s="1">
        <v>0</v>
      </c>
      <c r="BM1574" s="1">
        <v>0</v>
      </c>
      <c r="BN1574" s="1">
        <v>0</v>
      </c>
      <c r="BO1574" s="1">
        <v>0</v>
      </c>
      <c r="BP1574" s="1">
        <v>0</v>
      </c>
      <c r="BQ1574" s="1" t="s">
        <v>104</v>
      </c>
      <c r="BR1574" s="1">
        <v>1660</v>
      </c>
      <c r="BS1574" s="1" t="s">
        <v>104</v>
      </c>
      <c r="BX1574" s="1">
        <v>0</v>
      </c>
      <c r="BY1574" s="1" t="s">
        <v>104</v>
      </c>
      <c r="BZ1574" s="1" t="s">
        <v>104</v>
      </c>
      <c r="CA1574" s="1" t="s">
        <v>104</v>
      </c>
      <c r="CB1574" s="1" t="s">
        <v>104</v>
      </c>
      <c r="CC1574" s="1" t="s">
        <v>104</v>
      </c>
      <c r="CD1574" s="1" t="s">
        <v>104</v>
      </c>
      <c r="CE1574" s="1" t="s">
        <v>104</v>
      </c>
      <c r="CF1574" s="1" t="s">
        <v>104</v>
      </c>
      <c r="CG1574" s="1" t="s">
        <v>104</v>
      </c>
      <c r="CH1574" s="1" t="s">
        <v>104</v>
      </c>
      <c r="CJ1574" s="1">
        <v>0</v>
      </c>
      <c r="CK1574" s="1">
        <v>0</v>
      </c>
      <c r="CL1574" s="1">
        <v>0</v>
      </c>
      <c r="CM1574" s="1" t="s">
        <v>104</v>
      </c>
    </row>
    <row r="1575" spans="1:91" ht="14.25" customHeight="1" x14ac:dyDescent="0.3">
      <c r="A1575" s="1" t="s">
        <v>8787</v>
      </c>
      <c r="B1575" s="1" t="s">
        <v>137</v>
      </c>
      <c r="E1575" s="1" t="s">
        <v>8788</v>
      </c>
      <c r="F1575" s="1" t="s">
        <v>2638</v>
      </c>
      <c r="G1575" s="1" t="s">
        <v>8789</v>
      </c>
      <c r="H1575" s="1">
        <v>1</v>
      </c>
      <c r="I1575" s="1" t="s">
        <v>128</v>
      </c>
      <c r="L1575" s="1" t="s">
        <v>8790</v>
      </c>
      <c r="M1575" s="1" t="s">
        <v>119</v>
      </c>
      <c r="N1575" s="1">
        <v>0</v>
      </c>
      <c r="O1575" s="1">
        <v>0</v>
      </c>
      <c r="P1575" s="1" t="s">
        <v>8791</v>
      </c>
      <c r="Q1575" s="1" t="s">
        <v>101</v>
      </c>
      <c r="R1575" s="1" t="s">
        <v>8792</v>
      </c>
      <c r="S1575" s="1" t="s">
        <v>8778</v>
      </c>
      <c r="T1575" s="1">
        <v>1</v>
      </c>
      <c r="U1575" s="1">
        <v>1</v>
      </c>
      <c r="V1575" s="1">
        <v>1</v>
      </c>
      <c r="W1575" s="1">
        <v>0</v>
      </c>
      <c r="X1575" s="1">
        <v>0</v>
      </c>
      <c r="Y1575" s="1">
        <v>4</v>
      </c>
      <c r="Z1575" s="1">
        <v>4</v>
      </c>
      <c r="AA1575" s="1" t="s">
        <v>104</v>
      </c>
      <c r="AB1575" s="1" t="s">
        <v>104</v>
      </c>
      <c r="AC1575" s="1" t="s">
        <v>104</v>
      </c>
      <c r="AD1575" s="1">
        <v>5</v>
      </c>
      <c r="AE1575" s="1" t="s">
        <v>104</v>
      </c>
      <c r="AF1575" s="1" t="s">
        <v>104</v>
      </c>
      <c r="AG1575" s="1" t="s">
        <v>104</v>
      </c>
      <c r="AH1575" s="1" t="s">
        <v>104</v>
      </c>
      <c r="AI1575" s="1" t="s">
        <v>104</v>
      </c>
      <c r="AJ1575" s="1" t="s">
        <v>104</v>
      </c>
      <c r="AK1575" s="1" t="s">
        <v>104</v>
      </c>
      <c r="AL1575" s="1" t="s">
        <v>104</v>
      </c>
      <c r="AM1575" s="1" t="s">
        <v>104</v>
      </c>
      <c r="AO1575" s="1">
        <v>4</v>
      </c>
      <c r="AR1575" s="1">
        <v>0</v>
      </c>
      <c r="AS1575" s="1">
        <v>0</v>
      </c>
      <c r="AT1575" s="1">
        <v>0</v>
      </c>
      <c r="AU1575" s="1">
        <v>0</v>
      </c>
      <c r="AV1575" s="1">
        <v>0</v>
      </c>
      <c r="AW1575" s="1">
        <v>0</v>
      </c>
      <c r="AX1575" s="1">
        <v>0</v>
      </c>
      <c r="AY1575" s="1">
        <v>0</v>
      </c>
      <c r="AZ1575" s="1">
        <v>0</v>
      </c>
      <c r="BA1575" s="1">
        <v>0</v>
      </c>
      <c r="BB1575" s="1">
        <v>0</v>
      </c>
      <c r="BC1575" s="1">
        <v>0</v>
      </c>
      <c r="BD1575" s="1">
        <v>0</v>
      </c>
      <c r="BE1575" s="1">
        <v>0</v>
      </c>
      <c r="BF1575" s="1">
        <v>0</v>
      </c>
      <c r="BG1575" s="1">
        <v>0</v>
      </c>
      <c r="BH1575" s="1">
        <v>0</v>
      </c>
      <c r="BI1575" s="1">
        <v>0</v>
      </c>
      <c r="BJ1575" s="1">
        <v>0</v>
      </c>
      <c r="BK1575" s="1">
        <v>0</v>
      </c>
      <c r="BL1575" s="1">
        <v>0</v>
      </c>
      <c r="BM1575" s="1">
        <v>0</v>
      </c>
      <c r="BN1575" s="1">
        <v>0</v>
      </c>
      <c r="BO1575" s="1">
        <v>0</v>
      </c>
      <c r="BP1575" s="1">
        <v>0</v>
      </c>
      <c r="BQ1575" s="1" t="s">
        <v>104</v>
      </c>
      <c r="BR1575" s="1">
        <v>1661</v>
      </c>
      <c r="BS1575" s="1">
        <v>1000</v>
      </c>
      <c r="BX1575" s="1">
        <v>0</v>
      </c>
      <c r="BY1575" s="1" t="s">
        <v>104</v>
      </c>
      <c r="BZ1575" s="1" t="s">
        <v>104</v>
      </c>
      <c r="CA1575" s="1" t="s">
        <v>104</v>
      </c>
      <c r="CB1575" s="1" t="s">
        <v>104</v>
      </c>
      <c r="CC1575" s="1" t="s">
        <v>104</v>
      </c>
      <c r="CD1575" s="1" t="s">
        <v>104</v>
      </c>
      <c r="CE1575" s="1" t="s">
        <v>104</v>
      </c>
      <c r="CF1575" s="1" t="s">
        <v>104</v>
      </c>
      <c r="CG1575" s="1" t="s">
        <v>104</v>
      </c>
      <c r="CH1575" s="1" t="s">
        <v>104</v>
      </c>
      <c r="CJ1575" s="1">
        <v>0</v>
      </c>
      <c r="CK1575" s="1">
        <v>0</v>
      </c>
      <c r="CL1575" s="1">
        <v>0</v>
      </c>
      <c r="CM1575" s="1" t="s">
        <v>104</v>
      </c>
    </row>
    <row r="1576" spans="1:91" ht="14.25" customHeight="1" x14ac:dyDescent="0.3">
      <c r="A1576" s="1" t="s">
        <v>8793</v>
      </c>
      <c r="B1576" s="1" t="s">
        <v>92</v>
      </c>
      <c r="C1576" s="1" t="s">
        <v>1160</v>
      </c>
      <c r="E1576" s="1" t="s">
        <v>8794</v>
      </c>
      <c r="F1576" s="1" t="s">
        <v>2638</v>
      </c>
      <c r="G1576" s="1" t="s">
        <v>8795</v>
      </c>
      <c r="H1576" s="1">
        <v>1</v>
      </c>
      <c r="I1576" s="1" t="s">
        <v>128</v>
      </c>
      <c r="L1576" s="1" t="s">
        <v>8781</v>
      </c>
      <c r="M1576" s="1" t="s">
        <v>119</v>
      </c>
      <c r="N1576" s="1">
        <v>0</v>
      </c>
      <c r="O1576" s="1">
        <v>0</v>
      </c>
      <c r="P1576" s="1" t="s">
        <v>471</v>
      </c>
      <c r="Q1576" s="1" t="s">
        <v>472</v>
      </c>
      <c r="R1576" s="1" t="s">
        <v>8796</v>
      </c>
      <c r="S1576" s="1" t="s">
        <v>8778</v>
      </c>
      <c r="T1576" s="1">
        <v>1</v>
      </c>
      <c r="U1576" s="1">
        <v>0</v>
      </c>
      <c r="V1576" s="1">
        <v>1</v>
      </c>
      <c r="W1576" s="1">
        <v>0</v>
      </c>
      <c r="X1576" s="1">
        <v>0</v>
      </c>
      <c r="Y1576" s="1">
        <v>6</v>
      </c>
      <c r="Z1576" s="1">
        <v>6</v>
      </c>
      <c r="AA1576" s="1" t="s">
        <v>104</v>
      </c>
      <c r="AB1576" s="1" t="s">
        <v>104</v>
      </c>
      <c r="AC1576" s="1" t="s">
        <v>104</v>
      </c>
      <c r="AD1576" s="1" t="s">
        <v>104</v>
      </c>
      <c r="AE1576" s="1" t="s">
        <v>104</v>
      </c>
      <c r="AF1576" s="1" t="s">
        <v>104</v>
      </c>
      <c r="AG1576" s="1" t="s">
        <v>104</v>
      </c>
      <c r="AH1576" s="1" t="s">
        <v>104</v>
      </c>
      <c r="AI1576" s="1" t="s">
        <v>104</v>
      </c>
      <c r="AJ1576" s="1" t="s">
        <v>104</v>
      </c>
      <c r="AK1576" s="1" t="s">
        <v>104</v>
      </c>
      <c r="AL1576" s="1" t="s">
        <v>104</v>
      </c>
      <c r="AM1576" s="1" t="s">
        <v>104</v>
      </c>
      <c r="AO1576" s="1">
        <v>6</v>
      </c>
      <c r="AR1576" s="1">
        <v>0</v>
      </c>
      <c r="AS1576" s="1">
        <v>0</v>
      </c>
      <c r="AT1576" s="1">
        <v>0</v>
      </c>
      <c r="AU1576" s="1">
        <v>0</v>
      </c>
      <c r="AV1576" s="1">
        <v>0</v>
      </c>
      <c r="AW1576" s="1">
        <v>0</v>
      </c>
      <c r="AX1576" s="1">
        <v>0</v>
      </c>
      <c r="AY1576" s="1">
        <v>0</v>
      </c>
      <c r="AZ1576" s="1">
        <v>0</v>
      </c>
      <c r="BA1576" s="1">
        <v>0</v>
      </c>
      <c r="BB1576" s="1">
        <v>0</v>
      </c>
      <c r="BC1576" s="1">
        <v>0</v>
      </c>
      <c r="BD1576" s="1">
        <v>0</v>
      </c>
      <c r="BE1576" s="1">
        <v>0</v>
      </c>
      <c r="BF1576" s="1">
        <v>0</v>
      </c>
      <c r="BG1576" s="1">
        <v>0</v>
      </c>
      <c r="BH1576" s="1">
        <v>0</v>
      </c>
      <c r="BI1576" s="1">
        <v>0</v>
      </c>
      <c r="BJ1576" s="1">
        <v>0</v>
      </c>
      <c r="BK1576" s="1">
        <v>0</v>
      </c>
      <c r="BL1576" s="1">
        <v>0</v>
      </c>
      <c r="BM1576" s="1">
        <v>0</v>
      </c>
      <c r="BN1576" s="1">
        <v>0</v>
      </c>
      <c r="BO1576" s="1">
        <v>0</v>
      </c>
      <c r="BP1576" s="1">
        <v>0</v>
      </c>
      <c r="BQ1576" s="1" t="s">
        <v>104</v>
      </c>
      <c r="BR1576" s="1">
        <v>1662</v>
      </c>
      <c r="BS1576" s="1">
        <v>50</v>
      </c>
      <c r="BX1576" s="1">
        <v>0</v>
      </c>
      <c r="BY1576" s="1" t="s">
        <v>104</v>
      </c>
      <c r="BZ1576" s="1" t="s">
        <v>104</v>
      </c>
      <c r="CA1576" s="1" t="s">
        <v>104</v>
      </c>
      <c r="CB1576" s="1" t="s">
        <v>104</v>
      </c>
      <c r="CC1576" s="1" t="s">
        <v>104</v>
      </c>
      <c r="CD1576" s="1" t="s">
        <v>104</v>
      </c>
      <c r="CE1576" s="1" t="s">
        <v>104</v>
      </c>
      <c r="CF1576" s="1" t="s">
        <v>104</v>
      </c>
      <c r="CG1576" s="1" t="s">
        <v>104</v>
      </c>
      <c r="CH1576" s="1" t="s">
        <v>104</v>
      </c>
      <c r="CJ1576" s="1">
        <v>0</v>
      </c>
      <c r="CK1576" s="1">
        <v>0</v>
      </c>
      <c r="CL1576" s="1">
        <v>0</v>
      </c>
      <c r="CM1576" s="1" t="s">
        <v>104</v>
      </c>
    </row>
    <row r="1577" spans="1:91" ht="14.25" customHeight="1" x14ac:dyDescent="0.3">
      <c r="A1577" s="1" t="s">
        <v>8797</v>
      </c>
      <c r="B1577" s="1" t="s">
        <v>123</v>
      </c>
      <c r="C1577" s="1" t="s">
        <v>124</v>
      </c>
      <c r="D1577" s="1" t="s">
        <v>125</v>
      </c>
      <c r="E1577" s="1" t="s">
        <v>1834</v>
      </c>
      <c r="F1577" s="1" t="s">
        <v>95</v>
      </c>
      <c r="G1577" s="1" t="s">
        <v>127</v>
      </c>
      <c r="H1577" s="1">
        <v>0</v>
      </c>
      <c r="I1577" s="1" t="s">
        <v>8798</v>
      </c>
      <c r="L1577" s="1" t="s">
        <v>8799</v>
      </c>
      <c r="M1577" s="1" t="s">
        <v>8800</v>
      </c>
      <c r="N1577" s="1">
        <v>0</v>
      </c>
      <c r="O1577" s="1">
        <v>0</v>
      </c>
      <c r="P1577" s="1" t="s">
        <v>100</v>
      </c>
      <c r="Q1577" s="1" t="s">
        <v>131</v>
      </c>
      <c r="R1577" s="1" t="s">
        <v>8801</v>
      </c>
      <c r="S1577" s="1" t="s">
        <v>8778</v>
      </c>
      <c r="T1577" s="1">
        <v>1</v>
      </c>
      <c r="U1577" s="1">
        <v>1</v>
      </c>
      <c r="V1577" s="1">
        <v>0</v>
      </c>
      <c r="W1577" s="1">
        <v>0</v>
      </c>
      <c r="X1577" s="1">
        <v>1</v>
      </c>
      <c r="Y1577" s="1" t="s">
        <v>104</v>
      </c>
      <c r="Z1577" s="1" t="s">
        <v>104</v>
      </c>
      <c r="AA1577" s="1">
        <v>6</v>
      </c>
      <c r="AB1577" s="1" t="s">
        <v>104</v>
      </c>
      <c r="AC1577" s="1" t="s">
        <v>104</v>
      </c>
      <c r="AD1577" s="1" t="s">
        <v>104</v>
      </c>
      <c r="AE1577" s="1" t="s">
        <v>104</v>
      </c>
      <c r="AF1577" s="1" t="s">
        <v>104</v>
      </c>
      <c r="AG1577" s="1" t="s">
        <v>104</v>
      </c>
      <c r="AH1577" s="1" t="s">
        <v>104</v>
      </c>
      <c r="AI1577" s="1" t="s">
        <v>104</v>
      </c>
      <c r="AJ1577" s="1">
        <v>6</v>
      </c>
      <c r="AK1577" s="1" t="s">
        <v>104</v>
      </c>
      <c r="AL1577" s="1" t="s">
        <v>104</v>
      </c>
      <c r="AM1577" s="1" t="s">
        <v>104</v>
      </c>
      <c r="AO1577" s="1">
        <v>6</v>
      </c>
      <c r="AR1577" s="1">
        <v>0</v>
      </c>
      <c r="AS1577" s="1">
        <v>0</v>
      </c>
      <c r="AT1577" s="1">
        <v>0</v>
      </c>
      <c r="AU1577" s="1">
        <v>0</v>
      </c>
      <c r="AV1577" s="1">
        <v>0</v>
      </c>
      <c r="AW1577" s="1">
        <v>0</v>
      </c>
      <c r="AX1577" s="1">
        <v>0</v>
      </c>
      <c r="AY1577" s="1">
        <v>0</v>
      </c>
      <c r="AZ1577" s="1">
        <v>0</v>
      </c>
      <c r="BA1577" s="1">
        <v>0</v>
      </c>
      <c r="BB1577" s="1">
        <v>0</v>
      </c>
      <c r="BC1577" s="1">
        <v>0</v>
      </c>
      <c r="BD1577" s="1">
        <v>0</v>
      </c>
      <c r="BE1577" s="1">
        <v>0</v>
      </c>
      <c r="BF1577" s="1">
        <v>0</v>
      </c>
      <c r="BG1577" s="1">
        <v>0</v>
      </c>
      <c r="BH1577" s="1">
        <v>0</v>
      </c>
      <c r="BI1577" s="1">
        <v>0</v>
      </c>
      <c r="BJ1577" s="1">
        <v>0</v>
      </c>
      <c r="BK1577" s="1">
        <v>1</v>
      </c>
      <c r="BL1577" s="1">
        <v>0</v>
      </c>
      <c r="BM1577" s="1">
        <v>0</v>
      </c>
      <c r="BN1577" s="1">
        <v>0</v>
      </c>
      <c r="BO1577" s="1">
        <v>0</v>
      </c>
      <c r="BP1577" s="1">
        <v>0</v>
      </c>
      <c r="BQ1577" s="1" t="s">
        <v>104</v>
      </c>
      <c r="BR1577" s="1">
        <v>1663</v>
      </c>
      <c r="BS1577" s="1" t="s">
        <v>104</v>
      </c>
      <c r="BX1577" s="1">
        <v>0</v>
      </c>
      <c r="BY1577" s="1" t="s">
        <v>104</v>
      </c>
      <c r="BZ1577" s="1" t="s">
        <v>104</v>
      </c>
      <c r="CA1577" s="1" t="s">
        <v>104</v>
      </c>
      <c r="CB1577" s="1" t="s">
        <v>104</v>
      </c>
      <c r="CC1577" s="1" t="s">
        <v>104</v>
      </c>
      <c r="CD1577" s="1" t="s">
        <v>104</v>
      </c>
      <c r="CE1577" s="1" t="s">
        <v>104</v>
      </c>
      <c r="CF1577" s="1" t="s">
        <v>104</v>
      </c>
      <c r="CG1577" s="1" t="s">
        <v>104</v>
      </c>
      <c r="CH1577" s="1" t="s">
        <v>104</v>
      </c>
      <c r="CJ1577" s="1">
        <v>0</v>
      </c>
      <c r="CK1577" s="1">
        <v>0</v>
      </c>
      <c r="CL1577" s="1">
        <v>0</v>
      </c>
      <c r="CM1577" s="1" t="s">
        <v>104</v>
      </c>
    </row>
    <row r="1578" spans="1:91" ht="14.25" customHeight="1" x14ac:dyDescent="0.3">
      <c r="A1578" s="1" t="s">
        <v>8802</v>
      </c>
      <c r="B1578" s="1" t="s">
        <v>434</v>
      </c>
      <c r="E1578" s="1" t="s">
        <v>2542</v>
      </c>
      <c r="F1578" s="1" t="s">
        <v>287</v>
      </c>
      <c r="G1578" s="1" t="s">
        <v>8803</v>
      </c>
      <c r="H1578" s="1">
        <v>1</v>
      </c>
      <c r="I1578" s="1" t="s">
        <v>8798</v>
      </c>
      <c r="L1578" s="1" t="s">
        <v>8799</v>
      </c>
      <c r="M1578" s="1" t="s">
        <v>8800</v>
      </c>
      <c r="N1578" s="1">
        <v>0</v>
      </c>
      <c r="O1578" s="1">
        <v>0</v>
      </c>
      <c r="P1578" s="1" t="s">
        <v>1523</v>
      </c>
      <c r="Q1578" s="1" t="s">
        <v>184</v>
      </c>
      <c r="R1578" s="1" t="s">
        <v>8804</v>
      </c>
      <c r="S1578" s="1" t="s">
        <v>8778</v>
      </c>
      <c r="T1578" s="1">
        <v>1</v>
      </c>
      <c r="U1578" s="1">
        <v>1</v>
      </c>
      <c r="V1578" s="1">
        <v>0</v>
      </c>
      <c r="W1578" s="1">
        <v>0</v>
      </c>
      <c r="X1578" s="1">
        <v>0</v>
      </c>
      <c r="Y1578" s="1" t="s">
        <v>104</v>
      </c>
      <c r="Z1578" s="1" t="s">
        <v>104</v>
      </c>
      <c r="AA1578" s="1">
        <v>9</v>
      </c>
      <c r="AB1578" s="1" t="s">
        <v>104</v>
      </c>
      <c r="AC1578" s="1" t="s">
        <v>104</v>
      </c>
      <c r="AD1578" s="1" t="s">
        <v>104</v>
      </c>
      <c r="AE1578" s="1" t="s">
        <v>104</v>
      </c>
      <c r="AF1578" s="1" t="s">
        <v>104</v>
      </c>
      <c r="AG1578" s="1" t="s">
        <v>104</v>
      </c>
      <c r="AH1578" s="1" t="s">
        <v>104</v>
      </c>
      <c r="AI1578" s="1" t="s">
        <v>104</v>
      </c>
      <c r="AJ1578" s="1">
        <v>9</v>
      </c>
      <c r="AK1578" s="1" t="s">
        <v>104</v>
      </c>
      <c r="AL1578" s="1" t="s">
        <v>104</v>
      </c>
      <c r="AM1578" s="1" t="s">
        <v>104</v>
      </c>
      <c r="AO1578" s="1">
        <v>9</v>
      </c>
      <c r="AR1578" s="1">
        <v>0</v>
      </c>
      <c r="AS1578" s="1">
        <v>0</v>
      </c>
      <c r="AT1578" s="1">
        <v>0</v>
      </c>
      <c r="AU1578" s="1">
        <v>0</v>
      </c>
      <c r="AV1578" s="1">
        <v>0</v>
      </c>
      <c r="AW1578" s="1">
        <v>0</v>
      </c>
      <c r="AX1578" s="1">
        <v>0</v>
      </c>
      <c r="AY1578" s="1">
        <v>0</v>
      </c>
      <c r="AZ1578" s="1">
        <v>0</v>
      </c>
      <c r="BA1578" s="1">
        <v>0</v>
      </c>
      <c r="BB1578" s="1">
        <v>0</v>
      </c>
      <c r="BC1578" s="1">
        <v>0</v>
      </c>
      <c r="BD1578" s="1">
        <v>0</v>
      </c>
      <c r="BE1578" s="1">
        <v>0</v>
      </c>
      <c r="BF1578" s="1">
        <v>0</v>
      </c>
      <c r="BG1578" s="1">
        <v>0</v>
      </c>
      <c r="BH1578" s="1">
        <v>0</v>
      </c>
      <c r="BI1578" s="1">
        <v>0</v>
      </c>
      <c r="BJ1578" s="1">
        <v>0</v>
      </c>
      <c r="BK1578" s="1">
        <v>0</v>
      </c>
      <c r="BL1578" s="1">
        <v>0</v>
      </c>
      <c r="BM1578" s="1">
        <v>0</v>
      </c>
      <c r="BN1578" s="1">
        <v>0</v>
      </c>
      <c r="BO1578" s="1">
        <v>0</v>
      </c>
      <c r="BP1578" s="1">
        <v>0</v>
      </c>
      <c r="BQ1578" s="1" t="s">
        <v>104</v>
      </c>
      <c r="BR1578" s="1">
        <v>1664</v>
      </c>
      <c r="BS1578" s="1">
        <v>100</v>
      </c>
      <c r="BX1578" s="1">
        <v>0</v>
      </c>
      <c r="BY1578" s="1" t="s">
        <v>104</v>
      </c>
      <c r="BZ1578" s="1" t="s">
        <v>104</v>
      </c>
      <c r="CA1578" s="1" t="s">
        <v>104</v>
      </c>
      <c r="CB1578" s="1" t="s">
        <v>104</v>
      </c>
      <c r="CC1578" s="1" t="s">
        <v>104</v>
      </c>
      <c r="CD1578" s="1" t="s">
        <v>104</v>
      </c>
      <c r="CE1578" s="1" t="s">
        <v>104</v>
      </c>
      <c r="CF1578" s="1" t="s">
        <v>104</v>
      </c>
      <c r="CG1578" s="1" t="s">
        <v>104</v>
      </c>
      <c r="CH1578" s="1" t="s">
        <v>104</v>
      </c>
      <c r="CJ1578" s="1">
        <v>0</v>
      </c>
      <c r="CK1578" s="1">
        <v>0</v>
      </c>
      <c r="CL1578" s="1">
        <v>0</v>
      </c>
      <c r="CM1578" s="1" t="s">
        <v>104</v>
      </c>
    </row>
    <row r="1579" spans="1:91" ht="14.25" customHeight="1" x14ac:dyDescent="0.3">
      <c r="A1579" s="1" t="s">
        <v>8805</v>
      </c>
      <c r="B1579" s="1" t="s">
        <v>172</v>
      </c>
      <c r="E1579" s="1" t="s">
        <v>8806</v>
      </c>
      <c r="F1579" s="1" t="s">
        <v>95</v>
      </c>
      <c r="G1579" s="1" t="s">
        <v>116</v>
      </c>
      <c r="H1579" s="1">
        <v>0</v>
      </c>
      <c r="I1579" s="1" t="s">
        <v>8798</v>
      </c>
      <c r="L1579" s="1" t="s">
        <v>8799</v>
      </c>
      <c r="M1579" s="1" t="s">
        <v>8800</v>
      </c>
      <c r="N1579" s="1">
        <v>0</v>
      </c>
      <c r="O1579" s="1">
        <v>0</v>
      </c>
      <c r="P1579" s="1" t="s">
        <v>100</v>
      </c>
      <c r="Q1579" s="1" t="s">
        <v>101</v>
      </c>
      <c r="R1579" s="1" t="s">
        <v>8807</v>
      </c>
      <c r="S1579" s="1" t="s">
        <v>8778</v>
      </c>
      <c r="T1579" s="1">
        <v>1</v>
      </c>
      <c r="U1579" s="1">
        <v>1</v>
      </c>
      <c r="V1579" s="1">
        <v>0</v>
      </c>
      <c r="W1579" s="1">
        <v>0</v>
      </c>
      <c r="X1579" s="1">
        <v>0</v>
      </c>
      <c r="Y1579" s="1" t="s">
        <v>104</v>
      </c>
      <c r="Z1579" s="1" t="s">
        <v>104</v>
      </c>
      <c r="AA1579" s="1" t="s">
        <v>104</v>
      </c>
      <c r="AB1579" s="1" t="s">
        <v>104</v>
      </c>
      <c r="AC1579" s="1" t="s">
        <v>104</v>
      </c>
      <c r="AD1579" s="1">
        <v>6</v>
      </c>
      <c r="AE1579" s="1" t="s">
        <v>104</v>
      </c>
      <c r="AF1579" s="1" t="s">
        <v>104</v>
      </c>
      <c r="AG1579" s="1" t="s">
        <v>104</v>
      </c>
      <c r="AH1579" s="1" t="s">
        <v>104</v>
      </c>
      <c r="AI1579" s="1">
        <v>6</v>
      </c>
      <c r="AJ1579" s="1" t="s">
        <v>104</v>
      </c>
      <c r="AK1579" s="1" t="s">
        <v>104</v>
      </c>
      <c r="AL1579" s="1" t="s">
        <v>104</v>
      </c>
      <c r="AM1579" s="1" t="s">
        <v>104</v>
      </c>
      <c r="AO1579" s="1">
        <v>6</v>
      </c>
      <c r="AR1579" s="1">
        <v>0</v>
      </c>
      <c r="AS1579" s="1">
        <v>0</v>
      </c>
      <c r="AT1579" s="1">
        <v>0</v>
      </c>
      <c r="AU1579" s="1">
        <v>0</v>
      </c>
      <c r="AV1579" s="1">
        <v>0</v>
      </c>
      <c r="AW1579" s="1">
        <v>0</v>
      </c>
      <c r="AX1579" s="1">
        <v>0</v>
      </c>
      <c r="AY1579" s="1">
        <v>0</v>
      </c>
      <c r="AZ1579" s="1">
        <v>0</v>
      </c>
      <c r="BA1579" s="1">
        <v>0</v>
      </c>
      <c r="BB1579" s="1">
        <v>0</v>
      </c>
      <c r="BC1579" s="1">
        <v>0</v>
      </c>
      <c r="BD1579" s="1">
        <v>0</v>
      </c>
      <c r="BE1579" s="1">
        <v>0</v>
      </c>
      <c r="BF1579" s="1">
        <v>0</v>
      </c>
      <c r="BG1579" s="1">
        <v>0</v>
      </c>
      <c r="BH1579" s="1">
        <v>0</v>
      </c>
      <c r="BI1579" s="1">
        <v>0</v>
      </c>
      <c r="BJ1579" s="1">
        <v>0</v>
      </c>
      <c r="BK1579" s="1">
        <v>0</v>
      </c>
      <c r="BL1579" s="1">
        <v>0</v>
      </c>
      <c r="BM1579" s="1">
        <v>0</v>
      </c>
      <c r="BN1579" s="1">
        <v>0</v>
      </c>
      <c r="BO1579" s="1">
        <v>0</v>
      </c>
      <c r="BP1579" s="1">
        <v>0</v>
      </c>
      <c r="BQ1579" s="1" t="s">
        <v>104</v>
      </c>
      <c r="BR1579" s="1">
        <v>1665</v>
      </c>
      <c r="BS1579" s="1" t="s">
        <v>104</v>
      </c>
      <c r="BX1579" s="1">
        <v>0</v>
      </c>
      <c r="BY1579" s="1" t="s">
        <v>104</v>
      </c>
      <c r="BZ1579" s="1" t="s">
        <v>104</v>
      </c>
      <c r="CA1579" s="1" t="s">
        <v>104</v>
      </c>
      <c r="CB1579" s="1" t="s">
        <v>104</v>
      </c>
      <c r="CC1579" s="1" t="s">
        <v>104</v>
      </c>
      <c r="CD1579" s="1" t="s">
        <v>104</v>
      </c>
      <c r="CE1579" s="1" t="s">
        <v>104</v>
      </c>
      <c r="CF1579" s="1" t="s">
        <v>104</v>
      </c>
      <c r="CG1579" s="1" t="s">
        <v>104</v>
      </c>
      <c r="CH1579" s="1" t="s">
        <v>104</v>
      </c>
      <c r="CJ1579" s="1">
        <v>0</v>
      </c>
      <c r="CK1579" s="1">
        <v>0</v>
      </c>
      <c r="CL1579" s="1">
        <v>0</v>
      </c>
      <c r="CM1579" s="1" t="s">
        <v>104</v>
      </c>
    </row>
    <row r="1580" spans="1:91" ht="14.25" customHeight="1" x14ac:dyDescent="0.3">
      <c r="A1580" s="1" t="s">
        <v>8808</v>
      </c>
      <c r="B1580" s="1" t="s">
        <v>137</v>
      </c>
      <c r="E1580" s="1" t="s">
        <v>8809</v>
      </c>
      <c r="F1580" s="1" t="s">
        <v>2638</v>
      </c>
      <c r="G1580" s="1" t="s">
        <v>127</v>
      </c>
      <c r="H1580" s="1">
        <v>0</v>
      </c>
      <c r="I1580" s="1" t="s">
        <v>8810</v>
      </c>
      <c r="L1580" s="1" t="s">
        <v>8811</v>
      </c>
      <c r="M1580" s="1" t="s">
        <v>8812</v>
      </c>
      <c r="N1580" s="1">
        <v>0</v>
      </c>
      <c r="O1580" s="1">
        <v>0</v>
      </c>
      <c r="P1580" s="1" t="s">
        <v>1902</v>
      </c>
      <c r="Q1580" s="1" t="s">
        <v>184</v>
      </c>
      <c r="R1580" s="1" t="s">
        <v>8813</v>
      </c>
      <c r="S1580" s="1" t="s">
        <v>8778</v>
      </c>
      <c r="T1580" s="1">
        <v>1</v>
      </c>
      <c r="U1580" s="1">
        <v>1</v>
      </c>
      <c r="V1580" s="1">
        <v>0</v>
      </c>
      <c r="W1580" s="1">
        <v>0</v>
      </c>
      <c r="X1580" s="1">
        <v>1</v>
      </c>
      <c r="Y1580" s="1" t="s">
        <v>104</v>
      </c>
      <c r="Z1580" s="1" t="s">
        <v>104</v>
      </c>
      <c r="AA1580" s="1">
        <v>1</v>
      </c>
      <c r="AB1580" s="1" t="s">
        <v>104</v>
      </c>
      <c r="AC1580" s="1" t="s">
        <v>104</v>
      </c>
      <c r="AD1580" s="1" t="s">
        <v>104</v>
      </c>
      <c r="AE1580" s="1" t="s">
        <v>104</v>
      </c>
      <c r="AF1580" s="1" t="s">
        <v>104</v>
      </c>
      <c r="AG1580" s="1" t="s">
        <v>104</v>
      </c>
      <c r="AH1580" s="1" t="s">
        <v>104</v>
      </c>
      <c r="AI1580" s="1" t="s">
        <v>104</v>
      </c>
      <c r="AJ1580" s="1">
        <v>1</v>
      </c>
      <c r="AK1580" s="1" t="s">
        <v>104</v>
      </c>
      <c r="AL1580" s="1" t="s">
        <v>104</v>
      </c>
      <c r="AM1580" s="1" t="s">
        <v>104</v>
      </c>
      <c r="AO1580" s="1">
        <v>1</v>
      </c>
      <c r="AR1580" s="1">
        <v>0</v>
      </c>
      <c r="AS1580" s="1">
        <v>0</v>
      </c>
      <c r="AT1580" s="1">
        <v>0</v>
      </c>
      <c r="AU1580" s="1">
        <v>0</v>
      </c>
      <c r="AV1580" s="1">
        <v>0</v>
      </c>
      <c r="AW1580" s="1">
        <v>0</v>
      </c>
      <c r="AX1580" s="1">
        <v>0</v>
      </c>
      <c r="AY1580" s="1">
        <v>0</v>
      </c>
      <c r="AZ1580" s="1">
        <v>0</v>
      </c>
      <c r="BA1580" s="1">
        <v>0</v>
      </c>
      <c r="BB1580" s="1">
        <v>0</v>
      </c>
      <c r="BC1580" s="1">
        <v>0</v>
      </c>
      <c r="BD1580" s="1">
        <v>0</v>
      </c>
      <c r="BE1580" s="1">
        <v>0</v>
      </c>
      <c r="BF1580" s="1">
        <v>0</v>
      </c>
      <c r="BG1580" s="1">
        <v>0</v>
      </c>
      <c r="BH1580" s="1">
        <v>0</v>
      </c>
      <c r="BI1580" s="1">
        <v>0</v>
      </c>
      <c r="BJ1580" s="1">
        <v>0</v>
      </c>
      <c r="BK1580" s="1">
        <v>0</v>
      </c>
      <c r="BL1580" s="1">
        <v>0</v>
      </c>
      <c r="BM1580" s="1">
        <v>0</v>
      </c>
      <c r="BN1580" s="1">
        <v>0</v>
      </c>
      <c r="BO1580" s="1">
        <v>0</v>
      </c>
      <c r="BP1580" s="1">
        <v>0</v>
      </c>
      <c r="BQ1580" s="1" t="s">
        <v>104</v>
      </c>
      <c r="BR1580" s="1">
        <v>1666</v>
      </c>
      <c r="BS1580" s="1" t="s">
        <v>104</v>
      </c>
      <c r="BX1580" s="1">
        <v>0</v>
      </c>
      <c r="BY1580" s="1" t="s">
        <v>104</v>
      </c>
      <c r="BZ1580" s="1" t="s">
        <v>104</v>
      </c>
      <c r="CA1580" s="1" t="s">
        <v>104</v>
      </c>
      <c r="CB1580" s="1" t="s">
        <v>104</v>
      </c>
      <c r="CC1580" s="1" t="s">
        <v>104</v>
      </c>
      <c r="CD1580" s="1" t="s">
        <v>104</v>
      </c>
      <c r="CE1580" s="1" t="s">
        <v>104</v>
      </c>
      <c r="CF1580" s="1" t="s">
        <v>104</v>
      </c>
      <c r="CG1580" s="1" t="s">
        <v>104</v>
      </c>
      <c r="CH1580" s="1" t="s">
        <v>104</v>
      </c>
      <c r="CJ1580" s="1">
        <v>0</v>
      </c>
      <c r="CK1580" s="1">
        <v>0</v>
      </c>
      <c r="CL1580" s="1">
        <v>0</v>
      </c>
      <c r="CM1580" s="1" t="s">
        <v>104</v>
      </c>
    </row>
    <row r="1581" spans="1:91" ht="14.25" customHeight="1" x14ac:dyDescent="0.3">
      <c r="A1581" s="1" t="s">
        <v>8814</v>
      </c>
      <c r="B1581" s="1" t="s">
        <v>162</v>
      </c>
      <c r="E1581" s="1" t="s">
        <v>8815</v>
      </c>
      <c r="F1581" s="1" t="s">
        <v>95</v>
      </c>
      <c r="G1581" s="1" t="s">
        <v>8816</v>
      </c>
      <c r="H1581" s="1">
        <v>0</v>
      </c>
      <c r="I1581" s="1" t="s">
        <v>157</v>
      </c>
      <c r="L1581" s="1" t="s">
        <v>158</v>
      </c>
      <c r="M1581" s="1" t="s">
        <v>111</v>
      </c>
      <c r="N1581" s="1">
        <v>0</v>
      </c>
      <c r="O1581" s="1">
        <v>0</v>
      </c>
      <c r="R1581" s="1" t="s">
        <v>8817</v>
      </c>
      <c r="S1581" s="1" t="s">
        <v>8818</v>
      </c>
      <c r="T1581" s="1">
        <v>1</v>
      </c>
      <c r="U1581" s="1">
        <v>1</v>
      </c>
      <c r="V1581" s="1">
        <v>1</v>
      </c>
      <c r="W1581" s="1">
        <v>0</v>
      </c>
      <c r="X1581" s="1">
        <v>0</v>
      </c>
      <c r="Y1581" s="1">
        <v>3</v>
      </c>
      <c r="Z1581" s="1">
        <v>3</v>
      </c>
      <c r="AA1581" s="1">
        <v>3</v>
      </c>
      <c r="AB1581" s="1">
        <v>2</v>
      </c>
      <c r="AC1581" s="1" t="s">
        <v>104</v>
      </c>
      <c r="AD1581" s="1" t="s">
        <v>104</v>
      </c>
      <c r="AE1581" s="1" t="s">
        <v>104</v>
      </c>
      <c r="AF1581" s="1">
        <v>3</v>
      </c>
      <c r="AG1581" s="1" t="s">
        <v>104</v>
      </c>
      <c r="AH1581" s="1" t="s">
        <v>104</v>
      </c>
      <c r="AI1581" s="1" t="s">
        <v>104</v>
      </c>
      <c r="AJ1581" s="1">
        <v>3</v>
      </c>
      <c r="AK1581" s="1" t="s">
        <v>104</v>
      </c>
      <c r="AL1581" s="1" t="s">
        <v>104</v>
      </c>
      <c r="AM1581" s="1" t="s">
        <v>104</v>
      </c>
      <c r="AO1581" s="1">
        <v>3</v>
      </c>
      <c r="AR1581" s="1">
        <v>0</v>
      </c>
      <c r="AS1581" s="1">
        <v>0</v>
      </c>
      <c r="AT1581" s="1">
        <v>0</v>
      </c>
      <c r="AU1581" s="1">
        <v>0</v>
      </c>
      <c r="AV1581" s="1">
        <v>0</v>
      </c>
      <c r="AW1581" s="1">
        <v>0</v>
      </c>
      <c r="AX1581" s="1">
        <v>0</v>
      </c>
      <c r="AY1581" s="1">
        <v>0</v>
      </c>
      <c r="AZ1581" s="1">
        <v>0</v>
      </c>
      <c r="BA1581" s="1">
        <v>0</v>
      </c>
      <c r="BB1581" s="1">
        <v>0</v>
      </c>
      <c r="BC1581" s="1">
        <v>0</v>
      </c>
      <c r="BD1581" s="1">
        <v>0</v>
      </c>
      <c r="BE1581" s="1">
        <v>0</v>
      </c>
      <c r="BF1581" s="1">
        <v>0</v>
      </c>
      <c r="BG1581" s="1">
        <v>0</v>
      </c>
      <c r="BH1581" s="1">
        <v>0</v>
      </c>
      <c r="BI1581" s="1">
        <v>0</v>
      </c>
      <c r="BJ1581" s="1">
        <v>0</v>
      </c>
      <c r="BK1581" s="1">
        <v>0</v>
      </c>
      <c r="BL1581" s="1">
        <v>0</v>
      </c>
      <c r="BM1581" s="1">
        <v>0</v>
      </c>
      <c r="BN1581" s="1">
        <v>0</v>
      </c>
      <c r="BO1581" s="1">
        <v>0</v>
      </c>
      <c r="BP1581" s="1">
        <v>0</v>
      </c>
      <c r="BQ1581" s="1" t="s">
        <v>104</v>
      </c>
      <c r="BR1581" s="1">
        <v>1668</v>
      </c>
      <c r="BS1581" s="1" t="s">
        <v>104</v>
      </c>
      <c r="BX1581" s="1">
        <v>0</v>
      </c>
      <c r="BY1581" s="1" t="s">
        <v>104</v>
      </c>
      <c r="BZ1581" s="1" t="s">
        <v>104</v>
      </c>
      <c r="CA1581" s="1" t="s">
        <v>104</v>
      </c>
      <c r="CB1581" s="1" t="s">
        <v>104</v>
      </c>
      <c r="CC1581" s="1" t="s">
        <v>104</v>
      </c>
      <c r="CD1581" s="1" t="s">
        <v>104</v>
      </c>
      <c r="CE1581" s="1" t="s">
        <v>104</v>
      </c>
      <c r="CF1581" s="1" t="s">
        <v>104</v>
      </c>
      <c r="CG1581" s="1" t="s">
        <v>104</v>
      </c>
      <c r="CH1581" s="1">
        <v>2</v>
      </c>
      <c r="CJ1581" s="1">
        <v>0</v>
      </c>
      <c r="CK1581" s="1">
        <v>0</v>
      </c>
      <c r="CL1581" s="1">
        <v>0</v>
      </c>
      <c r="CM1581" s="1" t="s">
        <v>104</v>
      </c>
    </row>
    <row r="1582" spans="1:91" ht="14.25" customHeight="1" x14ac:dyDescent="0.3">
      <c r="A1582" s="1" t="s">
        <v>8819</v>
      </c>
      <c r="B1582" s="1" t="s">
        <v>162</v>
      </c>
      <c r="E1582" s="1" t="s">
        <v>6573</v>
      </c>
      <c r="F1582" s="1" t="s">
        <v>95</v>
      </c>
      <c r="G1582" s="1" t="s">
        <v>116</v>
      </c>
      <c r="H1582" s="1">
        <v>0</v>
      </c>
      <c r="I1582" s="1" t="s">
        <v>4350</v>
      </c>
      <c r="L1582" s="1" t="s">
        <v>8820</v>
      </c>
      <c r="M1582" s="1" t="s">
        <v>426</v>
      </c>
      <c r="N1582" s="1">
        <v>1</v>
      </c>
      <c r="O1582" s="1">
        <v>0</v>
      </c>
      <c r="P1582" s="1" t="s">
        <v>183</v>
      </c>
      <c r="Q1582" s="1" t="s">
        <v>184</v>
      </c>
      <c r="R1582" s="1" t="s">
        <v>8821</v>
      </c>
      <c r="S1582" s="1" t="s">
        <v>8818</v>
      </c>
      <c r="T1582" s="1">
        <v>1</v>
      </c>
      <c r="U1582" s="1">
        <v>1</v>
      </c>
      <c r="V1582" s="1">
        <v>0</v>
      </c>
      <c r="W1582" s="1">
        <v>0</v>
      </c>
      <c r="X1582" s="1">
        <v>0</v>
      </c>
      <c r="Y1582" s="1">
        <v>5</v>
      </c>
      <c r="Z1582" s="1">
        <v>5</v>
      </c>
      <c r="AA1582" s="1" t="s">
        <v>104</v>
      </c>
      <c r="AB1582" s="1" t="s">
        <v>104</v>
      </c>
      <c r="AC1582" s="1" t="s">
        <v>104</v>
      </c>
      <c r="AD1582" s="1" t="s">
        <v>104</v>
      </c>
      <c r="AE1582" s="1" t="s">
        <v>104</v>
      </c>
      <c r="AF1582" s="1" t="s">
        <v>104</v>
      </c>
      <c r="AG1582" s="1" t="s">
        <v>104</v>
      </c>
      <c r="AH1582" s="1">
        <v>5</v>
      </c>
      <c r="AI1582" s="1" t="s">
        <v>104</v>
      </c>
      <c r="AJ1582" s="1" t="s">
        <v>104</v>
      </c>
      <c r="AK1582" s="1" t="s">
        <v>104</v>
      </c>
      <c r="AL1582" s="1" t="s">
        <v>104</v>
      </c>
      <c r="AM1582" s="1" t="s">
        <v>104</v>
      </c>
      <c r="AO1582" s="1">
        <v>5</v>
      </c>
      <c r="AR1582" s="1">
        <v>0</v>
      </c>
      <c r="AS1582" s="1">
        <v>0</v>
      </c>
      <c r="AT1582" s="1">
        <v>0</v>
      </c>
      <c r="AU1582" s="1">
        <v>0</v>
      </c>
      <c r="AV1582" s="1">
        <v>0</v>
      </c>
      <c r="AW1582" s="1">
        <v>0</v>
      </c>
      <c r="AX1582" s="1">
        <v>0</v>
      </c>
      <c r="AY1582" s="1">
        <v>0</v>
      </c>
      <c r="AZ1582" s="1">
        <v>0</v>
      </c>
      <c r="BA1582" s="1">
        <v>0</v>
      </c>
      <c r="BB1582" s="1">
        <v>0</v>
      </c>
      <c r="BC1582" s="1">
        <v>0</v>
      </c>
      <c r="BD1582" s="1">
        <v>0</v>
      </c>
      <c r="BE1582" s="1">
        <v>0</v>
      </c>
      <c r="BF1582" s="1">
        <v>0</v>
      </c>
      <c r="BG1582" s="1">
        <v>0</v>
      </c>
      <c r="BH1582" s="1">
        <v>0</v>
      </c>
      <c r="BI1582" s="1">
        <v>0</v>
      </c>
      <c r="BJ1582" s="1">
        <v>0</v>
      </c>
      <c r="BK1582" s="1">
        <v>0</v>
      </c>
      <c r="BL1582" s="1">
        <v>0</v>
      </c>
      <c r="BM1582" s="1">
        <v>0</v>
      </c>
      <c r="BN1582" s="1">
        <v>0</v>
      </c>
      <c r="BO1582" s="1">
        <v>0</v>
      </c>
      <c r="BP1582" s="1">
        <v>0</v>
      </c>
      <c r="BQ1582" s="1" t="s">
        <v>104</v>
      </c>
      <c r="BR1582" s="1">
        <v>1669</v>
      </c>
      <c r="BS1582" s="1" t="s">
        <v>104</v>
      </c>
      <c r="BX1582" s="1">
        <v>0</v>
      </c>
      <c r="BY1582" s="1" t="s">
        <v>104</v>
      </c>
      <c r="BZ1582" s="1" t="s">
        <v>104</v>
      </c>
      <c r="CA1582" s="1" t="s">
        <v>104</v>
      </c>
      <c r="CB1582" s="1" t="s">
        <v>104</v>
      </c>
      <c r="CC1582" s="1" t="s">
        <v>104</v>
      </c>
      <c r="CD1582" s="1" t="s">
        <v>104</v>
      </c>
      <c r="CE1582" s="1" t="s">
        <v>104</v>
      </c>
      <c r="CF1582" s="1" t="s">
        <v>104</v>
      </c>
      <c r="CG1582" s="1" t="s">
        <v>104</v>
      </c>
      <c r="CH1582" s="1" t="s">
        <v>104</v>
      </c>
      <c r="CJ1582" s="1">
        <v>0</v>
      </c>
      <c r="CK1582" s="1">
        <v>0</v>
      </c>
      <c r="CL1582" s="1">
        <v>0</v>
      </c>
      <c r="CM1582" s="1" t="s">
        <v>104</v>
      </c>
    </row>
    <row r="1583" spans="1:91" ht="14.25" customHeight="1" x14ac:dyDescent="0.3">
      <c r="A1583" s="1" t="s">
        <v>8822</v>
      </c>
      <c r="B1583" s="1" t="s">
        <v>137</v>
      </c>
      <c r="E1583" s="1" t="s">
        <v>7272</v>
      </c>
      <c r="F1583" s="1" t="s">
        <v>95</v>
      </c>
      <c r="G1583" s="1" t="s">
        <v>116</v>
      </c>
      <c r="H1583" s="1">
        <v>0</v>
      </c>
      <c r="I1583" s="1" t="s">
        <v>157</v>
      </c>
      <c r="L1583" s="1" t="s">
        <v>158</v>
      </c>
      <c r="M1583" s="1" t="s">
        <v>2330</v>
      </c>
      <c r="N1583" s="1">
        <v>0</v>
      </c>
      <c r="O1583" s="1">
        <v>0</v>
      </c>
      <c r="R1583" s="1" t="s">
        <v>8823</v>
      </c>
      <c r="S1583" s="1" t="s">
        <v>8818</v>
      </c>
      <c r="T1583" s="1">
        <v>1</v>
      </c>
      <c r="U1583" s="1">
        <v>1</v>
      </c>
      <c r="V1583" s="1">
        <v>0</v>
      </c>
      <c r="W1583" s="1">
        <v>0</v>
      </c>
      <c r="X1583" s="1">
        <v>0</v>
      </c>
      <c r="Y1583" s="1">
        <v>2</v>
      </c>
      <c r="Z1583" s="1">
        <v>2</v>
      </c>
      <c r="AA1583" s="1" t="s">
        <v>104</v>
      </c>
      <c r="AB1583" s="1" t="s">
        <v>104</v>
      </c>
      <c r="AC1583" s="1" t="s">
        <v>104</v>
      </c>
      <c r="AD1583" s="1">
        <v>2</v>
      </c>
      <c r="AE1583" s="1" t="s">
        <v>104</v>
      </c>
      <c r="AF1583" s="1">
        <v>2</v>
      </c>
      <c r="AG1583" s="1" t="s">
        <v>104</v>
      </c>
      <c r="AH1583" s="1">
        <v>2</v>
      </c>
      <c r="AI1583" s="1" t="s">
        <v>104</v>
      </c>
      <c r="AJ1583" s="1" t="s">
        <v>104</v>
      </c>
      <c r="AK1583" s="1" t="s">
        <v>104</v>
      </c>
      <c r="AL1583" s="1" t="s">
        <v>104</v>
      </c>
      <c r="AM1583" s="1" t="s">
        <v>104</v>
      </c>
      <c r="AO1583" s="1">
        <v>2</v>
      </c>
      <c r="AR1583" s="1">
        <v>0</v>
      </c>
      <c r="AS1583" s="1">
        <v>0</v>
      </c>
      <c r="AT1583" s="1">
        <v>0</v>
      </c>
      <c r="AU1583" s="1">
        <v>0</v>
      </c>
      <c r="AV1583" s="1">
        <v>0</v>
      </c>
      <c r="AW1583" s="1">
        <v>0</v>
      </c>
      <c r="AX1583" s="1">
        <v>0</v>
      </c>
      <c r="AY1583" s="1">
        <v>0</v>
      </c>
      <c r="AZ1583" s="1">
        <v>0</v>
      </c>
      <c r="BA1583" s="1">
        <v>0</v>
      </c>
      <c r="BB1583" s="1">
        <v>0</v>
      </c>
      <c r="BC1583" s="1">
        <v>0</v>
      </c>
      <c r="BD1583" s="1">
        <v>0</v>
      </c>
      <c r="BE1583" s="1">
        <v>0</v>
      </c>
      <c r="BF1583" s="1">
        <v>0</v>
      </c>
      <c r="BG1583" s="1">
        <v>0</v>
      </c>
      <c r="BH1583" s="1">
        <v>0</v>
      </c>
      <c r="BI1583" s="1">
        <v>0</v>
      </c>
      <c r="BJ1583" s="1">
        <v>0</v>
      </c>
      <c r="BK1583" s="1">
        <v>0</v>
      </c>
      <c r="BL1583" s="1">
        <v>0</v>
      </c>
      <c r="BM1583" s="1">
        <v>0</v>
      </c>
      <c r="BN1583" s="1">
        <v>0</v>
      </c>
      <c r="BO1583" s="1">
        <v>0</v>
      </c>
      <c r="BP1583" s="1">
        <v>0</v>
      </c>
      <c r="BQ1583" s="1" t="s">
        <v>104</v>
      </c>
      <c r="BR1583" s="1">
        <v>1670</v>
      </c>
      <c r="BS1583" s="1" t="s">
        <v>104</v>
      </c>
      <c r="BX1583" s="1">
        <v>0</v>
      </c>
      <c r="BY1583" s="1" t="s">
        <v>104</v>
      </c>
      <c r="BZ1583" s="1" t="s">
        <v>104</v>
      </c>
      <c r="CA1583" s="1" t="s">
        <v>104</v>
      </c>
      <c r="CB1583" s="1" t="s">
        <v>104</v>
      </c>
      <c r="CC1583" s="1" t="s">
        <v>104</v>
      </c>
      <c r="CD1583" s="1" t="s">
        <v>104</v>
      </c>
      <c r="CE1583" s="1" t="s">
        <v>104</v>
      </c>
      <c r="CF1583" s="1" t="s">
        <v>104</v>
      </c>
      <c r="CG1583" s="1" t="s">
        <v>104</v>
      </c>
      <c r="CH1583" s="1" t="s">
        <v>104</v>
      </c>
      <c r="CJ1583" s="1">
        <v>0</v>
      </c>
      <c r="CK1583" s="1">
        <v>0</v>
      </c>
      <c r="CL1583" s="1">
        <v>0</v>
      </c>
      <c r="CM1583" s="1" t="s">
        <v>104</v>
      </c>
    </row>
    <row r="1584" spans="1:91" ht="14.25" customHeight="1" x14ac:dyDescent="0.3">
      <c r="A1584" s="1" t="s">
        <v>8824</v>
      </c>
      <c r="B1584" s="1" t="s">
        <v>172</v>
      </c>
      <c r="E1584" s="1" t="s">
        <v>8825</v>
      </c>
      <c r="F1584" s="1" t="s">
        <v>95</v>
      </c>
      <c r="G1584" s="1" t="s">
        <v>8826</v>
      </c>
      <c r="H1584" s="1">
        <v>1</v>
      </c>
      <c r="I1584" s="1" t="s">
        <v>157</v>
      </c>
      <c r="J1584" s="1" t="s">
        <v>8827</v>
      </c>
      <c r="M1584" s="1" t="s">
        <v>119</v>
      </c>
      <c r="N1584" s="1">
        <v>0</v>
      </c>
      <c r="O1584" s="1">
        <v>0</v>
      </c>
      <c r="R1584" s="1" t="s">
        <v>8828</v>
      </c>
      <c r="S1584" s="1" t="s">
        <v>8818</v>
      </c>
      <c r="T1584" s="1">
        <v>1</v>
      </c>
      <c r="U1584" s="1">
        <v>1</v>
      </c>
      <c r="V1584" s="1">
        <v>0</v>
      </c>
      <c r="W1584" s="1">
        <v>0</v>
      </c>
      <c r="X1584" s="1">
        <v>0</v>
      </c>
      <c r="Y1584" s="1">
        <v>5</v>
      </c>
      <c r="Z1584" s="1">
        <v>5</v>
      </c>
      <c r="AA1584" s="1">
        <v>5</v>
      </c>
      <c r="AB1584" s="1" t="s">
        <v>104</v>
      </c>
      <c r="AC1584" s="1" t="s">
        <v>104</v>
      </c>
      <c r="AD1584" s="1">
        <v>4</v>
      </c>
      <c r="AE1584" s="1" t="s">
        <v>104</v>
      </c>
      <c r="AF1584" s="1" t="s">
        <v>104</v>
      </c>
      <c r="AG1584" s="1" t="s">
        <v>104</v>
      </c>
      <c r="AH1584" s="1" t="s">
        <v>104</v>
      </c>
      <c r="AI1584" s="1">
        <v>4</v>
      </c>
      <c r="AJ1584" s="1">
        <v>5</v>
      </c>
      <c r="AK1584" s="1" t="s">
        <v>104</v>
      </c>
      <c r="AL1584" s="1" t="s">
        <v>104</v>
      </c>
      <c r="AM1584" s="1" t="s">
        <v>104</v>
      </c>
      <c r="AO1584" s="1">
        <v>5</v>
      </c>
      <c r="AR1584" s="1">
        <v>0</v>
      </c>
      <c r="AS1584" s="1">
        <v>0</v>
      </c>
      <c r="AT1584" s="1">
        <v>0</v>
      </c>
      <c r="AU1584" s="1">
        <v>0</v>
      </c>
      <c r="AV1584" s="1">
        <v>0</v>
      </c>
      <c r="AW1584" s="1">
        <v>0</v>
      </c>
      <c r="AX1584" s="1">
        <v>0</v>
      </c>
      <c r="AY1584" s="1">
        <v>0</v>
      </c>
      <c r="AZ1584" s="1">
        <v>0</v>
      </c>
      <c r="BA1584" s="1">
        <v>0</v>
      </c>
      <c r="BB1584" s="1">
        <v>0</v>
      </c>
      <c r="BC1584" s="1">
        <v>0</v>
      </c>
      <c r="BD1584" s="1">
        <v>0</v>
      </c>
      <c r="BE1584" s="1">
        <v>0</v>
      </c>
      <c r="BF1584" s="1">
        <v>0</v>
      </c>
      <c r="BG1584" s="1">
        <v>0</v>
      </c>
      <c r="BH1584" s="1">
        <v>0</v>
      </c>
      <c r="BI1584" s="1">
        <v>0</v>
      </c>
      <c r="BJ1584" s="1">
        <v>0</v>
      </c>
      <c r="BK1584" s="1">
        <v>0</v>
      </c>
      <c r="BL1584" s="1">
        <v>0</v>
      </c>
      <c r="BM1584" s="1">
        <v>0</v>
      </c>
      <c r="BN1584" s="1">
        <v>0</v>
      </c>
      <c r="BO1584" s="1">
        <v>0</v>
      </c>
      <c r="BP1584" s="1">
        <v>0</v>
      </c>
      <c r="BQ1584" s="1" t="s">
        <v>104</v>
      </c>
      <c r="BR1584" s="1">
        <v>1671</v>
      </c>
      <c r="BS1584" s="1">
        <v>150</v>
      </c>
      <c r="BX1584" s="1">
        <v>0</v>
      </c>
      <c r="BY1584" s="1" t="s">
        <v>104</v>
      </c>
      <c r="BZ1584" s="1" t="s">
        <v>104</v>
      </c>
      <c r="CA1584" s="1" t="s">
        <v>104</v>
      </c>
      <c r="CB1584" s="1" t="s">
        <v>104</v>
      </c>
      <c r="CC1584" s="1" t="s">
        <v>104</v>
      </c>
      <c r="CD1584" s="1" t="s">
        <v>104</v>
      </c>
      <c r="CE1584" s="1" t="s">
        <v>104</v>
      </c>
      <c r="CF1584" s="1" t="s">
        <v>104</v>
      </c>
      <c r="CG1584" s="1" t="s">
        <v>104</v>
      </c>
      <c r="CH1584" s="1" t="s">
        <v>104</v>
      </c>
      <c r="CJ1584" s="1">
        <v>0</v>
      </c>
      <c r="CK1584" s="1">
        <v>0</v>
      </c>
      <c r="CL1584" s="1">
        <v>0</v>
      </c>
      <c r="CM1584" s="1" t="s">
        <v>104</v>
      </c>
    </row>
    <row r="1585" spans="1:91" ht="14.25" customHeight="1" x14ac:dyDescent="0.3">
      <c r="A1585" s="1" t="s">
        <v>8829</v>
      </c>
      <c r="B1585" s="1" t="s">
        <v>137</v>
      </c>
      <c r="E1585" s="1" t="s">
        <v>8521</v>
      </c>
      <c r="F1585" s="1" t="s">
        <v>95</v>
      </c>
      <c r="G1585" s="1" t="s">
        <v>116</v>
      </c>
      <c r="H1585" s="1">
        <v>0</v>
      </c>
      <c r="I1585" s="1" t="s">
        <v>4350</v>
      </c>
      <c r="L1585" s="1" t="s">
        <v>1065</v>
      </c>
      <c r="M1585" s="1" t="s">
        <v>111</v>
      </c>
      <c r="N1585" s="1">
        <v>0</v>
      </c>
      <c r="O1585" s="1">
        <v>0</v>
      </c>
      <c r="P1585" s="1" t="s">
        <v>8830</v>
      </c>
      <c r="Q1585" s="1" t="s">
        <v>184</v>
      </c>
      <c r="R1585" s="1" t="s">
        <v>8831</v>
      </c>
      <c r="S1585" s="1" t="s">
        <v>8818</v>
      </c>
      <c r="T1585" s="1">
        <v>1</v>
      </c>
      <c r="U1585" s="1">
        <v>1</v>
      </c>
      <c r="V1585" s="1">
        <v>0</v>
      </c>
      <c r="W1585" s="1">
        <v>0</v>
      </c>
      <c r="X1585" s="1">
        <v>0</v>
      </c>
      <c r="Y1585" s="1">
        <v>3</v>
      </c>
      <c r="Z1585" s="1">
        <v>3</v>
      </c>
      <c r="AA1585" s="1" t="s">
        <v>104</v>
      </c>
      <c r="AB1585" s="1" t="s">
        <v>104</v>
      </c>
      <c r="AC1585" s="1" t="s">
        <v>104</v>
      </c>
      <c r="AD1585" s="1" t="s">
        <v>104</v>
      </c>
      <c r="AE1585" s="1" t="s">
        <v>104</v>
      </c>
      <c r="AF1585" s="1" t="s">
        <v>104</v>
      </c>
      <c r="AG1585" s="1" t="s">
        <v>104</v>
      </c>
      <c r="AH1585" s="1">
        <v>3</v>
      </c>
      <c r="AI1585" s="1" t="s">
        <v>104</v>
      </c>
      <c r="AJ1585" s="1" t="s">
        <v>104</v>
      </c>
      <c r="AK1585" s="1" t="s">
        <v>104</v>
      </c>
      <c r="AL1585" s="1">
        <v>2</v>
      </c>
      <c r="AM1585" s="1" t="s">
        <v>104</v>
      </c>
      <c r="AO1585" s="1">
        <v>3</v>
      </c>
      <c r="AR1585" s="1">
        <v>0</v>
      </c>
      <c r="AS1585" s="1">
        <v>0</v>
      </c>
      <c r="AT1585" s="1">
        <v>0</v>
      </c>
      <c r="AU1585" s="1">
        <v>0</v>
      </c>
      <c r="AV1585" s="1">
        <v>0</v>
      </c>
      <c r="AW1585" s="1">
        <v>0</v>
      </c>
      <c r="AX1585" s="1">
        <v>0</v>
      </c>
      <c r="AY1585" s="1">
        <v>0</v>
      </c>
      <c r="AZ1585" s="1">
        <v>0</v>
      </c>
      <c r="BA1585" s="1">
        <v>0</v>
      </c>
      <c r="BB1585" s="1">
        <v>0</v>
      </c>
      <c r="BC1585" s="1">
        <v>0</v>
      </c>
      <c r="BD1585" s="1">
        <v>0</v>
      </c>
      <c r="BE1585" s="1">
        <v>0</v>
      </c>
      <c r="BF1585" s="1">
        <v>0</v>
      </c>
      <c r="BG1585" s="1">
        <v>0</v>
      </c>
      <c r="BH1585" s="1">
        <v>0</v>
      </c>
      <c r="BI1585" s="1">
        <v>0</v>
      </c>
      <c r="BJ1585" s="1">
        <v>0</v>
      </c>
      <c r="BK1585" s="1">
        <v>0</v>
      </c>
      <c r="BL1585" s="1">
        <v>0</v>
      </c>
      <c r="BM1585" s="1">
        <v>0</v>
      </c>
      <c r="BN1585" s="1">
        <v>0</v>
      </c>
      <c r="BO1585" s="1">
        <v>0</v>
      </c>
      <c r="BP1585" s="1">
        <v>0</v>
      </c>
      <c r="BQ1585" s="1" t="s">
        <v>104</v>
      </c>
      <c r="BR1585" s="1">
        <v>1672</v>
      </c>
      <c r="BS1585" s="1" t="s">
        <v>104</v>
      </c>
      <c r="BX1585" s="1">
        <v>0</v>
      </c>
      <c r="BY1585" s="1" t="s">
        <v>104</v>
      </c>
      <c r="BZ1585" s="1" t="s">
        <v>104</v>
      </c>
      <c r="CA1585" s="1" t="s">
        <v>104</v>
      </c>
      <c r="CB1585" s="1" t="s">
        <v>104</v>
      </c>
      <c r="CC1585" s="1" t="s">
        <v>104</v>
      </c>
      <c r="CD1585" s="1" t="s">
        <v>104</v>
      </c>
      <c r="CE1585" s="1" t="s">
        <v>104</v>
      </c>
      <c r="CF1585" s="1" t="s">
        <v>104</v>
      </c>
      <c r="CG1585" s="1" t="s">
        <v>104</v>
      </c>
      <c r="CH1585" s="1" t="s">
        <v>104</v>
      </c>
      <c r="CJ1585" s="1">
        <v>0</v>
      </c>
      <c r="CK1585" s="1">
        <v>0</v>
      </c>
      <c r="CL1585" s="1">
        <v>0</v>
      </c>
      <c r="CM1585" s="1" t="s">
        <v>104</v>
      </c>
    </row>
    <row r="1586" spans="1:91" ht="14.25" customHeight="1" x14ac:dyDescent="0.3">
      <c r="A1586" s="1" t="s">
        <v>8832</v>
      </c>
      <c r="B1586" s="1" t="s">
        <v>137</v>
      </c>
      <c r="E1586" s="1" t="s">
        <v>8833</v>
      </c>
      <c r="F1586" s="1" t="s">
        <v>95</v>
      </c>
      <c r="G1586" s="1" t="s">
        <v>8834</v>
      </c>
      <c r="H1586" s="1">
        <v>0</v>
      </c>
      <c r="I1586" s="1" t="s">
        <v>109</v>
      </c>
      <c r="L1586" s="1" t="s">
        <v>1065</v>
      </c>
      <c r="M1586" s="1" t="s">
        <v>426</v>
      </c>
      <c r="N1586" s="1">
        <v>1</v>
      </c>
      <c r="O1586" s="1">
        <v>0</v>
      </c>
      <c r="P1586" s="1" t="s">
        <v>183</v>
      </c>
      <c r="Q1586" s="1" t="s">
        <v>101</v>
      </c>
      <c r="R1586" s="1" t="s">
        <v>8835</v>
      </c>
      <c r="S1586" s="1" t="s">
        <v>8818</v>
      </c>
      <c r="T1586" s="1">
        <v>1</v>
      </c>
      <c r="U1586" s="1">
        <v>1</v>
      </c>
      <c r="V1586" s="1">
        <v>1</v>
      </c>
      <c r="W1586" s="1">
        <v>0</v>
      </c>
      <c r="X1586" s="1">
        <v>0</v>
      </c>
      <c r="Y1586" s="1">
        <v>5</v>
      </c>
      <c r="Z1586" s="1">
        <v>5</v>
      </c>
      <c r="AA1586" s="1" t="s">
        <v>104</v>
      </c>
      <c r="AB1586" s="1">
        <v>6</v>
      </c>
      <c r="AC1586" s="1" t="s">
        <v>104</v>
      </c>
      <c r="AD1586" s="1" t="s">
        <v>104</v>
      </c>
      <c r="AE1586" s="1" t="s">
        <v>104</v>
      </c>
      <c r="AF1586" s="1" t="s">
        <v>104</v>
      </c>
      <c r="AG1586" s="1" t="s">
        <v>104</v>
      </c>
      <c r="AH1586" s="1" t="s">
        <v>104</v>
      </c>
      <c r="AI1586" s="1" t="s">
        <v>104</v>
      </c>
      <c r="AJ1586" s="1" t="s">
        <v>104</v>
      </c>
      <c r="AK1586" s="1" t="s">
        <v>104</v>
      </c>
      <c r="AL1586" s="1" t="s">
        <v>104</v>
      </c>
      <c r="AM1586" s="1" t="s">
        <v>104</v>
      </c>
      <c r="AO1586" s="1">
        <v>5</v>
      </c>
      <c r="AR1586" s="1">
        <v>0</v>
      </c>
      <c r="AS1586" s="1">
        <v>0</v>
      </c>
      <c r="AT1586" s="1">
        <v>0</v>
      </c>
      <c r="AU1586" s="1">
        <v>0</v>
      </c>
      <c r="AV1586" s="1">
        <v>0</v>
      </c>
      <c r="AW1586" s="1">
        <v>0</v>
      </c>
      <c r="AX1586" s="1">
        <v>0</v>
      </c>
      <c r="AY1586" s="1">
        <v>0</v>
      </c>
      <c r="AZ1586" s="1">
        <v>0</v>
      </c>
      <c r="BA1586" s="1">
        <v>0</v>
      </c>
      <c r="BB1586" s="1">
        <v>0</v>
      </c>
      <c r="BC1586" s="1">
        <v>0</v>
      </c>
      <c r="BD1586" s="1">
        <v>0</v>
      </c>
      <c r="BE1586" s="1">
        <v>0</v>
      </c>
      <c r="BF1586" s="1">
        <v>0</v>
      </c>
      <c r="BG1586" s="1">
        <v>0</v>
      </c>
      <c r="BH1586" s="1">
        <v>0</v>
      </c>
      <c r="BI1586" s="1">
        <v>0</v>
      </c>
      <c r="BJ1586" s="1">
        <v>0</v>
      </c>
      <c r="BK1586" s="1">
        <v>0</v>
      </c>
      <c r="BL1586" s="1">
        <v>0</v>
      </c>
      <c r="BM1586" s="1">
        <v>0</v>
      </c>
      <c r="BN1586" s="1">
        <v>0</v>
      </c>
      <c r="BO1586" s="1">
        <v>0</v>
      </c>
      <c r="BP1586" s="1">
        <v>0</v>
      </c>
      <c r="BQ1586" s="1" t="s">
        <v>104</v>
      </c>
      <c r="BR1586" s="1">
        <v>1673</v>
      </c>
      <c r="BS1586" s="1" t="s">
        <v>104</v>
      </c>
      <c r="BX1586" s="1">
        <v>0</v>
      </c>
      <c r="BY1586" s="1" t="s">
        <v>104</v>
      </c>
      <c r="BZ1586" s="1" t="s">
        <v>104</v>
      </c>
      <c r="CA1586" s="1" t="s">
        <v>104</v>
      </c>
      <c r="CB1586" s="1" t="s">
        <v>104</v>
      </c>
      <c r="CC1586" s="1" t="s">
        <v>104</v>
      </c>
      <c r="CD1586" s="1" t="s">
        <v>104</v>
      </c>
      <c r="CE1586" s="1" t="s">
        <v>104</v>
      </c>
      <c r="CF1586" s="1" t="s">
        <v>104</v>
      </c>
      <c r="CG1586" s="1" t="s">
        <v>104</v>
      </c>
      <c r="CH1586" s="1">
        <v>6</v>
      </c>
      <c r="CJ1586" s="1">
        <v>0</v>
      </c>
      <c r="CK1586" s="1">
        <v>0</v>
      </c>
      <c r="CL1586" s="1">
        <v>0</v>
      </c>
      <c r="CM1586" s="1" t="s">
        <v>104</v>
      </c>
    </row>
    <row r="1587" spans="1:91" ht="14.25" customHeight="1" x14ac:dyDescent="0.3">
      <c r="A1587" s="1" t="s">
        <v>8836</v>
      </c>
      <c r="B1587" s="1" t="s">
        <v>137</v>
      </c>
      <c r="E1587" s="1" t="s">
        <v>8837</v>
      </c>
      <c r="F1587" s="1" t="s">
        <v>95</v>
      </c>
      <c r="G1587" s="1" t="s">
        <v>8838</v>
      </c>
      <c r="H1587" s="1">
        <v>0</v>
      </c>
      <c r="I1587" s="1" t="s">
        <v>128</v>
      </c>
      <c r="L1587" s="1" t="s">
        <v>374</v>
      </c>
      <c r="M1587" s="1" t="s">
        <v>111</v>
      </c>
      <c r="N1587" s="1">
        <v>0</v>
      </c>
      <c r="O1587" s="1">
        <v>0</v>
      </c>
      <c r="P1587" s="1" t="s">
        <v>4502</v>
      </c>
      <c r="Q1587" s="1" t="s">
        <v>101</v>
      </c>
      <c r="R1587" s="1" t="s">
        <v>8839</v>
      </c>
      <c r="S1587" s="1" t="s">
        <v>8818</v>
      </c>
      <c r="T1587" s="1">
        <v>1</v>
      </c>
      <c r="U1587" s="1">
        <v>1</v>
      </c>
      <c r="V1587" s="1">
        <v>0</v>
      </c>
      <c r="W1587" s="1">
        <v>0</v>
      </c>
      <c r="X1587" s="1">
        <v>0</v>
      </c>
      <c r="Y1587" s="1">
        <v>8</v>
      </c>
      <c r="Z1587" s="1">
        <v>8</v>
      </c>
      <c r="AA1587" s="1">
        <v>8</v>
      </c>
      <c r="AB1587" s="1">
        <v>8</v>
      </c>
      <c r="AC1587" s="1" t="s">
        <v>104</v>
      </c>
      <c r="AD1587" s="1" t="s">
        <v>104</v>
      </c>
      <c r="AE1587" s="1" t="s">
        <v>104</v>
      </c>
      <c r="AF1587" s="1" t="s">
        <v>104</v>
      </c>
      <c r="AG1587" s="1" t="s">
        <v>104</v>
      </c>
      <c r="AH1587" s="1">
        <v>8</v>
      </c>
      <c r="AI1587" s="1" t="s">
        <v>104</v>
      </c>
      <c r="AJ1587" s="1">
        <v>8</v>
      </c>
      <c r="AK1587" s="1" t="s">
        <v>104</v>
      </c>
      <c r="AL1587" s="1" t="s">
        <v>104</v>
      </c>
      <c r="AM1587" s="1" t="s">
        <v>104</v>
      </c>
      <c r="AO1587" s="1">
        <v>8</v>
      </c>
      <c r="AR1587" s="1">
        <v>0</v>
      </c>
      <c r="AS1587" s="1">
        <v>0</v>
      </c>
      <c r="AT1587" s="1">
        <v>0</v>
      </c>
      <c r="AU1587" s="1">
        <v>0</v>
      </c>
      <c r="AV1587" s="1">
        <v>0</v>
      </c>
      <c r="AW1587" s="1">
        <v>0</v>
      </c>
      <c r="AX1587" s="1">
        <v>0</v>
      </c>
      <c r="AY1587" s="1">
        <v>0</v>
      </c>
      <c r="AZ1587" s="1">
        <v>0</v>
      </c>
      <c r="BA1587" s="1">
        <v>0</v>
      </c>
      <c r="BB1587" s="1">
        <v>0</v>
      </c>
      <c r="BC1587" s="1">
        <v>0</v>
      </c>
      <c r="BD1587" s="1">
        <v>0</v>
      </c>
      <c r="BE1587" s="1">
        <v>0</v>
      </c>
      <c r="BF1587" s="1">
        <v>0</v>
      </c>
      <c r="BG1587" s="1">
        <v>0</v>
      </c>
      <c r="BH1587" s="1">
        <v>0</v>
      </c>
      <c r="BI1587" s="1">
        <v>0</v>
      </c>
      <c r="BJ1587" s="1">
        <v>0</v>
      </c>
      <c r="BK1587" s="1">
        <v>0</v>
      </c>
      <c r="BL1587" s="1">
        <v>0</v>
      </c>
      <c r="BM1587" s="1">
        <v>0</v>
      </c>
      <c r="BN1587" s="1">
        <v>0</v>
      </c>
      <c r="BO1587" s="1">
        <v>0</v>
      </c>
      <c r="BP1587" s="1">
        <v>0</v>
      </c>
      <c r="BQ1587" s="1" t="s">
        <v>104</v>
      </c>
      <c r="BR1587" s="1">
        <v>1674</v>
      </c>
      <c r="BS1587" s="1" t="s">
        <v>104</v>
      </c>
      <c r="BX1587" s="1">
        <v>0</v>
      </c>
      <c r="BY1587" s="1" t="s">
        <v>104</v>
      </c>
      <c r="BZ1587" s="1" t="s">
        <v>104</v>
      </c>
      <c r="CA1587" s="1" t="s">
        <v>104</v>
      </c>
      <c r="CB1587" s="1" t="s">
        <v>104</v>
      </c>
      <c r="CC1587" s="1" t="s">
        <v>104</v>
      </c>
      <c r="CD1587" s="1" t="s">
        <v>104</v>
      </c>
      <c r="CE1587" s="1" t="s">
        <v>104</v>
      </c>
      <c r="CF1587" s="1" t="s">
        <v>104</v>
      </c>
      <c r="CG1587" s="1" t="s">
        <v>104</v>
      </c>
      <c r="CH1587" s="1" t="s">
        <v>104</v>
      </c>
      <c r="CJ1587" s="1">
        <v>0</v>
      </c>
      <c r="CK1587" s="1">
        <v>0</v>
      </c>
      <c r="CL1587" s="1">
        <v>0</v>
      </c>
      <c r="CM1587" s="1" t="s">
        <v>104</v>
      </c>
    </row>
    <row r="1588" spans="1:91" ht="14.25" customHeight="1" x14ac:dyDescent="0.3">
      <c r="A1588" s="1" t="s">
        <v>8840</v>
      </c>
      <c r="B1588" s="1" t="s">
        <v>507</v>
      </c>
      <c r="C1588" s="1" t="s">
        <v>1308</v>
      </c>
      <c r="D1588" s="1" t="s">
        <v>125</v>
      </c>
      <c r="E1588" s="1" t="s">
        <v>8841</v>
      </c>
      <c r="F1588" s="1" t="s">
        <v>95</v>
      </c>
      <c r="G1588" s="1" t="s">
        <v>8842</v>
      </c>
      <c r="H1588" s="1">
        <v>0</v>
      </c>
      <c r="I1588" s="1" t="s">
        <v>109</v>
      </c>
      <c r="L1588" s="1" t="s">
        <v>1065</v>
      </c>
      <c r="M1588" s="1" t="s">
        <v>620</v>
      </c>
      <c r="N1588" s="1">
        <v>1</v>
      </c>
      <c r="O1588" s="1">
        <v>0</v>
      </c>
      <c r="P1588" s="1" t="s">
        <v>8843</v>
      </c>
      <c r="Q1588" s="1" t="s">
        <v>184</v>
      </c>
      <c r="R1588" s="1" t="s">
        <v>8844</v>
      </c>
      <c r="S1588" s="1" t="s">
        <v>8818</v>
      </c>
      <c r="T1588" s="1">
        <v>0</v>
      </c>
      <c r="U1588" s="1">
        <v>1</v>
      </c>
      <c r="V1588" s="1">
        <v>1</v>
      </c>
      <c r="W1588" s="1">
        <v>0</v>
      </c>
      <c r="X1588" s="1">
        <v>0</v>
      </c>
      <c r="Y1588" s="1">
        <v>5</v>
      </c>
      <c r="Z1588" s="1">
        <v>5</v>
      </c>
      <c r="AA1588" s="1" t="s">
        <v>104</v>
      </c>
      <c r="AB1588" s="1" t="s">
        <v>104</v>
      </c>
      <c r="AC1588" s="1" t="s">
        <v>104</v>
      </c>
      <c r="AD1588" s="1">
        <v>4</v>
      </c>
      <c r="AE1588" s="1" t="s">
        <v>104</v>
      </c>
      <c r="AF1588" s="1" t="s">
        <v>104</v>
      </c>
      <c r="AG1588" s="1" t="s">
        <v>104</v>
      </c>
      <c r="AH1588" s="1" t="s">
        <v>104</v>
      </c>
      <c r="AI1588" s="1" t="s">
        <v>104</v>
      </c>
      <c r="AJ1588" s="1" t="s">
        <v>104</v>
      </c>
      <c r="AK1588" s="1" t="s">
        <v>104</v>
      </c>
      <c r="AL1588" s="1" t="s">
        <v>104</v>
      </c>
      <c r="AM1588" s="1" t="s">
        <v>104</v>
      </c>
      <c r="AO1588" s="1">
        <v>5</v>
      </c>
      <c r="AR1588" s="1">
        <v>0</v>
      </c>
      <c r="AS1588" s="1">
        <v>0</v>
      </c>
      <c r="AT1588" s="1">
        <v>0</v>
      </c>
      <c r="AU1588" s="1">
        <v>0</v>
      </c>
      <c r="AV1588" s="1">
        <v>0</v>
      </c>
      <c r="AW1588" s="1">
        <v>0</v>
      </c>
      <c r="AX1588" s="1">
        <v>0</v>
      </c>
      <c r="AY1588" s="1">
        <v>0</v>
      </c>
      <c r="AZ1588" s="1">
        <v>0</v>
      </c>
      <c r="BA1588" s="1">
        <v>0</v>
      </c>
      <c r="BB1588" s="1">
        <v>0</v>
      </c>
      <c r="BC1588" s="1">
        <v>0</v>
      </c>
      <c r="BD1588" s="1">
        <v>0</v>
      </c>
      <c r="BE1588" s="1">
        <v>0</v>
      </c>
      <c r="BF1588" s="1">
        <v>0</v>
      </c>
      <c r="BG1588" s="1">
        <v>0</v>
      </c>
      <c r="BH1588" s="1">
        <v>0</v>
      </c>
      <c r="BI1588" s="1">
        <v>0</v>
      </c>
      <c r="BJ1588" s="1">
        <v>0</v>
      </c>
      <c r="BK1588" s="1">
        <v>1</v>
      </c>
      <c r="BL1588" s="1">
        <v>0</v>
      </c>
      <c r="BM1588" s="1">
        <v>0</v>
      </c>
      <c r="BN1588" s="1">
        <v>0</v>
      </c>
      <c r="BO1588" s="1">
        <v>0</v>
      </c>
      <c r="BP1588" s="1">
        <v>0</v>
      </c>
      <c r="BQ1588" s="1" t="s">
        <v>104</v>
      </c>
      <c r="BR1588" s="1">
        <v>1675</v>
      </c>
      <c r="BS1588" s="1" t="s">
        <v>104</v>
      </c>
      <c r="BX1588" s="1">
        <v>0</v>
      </c>
      <c r="BY1588" s="1" t="s">
        <v>104</v>
      </c>
      <c r="BZ1588" s="1" t="s">
        <v>104</v>
      </c>
      <c r="CA1588" s="1" t="s">
        <v>104</v>
      </c>
      <c r="CB1588" s="1" t="s">
        <v>104</v>
      </c>
      <c r="CC1588" s="1" t="s">
        <v>104</v>
      </c>
      <c r="CD1588" s="1" t="s">
        <v>104</v>
      </c>
      <c r="CE1588" s="1" t="s">
        <v>104</v>
      </c>
      <c r="CF1588" s="1" t="s">
        <v>104</v>
      </c>
      <c r="CG1588" s="1" t="s">
        <v>104</v>
      </c>
      <c r="CH1588" s="1" t="s">
        <v>104</v>
      </c>
      <c r="CJ1588" s="1">
        <v>0</v>
      </c>
      <c r="CK1588" s="1">
        <v>0</v>
      </c>
      <c r="CL1588" s="1">
        <v>0</v>
      </c>
      <c r="CM1588" s="1" t="s">
        <v>104</v>
      </c>
    </row>
    <row r="1589" spans="1:91" ht="14.25" customHeight="1" x14ac:dyDescent="0.3">
      <c r="A1589" s="1" t="s">
        <v>8845</v>
      </c>
      <c r="B1589" s="1" t="s">
        <v>172</v>
      </c>
      <c r="E1589" s="1" t="s">
        <v>8508</v>
      </c>
      <c r="F1589" s="1" t="s">
        <v>95</v>
      </c>
      <c r="G1589" s="1" t="s">
        <v>116</v>
      </c>
      <c r="H1589" s="1">
        <v>0</v>
      </c>
      <c r="I1589" s="1" t="s">
        <v>128</v>
      </c>
      <c r="L1589" s="1" t="s">
        <v>8846</v>
      </c>
      <c r="M1589" s="1" t="s">
        <v>119</v>
      </c>
      <c r="N1589" s="1">
        <v>0</v>
      </c>
      <c r="O1589" s="1">
        <v>0</v>
      </c>
      <c r="P1589" s="1" t="s">
        <v>148</v>
      </c>
      <c r="Q1589" s="1" t="s">
        <v>149</v>
      </c>
      <c r="R1589" s="1" t="s">
        <v>8847</v>
      </c>
      <c r="S1589" s="1" t="s">
        <v>8848</v>
      </c>
      <c r="T1589" s="1">
        <v>1</v>
      </c>
      <c r="U1589" s="1">
        <v>1</v>
      </c>
      <c r="V1589" s="1">
        <v>0</v>
      </c>
      <c r="W1589" s="1">
        <v>0</v>
      </c>
      <c r="X1589" s="1">
        <v>0</v>
      </c>
      <c r="Y1589" s="1">
        <v>1</v>
      </c>
      <c r="Z1589" s="1">
        <v>1</v>
      </c>
      <c r="AA1589" s="1">
        <v>1</v>
      </c>
      <c r="AB1589" s="1" t="s">
        <v>104</v>
      </c>
      <c r="AC1589" s="1" t="s">
        <v>104</v>
      </c>
      <c r="AD1589" s="1">
        <v>1</v>
      </c>
      <c r="AE1589" s="1" t="s">
        <v>104</v>
      </c>
      <c r="AF1589" s="1" t="s">
        <v>104</v>
      </c>
      <c r="AG1589" s="1" t="s">
        <v>104</v>
      </c>
      <c r="AH1589" s="1" t="s">
        <v>104</v>
      </c>
      <c r="AI1589" s="1" t="s">
        <v>104</v>
      </c>
      <c r="AJ1589" s="1">
        <v>1</v>
      </c>
      <c r="AK1589" s="1" t="s">
        <v>104</v>
      </c>
      <c r="AL1589" s="1">
        <v>1</v>
      </c>
      <c r="AM1589" s="1" t="s">
        <v>104</v>
      </c>
      <c r="AO1589" s="1">
        <v>1</v>
      </c>
      <c r="AR1589" s="1">
        <v>0</v>
      </c>
      <c r="AS1589" s="1">
        <v>0</v>
      </c>
      <c r="AT1589" s="1">
        <v>0</v>
      </c>
      <c r="AU1589" s="1">
        <v>0</v>
      </c>
      <c r="AV1589" s="1">
        <v>0</v>
      </c>
      <c r="AW1589" s="1">
        <v>0</v>
      </c>
      <c r="AX1589" s="1">
        <v>0</v>
      </c>
      <c r="AY1589" s="1">
        <v>0</v>
      </c>
      <c r="AZ1589" s="1">
        <v>0</v>
      </c>
      <c r="BA1589" s="1">
        <v>0</v>
      </c>
      <c r="BB1589" s="1">
        <v>0</v>
      </c>
      <c r="BC1589" s="1">
        <v>0</v>
      </c>
      <c r="BD1589" s="1">
        <v>0</v>
      </c>
      <c r="BE1589" s="1">
        <v>0</v>
      </c>
      <c r="BF1589" s="1">
        <v>0</v>
      </c>
      <c r="BG1589" s="1">
        <v>0</v>
      </c>
      <c r="BH1589" s="1">
        <v>0</v>
      </c>
      <c r="BI1589" s="1">
        <v>0</v>
      </c>
      <c r="BJ1589" s="1">
        <v>0</v>
      </c>
      <c r="BK1589" s="1">
        <v>0</v>
      </c>
      <c r="BL1589" s="1">
        <v>0</v>
      </c>
      <c r="BM1589" s="1">
        <v>0</v>
      </c>
      <c r="BN1589" s="1">
        <v>0</v>
      </c>
      <c r="BO1589" s="1">
        <v>0</v>
      </c>
      <c r="BP1589" s="1">
        <v>0</v>
      </c>
      <c r="BQ1589" s="1" t="s">
        <v>104</v>
      </c>
      <c r="BR1589" s="1">
        <v>1676</v>
      </c>
      <c r="BS1589" s="1" t="s">
        <v>104</v>
      </c>
      <c r="BX1589" s="1">
        <v>0</v>
      </c>
      <c r="BY1589" s="1" t="s">
        <v>104</v>
      </c>
      <c r="BZ1589" s="1" t="s">
        <v>104</v>
      </c>
      <c r="CA1589" s="1" t="s">
        <v>104</v>
      </c>
      <c r="CB1589" s="1" t="s">
        <v>104</v>
      </c>
      <c r="CC1589" s="1" t="s">
        <v>104</v>
      </c>
      <c r="CD1589" s="1" t="s">
        <v>104</v>
      </c>
      <c r="CE1589" s="1" t="s">
        <v>104</v>
      </c>
      <c r="CF1589" s="1" t="s">
        <v>104</v>
      </c>
      <c r="CG1589" s="1" t="s">
        <v>104</v>
      </c>
      <c r="CH1589" s="1" t="s">
        <v>104</v>
      </c>
      <c r="CJ1589" s="1">
        <v>0</v>
      </c>
      <c r="CK1589" s="1">
        <v>0</v>
      </c>
      <c r="CL1589" s="1">
        <v>0</v>
      </c>
      <c r="CM1589" s="1" t="s">
        <v>104</v>
      </c>
    </row>
    <row r="1590" spans="1:91" ht="14.25" customHeight="1" x14ac:dyDescent="0.3">
      <c r="A1590" s="1" t="s">
        <v>8849</v>
      </c>
      <c r="B1590" s="1" t="s">
        <v>172</v>
      </c>
      <c r="E1590" s="1" t="s">
        <v>8850</v>
      </c>
      <c r="F1590" s="1" t="s">
        <v>255</v>
      </c>
      <c r="G1590" s="1" t="s">
        <v>8851</v>
      </c>
      <c r="H1590" s="1">
        <v>0</v>
      </c>
      <c r="I1590" s="1" t="s">
        <v>157</v>
      </c>
      <c r="M1590" s="1" t="s">
        <v>5942</v>
      </c>
      <c r="N1590" s="1">
        <v>0</v>
      </c>
      <c r="O1590" s="1">
        <v>0</v>
      </c>
      <c r="P1590" s="1" t="s">
        <v>100</v>
      </c>
      <c r="Q1590" s="1" t="s">
        <v>101</v>
      </c>
      <c r="R1590" s="1" t="s">
        <v>8852</v>
      </c>
      <c r="S1590" s="1" t="s">
        <v>8848</v>
      </c>
      <c r="T1590" s="1">
        <v>1</v>
      </c>
      <c r="U1590" s="1">
        <v>1</v>
      </c>
      <c r="V1590" s="1">
        <v>0</v>
      </c>
      <c r="W1590" s="1">
        <v>0</v>
      </c>
      <c r="X1590" s="1">
        <v>0</v>
      </c>
      <c r="Y1590" s="1">
        <v>2</v>
      </c>
      <c r="Z1590" s="1">
        <v>2</v>
      </c>
      <c r="AA1590" s="1">
        <v>2</v>
      </c>
      <c r="AB1590" s="1" t="s">
        <v>104</v>
      </c>
      <c r="AC1590" s="1" t="s">
        <v>104</v>
      </c>
      <c r="AD1590" s="1">
        <v>2</v>
      </c>
      <c r="AE1590" s="1" t="s">
        <v>104</v>
      </c>
      <c r="AF1590" s="1" t="s">
        <v>104</v>
      </c>
      <c r="AG1590" s="1" t="s">
        <v>104</v>
      </c>
      <c r="AH1590" s="1" t="s">
        <v>104</v>
      </c>
      <c r="AI1590" s="1" t="s">
        <v>104</v>
      </c>
      <c r="AJ1590" s="1">
        <v>2</v>
      </c>
      <c r="AK1590" s="1" t="s">
        <v>104</v>
      </c>
      <c r="AL1590" s="1">
        <v>2</v>
      </c>
      <c r="AM1590" s="1" t="s">
        <v>104</v>
      </c>
      <c r="AO1590" s="1">
        <v>2</v>
      </c>
      <c r="AR1590" s="1">
        <v>0</v>
      </c>
      <c r="AS1590" s="1">
        <v>0</v>
      </c>
      <c r="AT1590" s="1">
        <v>0</v>
      </c>
      <c r="AU1590" s="1">
        <v>0</v>
      </c>
      <c r="AV1590" s="1">
        <v>0</v>
      </c>
      <c r="AW1590" s="1">
        <v>0</v>
      </c>
      <c r="AX1590" s="1">
        <v>0</v>
      </c>
      <c r="AY1590" s="1">
        <v>0</v>
      </c>
      <c r="AZ1590" s="1">
        <v>0</v>
      </c>
      <c r="BA1590" s="1">
        <v>0</v>
      </c>
      <c r="BB1590" s="1">
        <v>0</v>
      </c>
      <c r="BC1590" s="1">
        <v>0</v>
      </c>
      <c r="BD1590" s="1">
        <v>0</v>
      </c>
      <c r="BE1590" s="1">
        <v>0</v>
      </c>
      <c r="BF1590" s="1">
        <v>0</v>
      </c>
      <c r="BG1590" s="1">
        <v>0</v>
      </c>
      <c r="BH1590" s="1">
        <v>0</v>
      </c>
      <c r="BI1590" s="1">
        <v>0</v>
      </c>
      <c r="BJ1590" s="1">
        <v>0</v>
      </c>
      <c r="BK1590" s="1">
        <v>0</v>
      </c>
      <c r="BL1590" s="1">
        <v>0</v>
      </c>
      <c r="BM1590" s="1">
        <v>0</v>
      </c>
      <c r="BN1590" s="1">
        <v>0</v>
      </c>
      <c r="BO1590" s="1">
        <v>0</v>
      </c>
      <c r="BP1590" s="1">
        <v>0</v>
      </c>
      <c r="BQ1590" s="1" t="s">
        <v>104</v>
      </c>
      <c r="BR1590" s="1">
        <v>1677</v>
      </c>
      <c r="BS1590" s="1" t="s">
        <v>104</v>
      </c>
      <c r="BX1590" s="1">
        <v>0</v>
      </c>
      <c r="BY1590" s="1" t="s">
        <v>104</v>
      </c>
      <c r="BZ1590" s="1" t="s">
        <v>104</v>
      </c>
      <c r="CA1590" s="1" t="s">
        <v>104</v>
      </c>
      <c r="CB1590" s="1" t="s">
        <v>104</v>
      </c>
      <c r="CC1590" s="1" t="s">
        <v>104</v>
      </c>
      <c r="CD1590" s="1" t="s">
        <v>104</v>
      </c>
      <c r="CE1590" s="1" t="s">
        <v>104</v>
      </c>
      <c r="CF1590" s="1" t="s">
        <v>104</v>
      </c>
      <c r="CG1590" s="1" t="s">
        <v>104</v>
      </c>
      <c r="CH1590" s="1" t="s">
        <v>104</v>
      </c>
      <c r="CJ1590" s="1">
        <v>0</v>
      </c>
      <c r="CK1590" s="1">
        <v>0</v>
      </c>
      <c r="CL1590" s="1">
        <v>0</v>
      </c>
      <c r="CM1590" s="1" t="s">
        <v>104</v>
      </c>
    </row>
    <row r="1591" spans="1:91" ht="14.25" customHeight="1" x14ac:dyDescent="0.3">
      <c r="A1591" s="1" t="s">
        <v>8853</v>
      </c>
      <c r="B1591" s="1" t="s">
        <v>303</v>
      </c>
      <c r="E1591" s="1" t="s">
        <v>8854</v>
      </c>
      <c r="F1591" s="1" t="s">
        <v>1502</v>
      </c>
      <c r="G1591" s="1" t="s">
        <v>8855</v>
      </c>
      <c r="H1591" s="1">
        <v>0</v>
      </c>
      <c r="I1591" s="1" t="s">
        <v>117</v>
      </c>
      <c r="L1591" s="1" t="s">
        <v>1065</v>
      </c>
      <c r="M1591" s="1" t="s">
        <v>119</v>
      </c>
      <c r="N1591" s="1">
        <v>0</v>
      </c>
      <c r="O1591" s="1">
        <v>0</v>
      </c>
      <c r="R1591" s="1" t="s">
        <v>8856</v>
      </c>
      <c r="S1591" s="1" t="s">
        <v>8848</v>
      </c>
      <c r="T1591" s="1">
        <v>1</v>
      </c>
      <c r="U1591" s="1">
        <v>1</v>
      </c>
      <c r="V1591" s="1">
        <v>0</v>
      </c>
      <c r="W1591" s="1">
        <v>0</v>
      </c>
      <c r="X1591" s="1">
        <v>0</v>
      </c>
      <c r="Y1591" s="1">
        <v>3</v>
      </c>
      <c r="Z1591" s="1">
        <v>3</v>
      </c>
      <c r="AA1591" s="1">
        <v>3</v>
      </c>
      <c r="AB1591" s="1">
        <v>3</v>
      </c>
      <c r="AC1591" s="1" t="s">
        <v>104</v>
      </c>
      <c r="AD1591" s="1">
        <v>3</v>
      </c>
      <c r="AE1591" s="1" t="s">
        <v>104</v>
      </c>
      <c r="AF1591" s="1" t="s">
        <v>104</v>
      </c>
      <c r="AG1591" s="1">
        <v>3</v>
      </c>
      <c r="AH1591" s="1">
        <v>3</v>
      </c>
      <c r="AI1591" s="1" t="s">
        <v>104</v>
      </c>
      <c r="AJ1591" s="1">
        <v>3</v>
      </c>
      <c r="AK1591" s="1" t="s">
        <v>104</v>
      </c>
      <c r="AL1591" s="1">
        <v>3</v>
      </c>
      <c r="AM1591" s="1" t="s">
        <v>104</v>
      </c>
      <c r="AO1591" s="1">
        <v>3</v>
      </c>
      <c r="AR1591" s="1">
        <v>0</v>
      </c>
      <c r="AS1591" s="1">
        <v>0</v>
      </c>
      <c r="AT1591" s="1">
        <v>0</v>
      </c>
      <c r="AU1591" s="1">
        <v>0</v>
      </c>
      <c r="AV1591" s="1">
        <v>0</v>
      </c>
      <c r="AW1591" s="1">
        <v>0</v>
      </c>
      <c r="AX1591" s="1">
        <v>0</v>
      </c>
      <c r="AY1591" s="1">
        <v>0</v>
      </c>
      <c r="AZ1591" s="1">
        <v>0</v>
      </c>
      <c r="BA1591" s="1">
        <v>0</v>
      </c>
      <c r="BB1591" s="1">
        <v>0</v>
      </c>
      <c r="BC1591" s="1">
        <v>0</v>
      </c>
      <c r="BD1591" s="1">
        <v>0</v>
      </c>
      <c r="BE1591" s="1">
        <v>0</v>
      </c>
      <c r="BF1591" s="1">
        <v>0</v>
      </c>
      <c r="BG1591" s="1">
        <v>0</v>
      </c>
      <c r="BH1591" s="1">
        <v>0</v>
      </c>
      <c r="BI1591" s="1">
        <v>0</v>
      </c>
      <c r="BJ1591" s="1">
        <v>0</v>
      </c>
      <c r="BK1591" s="1">
        <v>0</v>
      </c>
      <c r="BL1591" s="1">
        <v>0</v>
      </c>
      <c r="BM1591" s="1">
        <v>0</v>
      </c>
      <c r="BN1591" s="1">
        <v>0</v>
      </c>
      <c r="BO1591" s="1">
        <v>0</v>
      </c>
      <c r="BP1591" s="1">
        <v>0</v>
      </c>
      <c r="BQ1591" s="1" t="s">
        <v>104</v>
      </c>
      <c r="BR1591" s="1">
        <v>1678</v>
      </c>
      <c r="BS1591" s="1" t="s">
        <v>104</v>
      </c>
      <c r="BX1591" s="1">
        <v>0</v>
      </c>
      <c r="BY1591" s="1" t="s">
        <v>104</v>
      </c>
      <c r="BZ1591" s="1" t="s">
        <v>104</v>
      </c>
      <c r="CA1591" s="1" t="s">
        <v>104</v>
      </c>
      <c r="CB1591" s="1" t="s">
        <v>104</v>
      </c>
      <c r="CC1591" s="1" t="s">
        <v>104</v>
      </c>
      <c r="CD1591" s="1" t="s">
        <v>104</v>
      </c>
      <c r="CE1591" s="1" t="s">
        <v>104</v>
      </c>
      <c r="CF1591" s="1" t="s">
        <v>104</v>
      </c>
      <c r="CG1591" s="1" t="s">
        <v>104</v>
      </c>
      <c r="CH1591" s="1">
        <v>3</v>
      </c>
      <c r="CJ1591" s="1">
        <v>0</v>
      </c>
      <c r="CK1591" s="1">
        <v>0</v>
      </c>
      <c r="CL1591" s="1">
        <v>0</v>
      </c>
      <c r="CM1591" s="1">
        <v>3</v>
      </c>
    </row>
    <row r="1592" spans="1:91" ht="14.25" customHeight="1" x14ac:dyDescent="0.3">
      <c r="A1592" s="1" t="s">
        <v>8857</v>
      </c>
      <c r="B1592" s="1" t="s">
        <v>172</v>
      </c>
      <c r="E1592" s="1" t="s">
        <v>8858</v>
      </c>
      <c r="F1592" s="1" t="s">
        <v>95</v>
      </c>
      <c r="G1592" s="1" t="s">
        <v>8859</v>
      </c>
      <c r="H1592" s="1">
        <v>0</v>
      </c>
      <c r="I1592" s="1" t="s">
        <v>157</v>
      </c>
      <c r="L1592" s="1" t="s">
        <v>158</v>
      </c>
      <c r="M1592" s="1" t="s">
        <v>8234</v>
      </c>
      <c r="N1592" s="1">
        <v>0</v>
      </c>
      <c r="O1592" s="1">
        <v>0</v>
      </c>
      <c r="R1592" s="1" t="s">
        <v>8860</v>
      </c>
      <c r="S1592" s="1" t="s">
        <v>8848</v>
      </c>
      <c r="T1592" s="1">
        <v>1</v>
      </c>
      <c r="U1592" s="1">
        <v>0</v>
      </c>
      <c r="V1592" s="1">
        <v>0</v>
      </c>
      <c r="W1592" s="1">
        <v>0</v>
      </c>
      <c r="X1592" s="1">
        <v>0</v>
      </c>
      <c r="Y1592" s="1">
        <v>1</v>
      </c>
      <c r="Z1592" s="1">
        <v>1</v>
      </c>
      <c r="AA1592" s="1">
        <v>1</v>
      </c>
      <c r="AB1592" s="1" t="s">
        <v>104</v>
      </c>
      <c r="AC1592" s="1" t="s">
        <v>104</v>
      </c>
      <c r="AD1592" s="1">
        <v>1</v>
      </c>
      <c r="AE1592" s="1" t="s">
        <v>104</v>
      </c>
      <c r="AF1592" s="1" t="s">
        <v>104</v>
      </c>
      <c r="AG1592" s="1" t="s">
        <v>104</v>
      </c>
      <c r="AH1592" s="1">
        <v>1</v>
      </c>
      <c r="AI1592" s="1">
        <v>1</v>
      </c>
      <c r="AJ1592" s="1">
        <v>1</v>
      </c>
      <c r="AK1592" s="1" t="s">
        <v>104</v>
      </c>
      <c r="AL1592" s="1" t="s">
        <v>104</v>
      </c>
      <c r="AM1592" s="1" t="s">
        <v>104</v>
      </c>
      <c r="AO1592" s="1">
        <v>1</v>
      </c>
      <c r="AR1592" s="1">
        <v>0</v>
      </c>
      <c r="AS1592" s="1">
        <v>0</v>
      </c>
      <c r="AT1592" s="1">
        <v>0</v>
      </c>
      <c r="AU1592" s="1">
        <v>0</v>
      </c>
      <c r="AV1592" s="1">
        <v>0</v>
      </c>
      <c r="AW1592" s="1">
        <v>0</v>
      </c>
      <c r="AX1592" s="1">
        <v>0</v>
      </c>
      <c r="AY1592" s="1">
        <v>0</v>
      </c>
      <c r="AZ1592" s="1">
        <v>0</v>
      </c>
      <c r="BA1592" s="1">
        <v>0</v>
      </c>
      <c r="BB1592" s="1">
        <v>0</v>
      </c>
      <c r="BC1592" s="1">
        <v>0</v>
      </c>
      <c r="BD1592" s="1">
        <v>0</v>
      </c>
      <c r="BE1592" s="1">
        <v>0</v>
      </c>
      <c r="BF1592" s="1">
        <v>0</v>
      </c>
      <c r="BG1592" s="1">
        <v>0</v>
      </c>
      <c r="BH1592" s="1">
        <v>0</v>
      </c>
      <c r="BI1592" s="1">
        <v>0</v>
      </c>
      <c r="BJ1592" s="1">
        <v>0</v>
      </c>
      <c r="BK1592" s="1">
        <v>0</v>
      </c>
      <c r="BL1592" s="1">
        <v>0</v>
      </c>
      <c r="BM1592" s="1">
        <v>0</v>
      </c>
      <c r="BN1592" s="1">
        <v>0</v>
      </c>
      <c r="BO1592" s="1">
        <v>0</v>
      </c>
      <c r="BP1592" s="1">
        <v>0</v>
      </c>
      <c r="BQ1592" s="1" t="s">
        <v>104</v>
      </c>
      <c r="BR1592" s="1">
        <v>1679</v>
      </c>
      <c r="BS1592" s="1" t="s">
        <v>104</v>
      </c>
      <c r="BX1592" s="1">
        <v>0</v>
      </c>
      <c r="BY1592" s="1" t="s">
        <v>104</v>
      </c>
      <c r="BZ1592" s="1" t="s">
        <v>104</v>
      </c>
      <c r="CA1592" s="1" t="s">
        <v>104</v>
      </c>
      <c r="CB1592" s="1" t="s">
        <v>104</v>
      </c>
      <c r="CC1592" s="1" t="s">
        <v>104</v>
      </c>
      <c r="CD1592" s="1" t="s">
        <v>104</v>
      </c>
      <c r="CE1592" s="1" t="s">
        <v>104</v>
      </c>
      <c r="CF1592" s="1" t="s">
        <v>104</v>
      </c>
      <c r="CG1592" s="1" t="s">
        <v>104</v>
      </c>
      <c r="CH1592" s="1" t="s">
        <v>104</v>
      </c>
      <c r="CJ1592" s="1">
        <v>0</v>
      </c>
      <c r="CK1592" s="1">
        <v>0</v>
      </c>
      <c r="CL1592" s="1">
        <v>0</v>
      </c>
      <c r="CM1592" s="1" t="s">
        <v>104</v>
      </c>
    </row>
    <row r="1593" spans="1:91" ht="14.25" customHeight="1" x14ac:dyDescent="0.3">
      <c r="A1593" s="1" t="s">
        <v>8861</v>
      </c>
      <c r="B1593" s="1" t="s">
        <v>137</v>
      </c>
      <c r="E1593" s="1" t="s">
        <v>8862</v>
      </c>
      <c r="F1593" s="1" t="s">
        <v>95</v>
      </c>
      <c r="G1593" s="1" t="s">
        <v>8863</v>
      </c>
      <c r="H1593" s="1">
        <v>0</v>
      </c>
      <c r="I1593" s="1" t="s">
        <v>117</v>
      </c>
      <c r="L1593" s="1" t="s">
        <v>2235</v>
      </c>
      <c r="M1593" s="1" t="s">
        <v>2330</v>
      </c>
      <c r="N1593" s="1">
        <v>0</v>
      </c>
      <c r="O1593" s="1">
        <v>0</v>
      </c>
      <c r="P1593" s="1" t="s">
        <v>148</v>
      </c>
      <c r="Q1593" s="1" t="s">
        <v>149</v>
      </c>
      <c r="R1593" s="1" t="s">
        <v>8864</v>
      </c>
      <c r="S1593" s="1" t="s">
        <v>8848</v>
      </c>
      <c r="T1593" s="1">
        <v>1</v>
      </c>
      <c r="U1593" s="1">
        <v>1</v>
      </c>
      <c r="V1593" s="1">
        <v>1</v>
      </c>
      <c r="W1593" s="1">
        <v>0</v>
      </c>
      <c r="X1593" s="1">
        <v>0</v>
      </c>
      <c r="Y1593" s="1">
        <v>3</v>
      </c>
      <c r="Z1593" s="1">
        <v>3</v>
      </c>
      <c r="AA1593" s="1" t="s">
        <v>104</v>
      </c>
      <c r="AB1593" s="1" t="s">
        <v>104</v>
      </c>
      <c r="AC1593" s="1">
        <v>2</v>
      </c>
      <c r="AD1593" s="1">
        <v>2</v>
      </c>
      <c r="AE1593" s="1" t="s">
        <v>104</v>
      </c>
      <c r="AF1593" s="1" t="s">
        <v>104</v>
      </c>
      <c r="AG1593" s="1" t="s">
        <v>104</v>
      </c>
      <c r="AH1593" s="1" t="s">
        <v>104</v>
      </c>
      <c r="AI1593" s="1" t="s">
        <v>104</v>
      </c>
      <c r="AJ1593" s="1" t="s">
        <v>104</v>
      </c>
      <c r="AK1593" s="1" t="s">
        <v>104</v>
      </c>
      <c r="AL1593" s="1">
        <v>2</v>
      </c>
      <c r="AM1593" s="1" t="s">
        <v>104</v>
      </c>
      <c r="AO1593" s="1">
        <v>3</v>
      </c>
      <c r="AR1593" s="1">
        <v>0</v>
      </c>
      <c r="AS1593" s="1">
        <v>0</v>
      </c>
      <c r="AT1593" s="1">
        <v>0</v>
      </c>
      <c r="AU1593" s="1">
        <v>0</v>
      </c>
      <c r="AV1593" s="1">
        <v>0</v>
      </c>
      <c r="AW1593" s="1">
        <v>0</v>
      </c>
      <c r="AX1593" s="1">
        <v>0</v>
      </c>
      <c r="AY1593" s="1">
        <v>0</v>
      </c>
      <c r="AZ1593" s="1">
        <v>0</v>
      </c>
      <c r="BA1593" s="1">
        <v>0</v>
      </c>
      <c r="BB1593" s="1">
        <v>0</v>
      </c>
      <c r="BC1593" s="1">
        <v>0</v>
      </c>
      <c r="BD1593" s="1">
        <v>0</v>
      </c>
      <c r="BE1593" s="1">
        <v>0</v>
      </c>
      <c r="BF1593" s="1">
        <v>0</v>
      </c>
      <c r="BG1593" s="1">
        <v>0</v>
      </c>
      <c r="BH1593" s="1">
        <v>0</v>
      </c>
      <c r="BI1593" s="1">
        <v>0</v>
      </c>
      <c r="BJ1593" s="1">
        <v>0</v>
      </c>
      <c r="BK1593" s="1">
        <v>0</v>
      </c>
      <c r="BL1593" s="1">
        <v>0</v>
      </c>
      <c r="BM1593" s="1">
        <v>0</v>
      </c>
      <c r="BN1593" s="1">
        <v>0</v>
      </c>
      <c r="BO1593" s="1">
        <v>0</v>
      </c>
      <c r="BP1593" s="1">
        <v>0</v>
      </c>
      <c r="BQ1593" s="1" t="s">
        <v>104</v>
      </c>
      <c r="BR1593" s="1">
        <v>1680</v>
      </c>
      <c r="BS1593" s="1" t="s">
        <v>104</v>
      </c>
      <c r="BX1593" s="1">
        <v>0</v>
      </c>
      <c r="BY1593" s="1" t="s">
        <v>104</v>
      </c>
      <c r="BZ1593" s="1" t="s">
        <v>104</v>
      </c>
      <c r="CA1593" s="1" t="s">
        <v>104</v>
      </c>
      <c r="CB1593" s="1" t="s">
        <v>104</v>
      </c>
      <c r="CC1593" s="1" t="s">
        <v>104</v>
      </c>
      <c r="CD1593" s="1" t="s">
        <v>104</v>
      </c>
      <c r="CE1593" s="1" t="s">
        <v>104</v>
      </c>
      <c r="CF1593" s="1" t="s">
        <v>104</v>
      </c>
      <c r="CG1593" s="1" t="s">
        <v>104</v>
      </c>
      <c r="CH1593" s="1">
        <v>2</v>
      </c>
      <c r="CJ1593" s="1">
        <v>0</v>
      </c>
      <c r="CK1593" s="1">
        <v>0</v>
      </c>
      <c r="CL1593" s="1">
        <v>0</v>
      </c>
      <c r="CM1593" s="1" t="s">
        <v>104</v>
      </c>
    </row>
    <row r="1594" spans="1:91" ht="14.25" customHeight="1" x14ac:dyDescent="0.3">
      <c r="A1594" s="1" t="s">
        <v>8865</v>
      </c>
      <c r="B1594" s="1" t="s">
        <v>123</v>
      </c>
      <c r="C1594" s="1" t="s">
        <v>124</v>
      </c>
      <c r="D1594" s="1" t="s">
        <v>6034</v>
      </c>
      <c r="E1594" s="1" t="s">
        <v>8866</v>
      </c>
      <c r="F1594" s="1" t="s">
        <v>95</v>
      </c>
      <c r="G1594" s="1" t="s">
        <v>116</v>
      </c>
      <c r="H1594" s="1">
        <v>0</v>
      </c>
      <c r="I1594" s="1" t="s">
        <v>117</v>
      </c>
      <c r="L1594" s="1" t="s">
        <v>1065</v>
      </c>
      <c r="M1594" s="1" t="s">
        <v>111</v>
      </c>
      <c r="N1594" s="1">
        <v>0</v>
      </c>
      <c r="O1594" s="1">
        <v>0</v>
      </c>
      <c r="P1594" s="1" t="s">
        <v>145</v>
      </c>
      <c r="Q1594" s="1" t="s">
        <v>184</v>
      </c>
      <c r="R1594" s="1" t="s">
        <v>8867</v>
      </c>
      <c r="S1594" s="1" t="s">
        <v>8848</v>
      </c>
      <c r="T1594" s="1">
        <v>1</v>
      </c>
      <c r="U1594" s="1">
        <v>1</v>
      </c>
      <c r="V1594" s="1">
        <v>0</v>
      </c>
      <c r="W1594" s="1">
        <v>0</v>
      </c>
      <c r="X1594" s="1">
        <v>0</v>
      </c>
      <c r="Y1594" s="1" t="s">
        <v>104</v>
      </c>
      <c r="Z1594" s="1" t="s">
        <v>104</v>
      </c>
      <c r="AA1594" s="1" t="s">
        <v>104</v>
      </c>
      <c r="AB1594" s="1" t="s">
        <v>104</v>
      </c>
      <c r="AC1594" s="1">
        <v>2</v>
      </c>
      <c r="AD1594" s="1">
        <v>2</v>
      </c>
      <c r="AE1594" s="1" t="s">
        <v>104</v>
      </c>
      <c r="AF1594" s="1" t="s">
        <v>104</v>
      </c>
      <c r="AG1594" s="1" t="s">
        <v>104</v>
      </c>
      <c r="AH1594" s="1" t="s">
        <v>104</v>
      </c>
      <c r="AI1594" s="1">
        <v>2</v>
      </c>
      <c r="AJ1594" s="1" t="s">
        <v>104</v>
      </c>
      <c r="AK1594" s="1" t="s">
        <v>104</v>
      </c>
      <c r="AL1594" s="1" t="s">
        <v>104</v>
      </c>
      <c r="AM1594" s="1" t="s">
        <v>104</v>
      </c>
      <c r="AO1594" s="1">
        <v>2</v>
      </c>
      <c r="AR1594" s="1">
        <v>0</v>
      </c>
      <c r="AS1594" s="1">
        <v>0</v>
      </c>
      <c r="AT1594" s="1">
        <v>0</v>
      </c>
      <c r="AU1594" s="1">
        <v>0</v>
      </c>
      <c r="AV1594" s="1">
        <v>0</v>
      </c>
      <c r="AW1594" s="1">
        <v>0</v>
      </c>
      <c r="AX1594" s="1">
        <v>0</v>
      </c>
      <c r="AY1594" s="1">
        <v>0</v>
      </c>
      <c r="AZ1594" s="1">
        <v>0</v>
      </c>
      <c r="BA1594" s="1">
        <v>0</v>
      </c>
      <c r="BB1594" s="1">
        <v>1</v>
      </c>
      <c r="BC1594" s="1">
        <v>0</v>
      </c>
      <c r="BD1594" s="1">
        <v>0</v>
      </c>
      <c r="BE1594" s="1">
        <v>0</v>
      </c>
      <c r="BF1594" s="1">
        <v>0</v>
      </c>
      <c r="BG1594" s="1">
        <v>0</v>
      </c>
      <c r="BH1594" s="1">
        <v>0</v>
      </c>
      <c r="BI1594" s="1">
        <v>0</v>
      </c>
      <c r="BJ1594" s="1">
        <v>0</v>
      </c>
      <c r="BK1594" s="1">
        <v>1</v>
      </c>
      <c r="BL1594" s="1">
        <v>0</v>
      </c>
      <c r="BM1594" s="1">
        <v>0</v>
      </c>
      <c r="BN1594" s="1">
        <v>0</v>
      </c>
      <c r="BO1594" s="1">
        <v>0</v>
      </c>
      <c r="BP1594" s="1">
        <v>0</v>
      </c>
      <c r="BQ1594" s="1" t="s">
        <v>104</v>
      </c>
      <c r="BR1594" s="1">
        <v>1681</v>
      </c>
      <c r="BS1594" s="1" t="s">
        <v>104</v>
      </c>
      <c r="BX1594" s="1">
        <v>0</v>
      </c>
      <c r="BY1594" s="1" t="s">
        <v>104</v>
      </c>
      <c r="BZ1594" s="1" t="s">
        <v>104</v>
      </c>
      <c r="CA1594" s="1" t="s">
        <v>104</v>
      </c>
      <c r="CB1594" s="1" t="s">
        <v>104</v>
      </c>
      <c r="CC1594" s="1" t="s">
        <v>104</v>
      </c>
      <c r="CD1594" s="1" t="s">
        <v>104</v>
      </c>
      <c r="CE1594" s="1" t="s">
        <v>104</v>
      </c>
      <c r="CF1594" s="1" t="s">
        <v>104</v>
      </c>
      <c r="CG1594" s="1" t="s">
        <v>104</v>
      </c>
      <c r="CH1594" s="1">
        <v>2</v>
      </c>
      <c r="CJ1594" s="1">
        <v>0</v>
      </c>
      <c r="CK1594" s="1">
        <v>0</v>
      </c>
      <c r="CL1594" s="1">
        <v>0</v>
      </c>
      <c r="CM1594" s="1" t="s">
        <v>104</v>
      </c>
    </row>
    <row r="1595" spans="1:91" ht="14.25" customHeight="1" x14ac:dyDescent="0.3">
      <c r="A1595" s="1" t="s">
        <v>8868</v>
      </c>
      <c r="B1595" s="1" t="s">
        <v>434</v>
      </c>
      <c r="D1595" s="1" t="s">
        <v>61</v>
      </c>
      <c r="E1595" s="1" t="s">
        <v>8869</v>
      </c>
      <c r="F1595" s="1" t="s">
        <v>95</v>
      </c>
      <c r="G1595" s="1" t="s">
        <v>3339</v>
      </c>
      <c r="H1595" s="1">
        <v>0</v>
      </c>
      <c r="I1595" s="1" t="s">
        <v>109</v>
      </c>
      <c r="K1595" s="1" t="s">
        <v>8870</v>
      </c>
      <c r="M1595" s="1" t="s">
        <v>4641</v>
      </c>
      <c r="N1595" s="1">
        <v>1</v>
      </c>
      <c r="O1595" s="1">
        <v>0</v>
      </c>
      <c r="P1595" s="1" t="s">
        <v>4379</v>
      </c>
      <c r="Q1595" s="1" t="s">
        <v>184</v>
      </c>
      <c r="R1595" s="1" t="s">
        <v>8871</v>
      </c>
      <c r="S1595" s="1" t="s">
        <v>8872</v>
      </c>
      <c r="T1595" s="1">
        <v>1</v>
      </c>
      <c r="U1595" s="1">
        <v>1</v>
      </c>
      <c r="V1595" s="1">
        <v>1</v>
      </c>
      <c r="W1595" s="1">
        <v>0</v>
      </c>
      <c r="X1595" s="1">
        <v>1</v>
      </c>
      <c r="Y1595" s="1">
        <v>5</v>
      </c>
      <c r="Z1595" s="1">
        <v>5</v>
      </c>
      <c r="AA1595" s="1" t="s">
        <v>104</v>
      </c>
      <c r="AB1595" s="1">
        <v>5</v>
      </c>
      <c r="AC1595" s="1" t="s">
        <v>104</v>
      </c>
      <c r="AD1595" s="1" t="s">
        <v>104</v>
      </c>
      <c r="AE1595" s="1" t="s">
        <v>104</v>
      </c>
      <c r="AF1595" s="1" t="s">
        <v>104</v>
      </c>
      <c r="AG1595" s="1" t="s">
        <v>104</v>
      </c>
      <c r="AH1595" s="1" t="s">
        <v>104</v>
      </c>
      <c r="AI1595" s="1" t="s">
        <v>104</v>
      </c>
      <c r="AJ1595" s="1" t="s">
        <v>104</v>
      </c>
      <c r="AK1595" s="1" t="s">
        <v>104</v>
      </c>
      <c r="AL1595" s="1" t="s">
        <v>104</v>
      </c>
      <c r="AM1595" s="1" t="s">
        <v>104</v>
      </c>
      <c r="AO1595" s="1">
        <v>5</v>
      </c>
      <c r="AR1595" s="1">
        <v>0</v>
      </c>
      <c r="AS1595" s="1">
        <v>0</v>
      </c>
      <c r="AT1595" s="1">
        <v>0</v>
      </c>
      <c r="AU1595" s="1">
        <v>0</v>
      </c>
      <c r="AV1595" s="1">
        <v>0</v>
      </c>
      <c r="AW1595" s="1">
        <v>0</v>
      </c>
      <c r="AX1595" s="1">
        <v>0</v>
      </c>
      <c r="AY1595" s="1">
        <v>0</v>
      </c>
      <c r="AZ1595" s="1">
        <v>0</v>
      </c>
      <c r="BA1595" s="1">
        <v>0</v>
      </c>
      <c r="BB1595" s="1">
        <v>0</v>
      </c>
      <c r="BC1595" s="1">
        <v>0</v>
      </c>
      <c r="BD1595" s="1">
        <v>0</v>
      </c>
      <c r="BE1595" s="1">
        <v>0</v>
      </c>
      <c r="BF1595" s="1">
        <v>0</v>
      </c>
      <c r="BG1595" s="1">
        <v>0</v>
      </c>
      <c r="BH1595" s="1">
        <v>0</v>
      </c>
      <c r="BI1595" s="1">
        <v>0</v>
      </c>
      <c r="BJ1595" s="1">
        <v>1</v>
      </c>
      <c r="BK1595" s="1">
        <v>0</v>
      </c>
      <c r="BL1595" s="1">
        <v>0</v>
      </c>
      <c r="BM1595" s="1">
        <v>0</v>
      </c>
      <c r="BN1595" s="1">
        <v>0</v>
      </c>
      <c r="BO1595" s="1">
        <v>0</v>
      </c>
      <c r="BP1595" s="1">
        <v>0</v>
      </c>
      <c r="BQ1595" s="1" t="s">
        <v>104</v>
      </c>
      <c r="BR1595" s="1">
        <v>1682</v>
      </c>
      <c r="BS1595" s="1" t="s">
        <v>104</v>
      </c>
      <c r="BX1595" s="1">
        <v>0</v>
      </c>
      <c r="BY1595" s="1" t="s">
        <v>104</v>
      </c>
      <c r="BZ1595" s="1" t="s">
        <v>104</v>
      </c>
      <c r="CA1595" s="1" t="s">
        <v>104</v>
      </c>
      <c r="CB1595" s="1" t="s">
        <v>104</v>
      </c>
      <c r="CC1595" s="1" t="s">
        <v>104</v>
      </c>
      <c r="CD1595" s="1" t="s">
        <v>104</v>
      </c>
      <c r="CE1595" s="1" t="s">
        <v>104</v>
      </c>
      <c r="CF1595" s="1" t="s">
        <v>104</v>
      </c>
      <c r="CG1595" s="1" t="s">
        <v>104</v>
      </c>
      <c r="CH1595" s="1">
        <v>5</v>
      </c>
      <c r="CJ1595" s="1">
        <v>0</v>
      </c>
      <c r="CK1595" s="1">
        <v>0</v>
      </c>
      <c r="CL1595" s="1">
        <v>0</v>
      </c>
      <c r="CM1595" s="1" t="s">
        <v>104</v>
      </c>
    </row>
    <row r="1596" spans="1:91" ht="14.25" customHeight="1" x14ac:dyDescent="0.3">
      <c r="A1596" s="1" t="s">
        <v>8873</v>
      </c>
      <c r="B1596" s="1" t="s">
        <v>434</v>
      </c>
      <c r="E1596" s="1" t="s">
        <v>4785</v>
      </c>
      <c r="F1596" s="1" t="s">
        <v>8874</v>
      </c>
      <c r="G1596" s="1" t="s">
        <v>8875</v>
      </c>
      <c r="H1596" s="1">
        <v>0</v>
      </c>
      <c r="I1596" s="1" t="s">
        <v>128</v>
      </c>
      <c r="L1596" s="1" t="s">
        <v>2104</v>
      </c>
      <c r="M1596" s="1" t="s">
        <v>8876</v>
      </c>
      <c r="N1596" s="1">
        <v>1</v>
      </c>
      <c r="O1596" s="1">
        <v>0</v>
      </c>
      <c r="P1596" s="1" t="s">
        <v>375</v>
      </c>
      <c r="Q1596" s="1" t="s">
        <v>131</v>
      </c>
      <c r="R1596" s="1" t="s">
        <v>8877</v>
      </c>
      <c r="S1596" s="1" t="s">
        <v>8878</v>
      </c>
      <c r="T1596" s="1">
        <v>1</v>
      </c>
      <c r="U1596" s="1">
        <v>1</v>
      </c>
      <c r="V1596" s="1">
        <v>1</v>
      </c>
      <c r="W1596" s="1">
        <v>0</v>
      </c>
      <c r="X1596" s="1">
        <v>0</v>
      </c>
      <c r="Y1596" s="1" t="s">
        <v>104</v>
      </c>
      <c r="Z1596" s="1" t="s">
        <v>104</v>
      </c>
      <c r="AA1596" s="1" t="s">
        <v>104</v>
      </c>
      <c r="AB1596" s="1" t="s">
        <v>104</v>
      </c>
      <c r="AC1596" s="1" t="s">
        <v>104</v>
      </c>
      <c r="AD1596" s="1">
        <v>4</v>
      </c>
      <c r="AE1596" s="1" t="s">
        <v>104</v>
      </c>
      <c r="AF1596" s="1" t="s">
        <v>104</v>
      </c>
      <c r="AG1596" s="1" t="s">
        <v>104</v>
      </c>
      <c r="AH1596" s="1" t="s">
        <v>104</v>
      </c>
      <c r="AI1596" s="1" t="s">
        <v>104</v>
      </c>
      <c r="AJ1596" s="1" t="s">
        <v>104</v>
      </c>
      <c r="AK1596" s="1" t="s">
        <v>104</v>
      </c>
      <c r="AL1596" s="1" t="s">
        <v>104</v>
      </c>
      <c r="AM1596" s="1" t="s">
        <v>104</v>
      </c>
      <c r="AO1596" s="1">
        <v>4</v>
      </c>
      <c r="AR1596" s="1">
        <v>0</v>
      </c>
      <c r="AS1596" s="1">
        <v>0</v>
      </c>
      <c r="AT1596" s="1">
        <v>0</v>
      </c>
      <c r="AU1596" s="1">
        <v>0</v>
      </c>
      <c r="AV1596" s="1">
        <v>0</v>
      </c>
      <c r="AW1596" s="1">
        <v>0</v>
      </c>
      <c r="AX1596" s="1">
        <v>0</v>
      </c>
      <c r="AY1596" s="1">
        <v>0</v>
      </c>
      <c r="AZ1596" s="1">
        <v>0</v>
      </c>
      <c r="BA1596" s="1">
        <v>0</v>
      </c>
      <c r="BB1596" s="1">
        <v>0</v>
      </c>
      <c r="BC1596" s="1">
        <v>0</v>
      </c>
      <c r="BD1596" s="1">
        <v>0</v>
      </c>
      <c r="BE1596" s="1">
        <v>0</v>
      </c>
      <c r="BF1596" s="1">
        <v>0</v>
      </c>
      <c r="BG1596" s="1">
        <v>0</v>
      </c>
      <c r="BH1596" s="1">
        <v>0</v>
      </c>
      <c r="BI1596" s="1">
        <v>0</v>
      </c>
      <c r="BJ1596" s="1">
        <v>0</v>
      </c>
      <c r="BK1596" s="1">
        <v>0</v>
      </c>
      <c r="BL1596" s="1">
        <v>0</v>
      </c>
      <c r="BM1596" s="1">
        <v>0</v>
      </c>
      <c r="BN1596" s="1">
        <v>0</v>
      </c>
      <c r="BO1596" s="1">
        <v>0</v>
      </c>
      <c r="BP1596" s="1">
        <v>0</v>
      </c>
      <c r="BQ1596" s="1" t="s">
        <v>104</v>
      </c>
      <c r="BR1596" s="1">
        <v>1683</v>
      </c>
      <c r="BS1596" s="1" t="s">
        <v>104</v>
      </c>
      <c r="BX1596" s="1">
        <v>0</v>
      </c>
      <c r="BY1596" s="1" t="s">
        <v>104</v>
      </c>
      <c r="BZ1596" s="1" t="s">
        <v>104</v>
      </c>
      <c r="CA1596" s="1" t="s">
        <v>104</v>
      </c>
      <c r="CB1596" s="1" t="s">
        <v>104</v>
      </c>
      <c r="CC1596" s="1" t="s">
        <v>104</v>
      </c>
      <c r="CD1596" s="1" t="s">
        <v>104</v>
      </c>
      <c r="CE1596" s="1" t="s">
        <v>104</v>
      </c>
      <c r="CF1596" s="1" t="s">
        <v>104</v>
      </c>
      <c r="CG1596" s="1" t="s">
        <v>104</v>
      </c>
      <c r="CH1596" s="1" t="s">
        <v>104</v>
      </c>
      <c r="CJ1596" s="1">
        <v>0</v>
      </c>
      <c r="CK1596" s="1">
        <v>0</v>
      </c>
      <c r="CL1596" s="1">
        <v>0</v>
      </c>
      <c r="CM1596" s="1" t="s">
        <v>104</v>
      </c>
    </row>
    <row r="1597" spans="1:91" ht="14.25" customHeight="1" x14ac:dyDescent="0.3">
      <c r="A1597" s="1" t="s">
        <v>8879</v>
      </c>
      <c r="B1597" s="1" t="s">
        <v>92</v>
      </c>
      <c r="D1597" s="1" t="s">
        <v>64</v>
      </c>
      <c r="E1597" s="1" t="s">
        <v>8880</v>
      </c>
      <c r="F1597" s="1" t="s">
        <v>95</v>
      </c>
      <c r="G1597" s="1" t="s">
        <v>8881</v>
      </c>
      <c r="H1597" s="1">
        <v>0</v>
      </c>
      <c r="I1597" s="1" t="s">
        <v>157</v>
      </c>
      <c r="L1597" s="1" t="s">
        <v>158</v>
      </c>
      <c r="M1597" s="1" t="s">
        <v>8882</v>
      </c>
      <c r="N1597" s="1">
        <v>0</v>
      </c>
      <c r="O1597" s="1">
        <v>0</v>
      </c>
      <c r="P1597" s="1" t="s">
        <v>1080</v>
      </c>
      <c r="Q1597" s="1" t="s">
        <v>184</v>
      </c>
      <c r="R1597" s="1" t="s">
        <v>8883</v>
      </c>
      <c r="S1597" s="1" t="s">
        <v>8878</v>
      </c>
      <c r="T1597" s="1">
        <v>0</v>
      </c>
      <c r="U1597" s="1">
        <v>1</v>
      </c>
      <c r="V1597" s="1">
        <v>1</v>
      </c>
      <c r="W1597" s="1">
        <v>0</v>
      </c>
      <c r="X1597" s="1">
        <v>0</v>
      </c>
      <c r="Y1597" s="1" t="s">
        <v>104</v>
      </c>
      <c r="Z1597" s="1" t="s">
        <v>104</v>
      </c>
      <c r="AA1597" s="1">
        <v>4</v>
      </c>
      <c r="AB1597" s="1" t="s">
        <v>104</v>
      </c>
      <c r="AC1597" s="1" t="s">
        <v>104</v>
      </c>
      <c r="AD1597" s="1" t="s">
        <v>104</v>
      </c>
      <c r="AE1597" s="1" t="s">
        <v>104</v>
      </c>
      <c r="AF1597" s="1" t="s">
        <v>104</v>
      </c>
      <c r="AG1597" s="1" t="s">
        <v>104</v>
      </c>
      <c r="AH1597" s="1">
        <v>4</v>
      </c>
      <c r="AI1597" s="1" t="s">
        <v>104</v>
      </c>
      <c r="AJ1597" s="1">
        <v>4</v>
      </c>
      <c r="AK1597" s="1" t="s">
        <v>104</v>
      </c>
      <c r="AL1597" s="1" t="s">
        <v>104</v>
      </c>
      <c r="AM1597" s="1" t="s">
        <v>104</v>
      </c>
      <c r="AO1597" s="1">
        <v>4</v>
      </c>
      <c r="AR1597" s="1">
        <v>0</v>
      </c>
      <c r="AS1597" s="1">
        <v>0</v>
      </c>
      <c r="AT1597" s="1">
        <v>0</v>
      </c>
      <c r="AU1597" s="1">
        <v>0</v>
      </c>
      <c r="AV1597" s="1">
        <v>0</v>
      </c>
      <c r="AW1597" s="1">
        <v>0</v>
      </c>
      <c r="AX1597" s="1">
        <v>0</v>
      </c>
      <c r="AY1597" s="1">
        <v>0</v>
      </c>
      <c r="AZ1597" s="1">
        <v>0</v>
      </c>
      <c r="BA1597" s="1">
        <v>0</v>
      </c>
      <c r="BB1597" s="1">
        <v>0</v>
      </c>
      <c r="BC1597" s="1">
        <v>0</v>
      </c>
      <c r="BD1597" s="1">
        <v>0</v>
      </c>
      <c r="BE1597" s="1">
        <v>0</v>
      </c>
      <c r="BF1597" s="1">
        <v>0</v>
      </c>
      <c r="BG1597" s="1">
        <v>0</v>
      </c>
      <c r="BH1597" s="1">
        <v>0</v>
      </c>
      <c r="BI1597" s="1">
        <v>0</v>
      </c>
      <c r="BJ1597" s="1">
        <v>0</v>
      </c>
      <c r="BK1597" s="1">
        <v>0</v>
      </c>
      <c r="BL1597" s="1">
        <v>0</v>
      </c>
      <c r="BM1597" s="1">
        <v>1</v>
      </c>
      <c r="BN1597" s="1">
        <v>0</v>
      </c>
      <c r="BO1597" s="1">
        <v>0</v>
      </c>
      <c r="BP1597" s="1">
        <v>0</v>
      </c>
      <c r="BQ1597" s="1" t="s">
        <v>104</v>
      </c>
      <c r="BR1597" s="1">
        <v>1684</v>
      </c>
      <c r="BS1597" s="1" t="s">
        <v>104</v>
      </c>
      <c r="BX1597" s="1">
        <v>0</v>
      </c>
      <c r="BY1597" s="1" t="s">
        <v>104</v>
      </c>
      <c r="BZ1597" s="1" t="s">
        <v>104</v>
      </c>
      <c r="CA1597" s="1" t="s">
        <v>104</v>
      </c>
      <c r="CB1597" s="1" t="s">
        <v>104</v>
      </c>
      <c r="CC1597" s="1" t="s">
        <v>104</v>
      </c>
      <c r="CD1597" s="1" t="s">
        <v>104</v>
      </c>
      <c r="CE1597" s="1" t="s">
        <v>104</v>
      </c>
      <c r="CF1597" s="1" t="s">
        <v>104</v>
      </c>
      <c r="CG1597" s="1" t="s">
        <v>104</v>
      </c>
      <c r="CH1597" s="1" t="s">
        <v>104</v>
      </c>
      <c r="CJ1597" s="1">
        <v>0</v>
      </c>
      <c r="CK1597" s="1">
        <v>0</v>
      </c>
      <c r="CL1597" s="1">
        <v>0</v>
      </c>
      <c r="CM1597" s="1" t="s">
        <v>104</v>
      </c>
    </row>
    <row r="1598" spans="1:91" ht="14.25" customHeight="1" x14ac:dyDescent="0.3">
      <c r="A1598" s="1" t="s">
        <v>8884</v>
      </c>
      <c r="B1598" s="1" t="s">
        <v>172</v>
      </c>
      <c r="C1598" s="1" t="s">
        <v>285</v>
      </c>
      <c r="E1598" s="1" t="s">
        <v>8885</v>
      </c>
      <c r="F1598" s="1" t="s">
        <v>191</v>
      </c>
      <c r="G1598" s="1" t="s">
        <v>127</v>
      </c>
      <c r="H1598" s="1">
        <v>0</v>
      </c>
      <c r="I1598" s="1" t="s">
        <v>157</v>
      </c>
      <c r="L1598" s="1" t="s">
        <v>158</v>
      </c>
      <c r="M1598" s="1" t="s">
        <v>4292</v>
      </c>
      <c r="N1598" s="1">
        <v>0</v>
      </c>
      <c r="O1598" s="1">
        <v>0</v>
      </c>
      <c r="P1598" s="1" t="s">
        <v>1902</v>
      </c>
      <c r="Q1598" s="1" t="s">
        <v>101</v>
      </c>
      <c r="R1598" s="1" t="s">
        <v>8886</v>
      </c>
      <c r="S1598" s="1" t="s">
        <v>8878</v>
      </c>
      <c r="T1598" s="1">
        <v>1</v>
      </c>
      <c r="U1598" s="1">
        <v>1</v>
      </c>
      <c r="V1598" s="1">
        <v>0</v>
      </c>
      <c r="W1598" s="1">
        <v>0</v>
      </c>
      <c r="X1598" s="1">
        <v>1</v>
      </c>
      <c r="Y1598" s="1" t="s">
        <v>104</v>
      </c>
      <c r="Z1598" s="1" t="s">
        <v>104</v>
      </c>
      <c r="AA1598" s="1" t="s">
        <v>104</v>
      </c>
      <c r="AB1598" s="1">
        <v>5</v>
      </c>
      <c r="AC1598" s="1">
        <v>4</v>
      </c>
      <c r="AD1598" s="1" t="s">
        <v>104</v>
      </c>
      <c r="AE1598" s="1" t="s">
        <v>104</v>
      </c>
      <c r="AF1598" s="1" t="s">
        <v>104</v>
      </c>
      <c r="AG1598" s="1" t="s">
        <v>104</v>
      </c>
      <c r="AH1598" s="1" t="s">
        <v>104</v>
      </c>
      <c r="AI1598" s="1" t="s">
        <v>104</v>
      </c>
      <c r="AJ1598" s="1">
        <v>5</v>
      </c>
      <c r="AK1598" s="1" t="s">
        <v>104</v>
      </c>
      <c r="AL1598" s="1" t="s">
        <v>104</v>
      </c>
      <c r="AM1598" s="1" t="s">
        <v>104</v>
      </c>
      <c r="AO1598" s="1">
        <v>5</v>
      </c>
      <c r="AR1598" s="1">
        <v>0</v>
      </c>
      <c r="AS1598" s="1">
        <v>0</v>
      </c>
      <c r="AT1598" s="1">
        <v>0</v>
      </c>
      <c r="AU1598" s="1">
        <v>0</v>
      </c>
      <c r="AV1598" s="1">
        <v>0</v>
      </c>
      <c r="AW1598" s="1">
        <v>0</v>
      </c>
      <c r="AX1598" s="1">
        <v>0</v>
      </c>
      <c r="AY1598" s="1">
        <v>0</v>
      </c>
      <c r="AZ1598" s="1">
        <v>0</v>
      </c>
      <c r="BA1598" s="1">
        <v>0</v>
      </c>
      <c r="BB1598" s="1">
        <v>0</v>
      </c>
      <c r="BC1598" s="1">
        <v>0</v>
      </c>
      <c r="BD1598" s="1">
        <v>0</v>
      </c>
      <c r="BE1598" s="1">
        <v>0</v>
      </c>
      <c r="BF1598" s="1">
        <v>0</v>
      </c>
      <c r="BG1598" s="1">
        <v>0</v>
      </c>
      <c r="BH1598" s="1">
        <v>0</v>
      </c>
      <c r="BI1598" s="1">
        <v>0</v>
      </c>
      <c r="BJ1598" s="1">
        <v>0</v>
      </c>
      <c r="BK1598" s="1">
        <v>0</v>
      </c>
      <c r="BL1598" s="1">
        <v>0</v>
      </c>
      <c r="BM1598" s="1">
        <v>0</v>
      </c>
      <c r="BN1598" s="1">
        <v>0</v>
      </c>
      <c r="BO1598" s="1">
        <v>0</v>
      </c>
      <c r="BP1598" s="1">
        <v>0</v>
      </c>
      <c r="BQ1598" s="1" t="s">
        <v>104</v>
      </c>
      <c r="BR1598" s="1">
        <v>1685</v>
      </c>
      <c r="BS1598" s="1" t="s">
        <v>104</v>
      </c>
      <c r="BX1598" s="1">
        <v>0</v>
      </c>
      <c r="BY1598" s="1" t="s">
        <v>104</v>
      </c>
      <c r="BZ1598" s="1" t="s">
        <v>104</v>
      </c>
      <c r="CA1598" s="1" t="s">
        <v>104</v>
      </c>
      <c r="CB1598" s="1" t="s">
        <v>104</v>
      </c>
      <c r="CC1598" s="1" t="s">
        <v>104</v>
      </c>
      <c r="CD1598" s="1" t="s">
        <v>104</v>
      </c>
      <c r="CE1598" s="1" t="s">
        <v>104</v>
      </c>
      <c r="CF1598" s="1" t="s">
        <v>104</v>
      </c>
      <c r="CG1598" s="1" t="s">
        <v>104</v>
      </c>
      <c r="CH1598" s="1">
        <v>4</v>
      </c>
      <c r="CJ1598" s="1">
        <v>0</v>
      </c>
      <c r="CK1598" s="1">
        <v>0</v>
      </c>
      <c r="CL1598" s="1">
        <v>0</v>
      </c>
      <c r="CM1598" s="1" t="s">
        <v>104</v>
      </c>
    </row>
    <row r="1599" spans="1:91" ht="14.25" customHeight="1" x14ac:dyDescent="0.3">
      <c r="A1599" s="1" t="s">
        <v>8887</v>
      </c>
      <c r="B1599" s="1" t="s">
        <v>172</v>
      </c>
      <c r="E1599" s="1" t="s">
        <v>8888</v>
      </c>
      <c r="F1599" s="1" t="s">
        <v>191</v>
      </c>
      <c r="G1599" s="1" t="s">
        <v>8889</v>
      </c>
      <c r="H1599" s="1">
        <v>0</v>
      </c>
      <c r="I1599" s="1" t="s">
        <v>157</v>
      </c>
      <c r="L1599" s="1" t="s">
        <v>158</v>
      </c>
      <c r="M1599" s="1" t="s">
        <v>8359</v>
      </c>
      <c r="N1599" s="1">
        <v>0</v>
      </c>
      <c r="O1599" s="1">
        <v>0</v>
      </c>
      <c r="P1599" s="1" t="s">
        <v>100</v>
      </c>
      <c r="Q1599" s="1" t="s">
        <v>184</v>
      </c>
      <c r="R1599" s="1" t="s">
        <v>8890</v>
      </c>
      <c r="S1599" s="1" t="s">
        <v>8878</v>
      </c>
      <c r="T1599" s="1">
        <v>1</v>
      </c>
      <c r="U1599" s="1">
        <v>1</v>
      </c>
      <c r="V1599" s="1">
        <v>1</v>
      </c>
      <c r="W1599" s="1">
        <v>0</v>
      </c>
      <c r="X1599" s="1">
        <v>0</v>
      </c>
      <c r="Y1599" s="1" t="s">
        <v>104</v>
      </c>
      <c r="Z1599" s="1" t="s">
        <v>104</v>
      </c>
      <c r="AA1599" s="1">
        <v>2</v>
      </c>
      <c r="AB1599" s="1">
        <v>2</v>
      </c>
      <c r="AC1599" s="1">
        <v>2</v>
      </c>
      <c r="AD1599" s="1">
        <v>2</v>
      </c>
      <c r="AE1599" s="1" t="s">
        <v>104</v>
      </c>
      <c r="AF1599" s="1" t="s">
        <v>104</v>
      </c>
      <c r="AG1599" s="1" t="s">
        <v>104</v>
      </c>
      <c r="AH1599" s="1">
        <v>2</v>
      </c>
      <c r="AI1599" s="1" t="s">
        <v>104</v>
      </c>
      <c r="AJ1599" s="1">
        <v>2</v>
      </c>
      <c r="AK1599" s="1" t="s">
        <v>104</v>
      </c>
      <c r="AL1599" s="1" t="s">
        <v>104</v>
      </c>
      <c r="AM1599" s="1" t="s">
        <v>104</v>
      </c>
      <c r="AO1599" s="1">
        <v>2</v>
      </c>
      <c r="AR1599" s="1">
        <v>0</v>
      </c>
      <c r="AS1599" s="1">
        <v>0</v>
      </c>
      <c r="AT1599" s="1">
        <v>0</v>
      </c>
      <c r="AU1599" s="1">
        <v>0</v>
      </c>
      <c r="AV1599" s="1">
        <v>0</v>
      </c>
      <c r="AW1599" s="1">
        <v>0</v>
      </c>
      <c r="AX1599" s="1">
        <v>0</v>
      </c>
      <c r="AY1599" s="1">
        <v>0</v>
      </c>
      <c r="AZ1599" s="1">
        <v>0</v>
      </c>
      <c r="BA1599" s="1">
        <v>0</v>
      </c>
      <c r="BB1599" s="1">
        <v>0</v>
      </c>
      <c r="BC1599" s="1">
        <v>0</v>
      </c>
      <c r="BD1599" s="1">
        <v>0</v>
      </c>
      <c r="BE1599" s="1">
        <v>0</v>
      </c>
      <c r="BF1599" s="1">
        <v>0</v>
      </c>
      <c r="BG1599" s="1">
        <v>0</v>
      </c>
      <c r="BH1599" s="1">
        <v>0</v>
      </c>
      <c r="BI1599" s="1">
        <v>0</v>
      </c>
      <c r="BJ1599" s="1">
        <v>0</v>
      </c>
      <c r="BK1599" s="1">
        <v>0</v>
      </c>
      <c r="BL1599" s="1">
        <v>0</v>
      </c>
      <c r="BM1599" s="1">
        <v>0</v>
      </c>
      <c r="BN1599" s="1">
        <v>0</v>
      </c>
      <c r="BO1599" s="1">
        <v>0</v>
      </c>
      <c r="BP1599" s="1">
        <v>0</v>
      </c>
      <c r="BQ1599" s="1" t="s">
        <v>104</v>
      </c>
      <c r="BR1599" s="1">
        <v>1686</v>
      </c>
      <c r="BS1599" s="1" t="s">
        <v>104</v>
      </c>
      <c r="BX1599" s="1">
        <v>0</v>
      </c>
      <c r="BY1599" s="1" t="s">
        <v>104</v>
      </c>
      <c r="BZ1599" s="1" t="s">
        <v>104</v>
      </c>
      <c r="CA1599" s="1" t="s">
        <v>104</v>
      </c>
      <c r="CB1599" s="1" t="s">
        <v>104</v>
      </c>
      <c r="CC1599" s="1" t="s">
        <v>104</v>
      </c>
      <c r="CD1599" s="1" t="s">
        <v>104</v>
      </c>
      <c r="CE1599" s="1" t="s">
        <v>104</v>
      </c>
      <c r="CF1599" s="1" t="s">
        <v>104</v>
      </c>
      <c r="CG1599" s="1" t="s">
        <v>104</v>
      </c>
      <c r="CH1599" s="1">
        <v>2</v>
      </c>
      <c r="CJ1599" s="1">
        <v>0</v>
      </c>
      <c r="CK1599" s="1">
        <v>0</v>
      </c>
      <c r="CL1599" s="1">
        <v>0</v>
      </c>
      <c r="CM1599" s="1" t="s">
        <v>104</v>
      </c>
    </row>
    <row r="1600" spans="1:91" ht="14.25" customHeight="1" x14ac:dyDescent="0.3">
      <c r="A1600" s="1" t="s">
        <v>8891</v>
      </c>
      <c r="B1600" s="1" t="s">
        <v>162</v>
      </c>
      <c r="E1600" s="1" t="s">
        <v>8892</v>
      </c>
      <c r="F1600" s="1" t="s">
        <v>95</v>
      </c>
      <c r="G1600" s="1" t="s">
        <v>8893</v>
      </c>
      <c r="H1600" s="1">
        <v>0</v>
      </c>
      <c r="I1600" s="1" t="s">
        <v>7208</v>
      </c>
      <c r="J1600" s="1" t="s">
        <v>8894</v>
      </c>
      <c r="M1600" s="1" t="s">
        <v>4992</v>
      </c>
      <c r="N1600" s="1">
        <v>1</v>
      </c>
      <c r="O1600" s="1">
        <v>0</v>
      </c>
      <c r="P1600" s="1" t="s">
        <v>100</v>
      </c>
      <c r="Q1600" s="1" t="s">
        <v>145</v>
      </c>
      <c r="R1600" s="1" t="s">
        <v>8895</v>
      </c>
      <c r="S1600" s="1" t="s">
        <v>8878</v>
      </c>
      <c r="T1600" s="1">
        <v>1</v>
      </c>
      <c r="U1600" s="1">
        <v>1</v>
      </c>
      <c r="V1600" s="1">
        <v>1</v>
      </c>
      <c r="W1600" s="1">
        <v>0</v>
      </c>
      <c r="X1600" s="1">
        <v>0</v>
      </c>
      <c r="Y1600" s="1" t="s">
        <v>104</v>
      </c>
      <c r="Z1600" s="1" t="s">
        <v>104</v>
      </c>
      <c r="AA1600" s="1">
        <v>6</v>
      </c>
      <c r="AB1600" s="1">
        <v>6</v>
      </c>
      <c r="AC1600" s="1" t="s">
        <v>104</v>
      </c>
      <c r="AD1600" s="1" t="s">
        <v>104</v>
      </c>
      <c r="AE1600" s="1" t="s">
        <v>104</v>
      </c>
      <c r="AF1600" s="1" t="s">
        <v>104</v>
      </c>
      <c r="AG1600" s="1" t="s">
        <v>104</v>
      </c>
      <c r="AH1600" s="1">
        <v>6</v>
      </c>
      <c r="AI1600" s="1" t="s">
        <v>104</v>
      </c>
      <c r="AJ1600" s="1">
        <v>6</v>
      </c>
      <c r="AK1600" s="1" t="s">
        <v>104</v>
      </c>
      <c r="AL1600" s="1" t="s">
        <v>104</v>
      </c>
      <c r="AM1600" s="1" t="s">
        <v>104</v>
      </c>
      <c r="AO1600" s="1">
        <v>6</v>
      </c>
      <c r="AR1600" s="1">
        <v>0</v>
      </c>
      <c r="AS1600" s="1">
        <v>0</v>
      </c>
      <c r="AT1600" s="1">
        <v>0</v>
      </c>
      <c r="AU1600" s="1">
        <v>0</v>
      </c>
      <c r="AV1600" s="1">
        <v>0</v>
      </c>
      <c r="AW1600" s="1">
        <v>0</v>
      </c>
      <c r="AX1600" s="1">
        <v>0</v>
      </c>
      <c r="AY1600" s="1">
        <v>0</v>
      </c>
      <c r="AZ1600" s="1">
        <v>0</v>
      </c>
      <c r="BA1600" s="1">
        <v>0</v>
      </c>
      <c r="BB1600" s="1">
        <v>0</v>
      </c>
      <c r="BC1600" s="1">
        <v>0</v>
      </c>
      <c r="BD1600" s="1">
        <v>0</v>
      </c>
      <c r="BE1600" s="1">
        <v>0</v>
      </c>
      <c r="BF1600" s="1">
        <v>0</v>
      </c>
      <c r="BG1600" s="1">
        <v>0</v>
      </c>
      <c r="BH1600" s="1">
        <v>0</v>
      </c>
      <c r="BI1600" s="1">
        <v>0</v>
      </c>
      <c r="BJ1600" s="1">
        <v>0</v>
      </c>
      <c r="BK1600" s="1">
        <v>0</v>
      </c>
      <c r="BL1600" s="1">
        <v>0</v>
      </c>
      <c r="BM1600" s="1">
        <v>0</v>
      </c>
      <c r="BN1600" s="1">
        <v>0</v>
      </c>
      <c r="BO1600" s="1">
        <v>0</v>
      </c>
      <c r="BP1600" s="1">
        <v>0</v>
      </c>
      <c r="BQ1600" s="1" t="s">
        <v>104</v>
      </c>
      <c r="BR1600" s="1">
        <v>1687</v>
      </c>
      <c r="BS1600" s="1" t="s">
        <v>104</v>
      </c>
      <c r="BX1600" s="1">
        <v>0</v>
      </c>
      <c r="BY1600" s="1" t="s">
        <v>104</v>
      </c>
      <c r="BZ1600" s="1" t="s">
        <v>104</v>
      </c>
      <c r="CA1600" s="1" t="s">
        <v>104</v>
      </c>
      <c r="CB1600" s="1" t="s">
        <v>104</v>
      </c>
      <c r="CC1600" s="1" t="s">
        <v>104</v>
      </c>
      <c r="CD1600" s="1" t="s">
        <v>104</v>
      </c>
      <c r="CE1600" s="1" t="s">
        <v>104</v>
      </c>
      <c r="CF1600" s="1" t="s">
        <v>104</v>
      </c>
      <c r="CG1600" s="1" t="s">
        <v>104</v>
      </c>
      <c r="CH1600" s="1">
        <v>6</v>
      </c>
      <c r="CJ1600" s="1">
        <v>0</v>
      </c>
      <c r="CK1600" s="1">
        <v>0</v>
      </c>
      <c r="CL1600" s="1">
        <v>0</v>
      </c>
      <c r="CM1600" s="1" t="s">
        <v>104</v>
      </c>
    </row>
    <row r="1601" spans="1:91" ht="14.25" customHeight="1" x14ac:dyDescent="0.3">
      <c r="A1601" s="1" t="s">
        <v>8896</v>
      </c>
      <c r="B1601" s="1" t="s">
        <v>172</v>
      </c>
      <c r="E1601" s="1" t="s">
        <v>617</v>
      </c>
      <c r="F1601" s="1" t="s">
        <v>273</v>
      </c>
      <c r="G1601" s="1" t="s">
        <v>127</v>
      </c>
      <c r="H1601" s="1">
        <v>0</v>
      </c>
      <c r="I1601" s="1" t="s">
        <v>157</v>
      </c>
      <c r="L1601" s="1" t="s">
        <v>158</v>
      </c>
      <c r="M1601" s="1" t="s">
        <v>4208</v>
      </c>
      <c r="N1601" s="1">
        <v>0</v>
      </c>
      <c r="O1601" s="1">
        <v>0</v>
      </c>
      <c r="R1601" s="1" t="s">
        <v>8897</v>
      </c>
      <c r="S1601" s="1" t="s">
        <v>8878</v>
      </c>
      <c r="T1601" s="1">
        <v>1</v>
      </c>
      <c r="U1601" s="1">
        <v>1</v>
      </c>
      <c r="V1601" s="1">
        <v>0</v>
      </c>
      <c r="W1601" s="1">
        <v>0</v>
      </c>
      <c r="X1601" s="1">
        <v>1</v>
      </c>
      <c r="Y1601" s="1" t="s">
        <v>104</v>
      </c>
      <c r="Z1601" s="1" t="s">
        <v>104</v>
      </c>
      <c r="AA1601" s="1" t="s">
        <v>104</v>
      </c>
      <c r="AB1601" s="1">
        <v>7</v>
      </c>
      <c r="AC1601" s="1" t="s">
        <v>104</v>
      </c>
      <c r="AD1601" s="1" t="s">
        <v>104</v>
      </c>
      <c r="AE1601" s="1" t="s">
        <v>104</v>
      </c>
      <c r="AF1601" s="1" t="s">
        <v>104</v>
      </c>
      <c r="AG1601" s="1" t="s">
        <v>104</v>
      </c>
      <c r="AH1601" s="1" t="s">
        <v>104</v>
      </c>
      <c r="AI1601" s="1" t="s">
        <v>104</v>
      </c>
      <c r="AJ1601" s="1" t="s">
        <v>104</v>
      </c>
      <c r="AK1601" s="1" t="s">
        <v>104</v>
      </c>
      <c r="AL1601" s="1" t="s">
        <v>104</v>
      </c>
      <c r="AM1601" s="1" t="s">
        <v>104</v>
      </c>
      <c r="AO1601" s="1">
        <v>7</v>
      </c>
      <c r="AR1601" s="1">
        <v>0</v>
      </c>
      <c r="AS1601" s="1">
        <v>0</v>
      </c>
      <c r="AT1601" s="1">
        <v>0</v>
      </c>
      <c r="AU1601" s="1">
        <v>0</v>
      </c>
      <c r="AV1601" s="1">
        <v>0</v>
      </c>
      <c r="AW1601" s="1">
        <v>0</v>
      </c>
      <c r="AX1601" s="1">
        <v>0</v>
      </c>
      <c r="AY1601" s="1">
        <v>0</v>
      </c>
      <c r="AZ1601" s="1">
        <v>0</v>
      </c>
      <c r="BA1601" s="1">
        <v>0</v>
      </c>
      <c r="BB1601" s="1">
        <v>0</v>
      </c>
      <c r="BC1601" s="1">
        <v>0</v>
      </c>
      <c r="BD1601" s="1">
        <v>0</v>
      </c>
      <c r="BE1601" s="1">
        <v>0</v>
      </c>
      <c r="BF1601" s="1">
        <v>0</v>
      </c>
      <c r="BG1601" s="1">
        <v>0</v>
      </c>
      <c r="BH1601" s="1">
        <v>0</v>
      </c>
      <c r="BI1601" s="1">
        <v>0</v>
      </c>
      <c r="BJ1601" s="1">
        <v>0</v>
      </c>
      <c r="BK1601" s="1">
        <v>0</v>
      </c>
      <c r="BL1601" s="1">
        <v>0</v>
      </c>
      <c r="BM1601" s="1">
        <v>0</v>
      </c>
      <c r="BN1601" s="1">
        <v>0</v>
      </c>
      <c r="BO1601" s="1">
        <v>0</v>
      </c>
      <c r="BP1601" s="1">
        <v>0</v>
      </c>
      <c r="BQ1601" s="1" t="s">
        <v>104</v>
      </c>
      <c r="BR1601" s="1">
        <v>1688</v>
      </c>
      <c r="BS1601" s="1" t="s">
        <v>104</v>
      </c>
      <c r="BX1601" s="1">
        <v>0</v>
      </c>
      <c r="BY1601" s="1" t="s">
        <v>104</v>
      </c>
      <c r="BZ1601" s="1" t="s">
        <v>104</v>
      </c>
      <c r="CA1601" s="1" t="s">
        <v>104</v>
      </c>
      <c r="CB1601" s="1" t="s">
        <v>104</v>
      </c>
      <c r="CC1601" s="1" t="s">
        <v>104</v>
      </c>
      <c r="CD1601" s="1" t="s">
        <v>104</v>
      </c>
      <c r="CE1601" s="1" t="s">
        <v>104</v>
      </c>
      <c r="CF1601" s="1" t="s">
        <v>104</v>
      </c>
      <c r="CG1601" s="1" t="s">
        <v>104</v>
      </c>
      <c r="CH1601" s="1" t="s">
        <v>104</v>
      </c>
      <c r="CJ1601" s="1">
        <v>0</v>
      </c>
      <c r="CK1601" s="1">
        <v>0</v>
      </c>
      <c r="CL1601" s="1">
        <v>0</v>
      </c>
      <c r="CM1601" s="1" t="s">
        <v>104</v>
      </c>
    </row>
    <row r="1602" spans="1:91" ht="14.25" customHeight="1" x14ac:dyDescent="0.3">
      <c r="A1602" s="1" t="s">
        <v>8898</v>
      </c>
      <c r="B1602" s="1" t="s">
        <v>162</v>
      </c>
      <c r="E1602" s="1" t="s">
        <v>8899</v>
      </c>
      <c r="F1602" s="1" t="s">
        <v>95</v>
      </c>
      <c r="G1602" s="1" t="s">
        <v>237</v>
      </c>
      <c r="H1602" s="1">
        <v>0</v>
      </c>
      <c r="I1602" s="1" t="s">
        <v>109</v>
      </c>
      <c r="J1602" s="1" t="s">
        <v>8900</v>
      </c>
      <c r="M1602" s="1" t="s">
        <v>4641</v>
      </c>
      <c r="N1602" s="1">
        <v>1</v>
      </c>
      <c r="O1602" s="1">
        <v>0</v>
      </c>
      <c r="P1602" s="1" t="s">
        <v>211</v>
      </c>
      <c r="Q1602" s="1" t="s">
        <v>184</v>
      </c>
      <c r="R1602" s="1" t="s">
        <v>8901</v>
      </c>
      <c r="S1602" s="1" t="s">
        <v>8902</v>
      </c>
      <c r="T1602" s="1">
        <v>1</v>
      </c>
      <c r="U1602" s="1">
        <v>0</v>
      </c>
      <c r="V1602" s="1">
        <v>0</v>
      </c>
      <c r="W1602" s="1">
        <v>0</v>
      </c>
      <c r="X1602" s="1">
        <v>0</v>
      </c>
      <c r="Y1602" s="1">
        <v>2</v>
      </c>
      <c r="Z1602" s="1">
        <v>2</v>
      </c>
      <c r="AA1602" s="1" t="s">
        <v>104</v>
      </c>
      <c r="AB1602" s="1" t="s">
        <v>104</v>
      </c>
      <c r="AC1602" s="1" t="s">
        <v>104</v>
      </c>
      <c r="AD1602" s="1">
        <v>2</v>
      </c>
      <c r="AE1602" s="1" t="s">
        <v>104</v>
      </c>
      <c r="AF1602" s="1" t="s">
        <v>104</v>
      </c>
      <c r="AG1602" s="1">
        <v>2</v>
      </c>
      <c r="AH1602" s="1" t="s">
        <v>104</v>
      </c>
      <c r="AI1602" s="1">
        <v>3</v>
      </c>
      <c r="AJ1602" s="1" t="s">
        <v>104</v>
      </c>
      <c r="AK1602" s="1" t="s">
        <v>104</v>
      </c>
      <c r="AL1602" s="1" t="s">
        <v>104</v>
      </c>
      <c r="AM1602" s="1" t="s">
        <v>104</v>
      </c>
      <c r="AO1602" s="1">
        <v>2</v>
      </c>
      <c r="AR1602" s="1">
        <v>0</v>
      </c>
      <c r="AS1602" s="1">
        <v>0</v>
      </c>
      <c r="AT1602" s="1">
        <v>0</v>
      </c>
      <c r="AU1602" s="1">
        <v>0</v>
      </c>
      <c r="AV1602" s="1">
        <v>0</v>
      </c>
      <c r="AW1602" s="1">
        <v>0</v>
      </c>
      <c r="AX1602" s="1">
        <v>0</v>
      </c>
      <c r="AY1602" s="1">
        <v>0</v>
      </c>
      <c r="AZ1602" s="1">
        <v>0</v>
      </c>
      <c r="BA1602" s="1">
        <v>0</v>
      </c>
      <c r="BB1602" s="1">
        <v>0</v>
      </c>
      <c r="BC1602" s="1">
        <v>0</v>
      </c>
      <c r="BD1602" s="1">
        <v>0</v>
      </c>
      <c r="BE1602" s="1">
        <v>0</v>
      </c>
      <c r="BF1602" s="1">
        <v>0</v>
      </c>
      <c r="BG1602" s="1">
        <v>0</v>
      </c>
      <c r="BH1602" s="1">
        <v>0</v>
      </c>
      <c r="BI1602" s="1">
        <v>0</v>
      </c>
      <c r="BJ1602" s="1">
        <v>0</v>
      </c>
      <c r="BK1602" s="1">
        <v>0</v>
      </c>
      <c r="BL1602" s="1">
        <v>0</v>
      </c>
      <c r="BM1602" s="1">
        <v>0</v>
      </c>
      <c r="BN1602" s="1">
        <v>0</v>
      </c>
      <c r="BO1602" s="1">
        <v>0</v>
      </c>
      <c r="BP1602" s="1">
        <v>0</v>
      </c>
      <c r="BQ1602" s="1" t="s">
        <v>104</v>
      </c>
      <c r="BR1602" s="1">
        <v>1689</v>
      </c>
      <c r="BS1602" s="1" t="s">
        <v>104</v>
      </c>
      <c r="BX1602" s="1">
        <v>0</v>
      </c>
      <c r="BY1602" s="1" t="s">
        <v>104</v>
      </c>
      <c r="BZ1602" s="1" t="s">
        <v>104</v>
      </c>
      <c r="CA1602" s="1" t="s">
        <v>104</v>
      </c>
      <c r="CB1602" s="1" t="s">
        <v>104</v>
      </c>
      <c r="CC1602" s="1" t="s">
        <v>104</v>
      </c>
      <c r="CD1602" s="1" t="s">
        <v>104</v>
      </c>
      <c r="CE1602" s="1" t="s">
        <v>104</v>
      </c>
      <c r="CF1602" s="1" t="s">
        <v>104</v>
      </c>
      <c r="CG1602" s="1" t="s">
        <v>104</v>
      </c>
      <c r="CH1602" s="1" t="s">
        <v>104</v>
      </c>
      <c r="CJ1602" s="1">
        <v>0</v>
      </c>
      <c r="CK1602" s="1">
        <v>0</v>
      </c>
      <c r="CL1602" s="1">
        <v>0</v>
      </c>
      <c r="CM1602" s="1">
        <v>2</v>
      </c>
    </row>
    <row r="1603" spans="1:91" ht="14.25" customHeight="1" x14ac:dyDescent="0.3">
      <c r="A1603" s="1" t="s">
        <v>8903</v>
      </c>
      <c r="B1603" s="1" t="s">
        <v>434</v>
      </c>
      <c r="D1603" s="1" t="s">
        <v>61</v>
      </c>
      <c r="E1603" s="1" t="s">
        <v>8904</v>
      </c>
      <c r="F1603" s="1" t="s">
        <v>95</v>
      </c>
      <c r="G1603" s="1" t="s">
        <v>116</v>
      </c>
      <c r="H1603" s="1">
        <v>0</v>
      </c>
      <c r="I1603" s="1" t="s">
        <v>117</v>
      </c>
      <c r="L1603" s="1" t="s">
        <v>1065</v>
      </c>
      <c r="M1603" s="1" t="s">
        <v>8905</v>
      </c>
      <c r="N1603" s="1">
        <v>0</v>
      </c>
      <c r="O1603" s="1">
        <v>0</v>
      </c>
      <c r="P1603" s="1" t="s">
        <v>145</v>
      </c>
      <c r="Q1603" s="1" t="s">
        <v>184</v>
      </c>
      <c r="R1603" s="1" t="s">
        <v>8906</v>
      </c>
      <c r="S1603" s="1" t="s">
        <v>8902</v>
      </c>
      <c r="T1603" s="1">
        <v>1</v>
      </c>
      <c r="U1603" s="1">
        <v>1</v>
      </c>
      <c r="V1603" s="1">
        <v>0</v>
      </c>
      <c r="W1603" s="1">
        <v>0</v>
      </c>
      <c r="X1603" s="1">
        <v>0</v>
      </c>
      <c r="Y1603" s="1" t="s">
        <v>104</v>
      </c>
      <c r="Z1603" s="1" t="s">
        <v>104</v>
      </c>
      <c r="AA1603" s="1">
        <v>4</v>
      </c>
      <c r="AB1603" s="1" t="s">
        <v>104</v>
      </c>
      <c r="AC1603" s="1" t="s">
        <v>104</v>
      </c>
      <c r="AD1603" s="1" t="s">
        <v>104</v>
      </c>
      <c r="AE1603" s="1">
        <v>4</v>
      </c>
      <c r="AF1603" s="1" t="s">
        <v>104</v>
      </c>
      <c r="AG1603" s="1" t="s">
        <v>104</v>
      </c>
      <c r="AH1603" s="1" t="s">
        <v>104</v>
      </c>
      <c r="AI1603" s="1" t="s">
        <v>104</v>
      </c>
      <c r="AJ1603" s="1">
        <v>4</v>
      </c>
      <c r="AK1603" s="1" t="s">
        <v>104</v>
      </c>
      <c r="AL1603" s="1" t="s">
        <v>104</v>
      </c>
      <c r="AM1603" s="1" t="s">
        <v>104</v>
      </c>
      <c r="AO1603" s="1">
        <v>4</v>
      </c>
      <c r="AR1603" s="1">
        <v>0</v>
      </c>
      <c r="AS1603" s="1">
        <v>0</v>
      </c>
      <c r="AT1603" s="1">
        <v>0</v>
      </c>
      <c r="AU1603" s="1">
        <v>0</v>
      </c>
      <c r="AV1603" s="1">
        <v>0</v>
      </c>
      <c r="AW1603" s="1">
        <v>0</v>
      </c>
      <c r="AX1603" s="1">
        <v>0</v>
      </c>
      <c r="AY1603" s="1">
        <v>0</v>
      </c>
      <c r="AZ1603" s="1">
        <v>0</v>
      </c>
      <c r="BA1603" s="1">
        <v>0</v>
      </c>
      <c r="BB1603" s="1">
        <v>0</v>
      </c>
      <c r="BC1603" s="1">
        <v>0</v>
      </c>
      <c r="BD1603" s="1">
        <v>0</v>
      </c>
      <c r="BE1603" s="1">
        <v>0</v>
      </c>
      <c r="BF1603" s="1">
        <v>0</v>
      </c>
      <c r="BG1603" s="1">
        <v>0</v>
      </c>
      <c r="BH1603" s="1">
        <v>0</v>
      </c>
      <c r="BI1603" s="1">
        <v>0</v>
      </c>
      <c r="BJ1603" s="1">
        <v>1</v>
      </c>
      <c r="BK1603" s="1">
        <v>0</v>
      </c>
      <c r="BL1603" s="1">
        <v>0</v>
      </c>
      <c r="BM1603" s="1">
        <v>0</v>
      </c>
      <c r="BN1603" s="1">
        <v>0</v>
      </c>
      <c r="BO1603" s="1">
        <v>0</v>
      </c>
      <c r="BP1603" s="1">
        <v>0</v>
      </c>
      <c r="BQ1603" s="1" t="s">
        <v>104</v>
      </c>
      <c r="BR1603" s="1">
        <v>1690</v>
      </c>
      <c r="BS1603" s="1" t="s">
        <v>104</v>
      </c>
      <c r="BX1603" s="1">
        <v>0</v>
      </c>
      <c r="BY1603" s="1" t="s">
        <v>104</v>
      </c>
      <c r="BZ1603" s="1" t="s">
        <v>104</v>
      </c>
      <c r="CA1603" s="1" t="s">
        <v>104</v>
      </c>
      <c r="CB1603" s="1" t="s">
        <v>104</v>
      </c>
      <c r="CC1603" s="1" t="s">
        <v>104</v>
      </c>
      <c r="CD1603" s="1" t="s">
        <v>104</v>
      </c>
      <c r="CE1603" s="1" t="s">
        <v>104</v>
      </c>
      <c r="CF1603" s="1" t="s">
        <v>104</v>
      </c>
      <c r="CG1603" s="1" t="s">
        <v>104</v>
      </c>
      <c r="CH1603" s="1" t="s">
        <v>104</v>
      </c>
      <c r="CJ1603" s="1">
        <v>0</v>
      </c>
      <c r="CK1603" s="1">
        <v>0</v>
      </c>
      <c r="CL1603" s="1">
        <v>0</v>
      </c>
      <c r="CM1603" s="1" t="s">
        <v>104</v>
      </c>
    </row>
    <row r="1604" spans="1:91" ht="14.25" customHeight="1" x14ac:dyDescent="0.3">
      <c r="A1604" s="1" t="s">
        <v>8907</v>
      </c>
      <c r="B1604" s="1" t="s">
        <v>172</v>
      </c>
      <c r="E1604" s="1" t="s">
        <v>8908</v>
      </c>
      <c r="F1604" s="1" t="s">
        <v>95</v>
      </c>
      <c r="G1604" s="1" t="s">
        <v>127</v>
      </c>
      <c r="H1604" s="1">
        <v>0</v>
      </c>
      <c r="I1604" s="1" t="s">
        <v>776</v>
      </c>
      <c r="J1604" s="1" t="s">
        <v>1030</v>
      </c>
      <c r="M1604" s="1" t="s">
        <v>4766</v>
      </c>
      <c r="N1604" s="1">
        <v>1</v>
      </c>
      <c r="O1604" s="1">
        <v>0</v>
      </c>
      <c r="P1604" s="1" t="s">
        <v>6053</v>
      </c>
      <c r="Q1604" s="1" t="s">
        <v>101</v>
      </c>
      <c r="R1604" s="1" t="s">
        <v>8909</v>
      </c>
      <c r="S1604" s="1" t="s">
        <v>8902</v>
      </c>
      <c r="T1604" s="1">
        <v>1</v>
      </c>
      <c r="U1604" s="1">
        <v>1</v>
      </c>
      <c r="V1604" s="1">
        <v>0</v>
      </c>
      <c r="W1604" s="1">
        <v>0</v>
      </c>
      <c r="X1604" s="1">
        <v>1</v>
      </c>
      <c r="Y1604" s="1" t="s">
        <v>104</v>
      </c>
      <c r="Z1604" s="1" t="s">
        <v>104</v>
      </c>
      <c r="AA1604" s="1">
        <v>1</v>
      </c>
      <c r="AB1604" s="1" t="s">
        <v>104</v>
      </c>
      <c r="AC1604" s="1" t="s">
        <v>104</v>
      </c>
      <c r="AD1604" s="1" t="s">
        <v>104</v>
      </c>
      <c r="AE1604" s="1">
        <v>1</v>
      </c>
      <c r="AF1604" s="1" t="s">
        <v>104</v>
      </c>
      <c r="AG1604" s="1" t="s">
        <v>104</v>
      </c>
      <c r="AH1604" s="1" t="s">
        <v>104</v>
      </c>
      <c r="AI1604" s="1">
        <v>1</v>
      </c>
      <c r="AJ1604" s="1">
        <v>1</v>
      </c>
      <c r="AK1604" s="1" t="s">
        <v>104</v>
      </c>
      <c r="AL1604" s="1" t="s">
        <v>104</v>
      </c>
      <c r="AM1604" s="1" t="s">
        <v>104</v>
      </c>
      <c r="AO1604" s="1">
        <v>1</v>
      </c>
      <c r="AR1604" s="1">
        <v>0</v>
      </c>
      <c r="AS1604" s="1">
        <v>0</v>
      </c>
      <c r="AT1604" s="1">
        <v>0</v>
      </c>
      <c r="AU1604" s="1">
        <v>0</v>
      </c>
      <c r="AV1604" s="1">
        <v>0</v>
      </c>
      <c r="AW1604" s="1">
        <v>0</v>
      </c>
      <c r="AX1604" s="1">
        <v>0</v>
      </c>
      <c r="AY1604" s="1">
        <v>0</v>
      </c>
      <c r="AZ1604" s="1">
        <v>0</v>
      </c>
      <c r="BA1604" s="1">
        <v>0</v>
      </c>
      <c r="BB1604" s="1">
        <v>0</v>
      </c>
      <c r="BC1604" s="1">
        <v>0</v>
      </c>
      <c r="BD1604" s="1">
        <v>0</v>
      </c>
      <c r="BE1604" s="1">
        <v>0</v>
      </c>
      <c r="BF1604" s="1">
        <v>0</v>
      </c>
      <c r="BG1604" s="1">
        <v>0</v>
      </c>
      <c r="BH1604" s="1">
        <v>0</v>
      </c>
      <c r="BI1604" s="1">
        <v>0</v>
      </c>
      <c r="BJ1604" s="1">
        <v>0</v>
      </c>
      <c r="BK1604" s="1">
        <v>0</v>
      </c>
      <c r="BL1604" s="1">
        <v>0</v>
      </c>
      <c r="BM1604" s="1">
        <v>0</v>
      </c>
      <c r="BN1604" s="1">
        <v>0</v>
      </c>
      <c r="BO1604" s="1">
        <v>0</v>
      </c>
      <c r="BP1604" s="1">
        <v>0</v>
      </c>
      <c r="BQ1604" s="1" t="s">
        <v>104</v>
      </c>
      <c r="BR1604" s="1">
        <v>1691</v>
      </c>
      <c r="BS1604" s="1" t="s">
        <v>104</v>
      </c>
      <c r="BX1604" s="1">
        <v>0</v>
      </c>
      <c r="BY1604" s="1" t="s">
        <v>104</v>
      </c>
      <c r="BZ1604" s="1" t="s">
        <v>104</v>
      </c>
      <c r="CA1604" s="1" t="s">
        <v>104</v>
      </c>
      <c r="CB1604" s="1" t="s">
        <v>104</v>
      </c>
      <c r="CC1604" s="1" t="s">
        <v>104</v>
      </c>
      <c r="CD1604" s="1" t="s">
        <v>104</v>
      </c>
      <c r="CE1604" s="1" t="s">
        <v>104</v>
      </c>
      <c r="CF1604" s="1" t="s">
        <v>104</v>
      </c>
      <c r="CG1604" s="1" t="s">
        <v>104</v>
      </c>
      <c r="CH1604" s="1" t="s">
        <v>104</v>
      </c>
      <c r="CJ1604" s="1">
        <v>0</v>
      </c>
      <c r="CK1604" s="1">
        <v>0</v>
      </c>
      <c r="CL1604" s="1">
        <v>0</v>
      </c>
      <c r="CM1604" s="1" t="s">
        <v>104</v>
      </c>
    </row>
    <row r="1605" spans="1:91" ht="14.25" customHeight="1" x14ac:dyDescent="0.3">
      <c r="A1605" s="1" t="s">
        <v>8910</v>
      </c>
      <c r="B1605" s="1" t="s">
        <v>162</v>
      </c>
      <c r="D1605" s="1" t="s">
        <v>145</v>
      </c>
      <c r="E1605" s="1" t="s">
        <v>8190</v>
      </c>
      <c r="F1605" s="1" t="s">
        <v>95</v>
      </c>
      <c r="G1605" s="1" t="s">
        <v>127</v>
      </c>
      <c r="H1605" s="1">
        <v>0</v>
      </c>
      <c r="I1605" s="1" t="s">
        <v>128</v>
      </c>
      <c r="L1605" s="1" t="s">
        <v>374</v>
      </c>
      <c r="M1605" s="1" t="s">
        <v>4641</v>
      </c>
      <c r="N1605" s="1">
        <v>1</v>
      </c>
      <c r="O1605" s="1">
        <v>0</v>
      </c>
      <c r="P1605" s="1" t="s">
        <v>375</v>
      </c>
      <c r="Q1605" s="1" t="s">
        <v>2376</v>
      </c>
      <c r="R1605" s="1" t="s">
        <v>8911</v>
      </c>
      <c r="S1605" s="1" t="s">
        <v>8902</v>
      </c>
      <c r="T1605" s="1">
        <v>1</v>
      </c>
      <c r="U1605" s="1">
        <v>1</v>
      </c>
      <c r="V1605" s="1">
        <v>0</v>
      </c>
      <c r="W1605" s="1">
        <v>0</v>
      </c>
      <c r="X1605" s="1">
        <v>1</v>
      </c>
      <c r="Y1605" s="1" t="s">
        <v>104</v>
      </c>
      <c r="Z1605" s="1" t="s">
        <v>104</v>
      </c>
      <c r="AA1605" s="1">
        <v>2</v>
      </c>
      <c r="AB1605" s="1" t="s">
        <v>104</v>
      </c>
      <c r="AC1605" s="1" t="s">
        <v>104</v>
      </c>
      <c r="AD1605" s="1" t="s">
        <v>104</v>
      </c>
      <c r="AE1605" s="1">
        <v>2</v>
      </c>
      <c r="AF1605" s="1" t="s">
        <v>104</v>
      </c>
      <c r="AG1605" s="1" t="s">
        <v>104</v>
      </c>
      <c r="AH1605" s="1" t="s">
        <v>104</v>
      </c>
      <c r="AI1605" s="1">
        <v>2</v>
      </c>
      <c r="AJ1605" s="1">
        <v>2</v>
      </c>
      <c r="AK1605" s="1" t="s">
        <v>104</v>
      </c>
      <c r="AL1605" s="1" t="s">
        <v>104</v>
      </c>
      <c r="AM1605" s="1" t="s">
        <v>104</v>
      </c>
      <c r="AO1605" s="1">
        <v>2</v>
      </c>
      <c r="AR1605" s="1">
        <v>0</v>
      </c>
      <c r="AS1605" s="1">
        <v>0</v>
      </c>
      <c r="AT1605" s="1">
        <v>0</v>
      </c>
      <c r="AU1605" s="1">
        <v>0</v>
      </c>
      <c r="AV1605" s="1">
        <v>0</v>
      </c>
      <c r="AW1605" s="1">
        <v>0</v>
      </c>
      <c r="AX1605" s="1">
        <v>0</v>
      </c>
      <c r="AY1605" s="1">
        <v>0</v>
      </c>
      <c r="AZ1605" s="1">
        <v>0</v>
      </c>
      <c r="BA1605" s="1">
        <v>0</v>
      </c>
      <c r="BB1605" s="1">
        <v>0</v>
      </c>
      <c r="BC1605" s="1">
        <v>0</v>
      </c>
      <c r="BD1605" s="1">
        <v>0</v>
      </c>
      <c r="BE1605" s="1">
        <v>0</v>
      </c>
      <c r="BF1605" s="1">
        <v>0</v>
      </c>
      <c r="BG1605" s="1">
        <v>0</v>
      </c>
      <c r="BH1605" s="1">
        <v>0</v>
      </c>
      <c r="BI1605" s="1">
        <v>0</v>
      </c>
      <c r="BJ1605" s="1">
        <v>0</v>
      </c>
      <c r="BK1605" s="1">
        <v>0</v>
      </c>
      <c r="BL1605" s="1">
        <v>0</v>
      </c>
      <c r="BM1605" s="1">
        <v>0</v>
      </c>
      <c r="BN1605" s="1">
        <v>0</v>
      </c>
      <c r="BO1605" s="1">
        <v>0</v>
      </c>
      <c r="BP1605" s="1">
        <v>0</v>
      </c>
      <c r="BQ1605" s="1" t="s">
        <v>104</v>
      </c>
      <c r="BR1605" s="1">
        <v>1692</v>
      </c>
      <c r="BS1605" s="1" t="s">
        <v>104</v>
      </c>
      <c r="BX1605" s="1">
        <v>0</v>
      </c>
      <c r="BY1605" s="1" t="s">
        <v>104</v>
      </c>
      <c r="BZ1605" s="1" t="s">
        <v>104</v>
      </c>
      <c r="CA1605" s="1" t="s">
        <v>104</v>
      </c>
      <c r="CB1605" s="1" t="s">
        <v>104</v>
      </c>
      <c r="CC1605" s="1" t="s">
        <v>104</v>
      </c>
      <c r="CD1605" s="1" t="s">
        <v>104</v>
      </c>
      <c r="CE1605" s="1" t="s">
        <v>104</v>
      </c>
      <c r="CF1605" s="1" t="s">
        <v>104</v>
      </c>
      <c r="CG1605" s="1" t="s">
        <v>104</v>
      </c>
      <c r="CH1605" s="1" t="s">
        <v>104</v>
      </c>
      <c r="CJ1605" s="1">
        <v>0</v>
      </c>
      <c r="CK1605" s="1">
        <v>0</v>
      </c>
      <c r="CL1605" s="1">
        <v>0</v>
      </c>
      <c r="CM1605" s="1" t="s">
        <v>104</v>
      </c>
    </row>
    <row r="1606" spans="1:91" ht="14.25" customHeight="1" x14ac:dyDescent="0.3">
      <c r="A1606" s="1" t="s">
        <v>8912</v>
      </c>
      <c r="B1606" s="1" t="s">
        <v>162</v>
      </c>
      <c r="D1606" s="1" t="s">
        <v>58</v>
      </c>
      <c r="E1606" s="1" t="s">
        <v>8913</v>
      </c>
      <c r="F1606" s="1" t="s">
        <v>95</v>
      </c>
      <c r="G1606" s="1" t="s">
        <v>127</v>
      </c>
      <c r="H1606" s="1">
        <v>0</v>
      </c>
      <c r="I1606" s="1" t="s">
        <v>128</v>
      </c>
      <c r="L1606" s="1" t="s">
        <v>8914</v>
      </c>
      <c r="M1606" s="1" t="s">
        <v>4992</v>
      </c>
      <c r="N1606" s="1">
        <v>1</v>
      </c>
      <c r="O1606" s="1">
        <v>0</v>
      </c>
      <c r="P1606" s="1" t="s">
        <v>375</v>
      </c>
      <c r="Q1606" s="1" t="s">
        <v>131</v>
      </c>
      <c r="R1606" s="1" t="s">
        <v>8915</v>
      </c>
      <c r="S1606" s="1" t="s">
        <v>8902</v>
      </c>
      <c r="T1606" s="1">
        <v>1</v>
      </c>
      <c r="U1606" s="1">
        <v>1</v>
      </c>
      <c r="V1606" s="1">
        <v>0</v>
      </c>
      <c r="W1606" s="1">
        <v>0</v>
      </c>
      <c r="X1606" s="1">
        <v>1</v>
      </c>
      <c r="Y1606" s="1" t="s">
        <v>104</v>
      </c>
      <c r="Z1606" s="1" t="s">
        <v>104</v>
      </c>
      <c r="AA1606" s="1" t="s">
        <v>104</v>
      </c>
      <c r="AB1606" s="1" t="s">
        <v>104</v>
      </c>
      <c r="AC1606" s="1" t="s">
        <v>104</v>
      </c>
      <c r="AD1606" s="1" t="s">
        <v>104</v>
      </c>
      <c r="AE1606" s="1">
        <v>2</v>
      </c>
      <c r="AF1606" s="1" t="s">
        <v>104</v>
      </c>
      <c r="AG1606" s="1" t="s">
        <v>104</v>
      </c>
      <c r="AH1606" s="1" t="s">
        <v>104</v>
      </c>
      <c r="AI1606" s="1">
        <v>2</v>
      </c>
      <c r="AJ1606" s="1" t="s">
        <v>104</v>
      </c>
      <c r="AK1606" s="1" t="s">
        <v>104</v>
      </c>
      <c r="AL1606" s="1" t="s">
        <v>104</v>
      </c>
      <c r="AM1606" s="1" t="s">
        <v>104</v>
      </c>
      <c r="AO1606" s="1">
        <v>2</v>
      </c>
      <c r="AR1606" s="1">
        <v>0</v>
      </c>
      <c r="AS1606" s="1">
        <v>0</v>
      </c>
      <c r="AT1606" s="1">
        <v>0</v>
      </c>
      <c r="AU1606" s="1">
        <v>0</v>
      </c>
      <c r="AV1606" s="1">
        <v>0</v>
      </c>
      <c r="AW1606" s="1">
        <v>0</v>
      </c>
      <c r="AX1606" s="1">
        <v>0</v>
      </c>
      <c r="AY1606" s="1">
        <v>0</v>
      </c>
      <c r="AZ1606" s="1">
        <v>0</v>
      </c>
      <c r="BA1606" s="1">
        <v>0</v>
      </c>
      <c r="BB1606" s="1">
        <v>0</v>
      </c>
      <c r="BC1606" s="1">
        <v>0</v>
      </c>
      <c r="BD1606" s="1">
        <v>0</v>
      </c>
      <c r="BE1606" s="1">
        <v>0</v>
      </c>
      <c r="BF1606" s="1">
        <v>0</v>
      </c>
      <c r="BG1606" s="1">
        <v>1</v>
      </c>
      <c r="BH1606" s="1">
        <v>0</v>
      </c>
      <c r="BI1606" s="1">
        <v>0</v>
      </c>
      <c r="BJ1606" s="1">
        <v>0</v>
      </c>
      <c r="BK1606" s="1">
        <v>0</v>
      </c>
      <c r="BL1606" s="1">
        <v>0</v>
      </c>
      <c r="BM1606" s="1">
        <v>0</v>
      </c>
      <c r="BN1606" s="1">
        <v>0</v>
      </c>
      <c r="BO1606" s="1">
        <v>0</v>
      </c>
      <c r="BP1606" s="1">
        <v>0</v>
      </c>
      <c r="BQ1606" s="1" t="s">
        <v>104</v>
      </c>
      <c r="BR1606" s="1">
        <v>1693</v>
      </c>
      <c r="BS1606" s="1" t="s">
        <v>104</v>
      </c>
      <c r="BX1606" s="1">
        <v>0</v>
      </c>
      <c r="BY1606" s="1" t="s">
        <v>104</v>
      </c>
      <c r="BZ1606" s="1" t="s">
        <v>104</v>
      </c>
      <c r="CA1606" s="1" t="s">
        <v>104</v>
      </c>
      <c r="CB1606" s="1" t="s">
        <v>104</v>
      </c>
      <c r="CC1606" s="1" t="s">
        <v>104</v>
      </c>
      <c r="CD1606" s="1" t="s">
        <v>104</v>
      </c>
      <c r="CE1606" s="1" t="s">
        <v>104</v>
      </c>
      <c r="CF1606" s="1" t="s">
        <v>104</v>
      </c>
      <c r="CG1606" s="1" t="s">
        <v>104</v>
      </c>
      <c r="CH1606" s="1" t="s">
        <v>104</v>
      </c>
      <c r="CJ1606" s="1">
        <v>0</v>
      </c>
      <c r="CK1606" s="1">
        <v>0</v>
      </c>
      <c r="CL1606" s="1">
        <v>0</v>
      </c>
      <c r="CM1606" s="1" t="s">
        <v>104</v>
      </c>
    </row>
    <row r="1607" spans="1:91" ht="14.25" customHeight="1" x14ac:dyDescent="0.3">
      <c r="A1607" s="1" t="s">
        <v>8916</v>
      </c>
      <c r="B1607" s="1" t="s">
        <v>162</v>
      </c>
      <c r="E1607" s="1" t="s">
        <v>6182</v>
      </c>
      <c r="F1607" s="1" t="s">
        <v>95</v>
      </c>
      <c r="G1607" s="1" t="s">
        <v>237</v>
      </c>
      <c r="H1607" s="1">
        <v>0</v>
      </c>
      <c r="I1607" s="1" t="s">
        <v>109</v>
      </c>
      <c r="L1607" s="1" t="s">
        <v>8917</v>
      </c>
      <c r="M1607" s="1" t="s">
        <v>4641</v>
      </c>
      <c r="N1607" s="1">
        <v>1</v>
      </c>
      <c r="O1607" s="1">
        <v>0</v>
      </c>
      <c r="P1607" s="1" t="s">
        <v>211</v>
      </c>
      <c r="Q1607" s="1" t="s">
        <v>184</v>
      </c>
      <c r="R1607" s="1" t="s">
        <v>8918</v>
      </c>
      <c r="S1607" s="1" t="s">
        <v>8902</v>
      </c>
      <c r="T1607" s="1">
        <v>1</v>
      </c>
      <c r="U1607" s="1">
        <v>0</v>
      </c>
      <c r="V1607" s="1">
        <v>0</v>
      </c>
      <c r="W1607" s="1">
        <v>0</v>
      </c>
      <c r="X1607" s="1">
        <v>0</v>
      </c>
      <c r="Y1607" s="1" t="s">
        <v>104</v>
      </c>
      <c r="Z1607" s="1" t="s">
        <v>104</v>
      </c>
      <c r="AA1607" s="1" t="s">
        <v>104</v>
      </c>
      <c r="AB1607" s="1" t="s">
        <v>104</v>
      </c>
      <c r="AC1607" s="1" t="s">
        <v>104</v>
      </c>
      <c r="AD1607" s="1">
        <v>2</v>
      </c>
      <c r="AE1607" s="1" t="s">
        <v>104</v>
      </c>
      <c r="AF1607" s="1" t="s">
        <v>104</v>
      </c>
      <c r="AG1607" s="1" t="s">
        <v>104</v>
      </c>
      <c r="AH1607" s="1" t="s">
        <v>104</v>
      </c>
      <c r="AI1607" s="1">
        <v>2</v>
      </c>
      <c r="AJ1607" s="1" t="s">
        <v>104</v>
      </c>
      <c r="AK1607" s="1" t="s">
        <v>104</v>
      </c>
      <c r="AL1607" s="1" t="s">
        <v>104</v>
      </c>
      <c r="AM1607" s="1" t="s">
        <v>104</v>
      </c>
      <c r="AO1607" s="1">
        <v>2</v>
      </c>
      <c r="AR1607" s="1">
        <v>0</v>
      </c>
      <c r="AS1607" s="1">
        <v>0</v>
      </c>
      <c r="AT1607" s="1">
        <v>0</v>
      </c>
      <c r="AU1607" s="1">
        <v>0</v>
      </c>
      <c r="AV1607" s="1">
        <v>0</v>
      </c>
      <c r="AW1607" s="1">
        <v>0</v>
      </c>
      <c r="AX1607" s="1">
        <v>0</v>
      </c>
      <c r="AY1607" s="1">
        <v>0</v>
      </c>
      <c r="AZ1607" s="1">
        <v>0</v>
      </c>
      <c r="BA1607" s="1">
        <v>0</v>
      </c>
      <c r="BB1607" s="1">
        <v>0</v>
      </c>
      <c r="BC1607" s="1">
        <v>0</v>
      </c>
      <c r="BD1607" s="1">
        <v>0</v>
      </c>
      <c r="BE1607" s="1">
        <v>0</v>
      </c>
      <c r="BF1607" s="1">
        <v>0</v>
      </c>
      <c r="BG1607" s="1">
        <v>0</v>
      </c>
      <c r="BH1607" s="1">
        <v>0</v>
      </c>
      <c r="BI1607" s="1">
        <v>0</v>
      </c>
      <c r="BJ1607" s="1">
        <v>0</v>
      </c>
      <c r="BK1607" s="1">
        <v>0</v>
      </c>
      <c r="BL1607" s="1">
        <v>0</v>
      </c>
      <c r="BM1607" s="1">
        <v>0</v>
      </c>
      <c r="BN1607" s="1">
        <v>0</v>
      </c>
      <c r="BO1607" s="1">
        <v>0</v>
      </c>
      <c r="BP1607" s="1">
        <v>0</v>
      </c>
      <c r="BQ1607" s="1" t="s">
        <v>104</v>
      </c>
      <c r="BR1607" s="1">
        <v>1694</v>
      </c>
      <c r="BS1607" s="1" t="s">
        <v>104</v>
      </c>
      <c r="BX1607" s="1">
        <v>0</v>
      </c>
      <c r="BY1607" s="1" t="s">
        <v>104</v>
      </c>
      <c r="BZ1607" s="1" t="s">
        <v>104</v>
      </c>
      <c r="CA1607" s="1" t="s">
        <v>104</v>
      </c>
      <c r="CB1607" s="1" t="s">
        <v>104</v>
      </c>
      <c r="CC1607" s="1" t="s">
        <v>104</v>
      </c>
      <c r="CD1607" s="1" t="s">
        <v>104</v>
      </c>
      <c r="CE1607" s="1" t="s">
        <v>104</v>
      </c>
      <c r="CF1607" s="1" t="s">
        <v>104</v>
      </c>
      <c r="CG1607" s="1" t="s">
        <v>104</v>
      </c>
      <c r="CH1607" s="1" t="s">
        <v>104</v>
      </c>
      <c r="CJ1607" s="1">
        <v>0</v>
      </c>
      <c r="CK1607" s="1">
        <v>0</v>
      </c>
      <c r="CL1607" s="1">
        <v>0</v>
      </c>
      <c r="CM1607" s="1" t="s">
        <v>104</v>
      </c>
    </row>
    <row r="1608" spans="1:91" ht="14.25" customHeight="1" x14ac:dyDescent="0.3">
      <c r="A1608" s="1" t="s">
        <v>8919</v>
      </c>
      <c r="B1608" s="1" t="s">
        <v>172</v>
      </c>
      <c r="E1608" s="1" t="s">
        <v>8920</v>
      </c>
      <c r="F1608" s="1" t="s">
        <v>255</v>
      </c>
      <c r="G1608" s="1" t="s">
        <v>8921</v>
      </c>
      <c r="H1608" s="1">
        <v>1</v>
      </c>
      <c r="I1608" s="1" t="s">
        <v>157</v>
      </c>
      <c r="L1608" s="1" t="s">
        <v>158</v>
      </c>
      <c r="M1608" s="1" t="s">
        <v>210</v>
      </c>
      <c r="N1608" s="1">
        <v>0</v>
      </c>
      <c r="O1608" s="1">
        <v>0</v>
      </c>
      <c r="R1608" s="1" t="s">
        <v>8922</v>
      </c>
      <c r="S1608" s="1" t="s">
        <v>8923</v>
      </c>
      <c r="T1608" s="1">
        <v>1</v>
      </c>
      <c r="U1608" s="1">
        <v>1</v>
      </c>
      <c r="V1608" s="1">
        <v>1</v>
      </c>
      <c r="W1608" s="1">
        <v>0</v>
      </c>
      <c r="X1608" s="1">
        <v>0</v>
      </c>
      <c r="Y1608" s="1">
        <v>6</v>
      </c>
      <c r="Z1608" s="1">
        <v>6</v>
      </c>
      <c r="AA1608" s="1">
        <v>6</v>
      </c>
      <c r="AB1608" s="1" t="s">
        <v>104</v>
      </c>
      <c r="AC1608" s="1" t="s">
        <v>104</v>
      </c>
      <c r="AD1608" s="1" t="s">
        <v>104</v>
      </c>
      <c r="AE1608" s="1" t="s">
        <v>104</v>
      </c>
      <c r="AF1608" s="1" t="s">
        <v>104</v>
      </c>
      <c r="AG1608" s="1" t="s">
        <v>104</v>
      </c>
      <c r="AH1608" s="1">
        <v>6</v>
      </c>
      <c r="AI1608" s="1" t="s">
        <v>104</v>
      </c>
      <c r="AJ1608" s="1">
        <v>6</v>
      </c>
      <c r="AK1608" s="1" t="s">
        <v>104</v>
      </c>
      <c r="AL1608" s="1" t="s">
        <v>104</v>
      </c>
      <c r="AM1608" s="1" t="s">
        <v>104</v>
      </c>
      <c r="AO1608" s="1">
        <v>6</v>
      </c>
      <c r="AR1608" s="1">
        <v>0</v>
      </c>
      <c r="AS1608" s="1">
        <v>0</v>
      </c>
      <c r="AT1608" s="1">
        <v>0</v>
      </c>
      <c r="AU1608" s="1">
        <v>0</v>
      </c>
      <c r="AV1608" s="1">
        <v>0</v>
      </c>
      <c r="AW1608" s="1">
        <v>0</v>
      </c>
      <c r="AX1608" s="1">
        <v>0</v>
      </c>
      <c r="AY1608" s="1">
        <v>0</v>
      </c>
      <c r="AZ1608" s="1">
        <v>0</v>
      </c>
      <c r="BA1608" s="1">
        <v>0</v>
      </c>
      <c r="BB1608" s="1">
        <v>0</v>
      </c>
      <c r="BC1608" s="1">
        <v>0</v>
      </c>
      <c r="BD1608" s="1">
        <v>0</v>
      </c>
      <c r="BE1608" s="1">
        <v>0</v>
      </c>
      <c r="BF1608" s="1">
        <v>0</v>
      </c>
      <c r="BG1608" s="1">
        <v>0</v>
      </c>
      <c r="BH1608" s="1">
        <v>0</v>
      </c>
      <c r="BI1608" s="1">
        <v>0</v>
      </c>
      <c r="BJ1608" s="1">
        <v>0</v>
      </c>
      <c r="BK1608" s="1">
        <v>0</v>
      </c>
      <c r="BL1608" s="1">
        <v>0</v>
      </c>
      <c r="BM1608" s="1">
        <v>0</v>
      </c>
      <c r="BN1608" s="1">
        <v>0</v>
      </c>
      <c r="BO1608" s="1">
        <v>0</v>
      </c>
      <c r="BP1608" s="1">
        <v>0</v>
      </c>
      <c r="BQ1608" s="1" t="s">
        <v>104</v>
      </c>
      <c r="BR1608" s="1">
        <v>1695</v>
      </c>
      <c r="BS1608" s="1">
        <v>250</v>
      </c>
      <c r="BX1608" s="1">
        <v>0</v>
      </c>
      <c r="BY1608" s="1" t="s">
        <v>104</v>
      </c>
      <c r="BZ1608" s="1" t="s">
        <v>104</v>
      </c>
      <c r="CA1608" s="1" t="s">
        <v>104</v>
      </c>
      <c r="CB1608" s="1" t="s">
        <v>104</v>
      </c>
      <c r="CC1608" s="1" t="s">
        <v>104</v>
      </c>
      <c r="CD1608" s="1" t="s">
        <v>104</v>
      </c>
      <c r="CE1608" s="1" t="s">
        <v>104</v>
      </c>
      <c r="CF1608" s="1" t="s">
        <v>104</v>
      </c>
      <c r="CG1608" s="1" t="s">
        <v>104</v>
      </c>
      <c r="CH1608" s="1" t="s">
        <v>104</v>
      </c>
      <c r="CJ1608" s="1">
        <v>0</v>
      </c>
      <c r="CK1608" s="1">
        <v>0</v>
      </c>
      <c r="CL1608" s="1">
        <v>0</v>
      </c>
      <c r="CM1608" s="1" t="s">
        <v>104</v>
      </c>
    </row>
    <row r="1609" spans="1:91" ht="14.25" customHeight="1" x14ac:dyDescent="0.3">
      <c r="A1609" s="1" t="s">
        <v>8924</v>
      </c>
      <c r="B1609" s="1" t="s">
        <v>303</v>
      </c>
      <c r="E1609" s="1" t="s">
        <v>8925</v>
      </c>
      <c r="F1609" s="1" t="s">
        <v>273</v>
      </c>
      <c r="G1609" s="1" t="s">
        <v>8926</v>
      </c>
      <c r="H1609" s="1">
        <v>1</v>
      </c>
      <c r="I1609" s="1" t="s">
        <v>117</v>
      </c>
      <c r="L1609" s="1" t="s">
        <v>8927</v>
      </c>
      <c r="M1609" s="1" t="s">
        <v>4081</v>
      </c>
      <c r="N1609" s="1">
        <v>0</v>
      </c>
      <c r="O1609" s="1">
        <v>0</v>
      </c>
      <c r="P1609" s="1" t="s">
        <v>375</v>
      </c>
      <c r="Q1609" s="1" t="s">
        <v>131</v>
      </c>
      <c r="R1609" s="1" t="s">
        <v>8928</v>
      </c>
      <c r="S1609" s="1" t="s">
        <v>8929</v>
      </c>
      <c r="T1609" s="1">
        <v>1</v>
      </c>
      <c r="U1609" s="1">
        <v>1</v>
      </c>
      <c r="V1609" s="1">
        <v>1</v>
      </c>
      <c r="W1609" s="1">
        <v>0</v>
      </c>
      <c r="X1609" s="1">
        <v>0</v>
      </c>
      <c r="Y1609" s="1">
        <v>9</v>
      </c>
      <c r="Z1609" s="1">
        <v>9</v>
      </c>
      <c r="AA1609" s="1">
        <v>9</v>
      </c>
      <c r="AB1609" s="1">
        <v>9</v>
      </c>
      <c r="AC1609" s="1" t="s">
        <v>104</v>
      </c>
      <c r="AD1609" s="1" t="s">
        <v>104</v>
      </c>
      <c r="AE1609" s="1" t="s">
        <v>104</v>
      </c>
      <c r="AF1609" s="1" t="s">
        <v>104</v>
      </c>
      <c r="AG1609" s="1" t="s">
        <v>104</v>
      </c>
      <c r="AH1609" s="1">
        <v>9</v>
      </c>
      <c r="AI1609" s="1" t="s">
        <v>104</v>
      </c>
      <c r="AJ1609" s="1">
        <v>9</v>
      </c>
      <c r="AK1609" s="1" t="s">
        <v>104</v>
      </c>
      <c r="AL1609" s="1" t="s">
        <v>104</v>
      </c>
      <c r="AM1609" s="1" t="s">
        <v>104</v>
      </c>
      <c r="AO1609" s="1">
        <v>9</v>
      </c>
      <c r="AR1609" s="1">
        <v>0</v>
      </c>
      <c r="AS1609" s="1">
        <v>0</v>
      </c>
      <c r="AT1609" s="1">
        <v>0</v>
      </c>
      <c r="AU1609" s="1">
        <v>0</v>
      </c>
      <c r="AV1609" s="1">
        <v>0</v>
      </c>
      <c r="AW1609" s="1">
        <v>0</v>
      </c>
      <c r="AX1609" s="1">
        <v>0</v>
      </c>
      <c r="AY1609" s="1">
        <v>0</v>
      </c>
      <c r="AZ1609" s="1">
        <v>0</v>
      </c>
      <c r="BA1609" s="1">
        <v>0</v>
      </c>
      <c r="BB1609" s="1">
        <v>0</v>
      </c>
      <c r="BC1609" s="1">
        <v>0</v>
      </c>
      <c r="BD1609" s="1">
        <v>0</v>
      </c>
      <c r="BE1609" s="1">
        <v>0</v>
      </c>
      <c r="BF1609" s="1">
        <v>0</v>
      </c>
      <c r="BG1609" s="1">
        <v>0</v>
      </c>
      <c r="BH1609" s="1">
        <v>0</v>
      </c>
      <c r="BI1609" s="1">
        <v>0</v>
      </c>
      <c r="BJ1609" s="1">
        <v>0</v>
      </c>
      <c r="BK1609" s="1">
        <v>0</v>
      </c>
      <c r="BL1609" s="1">
        <v>0</v>
      </c>
      <c r="BM1609" s="1">
        <v>0</v>
      </c>
      <c r="BN1609" s="1">
        <v>0</v>
      </c>
      <c r="BO1609" s="1">
        <v>0</v>
      </c>
      <c r="BP1609" s="1">
        <v>0</v>
      </c>
      <c r="BQ1609" s="1" t="s">
        <v>104</v>
      </c>
      <c r="BR1609" s="1">
        <v>1696</v>
      </c>
      <c r="BS1609" s="1">
        <v>10000</v>
      </c>
      <c r="BV1609" s="1" t="s">
        <v>8930</v>
      </c>
      <c r="BX1609" s="1">
        <v>1</v>
      </c>
      <c r="BY1609" s="1" t="s">
        <v>104</v>
      </c>
      <c r="BZ1609" s="1" t="s">
        <v>104</v>
      </c>
      <c r="CA1609" s="1">
        <v>9</v>
      </c>
      <c r="CB1609" s="1" t="s">
        <v>104</v>
      </c>
      <c r="CC1609" s="1" t="s">
        <v>104</v>
      </c>
      <c r="CD1609" s="1" t="s">
        <v>104</v>
      </c>
      <c r="CE1609" s="1" t="s">
        <v>104</v>
      </c>
      <c r="CF1609" s="1" t="s">
        <v>104</v>
      </c>
      <c r="CG1609" s="1" t="s">
        <v>104</v>
      </c>
      <c r="CH1609" s="1" t="s">
        <v>104</v>
      </c>
      <c r="CJ1609" s="1">
        <v>0</v>
      </c>
      <c r="CK1609" s="1">
        <v>0</v>
      </c>
      <c r="CL1609" s="1">
        <v>0</v>
      </c>
      <c r="CM1609" s="1" t="s">
        <v>104</v>
      </c>
    </row>
    <row r="1610" spans="1:91" ht="14.25" customHeight="1" x14ac:dyDescent="0.3">
      <c r="A1610" s="1" t="s">
        <v>8931</v>
      </c>
      <c r="B1610" s="1" t="s">
        <v>216</v>
      </c>
      <c r="D1610" s="1" t="s">
        <v>47</v>
      </c>
      <c r="E1610" s="1" t="s">
        <v>8932</v>
      </c>
      <c r="F1610" s="1" t="s">
        <v>95</v>
      </c>
      <c r="G1610" s="1" t="s">
        <v>116</v>
      </c>
      <c r="H1610" s="1">
        <v>0</v>
      </c>
      <c r="I1610" s="1" t="s">
        <v>117</v>
      </c>
      <c r="L1610" s="1" t="s">
        <v>8933</v>
      </c>
      <c r="M1610" s="1" t="s">
        <v>2330</v>
      </c>
      <c r="N1610" s="1">
        <v>0</v>
      </c>
      <c r="O1610" s="1">
        <v>0</v>
      </c>
      <c r="P1610" s="1" t="s">
        <v>211</v>
      </c>
      <c r="Q1610" s="1" t="s">
        <v>184</v>
      </c>
      <c r="R1610" s="1" t="s">
        <v>8934</v>
      </c>
      <c r="S1610" s="1" t="s">
        <v>8929</v>
      </c>
      <c r="T1610" s="1">
        <v>1</v>
      </c>
      <c r="U1610" s="1">
        <v>1</v>
      </c>
      <c r="V1610" s="1">
        <v>0</v>
      </c>
      <c r="W1610" s="1">
        <v>0</v>
      </c>
      <c r="X1610" s="1">
        <v>0</v>
      </c>
      <c r="Y1610" s="1">
        <v>3</v>
      </c>
      <c r="Z1610" s="1">
        <v>3</v>
      </c>
      <c r="AA1610" s="1">
        <v>3</v>
      </c>
      <c r="AB1610" s="1" t="s">
        <v>104</v>
      </c>
      <c r="AC1610" s="1" t="s">
        <v>104</v>
      </c>
      <c r="AD1610" s="1" t="s">
        <v>104</v>
      </c>
      <c r="AE1610" s="1" t="s">
        <v>104</v>
      </c>
      <c r="AF1610" s="1" t="s">
        <v>104</v>
      </c>
      <c r="AG1610" s="1" t="s">
        <v>104</v>
      </c>
      <c r="AH1610" s="1">
        <v>3</v>
      </c>
      <c r="AI1610" s="1" t="s">
        <v>104</v>
      </c>
      <c r="AJ1610" s="1">
        <v>3</v>
      </c>
      <c r="AK1610" s="1" t="s">
        <v>104</v>
      </c>
      <c r="AL1610" s="1" t="s">
        <v>104</v>
      </c>
      <c r="AM1610" s="1" t="s">
        <v>104</v>
      </c>
      <c r="AO1610" s="1">
        <v>3</v>
      </c>
      <c r="AR1610" s="1">
        <v>0</v>
      </c>
      <c r="AS1610" s="1">
        <v>0</v>
      </c>
      <c r="AT1610" s="1">
        <v>0</v>
      </c>
      <c r="AU1610" s="1">
        <v>0</v>
      </c>
      <c r="AV1610" s="1">
        <v>1</v>
      </c>
      <c r="AW1610" s="1">
        <v>0</v>
      </c>
      <c r="AX1610" s="1">
        <v>0</v>
      </c>
      <c r="AY1610" s="1">
        <v>0</v>
      </c>
      <c r="AZ1610" s="1">
        <v>0</v>
      </c>
      <c r="BA1610" s="1">
        <v>0</v>
      </c>
      <c r="BB1610" s="1">
        <v>0</v>
      </c>
      <c r="BC1610" s="1">
        <v>0</v>
      </c>
      <c r="BD1610" s="1">
        <v>0</v>
      </c>
      <c r="BE1610" s="1">
        <v>0</v>
      </c>
      <c r="BF1610" s="1">
        <v>0</v>
      </c>
      <c r="BG1610" s="1">
        <v>0</v>
      </c>
      <c r="BH1610" s="1">
        <v>0</v>
      </c>
      <c r="BI1610" s="1">
        <v>0</v>
      </c>
      <c r="BJ1610" s="1">
        <v>0</v>
      </c>
      <c r="BK1610" s="1">
        <v>0</v>
      </c>
      <c r="BL1610" s="1">
        <v>0</v>
      </c>
      <c r="BM1610" s="1">
        <v>0</v>
      </c>
      <c r="BN1610" s="1">
        <v>0</v>
      </c>
      <c r="BO1610" s="1">
        <v>0</v>
      </c>
      <c r="BP1610" s="1">
        <v>0</v>
      </c>
      <c r="BQ1610" s="1" t="s">
        <v>104</v>
      </c>
      <c r="BR1610" s="1">
        <v>1697</v>
      </c>
      <c r="BS1610" s="1" t="s">
        <v>104</v>
      </c>
      <c r="BX1610" s="1">
        <v>1</v>
      </c>
      <c r="BY1610" s="1" t="s">
        <v>104</v>
      </c>
      <c r="BZ1610" s="1" t="s">
        <v>104</v>
      </c>
      <c r="CA1610" s="1">
        <v>3</v>
      </c>
      <c r="CB1610" s="1">
        <v>1</v>
      </c>
      <c r="CC1610" s="1">
        <v>3</v>
      </c>
      <c r="CD1610" s="1" t="s">
        <v>104</v>
      </c>
      <c r="CE1610" s="1" t="s">
        <v>104</v>
      </c>
      <c r="CF1610" s="1" t="s">
        <v>104</v>
      </c>
      <c r="CG1610" s="1" t="s">
        <v>104</v>
      </c>
      <c r="CH1610" s="1" t="s">
        <v>104</v>
      </c>
      <c r="CJ1610" s="1">
        <v>0</v>
      </c>
      <c r="CK1610" s="1">
        <v>0</v>
      </c>
      <c r="CL1610" s="1">
        <v>0</v>
      </c>
      <c r="CM1610" s="1" t="s">
        <v>104</v>
      </c>
    </row>
    <row r="1611" spans="1:91" ht="14.25" customHeight="1" x14ac:dyDescent="0.3">
      <c r="A1611" s="1" t="s">
        <v>8935</v>
      </c>
      <c r="B1611" s="1" t="s">
        <v>216</v>
      </c>
      <c r="E1611" s="1" t="s">
        <v>8936</v>
      </c>
      <c r="F1611" s="1" t="s">
        <v>95</v>
      </c>
      <c r="G1611" s="1" t="s">
        <v>116</v>
      </c>
      <c r="H1611" s="1">
        <v>0</v>
      </c>
      <c r="I1611" s="1" t="s">
        <v>128</v>
      </c>
      <c r="L1611" s="1" t="s">
        <v>129</v>
      </c>
      <c r="M1611" s="1" t="s">
        <v>111</v>
      </c>
      <c r="N1611" s="1">
        <v>0</v>
      </c>
      <c r="O1611" s="1">
        <v>0</v>
      </c>
      <c r="P1611" s="1" t="s">
        <v>1058</v>
      </c>
      <c r="Q1611" s="1" t="s">
        <v>131</v>
      </c>
      <c r="R1611" s="1" t="s">
        <v>8937</v>
      </c>
      <c r="S1611" s="1" t="s">
        <v>8929</v>
      </c>
      <c r="T1611" s="1">
        <v>1</v>
      </c>
      <c r="U1611" s="1">
        <v>1</v>
      </c>
      <c r="V1611" s="1">
        <v>0</v>
      </c>
      <c r="W1611" s="1">
        <v>0</v>
      </c>
      <c r="X1611" s="1">
        <v>0</v>
      </c>
      <c r="Y1611" s="1">
        <v>4</v>
      </c>
      <c r="Z1611" s="1">
        <v>4</v>
      </c>
      <c r="AA1611" s="1">
        <v>4</v>
      </c>
      <c r="AB1611" s="1" t="s">
        <v>104</v>
      </c>
      <c r="AC1611" s="1" t="s">
        <v>104</v>
      </c>
      <c r="AD1611" s="1" t="s">
        <v>104</v>
      </c>
      <c r="AE1611" s="1" t="s">
        <v>104</v>
      </c>
      <c r="AF1611" s="1">
        <v>4</v>
      </c>
      <c r="AG1611" s="1" t="s">
        <v>104</v>
      </c>
      <c r="AH1611" s="1">
        <v>4</v>
      </c>
      <c r="AI1611" s="1">
        <v>4</v>
      </c>
      <c r="AJ1611" s="1">
        <v>4</v>
      </c>
      <c r="AK1611" s="1" t="s">
        <v>104</v>
      </c>
      <c r="AL1611" s="1" t="s">
        <v>104</v>
      </c>
      <c r="AM1611" s="1" t="s">
        <v>104</v>
      </c>
      <c r="AO1611" s="1">
        <v>4</v>
      </c>
      <c r="AR1611" s="1">
        <v>0</v>
      </c>
      <c r="AS1611" s="1">
        <v>0</v>
      </c>
      <c r="AT1611" s="1">
        <v>0</v>
      </c>
      <c r="AU1611" s="1">
        <v>0</v>
      </c>
      <c r="AV1611" s="1">
        <v>0</v>
      </c>
      <c r="AW1611" s="1">
        <v>0</v>
      </c>
      <c r="AX1611" s="1">
        <v>0</v>
      </c>
      <c r="AY1611" s="1">
        <v>0</v>
      </c>
      <c r="AZ1611" s="1">
        <v>0</v>
      </c>
      <c r="BA1611" s="1">
        <v>0</v>
      </c>
      <c r="BB1611" s="1">
        <v>0</v>
      </c>
      <c r="BC1611" s="1">
        <v>0</v>
      </c>
      <c r="BD1611" s="1">
        <v>0</v>
      </c>
      <c r="BE1611" s="1">
        <v>0</v>
      </c>
      <c r="BF1611" s="1">
        <v>0</v>
      </c>
      <c r="BG1611" s="1">
        <v>0</v>
      </c>
      <c r="BH1611" s="1">
        <v>0</v>
      </c>
      <c r="BI1611" s="1">
        <v>0</v>
      </c>
      <c r="BJ1611" s="1">
        <v>0</v>
      </c>
      <c r="BK1611" s="1">
        <v>0</v>
      </c>
      <c r="BL1611" s="1">
        <v>0</v>
      </c>
      <c r="BM1611" s="1">
        <v>0</v>
      </c>
      <c r="BN1611" s="1">
        <v>0</v>
      </c>
      <c r="BO1611" s="1">
        <v>0</v>
      </c>
      <c r="BP1611" s="1">
        <v>0</v>
      </c>
      <c r="BQ1611" s="1" t="s">
        <v>104</v>
      </c>
      <c r="BR1611" s="1">
        <v>1698</v>
      </c>
      <c r="BS1611" s="1" t="s">
        <v>104</v>
      </c>
      <c r="BV1611" s="1" t="s">
        <v>8938</v>
      </c>
      <c r="BW1611" s="1" t="s">
        <v>8939</v>
      </c>
      <c r="BX1611" s="1">
        <v>1</v>
      </c>
      <c r="BY1611" s="1" t="s">
        <v>104</v>
      </c>
      <c r="BZ1611" s="1" t="s">
        <v>104</v>
      </c>
      <c r="CA1611" s="1">
        <v>4</v>
      </c>
      <c r="CB1611" s="1">
        <v>4</v>
      </c>
      <c r="CC1611" s="1" t="s">
        <v>104</v>
      </c>
      <c r="CD1611" s="1" t="s">
        <v>104</v>
      </c>
      <c r="CE1611" s="1" t="s">
        <v>104</v>
      </c>
      <c r="CF1611" s="1" t="s">
        <v>104</v>
      </c>
      <c r="CG1611" s="1" t="s">
        <v>104</v>
      </c>
      <c r="CH1611" s="1" t="s">
        <v>104</v>
      </c>
      <c r="CJ1611" s="1">
        <v>0</v>
      </c>
      <c r="CK1611" s="1">
        <v>0</v>
      </c>
      <c r="CL1611" s="1">
        <v>0</v>
      </c>
      <c r="CM1611" s="1" t="s">
        <v>104</v>
      </c>
    </row>
    <row r="1612" spans="1:91" ht="14.25" customHeight="1" x14ac:dyDescent="0.3">
      <c r="A1612" s="1" t="s">
        <v>8940</v>
      </c>
      <c r="B1612" s="1" t="s">
        <v>137</v>
      </c>
      <c r="E1612" s="1" t="s">
        <v>8941</v>
      </c>
      <c r="F1612" s="1" t="s">
        <v>95</v>
      </c>
      <c r="G1612" s="1" t="s">
        <v>116</v>
      </c>
      <c r="H1612" s="1">
        <v>0</v>
      </c>
      <c r="I1612" s="1" t="s">
        <v>128</v>
      </c>
      <c r="L1612" s="1" t="s">
        <v>374</v>
      </c>
      <c r="M1612" s="1" t="s">
        <v>4992</v>
      </c>
      <c r="N1612" s="1">
        <v>1</v>
      </c>
      <c r="O1612" s="1">
        <v>0</v>
      </c>
      <c r="P1612" s="1" t="s">
        <v>375</v>
      </c>
      <c r="Q1612" s="1" t="s">
        <v>131</v>
      </c>
      <c r="R1612" s="1" t="s">
        <v>8942</v>
      </c>
      <c r="S1612" s="1" t="s">
        <v>8929</v>
      </c>
      <c r="T1612" s="1">
        <v>1</v>
      </c>
      <c r="U1612" s="1">
        <v>1</v>
      </c>
      <c r="V1612" s="1">
        <v>0</v>
      </c>
      <c r="W1612" s="1">
        <v>0</v>
      </c>
      <c r="X1612" s="1">
        <v>0</v>
      </c>
      <c r="Y1612" s="1">
        <v>5</v>
      </c>
      <c r="Z1612" s="1">
        <v>5</v>
      </c>
      <c r="AA1612" s="1">
        <v>5</v>
      </c>
      <c r="AB1612" s="1">
        <v>5</v>
      </c>
      <c r="AC1612" s="1" t="s">
        <v>104</v>
      </c>
      <c r="AD1612" s="1">
        <v>4</v>
      </c>
      <c r="AE1612" s="1" t="s">
        <v>104</v>
      </c>
      <c r="AF1612" s="1" t="s">
        <v>104</v>
      </c>
      <c r="AG1612" s="1">
        <v>4</v>
      </c>
      <c r="AH1612" s="1">
        <v>5</v>
      </c>
      <c r="AI1612" s="1" t="s">
        <v>104</v>
      </c>
      <c r="AJ1612" s="1">
        <v>5</v>
      </c>
      <c r="AK1612" s="1" t="s">
        <v>104</v>
      </c>
      <c r="AL1612" s="1">
        <v>4</v>
      </c>
      <c r="AM1612" s="1" t="s">
        <v>104</v>
      </c>
      <c r="AO1612" s="1">
        <v>5</v>
      </c>
      <c r="AR1612" s="1">
        <v>0</v>
      </c>
      <c r="AS1612" s="1">
        <v>0</v>
      </c>
      <c r="AT1612" s="1">
        <v>0</v>
      </c>
      <c r="AU1612" s="1">
        <v>0</v>
      </c>
      <c r="AV1612" s="1">
        <v>0</v>
      </c>
      <c r="AW1612" s="1">
        <v>0</v>
      </c>
      <c r="AX1612" s="1">
        <v>0</v>
      </c>
      <c r="AY1612" s="1">
        <v>0</v>
      </c>
      <c r="AZ1612" s="1">
        <v>0</v>
      </c>
      <c r="BA1612" s="1">
        <v>0</v>
      </c>
      <c r="BB1612" s="1">
        <v>0</v>
      </c>
      <c r="BC1612" s="1">
        <v>0</v>
      </c>
      <c r="BD1612" s="1">
        <v>0</v>
      </c>
      <c r="BE1612" s="1">
        <v>0</v>
      </c>
      <c r="BF1612" s="1">
        <v>0</v>
      </c>
      <c r="BG1612" s="1">
        <v>0</v>
      </c>
      <c r="BH1612" s="1">
        <v>0</v>
      </c>
      <c r="BI1612" s="1">
        <v>0</v>
      </c>
      <c r="BJ1612" s="1">
        <v>0</v>
      </c>
      <c r="BK1612" s="1">
        <v>0</v>
      </c>
      <c r="BL1612" s="1">
        <v>0</v>
      </c>
      <c r="BM1612" s="1">
        <v>0</v>
      </c>
      <c r="BN1612" s="1">
        <v>0</v>
      </c>
      <c r="BO1612" s="1">
        <v>0</v>
      </c>
      <c r="BP1612" s="1">
        <v>0</v>
      </c>
      <c r="BQ1612" s="1" t="s">
        <v>104</v>
      </c>
      <c r="BR1612" s="1">
        <v>1699</v>
      </c>
      <c r="BS1612" s="1" t="s">
        <v>104</v>
      </c>
      <c r="BX1612" s="1">
        <v>1</v>
      </c>
      <c r="BY1612" s="1" t="s">
        <v>104</v>
      </c>
      <c r="BZ1612" s="1" t="s">
        <v>104</v>
      </c>
      <c r="CA1612" s="1">
        <v>5</v>
      </c>
      <c r="CB1612" s="1">
        <v>2</v>
      </c>
      <c r="CC1612" s="1" t="s">
        <v>104</v>
      </c>
      <c r="CD1612" s="1" t="s">
        <v>104</v>
      </c>
      <c r="CE1612" s="1" t="s">
        <v>104</v>
      </c>
      <c r="CF1612" s="1" t="s">
        <v>104</v>
      </c>
      <c r="CG1612" s="1" t="s">
        <v>104</v>
      </c>
      <c r="CH1612" s="1">
        <v>5</v>
      </c>
      <c r="CJ1612" s="1">
        <v>0</v>
      </c>
      <c r="CK1612" s="1">
        <v>0</v>
      </c>
      <c r="CL1612" s="1">
        <v>0</v>
      </c>
      <c r="CM1612" s="1">
        <v>4</v>
      </c>
    </row>
    <row r="1613" spans="1:91" ht="14.25" customHeight="1" x14ac:dyDescent="0.3">
      <c r="A1613" s="1" t="s">
        <v>8943</v>
      </c>
      <c r="B1613" s="1" t="s">
        <v>216</v>
      </c>
      <c r="D1613" s="1" t="s">
        <v>47</v>
      </c>
      <c r="E1613" s="1" t="s">
        <v>8944</v>
      </c>
      <c r="F1613" s="1" t="s">
        <v>95</v>
      </c>
      <c r="G1613" s="1" t="s">
        <v>116</v>
      </c>
      <c r="H1613" s="1">
        <v>0</v>
      </c>
      <c r="I1613" s="1" t="s">
        <v>117</v>
      </c>
      <c r="L1613" s="1" t="s">
        <v>1065</v>
      </c>
      <c r="M1613" s="1" t="s">
        <v>298</v>
      </c>
      <c r="N1613" s="1">
        <v>0</v>
      </c>
      <c r="O1613" s="1">
        <v>0</v>
      </c>
      <c r="P1613" s="1" t="s">
        <v>211</v>
      </c>
      <c r="Q1613" s="1" t="s">
        <v>184</v>
      </c>
      <c r="R1613" s="1" t="s">
        <v>8945</v>
      </c>
      <c r="S1613" s="1" t="s">
        <v>8929</v>
      </c>
      <c r="T1613" s="1">
        <v>1</v>
      </c>
      <c r="U1613" s="1">
        <v>1</v>
      </c>
      <c r="V1613" s="1">
        <v>0</v>
      </c>
      <c r="W1613" s="1">
        <v>0</v>
      </c>
      <c r="X1613" s="1">
        <v>0</v>
      </c>
      <c r="Y1613" s="1">
        <v>4</v>
      </c>
      <c r="Z1613" s="1">
        <v>4</v>
      </c>
      <c r="AA1613" s="1">
        <v>4</v>
      </c>
      <c r="AB1613" s="1" t="s">
        <v>104</v>
      </c>
      <c r="AC1613" s="1" t="s">
        <v>104</v>
      </c>
      <c r="AD1613" s="1" t="s">
        <v>104</v>
      </c>
      <c r="AE1613" s="1" t="s">
        <v>104</v>
      </c>
      <c r="AF1613" s="1" t="s">
        <v>104</v>
      </c>
      <c r="AG1613" s="1" t="s">
        <v>104</v>
      </c>
      <c r="AH1613" s="1">
        <v>4</v>
      </c>
      <c r="AI1613" s="1">
        <v>3</v>
      </c>
      <c r="AJ1613" s="1">
        <v>4</v>
      </c>
      <c r="AK1613" s="1" t="s">
        <v>104</v>
      </c>
      <c r="AL1613" s="1" t="s">
        <v>104</v>
      </c>
      <c r="AM1613" s="1" t="s">
        <v>104</v>
      </c>
      <c r="AO1613" s="1">
        <v>4</v>
      </c>
      <c r="AR1613" s="1">
        <v>0</v>
      </c>
      <c r="AS1613" s="1">
        <v>0</v>
      </c>
      <c r="AT1613" s="1">
        <v>0</v>
      </c>
      <c r="AU1613" s="1">
        <v>0</v>
      </c>
      <c r="AV1613" s="1">
        <v>1</v>
      </c>
      <c r="AW1613" s="1">
        <v>0</v>
      </c>
      <c r="AX1613" s="1">
        <v>0</v>
      </c>
      <c r="AY1613" s="1">
        <v>0</v>
      </c>
      <c r="AZ1613" s="1">
        <v>0</v>
      </c>
      <c r="BA1613" s="1">
        <v>0</v>
      </c>
      <c r="BB1613" s="1">
        <v>0</v>
      </c>
      <c r="BC1613" s="1">
        <v>0</v>
      </c>
      <c r="BD1613" s="1">
        <v>0</v>
      </c>
      <c r="BE1613" s="1">
        <v>0</v>
      </c>
      <c r="BF1613" s="1">
        <v>0</v>
      </c>
      <c r="BG1613" s="1">
        <v>0</v>
      </c>
      <c r="BH1613" s="1">
        <v>0</v>
      </c>
      <c r="BI1613" s="1">
        <v>0</v>
      </c>
      <c r="BJ1613" s="1">
        <v>0</v>
      </c>
      <c r="BK1613" s="1">
        <v>0</v>
      </c>
      <c r="BL1613" s="1">
        <v>0</v>
      </c>
      <c r="BM1613" s="1">
        <v>0</v>
      </c>
      <c r="BN1613" s="1">
        <v>0</v>
      </c>
      <c r="BO1613" s="1">
        <v>0</v>
      </c>
      <c r="BP1613" s="1">
        <v>0</v>
      </c>
      <c r="BQ1613" s="1" t="s">
        <v>104</v>
      </c>
      <c r="BR1613" s="1">
        <v>1700</v>
      </c>
      <c r="BS1613" s="1" t="s">
        <v>104</v>
      </c>
      <c r="BX1613" s="1">
        <v>1</v>
      </c>
      <c r="BY1613" s="1" t="s">
        <v>104</v>
      </c>
      <c r="BZ1613" s="1" t="s">
        <v>104</v>
      </c>
      <c r="CA1613" s="1">
        <v>4</v>
      </c>
      <c r="CB1613" s="1">
        <v>2</v>
      </c>
      <c r="CC1613" s="1">
        <v>3</v>
      </c>
      <c r="CD1613" s="1" t="s">
        <v>104</v>
      </c>
      <c r="CE1613" s="1" t="s">
        <v>104</v>
      </c>
      <c r="CF1613" s="1" t="s">
        <v>104</v>
      </c>
      <c r="CG1613" s="1" t="s">
        <v>104</v>
      </c>
      <c r="CH1613" s="1" t="s">
        <v>104</v>
      </c>
      <c r="CJ1613" s="1">
        <v>0</v>
      </c>
      <c r="CK1613" s="1">
        <v>0</v>
      </c>
      <c r="CL1613" s="1">
        <v>0</v>
      </c>
      <c r="CM1613" s="1" t="s">
        <v>104</v>
      </c>
    </row>
    <row r="1614" spans="1:91" ht="14.25" customHeight="1" x14ac:dyDescent="0.3">
      <c r="A1614" s="1" t="s">
        <v>8946</v>
      </c>
      <c r="B1614" s="1" t="s">
        <v>137</v>
      </c>
      <c r="E1614" s="1" t="s">
        <v>8947</v>
      </c>
      <c r="F1614" s="1" t="s">
        <v>95</v>
      </c>
      <c r="G1614" s="1" t="s">
        <v>116</v>
      </c>
      <c r="H1614" s="1">
        <v>0</v>
      </c>
      <c r="I1614" s="1" t="s">
        <v>128</v>
      </c>
      <c r="L1614" s="1" t="s">
        <v>8948</v>
      </c>
      <c r="M1614" s="1" t="s">
        <v>119</v>
      </c>
      <c r="N1614" s="1">
        <v>0</v>
      </c>
      <c r="O1614" s="1">
        <v>0</v>
      </c>
      <c r="P1614" s="1" t="s">
        <v>375</v>
      </c>
      <c r="Q1614" s="1" t="s">
        <v>131</v>
      </c>
      <c r="R1614" s="1" t="s">
        <v>8949</v>
      </c>
      <c r="S1614" s="1" t="s">
        <v>8929</v>
      </c>
      <c r="T1614" s="1">
        <v>1</v>
      </c>
      <c r="U1614" s="1">
        <v>1</v>
      </c>
      <c r="V1614" s="1">
        <v>0</v>
      </c>
      <c r="W1614" s="1">
        <v>0</v>
      </c>
      <c r="X1614" s="1">
        <v>0</v>
      </c>
      <c r="Y1614" s="1">
        <v>3</v>
      </c>
      <c r="Z1614" s="1">
        <v>3</v>
      </c>
      <c r="AA1614" s="1">
        <v>3</v>
      </c>
      <c r="AB1614" s="1" t="s">
        <v>104</v>
      </c>
      <c r="AC1614" s="1" t="s">
        <v>104</v>
      </c>
      <c r="AD1614" s="1">
        <v>3</v>
      </c>
      <c r="AE1614" s="1" t="s">
        <v>104</v>
      </c>
      <c r="AF1614" s="1" t="s">
        <v>104</v>
      </c>
      <c r="AG1614" s="1" t="s">
        <v>104</v>
      </c>
      <c r="AH1614" s="1">
        <v>3</v>
      </c>
      <c r="AI1614" s="1" t="s">
        <v>104</v>
      </c>
      <c r="AJ1614" s="1">
        <v>3</v>
      </c>
      <c r="AK1614" s="1" t="s">
        <v>104</v>
      </c>
      <c r="AL1614" s="1" t="s">
        <v>104</v>
      </c>
      <c r="AM1614" s="1" t="s">
        <v>104</v>
      </c>
      <c r="AO1614" s="1">
        <v>3</v>
      </c>
      <c r="AR1614" s="1">
        <v>0</v>
      </c>
      <c r="AS1614" s="1">
        <v>0</v>
      </c>
      <c r="AT1614" s="1">
        <v>0</v>
      </c>
      <c r="AU1614" s="1">
        <v>0</v>
      </c>
      <c r="AV1614" s="1">
        <v>0</v>
      </c>
      <c r="AW1614" s="1">
        <v>0</v>
      </c>
      <c r="AX1614" s="1">
        <v>0</v>
      </c>
      <c r="AY1614" s="1">
        <v>0</v>
      </c>
      <c r="AZ1614" s="1">
        <v>0</v>
      </c>
      <c r="BA1614" s="1">
        <v>0</v>
      </c>
      <c r="BB1614" s="1">
        <v>0</v>
      </c>
      <c r="BC1614" s="1">
        <v>0</v>
      </c>
      <c r="BD1614" s="1">
        <v>0</v>
      </c>
      <c r="BE1614" s="1">
        <v>0</v>
      </c>
      <c r="BF1614" s="1">
        <v>0</v>
      </c>
      <c r="BG1614" s="1">
        <v>0</v>
      </c>
      <c r="BH1614" s="1">
        <v>0</v>
      </c>
      <c r="BI1614" s="1">
        <v>0</v>
      </c>
      <c r="BJ1614" s="1">
        <v>0</v>
      </c>
      <c r="BK1614" s="1">
        <v>0</v>
      </c>
      <c r="BL1614" s="1">
        <v>0</v>
      </c>
      <c r="BM1614" s="1">
        <v>0</v>
      </c>
      <c r="BN1614" s="1">
        <v>0</v>
      </c>
      <c r="BO1614" s="1">
        <v>0</v>
      </c>
      <c r="BP1614" s="1">
        <v>0</v>
      </c>
      <c r="BQ1614" s="1" t="s">
        <v>104</v>
      </c>
      <c r="BR1614" s="1">
        <v>1701</v>
      </c>
      <c r="BS1614" s="1" t="s">
        <v>104</v>
      </c>
      <c r="BX1614" s="1">
        <v>1</v>
      </c>
      <c r="BY1614" s="1" t="s">
        <v>104</v>
      </c>
      <c r="BZ1614" s="1" t="s">
        <v>104</v>
      </c>
      <c r="CA1614" s="1">
        <v>3</v>
      </c>
      <c r="CB1614" s="1">
        <v>2</v>
      </c>
      <c r="CC1614" s="1" t="s">
        <v>104</v>
      </c>
      <c r="CD1614" s="1" t="s">
        <v>104</v>
      </c>
      <c r="CE1614" s="1" t="s">
        <v>104</v>
      </c>
      <c r="CF1614" s="1" t="s">
        <v>104</v>
      </c>
      <c r="CG1614" s="1" t="s">
        <v>104</v>
      </c>
      <c r="CH1614" s="1" t="s">
        <v>104</v>
      </c>
      <c r="CJ1614" s="1">
        <v>0</v>
      </c>
      <c r="CK1614" s="1">
        <v>0</v>
      </c>
      <c r="CL1614" s="1">
        <v>0</v>
      </c>
      <c r="CM1614" s="1" t="s">
        <v>104</v>
      </c>
    </row>
    <row r="1615" spans="1:91" ht="14.25" customHeight="1" x14ac:dyDescent="0.3">
      <c r="A1615" s="1" t="s">
        <v>8950</v>
      </c>
      <c r="B1615" s="1" t="s">
        <v>137</v>
      </c>
      <c r="E1615" s="1" t="s">
        <v>8951</v>
      </c>
      <c r="F1615" s="1" t="s">
        <v>95</v>
      </c>
      <c r="G1615" s="1" t="s">
        <v>116</v>
      </c>
      <c r="H1615" s="1">
        <v>0</v>
      </c>
      <c r="I1615" s="1" t="s">
        <v>117</v>
      </c>
      <c r="L1615" s="1" t="s">
        <v>8927</v>
      </c>
      <c r="M1615" s="1" t="s">
        <v>2330</v>
      </c>
      <c r="N1615" s="1">
        <v>0</v>
      </c>
      <c r="O1615" s="1">
        <v>0</v>
      </c>
      <c r="P1615" s="1" t="s">
        <v>375</v>
      </c>
      <c r="Q1615" s="1" t="s">
        <v>131</v>
      </c>
      <c r="R1615" s="1" t="s">
        <v>8952</v>
      </c>
      <c r="S1615" s="1" t="s">
        <v>8929</v>
      </c>
      <c r="T1615" s="1">
        <v>1</v>
      </c>
      <c r="U1615" s="1">
        <v>1</v>
      </c>
      <c r="V1615" s="1">
        <v>0</v>
      </c>
      <c r="W1615" s="1">
        <v>0</v>
      </c>
      <c r="X1615" s="1">
        <v>0</v>
      </c>
      <c r="Y1615" s="1">
        <v>3</v>
      </c>
      <c r="Z1615" s="1">
        <v>3</v>
      </c>
      <c r="AA1615" s="1">
        <v>3</v>
      </c>
      <c r="AB1615" s="1">
        <v>3</v>
      </c>
      <c r="AC1615" s="1" t="s">
        <v>104</v>
      </c>
      <c r="AD1615" s="1">
        <v>2</v>
      </c>
      <c r="AE1615" s="1" t="s">
        <v>104</v>
      </c>
      <c r="AF1615" s="1" t="s">
        <v>104</v>
      </c>
      <c r="AG1615" s="1">
        <v>2</v>
      </c>
      <c r="AH1615" s="1">
        <v>3</v>
      </c>
      <c r="AI1615" s="1" t="s">
        <v>104</v>
      </c>
      <c r="AJ1615" s="1">
        <v>3</v>
      </c>
      <c r="AK1615" s="1" t="s">
        <v>104</v>
      </c>
      <c r="AL1615" s="1" t="s">
        <v>104</v>
      </c>
      <c r="AM1615" s="1" t="s">
        <v>104</v>
      </c>
      <c r="AO1615" s="1">
        <v>3</v>
      </c>
      <c r="AR1615" s="1">
        <v>0</v>
      </c>
      <c r="AS1615" s="1">
        <v>0</v>
      </c>
      <c r="AT1615" s="1">
        <v>0</v>
      </c>
      <c r="AU1615" s="1">
        <v>0</v>
      </c>
      <c r="AV1615" s="1">
        <v>0</v>
      </c>
      <c r="AW1615" s="1">
        <v>0</v>
      </c>
      <c r="AX1615" s="1">
        <v>0</v>
      </c>
      <c r="AY1615" s="1">
        <v>0</v>
      </c>
      <c r="AZ1615" s="1">
        <v>0</v>
      </c>
      <c r="BA1615" s="1">
        <v>0</v>
      </c>
      <c r="BB1615" s="1">
        <v>0</v>
      </c>
      <c r="BC1615" s="1">
        <v>0</v>
      </c>
      <c r="BD1615" s="1">
        <v>0</v>
      </c>
      <c r="BE1615" s="1">
        <v>0</v>
      </c>
      <c r="BF1615" s="1">
        <v>0</v>
      </c>
      <c r="BG1615" s="1">
        <v>0</v>
      </c>
      <c r="BH1615" s="1">
        <v>0</v>
      </c>
      <c r="BI1615" s="1">
        <v>0</v>
      </c>
      <c r="BJ1615" s="1">
        <v>0</v>
      </c>
      <c r="BK1615" s="1">
        <v>0</v>
      </c>
      <c r="BL1615" s="1">
        <v>0</v>
      </c>
      <c r="BM1615" s="1">
        <v>0</v>
      </c>
      <c r="BN1615" s="1">
        <v>0</v>
      </c>
      <c r="BO1615" s="1">
        <v>0</v>
      </c>
      <c r="BP1615" s="1">
        <v>0</v>
      </c>
      <c r="BQ1615" s="1" t="s">
        <v>104</v>
      </c>
      <c r="BR1615" s="1">
        <v>1702</v>
      </c>
      <c r="BS1615" s="1" t="s">
        <v>104</v>
      </c>
      <c r="BX1615" s="1">
        <v>1</v>
      </c>
      <c r="BY1615" s="1" t="s">
        <v>104</v>
      </c>
      <c r="BZ1615" s="1" t="s">
        <v>104</v>
      </c>
      <c r="CA1615" s="1">
        <v>3</v>
      </c>
      <c r="CB1615" s="1">
        <v>1</v>
      </c>
      <c r="CC1615" s="1" t="s">
        <v>104</v>
      </c>
      <c r="CD1615" s="1" t="s">
        <v>104</v>
      </c>
      <c r="CE1615" s="1" t="s">
        <v>104</v>
      </c>
      <c r="CF1615" s="1" t="s">
        <v>104</v>
      </c>
      <c r="CG1615" s="1" t="s">
        <v>104</v>
      </c>
      <c r="CH1615" s="1">
        <v>3</v>
      </c>
      <c r="CJ1615" s="1">
        <v>0</v>
      </c>
      <c r="CK1615" s="1">
        <v>0</v>
      </c>
      <c r="CL1615" s="1">
        <v>0</v>
      </c>
      <c r="CM1615" s="1">
        <v>2</v>
      </c>
    </row>
    <row r="1616" spans="1:91" ht="14.25" customHeight="1" x14ac:dyDescent="0.3">
      <c r="A1616" s="1" t="s">
        <v>8953</v>
      </c>
      <c r="B1616" s="1" t="s">
        <v>216</v>
      </c>
      <c r="E1616" s="1" t="s">
        <v>8954</v>
      </c>
      <c r="F1616" s="1" t="s">
        <v>95</v>
      </c>
      <c r="G1616" s="1" t="s">
        <v>116</v>
      </c>
      <c r="H1616" s="1">
        <v>0</v>
      </c>
      <c r="I1616" s="1" t="s">
        <v>117</v>
      </c>
      <c r="L1616" s="1" t="s">
        <v>8933</v>
      </c>
      <c r="M1616" s="1" t="s">
        <v>119</v>
      </c>
      <c r="N1616" s="1">
        <v>0</v>
      </c>
      <c r="O1616" s="1">
        <v>0</v>
      </c>
      <c r="P1616" s="1" t="s">
        <v>211</v>
      </c>
      <c r="Q1616" s="1" t="s">
        <v>184</v>
      </c>
      <c r="R1616" s="1" t="s">
        <v>8955</v>
      </c>
      <c r="S1616" s="1" t="s">
        <v>8929</v>
      </c>
      <c r="T1616" s="1">
        <v>1</v>
      </c>
      <c r="U1616" s="1">
        <v>1</v>
      </c>
      <c r="V1616" s="1">
        <v>0</v>
      </c>
      <c r="W1616" s="1">
        <v>0</v>
      </c>
      <c r="X1616" s="1">
        <v>0</v>
      </c>
      <c r="Y1616" s="1">
        <v>5</v>
      </c>
      <c r="Z1616" s="1">
        <v>5</v>
      </c>
      <c r="AA1616" s="1">
        <v>5</v>
      </c>
      <c r="AB1616" s="1" t="s">
        <v>104</v>
      </c>
      <c r="AC1616" s="1" t="s">
        <v>104</v>
      </c>
      <c r="AD1616" s="1" t="s">
        <v>104</v>
      </c>
      <c r="AE1616" s="1" t="s">
        <v>104</v>
      </c>
      <c r="AF1616" s="1" t="s">
        <v>104</v>
      </c>
      <c r="AG1616" s="1" t="s">
        <v>104</v>
      </c>
      <c r="AH1616" s="1">
        <v>5</v>
      </c>
      <c r="AI1616" s="1" t="s">
        <v>104</v>
      </c>
      <c r="AJ1616" s="1">
        <v>5</v>
      </c>
      <c r="AK1616" s="1" t="s">
        <v>104</v>
      </c>
      <c r="AL1616" s="1" t="s">
        <v>104</v>
      </c>
      <c r="AM1616" s="1" t="s">
        <v>104</v>
      </c>
      <c r="AO1616" s="1">
        <v>5</v>
      </c>
      <c r="AR1616" s="1">
        <v>0</v>
      </c>
      <c r="AS1616" s="1">
        <v>0</v>
      </c>
      <c r="AT1616" s="1">
        <v>0</v>
      </c>
      <c r="AU1616" s="1">
        <v>0</v>
      </c>
      <c r="AV1616" s="1">
        <v>0</v>
      </c>
      <c r="AW1616" s="1">
        <v>0</v>
      </c>
      <c r="AX1616" s="1">
        <v>0</v>
      </c>
      <c r="AY1616" s="1">
        <v>0</v>
      </c>
      <c r="AZ1616" s="1">
        <v>0</v>
      </c>
      <c r="BA1616" s="1">
        <v>0</v>
      </c>
      <c r="BB1616" s="1">
        <v>0</v>
      </c>
      <c r="BC1616" s="1">
        <v>0</v>
      </c>
      <c r="BD1616" s="1">
        <v>0</v>
      </c>
      <c r="BE1616" s="1">
        <v>0</v>
      </c>
      <c r="BF1616" s="1">
        <v>0</v>
      </c>
      <c r="BG1616" s="1">
        <v>0</v>
      </c>
      <c r="BH1616" s="1">
        <v>0</v>
      </c>
      <c r="BI1616" s="1">
        <v>0</v>
      </c>
      <c r="BJ1616" s="1">
        <v>0</v>
      </c>
      <c r="BK1616" s="1">
        <v>0</v>
      </c>
      <c r="BL1616" s="1">
        <v>0</v>
      </c>
      <c r="BM1616" s="1">
        <v>0</v>
      </c>
      <c r="BN1616" s="1">
        <v>0</v>
      </c>
      <c r="BO1616" s="1">
        <v>0</v>
      </c>
      <c r="BP1616" s="1">
        <v>0</v>
      </c>
      <c r="BQ1616" s="1" t="s">
        <v>104</v>
      </c>
      <c r="BR1616" s="1">
        <v>1703</v>
      </c>
      <c r="BS1616" s="1" t="s">
        <v>104</v>
      </c>
      <c r="BX1616" s="1">
        <v>1</v>
      </c>
      <c r="BY1616" s="1" t="s">
        <v>104</v>
      </c>
      <c r="BZ1616" s="1" t="s">
        <v>104</v>
      </c>
      <c r="CA1616" s="1">
        <v>5</v>
      </c>
      <c r="CB1616" s="1" t="s">
        <v>104</v>
      </c>
      <c r="CC1616" s="1">
        <v>4</v>
      </c>
      <c r="CD1616" s="1" t="s">
        <v>104</v>
      </c>
      <c r="CE1616" s="1" t="s">
        <v>104</v>
      </c>
      <c r="CF1616" s="1" t="s">
        <v>104</v>
      </c>
      <c r="CG1616" s="1" t="s">
        <v>104</v>
      </c>
      <c r="CH1616" s="1" t="s">
        <v>104</v>
      </c>
      <c r="CJ1616" s="1">
        <v>0</v>
      </c>
      <c r="CK1616" s="1">
        <v>0</v>
      </c>
      <c r="CL1616" s="1">
        <v>0</v>
      </c>
      <c r="CM1616" s="1" t="s">
        <v>104</v>
      </c>
    </row>
    <row r="1617" spans="1:91" ht="14.25" customHeight="1" x14ac:dyDescent="0.3">
      <c r="A1617" s="1" t="s">
        <v>8956</v>
      </c>
      <c r="B1617" s="1" t="s">
        <v>137</v>
      </c>
      <c r="E1617" s="1" t="s">
        <v>8957</v>
      </c>
      <c r="F1617" s="1" t="s">
        <v>273</v>
      </c>
      <c r="G1617" s="1" t="s">
        <v>8958</v>
      </c>
      <c r="H1617" s="1">
        <v>1</v>
      </c>
      <c r="I1617" s="1" t="s">
        <v>8959</v>
      </c>
      <c r="J1617" s="1" t="s">
        <v>8960</v>
      </c>
      <c r="M1617" s="1" t="s">
        <v>8961</v>
      </c>
      <c r="N1617" s="1">
        <v>0</v>
      </c>
      <c r="O1617" s="1">
        <v>0</v>
      </c>
      <c r="P1617" s="1" t="s">
        <v>100</v>
      </c>
      <c r="Q1617" s="1" t="s">
        <v>101</v>
      </c>
      <c r="R1617" s="1" t="s">
        <v>8962</v>
      </c>
      <c r="S1617" s="1" t="s">
        <v>8929</v>
      </c>
      <c r="T1617" s="1">
        <v>1</v>
      </c>
      <c r="U1617" s="1">
        <v>1</v>
      </c>
      <c r="V1617" s="1">
        <v>1</v>
      </c>
      <c r="W1617" s="1">
        <v>0</v>
      </c>
      <c r="X1617" s="1">
        <v>0</v>
      </c>
      <c r="Y1617" s="1">
        <v>7</v>
      </c>
      <c r="Z1617" s="1">
        <v>7</v>
      </c>
      <c r="AA1617" s="1">
        <v>7</v>
      </c>
      <c r="AB1617" s="1">
        <v>6</v>
      </c>
      <c r="AC1617" s="1" t="s">
        <v>104</v>
      </c>
      <c r="AD1617" s="1" t="s">
        <v>104</v>
      </c>
      <c r="AE1617" s="1" t="s">
        <v>104</v>
      </c>
      <c r="AF1617" s="1" t="s">
        <v>104</v>
      </c>
      <c r="AG1617" s="1" t="s">
        <v>104</v>
      </c>
      <c r="AH1617" s="1">
        <v>7</v>
      </c>
      <c r="AI1617" s="1" t="s">
        <v>104</v>
      </c>
      <c r="AJ1617" s="1">
        <v>7</v>
      </c>
      <c r="AK1617" s="1" t="s">
        <v>104</v>
      </c>
      <c r="AL1617" s="1" t="s">
        <v>104</v>
      </c>
      <c r="AM1617" s="1" t="s">
        <v>104</v>
      </c>
      <c r="AO1617" s="1">
        <v>7</v>
      </c>
      <c r="AR1617" s="1">
        <v>0</v>
      </c>
      <c r="AS1617" s="1">
        <v>0</v>
      </c>
      <c r="AT1617" s="1">
        <v>0</v>
      </c>
      <c r="AU1617" s="1">
        <v>0</v>
      </c>
      <c r="AV1617" s="1">
        <v>0</v>
      </c>
      <c r="AW1617" s="1">
        <v>0</v>
      </c>
      <c r="AX1617" s="1">
        <v>0</v>
      </c>
      <c r="AY1617" s="1">
        <v>0</v>
      </c>
      <c r="AZ1617" s="1">
        <v>0</v>
      </c>
      <c r="BA1617" s="1">
        <v>0</v>
      </c>
      <c r="BB1617" s="1">
        <v>0</v>
      </c>
      <c r="BC1617" s="1">
        <v>0</v>
      </c>
      <c r="BD1617" s="1">
        <v>0</v>
      </c>
      <c r="BE1617" s="1">
        <v>0</v>
      </c>
      <c r="BF1617" s="1">
        <v>0</v>
      </c>
      <c r="BG1617" s="1">
        <v>0</v>
      </c>
      <c r="BH1617" s="1">
        <v>0</v>
      </c>
      <c r="BI1617" s="1">
        <v>0</v>
      </c>
      <c r="BJ1617" s="1">
        <v>0</v>
      </c>
      <c r="BK1617" s="1">
        <v>0</v>
      </c>
      <c r="BL1617" s="1">
        <v>0</v>
      </c>
      <c r="BM1617" s="1">
        <v>0</v>
      </c>
      <c r="BN1617" s="1">
        <v>0</v>
      </c>
      <c r="BO1617" s="1">
        <v>0</v>
      </c>
      <c r="BP1617" s="1">
        <v>0</v>
      </c>
      <c r="BQ1617" s="1" t="s">
        <v>104</v>
      </c>
      <c r="BR1617" s="1">
        <v>1704</v>
      </c>
      <c r="BS1617" s="1">
        <v>10000</v>
      </c>
      <c r="BX1617" s="1">
        <v>1</v>
      </c>
      <c r="BY1617" s="1" t="s">
        <v>104</v>
      </c>
      <c r="BZ1617" s="1" t="s">
        <v>104</v>
      </c>
      <c r="CA1617" s="1">
        <v>7</v>
      </c>
      <c r="CB1617" s="1" t="s">
        <v>104</v>
      </c>
      <c r="CC1617" s="1" t="s">
        <v>104</v>
      </c>
      <c r="CD1617" s="1" t="s">
        <v>104</v>
      </c>
      <c r="CE1617" s="1" t="s">
        <v>104</v>
      </c>
      <c r="CF1617" s="1" t="s">
        <v>104</v>
      </c>
      <c r="CG1617" s="1" t="s">
        <v>104</v>
      </c>
      <c r="CH1617" s="1">
        <v>6</v>
      </c>
      <c r="CJ1617" s="1">
        <v>0</v>
      </c>
      <c r="CK1617" s="1">
        <v>0</v>
      </c>
      <c r="CL1617" s="1">
        <v>0</v>
      </c>
      <c r="CM1617" s="1" t="s">
        <v>104</v>
      </c>
    </row>
    <row r="1618" spans="1:91" ht="14.25" customHeight="1" x14ac:dyDescent="0.3">
      <c r="A1618" s="1" t="s">
        <v>8963</v>
      </c>
      <c r="B1618" s="1" t="s">
        <v>123</v>
      </c>
      <c r="C1618" s="1" t="s">
        <v>124</v>
      </c>
      <c r="D1618" s="1" t="s">
        <v>125</v>
      </c>
      <c r="E1618" s="1" t="s">
        <v>8964</v>
      </c>
      <c r="F1618" s="1" t="s">
        <v>95</v>
      </c>
      <c r="G1618" s="1" t="s">
        <v>116</v>
      </c>
      <c r="H1618" s="1">
        <v>0</v>
      </c>
      <c r="I1618" s="1" t="s">
        <v>117</v>
      </c>
      <c r="L1618" s="1" t="s">
        <v>541</v>
      </c>
      <c r="M1618" s="1" t="s">
        <v>426</v>
      </c>
      <c r="N1618" s="1">
        <v>1</v>
      </c>
      <c r="O1618" s="1">
        <v>0</v>
      </c>
      <c r="P1618" s="1" t="s">
        <v>211</v>
      </c>
      <c r="Q1618" s="1" t="s">
        <v>184</v>
      </c>
      <c r="R1618" s="1" t="s">
        <v>8965</v>
      </c>
      <c r="S1618" s="1" t="s">
        <v>8966</v>
      </c>
      <c r="T1618" s="1">
        <v>1</v>
      </c>
      <c r="U1618" s="1">
        <v>1</v>
      </c>
      <c r="V1618" s="1">
        <v>0</v>
      </c>
      <c r="W1618" s="1">
        <v>0</v>
      </c>
      <c r="X1618" s="1">
        <v>0</v>
      </c>
      <c r="Y1618" s="1">
        <v>4</v>
      </c>
      <c r="Z1618" s="1">
        <v>4</v>
      </c>
      <c r="AA1618" s="1" t="s">
        <v>104</v>
      </c>
      <c r="AB1618" s="1" t="s">
        <v>104</v>
      </c>
      <c r="AC1618" s="1" t="s">
        <v>104</v>
      </c>
      <c r="AD1618" s="1">
        <v>3</v>
      </c>
      <c r="AE1618" s="1" t="s">
        <v>104</v>
      </c>
      <c r="AF1618" s="1" t="s">
        <v>104</v>
      </c>
      <c r="AG1618" s="1" t="s">
        <v>104</v>
      </c>
      <c r="AH1618" s="1" t="s">
        <v>104</v>
      </c>
      <c r="AI1618" s="1">
        <v>3</v>
      </c>
      <c r="AJ1618" s="1" t="s">
        <v>104</v>
      </c>
      <c r="AK1618" s="1" t="s">
        <v>104</v>
      </c>
      <c r="AL1618" s="1" t="s">
        <v>104</v>
      </c>
      <c r="AM1618" s="1" t="s">
        <v>104</v>
      </c>
      <c r="AO1618" s="1">
        <v>4</v>
      </c>
      <c r="AR1618" s="1">
        <v>0</v>
      </c>
      <c r="AS1618" s="1">
        <v>0</v>
      </c>
      <c r="AT1618" s="1">
        <v>0</v>
      </c>
      <c r="AU1618" s="1">
        <v>0</v>
      </c>
      <c r="AV1618" s="1">
        <v>0</v>
      </c>
      <c r="AW1618" s="1">
        <v>0</v>
      </c>
      <c r="AX1618" s="1">
        <v>0</v>
      </c>
      <c r="AY1618" s="1">
        <v>0</v>
      </c>
      <c r="AZ1618" s="1">
        <v>0</v>
      </c>
      <c r="BA1618" s="1">
        <v>0</v>
      </c>
      <c r="BB1618" s="1">
        <v>0</v>
      </c>
      <c r="BC1618" s="1">
        <v>0</v>
      </c>
      <c r="BD1618" s="1">
        <v>0</v>
      </c>
      <c r="BE1618" s="1">
        <v>0</v>
      </c>
      <c r="BF1618" s="1">
        <v>0</v>
      </c>
      <c r="BG1618" s="1">
        <v>0</v>
      </c>
      <c r="BH1618" s="1">
        <v>0</v>
      </c>
      <c r="BI1618" s="1">
        <v>0</v>
      </c>
      <c r="BJ1618" s="1">
        <v>0</v>
      </c>
      <c r="BK1618" s="1">
        <v>1</v>
      </c>
      <c r="BL1618" s="1">
        <v>0</v>
      </c>
      <c r="BM1618" s="1">
        <v>0</v>
      </c>
      <c r="BN1618" s="1">
        <v>0</v>
      </c>
      <c r="BO1618" s="1">
        <v>0</v>
      </c>
      <c r="BP1618" s="1">
        <v>0</v>
      </c>
      <c r="BQ1618" s="1" t="s">
        <v>104</v>
      </c>
      <c r="BR1618" s="1">
        <v>1705</v>
      </c>
      <c r="BS1618" s="1" t="s">
        <v>104</v>
      </c>
      <c r="BX1618" s="1">
        <v>0</v>
      </c>
      <c r="BY1618" s="1" t="s">
        <v>104</v>
      </c>
      <c r="BZ1618" s="1" t="s">
        <v>104</v>
      </c>
      <c r="CA1618" s="1" t="s">
        <v>104</v>
      </c>
      <c r="CB1618" s="1" t="s">
        <v>104</v>
      </c>
      <c r="CC1618" s="1" t="s">
        <v>104</v>
      </c>
      <c r="CD1618" s="1" t="s">
        <v>104</v>
      </c>
      <c r="CE1618" s="1" t="s">
        <v>104</v>
      </c>
      <c r="CF1618" s="1" t="s">
        <v>104</v>
      </c>
      <c r="CG1618" s="1" t="s">
        <v>104</v>
      </c>
      <c r="CH1618" s="1" t="s">
        <v>104</v>
      </c>
      <c r="CJ1618" s="1">
        <v>0</v>
      </c>
      <c r="CK1618" s="1">
        <v>0</v>
      </c>
      <c r="CL1618" s="1">
        <v>0</v>
      </c>
      <c r="CM1618" s="1" t="s">
        <v>104</v>
      </c>
    </row>
    <row r="1619" spans="1:91" ht="14.25" customHeight="1" x14ac:dyDescent="0.3">
      <c r="A1619" s="1" t="s">
        <v>8967</v>
      </c>
      <c r="B1619" s="1" t="s">
        <v>137</v>
      </c>
      <c r="D1619" s="1" t="s">
        <v>64</v>
      </c>
      <c r="E1619" s="1" t="s">
        <v>8968</v>
      </c>
      <c r="F1619" s="1" t="s">
        <v>95</v>
      </c>
      <c r="G1619" s="1" t="s">
        <v>116</v>
      </c>
      <c r="H1619" s="1">
        <v>0</v>
      </c>
      <c r="I1619" s="1" t="s">
        <v>128</v>
      </c>
      <c r="L1619" s="1" t="s">
        <v>374</v>
      </c>
      <c r="M1619" s="1" t="s">
        <v>426</v>
      </c>
      <c r="N1619" s="1">
        <v>1</v>
      </c>
      <c r="O1619" s="1">
        <v>0</v>
      </c>
      <c r="P1619" s="1" t="s">
        <v>183</v>
      </c>
      <c r="Q1619" s="1" t="s">
        <v>184</v>
      </c>
      <c r="R1619" s="1" t="s">
        <v>8969</v>
      </c>
      <c r="S1619" s="1" t="s">
        <v>8966</v>
      </c>
      <c r="T1619" s="1">
        <v>1</v>
      </c>
      <c r="U1619" s="1">
        <v>1</v>
      </c>
      <c r="V1619" s="1">
        <v>0</v>
      </c>
      <c r="W1619" s="1">
        <v>0</v>
      </c>
      <c r="X1619" s="1">
        <v>0</v>
      </c>
      <c r="Y1619" s="1">
        <v>4</v>
      </c>
      <c r="Z1619" s="1">
        <v>4</v>
      </c>
      <c r="AA1619" s="1">
        <v>4</v>
      </c>
      <c r="AB1619" s="1">
        <v>4</v>
      </c>
      <c r="AC1619" s="1">
        <v>3</v>
      </c>
      <c r="AD1619" s="1" t="s">
        <v>104</v>
      </c>
      <c r="AE1619" s="1" t="s">
        <v>104</v>
      </c>
      <c r="AF1619" s="1" t="s">
        <v>104</v>
      </c>
      <c r="AG1619" s="1" t="s">
        <v>104</v>
      </c>
      <c r="AH1619" s="1" t="s">
        <v>104</v>
      </c>
      <c r="AI1619" s="1" t="s">
        <v>104</v>
      </c>
      <c r="AJ1619" s="1">
        <v>4</v>
      </c>
      <c r="AK1619" s="1" t="s">
        <v>104</v>
      </c>
      <c r="AL1619" s="1" t="s">
        <v>104</v>
      </c>
      <c r="AM1619" s="1" t="s">
        <v>104</v>
      </c>
      <c r="AO1619" s="1">
        <v>4</v>
      </c>
      <c r="AR1619" s="1">
        <v>0</v>
      </c>
      <c r="AS1619" s="1">
        <v>0</v>
      </c>
      <c r="AT1619" s="1">
        <v>0</v>
      </c>
      <c r="AU1619" s="1">
        <v>0</v>
      </c>
      <c r="AV1619" s="1">
        <v>0</v>
      </c>
      <c r="AW1619" s="1">
        <v>0</v>
      </c>
      <c r="AX1619" s="1">
        <v>0</v>
      </c>
      <c r="AY1619" s="1">
        <v>0</v>
      </c>
      <c r="AZ1619" s="1">
        <v>0</v>
      </c>
      <c r="BA1619" s="1">
        <v>0</v>
      </c>
      <c r="BB1619" s="1">
        <v>0</v>
      </c>
      <c r="BC1619" s="1">
        <v>0</v>
      </c>
      <c r="BD1619" s="1">
        <v>0</v>
      </c>
      <c r="BE1619" s="1">
        <v>0</v>
      </c>
      <c r="BF1619" s="1">
        <v>0</v>
      </c>
      <c r="BG1619" s="1">
        <v>0</v>
      </c>
      <c r="BH1619" s="1">
        <v>0</v>
      </c>
      <c r="BI1619" s="1">
        <v>0</v>
      </c>
      <c r="BJ1619" s="1">
        <v>0</v>
      </c>
      <c r="BK1619" s="1">
        <v>0</v>
      </c>
      <c r="BL1619" s="1">
        <v>0</v>
      </c>
      <c r="BM1619" s="1">
        <v>1</v>
      </c>
      <c r="BN1619" s="1">
        <v>0</v>
      </c>
      <c r="BO1619" s="1">
        <v>0</v>
      </c>
      <c r="BP1619" s="1">
        <v>0</v>
      </c>
      <c r="BQ1619" s="1" t="s">
        <v>104</v>
      </c>
      <c r="BR1619" s="1">
        <v>1706</v>
      </c>
      <c r="BS1619" s="1" t="s">
        <v>104</v>
      </c>
      <c r="BX1619" s="1">
        <v>0</v>
      </c>
      <c r="BY1619" s="1" t="s">
        <v>104</v>
      </c>
      <c r="BZ1619" s="1" t="s">
        <v>104</v>
      </c>
      <c r="CA1619" s="1" t="s">
        <v>104</v>
      </c>
      <c r="CB1619" s="1" t="s">
        <v>104</v>
      </c>
      <c r="CC1619" s="1" t="s">
        <v>104</v>
      </c>
      <c r="CD1619" s="1" t="s">
        <v>104</v>
      </c>
      <c r="CE1619" s="1" t="s">
        <v>104</v>
      </c>
      <c r="CF1619" s="1" t="s">
        <v>104</v>
      </c>
      <c r="CG1619" s="1" t="s">
        <v>104</v>
      </c>
      <c r="CH1619" s="1">
        <v>3</v>
      </c>
      <c r="CJ1619" s="1">
        <v>0</v>
      </c>
      <c r="CK1619" s="1">
        <v>0</v>
      </c>
      <c r="CL1619" s="1">
        <v>0</v>
      </c>
      <c r="CM1619" s="1" t="s">
        <v>104</v>
      </c>
    </row>
    <row r="1620" spans="1:91" ht="14.25" customHeight="1" x14ac:dyDescent="0.3">
      <c r="A1620" s="1" t="s">
        <v>8970</v>
      </c>
      <c r="B1620" s="1" t="s">
        <v>434</v>
      </c>
      <c r="D1620" s="1" t="s">
        <v>52</v>
      </c>
      <c r="E1620" s="1" t="s">
        <v>8971</v>
      </c>
      <c r="F1620" s="1" t="s">
        <v>95</v>
      </c>
      <c r="G1620" s="1" t="s">
        <v>116</v>
      </c>
      <c r="H1620" s="1">
        <v>0</v>
      </c>
      <c r="I1620" s="1" t="s">
        <v>157</v>
      </c>
      <c r="J1620" s="1" t="s">
        <v>8972</v>
      </c>
      <c r="M1620" s="1" t="s">
        <v>426</v>
      </c>
      <c r="N1620" s="1">
        <v>1</v>
      </c>
      <c r="O1620" s="1">
        <v>0</v>
      </c>
      <c r="P1620" s="1" t="s">
        <v>1058</v>
      </c>
      <c r="Q1620" s="1" t="s">
        <v>184</v>
      </c>
      <c r="R1620" s="1" t="s">
        <v>8973</v>
      </c>
      <c r="S1620" s="1" t="s">
        <v>8966</v>
      </c>
      <c r="T1620" s="1">
        <v>1</v>
      </c>
      <c r="U1620" s="1">
        <v>1</v>
      </c>
      <c r="V1620" s="1">
        <v>0</v>
      </c>
      <c r="W1620" s="1">
        <v>0</v>
      </c>
      <c r="X1620" s="1">
        <v>0</v>
      </c>
      <c r="Y1620" s="1" t="s">
        <v>104</v>
      </c>
      <c r="Z1620" s="1" t="s">
        <v>104</v>
      </c>
      <c r="AA1620" s="1">
        <v>3</v>
      </c>
      <c r="AB1620" s="1" t="s">
        <v>104</v>
      </c>
      <c r="AC1620" s="1">
        <v>2</v>
      </c>
      <c r="AD1620" s="1" t="s">
        <v>104</v>
      </c>
      <c r="AE1620" s="1" t="s">
        <v>104</v>
      </c>
      <c r="AF1620" s="1" t="s">
        <v>104</v>
      </c>
      <c r="AG1620" s="1" t="s">
        <v>104</v>
      </c>
      <c r="AH1620" s="1">
        <v>3</v>
      </c>
      <c r="AI1620" s="1">
        <v>3</v>
      </c>
      <c r="AJ1620" s="1">
        <v>3</v>
      </c>
      <c r="AK1620" s="1" t="s">
        <v>104</v>
      </c>
      <c r="AL1620" s="1" t="s">
        <v>104</v>
      </c>
      <c r="AM1620" s="1" t="s">
        <v>104</v>
      </c>
      <c r="AO1620" s="1">
        <v>3</v>
      </c>
      <c r="AR1620" s="1">
        <v>0</v>
      </c>
      <c r="AS1620" s="1">
        <v>0</v>
      </c>
      <c r="AT1620" s="1">
        <v>0</v>
      </c>
      <c r="AU1620" s="1">
        <v>0</v>
      </c>
      <c r="AV1620" s="1">
        <v>0</v>
      </c>
      <c r="AW1620" s="1">
        <v>0</v>
      </c>
      <c r="AX1620" s="1">
        <v>0</v>
      </c>
      <c r="AY1620" s="1">
        <v>0</v>
      </c>
      <c r="AZ1620" s="1">
        <v>0</v>
      </c>
      <c r="BA1620" s="1">
        <v>1</v>
      </c>
      <c r="BB1620" s="1">
        <v>0</v>
      </c>
      <c r="BC1620" s="1">
        <v>0</v>
      </c>
      <c r="BD1620" s="1">
        <v>0</v>
      </c>
      <c r="BE1620" s="1">
        <v>0</v>
      </c>
      <c r="BF1620" s="1">
        <v>0</v>
      </c>
      <c r="BG1620" s="1">
        <v>0</v>
      </c>
      <c r="BH1620" s="1">
        <v>0</v>
      </c>
      <c r="BI1620" s="1">
        <v>0</v>
      </c>
      <c r="BJ1620" s="1">
        <v>0</v>
      </c>
      <c r="BK1620" s="1">
        <v>0</v>
      </c>
      <c r="BL1620" s="1">
        <v>0</v>
      </c>
      <c r="BM1620" s="1">
        <v>0</v>
      </c>
      <c r="BN1620" s="1">
        <v>0</v>
      </c>
      <c r="BO1620" s="1">
        <v>0</v>
      </c>
      <c r="BP1620" s="1">
        <v>0</v>
      </c>
      <c r="BQ1620" s="1" t="s">
        <v>104</v>
      </c>
      <c r="BR1620" s="1">
        <v>1707</v>
      </c>
      <c r="BS1620" s="1" t="s">
        <v>104</v>
      </c>
      <c r="BX1620" s="1">
        <v>0</v>
      </c>
      <c r="BY1620" s="1" t="s">
        <v>104</v>
      </c>
      <c r="BZ1620" s="1" t="s">
        <v>104</v>
      </c>
      <c r="CA1620" s="1" t="s">
        <v>104</v>
      </c>
      <c r="CB1620" s="1" t="s">
        <v>104</v>
      </c>
      <c r="CC1620" s="1" t="s">
        <v>104</v>
      </c>
      <c r="CD1620" s="1" t="s">
        <v>104</v>
      </c>
      <c r="CE1620" s="1" t="s">
        <v>104</v>
      </c>
      <c r="CF1620" s="1" t="s">
        <v>104</v>
      </c>
      <c r="CG1620" s="1" t="s">
        <v>104</v>
      </c>
      <c r="CH1620" s="1">
        <v>2</v>
      </c>
      <c r="CJ1620" s="1">
        <v>0</v>
      </c>
      <c r="CK1620" s="1">
        <v>0</v>
      </c>
      <c r="CL1620" s="1">
        <v>0</v>
      </c>
      <c r="CM1620" s="1" t="s">
        <v>104</v>
      </c>
    </row>
    <row r="1621" spans="1:91" ht="14.25" customHeight="1" x14ac:dyDescent="0.3">
      <c r="A1621" s="1" t="s">
        <v>8974</v>
      </c>
      <c r="B1621" s="1" t="s">
        <v>92</v>
      </c>
      <c r="C1621" s="1" t="s">
        <v>1160</v>
      </c>
      <c r="D1621" s="1" t="s">
        <v>45</v>
      </c>
      <c r="E1621" s="1" t="s">
        <v>4360</v>
      </c>
      <c r="F1621" s="1" t="s">
        <v>95</v>
      </c>
      <c r="G1621" s="1" t="s">
        <v>8975</v>
      </c>
      <c r="H1621" s="1">
        <v>0</v>
      </c>
      <c r="I1621" s="1" t="s">
        <v>117</v>
      </c>
      <c r="J1621" s="1" t="s">
        <v>8976</v>
      </c>
      <c r="M1621" s="1" t="s">
        <v>8977</v>
      </c>
      <c r="N1621" s="1">
        <v>0</v>
      </c>
      <c r="O1621" s="1">
        <v>0</v>
      </c>
      <c r="P1621" s="1" t="s">
        <v>145</v>
      </c>
      <c r="Q1621" s="1" t="s">
        <v>3284</v>
      </c>
      <c r="R1621" s="1" t="s">
        <v>8978</v>
      </c>
      <c r="S1621" s="1" t="s">
        <v>8966</v>
      </c>
      <c r="T1621" s="1">
        <v>1</v>
      </c>
      <c r="U1621" s="1">
        <v>1</v>
      </c>
      <c r="V1621" s="1">
        <v>0</v>
      </c>
      <c r="W1621" s="1">
        <v>0</v>
      </c>
      <c r="X1621" s="1">
        <v>1</v>
      </c>
      <c r="Y1621" s="1">
        <v>8</v>
      </c>
      <c r="Z1621" s="1">
        <v>8</v>
      </c>
      <c r="AA1621" s="1">
        <v>8</v>
      </c>
      <c r="AB1621" s="1" t="s">
        <v>104</v>
      </c>
      <c r="AC1621" s="1" t="s">
        <v>104</v>
      </c>
      <c r="AD1621" s="1" t="s">
        <v>104</v>
      </c>
      <c r="AE1621" s="1" t="s">
        <v>104</v>
      </c>
      <c r="AF1621" s="1" t="s">
        <v>104</v>
      </c>
      <c r="AG1621" s="1" t="s">
        <v>104</v>
      </c>
      <c r="AH1621" s="1" t="s">
        <v>104</v>
      </c>
      <c r="AI1621" s="1" t="s">
        <v>104</v>
      </c>
      <c r="AJ1621" s="1">
        <v>8</v>
      </c>
      <c r="AK1621" s="1" t="s">
        <v>104</v>
      </c>
      <c r="AL1621" s="1" t="s">
        <v>104</v>
      </c>
      <c r="AM1621" s="1" t="s">
        <v>104</v>
      </c>
      <c r="AO1621" s="1">
        <v>8</v>
      </c>
      <c r="AR1621" s="1">
        <v>0</v>
      </c>
      <c r="AS1621" s="1">
        <v>0</v>
      </c>
      <c r="AT1621" s="1">
        <v>1</v>
      </c>
      <c r="AU1621" s="1">
        <v>0</v>
      </c>
      <c r="AV1621" s="1">
        <v>0</v>
      </c>
      <c r="AW1621" s="1">
        <v>0</v>
      </c>
      <c r="AX1621" s="1">
        <v>0</v>
      </c>
      <c r="AY1621" s="1">
        <v>0</v>
      </c>
      <c r="AZ1621" s="1">
        <v>0</v>
      </c>
      <c r="BA1621" s="1">
        <v>0</v>
      </c>
      <c r="BB1621" s="1">
        <v>0</v>
      </c>
      <c r="BC1621" s="1">
        <v>0</v>
      </c>
      <c r="BD1621" s="1">
        <v>0</v>
      </c>
      <c r="BE1621" s="1">
        <v>0</v>
      </c>
      <c r="BF1621" s="1">
        <v>0</v>
      </c>
      <c r="BG1621" s="1">
        <v>0</v>
      </c>
      <c r="BH1621" s="1">
        <v>0</v>
      </c>
      <c r="BI1621" s="1">
        <v>0</v>
      </c>
      <c r="BJ1621" s="1">
        <v>0</v>
      </c>
      <c r="BK1621" s="1">
        <v>0</v>
      </c>
      <c r="BL1621" s="1">
        <v>0</v>
      </c>
      <c r="BM1621" s="1">
        <v>0</v>
      </c>
      <c r="BN1621" s="1">
        <v>0</v>
      </c>
      <c r="BO1621" s="1">
        <v>0</v>
      </c>
      <c r="BP1621" s="1">
        <v>0</v>
      </c>
      <c r="BQ1621" s="1" t="s">
        <v>104</v>
      </c>
      <c r="BR1621" s="1">
        <v>1708</v>
      </c>
      <c r="BS1621" s="1" t="s">
        <v>104</v>
      </c>
      <c r="BX1621" s="1">
        <v>0</v>
      </c>
      <c r="BY1621" s="1" t="s">
        <v>104</v>
      </c>
      <c r="BZ1621" s="1" t="s">
        <v>104</v>
      </c>
      <c r="CA1621" s="1" t="s">
        <v>104</v>
      </c>
      <c r="CB1621" s="1" t="s">
        <v>104</v>
      </c>
      <c r="CC1621" s="1" t="s">
        <v>104</v>
      </c>
      <c r="CD1621" s="1" t="s">
        <v>104</v>
      </c>
      <c r="CE1621" s="1" t="s">
        <v>104</v>
      </c>
      <c r="CF1621" s="1" t="s">
        <v>104</v>
      </c>
      <c r="CG1621" s="1" t="s">
        <v>104</v>
      </c>
      <c r="CH1621" s="1" t="s">
        <v>104</v>
      </c>
      <c r="CJ1621" s="1">
        <v>0</v>
      </c>
      <c r="CK1621" s="1">
        <v>0</v>
      </c>
      <c r="CL1621" s="1">
        <v>0</v>
      </c>
      <c r="CM1621" s="1" t="s">
        <v>104</v>
      </c>
    </row>
    <row r="1622" spans="1:91" ht="14.25" customHeight="1" x14ac:dyDescent="0.3">
      <c r="A1622" s="1" t="s">
        <v>8979</v>
      </c>
      <c r="B1622" s="1" t="s">
        <v>92</v>
      </c>
      <c r="C1622" s="1" t="s">
        <v>903</v>
      </c>
      <c r="D1622" s="1" t="s">
        <v>8980</v>
      </c>
      <c r="E1622" s="1" t="s">
        <v>6111</v>
      </c>
      <c r="F1622" s="1" t="s">
        <v>255</v>
      </c>
      <c r="G1622" s="1" t="s">
        <v>3655</v>
      </c>
      <c r="H1622" s="1">
        <v>0</v>
      </c>
      <c r="I1622" s="1" t="s">
        <v>117</v>
      </c>
      <c r="K1622" s="1" t="s">
        <v>3656</v>
      </c>
      <c r="M1622" s="1" t="s">
        <v>426</v>
      </c>
      <c r="N1622" s="1">
        <v>1</v>
      </c>
      <c r="O1622" s="1">
        <v>0</v>
      </c>
      <c r="P1622" s="1" t="s">
        <v>100</v>
      </c>
      <c r="Q1622" s="1" t="s">
        <v>101</v>
      </c>
      <c r="R1622" s="1" t="s">
        <v>8981</v>
      </c>
      <c r="S1622" s="1" t="s">
        <v>8966</v>
      </c>
      <c r="T1622" s="1">
        <v>1</v>
      </c>
      <c r="U1622" s="1">
        <v>1</v>
      </c>
      <c r="V1622" s="1">
        <v>0</v>
      </c>
      <c r="W1622" s="1">
        <v>0</v>
      </c>
      <c r="X1622" s="1">
        <v>1</v>
      </c>
      <c r="Y1622" s="1">
        <v>9</v>
      </c>
      <c r="Z1622" s="1">
        <v>9</v>
      </c>
      <c r="AA1622" s="1">
        <v>9</v>
      </c>
      <c r="AB1622" s="1" t="s">
        <v>104</v>
      </c>
      <c r="AC1622" s="1" t="s">
        <v>104</v>
      </c>
      <c r="AD1622" s="1" t="s">
        <v>104</v>
      </c>
      <c r="AE1622" s="1" t="s">
        <v>104</v>
      </c>
      <c r="AF1622" s="1" t="s">
        <v>104</v>
      </c>
      <c r="AG1622" s="1" t="s">
        <v>104</v>
      </c>
      <c r="AH1622" s="1">
        <v>9</v>
      </c>
      <c r="AI1622" s="1" t="s">
        <v>104</v>
      </c>
      <c r="AJ1622" s="1">
        <v>9</v>
      </c>
      <c r="AK1622" s="1" t="s">
        <v>104</v>
      </c>
      <c r="AL1622" s="1" t="s">
        <v>104</v>
      </c>
      <c r="AM1622" s="1" t="s">
        <v>104</v>
      </c>
      <c r="AO1622" s="1">
        <v>9</v>
      </c>
      <c r="AR1622" s="1">
        <v>0</v>
      </c>
      <c r="AS1622" s="1">
        <v>0</v>
      </c>
      <c r="AT1622" s="1">
        <v>1</v>
      </c>
      <c r="AU1622" s="1">
        <v>0</v>
      </c>
      <c r="AV1622" s="1">
        <v>0</v>
      </c>
      <c r="AW1622" s="1">
        <v>0</v>
      </c>
      <c r="AX1622" s="1">
        <v>0</v>
      </c>
      <c r="AY1622" s="1">
        <v>0</v>
      </c>
      <c r="AZ1622" s="1">
        <v>0</v>
      </c>
      <c r="BA1622" s="1">
        <v>0</v>
      </c>
      <c r="BB1622" s="1">
        <v>0</v>
      </c>
      <c r="BC1622" s="1">
        <v>1</v>
      </c>
      <c r="BD1622" s="1">
        <v>0</v>
      </c>
      <c r="BE1622" s="1">
        <v>0</v>
      </c>
      <c r="BF1622" s="1">
        <v>0</v>
      </c>
      <c r="BG1622" s="1">
        <v>0</v>
      </c>
      <c r="BH1622" s="1">
        <v>0</v>
      </c>
      <c r="BI1622" s="1">
        <v>0</v>
      </c>
      <c r="BJ1622" s="1">
        <v>0</v>
      </c>
      <c r="BK1622" s="1">
        <v>0</v>
      </c>
      <c r="BL1622" s="1">
        <v>0</v>
      </c>
      <c r="BM1622" s="1">
        <v>0</v>
      </c>
      <c r="BN1622" s="1">
        <v>0</v>
      </c>
      <c r="BO1622" s="1">
        <v>0</v>
      </c>
      <c r="BP1622" s="1">
        <v>0</v>
      </c>
      <c r="BQ1622" s="1" t="s">
        <v>104</v>
      </c>
      <c r="BR1622" s="1">
        <v>1709</v>
      </c>
      <c r="BS1622" s="1" t="s">
        <v>104</v>
      </c>
      <c r="BX1622" s="1">
        <v>0</v>
      </c>
      <c r="BY1622" s="1" t="s">
        <v>104</v>
      </c>
      <c r="BZ1622" s="1" t="s">
        <v>104</v>
      </c>
      <c r="CA1622" s="1" t="s">
        <v>104</v>
      </c>
      <c r="CB1622" s="1" t="s">
        <v>104</v>
      </c>
      <c r="CC1622" s="1" t="s">
        <v>104</v>
      </c>
      <c r="CD1622" s="1" t="s">
        <v>104</v>
      </c>
      <c r="CE1622" s="1" t="s">
        <v>104</v>
      </c>
      <c r="CF1622" s="1" t="s">
        <v>104</v>
      </c>
      <c r="CG1622" s="1" t="s">
        <v>104</v>
      </c>
      <c r="CH1622" s="1" t="s">
        <v>104</v>
      </c>
      <c r="CJ1622" s="1">
        <v>0</v>
      </c>
      <c r="CK1622" s="1">
        <v>0</v>
      </c>
      <c r="CL1622" s="1">
        <v>0</v>
      </c>
      <c r="CM1622" s="1" t="s">
        <v>104</v>
      </c>
    </row>
    <row r="1623" spans="1:91" ht="14.25" customHeight="1" x14ac:dyDescent="0.3">
      <c r="A1623" s="1" t="s">
        <v>8982</v>
      </c>
      <c r="B1623" s="1" t="s">
        <v>92</v>
      </c>
      <c r="C1623" s="1" t="s">
        <v>903</v>
      </c>
      <c r="D1623" s="1" t="s">
        <v>8980</v>
      </c>
      <c r="E1623" s="1" t="s">
        <v>8032</v>
      </c>
      <c r="F1623" s="1" t="s">
        <v>255</v>
      </c>
      <c r="G1623" s="1" t="s">
        <v>3655</v>
      </c>
      <c r="H1623" s="1">
        <v>0</v>
      </c>
      <c r="I1623" s="1" t="s">
        <v>117</v>
      </c>
      <c r="K1623" s="1" t="s">
        <v>3656</v>
      </c>
      <c r="M1623" s="1" t="s">
        <v>426</v>
      </c>
      <c r="N1623" s="1">
        <v>1</v>
      </c>
      <c r="O1623" s="1">
        <v>0</v>
      </c>
      <c r="P1623" s="1" t="s">
        <v>100</v>
      </c>
      <c r="Q1623" s="1" t="s">
        <v>101</v>
      </c>
      <c r="R1623" s="1" t="s">
        <v>8983</v>
      </c>
      <c r="S1623" s="1" t="s">
        <v>8966</v>
      </c>
      <c r="T1623" s="1">
        <v>1</v>
      </c>
      <c r="U1623" s="1">
        <v>1</v>
      </c>
      <c r="V1623" s="1">
        <v>0</v>
      </c>
      <c r="W1623" s="1">
        <v>0</v>
      </c>
      <c r="X1623" s="1">
        <v>1</v>
      </c>
      <c r="Y1623" s="1">
        <v>5</v>
      </c>
      <c r="Z1623" s="1">
        <v>5</v>
      </c>
      <c r="AA1623" s="1">
        <v>5</v>
      </c>
      <c r="AB1623" s="1" t="s">
        <v>104</v>
      </c>
      <c r="AC1623" s="1" t="s">
        <v>104</v>
      </c>
      <c r="AD1623" s="1" t="s">
        <v>104</v>
      </c>
      <c r="AE1623" s="1" t="s">
        <v>104</v>
      </c>
      <c r="AF1623" s="1" t="s">
        <v>104</v>
      </c>
      <c r="AG1623" s="1">
        <v>4</v>
      </c>
      <c r="AH1623" s="1">
        <v>5</v>
      </c>
      <c r="AI1623" s="1" t="s">
        <v>104</v>
      </c>
      <c r="AJ1623" s="1">
        <v>5</v>
      </c>
      <c r="AK1623" s="1" t="s">
        <v>104</v>
      </c>
      <c r="AL1623" s="1" t="s">
        <v>104</v>
      </c>
      <c r="AM1623" s="1" t="s">
        <v>104</v>
      </c>
      <c r="AO1623" s="1">
        <v>5</v>
      </c>
      <c r="AR1623" s="1">
        <v>0</v>
      </c>
      <c r="AS1623" s="1">
        <v>0</v>
      </c>
      <c r="AT1623" s="1">
        <v>1</v>
      </c>
      <c r="AU1623" s="1">
        <v>0</v>
      </c>
      <c r="AV1623" s="1">
        <v>0</v>
      </c>
      <c r="AW1623" s="1">
        <v>0</v>
      </c>
      <c r="AX1623" s="1">
        <v>0</v>
      </c>
      <c r="AY1623" s="1">
        <v>0</v>
      </c>
      <c r="AZ1623" s="1">
        <v>0</v>
      </c>
      <c r="BA1623" s="1">
        <v>0</v>
      </c>
      <c r="BB1623" s="1">
        <v>0</v>
      </c>
      <c r="BC1623" s="1">
        <v>1</v>
      </c>
      <c r="BD1623" s="1">
        <v>0</v>
      </c>
      <c r="BE1623" s="1">
        <v>0</v>
      </c>
      <c r="BF1623" s="1">
        <v>0</v>
      </c>
      <c r="BG1623" s="1">
        <v>0</v>
      </c>
      <c r="BH1623" s="1">
        <v>0</v>
      </c>
      <c r="BI1623" s="1">
        <v>0</v>
      </c>
      <c r="BJ1623" s="1">
        <v>0</v>
      </c>
      <c r="BK1623" s="1">
        <v>0</v>
      </c>
      <c r="BL1623" s="1">
        <v>0</v>
      </c>
      <c r="BM1623" s="1">
        <v>0</v>
      </c>
      <c r="BN1623" s="1">
        <v>0</v>
      </c>
      <c r="BO1623" s="1">
        <v>0</v>
      </c>
      <c r="BP1623" s="1">
        <v>0</v>
      </c>
      <c r="BQ1623" s="1" t="s">
        <v>104</v>
      </c>
      <c r="BR1623" s="1">
        <v>1710</v>
      </c>
      <c r="BS1623" s="1" t="s">
        <v>104</v>
      </c>
      <c r="BX1623" s="1">
        <v>0</v>
      </c>
      <c r="BY1623" s="1" t="s">
        <v>104</v>
      </c>
      <c r="BZ1623" s="1" t="s">
        <v>104</v>
      </c>
      <c r="CA1623" s="1" t="s">
        <v>104</v>
      </c>
      <c r="CB1623" s="1" t="s">
        <v>104</v>
      </c>
      <c r="CC1623" s="1" t="s">
        <v>104</v>
      </c>
      <c r="CD1623" s="1" t="s">
        <v>104</v>
      </c>
      <c r="CE1623" s="1" t="s">
        <v>104</v>
      </c>
      <c r="CF1623" s="1" t="s">
        <v>104</v>
      </c>
      <c r="CG1623" s="1" t="s">
        <v>104</v>
      </c>
      <c r="CH1623" s="1" t="s">
        <v>104</v>
      </c>
      <c r="CJ1623" s="1">
        <v>0</v>
      </c>
      <c r="CK1623" s="1">
        <v>0</v>
      </c>
      <c r="CL1623" s="1">
        <v>0</v>
      </c>
      <c r="CM1623" s="1">
        <v>4</v>
      </c>
    </row>
    <row r="1624" spans="1:91" ht="14.25" customHeight="1" x14ac:dyDescent="0.3">
      <c r="A1624" s="1" t="s">
        <v>8984</v>
      </c>
      <c r="B1624" s="1" t="s">
        <v>92</v>
      </c>
      <c r="D1624" s="1" t="s">
        <v>45</v>
      </c>
      <c r="E1624" s="1" t="s">
        <v>8985</v>
      </c>
      <c r="F1624" s="1" t="s">
        <v>95</v>
      </c>
      <c r="G1624" s="1" t="s">
        <v>116</v>
      </c>
      <c r="H1624" s="1">
        <v>0</v>
      </c>
      <c r="I1624" s="1" t="s">
        <v>117</v>
      </c>
      <c r="J1624" s="1" t="s">
        <v>8986</v>
      </c>
      <c r="M1624" s="1" t="s">
        <v>8987</v>
      </c>
      <c r="N1624" s="1">
        <v>1</v>
      </c>
      <c r="O1624" s="1">
        <v>0</v>
      </c>
      <c r="P1624" s="1" t="s">
        <v>629</v>
      </c>
      <c r="Q1624" s="1" t="s">
        <v>101</v>
      </c>
      <c r="R1624" s="1" t="s">
        <v>8988</v>
      </c>
      <c r="S1624" s="1" t="s">
        <v>8966</v>
      </c>
      <c r="T1624" s="1">
        <v>1</v>
      </c>
      <c r="U1624" s="1">
        <v>1</v>
      </c>
      <c r="V1624" s="1">
        <v>0</v>
      </c>
      <c r="W1624" s="1">
        <v>0</v>
      </c>
      <c r="X1624" s="1">
        <v>0</v>
      </c>
      <c r="Y1624" s="1" t="s">
        <v>104</v>
      </c>
      <c r="Z1624" s="1" t="s">
        <v>104</v>
      </c>
      <c r="AA1624" s="1">
        <v>5</v>
      </c>
      <c r="AB1624" s="1" t="s">
        <v>104</v>
      </c>
      <c r="AC1624" s="1" t="s">
        <v>104</v>
      </c>
      <c r="AD1624" s="1" t="s">
        <v>104</v>
      </c>
      <c r="AE1624" s="1" t="s">
        <v>104</v>
      </c>
      <c r="AF1624" s="1" t="s">
        <v>104</v>
      </c>
      <c r="AG1624" s="1">
        <v>5</v>
      </c>
      <c r="AH1624" s="1">
        <v>5</v>
      </c>
      <c r="AI1624" s="1" t="s">
        <v>104</v>
      </c>
      <c r="AJ1624" s="1">
        <v>5</v>
      </c>
      <c r="AK1624" s="1" t="s">
        <v>104</v>
      </c>
      <c r="AL1624" s="1" t="s">
        <v>104</v>
      </c>
      <c r="AM1624" s="1" t="s">
        <v>104</v>
      </c>
      <c r="AO1624" s="1">
        <v>5</v>
      </c>
      <c r="AR1624" s="1">
        <v>0</v>
      </c>
      <c r="AS1624" s="1">
        <v>0</v>
      </c>
      <c r="AT1624" s="1">
        <v>1</v>
      </c>
      <c r="AU1624" s="1">
        <v>0</v>
      </c>
      <c r="AV1624" s="1">
        <v>0</v>
      </c>
      <c r="AW1624" s="1">
        <v>0</v>
      </c>
      <c r="AX1624" s="1">
        <v>0</v>
      </c>
      <c r="AY1624" s="1">
        <v>0</v>
      </c>
      <c r="AZ1624" s="1">
        <v>0</v>
      </c>
      <c r="BA1624" s="1">
        <v>0</v>
      </c>
      <c r="BB1624" s="1">
        <v>0</v>
      </c>
      <c r="BC1624" s="1">
        <v>0</v>
      </c>
      <c r="BD1624" s="1">
        <v>0</v>
      </c>
      <c r="BE1624" s="1">
        <v>0</v>
      </c>
      <c r="BF1624" s="1">
        <v>0</v>
      </c>
      <c r="BG1624" s="1">
        <v>0</v>
      </c>
      <c r="BH1624" s="1">
        <v>0</v>
      </c>
      <c r="BI1624" s="1">
        <v>0</v>
      </c>
      <c r="BJ1624" s="1">
        <v>0</v>
      </c>
      <c r="BK1624" s="1">
        <v>0</v>
      </c>
      <c r="BL1624" s="1">
        <v>0</v>
      </c>
      <c r="BM1624" s="1">
        <v>0</v>
      </c>
      <c r="BN1624" s="1">
        <v>0</v>
      </c>
      <c r="BO1624" s="1">
        <v>0</v>
      </c>
      <c r="BP1624" s="1">
        <v>0</v>
      </c>
      <c r="BQ1624" s="1" t="s">
        <v>104</v>
      </c>
      <c r="BR1624" s="1">
        <v>1711</v>
      </c>
      <c r="BS1624" s="1" t="s">
        <v>104</v>
      </c>
      <c r="BX1624" s="1">
        <v>0</v>
      </c>
      <c r="BY1624" s="1" t="s">
        <v>104</v>
      </c>
      <c r="BZ1624" s="1" t="s">
        <v>104</v>
      </c>
      <c r="CA1624" s="1" t="s">
        <v>104</v>
      </c>
      <c r="CB1624" s="1" t="s">
        <v>104</v>
      </c>
      <c r="CC1624" s="1" t="s">
        <v>104</v>
      </c>
      <c r="CD1624" s="1" t="s">
        <v>104</v>
      </c>
      <c r="CE1624" s="1" t="s">
        <v>104</v>
      </c>
      <c r="CF1624" s="1" t="s">
        <v>104</v>
      </c>
      <c r="CG1624" s="1" t="s">
        <v>104</v>
      </c>
      <c r="CH1624" s="1" t="s">
        <v>104</v>
      </c>
      <c r="CJ1624" s="1">
        <v>0</v>
      </c>
      <c r="CK1624" s="1">
        <v>0</v>
      </c>
      <c r="CL1624" s="1">
        <v>0</v>
      </c>
      <c r="CM1624" s="1">
        <v>5</v>
      </c>
    </row>
    <row r="1625" spans="1:91" ht="14.25" customHeight="1" x14ac:dyDescent="0.3">
      <c r="A1625" s="1" t="s">
        <v>8989</v>
      </c>
      <c r="B1625" s="1" t="s">
        <v>92</v>
      </c>
      <c r="C1625" s="1" t="s">
        <v>2732</v>
      </c>
      <c r="D1625" s="1" t="s">
        <v>8980</v>
      </c>
      <c r="E1625" s="1" t="s">
        <v>8990</v>
      </c>
      <c r="F1625" s="1" t="s">
        <v>287</v>
      </c>
      <c r="G1625" s="1" t="s">
        <v>8991</v>
      </c>
      <c r="H1625" s="1">
        <v>0</v>
      </c>
      <c r="I1625" s="1" t="s">
        <v>128</v>
      </c>
      <c r="L1625" s="1" t="s">
        <v>8992</v>
      </c>
      <c r="M1625" s="1" t="s">
        <v>119</v>
      </c>
      <c r="N1625" s="1">
        <v>0</v>
      </c>
      <c r="O1625" s="1">
        <v>0</v>
      </c>
      <c r="P1625" s="1" t="s">
        <v>100</v>
      </c>
      <c r="Q1625" s="1" t="s">
        <v>101</v>
      </c>
      <c r="R1625" s="1" t="s">
        <v>8993</v>
      </c>
      <c r="S1625" s="1" t="s">
        <v>8966</v>
      </c>
      <c r="T1625" s="1">
        <v>1</v>
      </c>
      <c r="U1625" s="1">
        <v>1</v>
      </c>
      <c r="V1625" s="1">
        <v>1</v>
      </c>
      <c r="W1625" s="1">
        <v>0</v>
      </c>
      <c r="X1625" s="1">
        <v>0</v>
      </c>
      <c r="Y1625" s="1" t="s">
        <v>104</v>
      </c>
      <c r="Z1625" s="1" t="s">
        <v>104</v>
      </c>
      <c r="AA1625" s="1">
        <v>6</v>
      </c>
      <c r="AB1625" s="1" t="s">
        <v>104</v>
      </c>
      <c r="AC1625" s="1" t="s">
        <v>104</v>
      </c>
      <c r="AD1625" s="1" t="s">
        <v>104</v>
      </c>
      <c r="AE1625" s="1" t="s">
        <v>104</v>
      </c>
      <c r="AF1625" s="1" t="s">
        <v>104</v>
      </c>
      <c r="AG1625" s="1">
        <v>6</v>
      </c>
      <c r="AH1625" s="1" t="s">
        <v>104</v>
      </c>
      <c r="AI1625" s="1" t="s">
        <v>104</v>
      </c>
      <c r="AJ1625" s="1">
        <v>6</v>
      </c>
      <c r="AK1625" s="1" t="s">
        <v>104</v>
      </c>
      <c r="AL1625" s="1" t="s">
        <v>104</v>
      </c>
      <c r="AM1625" s="1" t="s">
        <v>104</v>
      </c>
      <c r="AO1625" s="1">
        <v>6</v>
      </c>
      <c r="AR1625" s="1">
        <v>0</v>
      </c>
      <c r="AS1625" s="1">
        <v>0</v>
      </c>
      <c r="AT1625" s="1">
        <v>1</v>
      </c>
      <c r="AU1625" s="1">
        <v>0</v>
      </c>
      <c r="AV1625" s="1">
        <v>0</v>
      </c>
      <c r="AW1625" s="1">
        <v>0</v>
      </c>
      <c r="AX1625" s="1">
        <v>0</v>
      </c>
      <c r="AY1625" s="1">
        <v>0</v>
      </c>
      <c r="AZ1625" s="1">
        <v>0</v>
      </c>
      <c r="BA1625" s="1">
        <v>0</v>
      </c>
      <c r="BB1625" s="1">
        <v>0</v>
      </c>
      <c r="BC1625" s="1">
        <v>1</v>
      </c>
      <c r="BD1625" s="1">
        <v>0</v>
      </c>
      <c r="BE1625" s="1">
        <v>0</v>
      </c>
      <c r="BF1625" s="1">
        <v>0</v>
      </c>
      <c r="BG1625" s="1">
        <v>0</v>
      </c>
      <c r="BH1625" s="1">
        <v>0</v>
      </c>
      <c r="BI1625" s="1">
        <v>0</v>
      </c>
      <c r="BJ1625" s="1">
        <v>0</v>
      </c>
      <c r="BK1625" s="1">
        <v>0</v>
      </c>
      <c r="BL1625" s="1">
        <v>0</v>
      </c>
      <c r="BM1625" s="1">
        <v>0</v>
      </c>
      <c r="BN1625" s="1">
        <v>0</v>
      </c>
      <c r="BO1625" s="1">
        <v>0</v>
      </c>
      <c r="BP1625" s="1">
        <v>0</v>
      </c>
      <c r="BQ1625" s="1" t="s">
        <v>104</v>
      </c>
      <c r="BR1625" s="1">
        <v>1712</v>
      </c>
      <c r="BS1625" s="1" t="s">
        <v>104</v>
      </c>
      <c r="BX1625" s="1">
        <v>0</v>
      </c>
      <c r="BY1625" s="1" t="s">
        <v>104</v>
      </c>
      <c r="BZ1625" s="1" t="s">
        <v>104</v>
      </c>
      <c r="CA1625" s="1" t="s">
        <v>104</v>
      </c>
      <c r="CB1625" s="1" t="s">
        <v>104</v>
      </c>
      <c r="CC1625" s="1" t="s">
        <v>104</v>
      </c>
      <c r="CD1625" s="1" t="s">
        <v>104</v>
      </c>
      <c r="CE1625" s="1" t="s">
        <v>104</v>
      </c>
      <c r="CF1625" s="1" t="s">
        <v>104</v>
      </c>
      <c r="CG1625" s="1" t="s">
        <v>104</v>
      </c>
      <c r="CH1625" s="1" t="s">
        <v>104</v>
      </c>
      <c r="CJ1625" s="1">
        <v>0</v>
      </c>
      <c r="CK1625" s="1">
        <v>0</v>
      </c>
      <c r="CL1625" s="1">
        <v>0</v>
      </c>
      <c r="CM1625" s="1">
        <v>6</v>
      </c>
    </row>
    <row r="1626" spans="1:91" ht="14.25" customHeight="1" x14ac:dyDescent="0.3">
      <c r="A1626" s="1" t="s">
        <v>8994</v>
      </c>
      <c r="B1626" s="1" t="s">
        <v>137</v>
      </c>
      <c r="E1626" s="1" t="s">
        <v>8995</v>
      </c>
      <c r="F1626" s="1" t="s">
        <v>95</v>
      </c>
      <c r="G1626" s="1" t="s">
        <v>116</v>
      </c>
      <c r="H1626" s="1">
        <v>0</v>
      </c>
      <c r="I1626" s="1" t="s">
        <v>157</v>
      </c>
      <c r="L1626" s="1" t="s">
        <v>158</v>
      </c>
      <c r="M1626" s="1" t="s">
        <v>426</v>
      </c>
      <c r="N1626" s="1">
        <v>1</v>
      </c>
      <c r="O1626" s="1">
        <v>0</v>
      </c>
      <c r="R1626" s="1" t="s">
        <v>8996</v>
      </c>
      <c r="S1626" s="1" t="s">
        <v>8997</v>
      </c>
      <c r="T1626" s="1">
        <v>1</v>
      </c>
      <c r="U1626" s="1">
        <v>1</v>
      </c>
      <c r="V1626" s="1">
        <v>0</v>
      </c>
      <c r="W1626" s="1">
        <v>0</v>
      </c>
      <c r="X1626" s="1">
        <v>0</v>
      </c>
      <c r="Y1626" s="1">
        <v>6</v>
      </c>
      <c r="Z1626" s="1">
        <v>6</v>
      </c>
      <c r="AA1626" s="1" t="s">
        <v>104</v>
      </c>
      <c r="AB1626" s="1" t="s">
        <v>104</v>
      </c>
      <c r="AC1626" s="1" t="s">
        <v>104</v>
      </c>
      <c r="AD1626" s="1">
        <v>6</v>
      </c>
      <c r="AE1626" s="1" t="s">
        <v>104</v>
      </c>
      <c r="AF1626" s="1">
        <v>6</v>
      </c>
      <c r="AG1626" s="1" t="s">
        <v>104</v>
      </c>
      <c r="AH1626" s="1" t="s">
        <v>104</v>
      </c>
      <c r="AI1626" s="1" t="s">
        <v>104</v>
      </c>
      <c r="AJ1626" s="1" t="s">
        <v>104</v>
      </c>
      <c r="AK1626" s="1" t="s">
        <v>104</v>
      </c>
      <c r="AL1626" s="1">
        <v>6</v>
      </c>
      <c r="AM1626" s="1" t="s">
        <v>104</v>
      </c>
      <c r="AO1626" s="1">
        <v>6</v>
      </c>
      <c r="AR1626" s="1">
        <v>0</v>
      </c>
      <c r="AS1626" s="1">
        <v>0</v>
      </c>
      <c r="AT1626" s="1">
        <v>0</v>
      </c>
      <c r="AU1626" s="1">
        <v>0</v>
      </c>
      <c r="AV1626" s="1">
        <v>0</v>
      </c>
      <c r="AW1626" s="1">
        <v>0</v>
      </c>
      <c r="AX1626" s="1">
        <v>0</v>
      </c>
      <c r="AY1626" s="1">
        <v>0</v>
      </c>
      <c r="AZ1626" s="1">
        <v>0</v>
      </c>
      <c r="BA1626" s="1">
        <v>0</v>
      </c>
      <c r="BB1626" s="1">
        <v>0</v>
      </c>
      <c r="BC1626" s="1">
        <v>0</v>
      </c>
      <c r="BD1626" s="1">
        <v>0</v>
      </c>
      <c r="BE1626" s="1">
        <v>0</v>
      </c>
      <c r="BF1626" s="1">
        <v>0</v>
      </c>
      <c r="BG1626" s="1">
        <v>0</v>
      </c>
      <c r="BH1626" s="1">
        <v>0</v>
      </c>
      <c r="BI1626" s="1">
        <v>0</v>
      </c>
      <c r="BJ1626" s="1">
        <v>0</v>
      </c>
      <c r="BK1626" s="1">
        <v>0</v>
      </c>
      <c r="BL1626" s="1">
        <v>0</v>
      </c>
      <c r="BM1626" s="1">
        <v>0</v>
      </c>
      <c r="BN1626" s="1">
        <v>0</v>
      </c>
      <c r="BO1626" s="1">
        <v>0</v>
      </c>
      <c r="BP1626" s="1">
        <v>0</v>
      </c>
      <c r="BQ1626" s="1" t="s">
        <v>104</v>
      </c>
      <c r="BR1626" s="1">
        <v>1713</v>
      </c>
      <c r="BS1626" s="1" t="s">
        <v>104</v>
      </c>
      <c r="BV1626" s="1" t="s">
        <v>8998</v>
      </c>
      <c r="BX1626" s="1">
        <v>1</v>
      </c>
      <c r="BY1626" s="1" t="s">
        <v>104</v>
      </c>
      <c r="BZ1626" s="1" t="s">
        <v>104</v>
      </c>
      <c r="CA1626" s="1" t="s">
        <v>104</v>
      </c>
      <c r="CB1626" s="1" t="s">
        <v>104</v>
      </c>
      <c r="CC1626" s="1" t="s">
        <v>104</v>
      </c>
      <c r="CD1626" s="1" t="s">
        <v>104</v>
      </c>
      <c r="CE1626" s="1" t="s">
        <v>104</v>
      </c>
      <c r="CF1626" s="1" t="s">
        <v>104</v>
      </c>
      <c r="CG1626" s="1" t="s">
        <v>104</v>
      </c>
      <c r="CH1626" s="1" t="s">
        <v>104</v>
      </c>
      <c r="CJ1626" s="1">
        <v>0</v>
      </c>
      <c r="CK1626" s="1">
        <v>0</v>
      </c>
      <c r="CL1626" s="1">
        <v>0</v>
      </c>
      <c r="CM1626" s="1" t="s">
        <v>104</v>
      </c>
    </row>
    <row r="1627" spans="1:91" ht="14.25" customHeight="1" x14ac:dyDescent="0.3">
      <c r="A1627" s="1" t="s">
        <v>8999</v>
      </c>
      <c r="B1627" s="1" t="s">
        <v>92</v>
      </c>
      <c r="C1627" s="1" t="s">
        <v>903</v>
      </c>
      <c r="D1627" s="1" t="s">
        <v>145</v>
      </c>
      <c r="E1627" s="1" t="s">
        <v>5315</v>
      </c>
      <c r="F1627" s="1" t="s">
        <v>255</v>
      </c>
      <c r="G1627" s="1" t="s">
        <v>116</v>
      </c>
      <c r="H1627" s="1">
        <v>0</v>
      </c>
      <c r="I1627" s="1" t="s">
        <v>9000</v>
      </c>
      <c r="K1627" s="1" t="s">
        <v>9001</v>
      </c>
      <c r="M1627" s="1" t="s">
        <v>9002</v>
      </c>
      <c r="N1627" s="1">
        <v>1</v>
      </c>
      <c r="O1627" s="1">
        <v>0</v>
      </c>
      <c r="P1627" s="1" t="s">
        <v>100</v>
      </c>
      <c r="Q1627" s="1" t="s">
        <v>101</v>
      </c>
      <c r="R1627" s="1" t="s">
        <v>9003</v>
      </c>
      <c r="S1627" s="1" t="s">
        <v>8997</v>
      </c>
      <c r="T1627" s="1">
        <v>1</v>
      </c>
      <c r="U1627" s="1">
        <v>1</v>
      </c>
      <c r="V1627" s="1">
        <v>0</v>
      </c>
      <c r="W1627" s="1">
        <v>0</v>
      </c>
      <c r="X1627" s="1">
        <v>0</v>
      </c>
      <c r="Y1627" s="1">
        <v>7</v>
      </c>
      <c r="Z1627" s="1">
        <v>7</v>
      </c>
      <c r="AA1627" s="1" t="s">
        <v>104</v>
      </c>
      <c r="AB1627" s="1">
        <v>7</v>
      </c>
      <c r="AC1627" s="1" t="s">
        <v>104</v>
      </c>
      <c r="AD1627" s="1" t="s">
        <v>104</v>
      </c>
      <c r="AE1627" s="1" t="s">
        <v>104</v>
      </c>
      <c r="AF1627" s="1" t="s">
        <v>104</v>
      </c>
      <c r="AG1627" s="1" t="s">
        <v>104</v>
      </c>
      <c r="AH1627" s="1" t="s">
        <v>104</v>
      </c>
      <c r="AI1627" s="1" t="s">
        <v>104</v>
      </c>
      <c r="AJ1627" s="1" t="s">
        <v>104</v>
      </c>
      <c r="AK1627" s="1" t="s">
        <v>104</v>
      </c>
      <c r="AL1627" s="1" t="s">
        <v>104</v>
      </c>
      <c r="AM1627" s="1" t="s">
        <v>104</v>
      </c>
      <c r="AO1627" s="1">
        <v>7</v>
      </c>
      <c r="AR1627" s="1">
        <v>0</v>
      </c>
      <c r="AS1627" s="1">
        <v>0</v>
      </c>
      <c r="AT1627" s="1">
        <v>0</v>
      </c>
      <c r="AU1627" s="1">
        <v>0</v>
      </c>
      <c r="AV1627" s="1">
        <v>0</v>
      </c>
      <c r="AW1627" s="1">
        <v>0</v>
      </c>
      <c r="AX1627" s="1">
        <v>0</v>
      </c>
      <c r="AY1627" s="1">
        <v>0</v>
      </c>
      <c r="AZ1627" s="1">
        <v>0</v>
      </c>
      <c r="BA1627" s="1">
        <v>0</v>
      </c>
      <c r="BB1627" s="1">
        <v>0</v>
      </c>
      <c r="BC1627" s="1">
        <v>0</v>
      </c>
      <c r="BD1627" s="1">
        <v>0</v>
      </c>
      <c r="BE1627" s="1">
        <v>0</v>
      </c>
      <c r="BF1627" s="1">
        <v>0</v>
      </c>
      <c r="BG1627" s="1">
        <v>0</v>
      </c>
      <c r="BH1627" s="1">
        <v>0</v>
      </c>
      <c r="BI1627" s="1">
        <v>0</v>
      </c>
      <c r="BJ1627" s="1">
        <v>0</v>
      </c>
      <c r="BK1627" s="1">
        <v>0</v>
      </c>
      <c r="BL1627" s="1">
        <v>0</v>
      </c>
      <c r="BM1627" s="1">
        <v>0</v>
      </c>
      <c r="BN1627" s="1">
        <v>0</v>
      </c>
      <c r="BO1627" s="1">
        <v>0</v>
      </c>
      <c r="BP1627" s="1">
        <v>0</v>
      </c>
      <c r="BQ1627" s="1" t="s">
        <v>104</v>
      </c>
      <c r="BR1627" s="1">
        <v>1714</v>
      </c>
      <c r="BS1627" s="1" t="s">
        <v>104</v>
      </c>
      <c r="BV1627" s="1" t="s">
        <v>9004</v>
      </c>
      <c r="BW1627" s="1" t="s">
        <v>9005</v>
      </c>
      <c r="BX1627" s="1">
        <v>1</v>
      </c>
      <c r="BY1627" s="1" t="s">
        <v>104</v>
      </c>
      <c r="BZ1627" s="1" t="s">
        <v>104</v>
      </c>
      <c r="CA1627" s="1" t="s">
        <v>104</v>
      </c>
      <c r="CB1627" s="1" t="s">
        <v>104</v>
      </c>
      <c r="CC1627" s="1" t="s">
        <v>104</v>
      </c>
      <c r="CD1627" s="1" t="s">
        <v>104</v>
      </c>
      <c r="CE1627" s="1" t="s">
        <v>104</v>
      </c>
      <c r="CF1627" s="1" t="s">
        <v>104</v>
      </c>
      <c r="CG1627" s="1" t="s">
        <v>104</v>
      </c>
      <c r="CH1627" s="1" t="s">
        <v>104</v>
      </c>
      <c r="CJ1627" s="1">
        <v>0</v>
      </c>
      <c r="CK1627" s="1">
        <v>0</v>
      </c>
      <c r="CL1627" s="1">
        <v>0</v>
      </c>
      <c r="CM1627" s="1" t="s">
        <v>104</v>
      </c>
    </row>
    <row r="1628" spans="1:91" ht="14.25" customHeight="1" x14ac:dyDescent="0.3">
      <c r="A1628" s="1" t="s">
        <v>9006</v>
      </c>
      <c r="B1628" s="1" t="s">
        <v>137</v>
      </c>
      <c r="E1628" s="1" t="s">
        <v>4219</v>
      </c>
      <c r="F1628" s="1" t="s">
        <v>95</v>
      </c>
      <c r="G1628" s="1" t="s">
        <v>9007</v>
      </c>
      <c r="H1628" s="1">
        <v>0</v>
      </c>
      <c r="I1628" s="1" t="s">
        <v>128</v>
      </c>
      <c r="L1628" s="1" t="s">
        <v>983</v>
      </c>
      <c r="M1628" s="1" t="s">
        <v>620</v>
      </c>
      <c r="N1628" s="1">
        <v>1</v>
      </c>
      <c r="O1628" s="1">
        <v>0</v>
      </c>
      <c r="P1628" s="1" t="s">
        <v>148</v>
      </c>
      <c r="Q1628" s="1" t="s">
        <v>149</v>
      </c>
      <c r="R1628" s="1" t="s">
        <v>9008</v>
      </c>
      <c r="S1628" s="1" t="s">
        <v>8997</v>
      </c>
      <c r="T1628" s="1">
        <v>1</v>
      </c>
      <c r="U1628" s="1">
        <v>0</v>
      </c>
      <c r="V1628" s="1">
        <v>1</v>
      </c>
      <c r="W1628" s="1">
        <v>0</v>
      </c>
      <c r="X1628" s="1">
        <v>0</v>
      </c>
      <c r="Y1628" s="1">
        <v>4</v>
      </c>
      <c r="Z1628" s="1">
        <v>4</v>
      </c>
      <c r="AA1628" s="1" t="s">
        <v>104</v>
      </c>
      <c r="AB1628" s="1" t="s">
        <v>104</v>
      </c>
      <c r="AC1628" s="1" t="s">
        <v>104</v>
      </c>
      <c r="AD1628" s="1" t="s">
        <v>104</v>
      </c>
      <c r="AE1628" s="1" t="s">
        <v>104</v>
      </c>
      <c r="AF1628" s="1" t="s">
        <v>104</v>
      </c>
      <c r="AG1628" s="1" t="s">
        <v>104</v>
      </c>
      <c r="AH1628" s="1" t="s">
        <v>104</v>
      </c>
      <c r="AI1628" s="1" t="s">
        <v>104</v>
      </c>
      <c r="AJ1628" s="1" t="s">
        <v>104</v>
      </c>
      <c r="AK1628" s="1" t="s">
        <v>104</v>
      </c>
      <c r="AL1628" s="1" t="s">
        <v>104</v>
      </c>
      <c r="AM1628" s="1" t="s">
        <v>104</v>
      </c>
      <c r="AO1628" s="1">
        <v>4</v>
      </c>
      <c r="AR1628" s="1">
        <v>0</v>
      </c>
      <c r="AS1628" s="1">
        <v>0</v>
      </c>
      <c r="AT1628" s="1">
        <v>0</v>
      </c>
      <c r="AU1628" s="1">
        <v>0</v>
      </c>
      <c r="AV1628" s="1">
        <v>0</v>
      </c>
      <c r="AW1628" s="1">
        <v>0</v>
      </c>
      <c r="AX1628" s="1">
        <v>0</v>
      </c>
      <c r="AY1628" s="1">
        <v>0</v>
      </c>
      <c r="AZ1628" s="1">
        <v>0</v>
      </c>
      <c r="BA1628" s="1">
        <v>0</v>
      </c>
      <c r="BB1628" s="1">
        <v>0</v>
      </c>
      <c r="BC1628" s="1">
        <v>0</v>
      </c>
      <c r="BD1628" s="1">
        <v>0</v>
      </c>
      <c r="BE1628" s="1">
        <v>0</v>
      </c>
      <c r="BF1628" s="1">
        <v>0</v>
      </c>
      <c r="BG1628" s="1">
        <v>0</v>
      </c>
      <c r="BH1628" s="1">
        <v>0</v>
      </c>
      <c r="BI1628" s="1">
        <v>0</v>
      </c>
      <c r="BJ1628" s="1">
        <v>0</v>
      </c>
      <c r="BK1628" s="1">
        <v>0</v>
      </c>
      <c r="BL1628" s="1">
        <v>0</v>
      </c>
      <c r="BM1628" s="1">
        <v>0</v>
      </c>
      <c r="BN1628" s="1">
        <v>0</v>
      </c>
      <c r="BO1628" s="1">
        <v>0</v>
      </c>
      <c r="BP1628" s="1">
        <v>0</v>
      </c>
      <c r="BQ1628" s="1" t="s">
        <v>104</v>
      </c>
      <c r="BR1628" s="1">
        <v>1715</v>
      </c>
      <c r="BS1628" s="1" t="s">
        <v>104</v>
      </c>
      <c r="BV1628" s="1" t="s">
        <v>9009</v>
      </c>
      <c r="BX1628" s="1">
        <v>1</v>
      </c>
      <c r="BY1628" s="1" t="s">
        <v>104</v>
      </c>
      <c r="BZ1628" s="1" t="s">
        <v>104</v>
      </c>
      <c r="CA1628" s="1" t="s">
        <v>104</v>
      </c>
      <c r="CB1628" s="1" t="s">
        <v>104</v>
      </c>
      <c r="CC1628" s="1" t="s">
        <v>104</v>
      </c>
      <c r="CD1628" s="1" t="s">
        <v>104</v>
      </c>
      <c r="CE1628" s="1" t="s">
        <v>104</v>
      </c>
      <c r="CF1628" s="1" t="s">
        <v>104</v>
      </c>
      <c r="CG1628" s="1" t="s">
        <v>104</v>
      </c>
      <c r="CH1628" s="1" t="s">
        <v>104</v>
      </c>
      <c r="CJ1628" s="1">
        <v>0</v>
      </c>
      <c r="CK1628" s="1">
        <v>0</v>
      </c>
      <c r="CL1628" s="1">
        <v>0</v>
      </c>
      <c r="CM1628" s="1" t="s">
        <v>104</v>
      </c>
    </row>
    <row r="1629" spans="1:91" ht="14.25" customHeight="1" x14ac:dyDescent="0.3">
      <c r="A1629" s="1" t="s">
        <v>9010</v>
      </c>
      <c r="B1629" s="1" t="s">
        <v>216</v>
      </c>
      <c r="D1629" s="1" t="s">
        <v>49</v>
      </c>
      <c r="E1629" s="1" t="s">
        <v>9011</v>
      </c>
      <c r="F1629" s="1" t="s">
        <v>95</v>
      </c>
      <c r="G1629" s="1" t="s">
        <v>116</v>
      </c>
      <c r="H1629" s="1">
        <v>0</v>
      </c>
      <c r="I1629" s="1" t="s">
        <v>117</v>
      </c>
      <c r="L1629" s="1" t="s">
        <v>9012</v>
      </c>
      <c r="M1629" s="1" t="s">
        <v>119</v>
      </c>
      <c r="N1629" s="1">
        <v>0</v>
      </c>
      <c r="O1629" s="1">
        <v>0</v>
      </c>
      <c r="P1629" s="1" t="s">
        <v>2051</v>
      </c>
      <c r="Q1629" s="1" t="s">
        <v>184</v>
      </c>
      <c r="R1629" s="1" t="s">
        <v>9013</v>
      </c>
      <c r="S1629" s="1" t="s">
        <v>8997</v>
      </c>
      <c r="T1629" s="1">
        <v>1</v>
      </c>
      <c r="U1629" s="1">
        <v>1</v>
      </c>
      <c r="V1629" s="1">
        <v>0</v>
      </c>
      <c r="W1629" s="1">
        <v>0</v>
      </c>
      <c r="X1629" s="1">
        <v>0</v>
      </c>
      <c r="Y1629" s="1">
        <v>8</v>
      </c>
      <c r="Z1629" s="1">
        <v>8</v>
      </c>
      <c r="AA1629" s="1">
        <v>8</v>
      </c>
      <c r="AB1629" s="1" t="s">
        <v>104</v>
      </c>
      <c r="AC1629" s="1" t="s">
        <v>104</v>
      </c>
      <c r="AD1629" s="1" t="s">
        <v>104</v>
      </c>
      <c r="AE1629" s="1" t="s">
        <v>104</v>
      </c>
      <c r="AF1629" s="1" t="s">
        <v>104</v>
      </c>
      <c r="AG1629" s="1" t="s">
        <v>104</v>
      </c>
      <c r="AH1629" s="1">
        <v>8</v>
      </c>
      <c r="AI1629" s="1" t="s">
        <v>104</v>
      </c>
      <c r="AJ1629" s="1">
        <v>8</v>
      </c>
      <c r="AK1629" s="1" t="s">
        <v>104</v>
      </c>
      <c r="AL1629" s="1" t="s">
        <v>104</v>
      </c>
      <c r="AM1629" s="1" t="s">
        <v>104</v>
      </c>
      <c r="AO1629" s="1">
        <v>8</v>
      </c>
      <c r="AR1629" s="1">
        <v>0</v>
      </c>
      <c r="AS1629" s="1">
        <v>0</v>
      </c>
      <c r="AT1629" s="1">
        <v>0</v>
      </c>
      <c r="AU1629" s="1">
        <v>0</v>
      </c>
      <c r="AV1629" s="1">
        <v>0</v>
      </c>
      <c r="AW1629" s="1">
        <v>0</v>
      </c>
      <c r="AX1629" s="1">
        <v>1</v>
      </c>
      <c r="AY1629" s="1">
        <v>0</v>
      </c>
      <c r="AZ1629" s="1">
        <v>0</v>
      </c>
      <c r="BA1629" s="1">
        <v>0</v>
      </c>
      <c r="BB1629" s="1">
        <v>0</v>
      </c>
      <c r="BC1629" s="1">
        <v>0</v>
      </c>
      <c r="BD1629" s="1">
        <v>0</v>
      </c>
      <c r="BE1629" s="1">
        <v>0</v>
      </c>
      <c r="BF1629" s="1">
        <v>0</v>
      </c>
      <c r="BG1629" s="1">
        <v>0</v>
      </c>
      <c r="BH1629" s="1">
        <v>0</v>
      </c>
      <c r="BI1629" s="1">
        <v>0</v>
      </c>
      <c r="BJ1629" s="1">
        <v>0</v>
      </c>
      <c r="BK1629" s="1">
        <v>0</v>
      </c>
      <c r="BL1629" s="1">
        <v>0</v>
      </c>
      <c r="BM1629" s="1">
        <v>0</v>
      </c>
      <c r="BN1629" s="1">
        <v>0</v>
      </c>
      <c r="BO1629" s="1">
        <v>0</v>
      </c>
      <c r="BP1629" s="1">
        <v>0</v>
      </c>
      <c r="BQ1629" s="1" t="s">
        <v>104</v>
      </c>
      <c r="BR1629" s="1">
        <v>1716</v>
      </c>
      <c r="BS1629" s="1" t="s">
        <v>104</v>
      </c>
      <c r="BV1629" s="1" t="s">
        <v>9014</v>
      </c>
      <c r="BW1629" s="1" t="s">
        <v>9015</v>
      </c>
      <c r="BX1629" s="1">
        <v>1</v>
      </c>
      <c r="BY1629" s="1" t="s">
        <v>104</v>
      </c>
      <c r="BZ1629" s="1" t="s">
        <v>104</v>
      </c>
      <c r="CA1629" s="1" t="s">
        <v>104</v>
      </c>
      <c r="CB1629" s="1" t="s">
        <v>104</v>
      </c>
      <c r="CC1629" s="1" t="s">
        <v>104</v>
      </c>
      <c r="CD1629" s="1" t="s">
        <v>104</v>
      </c>
      <c r="CE1629" s="1" t="s">
        <v>104</v>
      </c>
      <c r="CF1629" s="1" t="s">
        <v>104</v>
      </c>
      <c r="CG1629" s="1" t="s">
        <v>104</v>
      </c>
      <c r="CH1629" s="1" t="s">
        <v>104</v>
      </c>
      <c r="CJ1629" s="1">
        <v>0</v>
      </c>
      <c r="CK1629" s="1">
        <v>0</v>
      </c>
      <c r="CL1629" s="1">
        <v>0</v>
      </c>
      <c r="CM1629" s="1" t="s">
        <v>104</v>
      </c>
    </row>
    <row r="1630" spans="1:91" ht="14.25" customHeight="1" x14ac:dyDescent="0.3">
      <c r="A1630" s="1" t="s">
        <v>9016</v>
      </c>
      <c r="B1630" s="1" t="s">
        <v>92</v>
      </c>
      <c r="C1630" s="1" t="s">
        <v>523</v>
      </c>
      <c r="E1630" s="1" t="s">
        <v>7229</v>
      </c>
      <c r="F1630" s="1" t="s">
        <v>95</v>
      </c>
      <c r="G1630" s="1" t="s">
        <v>116</v>
      </c>
      <c r="H1630" s="1">
        <v>0</v>
      </c>
      <c r="I1630" s="1" t="s">
        <v>117</v>
      </c>
      <c r="L1630" s="1" t="s">
        <v>541</v>
      </c>
      <c r="M1630" s="1" t="s">
        <v>111</v>
      </c>
      <c r="N1630" s="1">
        <v>0</v>
      </c>
      <c r="O1630" s="1">
        <v>0</v>
      </c>
      <c r="P1630" s="1" t="s">
        <v>375</v>
      </c>
      <c r="Q1630" s="1" t="s">
        <v>184</v>
      </c>
      <c r="R1630" s="1" t="s">
        <v>9017</v>
      </c>
      <c r="S1630" s="1" t="s">
        <v>8997</v>
      </c>
      <c r="T1630" s="1">
        <v>1</v>
      </c>
      <c r="U1630" s="1">
        <v>1</v>
      </c>
      <c r="V1630" s="1">
        <v>0</v>
      </c>
      <c r="W1630" s="1">
        <v>0</v>
      </c>
      <c r="X1630" s="1">
        <v>0</v>
      </c>
      <c r="Y1630" s="1" t="s">
        <v>104</v>
      </c>
      <c r="Z1630" s="1" t="s">
        <v>104</v>
      </c>
      <c r="AA1630" s="1">
        <v>6</v>
      </c>
      <c r="AB1630" s="1" t="s">
        <v>104</v>
      </c>
      <c r="AC1630" s="1" t="s">
        <v>104</v>
      </c>
      <c r="AD1630" s="1">
        <v>5</v>
      </c>
      <c r="AE1630" s="1" t="s">
        <v>104</v>
      </c>
      <c r="AF1630" s="1" t="s">
        <v>104</v>
      </c>
      <c r="AG1630" s="1" t="s">
        <v>104</v>
      </c>
      <c r="AH1630" s="1" t="s">
        <v>104</v>
      </c>
      <c r="AI1630" s="1" t="s">
        <v>104</v>
      </c>
      <c r="AJ1630" s="1">
        <v>6</v>
      </c>
      <c r="AK1630" s="1" t="s">
        <v>104</v>
      </c>
      <c r="AL1630" s="1" t="s">
        <v>104</v>
      </c>
      <c r="AM1630" s="1" t="s">
        <v>104</v>
      </c>
      <c r="AO1630" s="1">
        <v>6</v>
      </c>
      <c r="AR1630" s="1">
        <v>0</v>
      </c>
      <c r="AS1630" s="1">
        <v>0</v>
      </c>
      <c r="AT1630" s="1">
        <v>0</v>
      </c>
      <c r="AU1630" s="1">
        <v>0</v>
      </c>
      <c r="AV1630" s="1">
        <v>0</v>
      </c>
      <c r="AW1630" s="1">
        <v>0</v>
      </c>
      <c r="AX1630" s="1">
        <v>0</v>
      </c>
      <c r="AY1630" s="1">
        <v>0</v>
      </c>
      <c r="AZ1630" s="1">
        <v>0</v>
      </c>
      <c r="BA1630" s="1">
        <v>0</v>
      </c>
      <c r="BB1630" s="1">
        <v>0</v>
      </c>
      <c r="BC1630" s="1">
        <v>0</v>
      </c>
      <c r="BD1630" s="1">
        <v>0</v>
      </c>
      <c r="BE1630" s="1">
        <v>0</v>
      </c>
      <c r="BF1630" s="1">
        <v>0</v>
      </c>
      <c r="BG1630" s="1">
        <v>0</v>
      </c>
      <c r="BH1630" s="1">
        <v>0</v>
      </c>
      <c r="BI1630" s="1">
        <v>0</v>
      </c>
      <c r="BJ1630" s="1">
        <v>0</v>
      </c>
      <c r="BK1630" s="1">
        <v>0</v>
      </c>
      <c r="BL1630" s="1">
        <v>0</v>
      </c>
      <c r="BM1630" s="1">
        <v>0</v>
      </c>
      <c r="BN1630" s="1">
        <v>0</v>
      </c>
      <c r="BO1630" s="1">
        <v>0</v>
      </c>
      <c r="BP1630" s="1">
        <v>0</v>
      </c>
      <c r="BQ1630" s="1" t="s">
        <v>104</v>
      </c>
      <c r="BR1630" s="1">
        <v>1717</v>
      </c>
      <c r="BS1630" s="1" t="s">
        <v>104</v>
      </c>
      <c r="BX1630" s="1">
        <v>1</v>
      </c>
      <c r="BY1630" s="1" t="s">
        <v>104</v>
      </c>
      <c r="BZ1630" s="1" t="s">
        <v>104</v>
      </c>
      <c r="CA1630" s="1" t="s">
        <v>104</v>
      </c>
      <c r="CB1630" s="1" t="s">
        <v>104</v>
      </c>
      <c r="CC1630" s="1" t="s">
        <v>104</v>
      </c>
      <c r="CD1630" s="1" t="s">
        <v>104</v>
      </c>
      <c r="CE1630" s="1" t="s">
        <v>104</v>
      </c>
      <c r="CF1630" s="1" t="s">
        <v>104</v>
      </c>
      <c r="CG1630" s="1" t="s">
        <v>104</v>
      </c>
      <c r="CH1630" s="1" t="s">
        <v>104</v>
      </c>
      <c r="CJ1630" s="1">
        <v>0</v>
      </c>
      <c r="CK1630" s="1">
        <v>0</v>
      </c>
      <c r="CL1630" s="1">
        <v>0</v>
      </c>
      <c r="CM1630" s="1" t="s">
        <v>104</v>
      </c>
    </row>
    <row r="1631" spans="1:91" ht="14.25" customHeight="1" x14ac:dyDescent="0.3">
      <c r="A1631" s="1" t="s">
        <v>9018</v>
      </c>
      <c r="B1631" s="1" t="s">
        <v>216</v>
      </c>
      <c r="D1631" s="1" t="s">
        <v>47</v>
      </c>
      <c r="E1631" s="1" t="s">
        <v>9019</v>
      </c>
      <c r="F1631" s="1" t="s">
        <v>255</v>
      </c>
      <c r="G1631" s="1" t="s">
        <v>116</v>
      </c>
      <c r="H1631" s="1">
        <v>0</v>
      </c>
      <c r="I1631" s="1" t="s">
        <v>117</v>
      </c>
      <c r="L1631" s="1" t="s">
        <v>1065</v>
      </c>
      <c r="M1631" s="1" t="s">
        <v>194</v>
      </c>
      <c r="N1631" s="1">
        <v>0</v>
      </c>
      <c r="O1631" s="1">
        <v>0</v>
      </c>
      <c r="P1631" s="1" t="s">
        <v>211</v>
      </c>
      <c r="Q1631" s="1" t="s">
        <v>184</v>
      </c>
      <c r="R1631" s="1" t="s">
        <v>9020</v>
      </c>
      <c r="S1631" s="1" t="s">
        <v>9021</v>
      </c>
      <c r="T1631" s="1">
        <v>1</v>
      </c>
      <c r="U1631" s="1">
        <v>1</v>
      </c>
      <c r="V1631" s="1">
        <v>0</v>
      </c>
      <c r="W1631" s="1">
        <v>0</v>
      </c>
      <c r="X1631" s="1">
        <v>0</v>
      </c>
      <c r="Y1631" s="1">
        <v>3</v>
      </c>
      <c r="Z1631" s="1">
        <v>3</v>
      </c>
      <c r="AA1631" s="1" t="s">
        <v>104</v>
      </c>
      <c r="AB1631" s="1" t="s">
        <v>104</v>
      </c>
      <c r="AC1631" s="1" t="s">
        <v>104</v>
      </c>
      <c r="AD1631" s="1" t="s">
        <v>104</v>
      </c>
      <c r="AE1631" s="1" t="s">
        <v>104</v>
      </c>
      <c r="AF1631" s="1" t="s">
        <v>104</v>
      </c>
      <c r="AG1631" s="1" t="s">
        <v>104</v>
      </c>
      <c r="AH1631" s="1">
        <v>3</v>
      </c>
      <c r="AI1631" s="1" t="s">
        <v>104</v>
      </c>
      <c r="AJ1631" s="1" t="s">
        <v>104</v>
      </c>
      <c r="AK1631" s="1">
        <v>3</v>
      </c>
      <c r="AL1631" s="1" t="s">
        <v>104</v>
      </c>
      <c r="AM1631" s="1" t="s">
        <v>104</v>
      </c>
      <c r="AO1631" s="1">
        <v>3</v>
      </c>
      <c r="AR1631" s="1">
        <v>0</v>
      </c>
      <c r="AS1631" s="1">
        <v>0</v>
      </c>
      <c r="AT1631" s="1">
        <v>0</v>
      </c>
      <c r="AU1631" s="1">
        <v>0</v>
      </c>
      <c r="AV1631" s="1">
        <v>1</v>
      </c>
      <c r="AW1631" s="1">
        <v>0</v>
      </c>
      <c r="AX1631" s="1">
        <v>0</v>
      </c>
      <c r="AY1631" s="1">
        <v>0</v>
      </c>
      <c r="AZ1631" s="1">
        <v>0</v>
      </c>
      <c r="BA1631" s="1">
        <v>0</v>
      </c>
      <c r="BB1631" s="1">
        <v>0</v>
      </c>
      <c r="BC1631" s="1">
        <v>0</v>
      </c>
      <c r="BD1631" s="1">
        <v>0</v>
      </c>
      <c r="BE1631" s="1">
        <v>0</v>
      </c>
      <c r="BF1631" s="1">
        <v>0</v>
      </c>
      <c r="BG1631" s="1">
        <v>0</v>
      </c>
      <c r="BH1631" s="1">
        <v>0</v>
      </c>
      <c r="BI1631" s="1">
        <v>0</v>
      </c>
      <c r="BJ1631" s="1">
        <v>0</v>
      </c>
      <c r="BK1631" s="1">
        <v>0</v>
      </c>
      <c r="BL1631" s="1">
        <v>0</v>
      </c>
      <c r="BM1631" s="1">
        <v>0</v>
      </c>
      <c r="BN1631" s="1">
        <v>0</v>
      </c>
      <c r="BO1631" s="1">
        <v>0</v>
      </c>
      <c r="BP1631" s="1">
        <v>0</v>
      </c>
      <c r="BQ1631" s="1" t="s">
        <v>104</v>
      </c>
      <c r="BR1631" s="1">
        <v>1718</v>
      </c>
      <c r="BS1631" s="1" t="s">
        <v>104</v>
      </c>
      <c r="BX1631" s="1">
        <v>0</v>
      </c>
      <c r="BY1631" s="1" t="s">
        <v>104</v>
      </c>
      <c r="BZ1631" s="1" t="s">
        <v>104</v>
      </c>
      <c r="CA1631" s="1" t="s">
        <v>104</v>
      </c>
      <c r="CB1631" s="1" t="s">
        <v>104</v>
      </c>
      <c r="CC1631" s="1" t="s">
        <v>104</v>
      </c>
      <c r="CD1631" s="1" t="s">
        <v>104</v>
      </c>
      <c r="CE1631" s="1" t="s">
        <v>104</v>
      </c>
      <c r="CF1631" s="1" t="s">
        <v>104</v>
      </c>
      <c r="CG1631" s="1" t="s">
        <v>104</v>
      </c>
      <c r="CH1631" s="1" t="s">
        <v>104</v>
      </c>
      <c r="CJ1631" s="1">
        <v>0</v>
      </c>
      <c r="CK1631" s="1">
        <v>0</v>
      </c>
      <c r="CL1631" s="1">
        <v>0</v>
      </c>
      <c r="CM1631" s="1" t="s">
        <v>104</v>
      </c>
    </row>
    <row r="1632" spans="1:91" ht="14.25" customHeight="1" x14ac:dyDescent="0.3">
      <c r="A1632" s="1" t="s">
        <v>9022</v>
      </c>
      <c r="B1632" s="1" t="s">
        <v>216</v>
      </c>
      <c r="E1632" s="1" t="s">
        <v>5560</v>
      </c>
      <c r="F1632" s="1" t="s">
        <v>95</v>
      </c>
      <c r="G1632" s="1" t="s">
        <v>116</v>
      </c>
      <c r="H1632" s="1">
        <v>0</v>
      </c>
      <c r="I1632" s="1" t="s">
        <v>128</v>
      </c>
      <c r="L1632" s="1" t="s">
        <v>9023</v>
      </c>
      <c r="M1632" s="1" t="s">
        <v>2406</v>
      </c>
      <c r="N1632" s="1">
        <v>0</v>
      </c>
      <c r="O1632" s="1">
        <v>0</v>
      </c>
      <c r="P1632" s="1" t="s">
        <v>418</v>
      </c>
      <c r="Q1632" s="1" t="s">
        <v>184</v>
      </c>
      <c r="R1632" s="1" t="s">
        <v>9024</v>
      </c>
      <c r="S1632" s="1" t="s">
        <v>9021</v>
      </c>
      <c r="T1632" s="1">
        <v>1</v>
      </c>
      <c r="U1632" s="1">
        <v>1</v>
      </c>
      <c r="V1632" s="1">
        <v>0</v>
      </c>
      <c r="W1632" s="1">
        <v>0</v>
      </c>
      <c r="X1632" s="1">
        <v>0</v>
      </c>
      <c r="Y1632" s="1" t="s">
        <v>104</v>
      </c>
      <c r="Z1632" s="1" t="s">
        <v>104</v>
      </c>
      <c r="AA1632" s="1" t="s">
        <v>104</v>
      </c>
      <c r="AB1632" s="1">
        <v>6</v>
      </c>
      <c r="AC1632" s="1" t="s">
        <v>104</v>
      </c>
      <c r="AD1632" s="1" t="s">
        <v>104</v>
      </c>
      <c r="AE1632" s="1" t="s">
        <v>104</v>
      </c>
      <c r="AF1632" s="1" t="s">
        <v>104</v>
      </c>
      <c r="AG1632" s="1" t="s">
        <v>104</v>
      </c>
      <c r="AH1632" s="1">
        <v>6</v>
      </c>
      <c r="AI1632" s="1" t="s">
        <v>104</v>
      </c>
      <c r="AJ1632" s="1" t="s">
        <v>104</v>
      </c>
      <c r="AK1632" s="1" t="s">
        <v>104</v>
      </c>
      <c r="AL1632" s="1" t="s">
        <v>104</v>
      </c>
      <c r="AM1632" s="1" t="s">
        <v>104</v>
      </c>
      <c r="AO1632" s="1">
        <v>6</v>
      </c>
      <c r="AR1632" s="1">
        <v>0</v>
      </c>
      <c r="AS1632" s="1">
        <v>0</v>
      </c>
      <c r="AT1632" s="1">
        <v>0</v>
      </c>
      <c r="AU1632" s="1">
        <v>0</v>
      </c>
      <c r="AV1632" s="1">
        <v>0</v>
      </c>
      <c r="AW1632" s="1">
        <v>0</v>
      </c>
      <c r="AX1632" s="1">
        <v>0</v>
      </c>
      <c r="AY1632" s="1">
        <v>0</v>
      </c>
      <c r="AZ1632" s="1">
        <v>0</v>
      </c>
      <c r="BA1632" s="1">
        <v>0</v>
      </c>
      <c r="BB1632" s="1">
        <v>0</v>
      </c>
      <c r="BC1632" s="1">
        <v>0</v>
      </c>
      <c r="BD1632" s="1">
        <v>0</v>
      </c>
      <c r="BE1632" s="1">
        <v>0</v>
      </c>
      <c r="BF1632" s="1">
        <v>0</v>
      </c>
      <c r="BG1632" s="1">
        <v>0</v>
      </c>
      <c r="BH1632" s="1">
        <v>0</v>
      </c>
      <c r="BI1632" s="1">
        <v>0</v>
      </c>
      <c r="BJ1632" s="1">
        <v>0</v>
      </c>
      <c r="BK1632" s="1">
        <v>0</v>
      </c>
      <c r="BL1632" s="1">
        <v>0</v>
      </c>
      <c r="BM1632" s="1">
        <v>0</v>
      </c>
      <c r="BN1632" s="1">
        <v>0</v>
      </c>
      <c r="BO1632" s="1">
        <v>0</v>
      </c>
      <c r="BP1632" s="1">
        <v>0</v>
      </c>
      <c r="BQ1632" s="1" t="s">
        <v>104</v>
      </c>
      <c r="BR1632" s="1">
        <v>1719</v>
      </c>
      <c r="BS1632" s="1" t="s">
        <v>104</v>
      </c>
      <c r="BX1632" s="1">
        <v>0</v>
      </c>
      <c r="BY1632" s="1" t="s">
        <v>104</v>
      </c>
      <c r="BZ1632" s="1" t="s">
        <v>104</v>
      </c>
      <c r="CA1632" s="1" t="s">
        <v>104</v>
      </c>
      <c r="CB1632" s="1" t="s">
        <v>104</v>
      </c>
      <c r="CC1632" s="1" t="s">
        <v>104</v>
      </c>
      <c r="CD1632" s="1" t="s">
        <v>104</v>
      </c>
      <c r="CE1632" s="1" t="s">
        <v>104</v>
      </c>
      <c r="CF1632" s="1" t="s">
        <v>104</v>
      </c>
      <c r="CG1632" s="1" t="s">
        <v>104</v>
      </c>
      <c r="CH1632" s="1">
        <v>6</v>
      </c>
      <c r="CJ1632" s="1">
        <v>0</v>
      </c>
      <c r="CK1632" s="1">
        <v>0</v>
      </c>
      <c r="CL1632" s="1">
        <v>0</v>
      </c>
      <c r="CM1632" s="1" t="s">
        <v>104</v>
      </c>
    </row>
    <row r="1633" spans="1:91" ht="14.25" customHeight="1" x14ac:dyDescent="0.3">
      <c r="A1633" s="1" t="s">
        <v>9025</v>
      </c>
      <c r="B1633" s="1" t="s">
        <v>216</v>
      </c>
      <c r="E1633" s="1" t="s">
        <v>9026</v>
      </c>
      <c r="F1633" s="1" t="s">
        <v>95</v>
      </c>
      <c r="G1633" s="1" t="s">
        <v>116</v>
      </c>
      <c r="H1633" s="1">
        <v>0</v>
      </c>
      <c r="I1633" s="1" t="s">
        <v>128</v>
      </c>
      <c r="L1633" s="1" t="s">
        <v>8209</v>
      </c>
      <c r="M1633" s="1" t="s">
        <v>2406</v>
      </c>
      <c r="N1633" s="1">
        <v>0</v>
      </c>
      <c r="O1633" s="1">
        <v>0</v>
      </c>
      <c r="P1633" s="1" t="s">
        <v>418</v>
      </c>
      <c r="Q1633" s="1" t="s">
        <v>184</v>
      </c>
      <c r="R1633" s="1" t="s">
        <v>9027</v>
      </c>
      <c r="S1633" s="1" t="s">
        <v>9021</v>
      </c>
      <c r="T1633" s="1">
        <v>1</v>
      </c>
      <c r="U1633" s="1">
        <v>1</v>
      </c>
      <c r="V1633" s="1">
        <v>0</v>
      </c>
      <c r="W1633" s="1">
        <v>0</v>
      </c>
      <c r="X1633" s="1">
        <v>0</v>
      </c>
      <c r="Y1633" s="1" t="s">
        <v>104</v>
      </c>
      <c r="Z1633" s="1" t="s">
        <v>104</v>
      </c>
      <c r="AA1633" s="1" t="s">
        <v>104</v>
      </c>
      <c r="AB1633" s="1" t="s">
        <v>104</v>
      </c>
      <c r="AC1633" s="1" t="s">
        <v>104</v>
      </c>
      <c r="AD1633" s="1" t="s">
        <v>104</v>
      </c>
      <c r="AE1633" s="1" t="s">
        <v>104</v>
      </c>
      <c r="AF1633" s="1" t="s">
        <v>104</v>
      </c>
      <c r="AG1633" s="1" t="s">
        <v>104</v>
      </c>
      <c r="AH1633" s="1">
        <v>8</v>
      </c>
      <c r="AI1633" s="1" t="s">
        <v>104</v>
      </c>
      <c r="AJ1633" s="1" t="s">
        <v>104</v>
      </c>
      <c r="AK1633" s="1" t="s">
        <v>104</v>
      </c>
      <c r="AL1633" s="1" t="s">
        <v>104</v>
      </c>
      <c r="AM1633" s="1" t="s">
        <v>104</v>
      </c>
      <c r="AO1633" s="1">
        <v>8</v>
      </c>
      <c r="AR1633" s="1">
        <v>0</v>
      </c>
      <c r="AS1633" s="1">
        <v>0</v>
      </c>
      <c r="AT1633" s="1">
        <v>0</v>
      </c>
      <c r="AU1633" s="1">
        <v>0</v>
      </c>
      <c r="AV1633" s="1">
        <v>0</v>
      </c>
      <c r="AW1633" s="1">
        <v>0</v>
      </c>
      <c r="AX1633" s="1">
        <v>0</v>
      </c>
      <c r="AY1633" s="1">
        <v>0</v>
      </c>
      <c r="AZ1633" s="1">
        <v>0</v>
      </c>
      <c r="BA1633" s="1">
        <v>0</v>
      </c>
      <c r="BB1633" s="1">
        <v>0</v>
      </c>
      <c r="BC1633" s="1">
        <v>0</v>
      </c>
      <c r="BD1633" s="1">
        <v>0</v>
      </c>
      <c r="BE1633" s="1">
        <v>0</v>
      </c>
      <c r="BF1633" s="1">
        <v>0</v>
      </c>
      <c r="BG1633" s="1">
        <v>0</v>
      </c>
      <c r="BH1633" s="1">
        <v>0</v>
      </c>
      <c r="BI1633" s="1">
        <v>0</v>
      </c>
      <c r="BJ1633" s="1">
        <v>0</v>
      </c>
      <c r="BK1633" s="1">
        <v>0</v>
      </c>
      <c r="BL1633" s="1">
        <v>0</v>
      </c>
      <c r="BM1633" s="1">
        <v>0</v>
      </c>
      <c r="BN1633" s="1">
        <v>0</v>
      </c>
      <c r="BO1633" s="1">
        <v>0</v>
      </c>
      <c r="BP1633" s="1">
        <v>0</v>
      </c>
      <c r="BQ1633" s="1" t="s">
        <v>104</v>
      </c>
      <c r="BR1633" s="1">
        <v>1720</v>
      </c>
      <c r="BS1633" s="1" t="s">
        <v>104</v>
      </c>
      <c r="BX1633" s="1">
        <v>0</v>
      </c>
      <c r="BY1633" s="1" t="s">
        <v>104</v>
      </c>
      <c r="BZ1633" s="1" t="s">
        <v>104</v>
      </c>
      <c r="CA1633" s="1" t="s">
        <v>104</v>
      </c>
      <c r="CB1633" s="1" t="s">
        <v>104</v>
      </c>
      <c r="CC1633" s="1" t="s">
        <v>104</v>
      </c>
      <c r="CD1633" s="1" t="s">
        <v>104</v>
      </c>
      <c r="CE1633" s="1" t="s">
        <v>104</v>
      </c>
      <c r="CF1633" s="1" t="s">
        <v>104</v>
      </c>
      <c r="CG1633" s="1" t="s">
        <v>104</v>
      </c>
      <c r="CH1633" s="1" t="s">
        <v>104</v>
      </c>
      <c r="CJ1633" s="1">
        <v>0</v>
      </c>
      <c r="CK1633" s="1">
        <v>0</v>
      </c>
      <c r="CL1633" s="1">
        <v>0</v>
      </c>
      <c r="CM1633" s="1" t="s">
        <v>104</v>
      </c>
    </row>
    <row r="1634" spans="1:91" ht="14.25" customHeight="1" x14ac:dyDescent="0.3">
      <c r="A1634" s="1" t="s">
        <v>9028</v>
      </c>
      <c r="B1634" s="1" t="s">
        <v>137</v>
      </c>
      <c r="D1634" s="1" t="s">
        <v>67</v>
      </c>
      <c r="E1634" s="1" t="s">
        <v>9029</v>
      </c>
      <c r="F1634" s="1" t="s">
        <v>95</v>
      </c>
      <c r="G1634" s="1" t="s">
        <v>127</v>
      </c>
      <c r="H1634" s="1">
        <v>0</v>
      </c>
      <c r="I1634" s="1" t="s">
        <v>109</v>
      </c>
      <c r="J1634" s="1" t="s">
        <v>9030</v>
      </c>
      <c r="M1634" s="1" t="s">
        <v>4641</v>
      </c>
      <c r="N1634" s="1">
        <v>1</v>
      </c>
      <c r="O1634" s="1">
        <v>0</v>
      </c>
      <c r="P1634" s="1" t="s">
        <v>6053</v>
      </c>
      <c r="Q1634" s="1" t="s">
        <v>101</v>
      </c>
      <c r="R1634" s="1" t="s">
        <v>9031</v>
      </c>
      <c r="S1634" s="1" t="s">
        <v>9032</v>
      </c>
      <c r="T1634" s="1">
        <v>1</v>
      </c>
      <c r="U1634" s="1">
        <v>1</v>
      </c>
      <c r="V1634" s="1">
        <v>0</v>
      </c>
      <c r="W1634" s="1">
        <v>0</v>
      </c>
      <c r="X1634" s="1">
        <v>1</v>
      </c>
      <c r="Y1634" s="1" t="s">
        <v>104</v>
      </c>
      <c r="Z1634" s="1" t="s">
        <v>104</v>
      </c>
      <c r="AA1634" s="1">
        <v>4</v>
      </c>
      <c r="AB1634" s="1">
        <v>4</v>
      </c>
      <c r="AC1634" s="1">
        <v>4</v>
      </c>
      <c r="AD1634" s="1" t="s">
        <v>104</v>
      </c>
      <c r="AE1634" s="1" t="s">
        <v>104</v>
      </c>
      <c r="AF1634" s="1" t="s">
        <v>104</v>
      </c>
      <c r="AG1634" s="1" t="s">
        <v>104</v>
      </c>
      <c r="AH1634" s="1" t="s">
        <v>104</v>
      </c>
      <c r="AI1634" s="1" t="s">
        <v>104</v>
      </c>
      <c r="AJ1634" s="1">
        <v>4</v>
      </c>
      <c r="AK1634" s="1" t="s">
        <v>104</v>
      </c>
      <c r="AL1634" s="1" t="s">
        <v>104</v>
      </c>
      <c r="AM1634" s="1" t="s">
        <v>104</v>
      </c>
      <c r="AO1634" s="1">
        <v>4</v>
      </c>
      <c r="AR1634" s="1">
        <v>0</v>
      </c>
      <c r="AS1634" s="1">
        <v>0</v>
      </c>
      <c r="AT1634" s="1">
        <v>0</v>
      </c>
      <c r="AU1634" s="1">
        <v>0</v>
      </c>
      <c r="AV1634" s="1">
        <v>0</v>
      </c>
      <c r="AW1634" s="1">
        <v>0</v>
      </c>
      <c r="AX1634" s="1">
        <v>0</v>
      </c>
      <c r="AY1634" s="1">
        <v>0</v>
      </c>
      <c r="AZ1634" s="1">
        <v>0</v>
      </c>
      <c r="BA1634" s="1">
        <v>0</v>
      </c>
      <c r="BB1634" s="1">
        <v>0</v>
      </c>
      <c r="BC1634" s="1">
        <v>0</v>
      </c>
      <c r="BD1634" s="1">
        <v>0</v>
      </c>
      <c r="BE1634" s="1">
        <v>0</v>
      </c>
      <c r="BF1634" s="1">
        <v>0</v>
      </c>
      <c r="BG1634" s="1">
        <v>0</v>
      </c>
      <c r="BH1634" s="1">
        <v>0</v>
      </c>
      <c r="BI1634" s="1">
        <v>0</v>
      </c>
      <c r="BJ1634" s="1">
        <v>0</v>
      </c>
      <c r="BK1634" s="1">
        <v>0</v>
      </c>
      <c r="BL1634" s="1">
        <v>0</v>
      </c>
      <c r="BM1634" s="1">
        <v>0</v>
      </c>
      <c r="BN1634" s="1">
        <v>0</v>
      </c>
      <c r="BO1634" s="1">
        <v>0</v>
      </c>
      <c r="BP1634" s="1">
        <v>1</v>
      </c>
      <c r="BQ1634" s="1" t="s">
        <v>104</v>
      </c>
      <c r="BR1634" s="1">
        <v>1721</v>
      </c>
      <c r="BS1634" s="1" t="s">
        <v>104</v>
      </c>
      <c r="BX1634" s="1">
        <v>0</v>
      </c>
      <c r="BY1634" s="1" t="s">
        <v>104</v>
      </c>
      <c r="BZ1634" s="1" t="s">
        <v>104</v>
      </c>
      <c r="CA1634" s="1" t="s">
        <v>104</v>
      </c>
      <c r="CB1634" s="1" t="s">
        <v>104</v>
      </c>
      <c r="CC1634" s="1" t="s">
        <v>104</v>
      </c>
      <c r="CD1634" s="1" t="s">
        <v>104</v>
      </c>
      <c r="CE1634" s="1" t="s">
        <v>104</v>
      </c>
      <c r="CF1634" s="1" t="s">
        <v>104</v>
      </c>
      <c r="CG1634" s="1" t="s">
        <v>104</v>
      </c>
      <c r="CH1634" s="1">
        <v>4</v>
      </c>
      <c r="CJ1634" s="1">
        <v>0</v>
      </c>
      <c r="CK1634" s="1">
        <v>0</v>
      </c>
      <c r="CL1634" s="1">
        <v>0</v>
      </c>
      <c r="CM1634" s="1" t="s">
        <v>104</v>
      </c>
    </row>
    <row r="1635" spans="1:91" ht="14.25" customHeight="1" x14ac:dyDescent="0.3">
      <c r="A1635" s="1" t="s">
        <v>9033</v>
      </c>
      <c r="B1635" s="1" t="s">
        <v>216</v>
      </c>
      <c r="D1635" s="1" t="s">
        <v>599</v>
      </c>
      <c r="E1635" s="1" t="s">
        <v>9034</v>
      </c>
      <c r="F1635" s="1" t="s">
        <v>95</v>
      </c>
      <c r="G1635" s="1" t="s">
        <v>116</v>
      </c>
      <c r="H1635" s="1">
        <v>0</v>
      </c>
      <c r="I1635" s="1" t="s">
        <v>117</v>
      </c>
      <c r="J1635" s="1" t="s">
        <v>4454</v>
      </c>
      <c r="M1635" s="1" t="s">
        <v>111</v>
      </c>
      <c r="N1635" s="1">
        <v>0</v>
      </c>
      <c r="O1635" s="1">
        <v>0</v>
      </c>
      <c r="P1635" s="1" t="s">
        <v>211</v>
      </c>
      <c r="Q1635" s="1" t="s">
        <v>184</v>
      </c>
      <c r="R1635" s="1" t="s">
        <v>9035</v>
      </c>
      <c r="S1635" s="1" t="s">
        <v>9032</v>
      </c>
      <c r="T1635" s="1">
        <v>1</v>
      </c>
      <c r="U1635" s="1">
        <v>1</v>
      </c>
      <c r="V1635" s="1">
        <v>0</v>
      </c>
      <c r="W1635" s="1">
        <v>0</v>
      </c>
      <c r="X1635" s="1">
        <v>0</v>
      </c>
      <c r="Y1635" s="1">
        <v>3</v>
      </c>
      <c r="Z1635" s="1">
        <v>3</v>
      </c>
      <c r="AA1635" s="1">
        <v>3</v>
      </c>
      <c r="AB1635" s="1">
        <v>3</v>
      </c>
      <c r="AC1635" s="1" t="s">
        <v>104</v>
      </c>
      <c r="AD1635" s="1">
        <v>2</v>
      </c>
      <c r="AE1635" s="1" t="s">
        <v>104</v>
      </c>
      <c r="AF1635" s="1" t="s">
        <v>104</v>
      </c>
      <c r="AG1635" s="1" t="s">
        <v>104</v>
      </c>
      <c r="AH1635" s="1">
        <v>3</v>
      </c>
      <c r="AI1635" s="1" t="s">
        <v>104</v>
      </c>
      <c r="AJ1635" s="1">
        <v>3</v>
      </c>
      <c r="AK1635" s="1" t="s">
        <v>104</v>
      </c>
      <c r="AL1635" s="1" t="s">
        <v>104</v>
      </c>
      <c r="AM1635" s="1" t="s">
        <v>104</v>
      </c>
      <c r="AO1635" s="1">
        <v>3</v>
      </c>
      <c r="AR1635" s="1">
        <v>0</v>
      </c>
      <c r="AS1635" s="1">
        <v>0</v>
      </c>
      <c r="AT1635" s="1">
        <v>0</v>
      </c>
      <c r="AU1635" s="1">
        <v>0</v>
      </c>
      <c r="AV1635" s="1">
        <v>0</v>
      </c>
      <c r="AW1635" s="1">
        <v>0</v>
      </c>
      <c r="AX1635" s="1">
        <v>0</v>
      </c>
      <c r="AY1635" s="1">
        <v>0</v>
      </c>
      <c r="AZ1635" s="1">
        <v>0</v>
      </c>
      <c r="BA1635" s="1">
        <v>0</v>
      </c>
      <c r="BB1635" s="1">
        <v>1</v>
      </c>
      <c r="BC1635" s="1">
        <v>0</v>
      </c>
      <c r="BD1635" s="1">
        <v>1</v>
      </c>
      <c r="BE1635" s="1">
        <v>0</v>
      </c>
      <c r="BF1635" s="1">
        <v>0</v>
      </c>
      <c r="BG1635" s="1">
        <v>0</v>
      </c>
      <c r="BH1635" s="1">
        <v>0</v>
      </c>
      <c r="BI1635" s="1">
        <v>0</v>
      </c>
      <c r="BJ1635" s="1">
        <v>0</v>
      </c>
      <c r="BK1635" s="1">
        <v>1</v>
      </c>
      <c r="BL1635" s="1">
        <v>0</v>
      </c>
      <c r="BM1635" s="1">
        <v>0</v>
      </c>
      <c r="BN1635" s="1">
        <v>0</v>
      </c>
      <c r="BO1635" s="1">
        <v>0</v>
      </c>
      <c r="BP1635" s="1">
        <v>0</v>
      </c>
      <c r="BQ1635" s="1" t="s">
        <v>104</v>
      </c>
      <c r="BR1635" s="1">
        <v>1722</v>
      </c>
      <c r="BS1635" s="1" t="s">
        <v>104</v>
      </c>
      <c r="BX1635" s="1">
        <v>0</v>
      </c>
      <c r="BY1635" s="1" t="s">
        <v>104</v>
      </c>
      <c r="BZ1635" s="1" t="s">
        <v>104</v>
      </c>
      <c r="CA1635" s="1" t="s">
        <v>104</v>
      </c>
      <c r="CB1635" s="1" t="s">
        <v>104</v>
      </c>
      <c r="CC1635" s="1" t="s">
        <v>104</v>
      </c>
      <c r="CD1635" s="1" t="s">
        <v>104</v>
      </c>
      <c r="CE1635" s="1" t="s">
        <v>104</v>
      </c>
      <c r="CF1635" s="1" t="s">
        <v>104</v>
      </c>
      <c r="CG1635" s="1" t="s">
        <v>104</v>
      </c>
      <c r="CH1635" s="1">
        <v>3</v>
      </c>
      <c r="CJ1635" s="1">
        <v>0</v>
      </c>
      <c r="CK1635" s="1">
        <v>0</v>
      </c>
      <c r="CL1635" s="1">
        <v>0</v>
      </c>
      <c r="CM1635" s="1" t="s">
        <v>104</v>
      </c>
    </row>
    <row r="1636" spans="1:91" ht="14.25" customHeight="1" x14ac:dyDescent="0.3">
      <c r="A1636" s="1" t="s">
        <v>9036</v>
      </c>
      <c r="B1636" s="1" t="s">
        <v>216</v>
      </c>
      <c r="E1636" s="1" t="s">
        <v>9037</v>
      </c>
      <c r="F1636" s="1" t="s">
        <v>95</v>
      </c>
      <c r="G1636" s="1" t="s">
        <v>1623</v>
      </c>
      <c r="H1636" s="1">
        <v>0</v>
      </c>
      <c r="I1636" s="1" t="s">
        <v>128</v>
      </c>
      <c r="L1636" s="1" t="s">
        <v>417</v>
      </c>
      <c r="M1636" s="1" t="s">
        <v>1519</v>
      </c>
      <c r="N1636" s="1">
        <v>0</v>
      </c>
      <c r="O1636" s="1">
        <v>0</v>
      </c>
      <c r="P1636" s="1" t="s">
        <v>4583</v>
      </c>
      <c r="Q1636" s="1" t="s">
        <v>184</v>
      </c>
      <c r="R1636" s="1" t="s">
        <v>9038</v>
      </c>
      <c r="S1636" s="1" t="s">
        <v>9032</v>
      </c>
      <c r="T1636" s="1">
        <v>1</v>
      </c>
      <c r="U1636" s="1">
        <v>1</v>
      </c>
      <c r="V1636" s="1">
        <v>1</v>
      </c>
      <c r="W1636" s="1">
        <v>0</v>
      </c>
      <c r="X1636" s="1">
        <v>0</v>
      </c>
      <c r="Y1636" s="1">
        <v>5</v>
      </c>
      <c r="Z1636" s="1">
        <v>5</v>
      </c>
      <c r="AA1636" s="1" t="s">
        <v>104</v>
      </c>
      <c r="AB1636" s="1" t="s">
        <v>104</v>
      </c>
      <c r="AC1636" s="1" t="s">
        <v>104</v>
      </c>
      <c r="AD1636" s="1" t="s">
        <v>104</v>
      </c>
      <c r="AE1636" s="1" t="s">
        <v>104</v>
      </c>
      <c r="AF1636" s="1" t="s">
        <v>104</v>
      </c>
      <c r="AG1636" s="1" t="s">
        <v>104</v>
      </c>
      <c r="AH1636" s="1">
        <v>5</v>
      </c>
      <c r="AI1636" s="1" t="s">
        <v>104</v>
      </c>
      <c r="AJ1636" s="1" t="s">
        <v>104</v>
      </c>
      <c r="AK1636" s="1" t="s">
        <v>104</v>
      </c>
      <c r="AL1636" s="1">
        <v>5</v>
      </c>
      <c r="AM1636" s="1" t="s">
        <v>104</v>
      </c>
      <c r="AO1636" s="1">
        <v>5</v>
      </c>
      <c r="AR1636" s="1">
        <v>0</v>
      </c>
      <c r="AS1636" s="1">
        <v>0</v>
      </c>
      <c r="AT1636" s="1">
        <v>0</v>
      </c>
      <c r="AU1636" s="1">
        <v>0</v>
      </c>
      <c r="AV1636" s="1">
        <v>0</v>
      </c>
      <c r="AW1636" s="1">
        <v>0</v>
      </c>
      <c r="AX1636" s="1">
        <v>0</v>
      </c>
      <c r="AY1636" s="1">
        <v>0</v>
      </c>
      <c r="AZ1636" s="1">
        <v>0</v>
      </c>
      <c r="BA1636" s="1">
        <v>0</v>
      </c>
      <c r="BB1636" s="1">
        <v>0</v>
      </c>
      <c r="BC1636" s="1">
        <v>0</v>
      </c>
      <c r="BD1636" s="1">
        <v>0</v>
      </c>
      <c r="BE1636" s="1">
        <v>0</v>
      </c>
      <c r="BF1636" s="1">
        <v>0</v>
      </c>
      <c r="BG1636" s="1">
        <v>0</v>
      </c>
      <c r="BH1636" s="1">
        <v>0</v>
      </c>
      <c r="BI1636" s="1">
        <v>0</v>
      </c>
      <c r="BJ1636" s="1">
        <v>0</v>
      </c>
      <c r="BK1636" s="1">
        <v>0</v>
      </c>
      <c r="BL1636" s="1">
        <v>0</v>
      </c>
      <c r="BM1636" s="1">
        <v>0</v>
      </c>
      <c r="BN1636" s="1">
        <v>0</v>
      </c>
      <c r="BO1636" s="1">
        <v>0</v>
      </c>
      <c r="BP1636" s="1">
        <v>0</v>
      </c>
      <c r="BQ1636" s="1" t="s">
        <v>104</v>
      </c>
      <c r="BR1636" s="1">
        <v>1723</v>
      </c>
      <c r="BS1636" s="1" t="s">
        <v>104</v>
      </c>
      <c r="BX1636" s="1">
        <v>0</v>
      </c>
      <c r="BY1636" s="1" t="s">
        <v>104</v>
      </c>
      <c r="BZ1636" s="1" t="s">
        <v>104</v>
      </c>
      <c r="CA1636" s="1" t="s">
        <v>104</v>
      </c>
      <c r="CB1636" s="1" t="s">
        <v>104</v>
      </c>
      <c r="CC1636" s="1" t="s">
        <v>104</v>
      </c>
      <c r="CD1636" s="1" t="s">
        <v>104</v>
      </c>
      <c r="CE1636" s="1" t="s">
        <v>104</v>
      </c>
      <c r="CF1636" s="1" t="s">
        <v>104</v>
      </c>
      <c r="CG1636" s="1" t="s">
        <v>104</v>
      </c>
      <c r="CH1636" s="1" t="s">
        <v>104</v>
      </c>
      <c r="CJ1636" s="1">
        <v>0</v>
      </c>
      <c r="CK1636" s="1">
        <v>0</v>
      </c>
      <c r="CL1636" s="1">
        <v>0</v>
      </c>
      <c r="CM1636" s="1" t="s">
        <v>104</v>
      </c>
    </row>
    <row r="1637" spans="1:91" ht="14.25" customHeight="1" x14ac:dyDescent="0.3">
      <c r="A1637" s="1" t="s">
        <v>9039</v>
      </c>
      <c r="B1637" s="1" t="s">
        <v>137</v>
      </c>
      <c r="E1637" s="1" t="s">
        <v>9040</v>
      </c>
      <c r="F1637" s="1" t="s">
        <v>1519</v>
      </c>
      <c r="G1637" s="1" t="s">
        <v>9041</v>
      </c>
      <c r="H1637" s="1">
        <v>1</v>
      </c>
      <c r="I1637" s="1" t="s">
        <v>3750</v>
      </c>
      <c r="J1637" s="1" t="s">
        <v>9042</v>
      </c>
      <c r="M1637" s="1" t="s">
        <v>4292</v>
      </c>
      <c r="N1637" s="1">
        <v>0</v>
      </c>
      <c r="O1637" s="1">
        <v>0</v>
      </c>
      <c r="P1637" s="1" t="s">
        <v>1676</v>
      </c>
      <c r="Q1637" s="1" t="s">
        <v>101</v>
      </c>
      <c r="R1637" s="1" t="s">
        <v>9043</v>
      </c>
      <c r="S1637" s="1" t="s">
        <v>9044</v>
      </c>
      <c r="T1637" s="1">
        <v>1</v>
      </c>
      <c r="U1637" s="1">
        <v>1</v>
      </c>
      <c r="V1637" s="1">
        <v>1</v>
      </c>
      <c r="W1637" s="1">
        <v>0</v>
      </c>
      <c r="X1637" s="1">
        <v>0</v>
      </c>
      <c r="Y1637" s="1">
        <v>9</v>
      </c>
      <c r="Z1637" s="1">
        <v>9</v>
      </c>
      <c r="AA1637" s="1" t="s">
        <v>104</v>
      </c>
      <c r="AB1637" s="1" t="s">
        <v>104</v>
      </c>
      <c r="AC1637" s="1" t="s">
        <v>104</v>
      </c>
      <c r="AD1637" s="1" t="s">
        <v>104</v>
      </c>
      <c r="AE1637" s="1" t="s">
        <v>104</v>
      </c>
      <c r="AF1637" s="1" t="s">
        <v>104</v>
      </c>
      <c r="AG1637" s="1" t="s">
        <v>104</v>
      </c>
      <c r="AH1637" s="1">
        <v>9</v>
      </c>
      <c r="AI1637" s="1" t="s">
        <v>104</v>
      </c>
      <c r="AJ1637" s="1" t="s">
        <v>104</v>
      </c>
      <c r="AK1637" s="1" t="s">
        <v>104</v>
      </c>
      <c r="AL1637" s="1" t="s">
        <v>104</v>
      </c>
      <c r="AM1637" s="1" t="s">
        <v>104</v>
      </c>
      <c r="AO1637" s="1">
        <v>9</v>
      </c>
      <c r="AR1637" s="1">
        <v>0</v>
      </c>
      <c r="AS1637" s="1">
        <v>0</v>
      </c>
      <c r="AT1637" s="1">
        <v>0</v>
      </c>
      <c r="AU1637" s="1">
        <v>0</v>
      </c>
      <c r="AV1637" s="1">
        <v>0</v>
      </c>
      <c r="AW1637" s="1">
        <v>0</v>
      </c>
      <c r="AX1637" s="1">
        <v>0</v>
      </c>
      <c r="AY1637" s="1">
        <v>0</v>
      </c>
      <c r="AZ1637" s="1">
        <v>0</v>
      </c>
      <c r="BA1637" s="1">
        <v>0</v>
      </c>
      <c r="BB1637" s="1">
        <v>0</v>
      </c>
      <c r="BC1637" s="1">
        <v>0</v>
      </c>
      <c r="BD1637" s="1">
        <v>0</v>
      </c>
      <c r="BE1637" s="1">
        <v>0</v>
      </c>
      <c r="BF1637" s="1">
        <v>0</v>
      </c>
      <c r="BG1637" s="1">
        <v>0</v>
      </c>
      <c r="BH1637" s="1">
        <v>0</v>
      </c>
      <c r="BI1637" s="1">
        <v>0</v>
      </c>
      <c r="BJ1637" s="1">
        <v>0</v>
      </c>
      <c r="BK1637" s="1">
        <v>0</v>
      </c>
      <c r="BL1637" s="1">
        <v>0</v>
      </c>
      <c r="BM1637" s="1">
        <v>0</v>
      </c>
      <c r="BN1637" s="1">
        <v>0</v>
      </c>
      <c r="BO1637" s="1">
        <v>0</v>
      </c>
      <c r="BP1637" s="1">
        <v>0</v>
      </c>
      <c r="BQ1637" s="1" t="s">
        <v>104</v>
      </c>
      <c r="BR1637" s="1">
        <v>1725</v>
      </c>
      <c r="BS1637" s="1">
        <v>5000</v>
      </c>
      <c r="BX1637" s="1">
        <v>0</v>
      </c>
      <c r="BY1637" s="1" t="s">
        <v>104</v>
      </c>
      <c r="BZ1637" s="1" t="s">
        <v>104</v>
      </c>
      <c r="CA1637" s="1" t="s">
        <v>104</v>
      </c>
      <c r="CB1637" s="1" t="s">
        <v>104</v>
      </c>
      <c r="CC1637" s="1" t="s">
        <v>104</v>
      </c>
      <c r="CD1637" s="1" t="s">
        <v>104</v>
      </c>
      <c r="CE1637" s="1" t="s">
        <v>104</v>
      </c>
      <c r="CF1637" s="1" t="s">
        <v>104</v>
      </c>
      <c r="CG1637" s="1" t="s">
        <v>104</v>
      </c>
      <c r="CH1637" s="1" t="s">
        <v>104</v>
      </c>
      <c r="CJ1637" s="1">
        <v>0</v>
      </c>
      <c r="CK1637" s="1">
        <v>0</v>
      </c>
      <c r="CL1637" s="1">
        <v>0</v>
      </c>
      <c r="CM1637" s="1" t="s">
        <v>104</v>
      </c>
    </row>
    <row r="1638" spans="1:91" ht="14.25" customHeight="1" x14ac:dyDescent="0.3">
      <c r="A1638" s="1" t="s">
        <v>9045</v>
      </c>
      <c r="B1638" s="1" t="s">
        <v>216</v>
      </c>
      <c r="E1638" s="1" t="s">
        <v>9046</v>
      </c>
      <c r="F1638" s="1" t="s">
        <v>95</v>
      </c>
      <c r="G1638" s="1" t="s">
        <v>116</v>
      </c>
      <c r="H1638" s="1">
        <v>0</v>
      </c>
      <c r="I1638" s="1" t="s">
        <v>128</v>
      </c>
      <c r="K1638" s="1" t="s">
        <v>7376</v>
      </c>
      <c r="M1638" s="1" t="s">
        <v>5119</v>
      </c>
      <c r="N1638" s="1">
        <v>0</v>
      </c>
      <c r="O1638" s="1">
        <v>0</v>
      </c>
      <c r="P1638" s="1" t="s">
        <v>148</v>
      </c>
      <c r="Q1638" s="1" t="s">
        <v>149</v>
      </c>
      <c r="R1638" s="1" t="s">
        <v>9047</v>
      </c>
      <c r="S1638" s="1" t="s">
        <v>9044</v>
      </c>
      <c r="T1638" s="1">
        <v>1</v>
      </c>
      <c r="U1638" s="1">
        <v>1</v>
      </c>
      <c r="V1638" s="1">
        <v>0</v>
      </c>
      <c r="W1638" s="1">
        <v>0</v>
      </c>
      <c r="X1638" s="1">
        <v>0</v>
      </c>
      <c r="Y1638" s="1" t="s">
        <v>104</v>
      </c>
      <c r="Z1638" s="1" t="s">
        <v>104</v>
      </c>
      <c r="AA1638" s="1">
        <v>1</v>
      </c>
      <c r="AB1638" s="1" t="s">
        <v>104</v>
      </c>
      <c r="AC1638" s="1">
        <v>1</v>
      </c>
      <c r="AD1638" s="1" t="s">
        <v>104</v>
      </c>
      <c r="AE1638" s="1" t="s">
        <v>104</v>
      </c>
      <c r="AF1638" s="1" t="s">
        <v>104</v>
      </c>
      <c r="AG1638" s="1" t="s">
        <v>104</v>
      </c>
      <c r="AH1638" s="1">
        <v>1</v>
      </c>
      <c r="AI1638" s="1" t="s">
        <v>104</v>
      </c>
      <c r="AJ1638" s="1">
        <v>1</v>
      </c>
      <c r="AK1638" s="1">
        <v>1</v>
      </c>
      <c r="AL1638" s="1" t="s">
        <v>104</v>
      </c>
      <c r="AM1638" s="1" t="s">
        <v>104</v>
      </c>
      <c r="AN1638" s="1" t="s">
        <v>9048</v>
      </c>
      <c r="AO1638" s="1">
        <v>1</v>
      </c>
      <c r="AR1638" s="1">
        <v>0</v>
      </c>
      <c r="AS1638" s="1">
        <v>0</v>
      </c>
      <c r="AT1638" s="1">
        <v>0</v>
      </c>
      <c r="AU1638" s="1">
        <v>0</v>
      </c>
      <c r="AV1638" s="1">
        <v>0</v>
      </c>
      <c r="AW1638" s="1">
        <v>0</v>
      </c>
      <c r="AX1638" s="1">
        <v>0</v>
      </c>
      <c r="AY1638" s="1">
        <v>0</v>
      </c>
      <c r="AZ1638" s="1">
        <v>0</v>
      </c>
      <c r="BA1638" s="1">
        <v>0</v>
      </c>
      <c r="BB1638" s="1">
        <v>0</v>
      </c>
      <c r="BC1638" s="1">
        <v>0</v>
      </c>
      <c r="BD1638" s="1">
        <v>0</v>
      </c>
      <c r="BE1638" s="1">
        <v>0</v>
      </c>
      <c r="BF1638" s="1">
        <v>0</v>
      </c>
      <c r="BG1638" s="1">
        <v>0</v>
      </c>
      <c r="BH1638" s="1">
        <v>0</v>
      </c>
      <c r="BI1638" s="1">
        <v>0</v>
      </c>
      <c r="BJ1638" s="1">
        <v>0</v>
      </c>
      <c r="BK1638" s="1">
        <v>0</v>
      </c>
      <c r="BL1638" s="1">
        <v>0</v>
      </c>
      <c r="BM1638" s="1">
        <v>0</v>
      </c>
      <c r="BN1638" s="1">
        <v>0</v>
      </c>
      <c r="BO1638" s="1">
        <v>0</v>
      </c>
      <c r="BP1638" s="1">
        <v>0</v>
      </c>
      <c r="BQ1638" s="1" t="s">
        <v>104</v>
      </c>
      <c r="BR1638" s="1">
        <v>1726</v>
      </c>
      <c r="BS1638" s="1" t="s">
        <v>104</v>
      </c>
      <c r="BX1638" s="1">
        <v>0</v>
      </c>
      <c r="BY1638" s="1" t="s">
        <v>104</v>
      </c>
      <c r="BZ1638" s="1" t="s">
        <v>104</v>
      </c>
      <c r="CA1638" s="1" t="s">
        <v>104</v>
      </c>
      <c r="CB1638" s="1" t="s">
        <v>104</v>
      </c>
      <c r="CC1638" s="1" t="s">
        <v>104</v>
      </c>
      <c r="CD1638" s="1" t="s">
        <v>104</v>
      </c>
      <c r="CE1638" s="1" t="s">
        <v>104</v>
      </c>
      <c r="CF1638" s="1" t="s">
        <v>104</v>
      </c>
      <c r="CG1638" s="1" t="s">
        <v>104</v>
      </c>
      <c r="CH1638" s="1">
        <v>1</v>
      </c>
      <c r="CJ1638" s="1">
        <v>0</v>
      </c>
      <c r="CK1638" s="1">
        <v>0</v>
      </c>
      <c r="CL1638" s="1">
        <v>0</v>
      </c>
      <c r="CM1638" s="1" t="s">
        <v>104</v>
      </c>
    </row>
    <row r="1639" spans="1:91" ht="14.25" customHeight="1" x14ac:dyDescent="0.3">
      <c r="A1639" s="1" t="s">
        <v>9049</v>
      </c>
      <c r="B1639" s="1" t="s">
        <v>172</v>
      </c>
      <c r="E1639" s="1" t="s">
        <v>9050</v>
      </c>
      <c r="F1639" s="1" t="s">
        <v>95</v>
      </c>
      <c r="G1639" s="1" t="s">
        <v>9051</v>
      </c>
      <c r="H1639" s="1">
        <v>0</v>
      </c>
      <c r="I1639" s="1" t="s">
        <v>157</v>
      </c>
      <c r="L1639" s="1" t="s">
        <v>158</v>
      </c>
      <c r="M1639" s="1" t="s">
        <v>255</v>
      </c>
      <c r="N1639" s="1">
        <v>0</v>
      </c>
      <c r="O1639" s="1">
        <v>0</v>
      </c>
      <c r="R1639" s="1" t="s">
        <v>9052</v>
      </c>
      <c r="S1639" s="1" t="s">
        <v>9053</v>
      </c>
      <c r="T1639" s="1">
        <v>1</v>
      </c>
      <c r="U1639" s="1">
        <v>1</v>
      </c>
      <c r="V1639" s="1">
        <v>0</v>
      </c>
      <c r="W1639" s="1">
        <v>0</v>
      </c>
      <c r="X1639" s="1">
        <v>0</v>
      </c>
      <c r="Y1639" s="1">
        <v>3</v>
      </c>
      <c r="Z1639" s="1">
        <v>3</v>
      </c>
      <c r="AA1639" s="1">
        <v>3</v>
      </c>
      <c r="AB1639" s="1">
        <v>2</v>
      </c>
      <c r="AC1639" s="1">
        <v>1</v>
      </c>
      <c r="AD1639" s="1" t="s">
        <v>104</v>
      </c>
      <c r="AE1639" s="1" t="s">
        <v>104</v>
      </c>
      <c r="AF1639" s="1" t="s">
        <v>104</v>
      </c>
      <c r="AG1639" s="1" t="s">
        <v>104</v>
      </c>
      <c r="AH1639" s="1">
        <v>3</v>
      </c>
      <c r="AI1639" s="1" t="s">
        <v>104</v>
      </c>
      <c r="AJ1639" s="1">
        <v>3</v>
      </c>
      <c r="AK1639" s="1" t="s">
        <v>104</v>
      </c>
      <c r="AL1639" s="1" t="s">
        <v>104</v>
      </c>
      <c r="AM1639" s="1" t="s">
        <v>104</v>
      </c>
      <c r="AO1639" s="1">
        <v>3</v>
      </c>
      <c r="AR1639" s="1">
        <v>0</v>
      </c>
      <c r="AS1639" s="1">
        <v>0</v>
      </c>
      <c r="AT1639" s="1">
        <v>0</v>
      </c>
      <c r="AU1639" s="1">
        <v>0</v>
      </c>
      <c r="AV1639" s="1">
        <v>0</v>
      </c>
      <c r="AW1639" s="1">
        <v>0</v>
      </c>
      <c r="AX1639" s="1">
        <v>0</v>
      </c>
      <c r="AY1639" s="1">
        <v>0</v>
      </c>
      <c r="AZ1639" s="1">
        <v>0</v>
      </c>
      <c r="BA1639" s="1">
        <v>0</v>
      </c>
      <c r="BB1639" s="1">
        <v>0</v>
      </c>
      <c r="BC1639" s="1">
        <v>0</v>
      </c>
      <c r="BD1639" s="1">
        <v>0</v>
      </c>
      <c r="BE1639" s="1">
        <v>0</v>
      </c>
      <c r="BF1639" s="1">
        <v>0</v>
      </c>
      <c r="BG1639" s="1">
        <v>0</v>
      </c>
      <c r="BH1639" s="1">
        <v>0</v>
      </c>
      <c r="BI1639" s="1">
        <v>0</v>
      </c>
      <c r="BJ1639" s="1">
        <v>0</v>
      </c>
      <c r="BK1639" s="1">
        <v>0</v>
      </c>
      <c r="BL1639" s="1">
        <v>0</v>
      </c>
      <c r="BM1639" s="1">
        <v>0</v>
      </c>
      <c r="BN1639" s="1">
        <v>0</v>
      </c>
      <c r="BO1639" s="1">
        <v>0</v>
      </c>
      <c r="BP1639" s="1">
        <v>0</v>
      </c>
      <c r="BQ1639" s="1" t="s">
        <v>104</v>
      </c>
      <c r="BR1639" s="1">
        <v>1727</v>
      </c>
      <c r="BS1639" s="1" t="s">
        <v>104</v>
      </c>
      <c r="BX1639" s="1">
        <v>0</v>
      </c>
      <c r="BY1639" s="1" t="s">
        <v>104</v>
      </c>
      <c r="BZ1639" s="1" t="s">
        <v>104</v>
      </c>
      <c r="CA1639" s="1" t="s">
        <v>104</v>
      </c>
      <c r="CB1639" s="1" t="s">
        <v>104</v>
      </c>
      <c r="CC1639" s="1" t="s">
        <v>104</v>
      </c>
      <c r="CD1639" s="1" t="s">
        <v>104</v>
      </c>
      <c r="CE1639" s="1" t="s">
        <v>104</v>
      </c>
      <c r="CF1639" s="1" t="s">
        <v>104</v>
      </c>
      <c r="CG1639" s="1" t="s">
        <v>104</v>
      </c>
      <c r="CH1639" s="1">
        <v>1</v>
      </c>
      <c r="CJ1639" s="1">
        <v>0</v>
      </c>
      <c r="CK1639" s="1">
        <v>0</v>
      </c>
      <c r="CL1639" s="1">
        <v>0</v>
      </c>
      <c r="CM1639" s="1" t="s">
        <v>104</v>
      </c>
    </row>
    <row r="1640" spans="1:91" ht="14.25" customHeight="1" x14ac:dyDescent="0.3">
      <c r="A1640" s="1" t="s">
        <v>9054</v>
      </c>
      <c r="B1640" s="1" t="s">
        <v>92</v>
      </c>
      <c r="C1640" s="1" t="s">
        <v>93</v>
      </c>
      <c r="E1640" s="1" t="s">
        <v>9055</v>
      </c>
      <c r="F1640" s="1" t="s">
        <v>95</v>
      </c>
      <c r="G1640" s="1" t="s">
        <v>9056</v>
      </c>
      <c r="H1640" s="1">
        <v>0</v>
      </c>
      <c r="I1640" s="1" t="s">
        <v>117</v>
      </c>
      <c r="L1640" s="1" t="s">
        <v>1065</v>
      </c>
      <c r="M1640" s="1" t="s">
        <v>119</v>
      </c>
      <c r="N1640" s="1">
        <v>0</v>
      </c>
      <c r="O1640" s="1">
        <v>0</v>
      </c>
      <c r="P1640" s="1" t="s">
        <v>100</v>
      </c>
      <c r="Q1640" s="1" t="s">
        <v>101</v>
      </c>
      <c r="R1640" s="1" t="s">
        <v>9057</v>
      </c>
      <c r="S1640" s="1" t="s">
        <v>9058</v>
      </c>
      <c r="T1640" s="1">
        <v>1</v>
      </c>
      <c r="U1640" s="1">
        <v>1</v>
      </c>
      <c r="V1640" s="1">
        <v>1</v>
      </c>
      <c r="W1640" s="1">
        <v>0</v>
      </c>
      <c r="X1640" s="1">
        <v>0</v>
      </c>
      <c r="Y1640" s="1">
        <v>2</v>
      </c>
      <c r="Z1640" s="1">
        <v>2</v>
      </c>
      <c r="AA1640" s="1">
        <v>3</v>
      </c>
      <c r="AB1640" s="1" t="s">
        <v>104</v>
      </c>
      <c r="AC1640" s="1" t="s">
        <v>104</v>
      </c>
      <c r="AD1640" s="1" t="s">
        <v>104</v>
      </c>
      <c r="AE1640" s="1" t="s">
        <v>104</v>
      </c>
      <c r="AF1640" s="1" t="s">
        <v>104</v>
      </c>
      <c r="AG1640" s="1" t="s">
        <v>104</v>
      </c>
      <c r="AH1640" s="1" t="s">
        <v>104</v>
      </c>
      <c r="AI1640" s="1" t="s">
        <v>104</v>
      </c>
      <c r="AJ1640" s="1">
        <v>3</v>
      </c>
      <c r="AK1640" s="1" t="s">
        <v>104</v>
      </c>
      <c r="AL1640" s="1">
        <v>2</v>
      </c>
      <c r="AM1640" s="1" t="s">
        <v>104</v>
      </c>
      <c r="AO1640" s="1">
        <v>2</v>
      </c>
      <c r="AR1640" s="1">
        <v>0</v>
      </c>
      <c r="AS1640" s="1">
        <v>0</v>
      </c>
      <c r="AT1640" s="1">
        <v>0</v>
      </c>
      <c r="AU1640" s="1">
        <v>0</v>
      </c>
      <c r="AV1640" s="1">
        <v>0</v>
      </c>
      <c r="AW1640" s="1">
        <v>0</v>
      </c>
      <c r="AX1640" s="1">
        <v>0</v>
      </c>
      <c r="AY1640" s="1">
        <v>0</v>
      </c>
      <c r="AZ1640" s="1">
        <v>0</v>
      </c>
      <c r="BA1640" s="1">
        <v>0</v>
      </c>
      <c r="BB1640" s="1">
        <v>0</v>
      </c>
      <c r="BC1640" s="1">
        <v>0</v>
      </c>
      <c r="BD1640" s="1">
        <v>0</v>
      </c>
      <c r="BE1640" s="1">
        <v>0</v>
      </c>
      <c r="BF1640" s="1">
        <v>0</v>
      </c>
      <c r="BG1640" s="1">
        <v>0</v>
      </c>
      <c r="BH1640" s="1">
        <v>0</v>
      </c>
      <c r="BI1640" s="1">
        <v>0</v>
      </c>
      <c r="BJ1640" s="1">
        <v>0</v>
      </c>
      <c r="BK1640" s="1">
        <v>0</v>
      </c>
      <c r="BL1640" s="1">
        <v>0</v>
      </c>
      <c r="BM1640" s="1">
        <v>0</v>
      </c>
      <c r="BN1640" s="1">
        <v>0</v>
      </c>
      <c r="BO1640" s="1">
        <v>0</v>
      </c>
      <c r="BP1640" s="1">
        <v>0</v>
      </c>
      <c r="BQ1640" s="1" t="s">
        <v>104</v>
      </c>
      <c r="BR1640" s="1">
        <v>1728</v>
      </c>
      <c r="BS1640" s="1" t="s">
        <v>104</v>
      </c>
      <c r="BX1640" s="1">
        <v>0</v>
      </c>
      <c r="BY1640" s="1" t="s">
        <v>104</v>
      </c>
      <c r="BZ1640" s="1" t="s">
        <v>104</v>
      </c>
      <c r="CA1640" s="1" t="s">
        <v>104</v>
      </c>
      <c r="CB1640" s="1" t="s">
        <v>104</v>
      </c>
      <c r="CC1640" s="1" t="s">
        <v>104</v>
      </c>
      <c r="CD1640" s="1" t="s">
        <v>104</v>
      </c>
      <c r="CE1640" s="1" t="s">
        <v>104</v>
      </c>
      <c r="CF1640" s="1" t="s">
        <v>104</v>
      </c>
      <c r="CG1640" s="1" t="s">
        <v>104</v>
      </c>
      <c r="CH1640" s="1" t="s">
        <v>104</v>
      </c>
      <c r="CJ1640" s="1">
        <v>0</v>
      </c>
      <c r="CK1640" s="1">
        <v>0</v>
      </c>
      <c r="CL1640" s="1">
        <v>0</v>
      </c>
      <c r="CM1640" s="1" t="s">
        <v>104</v>
      </c>
    </row>
    <row r="1641" spans="1:91" ht="14.25" customHeight="1" x14ac:dyDescent="0.3">
      <c r="A1641" s="1" t="s">
        <v>9059</v>
      </c>
      <c r="B1641" s="1" t="s">
        <v>92</v>
      </c>
      <c r="C1641" s="1" t="s">
        <v>903</v>
      </c>
      <c r="E1641" s="1" t="s">
        <v>8029</v>
      </c>
      <c r="F1641" s="1" t="s">
        <v>255</v>
      </c>
      <c r="G1641" s="1" t="s">
        <v>9060</v>
      </c>
      <c r="H1641" s="1">
        <v>1</v>
      </c>
      <c r="I1641" s="1" t="s">
        <v>117</v>
      </c>
      <c r="K1641" s="1" t="s">
        <v>9061</v>
      </c>
      <c r="M1641" s="1" t="s">
        <v>426</v>
      </c>
      <c r="N1641" s="1">
        <v>1</v>
      </c>
      <c r="O1641" s="1">
        <v>0</v>
      </c>
      <c r="P1641" s="1" t="s">
        <v>100</v>
      </c>
      <c r="Q1641" s="1" t="s">
        <v>101</v>
      </c>
      <c r="R1641" s="1" t="s">
        <v>9062</v>
      </c>
      <c r="S1641" s="1" t="s">
        <v>9058</v>
      </c>
      <c r="T1641" s="1">
        <v>1</v>
      </c>
      <c r="U1641" s="1">
        <v>1</v>
      </c>
      <c r="V1641" s="1">
        <v>0</v>
      </c>
      <c r="W1641" s="1">
        <v>0</v>
      </c>
      <c r="X1641" s="1">
        <v>1</v>
      </c>
      <c r="Y1641" s="1">
        <v>4</v>
      </c>
      <c r="Z1641" s="1">
        <v>4</v>
      </c>
      <c r="AA1641" s="1">
        <v>4</v>
      </c>
      <c r="AB1641" s="1" t="s">
        <v>104</v>
      </c>
      <c r="AC1641" s="1" t="s">
        <v>104</v>
      </c>
      <c r="AD1641" s="1" t="s">
        <v>104</v>
      </c>
      <c r="AE1641" s="1" t="s">
        <v>104</v>
      </c>
      <c r="AF1641" s="1" t="s">
        <v>104</v>
      </c>
      <c r="AG1641" s="1">
        <v>3</v>
      </c>
      <c r="AH1641" s="1">
        <v>4</v>
      </c>
      <c r="AI1641" s="1" t="s">
        <v>104</v>
      </c>
      <c r="AJ1641" s="1">
        <v>4</v>
      </c>
      <c r="AK1641" s="1" t="s">
        <v>104</v>
      </c>
      <c r="AL1641" s="1" t="s">
        <v>104</v>
      </c>
      <c r="AM1641" s="1" t="s">
        <v>104</v>
      </c>
      <c r="AO1641" s="1">
        <v>4</v>
      </c>
      <c r="AR1641" s="1">
        <v>0</v>
      </c>
      <c r="AS1641" s="1">
        <v>0</v>
      </c>
      <c r="AT1641" s="1">
        <v>0</v>
      </c>
      <c r="AU1641" s="1">
        <v>0</v>
      </c>
      <c r="AV1641" s="1">
        <v>0</v>
      </c>
      <c r="AW1641" s="1">
        <v>0</v>
      </c>
      <c r="AX1641" s="1">
        <v>0</v>
      </c>
      <c r="AY1641" s="1">
        <v>0</v>
      </c>
      <c r="AZ1641" s="1">
        <v>0</v>
      </c>
      <c r="BA1641" s="1">
        <v>0</v>
      </c>
      <c r="BB1641" s="1">
        <v>0</v>
      </c>
      <c r="BC1641" s="1">
        <v>0</v>
      </c>
      <c r="BD1641" s="1">
        <v>0</v>
      </c>
      <c r="BE1641" s="1">
        <v>0</v>
      </c>
      <c r="BF1641" s="1">
        <v>0</v>
      </c>
      <c r="BG1641" s="1">
        <v>0</v>
      </c>
      <c r="BH1641" s="1">
        <v>0</v>
      </c>
      <c r="BI1641" s="1">
        <v>0</v>
      </c>
      <c r="BJ1641" s="1">
        <v>0</v>
      </c>
      <c r="BK1641" s="1">
        <v>0</v>
      </c>
      <c r="BL1641" s="1">
        <v>0</v>
      </c>
      <c r="BM1641" s="1">
        <v>0</v>
      </c>
      <c r="BN1641" s="1">
        <v>0</v>
      </c>
      <c r="BO1641" s="1">
        <v>0</v>
      </c>
      <c r="BP1641" s="1">
        <v>0</v>
      </c>
      <c r="BQ1641" s="1" t="s">
        <v>104</v>
      </c>
      <c r="BR1641" s="1">
        <v>1729</v>
      </c>
      <c r="BS1641" s="1">
        <v>50</v>
      </c>
      <c r="BX1641" s="1">
        <v>0</v>
      </c>
      <c r="BY1641" s="1" t="s">
        <v>104</v>
      </c>
      <c r="BZ1641" s="1" t="s">
        <v>104</v>
      </c>
      <c r="CA1641" s="1" t="s">
        <v>104</v>
      </c>
      <c r="CB1641" s="1" t="s">
        <v>104</v>
      </c>
      <c r="CC1641" s="1" t="s">
        <v>104</v>
      </c>
      <c r="CD1641" s="1" t="s">
        <v>104</v>
      </c>
      <c r="CE1641" s="1" t="s">
        <v>104</v>
      </c>
      <c r="CF1641" s="1" t="s">
        <v>104</v>
      </c>
      <c r="CG1641" s="1" t="s">
        <v>104</v>
      </c>
      <c r="CH1641" s="1" t="s">
        <v>104</v>
      </c>
      <c r="CJ1641" s="1">
        <v>0</v>
      </c>
      <c r="CK1641" s="1">
        <v>0</v>
      </c>
      <c r="CL1641" s="1">
        <v>0</v>
      </c>
      <c r="CM1641" s="1">
        <v>3</v>
      </c>
    </row>
    <row r="1642" spans="1:91" ht="14.25" customHeight="1" x14ac:dyDescent="0.3">
      <c r="A1642" s="1" t="s">
        <v>9063</v>
      </c>
      <c r="B1642" s="1" t="s">
        <v>92</v>
      </c>
      <c r="C1642" s="1" t="s">
        <v>903</v>
      </c>
      <c r="E1642" s="1" t="s">
        <v>8032</v>
      </c>
      <c r="F1642" s="1" t="s">
        <v>255</v>
      </c>
      <c r="G1642" s="1" t="s">
        <v>9060</v>
      </c>
      <c r="H1642" s="1">
        <v>1</v>
      </c>
      <c r="I1642" s="1" t="s">
        <v>117</v>
      </c>
      <c r="K1642" s="1" t="s">
        <v>9061</v>
      </c>
      <c r="M1642" s="1" t="s">
        <v>426</v>
      </c>
      <c r="N1642" s="1">
        <v>1</v>
      </c>
      <c r="O1642" s="1">
        <v>0</v>
      </c>
      <c r="P1642" s="1" t="s">
        <v>100</v>
      </c>
      <c r="Q1642" s="1" t="s">
        <v>101</v>
      </c>
      <c r="R1642" s="1" t="s">
        <v>9064</v>
      </c>
      <c r="S1642" s="1" t="s">
        <v>9058</v>
      </c>
      <c r="T1642" s="1">
        <v>1</v>
      </c>
      <c r="U1642" s="1">
        <v>1</v>
      </c>
      <c r="V1642" s="1">
        <v>0</v>
      </c>
      <c r="W1642" s="1">
        <v>0</v>
      </c>
      <c r="X1642" s="1">
        <v>1</v>
      </c>
      <c r="Y1642" s="1">
        <v>5</v>
      </c>
      <c r="Z1642" s="1">
        <v>5</v>
      </c>
      <c r="AA1642" s="1">
        <v>5</v>
      </c>
      <c r="AB1642" s="1" t="s">
        <v>104</v>
      </c>
      <c r="AC1642" s="1" t="s">
        <v>104</v>
      </c>
      <c r="AD1642" s="1" t="s">
        <v>104</v>
      </c>
      <c r="AE1642" s="1" t="s">
        <v>104</v>
      </c>
      <c r="AF1642" s="1" t="s">
        <v>104</v>
      </c>
      <c r="AG1642" s="1">
        <v>4</v>
      </c>
      <c r="AH1642" s="1">
        <v>5</v>
      </c>
      <c r="AI1642" s="1" t="s">
        <v>104</v>
      </c>
      <c r="AJ1642" s="1">
        <v>5</v>
      </c>
      <c r="AK1642" s="1" t="s">
        <v>104</v>
      </c>
      <c r="AL1642" s="1" t="s">
        <v>104</v>
      </c>
      <c r="AM1642" s="1" t="s">
        <v>104</v>
      </c>
      <c r="AO1642" s="1">
        <v>5</v>
      </c>
      <c r="AR1642" s="1">
        <v>0</v>
      </c>
      <c r="AS1642" s="1">
        <v>0</v>
      </c>
      <c r="AT1642" s="1">
        <v>0</v>
      </c>
      <c r="AU1642" s="1">
        <v>0</v>
      </c>
      <c r="AV1642" s="1">
        <v>0</v>
      </c>
      <c r="AW1642" s="1">
        <v>0</v>
      </c>
      <c r="AX1642" s="1">
        <v>0</v>
      </c>
      <c r="AY1642" s="1">
        <v>0</v>
      </c>
      <c r="AZ1642" s="1">
        <v>0</v>
      </c>
      <c r="BA1642" s="1">
        <v>0</v>
      </c>
      <c r="BB1642" s="1">
        <v>0</v>
      </c>
      <c r="BC1642" s="1">
        <v>0</v>
      </c>
      <c r="BD1642" s="1">
        <v>0</v>
      </c>
      <c r="BE1642" s="1">
        <v>0</v>
      </c>
      <c r="BF1642" s="1">
        <v>0</v>
      </c>
      <c r="BG1642" s="1">
        <v>0</v>
      </c>
      <c r="BH1642" s="1">
        <v>0</v>
      </c>
      <c r="BI1642" s="1">
        <v>0</v>
      </c>
      <c r="BJ1642" s="1">
        <v>0</v>
      </c>
      <c r="BK1642" s="1">
        <v>0</v>
      </c>
      <c r="BL1642" s="1">
        <v>0</v>
      </c>
      <c r="BM1642" s="1">
        <v>0</v>
      </c>
      <c r="BN1642" s="1">
        <v>0</v>
      </c>
      <c r="BO1642" s="1">
        <v>0</v>
      </c>
      <c r="BP1642" s="1">
        <v>0</v>
      </c>
      <c r="BQ1642" s="1" t="s">
        <v>104</v>
      </c>
      <c r="BR1642" s="1">
        <v>1730</v>
      </c>
      <c r="BS1642" s="1">
        <v>50</v>
      </c>
      <c r="BX1642" s="1">
        <v>0</v>
      </c>
      <c r="BY1642" s="1" t="s">
        <v>104</v>
      </c>
      <c r="BZ1642" s="1" t="s">
        <v>104</v>
      </c>
      <c r="CA1642" s="1" t="s">
        <v>104</v>
      </c>
      <c r="CB1642" s="1" t="s">
        <v>104</v>
      </c>
      <c r="CC1642" s="1" t="s">
        <v>104</v>
      </c>
      <c r="CD1642" s="1" t="s">
        <v>104</v>
      </c>
      <c r="CE1642" s="1" t="s">
        <v>104</v>
      </c>
      <c r="CF1642" s="1" t="s">
        <v>104</v>
      </c>
      <c r="CG1642" s="1" t="s">
        <v>104</v>
      </c>
      <c r="CH1642" s="1" t="s">
        <v>104</v>
      </c>
      <c r="CJ1642" s="1">
        <v>0</v>
      </c>
      <c r="CK1642" s="1">
        <v>0</v>
      </c>
      <c r="CL1642" s="1">
        <v>0</v>
      </c>
      <c r="CM1642" s="1">
        <v>4</v>
      </c>
    </row>
    <row r="1643" spans="1:91" ht="14.25" customHeight="1" x14ac:dyDescent="0.3">
      <c r="A1643" s="1" t="s">
        <v>9065</v>
      </c>
      <c r="B1643" s="1" t="s">
        <v>92</v>
      </c>
      <c r="C1643" s="1" t="s">
        <v>903</v>
      </c>
      <c r="E1643" s="1" t="s">
        <v>9066</v>
      </c>
      <c r="F1643" s="1" t="s">
        <v>255</v>
      </c>
      <c r="G1643" s="1" t="s">
        <v>9060</v>
      </c>
      <c r="H1643" s="1">
        <v>1</v>
      </c>
      <c r="I1643" s="1" t="s">
        <v>117</v>
      </c>
      <c r="K1643" s="1" t="s">
        <v>9061</v>
      </c>
      <c r="M1643" s="1" t="s">
        <v>426</v>
      </c>
      <c r="N1643" s="1">
        <v>1</v>
      </c>
      <c r="O1643" s="1">
        <v>0</v>
      </c>
      <c r="P1643" s="1" t="s">
        <v>100</v>
      </c>
      <c r="Q1643" s="1" t="s">
        <v>101</v>
      </c>
      <c r="R1643" s="1" t="s">
        <v>9067</v>
      </c>
      <c r="S1643" s="1" t="s">
        <v>9058</v>
      </c>
      <c r="T1643" s="1">
        <v>1</v>
      </c>
      <c r="U1643" s="1">
        <v>1</v>
      </c>
      <c r="V1643" s="1">
        <v>0</v>
      </c>
      <c r="W1643" s="1">
        <v>0</v>
      </c>
      <c r="X1643" s="1">
        <v>1</v>
      </c>
      <c r="Y1643" s="1">
        <v>6</v>
      </c>
      <c r="Z1643" s="1">
        <v>6</v>
      </c>
      <c r="AA1643" s="1">
        <v>6</v>
      </c>
      <c r="AB1643" s="1" t="s">
        <v>104</v>
      </c>
      <c r="AC1643" s="1" t="s">
        <v>104</v>
      </c>
      <c r="AD1643" s="1" t="s">
        <v>104</v>
      </c>
      <c r="AE1643" s="1" t="s">
        <v>104</v>
      </c>
      <c r="AF1643" s="1" t="s">
        <v>104</v>
      </c>
      <c r="AG1643" s="1">
        <v>5</v>
      </c>
      <c r="AH1643" s="1">
        <v>6</v>
      </c>
      <c r="AI1643" s="1" t="s">
        <v>104</v>
      </c>
      <c r="AJ1643" s="1">
        <v>6</v>
      </c>
      <c r="AK1643" s="1" t="s">
        <v>104</v>
      </c>
      <c r="AL1643" s="1" t="s">
        <v>104</v>
      </c>
      <c r="AM1643" s="1" t="s">
        <v>104</v>
      </c>
      <c r="AO1643" s="1">
        <v>6</v>
      </c>
      <c r="AR1643" s="1">
        <v>0</v>
      </c>
      <c r="AS1643" s="1">
        <v>0</v>
      </c>
      <c r="AT1643" s="1">
        <v>0</v>
      </c>
      <c r="AU1643" s="1">
        <v>0</v>
      </c>
      <c r="AV1643" s="1">
        <v>0</v>
      </c>
      <c r="AW1643" s="1">
        <v>0</v>
      </c>
      <c r="AX1643" s="1">
        <v>0</v>
      </c>
      <c r="AY1643" s="1">
        <v>0</v>
      </c>
      <c r="AZ1643" s="1">
        <v>0</v>
      </c>
      <c r="BA1643" s="1">
        <v>0</v>
      </c>
      <c r="BB1643" s="1">
        <v>0</v>
      </c>
      <c r="BC1643" s="1">
        <v>0</v>
      </c>
      <c r="BD1643" s="1">
        <v>0</v>
      </c>
      <c r="BE1643" s="1">
        <v>0</v>
      </c>
      <c r="BF1643" s="1">
        <v>0</v>
      </c>
      <c r="BG1643" s="1">
        <v>0</v>
      </c>
      <c r="BH1643" s="1">
        <v>0</v>
      </c>
      <c r="BI1643" s="1">
        <v>0</v>
      </c>
      <c r="BJ1643" s="1">
        <v>0</v>
      </c>
      <c r="BK1643" s="1">
        <v>0</v>
      </c>
      <c r="BL1643" s="1">
        <v>0</v>
      </c>
      <c r="BM1643" s="1">
        <v>0</v>
      </c>
      <c r="BN1643" s="1">
        <v>0</v>
      </c>
      <c r="BO1643" s="1">
        <v>0</v>
      </c>
      <c r="BP1643" s="1">
        <v>0</v>
      </c>
      <c r="BQ1643" s="1" t="s">
        <v>104</v>
      </c>
      <c r="BR1643" s="1">
        <v>1731</v>
      </c>
      <c r="BS1643" s="1">
        <v>50</v>
      </c>
      <c r="BX1643" s="1">
        <v>0</v>
      </c>
      <c r="BY1643" s="1" t="s">
        <v>104</v>
      </c>
      <c r="BZ1643" s="1" t="s">
        <v>104</v>
      </c>
      <c r="CA1643" s="1" t="s">
        <v>104</v>
      </c>
      <c r="CB1643" s="1" t="s">
        <v>104</v>
      </c>
      <c r="CC1643" s="1" t="s">
        <v>104</v>
      </c>
      <c r="CD1643" s="1" t="s">
        <v>104</v>
      </c>
      <c r="CE1643" s="1" t="s">
        <v>104</v>
      </c>
      <c r="CF1643" s="1" t="s">
        <v>104</v>
      </c>
      <c r="CG1643" s="1" t="s">
        <v>104</v>
      </c>
      <c r="CH1643" s="1" t="s">
        <v>104</v>
      </c>
      <c r="CJ1643" s="1">
        <v>0</v>
      </c>
      <c r="CK1643" s="1">
        <v>0</v>
      </c>
      <c r="CL1643" s="1">
        <v>0</v>
      </c>
      <c r="CM1643" s="1">
        <v>5</v>
      </c>
    </row>
    <row r="1644" spans="1:91" ht="14.25" customHeight="1" x14ac:dyDescent="0.3">
      <c r="A1644" s="1" t="s">
        <v>9068</v>
      </c>
      <c r="B1644" s="1" t="s">
        <v>507</v>
      </c>
      <c r="C1644" s="1" t="s">
        <v>508</v>
      </c>
      <c r="E1644" s="1" t="s">
        <v>9069</v>
      </c>
      <c r="F1644" s="1" t="s">
        <v>95</v>
      </c>
      <c r="G1644" s="1" t="s">
        <v>127</v>
      </c>
      <c r="H1644" s="1">
        <v>0</v>
      </c>
      <c r="I1644" s="1" t="s">
        <v>157</v>
      </c>
      <c r="L1644" s="1" t="s">
        <v>158</v>
      </c>
      <c r="M1644" s="1" t="s">
        <v>4292</v>
      </c>
      <c r="N1644" s="1">
        <v>0</v>
      </c>
      <c r="O1644" s="1">
        <v>0</v>
      </c>
      <c r="P1644" s="1" t="s">
        <v>5957</v>
      </c>
      <c r="Q1644" s="1" t="s">
        <v>101</v>
      </c>
      <c r="R1644" s="1" t="s">
        <v>9070</v>
      </c>
      <c r="S1644" s="1" t="s">
        <v>9058</v>
      </c>
      <c r="T1644" s="1">
        <v>1</v>
      </c>
      <c r="U1644" s="1">
        <v>1</v>
      </c>
      <c r="V1644" s="1">
        <v>0</v>
      </c>
      <c r="W1644" s="1">
        <v>0</v>
      </c>
      <c r="X1644" s="1">
        <v>1</v>
      </c>
      <c r="Y1644" s="1" t="s">
        <v>104</v>
      </c>
      <c r="Z1644" s="1" t="s">
        <v>104</v>
      </c>
      <c r="AA1644" s="1">
        <v>2</v>
      </c>
      <c r="AB1644" s="1">
        <v>2</v>
      </c>
      <c r="AC1644" s="1">
        <v>1</v>
      </c>
      <c r="AD1644" s="1" t="s">
        <v>104</v>
      </c>
      <c r="AE1644" s="1">
        <v>1</v>
      </c>
      <c r="AF1644" s="1" t="s">
        <v>104</v>
      </c>
      <c r="AG1644" s="1" t="s">
        <v>104</v>
      </c>
      <c r="AH1644" s="1" t="s">
        <v>104</v>
      </c>
      <c r="AI1644" s="1">
        <v>2</v>
      </c>
      <c r="AJ1644" s="1">
        <v>2</v>
      </c>
      <c r="AK1644" s="1">
        <v>1</v>
      </c>
      <c r="AL1644" s="1" t="s">
        <v>104</v>
      </c>
      <c r="AM1644" s="1">
        <v>2</v>
      </c>
      <c r="AO1644" s="1">
        <v>2</v>
      </c>
      <c r="AR1644" s="1">
        <v>0</v>
      </c>
      <c r="AS1644" s="1">
        <v>0</v>
      </c>
      <c r="AT1644" s="1">
        <v>0</v>
      </c>
      <c r="AU1644" s="1">
        <v>0</v>
      </c>
      <c r="AV1644" s="1">
        <v>0</v>
      </c>
      <c r="AW1644" s="1">
        <v>0</v>
      </c>
      <c r="AX1644" s="1">
        <v>0</v>
      </c>
      <c r="AY1644" s="1">
        <v>0</v>
      </c>
      <c r="AZ1644" s="1">
        <v>0</v>
      </c>
      <c r="BA1644" s="1">
        <v>0</v>
      </c>
      <c r="BB1644" s="1">
        <v>0</v>
      </c>
      <c r="BC1644" s="1">
        <v>0</v>
      </c>
      <c r="BD1644" s="1">
        <v>0</v>
      </c>
      <c r="BE1644" s="1">
        <v>0</v>
      </c>
      <c r="BF1644" s="1">
        <v>0</v>
      </c>
      <c r="BG1644" s="1">
        <v>0</v>
      </c>
      <c r="BH1644" s="1">
        <v>0</v>
      </c>
      <c r="BI1644" s="1">
        <v>0</v>
      </c>
      <c r="BJ1644" s="1">
        <v>0</v>
      </c>
      <c r="BK1644" s="1">
        <v>0</v>
      </c>
      <c r="BL1644" s="1">
        <v>0</v>
      </c>
      <c r="BM1644" s="1">
        <v>0</v>
      </c>
      <c r="BN1644" s="1">
        <v>0</v>
      </c>
      <c r="BO1644" s="1">
        <v>0</v>
      </c>
      <c r="BP1644" s="1">
        <v>0</v>
      </c>
      <c r="BQ1644" s="1" t="s">
        <v>104</v>
      </c>
      <c r="BR1644" s="1">
        <v>1732</v>
      </c>
      <c r="BS1644" s="1" t="s">
        <v>104</v>
      </c>
      <c r="BX1644" s="1">
        <v>0</v>
      </c>
      <c r="BY1644" s="1" t="s">
        <v>104</v>
      </c>
      <c r="BZ1644" s="1" t="s">
        <v>104</v>
      </c>
      <c r="CA1644" s="1" t="s">
        <v>104</v>
      </c>
      <c r="CB1644" s="1" t="s">
        <v>104</v>
      </c>
      <c r="CC1644" s="1" t="s">
        <v>104</v>
      </c>
      <c r="CD1644" s="1" t="s">
        <v>104</v>
      </c>
      <c r="CE1644" s="1" t="s">
        <v>104</v>
      </c>
      <c r="CF1644" s="1" t="s">
        <v>104</v>
      </c>
      <c r="CG1644" s="1" t="s">
        <v>104</v>
      </c>
      <c r="CH1644" s="1">
        <v>1</v>
      </c>
      <c r="CJ1644" s="1">
        <v>0</v>
      </c>
      <c r="CK1644" s="1">
        <v>0</v>
      </c>
      <c r="CL1644" s="1">
        <v>0</v>
      </c>
      <c r="CM1644" s="1" t="s">
        <v>104</v>
      </c>
    </row>
    <row r="1645" spans="1:91" ht="14.25" customHeight="1" x14ac:dyDescent="0.3">
      <c r="A1645" s="1" t="s">
        <v>9071</v>
      </c>
      <c r="B1645" s="1" t="s">
        <v>137</v>
      </c>
      <c r="E1645" s="1" t="s">
        <v>9072</v>
      </c>
      <c r="F1645" s="1" t="s">
        <v>95</v>
      </c>
      <c r="G1645" s="1" t="s">
        <v>116</v>
      </c>
      <c r="H1645" s="1">
        <v>0</v>
      </c>
      <c r="I1645" s="1" t="s">
        <v>117</v>
      </c>
      <c r="L1645" s="1" t="s">
        <v>9073</v>
      </c>
      <c r="M1645" s="1" t="s">
        <v>2330</v>
      </c>
      <c r="N1645" s="1">
        <v>0</v>
      </c>
      <c r="O1645" s="1">
        <v>0</v>
      </c>
      <c r="P1645" s="1" t="s">
        <v>4583</v>
      </c>
      <c r="Q1645" s="1" t="s">
        <v>184</v>
      </c>
      <c r="R1645" s="1" t="s">
        <v>9074</v>
      </c>
      <c r="S1645" s="1" t="s">
        <v>9075</v>
      </c>
      <c r="T1645" s="1">
        <v>1</v>
      </c>
      <c r="U1645" s="1">
        <v>1</v>
      </c>
      <c r="V1645" s="1">
        <v>0</v>
      </c>
      <c r="W1645" s="1">
        <v>0</v>
      </c>
      <c r="X1645" s="1">
        <v>0</v>
      </c>
      <c r="Y1645" s="1">
        <v>4</v>
      </c>
      <c r="Z1645" s="1">
        <v>4</v>
      </c>
      <c r="AA1645" s="1">
        <v>4</v>
      </c>
      <c r="AB1645" s="1" t="s">
        <v>104</v>
      </c>
      <c r="AC1645" s="1" t="s">
        <v>104</v>
      </c>
      <c r="AD1645" s="1" t="s">
        <v>104</v>
      </c>
      <c r="AE1645" s="1" t="s">
        <v>104</v>
      </c>
      <c r="AF1645" s="1" t="s">
        <v>104</v>
      </c>
      <c r="AG1645" s="1" t="s">
        <v>104</v>
      </c>
      <c r="AH1645" s="1">
        <v>4</v>
      </c>
      <c r="AI1645" s="1" t="s">
        <v>104</v>
      </c>
      <c r="AJ1645" s="1">
        <v>4</v>
      </c>
      <c r="AK1645" s="1">
        <v>2</v>
      </c>
      <c r="AL1645" s="1" t="s">
        <v>104</v>
      </c>
      <c r="AM1645" s="1" t="s">
        <v>104</v>
      </c>
      <c r="AN1645" s="1" t="s">
        <v>9076</v>
      </c>
      <c r="AO1645" s="1">
        <v>4</v>
      </c>
      <c r="AR1645" s="1">
        <v>0</v>
      </c>
      <c r="AS1645" s="1">
        <v>0</v>
      </c>
      <c r="AT1645" s="1">
        <v>0</v>
      </c>
      <c r="AU1645" s="1">
        <v>0</v>
      </c>
      <c r="AV1645" s="1">
        <v>0</v>
      </c>
      <c r="AW1645" s="1">
        <v>0</v>
      </c>
      <c r="AX1645" s="1">
        <v>0</v>
      </c>
      <c r="AY1645" s="1">
        <v>0</v>
      </c>
      <c r="AZ1645" s="1">
        <v>0</v>
      </c>
      <c r="BA1645" s="1">
        <v>0</v>
      </c>
      <c r="BB1645" s="1">
        <v>0</v>
      </c>
      <c r="BC1645" s="1">
        <v>0</v>
      </c>
      <c r="BD1645" s="1">
        <v>0</v>
      </c>
      <c r="BE1645" s="1">
        <v>0</v>
      </c>
      <c r="BF1645" s="1">
        <v>0</v>
      </c>
      <c r="BG1645" s="1">
        <v>0</v>
      </c>
      <c r="BH1645" s="1">
        <v>0</v>
      </c>
      <c r="BI1645" s="1">
        <v>0</v>
      </c>
      <c r="BJ1645" s="1">
        <v>0</v>
      </c>
      <c r="BK1645" s="1">
        <v>0</v>
      </c>
      <c r="BL1645" s="1">
        <v>0</v>
      </c>
      <c r="BM1645" s="1">
        <v>0</v>
      </c>
      <c r="BN1645" s="1">
        <v>0</v>
      </c>
      <c r="BO1645" s="1">
        <v>0</v>
      </c>
      <c r="BP1645" s="1">
        <v>0</v>
      </c>
      <c r="BQ1645" s="1" t="s">
        <v>104</v>
      </c>
      <c r="BR1645" s="1">
        <v>1733</v>
      </c>
      <c r="BS1645" s="1" t="s">
        <v>104</v>
      </c>
      <c r="BX1645" s="1">
        <v>0</v>
      </c>
      <c r="BY1645" s="1" t="s">
        <v>104</v>
      </c>
      <c r="BZ1645" s="1" t="s">
        <v>104</v>
      </c>
      <c r="CA1645" s="1" t="s">
        <v>104</v>
      </c>
      <c r="CB1645" s="1" t="s">
        <v>104</v>
      </c>
      <c r="CC1645" s="1" t="s">
        <v>104</v>
      </c>
      <c r="CD1645" s="1" t="s">
        <v>104</v>
      </c>
      <c r="CE1645" s="1" t="s">
        <v>104</v>
      </c>
      <c r="CF1645" s="1" t="s">
        <v>104</v>
      </c>
      <c r="CG1645" s="1" t="s">
        <v>104</v>
      </c>
      <c r="CH1645" s="1" t="s">
        <v>104</v>
      </c>
      <c r="CJ1645" s="1">
        <v>0</v>
      </c>
      <c r="CK1645" s="1">
        <v>0</v>
      </c>
      <c r="CL1645" s="1">
        <v>0</v>
      </c>
      <c r="CM1645" s="1" t="s">
        <v>104</v>
      </c>
    </row>
    <row r="1646" spans="1:91" ht="14.25" customHeight="1" x14ac:dyDescent="0.3">
      <c r="A1646" s="1" t="s">
        <v>9077</v>
      </c>
      <c r="B1646" s="1" t="s">
        <v>123</v>
      </c>
      <c r="C1646" s="1" t="s">
        <v>124</v>
      </c>
      <c r="D1646" s="1" t="s">
        <v>125</v>
      </c>
      <c r="E1646" s="1" t="s">
        <v>3245</v>
      </c>
      <c r="F1646" s="1" t="s">
        <v>95</v>
      </c>
      <c r="G1646" s="1" t="s">
        <v>116</v>
      </c>
      <c r="H1646" s="1">
        <v>0</v>
      </c>
      <c r="I1646" s="1" t="s">
        <v>117</v>
      </c>
      <c r="L1646" s="1" t="s">
        <v>417</v>
      </c>
      <c r="M1646" s="1" t="s">
        <v>111</v>
      </c>
      <c r="N1646" s="1">
        <v>0</v>
      </c>
      <c r="O1646" s="1">
        <v>0</v>
      </c>
      <c r="P1646" s="1" t="s">
        <v>211</v>
      </c>
      <c r="Q1646" s="1" t="s">
        <v>184</v>
      </c>
      <c r="R1646" s="1" t="s">
        <v>9078</v>
      </c>
      <c r="S1646" s="1" t="s">
        <v>9079</v>
      </c>
      <c r="T1646" s="1">
        <v>1</v>
      </c>
      <c r="U1646" s="1">
        <v>1</v>
      </c>
      <c r="V1646" s="1">
        <v>0</v>
      </c>
      <c r="W1646" s="1">
        <v>0</v>
      </c>
      <c r="X1646" s="1">
        <v>0</v>
      </c>
      <c r="Y1646" s="1">
        <v>4</v>
      </c>
      <c r="Z1646" s="1">
        <v>4</v>
      </c>
      <c r="AA1646" s="1" t="s">
        <v>104</v>
      </c>
      <c r="AB1646" s="1" t="s">
        <v>104</v>
      </c>
      <c r="AC1646" s="1" t="s">
        <v>104</v>
      </c>
      <c r="AD1646" s="1">
        <v>4</v>
      </c>
      <c r="AE1646" s="1" t="s">
        <v>104</v>
      </c>
      <c r="AF1646" s="1" t="s">
        <v>104</v>
      </c>
      <c r="AG1646" s="1" t="s">
        <v>104</v>
      </c>
      <c r="AH1646" s="1">
        <v>4</v>
      </c>
      <c r="AI1646" s="1" t="s">
        <v>104</v>
      </c>
      <c r="AJ1646" s="1" t="s">
        <v>104</v>
      </c>
      <c r="AK1646" s="1" t="s">
        <v>104</v>
      </c>
      <c r="AL1646" s="1" t="s">
        <v>104</v>
      </c>
      <c r="AM1646" s="1" t="s">
        <v>104</v>
      </c>
      <c r="AO1646" s="1">
        <v>4</v>
      </c>
      <c r="AR1646" s="1">
        <v>0</v>
      </c>
      <c r="AS1646" s="1">
        <v>0</v>
      </c>
      <c r="AT1646" s="1">
        <v>0</v>
      </c>
      <c r="AU1646" s="1">
        <v>0</v>
      </c>
      <c r="AV1646" s="1">
        <v>0</v>
      </c>
      <c r="AW1646" s="1">
        <v>0</v>
      </c>
      <c r="AX1646" s="1">
        <v>0</v>
      </c>
      <c r="AY1646" s="1">
        <v>0</v>
      </c>
      <c r="AZ1646" s="1">
        <v>0</v>
      </c>
      <c r="BA1646" s="1">
        <v>0</v>
      </c>
      <c r="BB1646" s="1">
        <v>0</v>
      </c>
      <c r="BC1646" s="1">
        <v>0</v>
      </c>
      <c r="BD1646" s="1">
        <v>0</v>
      </c>
      <c r="BE1646" s="1">
        <v>0</v>
      </c>
      <c r="BF1646" s="1">
        <v>0</v>
      </c>
      <c r="BG1646" s="1">
        <v>0</v>
      </c>
      <c r="BH1646" s="1">
        <v>0</v>
      </c>
      <c r="BI1646" s="1">
        <v>0</v>
      </c>
      <c r="BJ1646" s="1">
        <v>0</v>
      </c>
      <c r="BK1646" s="1">
        <v>1</v>
      </c>
      <c r="BL1646" s="1">
        <v>0</v>
      </c>
      <c r="BM1646" s="1">
        <v>0</v>
      </c>
      <c r="BN1646" s="1">
        <v>0</v>
      </c>
      <c r="BO1646" s="1">
        <v>0</v>
      </c>
      <c r="BP1646" s="1">
        <v>0</v>
      </c>
      <c r="BQ1646" s="1" t="s">
        <v>104</v>
      </c>
      <c r="BR1646" s="1">
        <v>1735</v>
      </c>
      <c r="BS1646" s="1" t="s">
        <v>104</v>
      </c>
      <c r="BX1646" s="1">
        <v>0</v>
      </c>
      <c r="BY1646" s="1" t="s">
        <v>104</v>
      </c>
      <c r="BZ1646" s="1" t="s">
        <v>104</v>
      </c>
      <c r="CA1646" s="1" t="s">
        <v>104</v>
      </c>
      <c r="CB1646" s="1" t="s">
        <v>104</v>
      </c>
      <c r="CC1646" s="1" t="s">
        <v>104</v>
      </c>
      <c r="CD1646" s="1" t="s">
        <v>104</v>
      </c>
      <c r="CE1646" s="1" t="s">
        <v>104</v>
      </c>
      <c r="CF1646" s="1" t="s">
        <v>104</v>
      </c>
      <c r="CG1646" s="1" t="s">
        <v>104</v>
      </c>
      <c r="CH1646" s="1" t="s">
        <v>104</v>
      </c>
      <c r="CJ1646" s="1">
        <v>0</v>
      </c>
      <c r="CK1646" s="1">
        <v>0</v>
      </c>
      <c r="CL1646" s="1">
        <v>0</v>
      </c>
      <c r="CM1646" s="1" t="s">
        <v>104</v>
      </c>
    </row>
    <row r="1647" spans="1:91" ht="14.25" customHeight="1" x14ac:dyDescent="0.3">
      <c r="A1647" s="1" t="s">
        <v>9080</v>
      </c>
      <c r="B1647" s="1" t="s">
        <v>162</v>
      </c>
      <c r="E1647" s="1" t="s">
        <v>9081</v>
      </c>
      <c r="F1647" s="1" t="s">
        <v>95</v>
      </c>
      <c r="G1647" s="1" t="s">
        <v>127</v>
      </c>
      <c r="H1647" s="1">
        <v>0</v>
      </c>
      <c r="I1647" s="1" t="s">
        <v>117</v>
      </c>
      <c r="L1647" s="1" t="s">
        <v>9082</v>
      </c>
      <c r="M1647" s="1" t="s">
        <v>210</v>
      </c>
      <c r="N1647" s="1">
        <v>0</v>
      </c>
      <c r="O1647" s="1">
        <v>0</v>
      </c>
      <c r="P1647" s="1" t="s">
        <v>375</v>
      </c>
      <c r="Q1647" s="1" t="s">
        <v>131</v>
      </c>
      <c r="R1647" s="1" t="s">
        <v>9083</v>
      </c>
      <c r="S1647" s="1" t="s">
        <v>9079</v>
      </c>
      <c r="T1647" s="1">
        <v>1</v>
      </c>
      <c r="U1647" s="1">
        <v>1</v>
      </c>
      <c r="V1647" s="1">
        <v>0</v>
      </c>
      <c r="W1647" s="1">
        <v>0</v>
      </c>
      <c r="X1647" s="1">
        <v>1</v>
      </c>
      <c r="Y1647" s="1" t="s">
        <v>104</v>
      </c>
      <c r="Z1647" s="1" t="s">
        <v>104</v>
      </c>
      <c r="AA1647" s="1">
        <v>2</v>
      </c>
      <c r="AB1647" s="1">
        <v>2</v>
      </c>
      <c r="AC1647" s="1" t="s">
        <v>104</v>
      </c>
      <c r="AD1647" s="1" t="s">
        <v>104</v>
      </c>
      <c r="AE1647" s="1" t="s">
        <v>104</v>
      </c>
      <c r="AF1647" s="1" t="s">
        <v>104</v>
      </c>
      <c r="AG1647" s="1" t="s">
        <v>104</v>
      </c>
      <c r="AH1647" s="1" t="s">
        <v>104</v>
      </c>
      <c r="AI1647" s="1" t="s">
        <v>104</v>
      </c>
      <c r="AJ1647" s="1">
        <v>2</v>
      </c>
      <c r="AK1647" s="1" t="s">
        <v>104</v>
      </c>
      <c r="AL1647" s="1" t="s">
        <v>104</v>
      </c>
      <c r="AM1647" s="1" t="s">
        <v>104</v>
      </c>
      <c r="AO1647" s="1">
        <v>2</v>
      </c>
      <c r="AR1647" s="1">
        <v>0</v>
      </c>
      <c r="AS1647" s="1">
        <v>0</v>
      </c>
      <c r="AT1647" s="1">
        <v>0</v>
      </c>
      <c r="AU1647" s="1">
        <v>0</v>
      </c>
      <c r="AV1647" s="1">
        <v>0</v>
      </c>
      <c r="AW1647" s="1">
        <v>0</v>
      </c>
      <c r="AX1647" s="1">
        <v>0</v>
      </c>
      <c r="AY1647" s="1">
        <v>0</v>
      </c>
      <c r="AZ1647" s="1">
        <v>0</v>
      </c>
      <c r="BA1647" s="1">
        <v>0</v>
      </c>
      <c r="BB1647" s="1">
        <v>0</v>
      </c>
      <c r="BC1647" s="1">
        <v>0</v>
      </c>
      <c r="BD1647" s="1">
        <v>0</v>
      </c>
      <c r="BE1647" s="1">
        <v>0</v>
      </c>
      <c r="BF1647" s="1">
        <v>0</v>
      </c>
      <c r="BG1647" s="1">
        <v>0</v>
      </c>
      <c r="BH1647" s="1">
        <v>0</v>
      </c>
      <c r="BI1647" s="1">
        <v>0</v>
      </c>
      <c r="BJ1647" s="1">
        <v>0</v>
      </c>
      <c r="BK1647" s="1">
        <v>0</v>
      </c>
      <c r="BL1647" s="1">
        <v>0</v>
      </c>
      <c r="BM1647" s="1">
        <v>0</v>
      </c>
      <c r="BN1647" s="1">
        <v>0</v>
      </c>
      <c r="BO1647" s="1">
        <v>0</v>
      </c>
      <c r="BP1647" s="1">
        <v>0</v>
      </c>
      <c r="BQ1647" s="1" t="s">
        <v>104</v>
      </c>
      <c r="BR1647" s="1">
        <v>1740</v>
      </c>
      <c r="BS1647" s="1" t="s">
        <v>104</v>
      </c>
      <c r="BX1647" s="1">
        <v>0</v>
      </c>
      <c r="BY1647" s="1" t="s">
        <v>104</v>
      </c>
      <c r="BZ1647" s="1" t="s">
        <v>104</v>
      </c>
      <c r="CA1647" s="1" t="s">
        <v>104</v>
      </c>
      <c r="CB1647" s="1" t="s">
        <v>104</v>
      </c>
      <c r="CC1647" s="1" t="s">
        <v>104</v>
      </c>
      <c r="CD1647" s="1" t="s">
        <v>104</v>
      </c>
      <c r="CE1647" s="1" t="s">
        <v>104</v>
      </c>
      <c r="CF1647" s="1" t="s">
        <v>104</v>
      </c>
      <c r="CG1647" s="1" t="s">
        <v>104</v>
      </c>
      <c r="CH1647" s="1">
        <v>2</v>
      </c>
      <c r="CJ1647" s="1">
        <v>0</v>
      </c>
      <c r="CK1647" s="1">
        <v>0</v>
      </c>
      <c r="CL1647" s="1">
        <v>0</v>
      </c>
      <c r="CM1647" s="1" t="s">
        <v>104</v>
      </c>
    </row>
    <row r="1648" spans="1:91" ht="14.25" customHeight="1" x14ac:dyDescent="0.3">
      <c r="A1648" s="1" t="s">
        <v>9084</v>
      </c>
      <c r="B1648" s="1" t="s">
        <v>172</v>
      </c>
      <c r="E1648" s="1" t="s">
        <v>8551</v>
      </c>
      <c r="F1648" s="1" t="s">
        <v>95</v>
      </c>
      <c r="G1648" s="1" t="s">
        <v>116</v>
      </c>
      <c r="H1648" s="1">
        <v>0</v>
      </c>
      <c r="I1648" s="1" t="s">
        <v>128</v>
      </c>
      <c r="L1648" s="1" t="s">
        <v>9085</v>
      </c>
      <c r="M1648" s="1" t="s">
        <v>298</v>
      </c>
      <c r="N1648" s="1">
        <v>0</v>
      </c>
      <c r="O1648" s="1">
        <v>0</v>
      </c>
      <c r="P1648" s="1" t="s">
        <v>4401</v>
      </c>
      <c r="Q1648" s="1" t="s">
        <v>472</v>
      </c>
      <c r="R1648" s="1" t="s">
        <v>9086</v>
      </c>
      <c r="S1648" s="1" t="s">
        <v>9087</v>
      </c>
      <c r="T1648" s="1">
        <v>1</v>
      </c>
      <c r="U1648" s="1">
        <v>1</v>
      </c>
      <c r="V1648" s="1">
        <v>0</v>
      </c>
      <c r="W1648" s="1">
        <v>0</v>
      </c>
      <c r="X1648" s="1">
        <v>0</v>
      </c>
      <c r="Y1648" s="1">
        <v>3</v>
      </c>
      <c r="Z1648" s="1">
        <v>3</v>
      </c>
      <c r="AA1648" s="1" t="s">
        <v>104</v>
      </c>
      <c r="AB1648" s="1" t="s">
        <v>104</v>
      </c>
      <c r="AC1648" s="1" t="s">
        <v>104</v>
      </c>
      <c r="AD1648" s="1">
        <v>3</v>
      </c>
      <c r="AE1648" s="1" t="s">
        <v>104</v>
      </c>
      <c r="AF1648" s="1" t="s">
        <v>104</v>
      </c>
      <c r="AG1648" s="1" t="s">
        <v>104</v>
      </c>
      <c r="AH1648" s="1">
        <v>3</v>
      </c>
      <c r="AI1648" s="1">
        <v>3</v>
      </c>
      <c r="AJ1648" s="1" t="s">
        <v>104</v>
      </c>
      <c r="AK1648" s="1" t="s">
        <v>104</v>
      </c>
      <c r="AL1648" s="1" t="s">
        <v>104</v>
      </c>
      <c r="AM1648" s="1" t="s">
        <v>104</v>
      </c>
      <c r="AO1648" s="1">
        <v>3</v>
      </c>
      <c r="AR1648" s="1">
        <v>0</v>
      </c>
      <c r="AS1648" s="1">
        <v>0</v>
      </c>
      <c r="AT1648" s="1">
        <v>0</v>
      </c>
      <c r="AU1648" s="1">
        <v>0</v>
      </c>
      <c r="AV1648" s="1">
        <v>0</v>
      </c>
      <c r="AW1648" s="1">
        <v>0</v>
      </c>
      <c r="AX1648" s="1">
        <v>0</v>
      </c>
      <c r="AY1648" s="1">
        <v>0</v>
      </c>
      <c r="AZ1648" s="1">
        <v>0</v>
      </c>
      <c r="BA1648" s="1">
        <v>0</v>
      </c>
      <c r="BB1648" s="1">
        <v>0</v>
      </c>
      <c r="BC1648" s="1">
        <v>0</v>
      </c>
      <c r="BD1648" s="1">
        <v>0</v>
      </c>
      <c r="BE1648" s="1">
        <v>0</v>
      </c>
      <c r="BF1648" s="1">
        <v>0</v>
      </c>
      <c r="BG1648" s="1">
        <v>0</v>
      </c>
      <c r="BH1648" s="1">
        <v>0</v>
      </c>
      <c r="BI1648" s="1">
        <v>0</v>
      </c>
      <c r="BJ1648" s="1">
        <v>0</v>
      </c>
      <c r="BK1648" s="1">
        <v>0</v>
      </c>
      <c r="BL1648" s="1">
        <v>0</v>
      </c>
      <c r="BM1648" s="1">
        <v>0</v>
      </c>
      <c r="BN1648" s="1">
        <v>0</v>
      </c>
      <c r="BO1648" s="1">
        <v>0</v>
      </c>
      <c r="BP1648" s="1">
        <v>0</v>
      </c>
      <c r="BQ1648" s="1" t="s">
        <v>104</v>
      </c>
      <c r="BR1648" s="1">
        <v>1741</v>
      </c>
      <c r="BS1648" s="1" t="s">
        <v>104</v>
      </c>
      <c r="BX1648" s="1">
        <v>0</v>
      </c>
      <c r="BY1648" s="1" t="s">
        <v>104</v>
      </c>
      <c r="BZ1648" s="1" t="s">
        <v>104</v>
      </c>
      <c r="CA1648" s="1" t="s">
        <v>104</v>
      </c>
      <c r="CB1648" s="1" t="s">
        <v>104</v>
      </c>
      <c r="CC1648" s="1" t="s">
        <v>104</v>
      </c>
      <c r="CD1648" s="1" t="s">
        <v>104</v>
      </c>
      <c r="CE1648" s="1" t="s">
        <v>104</v>
      </c>
      <c r="CF1648" s="1" t="s">
        <v>104</v>
      </c>
      <c r="CG1648" s="1" t="s">
        <v>104</v>
      </c>
      <c r="CH1648" s="1" t="s">
        <v>104</v>
      </c>
      <c r="CJ1648" s="1">
        <v>0</v>
      </c>
      <c r="CK1648" s="1">
        <v>0</v>
      </c>
      <c r="CL1648" s="1">
        <v>0</v>
      </c>
      <c r="CM1648" s="1" t="s">
        <v>104</v>
      </c>
    </row>
    <row r="1649" spans="1:91" ht="14.25" customHeight="1" x14ac:dyDescent="0.3">
      <c r="A1649" s="1" t="s">
        <v>9088</v>
      </c>
      <c r="B1649" s="1" t="s">
        <v>92</v>
      </c>
      <c r="C1649" s="1" t="s">
        <v>903</v>
      </c>
      <c r="E1649" s="1" t="s">
        <v>8032</v>
      </c>
      <c r="F1649" s="1" t="s">
        <v>255</v>
      </c>
      <c r="G1649" s="1" t="s">
        <v>9089</v>
      </c>
      <c r="H1649" s="1">
        <v>0</v>
      </c>
      <c r="I1649" s="1" t="s">
        <v>117</v>
      </c>
      <c r="K1649" s="1" t="s">
        <v>9090</v>
      </c>
      <c r="M1649" s="1" t="s">
        <v>426</v>
      </c>
      <c r="N1649" s="1">
        <v>1</v>
      </c>
      <c r="O1649" s="1">
        <v>0</v>
      </c>
      <c r="P1649" s="1" t="s">
        <v>100</v>
      </c>
      <c r="Q1649" s="1" t="s">
        <v>101</v>
      </c>
      <c r="R1649" s="1" t="s">
        <v>9091</v>
      </c>
      <c r="S1649" s="1" t="s">
        <v>9092</v>
      </c>
      <c r="T1649" s="1">
        <v>1</v>
      </c>
      <c r="U1649" s="1">
        <v>1</v>
      </c>
      <c r="V1649" s="1">
        <v>0</v>
      </c>
      <c r="W1649" s="1">
        <v>0</v>
      </c>
      <c r="X1649" s="1">
        <v>1</v>
      </c>
      <c r="Y1649" s="1">
        <v>5</v>
      </c>
      <c r="Z1649" s="1">
        <v>5</v>
      </c>
      <c r="AA1649" s="1">
        <v>5</v>
      </c>
      <c r="AB1649" s="1" t="s">
        <v>104</v>
      </c>
      <c r="AC1649" s="1" t="s">
        <v>104</v>
      </c>
      <c r="AD1649" s="1" t="s">
        <v>104</v>
      </c>
      <c r="AE1649" s="1" t="s">
        <v>104</v>
      </c>
      <c r="AF1649" s="1" t="s">
        <v>104</v>
      </c>
      <c r="AG1649" s="1">
        <v>4</v>
      </c>
      <c r="AH1649" s="1">
        <v>5</v>
      </c>
      <c r="AI1649" s="1" t="s">
        <v>104</v>
      </c>
      <c r="AJ1649" s="1">
        <v>5</v>
      </c>
      <c r="AK1649" s="1" t="s">
        <v>104</v>
      </c>
      <c r="AL1649" s="1" t="s">
        <v>104</v>
      </c>
      <c r="AM1649" s="1" t="s">
        <v>104</v>
      </c>
      <c r="AO1649" s="1">
        <v>5</v>
      </c>
      <c r="AR1649" s="1">
        <v>0</v>
      </c>
      <c r="AS1649" s="1">
        <v>0</v>
      </c>
      <c r="AT1649" s="1">
        <v>0</v>
      </c>
      <c r="AU1649" s="1">
        <v>0</v>
      </c>
      <c r="AV1649" s="1">
        <v>0</v>
      </c>
      <c r="AW1649" s="1">
        <v>0</v>
      </c>
      <c r="AX1649" s="1">
        <v>0</v>
      </c>
      <c r="AY1649" s="1">
        <v>0</v>
      </c>
      <c r="AZ1649" s="1">
        <v>0</v>
      </c>
      <c r="BA1649" s="1">
        <v>0</v>
      </c>
      <c r="BB1649" s="1">
        <v>0</v>
      </c>
      <c r="BC1649" s="1">
        <v>0</v>
      </c>
      <c r="BD1649" s="1">
        <v>0</v>
      </c>
      <c r="BE1649" s="1">
        <v>0</v>
      </c>
      <c r="BF1649" s="1">
        <v>0</v>
      </c>
      <c r="BG1649" s="1">
        <v>0</v>
      </c>
      <c r="BH1649" s="1">
        <v>0</v>
      </c>
      <c r="BI1649" s="1">
        <v>0</v>
      </c>
      <c r="BJ1649" s="1">
        <v>0</v>
      </c>
      <c r="BK1649" s="1">
        <v>0</v>
      </c>
      <c r="BL1649" s="1">
        <v>0</v>
      </c>
      <c r="BM1649" s="1">
        <v>0</v>
      </c>
      <c r="BN1649" s="1">
        <v>0</v>
      </c>
      <c r="BO1649" s="1">
        <v>0</v>
      </c>
      <c r="BP1649" s="1">
        <v>0</v>
      </c>
      <c r="BQ1649" s="1" t="s">
        <v>104</v>
      </c>
      <c r="BR1649" s="1">
        <v>1742</v>
      </c>
      <c r="BS1649" s="1" t="s">
        <v>104</v>
      </c>
      <c r="BX1649" s="1">
        <v>0</v>
      </c>
      <c r="BY1649" s="1" t="s">
        <v>104</v>
      </c>
      <c r="BZ1649" s="1" t="s">
        <v>104</v>
      </c>
      <c r="CA1649" s="1" t="s">
        <v>104</v>
      </c>
      <c r="CB1649" s="1" t="s">
        <v>104</v>
      </c>
      <c r="CC1649" s="1" t="s">
        <v>104</v>
      </c>
      <c r="CD1649" s="1" t="s">
        <v>104</v>
      </c>
      <c r="CE1649" s="1" t="s">
        <v>104</v>
      </c>
      <c r="CF1649" s="1" t="s">
        <v>104</v>
      </c>
      <c r="CG1649" s="1" t="s">
        <v>104</v>
      </c>
      <c r="CH1649" s="1" t="s">
        <v>104</v>
      </c>
      <c r="CJ1649" s="1">
        <v>0</v>
      </c>
      <c r="CK1649" s="1">
        <v>0</v>
      </c>
      <c r="CL1649" s="1">
        <v>0</v>
      </c>
      <c r="CM1649" s="1">
        <v>4</v>
      </c>
    </row>
    <row r="1650" spans="1:91" ht="14.25" customHeight="1" x14ac:dyDescent="0.3">
      <c r="A1650" s="1" t="s">
        <v>9093</v>
      </c>
      <c r="B1650" s="1" t="s">
        <v>92</v>
      </c>
      <c r="C1650" s="1" t="s">
        <v>903</v>
      </c>
      <c r="E1650" s="1" t="s">
        <v>9066</v>
      </c>
      <c r="F1650" s="1" t="s">
        <v>255</v>
      </c>
      <c r="G1650" s="1" t="s">
        <v>9094</v>
      </c>
      <c r="H1650" s="1">
        <v>0</v>
      </c>
      <c r="I1650" s="1" t="s">
        <v>117</v>
      </c>
      <c r="K1650" s="1" t="s">
        <v>9095</v>
      </c>
      <c r="M1650" s="1" t="s">
        <v>426</v>
      </c>
      <c r="N1650" s="1">
        <v>1</v>
      </c>
      <c r="O1650" s="1">
        <v>0</v>
      </c>
      <c r="P1650" s="1" t="s">
        <v>100</v>
      </c>
      <c r="Q1650" s="1" t="s">
        <v>101</v>
      </c>
      <c r="R1650" s="1" t="s">
        <v>9096</v>
      </c>
      <c r="S1650" s="1" t="s">
        <v>9092</v>
      </c>
      <c r="T1650" s="1">
        <v>1</v>
      </c>
      <c r="U1650" s="1">
        <v>1</v>
      </c>
      <c r="V1650" s="1">
        <v>0</v>
      </c>
      <c r="W1650" s="1">
        <v>0</v>
      </c>
      <c r="X1650" s="1">
        <v>1</v>
      </c>
      <c r="Y1650" s="1">
        <v>6</v>
      </c>
      <c r="Z1650" s="1">
        <v>6</v>
      </c>
      <c r="AA1650" s="1">
        <v>6</v>
      </c>
      <c r="AB1650" s="1" t="s">
        <v>104</v>
      </c>
      <c r="AC1650" s="1" t="s">
        <v>104</v>
      </c>
      <c r="AD1650" s="1" t="s">
        <v>104</v>
      </c>
      <c r="AE1650" s="1" t="s">
        <v>104</v>
      </c>
      <c r="AF1650" s="1" t="s">
        <v>104</v>
      </c>
      <c r="AG1650" s="1">
        <v>5</v>
      </c>
      <c r="AH1650" s="1">
        <v>6</v>
      </c>
      <c r="AI1650" s="1" t="s">
        <v>104</v>
      </c>
      <c r="AJ1650" s="1">
        <v>6</v>
      </c>
      <c r="AK1650" s="1" t="s">
        <v>104</v>
      </c>
      <c r="AL1650" s="1" t="s">
        <v>104</v>
      </c>
      <c r="AM1650" s="1" t="s">
        <v>104</v>
      </c>
      <c r="AO1650" s="1">
        <v>6</v>
      </c>
      <c r="AR1650" s="1">
        <v>0</v>
      </c>
      <c r="AS1650" s="1">
        <v>0</v>
      </c>
      <c r="AT1650" s="1">
        <v>0</v>
      </c>
      <c r="AU1650" s="1">
        <v>0</v>
      </c>
      <c r="AV1650" s="1">
        <v>0</v>
      </c>
      <c r="AW1650" s="1">
        <v>0</v>
      </c>
      <c r="AX1650" s="1">
        <v>0</v>
      </c>
      <c r="AY1650" s="1">
        <v>0</v>
      </c>
      <c r="AZ1650" s="1">
        <v>0</v>
      </c>
      <c r="BA1650" s="1">
        <v>0</v>
      </c>
      <c r="BB1650" s="1">
        <v>0</v>
      </c>
      <c r="BC1650" s="1">
        <v>0</v>
      </c>
      <c r="BD1650" s="1">
        <v>0</v>
      </c>
      <c r="BE1650" s="1">
        <v>0</v>
      </c>
      <c r="BF1650" s="1">
        <v>0</v>
      </c>
      <c r="BG1650" s="1">
        <v>0</v>
      </c>
      <c r="BH1650" s="1">
        <v>0</v>
      </c>
      <c r="BI1650" s="1">
        <v>0</v>
      </c>
      <c r="BJ1650" s="1">
        <v>0</v>
      </c>
      <c r="BK1650" s="1">
        <v>0</v>
      </c>
      <c r="BL1650" s="1">
        <v>0</v>
      </c>
      <c r="BM1650" s="1">
        <v>0</v>
      </c>
      <c r="BN1650" s="1">
        <v>0</v>
      </c>
      <c r="BO1650" s="1">
        <v>0</v>
      </c>
      <c r="BP1650" s="1">
        <v>0</v>
      </c>
      <c r="BQ1650" s="1" t="s">
        <v>104</v>
      </c>
      <c r="BR1650" s="1">
        <v>1743</v>
      </c>
      <c r="BS1650" s="1" t="s">
        <v>104</v>
      </c>
      <c r="BX1650" s="1">
        <v>0</v>
      </c>
      <c r="BY1650" s="1" t="s">
        <v>104</v>
      </c>
      <c r="BZ1650" s="1" t="s">
        <v>104</v>
      </c>
      <c r="CA1650" s="1" t="s">
        <v>104</v>
      </c>
      <c r="CB1650" s="1" t="s">
        <v>104</v>
      </c>
      <c r="CC1650" s="1" t="s">
        <v>104</v>
      </c>
      <c r="CD1650" s="1" t="s">
        <v>104</v>
      </c>
      <c r="CE1650" s="1" t="s">
        <v>104</v>
      </c>
      <c r="CF1650" s="1" t="s">
        <v>104</v>
      </c>
      <c r="CG1650" s="1" t="s">
        <v>104</v>
      </c>
      <c r="CH1650" s="1" t="s">
        <v>104</v>
      </c>
      <c r="CJ1650" s="1">
        <v>0</v>
      </c>
      <c r="CK1650" s="1">
        <v>0</v>
      </c>
      <c r="CL1650" s="1">
        <v>0</v>
      </c>
      <c r="CM1650" s="1">
        <v>5</v>
      </c>
    </row>
    <row r="1651" spans="1:91" ht="14.25" customHeight="1" x14ac:dyDescent="0.3">
      <c r="A1651" s="1" t="s">
        <v>9097</v>
      </c>
      <c r="B1651" s="1" t="s">
        <v>216</v>
      </c>
      <c r="E1651" s="1" t="s">
        <v>6573</v>
      </c>
      <c r="F1651" s="1" t="s">
        <v>95</v>
      </c>
      <c r="G1651" s="1" t="s">
        <v>9098</v>
      </c>
      <c r="H1651" s="1">
        <v>1</v>
      </c>
      <c r="I1651" s="1" t="s">
        <v>157</v>
      </c>
      <c r="L1651" s="1" t="s">
        <v>158</v>
      </c>
      <c r="M1651" s="1" t="s">
        <v>9099</v>
      </c>
      <c r="N1651" s="1">
        <v>0</v>
      </c>
      <c r="O1651" s="1">
        <v>0</v>
      </c>
      <c r="R1651" s="1" t="s">
        <v>9100</v>
      </c>
      <c r="S1651" s="1" t="s">
        <v>9101</v>
      </c>
      <c r="T1651" s="1">
        <v>1</v>
      </c>
      <c r="U1651" s="1">
        <v>1</v>
      </c>
      <c r="V1651" s="1">
        <v>0</v>
      </c>
      <c r="W1651" s="1">
        <v>0</v>
      </c>
      <c r="X1651" s="1">
        <v>0</v>
      </c>
      <c r="Y1651" s="1">
        <v>5</v>
      </c>
      <c r="Z1651" s="1">
        <v>5</v>
      </c>
      <c r="AA1651" s="1" t="s">
        <v>104</v>
      </c>
      <c r="AB1651" s="1" t="s">
        <v>104</v>
      </c>
      <c r="AC1651" s="1" t="s">
        <v>104</v>
      </c>
      <c r="AD1651" s="1" t="s">
        <v>104</v>
      </c>
      <c r="AE1651" s="1" t="s">
        <v>104</v>
      </c>
      <c r="AF1651" s="1" t="s">
        <v>104</v>
      </c>
      <c r="AG1651" s="1" t="s">
        <v>104</v>
      </c>
      <c r="AH1651" s="1">
        <v>5</v>
      </c>
      <c r="AI1651" s="1" t="s">
        <v>104</v>
      </c>
      <c r="AJ1651" s="1" t="s">
        <v>104</v>
      </c>
      <c r="AK1651" s="1" t="s">
        <v>104</v>
      </c>
      <c r="AL1651" s="1" t="s">
        <v>104</v>
      </c>
      <c r="AM1651" s="1" t="s">
        <v>104</v>
      </c>
      <c r="AO1651" s="1">
        <v>5</v>
      </c>
      <c r="AR1651" s="1">
        <v>0</v>
      </c>
      <c r="AS1651" s="1">
        <v>0</v>
      </c>
      <c r="AT1651" s="1">
        <v>0</v>
      </c>
      <c r="AU1651" s="1">
        <v>0</v>
      </c>
      <c r="AV1651" s="1">
        <v>0</v>
      </c>
      <c r="AW1651" s="1">
        <v>0</v>
      </c>
      <c r="AX1651" s="1">
        <v>0</v>
      </c>
      <c r="AY1651" s="1">
        <v>0</v>
      </c>
      <c r="AZ1651" s="1">
        <v>0</v>
      </c>
      <c r="BA1651" s="1">
        <v>0</v>
      </c>
      <c r="BB1651" s="1">
        <v>0</v>
      </c>
      <c r="BC1651" s="1">
        <v>0</v>
      </c>
      <c r="BD1651" s="1">
        <v>0</v>
      </c>
      <c r="BE1651" s="1">
        <v>0</v>
      </c>
      <c r="BF1651" s="1">
        <v>0</v>
      </c>
      <c r="BG1651" s="1">
        <v>0</v>
      </c>
      <c r="BH1651" s="1">
        <v>0</v>
      </c>
      <c r="BI1651" s="1">
        <v>0</v>
      </c>
      <c r="BJ1651" s="1">
        <v>0</v>
      </c>
      <c r="BK1651" s="1">
        <v>0</v>
      </c>
      <c r="BL1651" s="1">
        <v>0</v>
      </c>
      <c r="BM1651" s="1">
        <v>0</v>
      </c>
      <c r="BN1651" s="1">
        <v>0</v>
      </c>
      <c r="BO1651" s="1">
        <v>0</v>
      </c>
      <c r="BP1651" s="1">
        <v>0</v>
      </c>
      <c r="BQ1651" s="1" t="s">
        <v>104</v>
      </c>
      <c r="BR1651" s="1">
        <v>1744</v>
      </c>
      <c r="BS1651" s="1">
        <v>500</v>
      </c>
      <c r="BX1651" s="1">
        <v>0</v>
      </c>
      <c r="BY1651" s="1" t="s">
        <v>104</v>
      </c>
      <c r="BZ1651" s="1" t="s">
        <v>104</v>
      </c>
      <c r="CA1651" s="1" t="s">
        <v>104</v>
      </c>
      <c r="CB1651" s="1" t="s">
        <v>104</v>
      </c>
      <c r="CC1651" s="1" t="s">
        <v>104</v>
      </c>
      <c r="CD1651" s="1" t="s">
        <v>104</v>
      </c>
      <c r="CE1651" s="1" t="s">
        <v>104</v>
      </c>
      <c r="CF1651" s="1" t="s">
        <v>104</v>
      </c>
      <c r="CG1651" s="1" t="s">
        <v>104</v>
      </c>
      <c r="CH1651" s="1" t="s">
        <v>104</v>
      </c>
      <c r="CJ1651" s="1">
        <v>0</v>
      </c>
      <c r="CK1651" s="1">
        <v>0</v>
      </c>
      <c r="CL1651" s="1">
        <v>0</v>
      </c>
      <c r="CM1651" s="1" t="s">
        <v>104</v>
      </c>
    </row>
    <row r="1652" spans="1:91" ht="14.25" customHeight="1" x14ac:dyDescent="0.3">
      <c r="A1652" s="1" t="s">
        <v>9102</v>
      </c>
      <c r="B1652" s="1" t="s">
        <v>162</v>
      </c>
      <c r="E1652" s="1" t="s">
        <v>9103</v>
      </c>
      <c r="F1652" s="1" t="s">
        <v>95</v>
      </c>
      <c r="G1652" s="1" t="s">
        <v>127</v>
      </c>
      <c r="H1652" s="1">
        <v>0</v>
      </c>
      <c r="I1652" s="1" t="s">
        <v>128</v>
      </c>
      <c r="K1652" s="1" t="s">
        <v>9104</v>
      </c>
      <c r="M1652" s="1" t="s">
        <v>201</v>
      </c>
      <c r="N1652" s="1">
        <v>0</v>
      </c>
      <c r="O1652" s="1">
        <v>0</v>
      </c>
      <c r="P1652" s="1" t="s">
        <v>1902</v>
      </c>
      <c r="Q1652" s="1" t="s">
        <v>184</v>
      </c>
      <c r="R1652" s="1" t="s">
        <v>9105</v>
      </c>
      <c r="S1652" s="1" t="s">
        <v>9101</v>
      </c>
      <c r="T1652" s="1">
        <v>1</v>
      </c>
      <c r="U1652" s="1">
        <v>1</v>
      </c>
      <c r="V1652" s="1">
        <v>0</v>
      </c>
      <c r="W1652" s="1">
        <v>0</v>
      </c>
      <c r="X1652" s="1">
        <v>1</v>
      </c>
      <c r="Y1652" s="1" t="s">
        <v>104</v>
      </c>
      <c r="Z1652" s="1" t="s">
        <v>104</v>
      </c>
      <c r="AA1652" s="1">
        <v>5</v>
      </c>
      <c r="AB1652" s="1" t="s">
        <v>104</v>
      </c>
      <c r="AC1652" s="1" t="s">
        <v>104</v>
      </c>
      <c r="AD1652" s="1" t="s">
        <v>104</v>
      </c>
      <c r="AE1652" s="1" t="s">
        <v>104</v>
      </c>
      <c r="AF1652" s="1" t="s">
        <v>104</v>
      </c>
      <c r="AG1652" s="1" t="s">
        <v>104</v>
      </c>
      <c r="AH1652" s="1">
        <v>5</v>
      </c>
      <c r="AI1652" s="1">
        <v>4</v>
      </c>
      <c r="AJ1652" s="1">
        <v>5</v>
      </c>
      <c r="AK1652" s="1" t="s">
        <v>104</v>
      </c>
      <c r="AL1652" s="1" t="s">
        <v>104</v>
      </c>
      <c r="AM1652" s="1" t="s">
        <v>104</v>
      </c>
      <c r="AO1652" s="1">
        <v>5</v>
      </c>
      <c r="AR1652" s="1">
        <v>0</v>
      </c>
      <c r="AS1652" s="1">
        <v>0</v>
      </c>
      <c r="AT1652" s="1">
        <v>0</v>
      </c>
      <c r="AU1652" s="1">
        <v>0</v>
      </c>
      <c r="AV1652" s="1">
        <v>0</v>
      </c>
      <c r="AW1652" s="1">
        <v>0</v>
      </c>
      <c r="AX1652" s="1">
        <v>0</v>
      </c>
      <c r="AY1652" s="1">
        <v>0</v>
      </c>
      <c r="AZ1652" s="1">
        <v>0</v>
      </c>
      <c r="BA1652" s="1">
        <v>0</v>
      </c>
      <c r="BB1652" s="1">
        <v>0</v>
      </c>
      <c r="BC1652" s="1">
        <v>0</v>
      </c>
      <c r="BD1652" s="1">
        <v>0</v>
      </c>
      <c r="BE1652" s="1">
        <v>0</v>
      </c>
      <c r="BF1652" s="1">
        <v>0</v>
      </c>
      <c r="BG1652" s="1">
        <v>0</v>
      </c>
      <c r="BH1652" s="1">
        <v>0</v>
      </c>
      <c r="BI1652" s="1">
        <v>0</v>
      </c>
      <c r="BJ1652" s="1">
        <v>0</v>
      </c>
      <c r="BK1652" s="1">
        <v>0</v>
      </c>
      <c r="BL1652" s="1">
        <v>0</v>
      </c>
      <c r="BM1652" s="1">
        <v>0</v>
      </c>
      <c r="BN1652" s="1">
        <v>0</v>
      </c>
      <c r="BO1652" s="1">
        <v>0</v>
      </c>
      <c r="BP1652" s="1">
        <v>0</v>
      </c>
      <c r="BQ1652" s="1" t="s">
        <v>104</v>
      </c>
      <c r="BR1652" s="1">
        <v>1745</v>
      </c>
      <c r="BS1652" s="1" t="s">
        <v>104</v>
      </c>
      <c r="BX1652" s="1">
        <v>0</v>
      </c>
      <c r="BY1652" s="1" t="s">
        <v>104</v>
      </c>
      <c r="BZ1652" s="1" t="s">
        <v>104</v>
      </c>
      <c r="CA1652" s="1" t="s">
        <v>104</v>
      </c>
      <c r="CB1652" s="1" t="s">
        <v>104</v>
      </c>
      <c r="CC1652" s="1" t="s">
        <v>104</v>
      </c>
      <c r="CD1652" s="1" t="s">
        <v>104</v>
      </c>
      <c r="CE1652" s="1" t="s">
        <v>104</v>
      </c>
      <c r="CF1652" s="1" t="s">
        <v>104</v>
      </c>
      <c r="CG1652" s="1" t="s">
        <v>104</v>
      </c>
      <c r="CH1652" s="1" t="s">
        <v>104</v>
      </c>
      <c r="CJ1652" s="1">
        <v>0</v>
      </c>
      <c r="CK1652" s="1">
        <v>0</v>
      </c>
      <c r="CL1652" s="1">
        <v>0</v>
      </c>
      <c r="CM1652" s="1" t="s">
        <v>104</v>
      </c>
    </row>
    <row r="1653" spans="1:91" ht="14.25" customHeight="1" x14ac:dyDescent="0.3">
      <c r="A1653" s="1" t="s">
        <v>9106</v>
      </c>
      <c r="B1653" s="1" t="s">
        <v>172</v>
      </c>
      <c r="E1653" s="1" t="s">
        <v>9107</v>
      </c>
      <c r="F1653" s="1" t="s">
        <v>95</v>
      </c>
      <c r="G1653" s="1" t="s">
        <v>116</v>
      </c>
      <c r="H1653" s="1">
        <v>0</v>
      </c>
      <c r="I1653" s="1" t="s">
        <v>117</v>
      </c>
      <c r="L1653" s="1" t="s">
        <v>751</v>
      </c>
      <c r="M1653" s="1" t="s">
        <v>4292</v>
      </c>
      <c r="N1653" s="1">
        <v>0</v>
      </c>
      <c r="O1653" s="1">
        <v>0</v>
      </c>
      <c r="P1653" s="1" t="s">
        <v>211</v>
      </c>
      <c r="Q1653" s="1" t="s">
        <v>101</v>
      </c>
      <c r="R1653" s="1" t="s">
        <v>9108</v>
      </c>
      <c r="S1653" s="1" t="s">
        <v>9101</v>
      </c>
      <c r="T1653" s="1">
        <v>1</v>
      </c>
      <c r="U1653" s="1">
        <v>1</v>
      </c>
      <c r="V1653" s="1">
        <v>0</v>
      </c>
      <c r="W1653" s="1">
        <v>0</v>
      </c>
      <c r="X1653" s="1">
        <v>0</v>
      </c>
      <c r="Y1653" s="1">
        <v>2</v>
      </c>
      <c r="Z1653" s="1">
        <v>2</v>
      </c>
      <c r="AA1653" s="1">
        <v>1</v>
      </c>
      <c r="AB1653" s="1" t="s">
        <v>104</v>
      </c>
      <c r="AC1653" s="1">
        <v>1</v>
      </c>
      <c r="AD1653" s="1" t="s">
        <v>104</v>
      </c>
      <c r="AE1653" s="1" t="s">
        <v>104</v>
      </c>
      <c r="AF1653" s="1" t="s">
        <v>104</v>
      </c>
      <c r="AG1653" s="1" t="s">
        <v>104</v>
      </c>
      <c r="AH1653" s="1">
        <v>1</v>
      </c>
      <c r="AI1653" s="1" t="s">
        <v>104</v>
      </c>
      <c r="AJ1653" s="1">
        <v>1</v>
      </c>
      <c r="AK1653" s="1" t="s">
        <v>104</v>
      </c>
      <c r="AL1653" s="1" t="s">
        <v>104</v>
      </c>
      <c r="AM1653" s="1" t="s">
        <v>104</v>
      </c>
      <c r="AO1653" s="1">
        <v>2</v>
      </c>
      <c r="AR1653" s="1">
        <v>0</v>
      </c>
      <c r="AS1653" s="1">
        <v>0</v>
      </c>
      <c r="AT1653" s="1">
        <v>0</v>
      </c>
      <c r="AU1653" s="1">
        <v>0</v>
      </c>
      <c r="AV1653" s="1">
        <v>0</v>
      </c>
      <c r="AW1653" s="1">
        <v>0</v>
      </c>
      <c r="AX1653" s="1">
        <v>0</v>
      </c>
      <c r="AY1653" s="1">
        <v>0</v>
      </c>
      <c r="AZ1653" s="1">
        <v>0</v>
      </c>
      <c r="BA1653" s="1">
        <v>0</v>
      </c>
      <c r="BB1653" s="1">
        <v>0</v>
      </c>
      <c r="BC1653" s="1">
        <v>0</v>
      </c>
      <c r="BD1653" s="1">
        <v>0</v>
      </c>
      <c r="BE1653" s="1">
        <v>0</v>
      </c>
      <c r="BF1653" s="1">
        <v>0</v>
      </c>
      <c r="BG1653" s="1">
        <v>0</v>
      </c>
      <c r="BH1653" s="1">
        <v>0</v>
      </c>
      <c r="BI1653" s="1">
        <v>0</v>
      </c>
      <c r="BJ1653" s="1">
        <v>0</v>
      </c>
      <c r="BK1653" s="1">
        <v>0</v>
      </c>
      <c r="BL1653" s="1">
        <v>0</v>
      </c>
      <c r="BM1653" s="1">
        <v>0</v>
      </c>
      <c r="BN1653" s="1">
        <v>0</v>
      </c>
      <c r="BO1653" s="1">
        <v>0</v>
      </c>
      <c r="BP1653" s="1">
        <v>0</v>
      </c>
      <c r="BQ1653" s="1" t="s">
        <v>104</v>
      </c>
      <c r="BR1653" s="1">
        <v>1746</v>
      </c>
      <c r="BS1653" s="1" t="s">
        <v>104</v>
      </c>
      <c r="BX1653" s="1">
        <v>0</v>
      </c>
      <c r="BY1653" s="1" t="s">
        <v>104</v>
      </c>
      <c r="BZ1653" s="1" t="s">
        <v>104</v>
      </c>
      <c r="CA1653" s="1" t="s">
        <v>104</v>
      </c>
      <c r="CB1653" s="1" t="s">
        <v>104</v>
      </c>
      <c r="CC1653" s="1" t="s">
        <v>104</v>
      </c>
      <c r="CD1653" s="1" t="s">
        <v>104</v>
      </c>
      <c r="CE1653" s="1" t="s">
        <v>104</v>
      </c>
      <c r="CF1653" s="1" t="s">
        <v>104</v>
      </c>
      <c r="CG1653" s="1" t="s">
        <v>104</v>
      </c>
      <c r="CH1653" s="1">
        <v>1</v>
      </c>
      <c r="CJ1653" s="1">
        <v>0</v>
      </c>
      <c r="CK1653" s="1">
        <v>0</v>
      </c>
      <c r="CL1653" s="1">
        <v>0</v>
      </c>
      <c r="CM1653" s="1" t="s">
        <v>104</v>
      </c>
    </row>
    <row r="1654" spans="1:91" ht="14.25" customHeight="1" x14ac:dyDescent="0.3">
      <c r="A1654" s="1" t="s">
        <v>9109</v>
      </c>
      <c r="B1654" s="1" t="s">
        <v>137</v>
      </c>
      <c r="D1654" s="1" t="s">
        <v>58</v>
      </c>
      <c r="E1654" s="1" t="s">
        <v>9110</v>
      </c>
      <c r="F1654" s="1" t="s">
        <v>95</v>
      </c>
      <c r="G1654" s="1" t="s">
        <v>116</v>
      </c>
      <c r="H1654" s="1">
        <v>0</v>
      </c>
      <c r="I1654" s="1" t="s">
        <v>128</v>
      </c>
      <c r="L1654" s="1" t="s">
        <v>9111</v>
      </c>
      <c r="M1654" s="1" t="s">
        <v>2330</v>
      </c>
      <c r="N1654" s="1">
        <v>0</v>
      </c>
      <c r="O1654" s="1">
        <v>0</v>
      </c>
      <c r="P1654" s="1" t="s">
        <v>8473</v>
      </c>
      <c r="Q1654" s="1" t="s">
        <v>101</v>
      </c>
      <c r="R1654" s="1" t="s">
        <v>9112</v>
      </c>
      <c r="S1654" s="1" t="s">
        <v>9101</v>
      </c>
      <c r="T1654" s="1">
        <v>1</v>
      </c>
      <c r="U1654" s="1">
        <v>1</v>
      </c>
      <c r="V1654" s="1">
        <v>0</v>
      </c>
      <c r="W1654" s="1">
        <v>0</v>
      </c>
      <c r="X1654" s="1">
        <v>0</v>
      </c>
      <c r="Y1654" s="1" t="s">
        <v>104</v>
      </c>
      <c r="Z1654" s="1" t="s">
        <v>104</v>
      </c>
      <c r="AA1654" s="1" t="s">
        <v>104</v>
      </c>
      <c r="AB1654" s="1" t="s">
        <v>104</v>
      </c>
      <c r="AC1654" s="1" t="s">
        <v>104</v>
      </c>
      <c r="AD1654" s="1">
        <v>2</v>
      </c>
      <c r="AE1654" s="1">
        <v>1</v>
      </c>
      <c r="AF1654" s="1">
        <v>2</v>
      </c>
      <c r="AG1654" s="1" t="s">
        <v>104</v>
      </c>
      <c r="AH1654" s="1" t="s">
        <v>104</v>
      </c>
      <c r="AI1654" s="1" t="s">
        <v>104</v>
      </c>
      <c r="AJ1654" s="1" t="s">
        <v>104</v>
      </c>
      <c r="AK1654" s="1" t="s">
        <v>104</v>
      </c>
      <c r="AL1654" s="1" t="s">
        <v>104</v>
      </c>
      <c r="AM1654" s="1" t="s">
        <v>104</v>
      </c>
      <c r="AO1654" s="1">
        <v>2</v>
      </c>
      <c r="AR1654" s="1">
        <v>0</v>
      </c>
      <c r="AS1654" s="1">
        <v>0</v>
      </c>
      <c r="AT1654" s="1">
        <v>0</v>
      </c>
      <c r="AU1654" s="1">
        <v>0</v>
      </c>
      <c r="AV1654" s="1">
        <v>0</v>
      </c>
      <c r="AW1654" s="1">
        <v>0</v>
      </c>
      <c r="AX1654" s="1">
        <v>0</v>
      </c>
      <c r="AY1654" s="1">
        <v>0</v>
      </c>
      <c r="AZ1654" s="1">
        <v>0</v>
      </c>
      <c r="BA1654" s="1">
        <v>0</v>
      </c>
      <c r="BB1654" s="1">
        <v>0</v>
      </c>
      <c r="BC1654" s="1">
        <v>0</v>
      </c>
      <c r="BD1654" s="1">
        <v>0</v>
      </c>
      <c r="BE1654" s="1">
        <v>0</v>
      </c>
      <c r="BF1654" s="1">
        <v>0</v>
      </c>
      <c r="BG1654" s="1">
        <v>1</v>
      </c>
      <c r="BH1654" s="1">
        <v>0</v>
      </c>
      <c r="BI1654" s="1">
        <v>0</v>
      </c>
      <c r="BJ1654" s="1">
        <v>0</v>
      </c>
      <c r="BK1654" s="1">
        <v>0</v>
      </c>
      <c r="BL1654" s="1">
        <v>0</v>
      </c>
      <c r="BM1654" s="1">
        <v>0</v>
      </c>
      <c r="BN1654" s="1">
        <v>0</v>
      </c>
      <c r="BO1654" s="1">
        <v>0</v>
      </c>
      <c r="BP1654" s="1">
        <v>0</v>
      </c>
      <c r="BQ1654" s="1" t="s">
        <v>104</v>
      </c>
      <c r="BR1654" s="1">
        <v>1747</v>
      </c>
      <c r="BS1654" s="1" t="s">
        <v>104</v>
      </c>
      <c r="BX1654" s="1">
        <v>0</v>
      </c>
      <c r="BY1654" s="1" t="s">
        <v>104</v>
      </c>
      <c r="BZ1654" s="1" t="s">
        <v>104</v>
      </c>
      <c r="CA1654" s="1" t="s">
        <v>104</v>
      </c>
      <c r="CB1654" s="1" t="s">
        <v>104</v>
      </c>
      <c r="CC1654" s="1" t="s">
        <v>104</v>
      </c>
      <c r="CD1654" s="1" t="s">
        <v>104</v>
      </c>
      <c r="CE1654" s="1" t="s">
        <v>104</v>
      </c>
      <c r="CF1654" s="1" t="s">
        <v>104</v>
      </c>
      <c r="CG1654" s="1" t="s">
        <v>104</v>
      </c>
      <c r="CH1654" s="1" t="s">
        <v>104</v>
      </c>
      <c r="CJ1654" s="1">
        <v>0</v>
      </c>
      <c r="CK1654" s="1">
        <v>0</v>
      </c>
      <c r="CL1654" s="1">
        <v>0</v>
      </c>
      <c r="CM1654" s="1" t="s">
        <v>104</v>
      </c>
    </row>
    <row r="1655" spans="1:91" ht="14.25" customHeight="1" x14ac:dyDescent="0.3">
      <c r="A1655" s="1" t="s">
        <v>9113</v>
      </c>
      <c r="B1655" s="1" t="s">
        <v>92</v>
      </c>
      <c r="C1655" s="1" t="s">
        <v>93</v>
      </c>
      <c r="D1655" s="1" t="s">
        <v>57</v>
      </c>
      <c r="E1655" s="1" t="s">
        <v>9114</v>
      </c>
      <c r="F1655" s="1" t="s">
        <v>95</v>
      </c>
      <c r="G1655" s="1" t="s">
        <v>9115</v>
      </c>
      <c r="H1655" s="1">
        <v>0</v>
      </c>
      <c r="I1655" s="1" t="s">
        <v>109</v>
      </c>
      <c r="K1655" s="1" t="s">
        <v>9116</v>
      </c>
      <c r="M1655" s="1" t="s">
        <v>111</v>
      </c>
      <c r="N1655" s="1">
        <v>0</v>
      </c>
      <c r="O1655" s="1">
        <v>0</v>
      </c>
      <c r="P1655" s="1" t="s">
        <v>100</v>
      </c>
      <c r="Q1655" s="1" t="s">
        <v>184</v>
      </c>
      <c r="R1655" s="1" t="s">
        <v>9117</v>
      </c>
      <c r="S1655" s="1" t="s">
        <v>9101</v>
      </c>
      <c r="T1655" s="1">
        <v>1</v>
      </c>
      <c r="U1655" s="1">
        <v>1</v>
      </c>
      <c r="V1655" s="1">
        <v>1</v>
      </c>
      <c r="W1655" s="1">
        <v>0</v>
      </c>
      <c r="X1655" s="1">
        <v>0</v>
      </c>
      <c r="Y1655" s="1">
        <v>3</v>
      </c>
      <c r="Z1655" s="1">
        <v>3</v>
      </c>
      <c r="AA1655" s="1" t="s">
        <v>104</v>
      </c>
      <c r="AB1655" s="1" t="s">
        <v>104</v>
      </c>
      <c r="AC1655" s="1" t="s">
        <v>104</v>
      </c>
      <c r="AD1655" s="1" t="s">
        <v>104</v>
      </c>
      <c r="AE1655" s="1" t="s">
        <v>104</v>
      </c>
      <c r="AF1655" s="1" t="s">
        <v>104</v>
      </c>
      <c r="AG1655" s="1">
        <v>2</v>
      </c>
      <c r="AH1655" s="1" t="s">
        <v>104</v>
      </c>
      <c r="AI1655" s="1">
        <v>2</v>
      </c>
      <c r="AJ1655" s="1" t="s">
        <v>104</v>
      </c>
      <c r="AK1655" s="1" t="s">
        <v>104</v>
      </c>
      <c r="AL1655" s="1">
        <v>2</v>
      </c>
      <c r="AM1655" s="1" t="s">
        <v>104</v>
      </c>
      <c r="AO1655" s="1">
        <v>3</v>
      </c>
      <c r="AR1655" s="1">
        <v>0</v>
      </c>
      <c r="AS1655" s="1">
        <v>0</v>
      </c>
      <c r="AT1655" s="1">
        <v>0</v>
      </c>
      <c r="AU1655" s="1">
        <v>0</v>
      </c>
      <c r="AV1655" s="1">
        <v>0</v>
      </c>
      <c r="AW1655" s="1">
        <v>0</v>
      </c>
      <c r="AX1655" s="1">
        <v>0</v>
      </c>
      <c r="AY1655" s="1">
        <v>0</v>
      </c>
      <c r="AZ1655" s="1">
        <v>0</v>
      </c>
      <c r="BA1655" s="1">
        <v>0</v>
      </c>
      <c r="BB1655" s="1">
        <v>0</v>
      </c>
      <c r="BC1655" s="1">
        <v>0</v>
      </c>
      <c r="BD1655" s="1">
        <v>0</v>
      </c>
      <c r="BE1655" s="1">
        <v>0</v>
      </c>
      <c r="BF1655" s="1">
        <v>1</v>
      </c>
      <c r="BG1655" s="1">
        <v>0</v>
      </c>
      <c r="BH1655" s="1">
        <v>0</v>
      </c>
      <c r="BI1655" s="1">
        <v>0</v>
      </c>
      <c r="BJ1655" s="1">
        <v>0</v>
      </c>
      <c r="BK1655" s="1">
        <v>0</v>
      </c>
      <c r="BL1655" s="1">
        <v>0</v>
      </c>
      <c r="BM1655" s="1">
        <v>0</v>
      </c>
      <c r="BN1655" s="1">
        <v>0</v>
      </c>
      <c r="BO1655" s="1">
        <v>0</v>
      </c>
      <c r="BP1655" s="1">
        <v>0</v>
      </c>
      <c r="BQ1655" s="1" t="s">
        <v>104</v>
      </c>
      <c r="BR1655" s="1">
        <v>1748</v>
      </c>
      <c r="BS1655" s="1" t="s">
        <v>104</v>
      </c>
      <c r="BX1655" s="1">
        <v>0</v>
      </c>
      <c r="BY1655" s="1" t="s">
        <v>104</v>
      </c>
      <c r="BZ1655" s="1" t="s">
        <v>104</v>
      </c>
      <c r="CA1655" s="1" t="s">
        <v>104</v>
      </c>
      <c r="CB1655" s="1" t="s">
        <v>104</v>
      </c>
      <c r="CC1655" s="1" t="s">
        <v>104</v>
      </c>
      <c r="CD1655" s="1" t="s">
        <v>104</v>
      </c>
      <c r="CE1655" s="1" t="s">
        <v>104</v>
      </c>
      <c r="CF1655" s="1" t="s">
        <v>104</v>
      </c>
      <c r="CG1655" s="1" t="s">
        <v>104</v>
      </c>
      <c r="CH1655" s="1" t="s">
        <v>104</v>
      </c>
      <c r="CJ1655" s="1">
        <v>0</v>
      </c>
      <c r="CK1655" s="1">
        <v>0</v>
      </c>
      <c r="CL1655" s="1">
        <v>0</v>
      </c>
      <c r="CM1655" s="1">
        <v>2</v>
      </c>
    </row>
    <row r="1656" spans="1:91" ht="14.25" customHeight="1" x14ac:dyDescent="0.3">
      <c r="A1656" s="1" t="s">
        <v>9118</v>
      </c>
      <c r="B1656" s="1" t="s">
        <v>92</v>
      </c>
      <c r="C1656" s="1" t="s">
        <v>523</v>
      </c>
      <c r="E1656" s="1" t="s">
        <v>9119</v>
      </c>
      <c r="F1656" s="1" t="s">
        <v>95</v>
      </c>
      <c r="G1656" s="1" t="s">
        <v>1974</v>
      </c>
      <c r="H1656" s="1">
        <v>0</v>
      </c>
      <c r="I1656" s="1" t="s">
        <v>157</v>
      </c>
      <c r="L1656" s="1" t="s">
        <v>158</v>
      </c>
      <c r="M1656" s="1" t="s">
        <v>6149</v>
      </c>
      <c r="N1656" s="1">
        <v>0</v>
      </c>
      <c r="O1656" s="1">
        <v>0</v>
      </c>
      <c r="R1656" s="1" t="s">
        <v>9120</v>
      </c>
      <c r="S1656" s="1" t="s">
        <v>9101</v>
      </c>
      <c r="T1656" s="1">
        <v>0</v>
      </c>
      <c r="U1656" s="1">
        <v>1</v>
      </c>
      <c r="V1656" s="1">
        <v>0</v>
      </c>
      <c r="W1656" s="1">
        <v>0</v>
      </c>
      <c r="X1656" s="1">
        <v>1</v>
      </c>
      <c r="Y1656" s="1" t="s">
        <v>104</v>
      </c>
      <c r="Z1656" s="1" t="s">
        <v>104</v>
      </c>
      <c r="AA1656" s="1">
        <v>3</v>
      </c>
      <c r="AB1656" s="1">
        <v>3</v>
      </c>
      <c r="AC1656" s="1" t="s">
        <v>104</v>
      </c>
      <c r="AD1656" s="1" t="s">
        <v>104</v>
      </c>
      <c r="AE1656" s="1">
        <v>2</v>
      </c>
      <c r="AF1656" s="1" t="s">
        <v>104</v>
      </c>
      <c r="AG1656" s="1" t="s">
        <v>104</v>
      </c>
      <c r="AH1656" s="1" t="s">
        <v>104</v>
      </c>
      <c r="AI1656" s="1" t="s">
        <v>104</v>
      </c>
      <c r="AJ1656" s="1">
        <v>3</v>
      </c>
      <c r="AK1656" s="1" t="s">
        <v>104</v>
      </c>
      <c r="AL1656" s="1" t="s">
        <v>104</v>
      </c>
      <c r="AM1656" s="1" t="s">
        <v>104</v>
      </c>
      <c r="AO1656" s="1">
        <v>3</v>
      </c>
      <c r="AR1656" s="1">
        <v>0</v>
      </c>
      <c r="AS1656" s="1">
        <v>0</v>
      </c>
      <c r="AT1656" s="1">
        <v>0</v>
      </c>
      <c r="AU1656" s="1">
        <v>0</v>
      </c>
      <c r="AV1656" s="1">
        <v>0</v>
      </c>
      <c r="AW1656" s="1">
        <v>0</v>
      </c>
      <c r="AX1656" s="1">
        <v>0</v>
      </c>
      <c r="AY1656" s="1">
        <v>0</v>
      </c>
      <c r="AZ1656" s="1">
        <v>0</v>
      </c>
      <c r="BA1656" s="1">
        <v>0</v>
      </c>
      <c r="BB1656" s="1">
        <v>0</v>
      </c>
      <c r="BC1656" s="1">
        <v>0</v>
      </c>
      <c r="BD1656" s="1">
        <v>0</v>
      </c>
      <c r="BE1656" s="1">
        <v>0</v>
      </c>
      <c r="BF1656" s="1">
        <v>0</v>
      </c>
      <c r="BG1656" s="1">
        <v>0</v>
      </c>
      <c r="BH1656" s="1">
        <v>0</v>
      </c>
      <c r="BI1656" s="1">
        <v>0</v>
      </c>
      <c r="BJ1656" s="1">
        <v>0</v>
      </c>
      <c r="BK1656" s="1">
        <v>0</v>
      </c>
      <c r="BL1656" s="1">
        <v>0</v>
      </c>
      <c r="BM1656" s="1">
        <v>0</v>
      </c>
      <c r="BN1656" s="1">
        <v>0</v>
      </c>
      <c r="BO1656" s="1">
        <v>0</v>
      </c>
      <c r="BP1656" s="1">
        <v>0</v>
      </c>
      <c r="BQ1656" s="1" t="s">
        <v>104</v>
      </c>
      <c r="BR1656" s="1">
        <v>1749</v>
      </c>
      <c r="BS1656" s="1" t="s">
        <v>104</v>
      </c>
      <c r="BX1656" s="1">
        <v>0</v>
      </c>
      <c r="BY1656" s="1" t="s">
        <v>104</v>
      </c>
      <c r="BZ1656" s="1" t="s">
        <v>104</v>
      </c>
      <c r="CA1656" s="1" t="s">
        <v>104</v>
      </c>
      <c r="CB1656" s="1" t="s">
        <v>104</v>
      </c>
      <c r="CC1656" s="1" t="s">
        <v>104</v>
      </c>
      <c r="CD1656" s="1" t="s">
        <v>104</v>
      </c>
      <c r="CE1656" s="1" t="s">
        <v>104</v>
      </c>
      <c r="CF1656" s="1" t="s">
        <v>104</v>
      </c>
      <c r="CG1656" s="1" t="s">
        <v>104</v>
      </c>
      <c r="CH1656" s="1">
        <v>3</v>
      </c>
      <c r="CJ1656" s="1">
        <v>0</v>
      </c>
      <c r="CK1656" s="1">
        <v>0</v>
      </c>
      <c r="CL1656" s="1">
        <v>0</v>
      </c>
      <c r="CM1656" s="1" t="s">
        <v>104</v>
      </c>
    </row>
    <row r="1657" spans="1:91" ht="14.25" customHeight="1" x14ac:dyDescent="0.3">
      <c r="A1657" s="1" t="s">
        <v>9121</v>
      </c>
      <c r="B1657" s="1" t="s">
        <v>216</v>
      </c>
      <c r="E1657" s="1" t="s">
        <v>9122</v>
      </c>
      <c r="F1657" s="1" t="s">
        <v>255</v>
      </c>
      <c r="G1657" s="1" t="s">
        <v>9123</v>
      </c>
      <c r="H1657" s="1">
        <v>0</v>
      </c>
      <c r="I1657" s="1" t="s">
        <v>117</v>
      </c>
      <c r="L1657" s="1" t="s">
        <v>751</v>
      </c>
      <c r="M1657" s="1" t="s">
        <v>201</v>
      </c>
      <c r="N1657" s="1">
        <v>0</v>
      </c>
      <c r="O1657" s="1">
        <v>0</v>
      </c>
      <c r="P1657" s="1" t="s">
        <v>211</v>
      </c>
      <c r="Q1657" s="1" t="s">
        <v>184</v>
      </c>
      <c r="R1657" s="1" t="s">
        <v>9124</v>
      </c>
      <c r="S1657" s="1" t="s">
        <v>9101</v>
      </c>
      <c r="T1657" s="1">
        <v>1</v>
      </c>
      <c r="U1657" s="1">
        <v>1</v>
      </c>
      <c r="V1657" s="1">
        <v>1</v>
      </c>
      <c r="W1657" s="1">
        <v>0</v>
      </c>
      <c r="X1657" s="1">
        <v>1</v>
      </c>
      <c r="Y1657" s="1">
        <v>3</v>
      </c>
      <c r="Z1657" s="1">
        <v>3</v>
      </c>
      <c r="AA1657" s="1">
        <v>2</v>
      </c>
      <c r="AB1657" s="1" t="s">
        <v>104</v>
      </c>
      <c r="AC1657" s="1" t="s">
        <v>104</v>
      </c>
      <c r="AD1657" s="1" t="s">
        <v>104</v>
      </c>
      <c r="AE1657" s="1" t="s">
        <v>104</v>
      </c>
      <c r="AF1657" s="1" t="s">
        <v>104</v>
      </c>
      <c r="AG1657" s="1" t="s">
        <v>104</v>
      </c>
      <c r="AH1657" s="1">
        <v>3</v>
      </c>
      <c r="AI1657" s="1" t="s">
        <v>104</v>
      </c>
      <c r="AJ1657" s="1">
        <v>2</v>
      </c>
      <c r="AK1657" s="1" t="s">
        <v>104</v>
      </c>
      <c r="AL1657" s="1" t="s">
        <v>104</v>
      </c>
      <c r="AM1657" s="1" t="s">
        <v>104</v>
      </c>
      <c r="AO1657" s="1">
        <v>3</v>
      </c>
      <c r="AR1657" s="1">
        <v>0</v>
      </c>
      <c r="AS1657" s="1">
        <v>0</v>
      </c>
      <c r="AT1657" s="1">
        <v>0</v>
      </c>
      <c r="AU1657" s="1">
        <v>0</v>
      </c>
      <c r="AV1657" s="1">
        <v>0</v>
      </c>
      <c r="AW1657" s="1">
        <v>0</v>
      </c>
      <c r="AX1657" s="1">
        <v>0</v>
      </c>
      <c r="AY1657" s="1">
        <v>0</v>
      </c>
      <c r="AZ1657" s="1">
        <v>0</v>
      </c>
      <c r="BA1657" s="1">
        <v>0</v>
      </c>
      <c r="BB1657" s="1">
        <v>0</v>
      </c>
      <c r="BC1657" s="1">
        <v>0</v>
      </c>
      <c r="BD1657" s="1">
        <v>0</v>
      </c>
      <c r="BE1657" s="1">
        <v>0</v>
      </c>
      <c r="BF1657" s="1">
        <v>0</v>
      </c>
      <c r="BG1657" s="1">
        <v>0</v>
      </c>
      <c r="BH1657" s="1">
        <v>0</v>
      </c>
      <c r="BI1657" s="1">
        <v>0</v>
      </c>
      <c r="BJ1657" s="1">
        <v>0</v>
      </c>
      <c r="BK1657" s="1">
        <v>0</v>
      </c>
      <c r="BL1657" s="1">
        <v>0</v>
      </c>
      <c r="BM1657" s="1">
        <v>0</v>
      </c>
      <c r="BN1657" s="1">
        <v>0</v>
      </c>
      <c r="BO1657" s="1">
        <v>0</v>
      </c>
      <c r="BP1657" s="1">
        <v>0</v>
      </c>
      <c r="BQ1657" s="1" t="s">
        <v>104</v>
      </c>
      <c r="BR1657" s="1">
        <v>1750</v>
      </c>
      <c r="BS1657" s="1" t="s">
        <v>104</v>
      </c>
      <c r="BX1657" s="1">
        <v>0</v>
      </c>
      <c r="BY1657" s="1" t="s">
        <v>104</v>
      </c>
      <c r="BZ1657" s="1" t="s">
        <v>104</v>
      </c>
      <c r="CA1657" s="1" t="s">
        <v>104</v>
      </c>
      <c r="CB1657" s="1" t="s">
        <v>104</v>
      </c>
      <c r="CC1657" s="1" t="s">
        <v>104</v>
      </c>
      <c r="CD1657" s="1" t="s">
        <v>104</v>
      </c>
      <c r="CE1657" s="1" t="s">
        <v>104</v>
      </c>
      <c r="CF1657" s="1" t="s">
        <v>104</v>
      </c>
      <c r="CG1657" s="1" t="s">
        <v>104</v>
      </c>
      <c r="CH1657" s="1" t="s">
        <v>104</v>
      </c>
      <c r="CJ1657" s="1">
        <v>0</v>
      </c>
      <c r="CK1657" s="1">
        <v>0</v>
      </c>
      <c r="CL1657" s="1">
        <v>0</v>
      </c>
      <c r="CM1657" s="1" t="s">
        <v>104</v>
      </c>
    </row>
    <row r="1658" spans="1:91" ht="14.25" customHeight="1" x14ac:dyDescent="0.3">
      <c r="A1658" s="1" t="s">
        <v>9125</v>
      </c>
      <c r="B1658" s="1" t="s">
        <v>216</v>
      </c>
      <c r="E1658" s="1" t="s">
        <v>9126</v>
      </c>
      <c r="F1658" s="1" t="s">
        <v>95</v>
      </c>
      <c r="G1658" s="1" t="s">
        <v>9127</v>
      </c>
      <c r="H1658" s="1">
        <v>0</v>
      </c>
      <c r="I1658" s="1" t="s">
        <v>117</v>
      </c>
      <c r="L1658" s="1" t="s">
        <v>751</v>
      </c>
      <c r="M1658" s="1" t="s">
        <v>5385</v>
      </c>
      <c r="N1658" s="1">
        <v>1</v>
      </c>
      <c r="O1658" s="1">
        <v>0</v>
      </c>
      <c r="P1658" s="1" t="s">
        <v>418</v>
      </c>
      <c r="Q1658" s="1" t="s">
        <v>184</v>
      </c>
      <c r="R1658" s="1" t="s">
        <v>9128</v>
      </c>
      <c r="S1658" s="1" t="s">
        <v>9101</v>
      </c>
      <c r="T1658" s="1">
        <v>1</v>
      </c>
      <c r="U1658" s="1">
        <v>1</v>
      </c>
      <c r="V1658" s="1">
        <v>0</v>
      </c>
      <c r="W1658" s="1">
        <v>0</v>
      </c>
      <c r="X1658" s="1">
        <v>1</v>
      </c>
      <c r="Y1658" s="1">
        <v>4</v>
      </c>
      <c r="Z1658" s="1">
        <v>4</v>
      </c>
      <c r="AA1658" s="1">
        <v>4</v>
      </c>
      <c r="AB1658" s="1" t="s">
        <v>104</v>
      </c>
      <c r="AC1658" s="1" t="s">
        <v>104</v>
      </c>
      <c r="AD1658" s="1" t="s">
        <v>104</v>
      </c>
      <c r="AE1658" s="1" t="s">
        <v>104</v>
      </c>
      <c r="AF1658" s="1" t="s">
        <v>104</v>
      </c>
      <c r="AG1658" s="1" t="s">
        <v>104</v>
      </c>
      <c r="AH1658" s="1">
        <v>4</v>
      </c>
      <c r="AI1658" s="1" t="s">
        <v>104</v>
      </c>
      <c r="AJ1658" s="1">
        <v>4</v>
      </c>
      <c r="AK1658" s="1" t="s">
        <v>104</v>
      </c>
      <c r="AL1658" s="1" t="s">
        <v>104</v>
      </c>
      <c r="AM1658" s="1" t="s">
        <v>104</v>
      </c>
      <c r="AO1658" s="1">
        <v>4</v>
      </c>
      <c r="AR1658" s="1">
        <v>0</v>
      </c>
      <c r="AS1658" s="1">
        <v>0</v>
      </c>
      <c r="AT1658" s="1">
        <v>0</v>
      </c>
      <c r="AU1658" s="1">
        <v>0</v>
      </c>
      <c r="AV1658" s="1">
        <v>0</v>
      </c>
      <c r="AW1658" s="1">
        <v>0</v>
      </c>
      <c r="AX1658" s="1">
        <v>0</v>
      </c>
      <c r="AY1658" s="1">
        <v>0</v>
      </c>
      <c r="AZ1658" s="1">
        <v>0</v>
      </c>
      <c r="BA1658" s="1">
        <v>0</v>
      </c>
      <c r="BB1658" s="1">
        <v>0</v>
      </c>
      <c r="BC1658" s="1">
        <v>0</v>
      </c>
      <c r="BD1658" s="1">
        <v>0</v>
      </c>
      <c r="BE1658" s="1">
        <v>0</v>
      </c>
      <c r="BF1658" s="1">
        <v>0</v>
      </c>
      <c r="BG1658" s="1">
        <v>0</v>
      </c>
      <c r="BH1658" s="1">
        <v>0</v>
      </c>
      <c r="BI1658" s="1">
        <v>0</v>
      </c>
      <c r="BJ1658" s="1">
        <v>0</v>
      </c>
      <c r="BK1658" s="1">
        <v>0</v>
      </c>
      <c r="BL1658" s="1">
        <v>0</v>
      </c>
      <c r="BM1658" s="1">
        <v>0</v>
      </c>
      <c r="BN1658" s="1">
        <v>0</v>
      </c>
      <c r="BO1658" s="1">
        <v>0</v>
      </c>
      <c r="BP1658" s="1">
        <v>0</v>
      </c>
      <c r="BQ1658" s="1" t="s">
        <v>104</v>
      </c>
      <c r="BR1658" s="1">
        <v>1751</v>
      </c>
      <c r="BS1658" s="1" t="s">
        <v>104</v>
      </c>
      <c r="BX1658" s="1">
        <v>0</v>
      </c>
      <c r="BY1658" s="1" t="s">
        <v>104</v>
      </c>
      <c r="BZ1658" s="1" t="s">
        <v>104</v>
      </c>
      <c r="CA1658" s="1" t="s">
        <v>104</v>
      </c>
      <c r="CB1658" s="1" t="s">
        <v>104</v>
      </c>
      <c r="CC1658" s="1" t="s">
        <v>104</v>
      </c>
      <c r="CD1658" s="1" t="s">
        <v>104</v>
      </c>
      <c r="CE1658" s="1" t="s">
        <v>104</v>
      </c>
      <c r="CF1658" s="1" t="s">
        <v>104</v>
      </c>
      <c r="CG1658" s="1" t="s">
        <v>104</v>
      </c>
      <c r="CH1658" s="1" t="s">
        <v>104</v>
      </c>
      <c r="CJ1658" s="1">
        <v>0</v>
      </c>
      <c r="CK1658" s="1">
        <v>0</v>
      </c>
      <c r="CL1658" s="1">
        <v>0</v>
      </c>
      <c r="CM1658" s="1" t="s">
        <v>104</v>
      </c>
    </row>
    <row r="1659" spans="1:91" ht="14.25" customHeight="1" x14ac:dyDescent="0.3">
      <c r="A1659" s="1" t="s">
        <v>9129</v>
      </c>
      <c r="B1659" s="1" t="s">
        <v>123</v>
      </c>
      <c r="C1659" s="1" t="s">
        <v>124</v>
      </c>
      <c r="D1659" s="1" t="s">
        <v>125</v>
      </c>
      <c r="E1659" s="1" t="s">
        <v>8908</v>
      </c>
      <c r="F1659" s="1" t="s">
        <v>95</v>
      </c>
      <c r="G1659" s="1" t="s">
        <v>127</v>
      </c>
      <c r="H1659" s="1">
        <v>0</v>
      </c>
      <c r="I1659" s="1" t="s">
        <v>128</v>
      </c>
      <c r="L1659" s="1" t="s">
        <v>374</v>
      </c>
      <c r="M1659" s="1" t="s">
        <v>130</v>
      </c>
      <c r="N1659" s="1">
        <v>0</v>
      </c>
      <c r="O1659" s="1">
        <v>0</v>
      </c>
      <c r="P1659" s="1" t="s">
        <v>211</v>
      </c>
      <c r="Q1659" s="1" t="s">
        <v>184</v>
      </c>
      <c r="R1659" s="1" t="s">
        <v>9130</v>
      </c>
      <c r="S1659" s="1" t="s">
        <v>9131</v>
      </c>
      <c r="T1659" s="1">
        <v>1</v>
      </c>
      <c r="U1659" s="1">
        <v>1</v>
      </c>
      <c r="V1659" s="1">
        <v>0</v>
      </c>
      <c r="W1659" s="1">
        <v>0</v>
      </c>
      <c r="X1659" s="1">
        <v>1</v>
      </c>
      <c r="Y1659" s="1" t="s">
        <v>104</v>
      </c>
      <c r="Z1659" s="1" t="s">
        <v>104</v>
      </c>
      <c r="AA1659" s="1">
        <v>1</v>
      </c>
      <c r="AB1659" s="1" t="s">
        <v>104</v>
      </c>
      <c r="AC1659" s="1" t="s">
        <v>104</v>
      </c>
      <c r="AD1659" s="1" t="s">
        <v>104</v>
      </c>
      <c r="AE1659" s="1">
        <v>1</v>
      </c>
      <c r="AF1659" s="1" t="s">
        <v>104</v>
      </c>
      <c r="AG1659" s="1" t="s">
        <v>104</v>
      </c>
      <c r="AH1659" s="1" t="s">
        <v>104</v>
      </c>
      <c r="AI1659" s="1">
        <v>1</v>
      </c>
      <c r="AJ1659" s="1">
        <v>1</v>
      </c>
      <c r="AK1659" s="1" t="s">
        <v>104</v>
      </c>
      <c r="AL1659" s="1" t="s">
        <v>104</v>
      </c>
      <c r="AM1659" s="1" t="s">
        <v>104</v>
      </c>
      <c r="AN1659" s="1" t="s">
        <v>9132</v>
      </c>
      <c r="AO1659" s="1">
        <v>1</v>
      </c>
      <c r="AR1659" s="1">
        <v>0</v>
      </c>
      <c r="AS1659" s="1">
        <v>0</v>
      </c>
      <c r="AT1659" s="1">
        <v>0</v>
      </c>
      <c r="AU1659" s="1">
        <v>0</v>
      </c>
      <c r="AV1659" s="1">
        <v>0</v>
      </c>
      <c r="AW1659" s="1">
        <v>0</v>
      </c>
      <c r="AX1659" s="1">
        <v>0</v>
      </c>
      <c r="AY1659" s="1">
        <v>0</v>
      </c>
      <c r="AZ1659" s="1">
        <v>0</v>
      </c>
      <c r="BA1659" s="1">
        <v>0</v>
      </c>
      <c r="BB1659" s="1">
        <v>0</v>
      </c>
      <c r="BC1659" s="1">
        <v>0</v>
      </c>
      <c r="BD1659" s="1">
        <v>0</v>
      </c>
      <c r="BE1659" s="1">
        <v>0</v>
      </c>
      <c r="BF1659" s="1">
        <v>0</v>
      </c>
      <c r="BG1659" s="1">
        <v>0</v>
      </c>
      <c r="BH1659" s="1">
        <v>0</v>
      </c>
      <c r="BI1659" s="1">
        <v>0</v>
      </c>
      <c r="BJ1659" s="1">
        <v>0</v>
      </c>
      <c r="BK1659" s="1">
        <v>1</v>
      </c>
      <c r="BL1659" s="1">
        <v>0</v>
      </c>
      <c r="BM1659" s="1">
        <v>0</v>
      </c>
      <c r="BN1659" s="1">
        <v>0</v>
      </c>
      <c r="BO1659" s="1">
        <v>0</v>
      </c>
      <c r="BP1659" s="1">
        <v>0</v>
      </c>
      <c r="BQ1659" s="1" t="s">
        <v>104</v>
      </c>
      <c r="BR1659" s="1">
        <v>1752</v>
      </c>
      <c r="BS1659" s="1" t="s">
        <v>104</v>
      </c>
      <c r="BX1659" s="1">
        <v>0</v>
      </c>
      <c r="BY1659" s="1" t="s">
        <v>104</v>
      </c>
      <c r="BZ1659" s="1" t="s">
        <v>104</v>
      </c>
      <c r="CA1659" s="1" t="s">
        <v>104</v>
      </c>
      <c r="CB1659" s="1" t="s">
        <v>104</v>
      </c>
      <c r="CC1659" s="1" t="s">
        <v>104</v>
      </c>
      <c r="CD1659" s="1" t="s">
        <v>104</v>
      </c>
      <c r="CE1659" s="1" t="s">
        <v>104</v>
      </c>
      <c r="CF1659" s="1" t="s">
        <v>104</v>
      </c>
      <c r="CG1659" s="1" t="s">
        <v>104</v>
      </c>
      <c r="CH1659" s="1" t="s">
        <v>104</v>
      </c>
      <c r="CJ1659" s="1">
        <v>0</v>
      </c>
      <c r="CK1659" s="1">
        <v>0</v>
      </c>
      <c r="CL1659" s="1">
        <v>0</v>
      </c>
      <c r="CM1659" s="1" t="s">
        <v>104</v>
      </c>
    </row>
    <row r="1660" spans="1:91" ht="14.25" customHeight="1" x14ac:dyDescent="0.3">
      <c r="A1660" s="1" t="s">
        <v>9133</v>
      </c>
      <c r="B1660" s="1" t="s">
        <v>137</v>
      </c>
      <c r="E1660" s="1" t="s">
        <v>9134</v>
      </c>
      <c r="F1660" s="1" t="s">
        <v>95</v>
      </c>
      <c r="G1660" s="1" t="s">
        <v>237</v>
      </c>
      <c r="H1660" s="1">
        <v>0</v>
      </c>
      <c r="I1660" s="1" t="s">
        <v>128</v>
      </c>
      <c r="L1660" s="1" t="s">
        <v>9135</v>
      </c>
      <c r="M1660" s="1" t="s">
        <v>273</v>
      </c>
      <c r="N1660" s="1">
        <v>0</v>
      </c>
      <c r="O1660" s="1">
        <v>0</v>
      </c>
      <c r="P1660" s="1" t="s">
        <v>1058</v>
      </c>
      <c r="Q1660" s="1" t="s">
        <v>131</v>
      </c>
      <c r="R1660" s="1" t="s">
        <v>9136</v>
      </c>
      <c r="S1660" s="1" t="s">
        <v>9131</v>
      </c>
      <c r="T1660" s="1">
        <v>1</v>
      </c>
      <c r="U1660" s="1">
        <v>0</v>
      </c>
      <c r="V1660" s="1">
        <v>0</v>
      </c>
      <c r="W1660" s="1">
        <v>0</v>
      </c>
      <c r="X1660" s="1">
        <v>0</v>
      </c>
      <c r="Y1660" s="1" t="s">
        <v>104</v>
      </c>
      <c r="Z1660" s="1" t="s">
        <v>104</v>
      </c>
      <c r="AA1660" s="1">
        <v>1</v>
      </c>
      <c r="AB1660" s="1">
        <v>1</v>
      </c>
      <c r="AC1660" s="1" t="s">
        <v>104</v>
      </c>
      <c r="AD1660" s="1">
        <v>1</v>
      </c>
      <c r="AE1660" s="1" t="s">
        <v>104</v>
      </c>
      <c r="AF1660" s="1" t="s">
        <v>104</v>
      </c>
      <c r="AG1660" s="1" t="s">
        <v>104</v>
      </c>
      <c r="AH1660" s="1">
        <v>1</v>
      </c>
      <c r="AI1660" s="1" t="s">
        <v>104</v>
      </c>
      <c r="AJ1660" s="1">
        <v>1</v>
      </c>
      <c r="AK1660" s="1" t="s">
        <v>104</v>
      </c>
      <c r="AL1660" s="1" t="s">
        <v>104</v>
      </c>
      <c r="AM1660" s="1" t="s">
        <v>104</v>
      </c>
      <c r="AN1660" s="1" t="s">
        <v>9137</v>
      </c>
      <c r="AO1660" s="1">
        <v>1</v>
      </c>
      <c r="AR1660" s="1">
        <v>0</v>
      </c>
      <c r="AS1660" s="1">
        <v>0</v>
      </c>
      <c r="AT1660" s="1">
        <v>0</v>
      </c>
      <c r="AU1660" s="1">
        <v>0</v>
      </c>
      <c r="AV1660" s="1">
        <v>0</v>
      </c>
      <c r="AW1660" s="1">
        <v>0</v>
      </c>
      <c r="AX1660" s="1">
        <v>0</v>
      </c>
      <c r="AY1660" s="1">
        <v>0</v>
      </c>
      <c r="AZ1660" s="1">
        <v>0</v>
      </c>
      <c r="BA1660" s="1">
        <v>0</v>
      </c>
      <c r="BB1660" s="1">
        <v>0</v>
      </c>
      <c r="BC1660" s="1">
        <v>0</v>
      </c>
      <c r="BD1660" s="1">
        <v>0</v>
      </c>
      <c r="BE1660" s="1">
        <v>0</v>
      </c>
      <c r="BF1660" s="1">
        <v>0</v>
      </c>
      <c r="BG1660" s="1">
        <v>0</v>
      </c>
      <c r="BH1660" s="1">
        <v>0</v>
      </c>
      <c r="BI1660" s="1">
        <v>0</v>
      </c>
      <c r="BJ1660" s="1">
        <v>0</v>
      </c>
      <c r="BK1660" s="1">
        <v>0</v>
      </c>
      <c r="BL1660" s="1">
        <v>0</v>
      </c>
      <c r="BM1660" s="1">
        <v>0</v>
      </c>
      <c r="BN1660" s="1">
        <v>0</v>
      </c>
      <c r="BO1660" s="1">
        <v>0</v>
      </c>
      <c r="BP1660" s="1">
        <v>0</v>
      </c>
      <c r="BQ1660" s="1" t="s">
        <v>104</v>
      </c>
      <c r="BR1660" s="1">
        <v>1753</v>
      </c>
      <c r="BS1660" s="1" t="s">
        <v>104</v>
      </c>
      <c r="BX1660" s="1">
        <v>0</v>
      </c>
      <c r="BY1660" s="1" t="s">
        <v>104</v>
      </c>
      <c r="BZ1660" s="1" t="s">
        <v>104</v>
      </c>
      <c r="CA1660" s="1" t="s">
        <v>104</v>
      </c>
      <c r="CB1660" s="1" t="s">
        <v>104</v>
      </c>
      <c r="CC1660" s="1" t="s">
        <v>104</v>
      </c>
      <c r="CD1660" s="1" t="s">
        <v>104</v>
      </c>
      <c r="CE1660" s="1" t="s">
        <v>104</v>
      </c>
      <c r="CF1660" s="1" t="s">
        <v>104</v>
      </c>
      <c r="CG1660" s="1" t="s">
        <v>104</v>
      </c>
      <c r="CH1660" s="1">
        <v>1</v>
      </c>
      <c r="CJ1660" s="1">
        <v>0</v>
      </c>
      <c r="CK1660" s="1">
        <v>0</v>
      </c>
      <c r="CL1660" s="1">
        <v>0</v>
      </c>
      <c r="CM1660" s="1" t="s">
        <v>104</v>
      </c>
    </row>
    <row r="1661" spans="1:91" ht="14.25" customHeight="1" x14ac:dyDescent="0.3">
      <c r="A1661" s="1" t="s">
        <v>9138</v>
      </c>
      <c r="B1661" s="1" t="s">
        <v>137</v>
      </c>
      <c r="C1661" s="1" t="s">
        <v>154</v>
      </c>
      <c r="E1661" s="1" t="s">
        <v>9139</v>
      </c>
      <c r="F1661" s="1" t="s">
        <v>95</v>
      </c>
      <c r="G1661" s="1" t="s">
        <v>9140</v>
      </c>
      <c r="H1661" s="1">
        <v>0</v>
      </c>
      <c r="I1661" s="1" t="s">
        <v>128</v>
      </c>
      <c r="L1661" s="1" t="s">
        <v>417</v>
      </c>
      <c r="M1661" s="1" t="s">
        <v>111</v>
      </c>
      <c r="N1661" s="1">
        <v>0</v>
      </c>
      <c r="O1661" s="1">
        <v>0</v>
      </c>
      <c r="P1661" s="1" t="s">
        <v>183</v>
      </c>
      <c r="Q1661" s="1" t="s">
        <v>184</v>
      </c>
      <c r="R1661" s="1" t="s">
        <v>9141</v>
      </c>
      <c r="S1661" s="1" t="s">
        <v>9131</v>
      </c>
      <c r="T1661" s="1">
        <v>1</v>
      </c>
      <c r="U1661" s="1">
        <v>0</v>
      </c>
      <c r="V1661" s="1">
        <v>1</v>
      </c>
      <c r="W1661" s="1">
        <v>0</v>
      </c>
      <c r="X1661" s="1">
        <v>1</v>
      </c>
      <c r="Y1661" s="1">
        <v>4</v>
      </c>
      <c r="Z1661" s="1">
        <v>4</v>
      </c>
      <c r="AA1661" s="1">
        <v>4</v>
      </c>
      <c r="AB1661" s="1">
        <v>4</v>
      </c>
      <c r="AC1661" s="1" t="s">
        <v>104</v>
      </c>
      <c r="AD1661" s="1" t="s">
        <v>104</v>
      </c>
      <c r="AE1661" s="1" t="s">
        <v>104</v>
      </c>
      <c r="AF1661" s="1" t="s">
        <v>104</v>
      </c>
      <c r="AG1661" s="1">
        <v>4</v>
      </c>
      <c r="AH1661" s="1">
        <v>4</v>
      </c>
      <c r="AI1661" s="1" t="s">
        <v>104</v>
      </c>
      <c r="AJ1661" s="1">
        <v>4</v>
      </c>
      <c r="AK1661" s="1" t="s">
        <v>104</v>
      </c>
      <c r="AL1661" s="1" t="s">
        <v>104</v>
      </c>
      <c r="AM1661" s="1" t="s">
        <v>104</v>
      </c>
      <c r="AO1661" s="1">
        <v>4</v>
      </c>
      <c r="AR1661" s="1">
        <v>0</v>
      </c>
      <c r="AS1661" s="1">
        <v>0</v>
      </c>
      <c r="AT1661" s="1">
        <v>0</v>
      </c>
      <c r="AU1661" s="1">
        <v>0</v>
      </c>
      <c r="AV1661" s="1">
        <v>0</v>
      </c>
      <c r="AW1661" s="1">
        <v>0</v>
      </c>
      <c r="AX1661" s="1">
        <v>0</v>
      </c>
      <c r="AY1661" s="1">
        <v>0</v>
      </c>
      <c r="AZ1661" s="1">
        <v>0</v>
      </c>
      <c r="BA1661" s="1">
        <v>0</v>
      </c>
      <c r="BB1661" s="1">
        <v>0</v>
      </c>
      <c r="BC1661" s="1">
        <v>0</v>
      </c>
      <c r="BD1661" s="1">
        <v>0</v>
      </c>
      <c r="BE1661" s="1">
        <v>0</v>
      </c>
      <c r="BF1661" s="1">
        <v>0</v>
      </c>
      <c r="BG1661" s="1">
        <v>0</v>
      </c>
      <c r="BH1661" s="1">
        <v>0</v>
      </c>
      <c r="BI1661" s="1">
        <v>0</v>
      </c>
      <c r="BJ1661" s="1">
        <v>0</v>
      </c>
      <c r="BK1661" s="1">
        <v>0</v>
      </c>
      <c r="BL1661" s="1">
        <v>0</v>
      </c>
      <c r="BM1661" s="1">
        <v>0</v>
      </c>
      <c r="BN1661" s="1">
        <v>0</v>
      </c>
      <c r="BO1661" s="1">
        <v>0</v>
      </c>
      <c r="BP1661" s="1">
        <v>0</v>
      </c>
      <c r="BQ1661" s="1" t="s">
        <v>104</v>
      </c>
      <c r="BR1661" s="1">
        <v>1755</v>
      </c>
      <c r="BS1661" s="1" t="s">
        <v>104</v>
      </c>
      <c r="BX1661" s="1">
        <v>0</v>
      </c>
      <c r="BY1661" s="1" t="s">
        <v>104</v>
      </c>
      <c r="BZ1661" s="1" t="s">
        <v>104</v>
      </c>
      <c r="CA1661" s="1" t="s">
        <v>104</v>
      </c>
      <c r="CB1661" s="1" t="s">
        <v>104</v>
      </c>
      <c r="CC1661" s="1" t="s">
        <v>104</v>
      </c>
      <c r="CD1661" s="1" t="s">
        <v>104</v>
      </c>
      <c r="CE1661" s="1" t="s">
        <v>104</v>
      </c>
      <c r="CF1661" s="1" t="s">
        <v>104</v>
      </c>
      <c r="CG1661" s="1" t="s">
        <v>104</v>
      </c>
      <c r="CH1661" s="1">
        <v>4</v>
      </c>
      <c r="CJ1661" s="1">
        <v>0</v>
      </c>
      <c r="CK1661" s="1">
        <v>0</v>
      </c>
      <c r="CL1661" s="1">
        <v>0</v>
      </c>
      <c r="CM1661" s="1">
        <v>4</v>
      </c>
    </row>
    <row r="1662" spans="1:91" ht="14.25" customHeight="1" x14ac:dyDescent="0.3">
      <c r="A1662" s="1" t="s">
        <v>9142</v>
      </c>
      <c r="B1662" s="1" t="s">
        <v>172</v>
      </c>
      <c r="E1662" s="1" t="s">
        <v>9143</v>
      </c>
      <c r="F1662" s="1" t="s">
        <v>95</v>
      </c>
      <c r="G1662" s="1" t="s">
        <v>9144</v>
      </c>
      <c r="H1662" s="1">
        <v>0</v>
      </c>
      <c r="I1662" s="1" t="s">
        <v>9145</v>
      </c>
      <c r="L1662" s="1" t="s">
        <v>158</v>
      </c>
      <c r="M1662" s="1" t="s">
        <v>4641</v>
      </c>
      <c r="N1662" s="1">
        <v>1</v>
      </c>
      <c r="O1662" s="1">
        <v>0</v>
      </c>
      <c r="R1662" s="1" t="s">
        <v>9146</v>
      </c>
      <c r="S1662" s="1" t="s">
        <v>9131</v>
      </c>
      <c r="T1662" s="1">
        <v>1</v>
      </c>
      <c r="U1662" s="1">
        <v>1</v>
      </c>
      <c r="V1662" s="1">
        <v>1</v>
      </c>
      <c r="W1662" s="1">
        <v>0</v>
      </c>
      <c r="X1662" s="1">
        <v>1</v>
      </c>
      <c r="Y1662" s="1" t="s">
        <v>104</v>
      </c>
      <c r="Z1662" s="1" t="s">
        <v>104</v>
      </c>
      <c r="AA1662" s="1">
        <v>3</v>
      </c>
      <c r="AB1662" s="1" t="s">
        <v>104</v>
      </c>
      <c r="AC1662" s="1" t="s">
        <v>104</v>
      </c>
      <c r="AD1662" s="1">
        <v>3</v>
      </c>
      <c r="AE1662" s="1">
        <v>4</v>
      </c>
      <c r="AF1662" s="1" t="s">
        <v>104</v>
      </c>
      <c r="AG1662" s="1" t="s">
        <v>104</v>
      </c>
      <c r="AH1662" s="1" t="s">
        <v>104</v>
      </c>
      <c r="AI1662" s="1">
        <v>4</v>
      </c>
      <c r="AJ1662" s="1">
        <v>3</v>
      </c>
      <c r="AK1662" s="1" t="s">
        <v>104</v>
      </c>
      <c r="AL1662" s="1" t="s">
        <v>104</v>
      </c>
      <c r="AM1662" s="1" t="s">
        <v>104</v>
      </c>
      <c r="AN1662" s="1" t="s">
        <v>9147</v>
      </c>
      <c r="AO1662" s="1">
        <v>3</v>
      </c>
      <c r="AR1662" s="1">
        <v>0</v>
      </c>
      <c r="AS1662" s="1">
        <v>0</v>
      </c>
      <c r="AT1662" s="1">
        <v>0</v>
      </c>
      <c r="AU1662" s="1">
        <v>0</v>
      </c>
      <c r="AV1662" s="1">
        <v>0</v>
      </c>
      <c r="AW1662" s="1">
        <v>0</v>
      </c>
      <c r="AX1662" s="1">
        <v>0</v>
      </c>
      <c r="AY1662" s="1">
        <v>0</v>
      </c>
      <c r="AZ1662" s="1">
        <v>0</v>
      </c>
      <c r="BA1662" s="1">
        <v>0</v>
      </c>
      <c r="BB1662" s="1">
        <v>0</v>
      </c>
      <c r="BC1662" s="1">
        <v>0</v>
      </c>
      <c r="BD1662" s="1">
        <v>0</v>
      </c>
      <c r="BE1662" s="1">
        <v>0</v>
      </c>
      <c r="BF1662" s="1">
        <v>0</v>
      </c>
      <c r="BG1662" s="1">
        <v>0</v>
      </c>
      <c r="BH1662" s="1">
        <v>0</v>
      </c>
      <c r="BI1662" s="1">
        <v>0</v>
      </c>
      <c r="BJ1662" s="1">
        <v>0</v>
      </c>
      <c r="BK1662" s="1">
        <v>0</v>
      </c>
      <c r="BL1662" s="1">
        <v>0</v>
      </c>
      <c r="BM1662" s="1">
        <v>0</v>
      </c>
      <c r="BN1662" s="1">
        <v>0</v>
      </c>
      <c r="BO1662" s="1">
        <v>0</v>
      </c>
      <c r="BP1662" s="1">
        <v>0</v>
      </c>
      <c r="BQ1662" s="1" t="s">
        <v>104</v>
      </c>
      <c r="BR1662" s="1">
        <v>1756</v>
      </c>
      <c r="BS1662" s="1" t="s">
        <v>104</v>
      </c>
      <c r="BX1662" s="1">
        <v>0</v>
      </c>
      <c r="BY1662" s="1" t="s">
        <v>104</v>
      </c>
      <c r="BZ1662" s="1" t="s">
        <v>104</v>
      </c>
      <c r="CA1662" s="1" t="s">
        <v>104</v>
      </c>
      <c r="CB1662" s="1" t="s">
        <v>104</v>
      </c>
      <c r="CC1662" s="1" t="s">
        <v>104</v>
      </c>
      <c r="CD1662" s="1" t="s">
        <v>104</v>
      </c>
      <c r="CE1662" s="1" t="s">
        <v>104</v>
      </c>
      <c r="CF1662" s="1" t="s">
        <v>104</v>
      </c>
      <c r="CG1662" s="1" t="s">
        <v>104</v>
      </c>
      <c r="CH1662" s="1" t="s">
        <v>104</v>
      </c>
      <c r="CJ1662" s="1">
        <v>0</v>
      </c>
      <c r="CK1662" s="1">
        <v>0</v>
      </c>
      <c r="CL1662" s="1">
        <v>0</v>
      </c>
      <c r="CM1662" s="1" t="s">
        <v>104</v>
      </c>
    </row>
    <row r="1663" spans="1:91" ht="14.25" customHeight="1" x14ac:dyDescent="0.3">
      <c r="A1663" s="1" t="s">
        <v>9148</v>
      </c>
      <c r="B1663" s="1" t="s">
        <v>162</v>
      </c>
      <c r="E1663" s="1" t="s">
        <v>9149</v>
      </c>
      <c r="F1663" s="1" t="s">
        <v>95</v>
      </c>
      <c r="G1663" s="1" t="s">
        <v>116</v>
      </c>
      <c r="H1663" s="1">
        <v>0</v>
      </c>
      <c r="I1663" s="1" t="s">
        <v>157</v>
      </c>
      <c r="L1663" s="1" t="s">
        <v>158</v>
      </c>
      <c r="M1663" s="1" t="s">
        <v>111</v>
      </c>
      <c r="N1663" s="1">
        <v>0</v>
      </c>
      <c r="O1663" s="1">
        <v>0</v>
      </c>
      <c r="P1663" s="1" t="s">
        <v>100</v>
      </c>
      <c r="Q1663" s="1" t="s">
        <v>101</v>
      </c>
      <c r="R1663" s="1" t="s">
        <v>9150</v>
      </c>
      <c r="S1663" s="1" t="s">
        <v>9131</v>
      </c>
      <c r="T1663" s="1">
        <v>1</v>
      </c>
      <c r="U1663" s="1">
        <v>1</v>
      </c>
      <c r="V1663" s="1">
        <v>0</v>
      </c>
      <c r="W1663" s="1">
        <v>0</v>
      </c>
      <c r="X1663" s="1">
        <v>0</v>
      </c>
      <c r="Y1663" s="1">
        <v>3</v>
      </c>
      <c r="Z1663" s="1">
        <v>3</v>
      </c>
      <c r="AA1663" s="1" t="s">
        <v>104</v>
      </c>
      <c r="AB1663" s="1">
        <v>3</v>
      </c>
      <c r="AC1663" s="1">
        <v>3</v>
      </c>
      <c r="AD1663" s="1" t="s">
        <v>104</v>
      </c>
      <c r="AE1663" s="1" t="s">
        <v>104</v>
      </c>
      <c r="AF1663" s="1" t="s">
        <v>104</v>
      </c>
      <c r="AG1663" s="1" t="s">
        <v>104</v>
      </c>
      <c r="AH1663" s="1" t="s">
        <v>104</v>
      </c>
      <c r="AI1663" s="1" t="s">
        <v>104</v>
      </c>
      <c r="AJ1663" s="1" t="s">
        <v>104</v>
      </c>
      <c r="AK1663" s="1" t="s">
        <v>104</v>
      </c>
      <c r="AL1663" s="1">
        <v>3</v>
      </c>
      <c r="AM1663" s="1" t="s">
        <v>104</v>
      </c>
      <c r="AO1663" s="1">
        <v>3</v>
      </c>
      <c r="AR1663" s="1">
        <v>0</v>
      </c>
      <c r="AS1663" s="1">
        <v>0</v>
      </c>
      <c r="AT1663" s="1">
        <v>0</v>
      </c>
      <c r="AU1663" s="1">
        <v>0</v>
      </c>
      <c r="AV1663" s="1">
        <v>0</v>
      </c>
      <c r="AW1663" s="1">
        <v>0</v>
      </c>
      <c r="AX1663" s="1">
        <v>0</v>
      </c>
      <c r="AY1663" s="1">
        <v>0</v>
      </c>
      <c r="AZ1663" s="1">
        <v>0</v>
      </c>
      <c r="BA1663" s="1">
        <v>0</v>
      </c>
      <c r="BB1663" s="1">
        <v>0</v>
      </c>
      <c r="BC1663" s="1">
        <v>0</v>
      </c>
      <c r="BD1663" s="1">
        <v>0</v>
      </c>
      <c r="BE1663" s="1">
        <v>0</v>
      </c>
      <c r="BF1663" s="1">
        <v>0</v>
      </c>
      <c r="BG1663" s="1">
        <v>0</v>
      </c>
      <c r="BH1663" s="1">
        <v>0</v>
      </c>
      <c r="BI1663" s="1">
        <v>0</v>
      </c>
      <c r="BJ1663" s="1">
        <v>0</v>
      </c>
      <c r="BK1663" s="1">
        <v>0</v>
      </c>
      <c r="BL1663" s="1">
        <v>0</v>
      </c>
      <c r="BM1663" s="1">
        <v>0</v>
      </c>
      <c r="BN1663" s="1">
        <v>0</v>
      </c>
      <c r="BO1663" s="1">
        <v>0</v>
      </c>
      <c r="BP1663" s="1">
        <v>0</v>
      </c>
      <c r="BQ1663" s="1" t="s">
        <v>104</v>
      </c>
      <c r="BR1663" s="1">
        <v>1757</v>
      </c>
      <c r="BS1663" s="1" t="s">
        <v>104</v>
      </c>
      <c r="BX1663" s="1">
        <v>0</v>
      </c>
      <c r="BY1663" s="1" t="s">
        <v>104</v>
      </c>
      <c r="BZ1663" s="1" t="s">
        <v>104</v>
      </c>
      <c r="CA1663" s="1" t="s">
        <v>104</v>
      </c>
      <c r="CB1663" s="1" t="s">
        <v>104</v>
      </c>
      <c r="CC1663" s="1" t="s">
        <v>104</v>
      </c>
      <c r="CD1663" s="1" t="s">
        <v>104</v>
      </c>
      <c r="CE1663" s="1" t="s">
        <v>104</v>
      </c>
      <c r="CF1663" s="1" t="s">
        <v>104</v>
      </c>
      <c r="CG1663" s="1" t="s">
        <v>104</v>
      </c>
      <c r="CH1663" s="1">
        <v>3</v>
      </c>
      <c r="CJ1663" s="1">
        <v>0</v>
      </c>
      <c r="CK1663" s="1">
        <v>0</v>
      </c>
      <c r="CL1663" s="1">
        <v>0</v>
      </c>
      <c r="CM1663" s="1" t="s">
        <v>104</v>
      </c>
    </row>
    <row r="1664" spans="1:91" ht="14.25" customHeight="1" x14ac:dyDescent="0.3">
      <c r="A1664" s="1" t="s">
        <v>9151</v>
      </c>
      <c r="B1664" s="1" t="s">
        <v>123</v>
      </c>
      <c r="C1664" s="1" t="s">
        <v>124</v>
      </c>
      <c r="D1664" s="1" t="s">
        <v>125</v>
      </c>
      <c r="E1664" s="1" t="s">
        <v>8908</v>
      </c>
      <c r="F1664" s="1" t="s">
        <v>95</v>
      </c>
      <c r="G1664" s="1" t="s">
        <v>127</v>
      </c>
      <c r="H1664" s="1">
        <v>0</v>
      </c>
      <c r="I1664" s="1" t="s">
        <v>349</v>
      </c>
      <c r="J1664" s="1" t="s">
        <v>460</v>
      </c>
      <c r="M1664" s="1" t="s">
        <v>201</v>
      </c>
      <c r="N1664" s="1">
        <v>0</v>
      </c>
      <c r="O1664" s="1">
        <v>0</v>
      </c>
      <c r="P1664" s="1" t="s">
        <v>100</v>
      </c>
      <c r="Q1664" s="1" t="s">
        <v>131</v>
      </c>
      <c r="R1664" s="1" t="s">
        <v>9152</v>
      </c>
      <c r="S1664" s="1" t="s">
        <v>9131</v>
      </c>
      <c r="T1664" s="1">
        <v>1</v>
      </c>
      <c r="U1664" s="1">
        <v>1</v>
      </c>
      <c r="V1664" s="1">
        <v>0</v>
      </c>
      <c r="W1664" s="1">
        <v>0</v>
      </c>
      <c r="X1664" s="1">
        <v>1</v>
      </c>
      <c r="Y1664" s="1" t="s">
        <v>104</v>
      </c>
      <c r="Z1664" s="1" t="s">
        <v>104</v>
      </c>
      <c r="AA1664" s="1">
        <v>1</v>
      </c>
      <c r="AB1664" s="1" t="s">
        <v>104</v>
      </c>
      <c r="AC1664" s="1" t="s">
        <v>104</v>
      </c>
      <c r="AD1664" s="1" t="s">
        <v>104</v>
      </c>
      <c r="AE1664" s="1">
        <v>1</v>
      </c>
      <c r="AF1664" s="1" t="s">
        <v>104</v>
      </c>
      <c r="AG1664" s="1" t="s">
        <v>104</v>
      </c>
      <c r="AH1664" s="1" t="s">
        <v>104</v>
      </c>
      <c r="AI1664" s="1">
        <v>1</v>
      </c>
      <c r="AJ1664" s="1">
        <v>1</v>
      </c>
      <c r="AK1664" s="1" t="s">
        <v>104</v>
      </c>
      <c r="AL1664" s="1" t="s">
        <v>104</v>
      </c>
      <c r="AM1664" s="1" t="s">
        <v>104</v>
      </c>
      <c r="AN1664" s="1" t="s">
        <v>9132</v>
      </c>
      <c r="AO1664" s="1">
        <v>1</v>
      </c>
      <c r="AR1664" s="1">
        <v>0</v>
      </c>
      <c r="AS1664" s="1">
        <v>0</v>
      </c>
      <c r="AT1664" s="1">
        <v>0</v>
      </c>
      <c r="AU1664" s="1">
        <v>0</v>
      </c>
      <c r="AV1664" s="1">
        <v>0</v>
      </c>
      <c r="AW1664" s="1">
        <v>0</v>
      </c>
      <c r="AX1664" s="1">
        <v>0</v>
      </c>
      <c r="AY1664" s="1">
        <v>0</v>
      </c>
      <c r="AZ1664" s="1">
        <v>0</v>
      </c>
      <c r="BA1664" s="1">
        <v>0</v>
      </c>
      <c r="BB1664" s="1">
        <v>0</v>
      </c>
      <c r="BC1664" s="1">
        <v>0</v>
      </c>
      <c r="BD1664" s="1">
        <v>0</v>
      </c>
      <c r="BE1664" s="1">
        <v>0</v>
      </c>
      <c r="BF1664" s="1">
        <v>0</v>
      </c>
      <c r="BG1664" s="1">
        <v>0</v>
      </c>
      <c r="BH1664" s="1">
        <v>0</v>
      </c>
      <c r="BI1664" s="1">
        <v>0</v>
      </c>
      <c r="BJ1664" s="1">
        <v>0</v>
      </c>
      <c r="BK1664" s="1">
        <v>1</v>
      </c>
      <c r="BL1664" s="1">
        <v>0</v>
      </c>
      <c r="BM1664" s="1">
        <v>0</v>
      </c>
      <c r="BN1664" s="1">
        <v>0</v>
      </c>
      <c r="BO1664" s="1">
        <v>0</v>
      </c>
      <c r="BP1664" s="1">
        <v>0</v>
      </c>
      <c r="BQ1664" s="1" t="s">
        <v>104</v>
      </c>
      <c r="BR1664" s="1">
        <v>1758</v>
      </c>
      <c r="BS1664" s="1" t="s">
        <v>104</v>
      </c>
      <c r="BX1664" s="1">
        <v>0</v>
      </c>
      <c r="BY1664" s="1" t="s">
        <v>104</v>
      </c>
      <c r="BZ1664" s="1" t="s">
        <v>104</v>
      </c>
      <c r="CA1664" s="1" t="s">
        <v>104</v>
      </c>
      <c r="CB1664" s="1" t="s">
        <v>104</v>
      </c>
      <c r="CC1664" s="1" t="s">
        <v>104</v>
      </c>
      <c r="CD1664" s="1" t="s">
        <v>104</v>
      </c>
      <c r="CE1664" s="1" t="s">
        <v>104</v>
      </c>
      <c r="CF1664" s="1" t="s">
        <v>104</v>
      </c>
      <c r="CG1664" s="1" t="s">
        <v>104</v>
      </c>
      <c r="CH1664" s="1" t="s">
        <v>104</v>
      </c>
      <c r="CJ1664" s="1">
        <v>0</v>
      </c>
      <c r="CK1664" s="1">
        <v>0</v>
      </c>
      <c r="CL1664" s="1">
        <v>0</v>
      </c>
      <c r="CM1664" s="1" t="s">
        <v>104</v>
      </c>
    </row>
    <row r="1665" spans="1:91" ht="14.25" customHeight="1" x14ac:dyDescent="0.3">
      <c r="A1665" s="1" t="s">
        <v>9153</v>
      </c>
      <c r="B1665" s="1" t="s">
        <v>137</v>
      </c>
      <c r="E1665" s="1" t="s">
        <v>9154</v>
      </c>
      <c r="F1665" s="1" t="s">
        <v>95</v>
      </c>
      <c r="G1665" s="1" t="s">
        <v>116</v>
      </c>
      <c r="H1665" s="1">
        <v>0</v>
      </c>
      <c r="I1665" s="1" t="s">
        <v>117</v>
      </c>
      <c r="J1665" s="1" t="s">
        <v>9155</v>
      </c>
      <c r="M1665" s="1" t="s">
        <v>111</v>
      </c>
      <c r="N1665" s="1">
        <v>0</v>
      </c>
      <c r="O1665" s="1">
        <v>0</v>
      </c>
      <c r="P1665" s="1" t="s">
        <v>471</v>
      </c>
      <c r="Q1665" s="1" t="s">
        <v>472</v>
      </c>
      <c r="R1665" s="1" t="s">
        <v>9156</v>
      </c>
      <c r="S1665" s="1" t="s">
        <v>9131</v>
      </c>
      <c r="T1665" s="1">
        <v>1</v>
      </c>
      <c r="U1665" s="1">
        <v>1</v>
      </c>
      <c r="V1665" s="1">
        <v>0</v>
      </c>
      <c r="W1665" s="1">
        <v>0</v>
      </c>
      <c r="X1665" s="1">
        <v>0</v>
      </c>
      <c r="Y1665" s="1">
        <v>2</v>
      </c>
      <c r="Z1665" s="1">
        <v>2</v>
      </c>
      <c r="AA1665" s="1">
        <v>2</v>
      </c>
      <c r="AB1665" s="1">
        <v>2</v>
      </c>
      <c r="AC1665" s="1" t="s">
        <v>104</v>
      </c>
      <c r="AD1665" s="1" t="s">
        <v>104</v>
      </c>
      <c r="AE1665" s="1" t="s">
        <v>104</v>
      </c>
      <c r="AF1665" s="1" t="s">
        <v>104</v>
      </c>
      <c r="AG1665" s="1" t="s">
        <v>104</v>
      </c>
      <c r="AH1665" s="1">
        <v>2</v>
      </c>
      <c r="AI1665" s="1">
        <v>2</v>
      </c>
      <c r="AJ1665" s="1">
        <v>2</v>
      </c>
      <c r="AK1665" s="1">
        <v>2</v>
      </c>
      <c r="AL1665" s="1" t="s">
        <v>104</v>
      </c>
      <c r="AM1665" s="1" t="s">
        <v>104</v>
      </c>
      <c r="AN1665" s="1" t="s">
        <v>9157</v>
      </c>
      <c r="AO1665" s="1">
        <v>2</v>
      </c>
      <c r="AR1665" s="1">
        <v>0</v>
      </c>
      <c r="AS1665" s="1">
        <v>0</v>
      </c>
      <c r="AT1665" s="1">
        <v>0</v>
      </c>
      <c r="AU1665" s="1">
        <v>0</v>
      </c>
      <c r="AV1665" s="1">
        <v>0</v>
      </c>
      <c r="AW1665" s="1">
        <v>0</v>
      </c>
      <c r="AX1665" s="1">
        <v>0</v>
      </c>
      <c r="AY1665" s="1">
        <v>0</v>
      </c>
      <c r="AZ1665" s="1">
        <v>0</v>
      </c>
      <c r="BA1665" s="1">
        <v>0</v>
      </c>
      <c r="BB1665" s="1">
        <v>0</v>
      </c>
      <c r="BC1665" s="1">
        <v>0</v>
      </c>
      <c r="BD1665" s="1">
        <v>0</v>
      </c>
      <c r="BE1665" s="1">
        <v>0</v>
      </c>
      <c r="BF1665" s="1">
        <v>0</v>
      </c>
      <c r="BG1665" s="1">
        <v>0</v>
      </c>
      <c r="BH1665" s="1">
        <v>0</v>
      </c>
      <c r="BI1665" s="1">
        <v>0</v>
      </c>
      <c r="BJ1665" s="1">
        <v>0</v>
      </c>
      <c r="BK1665" s="1">
        <v>0</v>
      </c>
      <c r="BL1665" s="1">
        <v>0</v>
      </c>
      <c r="BM1665" s="1">
        <v>0</v>
      </c>
      <c r="BN1665" s="1">
        <v>0</v>
      </c>
      <c r="BO1665" s="1">
        <v>0</v>
      </c>
      <c r="BP1665" s="1">
        <v>0</v>
      </c>
      <c r="BQ1665" s="1" t="s">
        <v>104</v>
      </c>
      <c r="BR1665" s="1">
        <v>1759</v>
      </c>
      <c r="BS1665" s="1" t="s">
        <v>104</v>
      </c>
      <c r="BX1665" s="1">
        <v>0</v>
      </c>
      <c r="BY1665" s="1" t="s">
        <v>104</v>
      </c>
      <c r="BZ1665" s="1" t="s">
        <v>104</v>
      </c>
      <c r="CA1665" s="1" t="s">
        <v>104</v>
      </c>
      <c r="CB1665" s="1" t="s">
        <v>104</v>
      </c>
      <c r="CC1665" s="1" t="s">
        <v>104</v>
      </c>
      <c r="CD1665" s="1" t="s">
        <v>104</v>
      </c>
      <c r="CE1665" s="1" t="s">
        <v>104</v>
      </c>
      <c r="CF1665" s="1" t="s">
        <v>104</v>
      </c>
      <c r="CG1665" s="1" t="s">
        <v>104</v>
      </c>
      <c r="CH1665" s="1">
        <v>2</v>
      </c>
      <c r="CJ1665" s="1">
        <v>0</v>
      </c>
      <c r="CK1665" s="1">
        <v>0</v>
      </c>
      <c r="CL1665" s="1">
        <v>0</v>
      </c>
      <c r="CM1665" s="1" t="s">
        <v>104</v>
      </c>
    </row>
    <row r="1666" spans="1:91" ht="14.25" customHeight="1" x14ac:dyDescent="0.3">
      <c r="A1666" s="1" t="s">
        <v>9158</v>
      </c>
      <c r="B1666" s="1" t="s">
        <v>123</v>
      </c>
      <c r="C1666" s="1" t="s">
        <v>124</v>
      </c>
      <c r="D1666" s="1" t="s">
        <v>125</v>
      </c>
      <c r="E1666" s="1" t="s">
        <v>9159</v>
      </c>
      <c r="F1666" s="1" t="s">
        <v>95</v>
      </c>
      <c r="G1666" s="1" t="s">
        <v>127</v>
      </c>
      <c r="H1666" s="1">
        <v>0</v>
      </c>
      <c r="J1666" s="1" t="s">
        <v>9160</v>
      </c>
      <c r="M1666" s="1" t="s">
        <v>9161</v>
      </c>
      <c r="N1666" s="1">
        <v>0</v>
      </c>
      <c r="O1666" s="1">
        <v>0</v>
      </c>
      <c r="P1666" s="1" t="s">
        <v>375</v>
      </c>
      <c r="Q1666" s="1" t="s">
        <v>131</v>
      </c>
      <c r="R1666" s="1" t="s">
        <v>9162</v>
      </c>
      <c r="S1666" s="1" t="s">
        <v>9131</v>
      </c>
      <c r="T1666" s="1">
        <v>1</v>
      </c>
      <c r="U1666" s="1">
        <v>1</v>
      </c>
      <c r="V1666" s="1">
        <v>0</v>
      </c>
      <c r="W1666" s="1">
        <v>0</v>
      </c>
      <c r="X1666" s="1">
        <v>1</v>
      </c>
      <c r="Y1666" s="1" t="s">
        <v>104</v>
      </c>
      <c r="Z1666" s="1" t="s">
        <v>104</v>
      </c>
      <c r="AA1666" s="1">
        <v>5</v>
      </c>
      <c r="AB1666" s="1" t="s">
        <v>104</v>
      </c>
      <c r="AC1666" s="1" t="s">
        <v>104</v>
      </c>
      <c r="AD1666" s="1" t="s">
        <v>104</v>
      </c>
      <c r="AE1666" s="1">
        <v>4</v>
      </c>
      <c r="AF1666" s="1" t="s">
        <v>104</v>
      </c>
      <c r="AG1666" s="1" t="s">
        <v>104</v>
      </c>
      <c r="AH1666" s="1" t="s">
        <v>104</v>
      </c>
      <c r="AI1666" s="1">
        <v>4</v>
      </c>
      <c r="AJ1666" s="1">
        <v>5</v>
      </c>
      <c r="AK1666" s="1" t="s">
        <v>104</v>
      </c>
      <c r="AL1666" s="1" t="s">
        <v>104</v>
      </c>
      <c r="AM1666" s="1" t="s">
        <v>104</v>
      </c>
      <c r="AN1666" s="1" t="s">
        <v>9163</v>
      </c>
      <c r="AO1666" s="1">
        <v>5</v>
      </c>
      <c r="AR1666" s="1">
        <v>0</v>
      </c>
      <c r="AS1666" s="1">
        <v>0</v>
      </c>
      <c r="AT1666" s="1">
        <v>0</v>
      </c>
      <c r="AU1666" s="1">
        <v>0</v>
      </c>
      <c r="AV1666" s="1">
        <v>0</v>
      </c>
      <c r="AW1666" s="1">
        <v>0</v>
      </c>
      <c r="AX1666" s="1">
        <v>0</v>
      </c>
      <c r="AY1666" s="1">
        <v>0</v>
      </c>
      <c r="AZ1666" s="1">
        <v>0</v>
      </c>
      <c r="BA1666" s="1">
        <v>0</v>
      </c>
      <c r="BB1666" s="1">
        <v>0</v>
      </c>
      <c r="BC1666" s="1">
        <v>0</v>
      </c>
      <c r="BD1666" s="1">
        <v>0</v>
      </c>
      <c r="BE1666" s="1">
        <v>0</v>
      </c>
      <c r="BF1666" s="1">
        <v>0</v>
      </c>
      <c r="BG1666" s="1">
        <v>0</v>
      </c>
      <c r="BH1666" s="1">
        <v>0</v>
      </c>
      <c r="BI1666" s="1">
        <v>0</v>
      </c>
      <c r="BJ1666" s="1">
        <v>0</v>
      </c>
      <c r="BK1666" s="1">
        <v>1</v>
      </c>
      <c r="BL1666" s="1">
        <v>0</v>
      </c>
      <c r="BM1666" s="1">
        <v>0</v>
      </c>
      <c r="BN1666" s="1">
        <v>0</v>
      </c>
      <c r="BO1666" s="1">
        <v>0</v>
      </c>
      <c r="BP1666" s="1">
        <v>0</v>
      </c>
      <c r="BQ1666" s="1" t="s">
        <v>104</v>
      </c>
      <c r="BR1666" s="1">
        <v>1760</v>
      </c>
      <c r="BS1666" s="1" t="s">
        <v>104</v>
      </c>
      <c r="BX1666" s="1">
        <v>0</v>
      </c>
      <c r="BY1666" s="1" t="s">
        <v>104</v>
      </c>
      <c r="BZ1666" s="1" t="s">
        <v>104</v>
      </c>
      <c r="CA1666" s="1" t="s">
        <v>104</v>
      </c>
      <c r="CB1666" s="1" t="s">
        <v>104</v>
      </c>
      <c r="CC1666" s="1" t="s">
        <v>104</v>
      </c>
      <c r="CD1666" s="1" t="s">
        <v>104</v>
      </c>
      <c r="CE1666" s="1" t="s">
        <v>104</v>
      </c>
      <c r="CF1666" s="1" t="s">
        <v>104</v>
      </c>
      <c r="CG1666" s="1" t="s">
        <v>104</v>
      </c>
      <c r="CH1666" s="1" t="s">
        <v>104</v>
      </c>
      <c r="CJ1666" s="1">
        <v>0</v>
      </c>
      <c r="CK1666" s="1">
        <v>0</v>
      </c>
      <c r="CL1666" s="1">
        <v>0</v>
      </c>
      <c r="CM1666" s="1" t="s">
        <v>104</v>
      </c>
    </row>
    <row r="1667" spans="1:91" ht="14.25" customHeight="1" x14ac:dyDescent="0.3">
      <c r="A1667" s="1" t="s">
        <v>9164</v>
      </c>
      <c r="B1667" s="1" t="s">
        <v>137</v>
      </c>
      <c r="D1667" s="1" t="s">
        <v>43</v>
      </c>
      <c r="E1667" s="1" t="s">
        <v>9165</v>
      </c>
      <c r="F1667" s="1" t="s">
        <v>95</v>
      </c>
      <c r="G1667" s="1" t="s">
        <v>9166</v>
      </c>
      <c r="H1667" s="1">
        <v>0</v>
      </c>
      <c r="I1667" s="1" t="s">
        <v>157</v>
      </c>
      <c r="L1667" s="1" t="s">
        <v>158</v>
      </c>
      <c r="M1667" s="1" t="s">
        <v>111</v>
      </c>
      <c r="N1667" s="1">
        <v>0</v>
      </c>
      <c r="O1667" s="1">
        <v>0</v>
      </c>
      <c r="P1667" s="1" t="s">
        <v>9167</v>
      </c>
      <c r="Q1667" s="1" t="s">
        <v>101</v>
      </c>
      <c r="R1667" s="1" t="s">
        <v>9168</v>
      </c>
      <c r="S1667" s="1" t="s">
        <v>9131</v>
      </c>
      <c r="T1667" s="1">
        <v>1</v>
      </c>
      <c r="U1667" s="1">
        <v>1</v>
      </c>
      <c r="V1667" s="1">
        <v>1</v>
      </c>
      <c r="W1667" s="1">
        <v>0</v>
      </c>
      <c r="X1667" s="1">
        <v>0</v>
      </c>
      <c r="Y1667" s="1">
        <v>5</v>
      </c>
      <c r="Z1667" s="1">
        <v>5</v>
      </c>
      <c r="AA1667" s="1">
        <v>5</v>
      </c>
      <c r="AB1667" s="1">
        <v>4</v>
      </c>
      <c r="AC1667" s="1" t="s">
        <v>104</v>
      </c>
      <c r="AD1667" s="1" t="s">
        <v>104</v>
      </c>
      <c r="AE1667" s="1" t="s">
        <v>104</v>
      </c>
      <c r="AF1667" s="1">
        <v>4</v>
      </c>
      <c r="AG1667" s="1">
        <v>4</v>
      </c>
      <c r="AH1667" s="1" t="s">
        <v>104</v>
      </c>
      <c r="AI1667" s="1" t="s">
        <v>104</v>
      </c>
      <c r="AJ1667" s="1">
        <v>5</v>
      </c>
      <c r="AK1667" s="1" t="s">
        <v>104</v>
      </c>
      <c r="AL1667" s="1">
        <v>4</v>
      </c>
      <c r="AM1667" s="1" t="s">
        <v>104</v>
      </c>
      <c r="AO1667" s="1">
        <v>5</v>
      </c>
      <c r="AR1667" s="1">
        <v>1</v>
      </c>
      <c r="AS1667" s="1">
        <v>0</v>
      </c>
      <c r="AT1667" s="1">
        <v>0</v>
      </c>
      <c r="AU1667" s="1">
        <v>0</v>
      </c>
      <c r="AV1667" s="1">
        <v>0</v>
      </c>
      <c r="AW1667" s="1">
        <v>0</v>
      </c>
      <c r="AX1667" s="1">
        <v>0</v>
      </c>
      <c r="AY1667" s="1">
        <v>0</v>
      </c>
      <c r="AZ1667" s="1">
        <v>0</v>
      </c>
      <c r="BA1667" s="1">
        <v>0</v>
      </c>
      <c r="BB1667" s="1">
        <v>0</v>
      </c>
      <c r="BC1667" s="1">
        <v>0</v>
      </c>
      <c r="BD1667" s="1">
        <v>0</v>
      </c>
      <c r="BE1667" s="1">
        <v>0</v>
      </c>
      <c r="BF1667" s="1">
        <v>0</v>
      </c>
      <c r="BG1667" s="1">
        <v>0</v>
      </c>
      <c r="BH1667" s="1">
        <v>0</v>
      </c>
      <c r="BI1667" s="1">
        <v>0</v>
      </c>
      <c r="BJ1667" s="1">
        <v>0</v>
      </c>
      <c r="BK1667" s="1">
        <v>0</v>
      </c>
      <c r="BL1667" s="1">
        <v>0</v>
      </c>
      <c r="BM1667" s="1">
        <v>0</v>
      </c>
      <c r="BN1667" s="1">
        <v>0</v>
      </c>
      <c r="BO1667" s="1">
        <v>0</v>
      </c>
      <c r="BP1667" s="1">
        <v>0</v>
      </c>
      <c r="BQ1667" s="1" t="s">
        <v>104</v>
      </c>
      <c r="BR1667" s="1">
        <v>1761</v>
      </c>
      <c r="BS1667" s="1" t="s">
        <v>104</v>
      </c>
      <c r="BX1667" s="1">
        <v>0</v>
      </c>
      <c r="BY1667" s="1" t="s">
        <v>104</v>
      </c>
      <c r="BZ1667" s="1" t="s">
        <v>104</v>
      </c>
      <c r="CA1667" s="1" t="s">
        <v>104</v>
      </c>
      <c r="CB1667" s="1" t="s">
        <v>104</v>
      </c>
      <c r="CC1667" s="1" t="s">
        <v>104</v>
      </c>
      <c r="CD1667" s="1" t="s">
        <v>104</v>
      </c>
      <c r="CE1667" s="1" t="s">
        <v>104</v>
      </c>
      <c r="CF1667" s="1" t="s">
        <v>104</v>
      </c>
      <c r="CG1667" s="1" t="s">
        <v>104</v>
      </c>
      <c r="CH1667" s="1">
        <v>4</v>
      </c>
      <c r="CJ1667" s="1">
        <v>0</v>
      </c>
      <c r="CK1667" s="1">
        <v>0</v>
      </c>
      <c r="CL1667" s="1">
        <v>0</v>
      </c>
      <c r="CM1667" s="1">
        <v>4</v>
      </c>
    </row>
    <row r="1668" spans="1:91" ht="14.25" customHeight="1" x14ac:dyDescent="0.3">
      <c r="A1668" s="1" t="s">
        <v>9169</v>
      </c>
      <c r="B1668" s="1" t="s">
        <v>434</v>
      </c>
      <c r="E1668" s="1" t="s">
        <v>9170</v>
      </c>
      <c r="F1668" s="1" t="s">
        <v>95</v>
      </c>
      <c r="G1668" s="1" t="s">
        <v>127</v>
      </c>
      <c r="H1668" s="1">
        <v>0</v>
      </c>
      <c r="I1668" s="1" t="s">
        <v>128</v>
      </c>
      <c r="L1668" s="1" t="s">
        <v>9171</v>
      </c>
      <c r="M1668" s="1" t="s">
        <v>9172</v>
      </c>
      <c r="N1668" s="1">
        <v>0</v>
      </c>
      <c r="O1668" s="1">
        <v>0</v>
      </c>
      <c r="P1668" s="1" t="s">
        <v>9173</v>
      </c>
      <c r="Q1668" s="1" t="s">
        <v>9174</v>
      </c>
      <c r="R1668" s="1" t="s">
        <v>9175</v>
      </c>
      <c r="S1668" s="1" t="s">
        <v>9131</v>
      </c>
      <c r="T1668" s="1">
        <v>1</v>
      </c>
      <c r="U1668" s="1">
        <v>1</v>
      </c>
      <c r="V1668" s="1">
        <v>0</v>
      </c>
      <c r="W1668" s="1">
        <v>0</v>
      </c>
      <c r="X1668" s="1">
        <v>1</v>
      </c>
      <c r="Y1668" s="1">
        <v>3</v>
      </c>
      <c r="Z1668" s="1">
        <v>3</v>
      </c>
      <c r="AA1668" s="1">
        <v>3</v>
      </c>
      <c r="AB1668" s="1">
        <v>3</v>
      </c>
      <c r="AC1668" s="1">
        <v>3</v>
      </c>
      <c r="AD1668" s="1">
        <v>3</v>
      </c>
      <c r="AE1668" s="1" t="s">
        <v>104</v>
      </c>
      <c r="AF1668" s="1" t="s">
        <v>104</v>
      </c>
      <c r="AG1668" s="1" t="s">
        <v>104</v>
      </c>
      <c r="AH1668" s="1">
        <v>3</v>
      </c>
      <c r="AI1668" s="1" t="s">
        <v>104</v>
      </c>
      <c r="AJ1668" s="1">
        <v>3</v>
      </c>
      <c r="AK1668" s="1" t="s">
        <v>104</v>
      </c>
      <c r="AL1668" s="1" t="s">
        <v>104</v>
      </c>
      <c r="AM1668" s="1" t="s">
        <v>104</v>
      </c>
      <c r="AN1668" s="1" t="s">
        <v>9176</v>
      </c>
      <c r="AO1668" s="1">
        <v>3</v>
      </c>
      <c r="AR1668" s="1">
        <v>0</v>
      </c>
      <c r="AS1668" s="1">
        <v>0</v>
      </c>
      <c r="AT1668" s="1">
        <v>0</v>
      </c>
      <c r="AU1668" s="1">
        <v>0</v>
      </c>
      <c r="AV1668" s="1">
        <v>0</v>
      </c>
      <c r="AW1668" s="1">
        <v>0</v>
      </c>
      <c r="AX1668" s="1">
        <v>0</v>
      </c>
      <c r="AY1668" s="1">
        <v>0</v>
      </c>
      <c r="AZ1668" s="1">
        <v>0</v>
      </c>
      <c r="BA1668" s="1">
        <v>0</v>
      </c>
      <c r="BB1668" s="1">
        <v>0</v>
      </c>
      <c r="BC1668" s="1">
        <v>0</v>
      </c>
      <c r="BD1668" s="1">
        <v>0</v>
      </c>
      <c r="BE1668" s="1">
        <v>0</v>
      </c>
      <c r="BF1668" s="1">
        <v>0</v>
      </c>
      <c r="BG1668" s="1">
        <v>0</v>
      </c>
      <c r="BH1668" s="1">
        <v>0</v>
      </c>
      <c r="BI1668" s="1">
        <v>0</v>
      </c>
      <c r="BJ1668" s="1">
        <v>0</v>
      </c>
      <c r="BK1668" s="1">
        <v>0</v>
      </c>
      <c r="BL1668" s="1">
        <v>0</v>
      </c>
      <c r="BM1668" s="1">
        <v>0</v>
      </c>
      <c r="BN1668" s="1">
        <v>0</v>
      </c>
      <c r="BO1668" s="1">
        <v>0</v>
      </c>
      <c r="BP1668" s="1">
        <v>0</v>
      </c>
      <c r="BQ1668" s="1" t="s">
        <v>104</v>
      </c>
      <c r="BR1668" s="1">
        <v>1762</v>
      </c>
      <c r="BS1668" s="1" t="s">
        <v>104</v>
      </c>
      <c r="BX1668" s="1">
        <v>0</v>
      </c>
      <c r="BY1668" s="1" t="s">
        <v>104</v>
      </c>
      <c r="BZ1668" s="1" t="s">
        <v>104</v>
      </c>
      <c r="CA1668" s="1" t="s">
        <v>104</v>
      </c>
      <c r="CB1668" s="1" t="s">
        <v>104</v>
      </c>
      <c r="CC1668" s="1" t="s">
        <v>104</v>
      </c>
      <c r="CD1668" s="1" t="s">
        <v>104</v>
      </c>
      <c r="CE1668" s="1" t="s">
        <v>104</v>
      </c>
      <c r="CF1668" s="1" t="s">
        <v>104</v>
      </c>
      <c r="CG1668" s="1" t="s">
        <v>104</v>
      </c>
      <c r="CH1668" s="1">
        <v>3</v>
      </c>
      <c r="CJ1668" s="1">
        <v>0</v>
      </c>
      <c r="CK1668" s="1">
        <v>0</v>
      </c>
      <c r="CL1668" s="1">
        <v>0</v>
      </c>
      <c r="CM1668" s="1" t="s">
        <v>104</v>
      </c>
    </row>
    <row r="1669" spans="1:91" ht="14.25" customHeight="1" x14ac:dyDescent="0.3">
      <c r="A1669" s="1" t="s">
        <v>9177</v>
      </c>
      <c r="B1669" s="1" t="s">
        <v>137</v>
      </c>
      <c r="E1669" s="1" t="s">
        <v>9178</v>
      </c>
      <c r="F1669" s="1" t="s">
        <v>95</v>
      </c>
      <c r="G1669" s="1" t="s">
        <v>116</v>
      </c>
      <c r="H1669" s="1">
        <v>0</v>
      </c>
      <c r="I1669" s="1" t="s">
        <v>157</v>
      </c>
      <c r="L1669" s="1" t="s">
        <v>158</v>
      </c>
      <c r="M1669" s="1" t="s">
        <v>111</v>
      </c>
      <c r="N1669" s="1">
        <v>0</v>
      </c>
      <c r="O1669" s="1">
        <v>0</v>
      </c>
      <c r="R1669" s="1" t="s">
        <v>9179</v>
      </c>
      <c r="S1669" s="1" t="s">
        <v>9131</v>
      </c>
      <c r="T1669" s="1">
        <v>1</v>
      </c>
      <c r="U1669" s="1">
        <v>1</v>
      </c>
      <c r="V1669" s="1">
        <v>0</v>
      </c>
      <c r="W1669" s="1">
        <v>0</v>
      </c>
      <c r="X1669" s="1">
        <v>0</v>
      </c>
      <c r="Y1669" s="1" t="s">
        <v>104</v>
      </c>
      <c r="Z1669" s="1" t="s">
        <v>104</v>
      </c>
      <c r="AA1669" s="1">
        <v>3</v>
      </c>
      <c r="AB1669" s="1" t="s">
        <v>104</v>
      </c>
      <c r="AC1669" s="1" t="s">
        <v>104</v>
      </c>
      <c r="AD1669" s="1" t="s">
        <v>104</v>
      </c>
      <c r="AE1669" s="1" t="s">
        <v>104</v>
      </c>
      <c r="AF1669" s="1">
        <v>3</v>
      </c>
      <c r="AG1669" s="1" t="s">
        <v>104</v>
      </c>
      <c r="AH1669" s="1" t="s">
        <v>104</v>
      </c>
      <c r="AI1669" s="1">
        <v>3</v>
      </c>
      <c r="AJ1669" s="1">
        <v>3</v>
      </c>
      <c r="AK1669" s="1" t="s">
        <v>104</v>
      </c>
      <c r="AL1669" s="1">
        <v>3</v>
      </c>
      <c r="AM1669" s="1" t="s">
        <v>104</v>
      </c>
      <c r="AN1669" s="1" t="s">
        <v>9137</v>
      </c>
      <c r="AO1669" s="1">
        <v>3</v>
      </c>
      <c r="AR1669" s="1">
        <v>0</v>
      </c>
      <c r="AS1669" s="1">
        <v>0</v>
      </c>
      <c r="AT1669" s="1">
        <v>0</v>
      </c>
      <c r="AU1669" s="1">
        <v>0</v>
      </c>
      <c r="AV1669" s="1">
        <v>0</v>
      </c>
      <c r="AW1669" s="1">
        <v>0</v>
      </c>
      <c r="AX1669" s="1">
        <v>0</v>
      </c>
      <c r="AY1669" s="1">
        <v>0</v>
      </c>
      <c r="AZ1669" s="1">
        <v>0</v>
      </c>
      <c r="BA1669" s="1">
        <v>0</v>
      </c>
      <c r="BB1669" s="1">
        <v>0</v>
      </c>
      <c r="BC1669" s="1">
        <v>0</v>
      </c>
      <c r="BD1669" s="1">
        <v>0</v>
      </c>
      <c r="BE1669" s="1">
        <v>0</v>
      </c>
      <c r="BF1669" s="1">
        <v>0</v>
      </c>
      <c r="BG1669" s="1">
        <v>0</v>
      </c>
      <c r="BH1669" s="1">
        <v>0</v>
      </c>
      <c r="BI1669" s="1">
        <v>0</v>
      </c>
      <c r="BJ1669" s="1">
        <v>0</v>
      </c>
      <c r="BK1669" s="1">
        <v>0</v>
      </c>
      <c r="BL1669" s="1">
        <v>0</v>
      </c>
      <c r="BM1669" s="1">
        <v>0</v>
      </c>
      <c r="BN1669" s="1">
        <v>0</v>
      </c>
      <c r="BO1669" s="1">
        <v>0</v>
      </c>
      <c r="BP1669" s="1">
        <v>0</v>
      </c>
      <c r="BQ1669" s="1" t="s">
        <v>104</v>
      </c>
      <c r="BR1669" s="1">
        <v>1763</v>
      </c>
      <c r="BS1669" s="1" t="s">
        <v>104</v>
      </c>
      <c r="BX1669" s="1">
        <v>0</v>
      </c>
      <c r="BY1669" s="1" t="s">
        <v>104</v>
      </c>
      <c r="BZ1669" s="1" t="s">
        <v>104</v>
      </c>
      <c r="CA1669" s="1" t="s">
        <v>104</v>
      </c>
      <c r="CB1669" s="1" t="s">
        <v>104</v>
      </c>
      <c r="CC1669" s="1" t="s">
        <v>104</v>
      </c>
      <c r="CD1669" s="1" t="s">
        <v>104</v>
      </c>
      <c r="CE1669" s="1" t="s">
        <v>104</v>
      </c>
      <c r="CF1669" s="1" t="s">
        <v>104</v>
      </c>
      <c r="CG1669" s="1" t="s">
        <v>104</v>
      </c>
      <c r="CH1669" s="1" t="s">
        <v>104</v>
      </c>
      <c r="CJ1669" s="1">
        <v>0</v>
      </c>
      <c r="CK1669" s="1">
        <v>0</v>
      </c>
      <c r="CL1669" s="1">
        <v>0</v>
      </c>
      <c r="CM1669" s="1" t="s">
        <v>104</v>
      </c>
    </row>
    <row r="1670" spans="1:91" ht="14.25" customHeight="1" x14ac:dyDescent="0.3">
      <c r="A1670" s="1" t="s">
        <v>9180</v>
      </c>
      <c r="B1670" s="1" t="s">
        <v>434</v>
      </c>
      <c r="D1670" s="1" t="s">
        <v>52</v>
      </c>
      <c r="E1670" s="1" t="s">
        <v>9181</v>
      </c>
      <c r="F1670" s="1" t="s">
        <v>95</v>
      </c>
      <c r="G1670" s="1" t="s">
        <v>9182</v>
      </c>
      <c r="H1670" s="1">
        <v>0</v>
      </c>
      <c r="I1670" s="1" t="s">
        <v>9183</v>
      </c>
      <c r="K1670" s="1" t="s">
        <v>9184</v>
      </c>
      <c r="M1670" s="1" t="s">
        <v>9185</v>
      </c>
      <c r="N1670" s="1">
        <v>0</v>
      </c>
      <c r="O1670" s="1">
        <v>0</v>
      </c>
      <c r="P1670" s="1" t="s">
        <v>100</v>
      </c>
      <c r="Q1670" s="1" t="s">
        <v>184</v>
      </c>
      <c r="R1670" s="1" t="s">
        <v>9186</v>
      </c>
      <c r="S1670" s="1" t="s">
        <v>9131</v>
      </c>
      <c r="T1670" s="1">
        <v>1</v>
      </c>
      <c r="U1670" s="1">
        <v>1</v>
      </c>
      <c r="V1670" s="1">
        <v>1</v>
      </c>
      <c r="W1670" s="1">
        <v>0</v>
      </c>
      <c r="X1670" s="1">
        <v>0</v>
      </c>
      <c r="Y1670" s="1" t="s">
        <v>104</v>
      </c>
      <c r="Z1670" s="1" t="s">
        <v>104</v>
      </c>
      <c r="AA1670" s="1">
        <v>2</v>
      </c>
      <c r="AB1670" s="1">
        <v>1</v>
      </c>
      <c r="AC1670" s="1">
        <v>1</v>
      </c>
      <c r="AD1670" s="1" t="s">
        <v>104</v>
      </c>
      <c r="AE1670" s="1">
        <v>1</v>
      </c>
      <c r="AF1670" s="1" t="s">
        <v>104</v>
      </c>
      <c r="AG1670" s="1" t="s">
        <v>104</v>
      </c>
      <c r="AH1670" s="1" t="s">
        <v>104</v>
      </c>
      <c r="AI1670" s="1">
        <v>1</v>
      </c>
      <c r="AJ1670" s="1">
        <v>2</v>
      </c>
      <c r="AK1670" s="1" t="s">
        <v>104</v>
      </c>
      <c r="AL1670" s="1">
        <v>1</v>
      </c>
      <c r="AM1670" s="1" t="s">
        <v>104</v>
      </c>
      <c r="AN1670" s="1" t="s">
        <v>9187</v>
      </c>
      <c r="AO1670" s="1">
        <v>2</v>
      </c>
      <c r="AR1670" s="1">
        <v>0</v>
      </c>
      <c r="AS1670" s="1">
        <v>0</v>
      </c>
      <c r="AT1670" s="1">
        <v>0</v>
      </c>
      <c r="AU1670" s="1">
        <v>0</v>
      </c>
      <c r="AV1670" s="1">
        <v>0</v>
      </c>
      <c r="AW1670" s="1">
        <v>0</v>
      </c>
      <c r="AX1670" s="1">
        <v>0</v>
      </c>
      <c r="AY1670" s="1">
        <v>0</v>
      </c>
      <c r="AZ1670" s="1">
        <v>0</v>
      </c>
      <c r="BA1670" s="1">
        <v>1</v>
      </c>
      <c r="BB1670" s="1">
        <v>0</v>
      </c>
      <c r="BC1670" s="1">
        <v>0</v>
      </c>
      <c r="BD1670" s="1">
        <v>0</v>
      </c>
      <c r="BE1670" s="1">
        <v>0</v>
      </c>
      <c r="BF1670" s="1">
        <v>0</v>
      </c>
      <c r="BG1670" s="1">
        <v>0</v>
      </c>
      <c r="BH1670" s="1">
        <v>0</v>
      </c>
      <c r="BI1670" s="1">
        <v>0</v>
      </c>
      <c r="BJ1670" s="1">
        <v>0</v>
      </c>
      <c r="BK1670" s="1">
        <v>0</v>
      </c>
      <c r="BL1670" s="1">
        <v>0</v>
      </c>
      <c r="BM1670" s="1">
        <v>0</v>
      </c>
      <c r="BN1670" s="1">
        <v>0</v>
      </c>
      <c r="BO1670" s="1">
        <v>0</v>
      </c>
      <c r="BP1670" s="1">
        <v>0</v>
      </c>
      <c r="BQ1670" s="1" t="s">
        <v>104</v>
      </c>
      <c r="BR1670" s="1">
        <v>1764</v>
      </c>
      <c r="BS1670" s="1" t="s">
        <v>104</v>
      </c>
      <c r="BX1670" s="1">
        <v>0</v>
      </c>
      <c r="BY1670" s="1" t="s">
        <v>104</v>
      </c>
      <c r="BZ1670" s="1" t="s">
        <v>104</v>
      </c>
      <c r="CA1670" s="1" t="s">
        <v>104</v>
      </c>
      <c r="CB1670" s="1" t="s">
        <v>104</v>
      </c>
      <c r="CC1670" s="1" t="s">
        <v>104</v>
      </c>
      <c r="CD1670" s="1" t="s">
        <v>104</v>
      </c>
      <c r="CE1670" s="1" t="s">
        <v>104</v>
      </c>
      <c r="CF1670" s="1" t="s">
        <v>104</v>
      </c>
      <c r="CG1670" s="1" t="s">
        <v>104</v>
      </c>
      <c r="CH1670" s="1">
        <v>1</v>
      </c>
      <c r="CJ1670" s="1">
        <v>0</v>
      </c>
      <c r="CK1670" s="1">
        <v>0</v>
      </c>
      <c r="CL1670" s="1">
        <v>0</v>
      </c>
      <c r="CM1670" s="1" t="s">
        <v>104</v>
      </c>
    </row>
    <row r="1671" spans="1:91" ht="14.25" customHeight="1" x14ac:dyDescent="0.3">
      <c r="A1671" s="1" t="s">
        <v>9188</v>
      </c>
      <c r="B1671" s="1" t="s">
        <v>216</v>
      </c>
      <c r="E1671" s="1" t="s">
        <v>9189</v>
      </c>
      <c r="F1671" s="1" t="s">
        <v>95</v>
      </c>
      <c r="G1671" s="1" t="s">
        <v>9190</v>
      </c>
      <c r="H1671" s="1">
        <v>0</v>
      </c>
      <c r="I1671" s="1" t="s">
        <v>157</v>
      </c>
      <c r="L1671" s="1" t="s">
        <v>158</v>
      </c>
      <c r="M1671" s="1" t="s">
        <v>2591</v>
      </c>
      <c r="N1671" s="1">
        <v>0</v>
      </c>
      <c r="O1671" s="1">
        <v>0</v>
      </c>
      <c r="R1671" s="1" t="s">
        <v>9191</v>
      </c>
      <c r="S1671" s="1" t="s">
        <v>9131</v>
      </c>
      <c r="T1671" s="1">
        <v>1</v>
      </c>
      <c r="U1671" s="1">
        <v>1</v>
      </c>
      <c r="V1671" s="1">
        <v>0</v>
      </c>
      <c r="W1671" s="1">
        <v>0</v>
      </c>
      <c r="X1671" s="1">
        <v>1</v>
      </c>
      <c r="Y1671" s="1">
        <v>2</v>
      </c>
      <c r="Z1671" s="1">
        <v>2</v>
      </c>
      <c r="AA1671" s="1">
        <v>2</v>
      </c>
      <c r="AB1671" s="1" t="s">
        <v>104</v>
      </c>
      <c r="AC1671" s="1" t="s">
        <v>104</v>
      </c>
      <c r="AD1671" s="1" t="s">
        <v>104</v>
      </c>
      <c r="AE1671" s="1" t="s">
        <v>104</v>
      </c>
      <c r="AF1671" s="1" t="s">
        <v>104</v>
      </c>
      <c r="AG1671" s="1" t="s">
        <v>104</v>
      </c>
      <c r="AH1671" s="1">
        <v>2</v>
      </c>
      <c r="AI1671" s="1">
        <v>2</v>
      </c>
      <c r="AJ1671" s="1">
        <v>2</v>
      </c>
      <c r="AK1671" s="1" t="s">
        <v>104</v>
      </c>
      <c r="AL1671" s="1">
        <v>2</v>
      </c>
      <c r="AM1671" s="1" t="s">
        <v>104</v>
      </c>
      <c r="AN1671" s="1" t="s">
        <v>9192</v>
      </c>
      <c r="AO1671" s="1">
        <v>2</v>
      </c>
      <c r="AR1671" s="1">
        <v>0</v>
      </c>
      <c r="AS1671" s="1">
        <v>0</v>
      </c>
      <c r="AT1671" s="1">
        <v>0</v>
      </c>
      <c r="AU1671" s="1">
        <v>0</v>
      </c>
      <c r="AV1671" s="1">
        <v>0</v>
      </c>
      <c r="AW1671" s="1">
        <v>0</v>
      </c>
      <c r="AX1671" s="1">
        <v>0</v>
      </c>
      <c r="AY1671" s="1">
        <v>0</v>
      </c>
      <c r="AZ1671" s="1">
        <v>0</v>
      </c>
      <c r="BA1671" s="1">
        <v>0</v>
      </c>
      <c r="BB1671" s="1">
        <v>0</v>
      </c>
      <c r="BC1671" s="1">
        <v>0</v>
      </c>
      <c r="BD1671" s="1">
        <v>0</v>
      </c>
      <c r="BE1671" s="1">
        <v>0</v>
      </c>
      <c r="BF1671" s="1">
        <v>0</v>
      </c>
      <c r="BG1671" s="1">
        <v>0</v>
      </c>
      <c r="BH1671" s="1">
        <v>0</v>
      </c>
      <c r="BI1671" s="1">
        <v>0</v>
      </c>
      <c r="BJ1671" s="1">
        <v>0</v>
      </c>
      <c r="BK1671" s="1">
        <v>0</v>
      </c>
      <c r="BL1671" s="1">
        <v>0</v>
      </c>
      <c r="BM1671" s="1">
        <v>0</v>
      </c>
      <c r="BN1671" s="1">
        <v>0</v>
      </c>
      <c r="BO1671" s="1">
        <v>0</v>
      </c>
      <c r="BP1671" s="1">
        <v>0</v>
      </c>
      <c r="BQ1671" s="1" t="s">
        <v>104</v>
      </c>
      <c r="BR1671" s="1">
        <v>1765</v>
      </c>
      <c r="BS1671" s="1" t="s">
        <v>104</v>
      </c>
      <c r="BX1671" s="1">
        <v>0</v>
      </c>
      <c r="BY1671" s="1" t="s">
        <v>104</v>
      </c>
      <c r="BZ1671" s="1" t="s">
        <v>104</v>
      </c>
      <c r="CA1671" s="1" t="s">
        <v>104</v>
      </c>
      <c r="CB1671" s="1" t="s">
        <v>104</v>
      </c>
      <c r="CC1671" s="1" t="s">
        <v>104</v>
      </c>
      <c r="CD1671" s="1" t="s">
        <v>104</v>
      </c>
      <c r="CE1671" s="1" t="s">
        <v>104</v>
      </c>
      <c r="CF1671" s="1" t="s">
        <v>104</v>
      </c>
      <c r="CG1671" s="1" t="s">
        <v>104</v>
      </c>
      <c r="CH1671" s="1" t="s">
        <v>104</v>
      </c>
      <c r="CJ1671" s="1">
        <v>0</v>
      </c>
      <c r="CK1671" s="1">
        <v>0</v>
      </c>
      <c r="CL1671" s="1">
        <v>0</v>
      </c>
      <c r="CM1671" s="1" t="s">
        <v>104</v>
      </c>
    </row>
    <row r="1672" spans="1:91" ht="14.25" customHeight="1" x14ac:dyDescent="0.3">
      <c r="A1672" s="1" t="s">
        <v>9193</v>
      </c>
      <c r="B1672" s="1" t="s">
        <v>92</v>
      </c>
      <c r="C1672" s="1" t="s">
        <v>93</v>
      </c>
      <c r="E1672" s="1" t="s">
        <v>9194</v>
      </c>
      <c r="F1672" s="1" t="s">
        <v>95</v>
      </c>
      <c r="G1672" s="1" t="s">
        <v>127</v>
      </c>
      <c r="H1672" s="1">
        <v>0</v>
      </c>
      <c r="I1672" s="1" t="s">
        <v>128</v>
      </c>
      <c r="L1672" s="1" t="s">
        <v>374</v>
      </c>
      <c r="M1672" s="1" t="s">
        <v>119</v>
      </c>
      <c r="N1672" s="1">
        <v>0</v>
      </c>
      <c r="O1672" s="1">
        <v>0</v>
      </c>
      <c r="P1672" s="1" t="s">
        <v>375</v>
      </c>
      <c r="Q1672" s="1" t="s">
        <v>131</v>
      </c>
      <c r="R1672" s="1" t="s">
        <v>9195</v>
      </c>
      <c r="S1672" s="1" t="s">
        <v>9131</v>
      </c>
      <c r="T1672" s="1">
        <v>1</v>
      </c>
      <c r="U1672" s="1">
        <v>1</v>
      </c>
      <c r="V1672" s="1">
        <v>0</v>
      </c>
      <c r="W1672" s="1">
        <v>0</v>
      </c>
      <c r="X1672" s="1">
        <v>1</v>
      </c>
      <c r="Y1672" s="1" t="s">
        <v>104</v>
      </c>
      <c r="Z1672" s="1" t="s">
        <v>104</v>
      </c>
      <c r="AA1672" s="1">
        <v>1</v>
      </c>
      <c r="AB1672" s="1">
        <v>1</v>
      </c>
      <c r="AC1672" s="1">
        <v>1</v>
      </c>
      <c r="AD1672" s="1" t="s">
        <v>104</v>
      </c>
      <c r="AE1672" s="1" t="s">
        <v>104</v>
      </c>
      <c r="AF1672" s="1" t="s">
        <v>104</v>
      </c>
      <c r="AG1672" s="1" t="s">
        <v>104</v>
      </c>
      <c r="AH1672" s="1" t="s">
        <v>104</v>
      </c>
      <c r="AI1672" s="1" t="s">
        <v>104</v>
      </c>
      <c r="AJ1672" s="1">
        <v>1</v>
      </c>
      <c r="AK1672" s="1" t="s">
        <v>104</v>
      </c>
      <c r="AL1672" s="1" t="s">
        <v>104</v>
      </c>
      <c r="AM1672" s="1" t="s">
        <v>104</v>
      </c>
      <c r="AN1672" s="1" t="s">
        <v>9147</v>
      </c>
      <c r="AO1672" s="1">
        <v>1</v>
      </c>
      <c r="AR1672" s="1">
        <v>0</v>
      </c>
      <c r="AS1672" s="1">
        <v>0</v>
      </c>
      <c r="AT1672" s="1">
        <v>0</v>
      </c>
      <c r="AU1672" s="1">
        <v>0</v>
      </c>
      <c r="AV1672" s="1">
        <v>0</v>
      </c>
      <c r="AW1672" s="1">
        <v>0</v>
      </c>
      <c r="AX1672" s="1">
        <v>0</v>
      </c>
      <c r="AY1672" s="1">
        <v>0</v>
      </c>
      <c r="AZ1672" s="1">
        <v>0</v>
      </c>
      <c r="BA1672" s="1">
        <v>0</v>
      </c>
      <c r="BB1672" s="1">
        <v>0</v>
      </c>
      <c r="BC1672" s="1">
        <v>0</v>
      </c>
      <c r="BD1672" s="1">
        <v>0</v>
      </c>
      <c r="BE1672" s="1">
        <v>0</v>
      </c>
      <c r="BF1672" s="1">
        <v>0</v>
      </c>
      <c r="BG1672" s="1">
        <v>0</v>
      </c>
      <c r="BH1672" s="1">
        <v>0</v>
      </c>
      <c r="BI1672" s="1">
        <v>0</v>
      </c>
      <c r="BJ1672" s="1">
        <v>0</v>
      </c>
      <c r="BK1672" s="1">
        <v>0</v>
      </c>
      <c r="BL1672" s="1">
        <v>0</v>
      </c>
      <c r="BM1672" s="1">
        <v>0</v>
      </c>
      <c r="BN1672" s="1">
        <v>0</v>
      </c>
      <c r="BO1672" s="1">
        <v>0</v>
      </c>
      <c r="BP1672" s="1">
        <v>0</v>
      </c>
      <c r="BQ1672" s="1" t="s">
        <v>104</v>
      </c>
      <c r="BR1672" s="1">
        <v>1766</v>
      </c>
      <c r="BS1672" s="1" t="s">
        <v>104</v>
      </c>
      <c r="BX1672" s="1">
        <v>0</v>
      </c>
      <c r="BY1672" s="1" t="s">
        <v>104</v>
      </c>
      <c r="BZ1672" s="1" t="s">
        <v>104</v>
      </c>
      <c r="CA1672" s="1" t="s">
        <v>104</v>
      </c>
      <c r="CB1672" s="1" t="s">
        <v>104</v>
      </c>
      <c r="CC1672" s="1" t="s">
        <v>104</v>
      </c>
      <c r="CD1672" s="1" t="s">
        <v>104</v>
      </c>
      <c r="CE1672" s="1" t="s">
        <v>104</v>
      </c>
      <c r="CF1672" s="1" t="s">
        <v>104</v>
      </c>
      <c r="CG1672" s="1" t="s">
        <v>104</v>
      </c>
      <c r="CH1672" s="1">
        <v>1</v>
      </c>
      <c r="CJ1672" s="1">
        <v>0</v>
      </c>
      <c r="CK1672" s="1">
        <v>0</v>
      </c>
      <c r="CL1672" s="1">
        <v>0</v>
      </c>
      <c r="CM1672" s="1" t="s">
        <v>104</v>
      </c>
    </row>
    <row r="1673" spans="1:91" ht="14.25" customHeight="1" x14ac:dyDescent="0.3">
      <c r="A1673" s="1" t="s">
        <v>9196</v>
      </c>
      <c r="B1673" s="1" t="s">
        <v>172</v>
      </c>
      <c r="E1673" s="1" t="s">
        <v>9197</v>
      </c>
      <c r="F1673" s="1" t="s">
        <v>95</v>
      </c>
      <c r="G1673" s="1" t="s">
        <v>127</v>
      </c>
      <c r="H1673" s="1">
        <v>0</v>
      </c>
      <c r="I1673" s="1" t="s">
        <v>117</v>
      </c>
      <c r="L1673" s="1" t="s">
        <v>637</v>
      </c>
      <c r="M1673" s="1" t="s">
        <v>6295</v>
      </c>
      <c r="N1673" s="1">
        <v>0</v>
      </c>
      <c r="O1673" s="1">
        <v>0</v>
      </c>
      <c r="P1673" s="1" t="s">
        <v>211</v>
      </c>
      <c r="Q1673" s="1" t="s">
        <v>184</v>
      </c>
      <c r="R1673" s="1" t="s">
        <v>9198</v>
      </c>
      <c r="S1673" s="1" t="s">
        <v>9131</v>
      </c>
      <c r="T1673" s="1">
        <v>1</v>
      </c>
      <c r="U1673" s="1">
        <v>1</v>
      </c>
      <c r="V1673" s="1">
        <v>0</v>
      </c>
      <c r="W1673" s="1">
        <v>0</v>
      </c>
      <c r="X1673" s="1">
        <v>1</v>
      </c>
      <c r="Y1673" s="1" t="s">
        <v>104</v>
      </c>
      <c r="Z1673" s="1" t="s">
        <v>104</v>
      </c>
      <c r="AA1673" s="1">
        <v>2</v>
      </c>
      <c r="AB1673" s="1" t="s">
        <v>104</v>
      </c>
      <c r="AC1673" s="1" t="s">
        <v>104</v>
      </c>
      <c r="AD1673" s="1" t="s">
        <v>104</v>
      </c>
      <c r="AE1673" s="1" t="s">
        <v>104</v>
      </c>
      <c r="AF1673" s="1" t="s">
        <v>104</v>
      </c>
      <c r="AG1673" s="1" t="s">
        <v>104</v>
      </c>
      <c r="AH1673" s="1">
        <v>1</v>
      </c>
      <c r="AI1673" s="1">
        <v>2</v>
      </c>
      <c r="AJ1673" s="1">
        <v>2</v>
      </c>
      <c r="AK1673" s="1" t="s">
        <v>104</v>
      </c>
      <c r="AL1673" s="1" t="s">
        <v>104</v>
      </c>
      <c r="AM1673" s="1" t="s">
        <v>104</v>
      </c>
      <c r="AN1673" s="1" t="s">
        <v>9192</v>
      </c>
      <c r="AO1673" s="1">
        <v>2</v>
      </c>
      <c r="AR1673" s="1">
        <v>0</v>
      </c>
      <c r="AS1673" s="1">
        <v>0</v>
      </c>
      <c r="AT1673" s="1">
        <v>0</v>
      </c>
      <c r="AU1673" s="1">
        <v>0</v>
      </c>
      <c r="AV1673" s="1">
        <v>0</v>
      </c>
      <c r="AW1673" s="1">
        <v>0</v>
      </c>
      <c r="AX1673" s="1">
        <v>0</v>
      </c>
      <c r="AY1673" s="1">
        <v>0</v>
      </c>
      <c r="AZ1673" s="1">
        <v>0</v>
      </c>
      <c r="BA1673" s="1">
        <v>0</v>
      </c>
      <c r="BB1673" s="1">
        <v>0</v>
      </c>
      <c r="BC1673" s="1">
        <v>0</v>
      </c>
      <c r="BD1673" s="1">
        <v>0</v>
      </c>
      <c r="BE1673" s="1">
        <v>0</v>
      </c>
      <c r="BF1673" s="1">
        <v>0</v>
      </c>
      <c r="BG1673" s="1">
        <v>0</v>
      </c>
      <c r="BH1673" s="1">
        <v>0</v>
      </c>
      <c r="BI1673" s="1">
        <v>0</v>
      </c>
      <c r="BJ1673" s="1">
        <v>0</v>
      </c>
      <c r="BK1673" s="1">
        <v>0</v>
      </c>
      <c r="BL1673" s="1">
        <v>0</v>
      </c>
      <c r="BM1673" s="1">
        <v>0</v>
      </c>
      <c r="BN1673" s="1">
        <v>0</v>
      </c>
      <c r="BO1673" s="1">
        <v>0</v>
      </c>
      <c r="BP1673" s="1">
        <v>0</v>
      </c>
      <c r="BQ1673" s="1" t="s">
        <v>104</v>
      </c>
      <c r="BR1673" s="1">
        <v>1767</v>
      </c>
      <c r="BS1673" s="1" t="s">
        <v>104</v>
      </c>
      <c r="BX1673" s="1">
        <v>0</v>
      </c>
      <c r="BY1673" s="1" t="s">
        <v>104</v>
      </c>
      <c r="BZ1673" s="1" t="s">
        <v>104</v>
      </c>
      <c r="CA1673" s="1" t="s">
        <v>104</v>
      </c>
      <c r="CB1673" s="1" t="s">
        <v>104</v>
      </c>
      <c r="CC1673" s="1" t="s">
        <v>104</v>
      </c>
      <c r="CD1673" s="1" t="s">
        <v>104</v>
      </c>
      <c r="CE1673" s="1" t="s">
        <v>104</v>
      </c>
      <c r="CF1673" s="1" t="s">
        <v>104</v>
      </c>
      <c r="CG1673" s="1" t="s">
        <v>104</v>
      </c>
      <c r="CH1673" s="1" t="s">
        <v>104</v>
      </c>
      <c r="CJ1673" s="1">
        <v>0</v>
      </c>
      <c r="CK1673" s="1">
        <v>0</v>
      </c>
      <c r="CL1673" s="1">
        <v>0</v>
      </c>
      <c r="CM1673" s="1" t="s">
        <v>104</v>
      </c>
    </row>
    <row r="1674" spans="1:91" ht="14.25" customHeight="1" x14ac:dyDescent="0.3">
      <c r="A1674" s="1" t="s">
        <v>9199</v>
      </c>
      <c r="B1674" s="1" t="s">
        <v>137</v>
      </c>
      <c r="E1674" s="1" t="s">
        <v>9200</v>
      </c>
      <c r="F1674" s="1" t="s">
        <v>255</v>
      </c>
      <c r="G1674" s="1" t="s">
        <v>116</v>
      </c>
      <c r="H1674" s="1">
        <v>0</v>
      </c>
      <c r="I1674" s="1" t="s">
        <v>128</v>
      </c>
      <c r="L1674" s="1" t="s">
        <v>9201</v>
      </c>
      <c r="M1674" s="1" t="s">
        <v>119</v>
      </c>
      <c r="N1674" s="1">
        <v>0</v>
      </c>
      <c r="O1674" s="1">
        <v>0</v>
      </c>
      <c r="P1674" s="1" t="s">
        <v>7424</v>
      </c>
      <c r="Q1674" s="1" t="s">
        <v>149</v>
      </c>
      <c r="R1674" s="1" t="s">
        <v>9202</v>
      </c>
      <c r="S1674" s="1" t="s">
        <v>9131</v>
      </c>
      <c r="T1674" s="1">
        <v>1</v>
      </c>
      <c r="U1674" s="1">
        <v>1</v>
      </c>
      <c r="V1674" s="1">
        <v>0</v>
      </c>
      <c r="W1674" s="1">
        <v>0</v>
      </c>
      <c r="X1674" s="1">
        <v>0</v>
      </c>
      <c r="Y1674" s="1" t="s">
        <v>104</v>
      </c>
      <c r="Z1674" s="1" t="s">
        <v>104</v>
      </c>
      <c r="AA1674" s="1">
        <v>1</v>
      </c>
      <c r="AB1674" s="1" t="s">
        <v>104</v>
      </c>
      <c r="AC1674" s="1" t="s">
        <v>104</v>
      </c>
      <c r="AD1674" s="1">
        <v>1</v>
      </c>
      <c r="AE1674" s="1">
        <v>1</v>
      </c>
      <c r="AF1674" s="1" t="s">
        <v>104</v>
      </c>
      <c r="AG1674" s="1" t="s">
        <v>104</v>
      </c>
      <c r="AH1674" s="1" t="s">
        <v>104</v>
      </c>
      <c r="AI1674" s="1" t="s">
        <v>104</v>
      </c>
      <c r="AJ1674" s="1">
        <v>1</v>
      </c>
      <c r="AK1674" s="1" t="s">
        <v>104</v>
      </c>
      <c r="AL1674" s="1" t="s">
        <v>104</v>
      </c>
      <c r="AM1674" s="1" t="s">
        <v>104</v>
      </c>
      <c r="AN1674" s="1" t="s">
        <v>9203</v>
      </c>
      <c r="AO1674" s="1">
        <v>1</v>
      </c>
      <c r="AR1674" s="1">
        <v>0</v>
      </c>
      <c r="AS1674" s="1">
        <v>0</v>
      </c>
      <c r="AT1674" s="1">
        <v>0</v>
      </c>
      <c r="AU1674" s="1">
        <v>0</v>
      </c>
      <c r="AV1674" s="1">
        <v>0</v>
      </c>
      <c r="AW1674" s="1">
        <v>0</v>
      </c>
      <c r="AX1674" s="1">
        <v>0</v>
      </c>
      <c r="AY1674" s="1">
        <v>0</v>
      </c>
      <c r="AZ1674" s="1">
        <v>0</v>
      </c>
      <c r="BA1674" s="1">
        <v>0</v>
      </c>
      <c r="BB1674" s="1">
        <v>0</v>
      </c>
      <c r="BC1674" s="1">
        <v>0</v>
      </c>
      <c r="BD1674" s="1">
        <v>0</v>
      </c>
      <c r="BE1674" s="1">
        <v>0</v>
      </c>
      <c r="BF1674" s="1">
        <v>0</v>
      </c>
      <c r="BG1674" s="1">
        <v>0</v>
      </c>
      <c r="BH1674" s="1">
        <v>0</v>
      </c>
      <c r="BI1674" s="1">
        <v>0</v>
      </c>
      <c r="BJ1674" s="1">
        <v>0</v>
      </c>
      <c r="BK1674" s="1">
        <v>0</v>
      </c>
      <c r="BL1674" s="1">
        <v>0</v>
      </c>
      <c r="BM1674" s="1">
        <v>0</v>
      </c>
      <c r="BN1674" s="1">
        <v>0</v>
      </c>
      <c r="BO1674" s="1">
        <v>0</v>
      </c>
      <c r="BP1674" s="1">
        <v>0</v>
      </c>
      <c r="BQ1674" s="1" t="s">
        <v>104</v>
      </c>
      <c r="BR1674" s="1">
        <v>1768</v>
      </c>
      <c r="BS1674" s="1" t="s">
        <v>104</v>
      </c>
      <c r="BX1674" s="1">
        <v>0</v>
      </c>
      <c r="BY1674" s="1" t="s">
        <v>104</v>
      </c>
      <c r="BZ1674" s="1" t="s">
        <v>104</v>
      </c>
      <c r="CA1674" s="1" t="s">
        <v>104</v>
      </c>
      <c r="CB1674" s="1" t="s">
        <v>104</v>
      </c>
      <c r="CC1674" s="1" t="s">
        <v>104</v>
      </c>
      <c r="CD1674" s="1" t="s">
        <v>104</v>
      </c>
      <c r="CE1674" s="1" t="s">
        <v>104</v>
      </c>
      <c r="CF1674" s="1" t="s">
        <v>104</v>
      </c>
      <c r="CG1674" s="1" t="s">
        <v>104</v>
      </c>
      <c r="CH1674" s="1" t="s">
        <v>104</v>
      </c>
      <c r="CJ1674" s="1">
        <v>0</v>
      </c>
      <c r="CK1674" s="1">
        <v>0</v>
      </c>
      <c r="CL1674" s="1">
        <v>0</v>
      </c>
      <c r="CM1674" s="1" t="s">
        <v>104</v>
      </c>
    </row>
    <row r="1675" spans="1:91" ht="14.25" customHeight="1" x14ac:dyDescent="0.3">
      <c r="A1675" s="1" t="s">
        <v>9204</v>
      </c>
      <c r="B1675" s="1" t="s">
        <v>137</v>
      </c>
      <c r="C1675" s="1" t="s">
        <v>154</v>
      </c>
      <c r="E1675" s="1" t="s">
        <v>9205</v>
      </c>
      <c r="F1675" s="1" t="s">
        <v>95</v>
      </c>
      <c r="G1675" s="1" t="s">
        <v>116</v>
      </c>
      <c r="H1675" s="1">
        <v>0</v>
      </c>
      <c r="I1675" s="1" t="s">
        <v>128</v>
      </c>
      <c r="L1675" s="1" t="s">
        <v>374</v>
      </c>
      <c r="M1675" s="1" t="s">
        <v>2330</v>
      </c>
      <c r="N1675" s="1">
        <v>0</v>
      </c>
      <c r="O1675" s="1">
        <v>0</v>
      </c>
      <c r="P1675" s="1" t="s">
        <v>1058</v>
      </c>
      <c r="Q1675" s="1" t="s">
        <v>131</v>
      </c>
      <c r="R1675" s="1" t="s">
        <v>9206</v>
      </c>
      <c r="S1675" s="1" t="s">
        <v>9131</v>
      </c>
      <c r="T1675" s="1">
        <v>1</v>
      </c>
      <c r="U1675" s="1">
        <v>1</v>
      </c>
      <c r="V1675" s="1">
        <v>0</v>
      </c>
      <c r="W1675" s="1">
        <v>0</v>
      </c>
      <c r="X1675" s="1">
        <v>0</v>
      </c>
      <c r="Y1675" s="1">
        <v>1</v>
      </c>
      <c r="Z1675" s="1">
        <v>1</v>
      </c>
      <c r="AA1675" s="1">
        <v>1</v>
      </c>
      <c r="AB1675" s="1">
        <v>1</v>
      </c>
      <c r="AC1675" s="1" t="s">
        <v>104</v>
      </c>
      <c r="AD1675" s="1" t="s">
        <v>104</v>
      </c>
      <c r="AE1675" s="1" t="s">
        <v>104</v>
      </c>
      <c r="AF1675" s="1" t="s">
        <v>104</v>
      </c>
      <c r="AG1675" s="1" t="s">
        <v>104</v>
      </c>
      <c r="AH1675" s="1" t="s">
        <v>104</v>
      </c>
      <c r="AI1675" s="1" t="s">
        <v>104</v>
      </c>
      <c r="AJ1675" s="1">
        <v>1</v>
      </c>
      <c r="AK1675" s="1">
        <v>1</v>
      </c>
      <c r="AL1675" s="1" t="s">
        <v>104</v>
      </c>
      <c r="AM1675" s="1">
        <v>1</v>
      </c>
      <c r="AN1675" s="1" t="s">
        <v>9157</v>
      </c>
      <c r="AO1675" s="1">
        <v>1</v>
      </c>
      <c r="AR1675" s="1">
        <v>0</v>
      </c>
      <c r="AS1675" s="1">
        <v>0</v>
      </c>
      <c r="AT1675" s="1">
        <v>0</v>
      </c>
      <c r="AU1675" s="1">
        <v>0</v>
      </c>
      <c r="AV1675" s="1">
        <v>0</v>
      </c>
      <c r="AW1675" s="1">
        <v>0</v>
      </c>
      <c r="AX1675" s="1">
        <v>0</v>
      </c>
      <c r="AY1675" s="1">
        <v>0</v>
      </c>
      <c r="AZ1675" s="1">
        <v>0</v>
      </c>
      <c r="BA1675" s="1">
        <v>0</v>
      </c>
      <c r="BB1675" s="1">
        <v>0</v>
      </c>
      <c r="BC1675" s="1">
        <v>0</v>
      </c>
      <c r="BD1675" s="1">
        <v>0</v>
      </c>
      <c r="BE1675" s="1">
        <v>0</v>
      </c>
      <c r="BF1675" s="1">
        <v>0</v>
      </c>
      <c r="BG1675" s="1">
        <v>0</v>
      </c>
      <c r="BH1675" s="1">
        <v>0</v>
      </c>
      <c r="BI1675" s="1">
        <v>0</v>
      </c>
      <c r="BJ1675" s="1">
        <v>0</v>
      </c>
      <c r="BK1675" s="1">
        <v>0</v>
      </c>
      <c r="BL1675" s="1">
        <v>0</v>
      </c>
      <c r="BM1675" s="1">
        <v>0</v>
      </c>
      <c r="BN1675" s="1">
        <v>0</v>
      </c>
      <c r="BO1675" s="1">
        <v>0</v>
      </c>
      <c r="BP1675" s="1">
        <v>0</v>
      </c>
      <c r="BQ1675" s="1" t="s">
        <v>104</v>
      </c>
      <c r="BR1675" s="1">
        <v>1769</v>
      </c>
      <c r="BS1675" s="1" t="s">
        <v>104</v>
      </c>
      <c r="BX1675" s="1">
        <v>0</v>
      </c>
      <c r="BY1675" s="1" t="s">
        <v>104</v>
      </c>
      <c r="BZ1675" s="1" t="s">
        <v>104</v>
      </c>
      <c r="CA1675" s="1" t="s">
        <v>104</v>
      </c>
      <c r="CB1675" s="1" t="s">
        <v>104</v>
      </c>
      <c r="CC1675" s="1" t="s">
        <v>104</v>
      </c>
      <c r="CD1675" s="1" t="s">
        <v>104</v>
      </c>
      <c r="CE1675" s="1" t="s">
        <v>104</v>
      </c>
      <c r="CF1675" s="1" t="s">
        <v>104</v>
      </c>
      <c r="CG1675" s="1" t="s">
        <v>104</v>
      </c>
      <c r="CH1675" s="1">
        <v>1</v>
      </c>
      <c r="CJ1675" s="1">
        <v>0</v>
      </c>
      <c r="CK1675" s="1">
        <v>0</v>
      </c>
      <c r="CL1675" s="1">
        <v>0</v>
      </c>
      <c r="CM1675" s="1" t="s">
        <v>104</v>
      </c>
    </row>
    <row r="1676" spans="1:91" ht="14.25" customHeight="1" x14ac:dyDescent="0.3">
      <c r="A1676" s="1" t="s">
        <v>9207</v>
      </c>
      <c r="B1676" s="1" t="s">
        <v>123</v>
      </c>
      <c r="C1676" s="1" t="s">
        <v>124</v>
      </c>
      <c r="D1676" s="1" t="s">
        <v>125</v>
      </c>
      <c r="E1676" s="1" t="s">
        <v>9208</v>
      </c>
      <c r="F1676" s="1" t="s">
        <v>255</v>
      </c>
      <c r="G1676" s="1" t="s">
        <v>127</v>
      </c>
      <c r="H1676" s="1">
        <v>0</v>
      </c>
      <c r="I1676" s="1" t="s">
        <v>117</v>
      </c>
      <c r="L1676" s="1" t="s">
        <v>9209</v>
      </c>
      <c r="M1676" s="1" t="s">
        <v>2330</v>
      </c>
      <c r="N1676" s="1">
        <v>0</v>
      </c>
      <c r="O1676" s="1">
        <v>0</v>
      </c>
      <c r="P1676" s="1" t="s">
        <v>211</v>
      </c>
      <c r="Q1676" s="1" t="s">
        <v>184</v>
      </c>
      <c r="R1676" s="1" t="s">
        <v>9210</v>
      </c>
      <c r="S1676" s="1" t="s">
        <v>9131</v>
      </c>
      <c r="T1676" s="1">
        <v>1</v>
      </c>
      <c r="U1676" s="1">
        <v>1</v>
      </c>
      <c r="V1676" s="1">
        <v>0</v>
      </c>
      <c r="W1676" s="1">
        <v>0</v>
      </c>
      <c r="X1676" s="1">
        <v>1</v>
      </c>
      <c r="Y1676" s="1" t="s">
        <v>104</v>
      </c>
      <c r="Z1676" s="1" t="s">
        <v>104</v>
      </c>
      <c r="AA1676" s="1">
        <v>1</v>
      </c>
      <c r="AB1676" s="1" t="s">
        <v>104</v>
      </c>
      <c r="AC1676" s="1" t="s">
        <v>104</v>
      </c>
      <c r="AD1676" s="1" t="s">
        <v>104</v>
      </c>
      <c r="AE1676" s="1">
        <v>2</v>
      </c>
      <c r="AF1676" s="1" t="s">
        <v>104</v>
      </c>
      <c r="AG1676" s="1" t="s">
        <v>104</v>
      </c>
      <c r="AH1676" s="1" t="s">
        <v>104</v>
      </c>
      <c r="AI1676" s="1">
        <v>2</v>
      </c>
      <c r="AJ1676" s="1">
        <v>1</v>
      </c>
      <c r="AK1676" s="1" t="s">
        <v>104</v>
      </c>
      <c r="AL1676" s="1" t="s">
        <v>104</v>
      </c>
      <c r="AM1676" s="1" t="s">
        <v>104</v>
      </c>
      <c r="AN1676" s="1" t="s">
        <v>9132</v>
      </c>
      <c r="AO1676" s="1">
        <v>1</v>
      </c>
      <c r="AR1676" s="1">
        <v>0</v>
      </c>
      <c r="AS1676" s="1">
        <v>0</v>
      </c>
      <c r="AT1676" s="1">
        <v>0</v>
      </c>
      <c r="AU1676" s="1">
        <v>0</v>
      </c>
      <c r="AV1676" s="1">
        <v>0</v>
      </c>
      <c r="AW1676" s="1">
        <v>0</v>
      </c>
      <c r="AX1676" s="1">
        <v>0</v>
      </c>
      <c r="AY1676" s="1">
        <v>0</v>
      </c>
      <c r="AZ1676" s="1">
        <v>0</v>
      </c>
      <c r="BA1676" s="1">
        <v>0</v>
      </c>
      <c r="BB1676" s="1">
        <v>0</v>
      </c>
      <c r="BC1676" s="1">
        <v>0</v>
      </c>
      <c r="BD1676" s="1">
        <v>0</v>
      </c>
      <c r="BE1676" s="1">
        <v>0</v>
      </c>
      <c r="BF1676" s="1">
        <v>0</v>
      </c>
      <c r="BG1676" s="1">
        <v>0</v>
      </c>
      <c r="BH1676" s="1">
        <v>0</v>
      </c>
      <c r="BI1676" s="1">
        <v>0</v>
      </c>
      <c r="BJ1676" s="1">
        <v>0</v>
      </c>
      <c r="BK1676" s="1">
        <v>1</v>
      </c>
      <c r="BL1676" s="1">
        <v>0</v>
      </c>
      <c r="BM1676" s="1">
        <v>0</v>
      </c>
      <c r="BN1676" s="1">
        <v>0</v>
      </c>
      <c r="BO1676" s="1">
        <v>0</v>
      </c>
      <c r="BP1676" s="1">
        <v>0</v>
      </c>
      <c r="BQ1676" s="1" t="s">
        <v>104</v>
      </c>
      <c r="BR1676" s="1">
        <v>1770</v>
      </c>
      <c r="BS1676" s="1" t="s">
        <v>104</v>
      </c>
      <c r="BX1676" s="1">
        <v>0</v>
      </c>
      <c r="BY1676" s="1" t="s">
        <v>104</v>
      </c>
      <c r="BZ1676" s="1" t="s">
        <v>104</v>
      </c>
      <c r="CA1676" s="1" t="s">
        <v>104</v>
      </c>
      <c r="CB1676" s="1" t="s">
        <v>104</v>
      </c>
      <c r="CC1676" s="1" t="s">
        <v>104</v>
      </c>
      <c r="CD1676" s="1" t="s">
        <v>104</v>
      </c>
      <c r="CE1676" s="1" t="s">
        <v>104</v>
      </c>
      <c r="CF1676" s="1" t="s">
        <v>104</v>
      </c>
      <c r="CG1676" s="1" t="s">
        <v>104</v>
      </c>
      <c r="CH1676" s="1" t="s">
        <v>104</v>
      </c>
      <c r="CJ1676" s="1">
        <v>0</v>
      </c>
      <c r="CK1676" s="1">
        <v>0</v>
      </c>
      <c r="CL1676" s="1">
        <v>0</v>
      </c>
      <c r="CM1676" s="1" t="s">
        <v>104</v>
      </c>
    </row>
    <row r="1677" spans="1:91" ht="14.25" customHeight="1" x14ac:dyDescent="0.3">
      <c r="A1677" s="1" t="s">
        <v>9211</v>
      </c>
      <c r="B1677" s="1" t="s">
        <v>162</v>
      </c>
      <c r="E1677" s="1" t="s">
        <v>9212</v>
      </c>
      <c r="F1677" s="1" t="s">
        <v>95</v>
      </c>
      <c r="G1677" s="1" t="s">
        <v>127</v>
      </c>
      <c r="H1677" s="1">
        <v>0</v>
      </c>
      <c r="I1677" s="1" t="s">
        <v>157</v>
      </c>
      <c r="L1677" s="1" t="s">
        <v>158</v>
      </c>
      <c r="M1677" s="1" t="s">
        <v>9213</v>
      </c>
      <c r="N1677" s="1">
        <v>0</v>
      </c>
      <c r="O1677" s="1">
        <v>0</v>
      </c>
      <c r="R1677" s="1" t="s">
        <v>9214</v>
      </c>
      <c r="S1677" s="1" t="s">
        <v>9131</v>
      </c>
      <c r="T1677" s="1">
        <v>1</v>
      </c>
      <c r="U1677" s="1">
        <v>1</v>
      </c>
      <c r="V1677" s="1">
        <v>0</v>
      </c>
      <c r="W1677" s="1">
        <v>0</v>
      </c>
      <c r="X1677" s="1">
        <v>1</v>
      </c>
      <c r="Y1677" s="1" t="s">
        <v>104</v>
      </c>
      <c r="Z1677" s="1" t="s">
        <v>104</v>
      </c>
      <c r="AA1677" s="1">
        <v>1</v>
      </c>
      <c r="AB1677" s="1" t="s">
        <v>104</v>
      </c>
      <c r="AC1677" s="1" t="s">
        <v>104</v>
      </c>
      <c r="AD1677" s="1" t="s">
        <v>104</v>
      </c>
      <c r="AE1677" s="1">
        <v>1</v>
      </c>
      <c r="AF1677" s="1" t="s">
        <v>104</v>
      </c>
      <c r="AG1677" s="1" t="s">
        <v>104</v>
      </c>
      <c r="AH1677" s="1" t="s">
        <v>104</v>
      </c>
      <c r="AI1677" s="1">
        <v>1</v>
      </c>
      <c r="AJ1677" s="1">
        <v>1</v>
      </c>
      <c r="AK1677" s="1" t="s">
        <v>104</v>
      </c>
      <c r="AL1677" s="1">
        <v>1</v>
      </c>
      <c r="AM1677" s="1" t="s">
        <v>104</v>
      </c>
      <c r="AN1677" s="1" t="s">
        <v>8496</v>
      </c>
      <c r="AO1677" s="1">
        <v>1</v>
      </c>
      <c r="AR1677" s="1">
        <v>0</v>
      </c>
      <c r="AS1677" s="1">
        <v>0</v>
      </c>
      <c r="AT1677" s="1">
        <v>0</v>
      </c>
      <c r="AU1677" s="1">
        <v>0</v>
      </c>
      <c r="AV1677" s="1">
        <v>0</v>
      </c>
      <c r="AW1677" s="1">
        <v>0</v>
      </c>
      <c r="AX1677" s="1">
        <v>0</v>
      </c>
      <c r="AY1677" s="1">
        <v>0</v>
      </c>
      <c r="AZ1677" s="1">
        <v>0</v>
      </c>
      <c r="BA1677" s="1">
        <v>0</v>
      </c>
      <c r="BB1677" s="1">
        <v>0</v>
      </c>
      <c r="BC1677" s="1">
        <v>0</v>
      </c>
      <c r="BD1677" s="1">
        <v>0</v>
      </c>
      <c r="BE1677" s="1">
        <v>0</v>
      </c>
      <c r="BF1677" s="1">
        <v>0</v>
      </c>
      <c r="BG1677" s="1">
        <v>0</v>
      </c>
      <c r="BH1677" s="1">
        <v>0</v>
      </c>
      <c r="BI1677" s="1">
        <v>0</v>
      </c>
      <c r="BJ1677" s="1">
        <v>0</v>
      </c>
      <c r="BK1677" s="1">
        <v>0</v>
      </c>
      <c r="BL1677" s="1">
        <v>0</v>
      </c>
      <c r="BM1677" s="1">
        <v>0</v>
      </c>
      <c r="BN1677" s="1">
        <v>0</v>
      </c>
      <c r="BO1677" s="1">
        <v>0</v>
      </c>
      <c r="BP1677" s="1">
        <v>0</v>
      </c>
      <c r="BQ1677" s="1" t="s">
        <v>104</v>
      </c>
      <c r="BR1677" s="1">
        <v>1771</v>
      </c>
      <c r="BS1677" s="1" t="s">
        <v>104</v>
      </c>
      <c r="BX1677" s="1">
        <v>0</v>
      </c>
      <c r="BY1677" s="1" t="s">
        <v>104</v>
      </c>
      <c r="BZ1677" s="1" t="s">
        <v>104</v>
      </c>
      <c r="CA1677" s="1" t="s">
        <v>104</v>
      </c>
      <c r="CB1677" s="1" t="s">
        <v>104</v>
      </c>
      <c r="CC1677" s="1" t="s">
        <v>104</v>
      </c>
      <c r="CD1677" s="1" t="s">
        <v>104</v>
      </c>
      <c r="CE1677" s="1" t="s">
        <v>104</v>
      </c>
      <c r="CF1677" s="1" t="s">
        <v>104</v>
      </c>
      <c r="CG1677" s="1" t="s">
        <v>104</v>
      </c>
      <c r="CH1677" s="1" t="s">
        <v>104</v>
      </c>
      <c r="CJ1677" s="1">
        <v>0</v>
      </c>
      <c r="CK1677" s="1">
        <v>0</v>
      </c>
      <c r="CL1677" s="1">
        <v>0</v>
      </c>
      <c r="CM1677" s="1" t="s">
        <v>104</v>
      </c>
    </row>
    <row r="1678" spans="1:91" ht="14.25" customHeight="1" x14ac:dyDescent="0.3">
      <c r="A1678" s="1" t="s">
        <v>9215</v>
      </c>
      <c r="B1678" s="1" t="s">
        <v>123</v>
      </c>
      <c r="C1678" s="1" t="s">
        <v>124</v>
      </c>
      <c r="D1678" s="1" t="s">
        <v>125</v>
      </c>
      <c r="E1678" s="1" t="s">
        <v>9216</v>
      </c>
      <c r="F1678" s="1" t="s">
        <v>255</v>
      </c>
      <c r="G1678" s="1" t="s">
        <v>9217</v>
      </c>
      <c r="H1678" s="1">
        <v>1</v>
      </c>
      <c r="I1678" s="1" t="s">
        <v>117</v>
      </c>
      <c r="L1678" s="1" t="s">
        <v>417</v>
      </c>
      <c r="M1678" s="1" t="s">
        <v>2486</v>
      </c>
      <c r="N1678" s="1">
        <v>0</v>
      </c>
      <c r="O1678" s="1">
        <v>0</v>
      </c>
      <c r="P1678" s="1" t="s">
        <v>211</v>
      </c>
      <c r="Q1678" s="1" t="s">
        <v>184</v>
      </c>
      <c r="R1678" s="1" t="s">
        <v>9218</v>
      </c>
      <c r="S1678" s="1" t="s">
        <v>9131</v>
      </c>
      <c r="T1678" s="1">
        <v>1</v>
      </c>
      <c r="U1678" s="1">
        <v>1</v>
      </c>
      <c r="V1678" s="1">
        <v>1</v>
      </c>
      <c r="W1678" s="1">
        <v>0</v>
      </c>
      <c r="X1678" s="1">
        <v>0</v>
      </c>
      <c r="Y1678" s="1" t="s">
        <v>104</v>
      </c>
      <c r="Z1678" s="1" t="s">
        <v>104</v>
      </c>
      <c r="AA1678" s="1">
        <v>3</v>
      </c>
      <c r="AB1678" s="1" t="s">
        <v>104</v>
      </c>
      <c r="AC1678" s="1" t="s">
        <v>104</v>
      </c>
      <c r="AD1678" s="1">
        <v>3</v>
      </c>
      <c r="AE1678" s="1" t="s">
        <v>104</v>
      </c>
      <c r="AF1678" s="1" t="s">
        <v>104</v>
      </c>
      <c r="AG1678" s="1" t="s">
        <v>104</v>
      </c>
      <c r="AH1678" s="1" t="s">
        <v>104</v>
      </c>
      <c r="AI1678" s="1">
        <v>3</v>
      </c>
      <c r="AJ1678" s="1">
        <v>3</v>
      </c>
      <c r="AK1678" s="1" t="s">
        <v>104</v>
      </c>
      <c r="AL1678" s="1" t="s">
        <v>104</v>
      </c>
      <c r="AM1678" s="1" t="s">
        <v>104</v>
      </c>
      <c r="AN1678" s="1" t="s">
        <v>9219</v>
      </c>
      <c r="AO1678" s="1">
        <v>3</v>
      </c>
      <c r="AR1678" s="1">
        <v>0</v>
      </c>
      <c r="AS1678" s="1">
        <v>0</v>
      </c>
      <c r="AT1678" s="1">
        <v>0</v>
      </c>
      <c r="AU1678" s="1">
        <v>0</v>
      </c>
      <c r="AV1678" s="1">
        <v>0</v>
      </c>
      <c r="AW1678" s="1">
        <v>0</v>
      </c>
      <c r="AX1678" s="1">
        <v>0</v>
      </c>
      <c r="AY1678" s="1">
        <v>0</v>
      </c>
      <c r="AZ1678" s="1">
        <v>0</v>
      </c>
      <c r="BA1678" s="1">
        <v>0</v>
      </c>
      <c r="BB1678" s="1">
        <v>0</v>
      </c>
      <c r="BC1678" s="1">
        <v>0</v>
      </c>
      <c r="BD1678" s="1">
        <v>0</v>
      </c>
      <c r="BE1678" s="1">
        <v>0</v>
      </c>
      <c r="BF1678" s="1">
        <v>0</v>
      </c>
      <c r="BG1678" s="1">
        <v>0</v>
      </c>
      <c r="BH1678" s="1">
        <v>0</v>
      </c>
      <c r="BI1678" s="1">
        <v>0</v>
      </c>
      <c r="BJ1678" s="1">
        <v>0</v>
      </c>
      <c r="BK1678" s="1">
        <v>1</v>
      </c>
      <c r="BL1678" s="1">
        <v>0</v>
      </c>
      <c r="BM1678" s="1">
        <v>0</v>
      </c>
      <c r="BN1678" s="1">
        <v>0</v>
      </c>
      <c r="BO1678" s="1">
        <v>0</v>
      </c>
      <c r="BP1678" s="1">
        <v>0</v>
      </c>
      <c r="BQ1678" s="1" t="s">
        <v>104</v>
      </c>
      <c r="BR1678" s="1">
        <v>1772</v>
      </c>
      <c r="BS1678" s="1">
        <v>100</v>
      </c>
      <c r="BX1678" s="1">
        <v>0</v>
      </c>
      <c r="BY1678" s="1" t="s">
        <v>104</v>
      </c>
      <c r="BZ1678" s="1" t="s">
        <v>104</v>
      </c>
      <c r="CA1678" s="1" t="s">
        <v>104</v>
      </c>
      <c r="CB1678" s="1" t="s">
        <v>104</v>
      </c>
      <c r="CC1678" s="1" t="s">
        <v>104</v>
      </c>
      <c r="CD1678" s="1" t="s">
        <v>104</v>
      </c>
      <c r="CE1678" s="1" t="s">
        <v>104</v>
      </c>
      <c r="CF1678" s="1" t="s">
        <v>104</v>
      </c>
      <c r="CG1678" s="1" t="s">
        <v>104</v>
      </c>
      <c r="CH1678" s="1" t="s">
        <v>104</v>
      </c>
      <c r="CJ1678" s="1">
        <v>0</v>
      </c>
      <c r="CK1678" s="1">
        <v>0</v>
      </c>
      <c r="CL1678" s="1">
        <v>0</v>
      </c>
      <c r="CM1678" s="1" t="s">
        <v>104</v>
      </c>
    </row>
    <row r="1679" spans="1:91" ht="14.25" customHeight="1" x14ac:dyDescent="0.3">
      <c r="A1679" s="1" t="s">
        <v>9220</v>
      </c>
      <c r="B1679" s="1" t="s">
        <v>162</v>
      </c>
      <c r="E1679" s="1" t="s">
        <v>9221</v>
      </c>
      <c r="F1679" s="1" t="s">
        <v>95</v>
      </c>
      <c r="G1679" s="1" t="s">
        <v>127</v>
      </c>
      <c r="H1679" s="1">
        <v>0</v>
      </c>
      <c r="I1679" s="1" t="s">
        <v>157</v>
      </c>
      <c r="L1679" s="1" t="s">
        <v>158</v>
      </c>
      <c r="M1679" s="1" t="s">
        <v>2330</v>
      </c>
      <c r="N1679" s="1">
        <v>0</v>
      </c>
      <c r="O1679" s="1">
        <v>0</v>
      </c>
      <c r="P1679" s="1" t="s">
        <v>1568</v>
      </c>
      <c r="Q1679" s="1" t="s">
        <v>3284</v>
      </c>
      <c r="R1679" s="1" t="s">
        <v>9222</v>
      </c>
      <c r="S1679" s="1" t="s">
        <v>9131</v>
      </c>
      <c r="T1679" s="1">
        <v>1</v>
      </c>
      <c r="U1679" s="1">
        <v>1</v>
      </c>
      <c r="V1679" s="1">
        <v>0</v>
      </c>
      <c r="W1679" s="1">
        <v>0</v>
      </c>
      <c r="X1679" s="1">
        <v>1</v>
      </c>
      <c r="Y1679" s="1" t="s">
        <v>104</v>
      </c>
      <c r="Z1679" s="1" t="s">
        <v>104</v>
      </c>
      <c r="AA1679" s="1">
        <v>1</v>
      </c>
      <c r="AB1679" s="1">
        <v>1</v>
      </c>
      <c r="AC1679" s="1" t="s">
        <v>104</v>
      </c>
      <c r="AD1679" s="1" t="s">
        <v>104</v>
      </c>
      <c r="AE1679" s="1">
        <v>1</v>
      </c>
      <c r="AF1679" s="1">
        <v>1</v>
      </c>
      <c r="AG1679" s="1" t="s">
        <v>104</v>
      </c>
      <c r="AH1679" s="1" t="s">
        <v>104</v>
      </c>
      <c r="AI1679" s="1" t="s">
        <v>104</v>
      </c>
      <c r="AJ1679" s="1">
        <v>1</v>
      </c>
      <c r="AK1679" s="1" t="s">
        <v>104</v>
      </c>
      <c r="AL1679" s="1" t="s">
        <v>104</v>
      </c>
      <c r="AM1679" s="1" t="s">
        <v>104</v>
      </c>
      <c r="AN1679" s="1" t="s">
        <v>8496</v>
      </c>
      <c r="AO1679" s="1">
        <v>1</v>
      </c>
      <c r="AR1679" s="1">
        <v>0</v>
      </c>
      <c r="AS1679" s="1">
        <v>0</v>
      </c>
      <c r="AT1679" s="1">
        <v>0</v>
      </c>
      <c r="AU1679" s="1">
        <v>0</v>
      </c>
      <c r="AV1679" s="1">
        <v>0</v>
      </c>
      <c r="AW1679" s="1">
        <v>0</v>
      </c>
      <c r="AX1679" s="1">
        <v>0</v>
      </c>
      <c r="AY1679" s="1">
        <v>0</v>
      </c>
      <c r="AZ1679" s="1">
        <v>0</v>
      </c>
      <c r="BA1679" s="1">
        <v>0</v>
      </c>
      <c r="BB1679" s="1">
        <v>0</v>
      </c>
      <c r="BC1679" s="1">
        <v>0</v>
      </c>
      <c r="BD1679" s="1">
        <v>0</v>
      </c>
      <c r="BE1679" s="1">
        <v>0</v>
      </c>
      <c r="BF1679" s="1">
        <v>0</v>
      </c>
      <c r="BG1679" s="1">
        <v>0</v>
      </c>
      <c r="BH1679" s="1">
        <v>0</v>
      </c>
      <c r="BI1679" s="1">
        <v>0</v>
      </c>
      <c r="BJ1679" s="1">
        <v>0</v>
      </c>
      <c r="BK1679" s="1">
        <v>0</v>
      </c>
      <c r="BL1679" s="1">
        <v>0</v>
      </c>
      <c r="BM1679" s="1">
        <v>0</v>
      </c>
      <c r="BN1679" s="1">
        <v>0</v>
      </c>
      <c r="BO1679" s="1">
        <v>0</v>
      </c>
      <c r="BP1679" s="1">
        <v>0</v>
      </c>
      <c r="BQ1679" s="1" t="s">
        <v>104</v>
      </c>
      <c r="BR1679" s="1">
        <v>1773</v>
      </c>
      <c r="BS1679" s="1" t="s">
        <v>104</v>
      </c>
      <c r="BX1679" s="1">
        <v>0</v>
      </c>
      <c r="BY1679" s="1" t="s">
        <v>104</v>
      </c>
      <c r="BZ1679" s="1" t="s">
        <v>104</v>
      </c>
      <c r="CA1679" s="1" t="s">
        <v>104</v>
      </c>
      <c r="CB1679" s="1" t="s">
        <v>104</v>
      </c>
      <c r="CC1679" s="1" t="s">
        <v>104</v>
      </c>
      <c r="CD1679" s="1" t="s">
        <v>104</v>
      </c>
      <c r="CE1679" s="1" t="s">
        <v>104</v>
      </c>
      <c r="CF1679" s="1" t="s">
        <v>104</v>
      </c>
      <c r="CG1679" s="1" t="s">
        <v>104</v>
      </c>
      <c r="CH1679" s="1">
        <v>1</v>
      </c>
      <c r="CJ1679" s="1">
        <v>0</v>
      </c>
      <c r="CK1679" s="1">
        <v>0</v>
      </c>
      <c r="CL1679" s="1">
        <v>0</v>
      </c>
      <c r="CM1679" s="1" t="s">
        <v>104</v>
      </c>
    </row>
    <row r="1680" spans="1:91" ht="14.25" customHeight="1" x14ac:dyDescent="0.3">
      <c r="A1680" s="1" t="s">
        <v>9223</v>
      </c>
      <c r="B1680" s="1" t="s">
        <v>137</v>
      </c>
      <c r="E1680" s="1" t="s">
        <v>7117</v>
      </c>
      <c r="F1680" s="1" t="s">
        <v>4934</v>
      </c>
      <c r="G1680" s="1" t="s">
        <v>116</v>
      </c>
      <c r="H1680" s="1">
        <v>0</v>
      </c>
      <c r="I1680" s="1" t="s">
        <v>157</v>
      </c>
      <c r="L1680" s="1" t="s">
        <v>158</v>
      </c>
      <c r="M1680" s="1" t="s">
        <v>119</v>
      </c>
      <c r="N1680" s="1">
        <v>0</v>
      </c>
      <c r="O1680" s="1">
        <v>0</v>
      </c>
      <c r="R1680" s="1" t="s">
        <v>9224</v>
      </c>
      <c r="S1680" s="1" t="s">
        <v>9131</v>
      </c>
      <c r="T1680" s="1">
        <v>1</v>
      </c>
      <c r="U1680" s="1">
        <v>1</v>
      </c>
      <c r="V1680" s="1">
        <v>0</v>
      </c>
      <c r="W1680" s="1">
        <v>0</v>
      </c>
      <c r="X1680" s="1">
        <v>0</v>
      </c>
      <c r="Y1680" s="1">
        <v>3</v>
      </c>
      <c r="Z1680" s="1">
        <v>3</v>
      </c>
      <c r="AA1680" s="1">
        <v>3</v>
      </c>
      <c r="AB1680" s="1" t="s">
        <v>104</v>
      </c>
      <c r="AC1680" s="1" t="s">
        <v>104</v>
      </c>
      <c r="AD1680" s="1">
        <v>3</v>
      </c>
      <c r="AE1680" s="1" t="s">
        <v>104</v>
      </c>
      <c r="AF1680" s="1" t="s">
        <v>104</v>
      </c>
      <c r="AG1680" s="1" t="s">
        <v>104</v>
      </c>
      <c r="AH1680" s="1" t="s">
        <v>104</v>
      </c>
      <c r="AI1680" s="1" t="s">
        <v>104</v>
      </c>
      <c r="AJ1680" s="1">
        <v>3</v>
      </c>
      <c r="AK1680" s="1" t="s">
        <v>104</v>
      </c>
      <c r="AL1680" s="1" t="s">
        <v>104</v>
      </c>
      <c r="AM1680" s="1" t="s">
        <v>104</v>
      </c>
      <c r="AN1680" s="1" t="s">
        <v>9176</v>
      </c>
      <c r="AO1680" s="1">
        <v>3</v>
      </c>
      <c r="AR1680" s="1">
        <v>0</v>
      </c>
      <c r="AS1680" s="1">
        <v>0</v>
      </c>
      <c r="AT1680" s="1">
        <v>0</v>
      </c>
      <c r="AU1680" s="1">
        <v>0</v>
      </c>
      <c r="AV1680" s="1">
        <v>0</v>
      </c>
      <c r="AW1680" s="1">
        <v>0</v>
      </c>
      <c r="AX1680" s="1">
        <v>0</v>
      </c>
      <c r="AY1680" s="1">
        <v>0</v>
      </c>
      <c r="AZ1680" s="1">
        <v>0</v>
      </c>
      <c r="BA1680" s="1">
        <v>0</v>
      </c>
      <c r="BB1680" s="1">
        <v>0</v>
      </c>
      <c r="BC1680" s="1">
        <v>0</v>
      </c>
      <c r="BD1680" s="1">
        <v>0</v>
      </c>
      <c r="BE1680" s="1">
        <v>0</v>
      </c>
      <c r="BF1680" s="1">
        <v>0</v>
      </c>
      <c r="BG1680" s="1">
        <v>0</v>
      </c>
      <c r="BH1680" s="1">
        <v>0</v>
      </c>
      <c r="BI1680" s="1">
        <v>0</v>
      </c>
      <c r="BJ1680" s="1">
        <v>0</v>
      </c>
      <c r="BK1680" s="1">
        <v>0</v>
      </c>
      <c r="BL1680" s="1">
        <v>0</v>
      </c>
      <c r="BM1680" s="1">
        <v>0</v>
      </c>
      <c r="BN1680" s="1">
        <v>0</v>
      </c>
      <c r="BO1680" s="1">
        <v>0</v>
      </c>
      <c r="BP1680" s="1">
        <v>0</v>
      </c>
      <c r="BQ1680" s="1" t="s">
        <v>104</v>
      </c>
      <c r="BR1680" s="1">
        <v>1774</v>
      </c>
      <c r="BS1680" s="1" t="s">
        <v>104</v>
      </c>
      <c r="BX1680" s="1">
        <v>0</v>
      </c>
      <c r="BY1680" s="1" t="s">
        <v>104</v>
      </c>
      <c r="BZ1680" s="1" t="s">
        <v>104</v>
      </c>
      <c r="CA1680" s="1" t="s">
        <v>104</v>
      </c>
      <c r="CB1680" s="1" t="s">
        <v>104</v>
      </c>
      <c r="CC1680" s="1" t="s">
        <v>104</v>
      </c>
      <c r="CD1680" s="1" t="s">
        <v>104</v>
      </c>
      <c r="CE1680" s="1" t="s">
        <v>104</v>
      </c>
      <c r="CF1680" s="1" t="s">
        <v>104</v>
      </c>
      <c r="CG1680" s="1" t="s">
        <v>104</v>
      </c>
      <c r="CH1680" s="1" t="s">
        <v>104</v>
      </c>
      <c r="CJ1680" s="1">
        <v>0</v>
      </c>
      <c r="CK1680" s="1">
        <v>0</v>
      </c>
      <c r="CL1680" s="1">
        <v>0</v>
      </c>
      <c r="CM1680" s="1" t="s">
        <v>104</v>
      </c>
    </row>
    <row r="1681" spans="1:91" ht="14.25" customHeight="1" x14ac:dyDescent="0.3">
      <c r="A1681" s="1" t="s">
        <v>9225</v>
      </c>
      <c r="B1681" s="1" t="s">
        <v>92</v>
      </c>
      <c r="C1681" s="1" t="s">
        <v>1160</v>
      </c>
      <c r="E1681" s="1" t="s">
        <v>9226</v>
      </c>
      <c r="F1681" s="1" t="s">
        <v>95</v>
      </c>
      <c r="G1681" s="1" t="s">
        <v>9227</v>
      </c>
      <c r="H1681" s="1">
        <v>0</v>
      </c>
      <c r="I1681" s="1" t="s">
        <v>117</v>
      </c>
      <c r="L1681" s="1" t="s">
        <v>1065</v>
      </c>
      <c r="M1681" s="1" t="s">
        <v>119</v>
      </c>
      <c r="N1681" s="1">
        <v>0</v>
      </c>
      <c r="O1681" s="1">
        <v>0</v>
      </c>
      <c r="P1681" s="1" t="s">
        <v>375</v>
      </c>
      <c r="Q1681" s="1" t="s">
        <v>131</v>
      </c>
      <c r="R1681" s="1" t="s">
        <v>9228</v>
      </c>
      <c r="S1681" s="1" t="s">
        <v>9131</v>
      </c>
      <c r="T1681" s="1">
        <v>1</v>
      </c>
      <c r="U1681" s="1">
        <v>1</v>
      </c>
      <c r="V1681" s="1">
        <v>1</v>
      </c>
      <c r="W1681" s="1">
        <v>0</v>
      </c>
      <c r="X1681" s="1">
        <v>1</v>
      </c>
      <c r="Y1681" s="1">
        <v>4</v>
      </c>
      <c r="Z1681" s="1">
        <v>4</v>
      </c>
      <c r="AA1681" s="1">
        <v>5</v>
      </c>
      <c r="AB1681" s="1" t="s">
        <v>104</v>
      </c>
      <c r="AC1681" s="1" t="s">
        <v>104</v>
      </c>
      <c r="AD1681" s="1">
        <v>5</v>
      </c>
      <c r="AE1681" s="1" t="s">
        <v>104</v>
      </c>
      <c r="AF1681" s="1" t="s">
        <v>104</v>
      </c>
      <c r="AG1681" s="1" t="s">
        <v>104</v>
      </c>
      <c r="AH1681" s="1" t="s">
        <v>104</v>
      </c>
      <c r="AI1681" s="1">
        <v>5</v>
      </c>
      <c r="AJ1681" s="1">
        <v>5</v>
      </c>
      <c r="AK1681" s="1" t="s">
        <v>104</v>
      </c>
      <c r="AL1681" s="1" t="s">
        <v>104</v>
      </c>
      <c r="AM1681" s="1" t="s">
        <v>104</v>
      </c>
      <c r="AN1681" s="1" t="s">
        <v>9203</v>
      </c>
      <c r="AO1681" s="1">
        <v>4</v>
      </c>
      <c r="AR1681" s="1">
        <v>0</v>
      </c>
      <c r="AS1681" s="1">
        <v>0</v>
      </c>
      <c r="AT1681" s="1">
        <v>0</v>
      </c>
      <c r="AU1681" s="1">
        <v>0</v>
      </c>
      <c r="AV1681" s="1">
        <v>0</v>
      </c>
      <c r="AW1681" s="1">
        <v>0</v>
      </c>
      <c r="AX1681" s="1">
        <v>0</v>
      </c>
      <c r="AY1681" s="1">
        <v>0</v>
      </c>
      <c r="AZ1681" s="1">
        <v>0</v>
      </c>
      <c r="BA1681" s="1">
        <v>0</v>
      </c>
      <c r="BB1681" s="1">
        <v>0</v>
      </c>
      <c r="BC1681" s="1">
        <v>0</v>
      </c>
      <c r="BD1681" s="1">
        <v>0</v>
      </c>
      <c r="BE1681" s="1">
        <v>0</v>
      </c>
      <c r="BF1681" s="1">
        <v>0</v>
      </c>
      <c r="BG1681" s="1">
        <v>0</v>
      </c>
      <c r="BH1681" s="1">
        <v>0</v>
      </c>
      <c r="BI1681" s="1">
        <v>0</v>
      </c>
      <c r="BJ1681" s="1">
        <v>0</v>
      </c>
      <c r="BK1681" s="1">
        <v>0</v>
      </c>
      <c r="BL1681" s="1">
        <v>0</v>
      </c>
      <c r="BM1681" s="1">
        <v>0</v>
      </c>
      <c r="BN1681" s="1">
        <v>0</v>
      </c>
      <c r="BO1681" s="1">
        <v>0</v>
      </c>
      <c r="BP1681" s="1">
        <v>0</v>
      </c>
      <c r="BQ1681" s="1" t="s">
        <v>104</v>
      </c>
      <c r="BR1681" s="1">
        <v>1775</v>
      </c>
      <c r="BS1681" s="1" t="s">
        <v>104</v>
      </c>
      <c r="BX1681" s="1">
        <v>0</v>
      </c>
      <c r="BY1681" s="1" t="s">
        <v>104</v>
      </c>
      <c r="BZ1681" s="1" t="s">
        <v>104</v>
      </c>
      <c r="CA1681" s="1" t="s">
        <v>104</v>
      </c>
      <c r="CB1681" s="1" t="s">
        <v>104</v>
      </c>
      <c r="CC1681" s="1" t="s">
        <v>104</v>
      </c>
      <c r="CD1681" s="1" t="s">
        <v>104</v>
      </c>
      <c r="CE1681" s="1" t="s">
        <v>104</v>
      </c>
      <c r="CF1681" s="1" t="s">
        <v>104</v>
      </c>
      <c r="CG1681" s="1" t="s">
        <v>104</v>
      </c>
      <c r="CH1681" s="1" t="s">
        <v>104</v>
      </c>
      <c r="CJ1681" s="1">
        <v>0</v>
      </c>
      <c r="CK1681" s="1">
        <v>0</v>
      </c>
      <c r="CL1681" s="1">
        <v>0</v>
      </c>
      <c r="CM1681" s="1" t="s">
        <v>104</v>
      </c>
    </row>
    <row r="1682" spans="1:91" ht="14.25" customHeight="1" x14ac:dyDescent="0.3">
      <c r="A1682" s="1" t="s">
        <v>9229</v>
      </c>
      <c r="B1682" s="1" t="s">
        <v>216</v>
      </c>
      <c r="D1682" s="1" t="s">
        <v>9230</v>
      </c>
      <c r="E1682" s="1" t="s">
        <v>9231</v>
      </c>
      <c r="F1682" s="1" t="s">
        <v>95</v>
      </c>
      <c r="G1682" s="1" t="s">
        <v>116</v>
      </c>
      <c r="H1682" s="1">
        <v>0</v>
      </c>
      <c r="I1682" s="1" t="s">
        <v>117</v>
      </c>
      <c r="L1682" s="1" t="s">
        <v>637</v>
      </c>
      <c r="M1682" s="1" t="s">
        <v>6947</v>
      </c>
      <c r="N1682" s="1">
        <v>0</v>
      </c>
      <c r="O1682" s="1">
        <v>0</v>
      </c>
      <c r="P1682" s="1" t="s">
        <v>418</v>
      </c>
      <c r="Q1682" s="1" t="s">
        <v>184</v>
      </c>
      <c r="R1682" s="1" t="s">
        <v>9232</v>
      </c>
      <c r="S1682" s="1" t="s">
        <v>9131</v>
      </c>
      <c r="T1682" s="1">
        <v>1</v>
      </c>
      <c r="U1682" s="1">
        <v>1</v>
      </c>
      <c r="V1682" s="1">
        <v>0</v>
      </c>
      <c r="W1682" s="1">
        <v>0</v>
      </c>
      <c r="X1682" s="1">
        <v>0</v>
      </c>
      <c r="Y1682" s="1">
        <v>2</v>
      </c>
      <c r="Z1682" s="1">
        <v>2</v>
      </c>
      <c r="AA1682" s="1">
        <v>2</v>
      </c>
      <c r="AB1682" s="1" t="s">
        <v>104</v>
      </c>
      <c r="AC1682" s="1" t="s">
        <v>104</v>
      </c>
      <c r="AD1682" s="1" t="s">
        <v>104</v>
      </c>
      <c r="AE1682" s="1" t="s">
        <v>104</v>
      </c>
      <c r="AF1682" s="1" t="s">
        <v>104</v>
      </c>
      <c r="AG1682" s="1" t="s">
        <v>104</v>
      </c>
      <c r="AH1682" s="1">
        <v>2</v>
      </c>
      <c r="AI1682" s="1" t="s">
        <v>104</v>
      </c>
      <c r="AJ1682" s="1">
        <v>2</v>
      </c>
      <c r="AK1682" s="1">
        <v>2</v>
      </c>
      <c r="AL1682" s="1" t="s">
        <v>104</v>
      </c>
      <c r="AM1682" s="1" t="s">
        <v>104</v>
      </c>
      <c r="AN1682" s="1" t="s">
        <v>8007</v>
      </c>
      <c r="AO1682" s="1">
        <v>2</v>
      </c>
      <c r="AR1682" s="1">
        <v>0</v>
      </c>
      <c r="AS1682" s="1">
        <v>0</v>
      </c>
      <c r="AT1682" s="1">
        <v>0</v>
      </c>
      <c r="AU1682" s="1">
        <v>0</v>
      </c>
      <c r="AV1682" s="1">
        <v>0</v>
      </c>
      <c r="AW1682" s="1">
        <v>0</v>
      </c>
      <c r="AX1682" s="1">
        <v>0</v>
      </c>
      <c r="AY1682" s="1">
        <v>0</v>
      </c>
      <c r="AZ1682" s="1">
        <v>0</v>
      </c>
      <c r="BA1682" s="1">
        <v>0</v>
      </c>
      <c r="BB1682" s="1">
        <v>0</v>
      </c>
      <c r="BC1682" s="1">
        <v>1</v>
      </c>
      <c r="BD1682" s="1">
        <v>0</v>
      </c>
      <c r="BE1682" s="1">
        <v>0</v>
      </c>
      <c r="BF1682" s="1">
        <v>0</v>
      </c>
      <c r="BG1682" s="1">
        <v>0</v>
      </c>
      <c r="BH1682" s="1">
        <v>0</v>
      </c>
      <c r="BI1682" s="1">
        <v>0</v>
      </c>
      <c r="BJ1682" s="1">
        <v>0</v>
      </c>
      <c r="BK1682" s="1">
        <v>1</v>
      </c>
      <c r="BL1682" s="1">
        <v>0</v>
      </c>
      <c r="BM1682" s="1">
        <v>0</v>
      </c>
      <c r="BN1682" s="1">
        <v>0</v>
      </c>
      <c r="BO1682" s="1">
        <v>0</v>
      </c>
      <c r="BP1682" s="1">
        <v>0</v>
      </c>
      <c r="BQ1682" s="1" t="s">
        <v>104</v>
      </c>
      <c r="BR1682" s="1">
        <v>1776</v>
      </c>
      <c r="BS1682" s="1" t="s">
        <v>104</v>
      </c>
      <c r="BX1682" s="1">
        <v>0</v>
      </c>
      <c r="BY1682" s="1" t="s">
        <v>104</v>
      </c>
      <c r="BZ1682" s="1" t="s">
        <v>104</v>
      </c>
      <c r="CA1682" s="1" t="s">
        <v>104</v>
      </c>
      <c r="CB1682" s="1" t="s">
        <v>104</v>
      </c>
      <c r="CC1682" s="1" t="s">
        <v>104</v>
      </c>
      <c r="CD1682" s="1" t="s">
        <v>104</v>
      </c>
      <c r="CE1682" s="1" t="s">
        <v>104</v>
      </c>
      <c r="CF1682" s="1" t="s">
        <v>104</v>
      </c>
      <c r="CG1682" s="1" t="s">
        <v>104</v>
      </c>
      <c r="CH1682" s="1" t="s">
        <v>104</v>
      </c>
      <c r="CJ1682" s="1">
        <v>0</v>
      </c>
      <c r="CK1682" s="1">
        <v>0</v>
      </c>
      <c r="CL1682" s="1">
        <v>0</v>
      </c>
      <c r="CM1682" s="1" t="s">
        <v>104</v>
      </c>
    </row>
    <row r="1683" spans="1:91" ht="14.25" customHeight="1" x14ac:dyDescent="0.3">
      <c r="A1683" s="1" t="s">
        <v>9233</v>
      </c>
      <c r="B1683" s="1" t="s">
        <v>434</v>
      </c>
      <c r="D1683" s="1" t="s">
        <v>52</v>
      </c>
      <c r="E1683" s="1" t="s">
        <v>9234</v>
      </c>
      <c r="F1683" s="1" t="s">
        <v>95</v>
      </c>
      <c r="G1683" s="1" t="s">
        <v>127</v>
      </c>
      <c r="H1683" s="1">
        <v>0</v>
      </c>
      <c r="I1683" s="1" t="s">
        <v>705</v>
      </c>
      <c r="K1683" s="1" t="s">
        <v>9235</v>
      </c>
      <c r="M1683" s="1" t="s">
        <v>4641</v>
      </c>
      <c r="N1683" s="1">
        <v>1</v>
      </c>
      <c r="O1683" s="1">
        <v>0</v>
      </c>
      <c r="P1683" s="1" t="s">
        <v>100</v>
      </c>
      <c r="Q1683" s="1" t="s">
        <v>184</v>
      </c>
      <c r="R1683" s="1" t="s">
        <v>9236</v>
      </c>
      <c r="S1683" s="1" t="s">
        <v>9131</v>
      </c>
      <c r="T1683" s="1">
        <v>1</v>
      </c>
      <c r="U1683" s="1">
        <v>1</v>
      </c>
      <c r="V1683" s="1">
        <v>0</v>
      </c>
      <c r="W1683" s="1">
        <v>0</v>
      </c>
      <c r="X1683" s="1">
        <v>1</v>
      </c>
      <c r="Y1683" s="1" t="s">
        <v>104</v>
      </c>
      <c r="Z1683" s="1" t="s">
        <v>104</v>
      </c>
      <c r="AA1683" s="1">
        <v>2</v>
      </c>
      <c r="AB1683" s="1">
        <v>2</v>
      </c>
      <c r="AC1683" s="1" t="s">
        <v>104</v>
      </c>
      <c r="AD1683" s="1" t="s">
        <v>104</v>
      </c>
      <c r="AE1683" s="1" t="s">
        <v>104</v>
      </c>
      <c r="AF1683" s="1" t="s">
        <v>104</v>
      </c>
      <c r="AG1683" s="1" t="s">
        <v>104</v>
      </c>
      <c r="AH1683" s="1">
        <v>2</v>
      </c>
      <c r="AI1683" s="1" t="s">
        <v>104</v>
      </c>
      <c r="AJ1683" s="1">
        <v>2</v>
      </c>
      <c r="AK1683" s="1" t="s">
        <v>104</v>
      </c>
      <c r="AL1683" s="1" t="s">
        <v>104</v>
      </c>
      <c r="AM1683" s="1" t="s">
        <v>104</v>
      </c>
      <c r="AN1683" s="1" t="s">
        <v>9237</v>
      </c>
      <c r="AO1683" s="1">
        <v>2</v>
      </c>
      <c r="AR1683" s="1">
        <v>0</v>
      </c>
      <c r="AS1683" s="1">
        <v>0</v>
      </c>
      <c r="AT1683" s="1">
        <v>0</v>
      </c>
      <c r="AU1683" s="1">
        <v>0</v>
      </c>
      <c r="AV1683" s="1">
        <v>0</v>
      </c>
      <c r="AW1683" s="1">
        <v>0</v>
      </c>
      <c r="AX1683" s="1">
        <v>0</v>
      </c>
      <c r="AY1683" s="1">
        <v>0</v>
      </c>
      <c r="AZ1683" s="1">
        <v>0</v>
      </c>
      <c r="BA1683" s="1">
        <v>1</v>
      </c>
      <c r="BB1683" s="1">
        <v>0</v>
      </c>
      <c r="BC1683" s="1">
        <v>0</v>
      </c>
      <c r="BD1683" s="1">
        <v>0</v>
      </c>
      <c r="BE1683" s="1">
        <v>0</v>
      </c>
      <c r="BF1683" s="1">
        <v>0</v>
      </c>
      <c r="BG1683" s="1">
        <v>0</v>
      </c>
      <c r="BH1683" s="1">
        <v>0</v>
      </c>
      <c r="BI1683" s="1">
        <v>0</v>
      </c>
      <c r="BJ1683" s="1">
        <v>0</v>
      </c>
      <c r="BK1683" s="1">
        <v>0</v>
      </c>
      <c r="BL1683" s="1">
        <v>0</v>
      </c>
      <c r="BM1683" s="1">
        <v>0</v>
      </c>
      <c r="BN1683" s="1">
        <v>0</v>
      </c>
      <c r="BO1683" s="1">
        <v>0</v>
      </c>
      <c r="BP1683" s="1">
        <v>0</v>
      </c>
      <c r="BQ1683" s="1" t="s">
        <v>104</v>
      </c>
      <c r="BR1683" s="1">
        <v>1777</v>
      </c>
      <c r="BS1683" s="1" t="s">
        <v>104</v>
      </c>
      <c r="BX1683" s="1">
        <v>0</v>
      </c>
      <c r="BY1683" s="1" t="s">
        <v>104</v>
      </c>
      <c r="BZ1683" s="1" t="s">
        <v>104</v>
      </c>
      <c r="CA1683" s="1" t="s">
        <v>104</v>
      </c>
      <c r="CB1683" s="1" t="s">
        <v>104</v>
      </c>
      <c r="CC1683" s="1" t="s">
        <v>104</v>
      </c>
      <c r="CD1683" s="1" t="s">
        <v>104</v>
      </c>
      <c r="CE1683" s="1" t="s">
        <v>104</v>
      </c>
      <c r="CF1683" s="1" t="s">
        <v>104</v>
      </c>
      <c r="CG1683" s="1" t="s">
        <v>104</v>
      </c>
      <c r="CH1683" s="1">
        <v>2</v>
      </c>
      <c r="CJ1683" s="1">
        <v>0</v>
      </c>
      <c r="CK1683" s="1">
        <v>0</v>
      </c>
      <c r="CL1683" s="1">
        <v>0</v>
      </c>
      <c r="CM1683" s="1" t="s">
        <v>104</v>
      </c>
    </row>
    <row r="1684" spans="1:91" ht="14.25" customHeight="1" x14ac:dyDescent="0.3">
      <c r="A1684" s="1" t="s">
        <v>9238</v>
      </c>
      <c r="B1684" s="1" t="s">
        <v>137</v>
      </c>
      <c r="D1684" s="1" t="s">
        <v>51</v>
      </c>
      <c r="E1684" s="1" t="s">
        <v>9239</v>
      </c>
      <c r="F1684" s="1" t="s">
        <v>95</v>
      </c>
      <c r="G1684" s="1" t="s">
        <v>9240</v>
      </c>
      <c r="H1684" s="1">
        <v>0</v>
      </c>
      <c r="I1684" s="1" t="s">
        <v>128</v>
      </c>
      <c r="L1684" s="1" t="s">
        <v>9241</v>
      </c>
      <c r="M1684" s="1" t="s">
        <v>111</v>
      </c>
      <c r="N1684" s="1">
        <v>0</v>
      </c>
      <c r="O1684" s="1">
        <v>0</v>
      </c>
      <c r="P1684" s="1" t="s">
        <v>4401</v>
      </c>
      <c r="Q1684" s="1" t="s">
        <v>472</v>
      </c>
      <c r="R1684" s="1" t="s">
        <v>9242</v>
      </c>
      <c r="S1684" s="1" t="s">
        <v>9131</v>
      </c>
      <c r="T1684" s="1">
        <v>1</v>
      </c>
      <c r="U1684" s="1">
        <v>1</v>
      </c>
      <c r="V1684" s="1">
        <v>1</v>
      </c>
      <c r="W1684" s="1">
        <v>0</v>
      </c>
      <c r="X1684" s="1">
        <v>0</v>
      </c>
      <c r="Y1684" s="1" t="s">
        <v>104</v>
      </c>
      <c r="Z1684" s="1" t="s">
        <v>104</v>
      </c>
      <c r="AA1684" s="1">
        <v>1</v>
      </c>
      <c r="AB1684" s="1">
        <v>1</v>
      </c>
      <c r="AC1684" s="1" t="s">
        <v>104</v>
      </c>
      <c r="AD1684" s="1" t="s">
        <v>104</v>
      </c>
      <c r="AE1684" s="1" t="s">
        <v>104</v>
      </c>
      <c r="AF1684" s="1" t="s">
        <v>104</v>
      </c>
      <c r="AG1684" s="1" t="s">
        <v>104</v>
      </c>
      <c r="AH1684" s="1">
        <v>1</v>
      </c>
      <c r="AI1684" s="1" t="s">
        <v>104</v>
      </c>
      <c r="AJ1684" s="1">
        <v>1</v>
      </c>
      <c r="AK1684" s="1" t="s">
        <v>104</v>
      </c>
      <c r="AL1684" s="1" t="s">
        <v>104</v>
      </c>
      <c r="AM1684" s="1" t="s">
        <v>104</v>
      </c>
      <c r="AN1684" s="1" t="s">
        <v>8496</v>
      </c>
      <c r="AO1684" s="1">
        <v>1</v>
      </c>
      <c r="AR1684" s="1">
        <v>0</v>
      </c>
      <c r="AS1684" s="1">
        <v>0</v>
      </c>
      <c r="AT1684" s="1">
        <v>0</v>
      </c>
      <c r="AU1684" s="1">
        <v>0</v>
      </c>
      <c r="AV1684" s="1">
        <v>0</v>
      </c>
      <c r="AW1684" s="1">
        <v>0</v>
      </c>
      <c r="AX1684" s="1">
        <v>0</v>
      </c>
      <c r="AY1684" s="1">
        <v>0</v>
      </c>
      <c r="AZ1684" s="1">
        <v>1</v>
      </c>
      <c r="BA1684" s="1">
        <v>0</v>
      </c>
      <c r="BB1684" s="1">
        <v>0</v>
      </c>
      <c r="BC1684" s="1">
        <v>0</v>
      </c>
      <c r="BD1684" s="1">
        <v>0</v>
      </c>
      <c r="BE1684" s="1">
        <v>0</v>
      </c>
      <c r="BF1684" s="1">
        <v>0</v>
      </c>
      <c r="BG1684" s="1">
        <v>0</v>
      </c>
      <c r="BH1684" s="1">
        <v>0</v>
      </c>
      <c r="BI1684" s="1">
        <v>0</v>
      </c>
      <c r="BJ1684" s="1">
        <v>0</v>
      </c>
      <c r="BK1684" s="1">
        <v>0</v>
      </c>
      <c r="BL1684" s="1">
        <v>0</v>
      </c>
      <c r="BM1684" s="1">
        <v>0</v>
      </c>
      <c r="BN1684" s="1">
        <v>0</v>
      </c>
      <c r="BO1684" s="1">
        <v>0</v>
      </c>
      <c r="BP1684" s="1">
        <v>0</v>
      </c>
      <c r="BQ1684" s="1" t="s">
        <v>104</v>
      </c>
      <c r="BR1684" s="1">
        <v>1778</v>
      </c>
      <c r="BS1684" s="1" t="s">
        <v>104</v>
      </c>
      <c r="BX1684" s="1">
        <v>0</v>
      </c>
      <c r="BY1684" s="1" t="s">
        <v>104</v>
      </c>
      <c r="BZ1684" s="1" t="s">
        <v>104</v>
      </c>
      <c r="CA1684" s="1" t="s">
        <v>104</v>
      </c>
      <c r="CB1684" s="1" t="s">
        <v>104</v>
      </c>
      <c r="CC1684" s="1" t="s">
        <v>104</v>
      </c>
      <c r="CD1684" s="1" t="s">
        <v>104</v>
      </c>
      <c r="CE1684" s="1" t="s">
        <v>104</v>
      </c>
      <c r="CF1684" s="1" t="s">
        <v>104</v>
      </c>
      <c r="CG1684" s="1" t="s">
        <v>104</v>
      </c>
      <c r="CH1684" s="1">
        <v>1</v>
      </c>
      <c r="CJ1684" s="1">
        <v>0</v>
      </c>
      <c r="CK1684" s="1">
        <v>0</v>
      </c>
      <c r="CL1684" s="1">
        <v>0</v>
      </c>
      <c r="CM1684" s="1" t="s">
        <v>104</v>
      </c>
    </row>
    <row r="1685" spans="1:91" ht="14.25" customHeight="1" x14ac:dyDescent="0.3">
      <c r="A1685" s="1" t="s">
        <v>9243</v>
      </c>
      <c r="B1685" s="1" t="s">
        <v>137</v>
      </c>
      <c r="E1685" s="1" t="s">
        <v>9244</v>
      </c>
      <c r="F1685" s="1" t="s">
        <v>95</v>
      </c>
      <c r="G1685" s="1" t="s">
        <v>9245</v>
      </c>
      <c r="H1685" s="1">
        <v>1</v>
      </c>
      <c r="J1685" s="1" t="s">
        <v>4508</v>
      </c>
      <c r="M1685" s="1" t="s">
        <v>119</v>
      </c>
      <c r="N1685" s="1">
        <v>0</v>
      </c>
      <c r="O1685" s="1">
        <v>0</v>
      </c>
      <c r="P1685" s="1" t="s">
        <v>1058</v>
      </c>
      <c r="Q1685" s="1" t="s">
        <v>131</v>
      </c>
      <c r="R1685" s="1" t="s">
        <v>9246</v>
      </c>
      <c r="S1685" s="1" t="s">
        <v>9131</v>
      </c>
      <c r="T1685" s="1">
        <v>1</v>
      </c>
      <c r="U1685" s="1">
        <v>1</v>
      </c>
      <c r="V1685" s="1">
        <v>0</v>
      </c>
      <c r="W1685" s="1">
        <v>0</v>
      </c>
      <c r="X1685" s="1">
        <v>1</v>
      </c>
      <c r="Y1685" s="1">
        <v>5</v>
      </c>
      <c r="Z1685" s="1">
        <v>5</v>
      </c>
      <c r="AA1685" s="1">
        <v>6</v>
      </c>
      <c r="AB1685" s="1" t="s">
        <v>104</v>
      </c>
      <c r="AC1685" s="1" t="s">
        <v>104</v>
      </c>
      <c r="AD1685" s="1" t="s">
        <v>104</v>
      </c>
      <c r="AE1685" s="1" t="s">
        <v>104</v>
      </c>
      <c r="AF1685" s="1" t="s">
        <v>104</v>
      </c>
      <c r="AG1685" s="1">
        <v>5</v>
      </c>
      <c r="AH1685" s="1" t="s">
        <v>104</v>
      </c>
      <c r="AI1685" s="1" t="s">
        <v>104</v>
      </c>
      <c r="AJ1685" s="1">
        <v>6</v>
      </c>
      <c r="AK1685" s="1" t="s">
        <v>104</v>
      </c>
      <c r="AL1685" s="1" t="s">
        <v>104</v>
      </c>
      <c r="AM1685" s="1" t="s">
        <v>104</v>
      </c>
      <c r="AN1685" s="1" t="s">
        <v>8496</v>
      </c>
      <c r="AO1685" s="1">
        <v>5</v>
      </c>
      <c r="AR1685" s="1">
        <v>0</v>
      </c>
      <c r="AS1685" s="1">
        <v>0</v>
      </c>
      <c r="AT1685" s="1">
        <v>0</v>
      </c>
      <c r="AU1685" s="1">
        <v>0</v>
      </c>
      <c r="AV1685" s="1">
        <v>0</v>
      </c>
      <c r="AW1685" s="1">
        <v>0</v>
      </c>
      <c r="AX1685" s="1">
        <v>0</v>
      </c>
      <c r="AY1685" s="1">
        <v>0</v>
      </c>
      <c r="AZ1685" s="1">
        <v>0</v>
      </c>
      <c r="BA1685" s="1">
        <v>0</v>
      </c>
      <c r="BB1685" s="1">
        <v>0</v>
      </c>
      <c r="BC1685" s="1">
        <v>0</v>
      </c>
      <c r="BD1685" s="1">
        <v>0</v>
      </c>
      <c r="BE1685" s="1">
        <v>0</v>
      </c>
      <c r="BF1685" s="1">
        <v>0</v>
      </c>
      <c r="BG1685" s="1">
        <v>0</v>
      </c>
      <c r="BH1685" s="1">
        <v>0</v>
      </c>
      <c r="BI1685" s="1">
        <v>0</v>
      </c>
      <c r="BJ1685" s="1">
        <v>0</v>
      </c>
      <c r="BK1685" s="1">
        <v>0</v>
      </c>
      <c r="BL1685" s="1">
        <v>0</v>
      </c>
      <c r="BM1685" s="1">
        <v>0</v>
      </c>
      <c r="BN1685" s="1">
        <v>0</v>
      </c>
      <c r="BO1685" s="1">
        <v>0</v>
      </c>
      <c r="BP1685" s="1">
        <v>0</v>
      </c>
      <c r="BQ1685" s="1" t="s">
        <v>104</v>
      </c>
      <c r="BR1685" s="1">
        <v>1779</v>
      </c>
      <c r="BS1685" s="1">
        <v>300</v>
      </c>
      <c r="BX1685" s="1">
        <v>0</v>
      </c>
      <c r="BY1685" s="1" t="s">
        <v>104</v>
      </c>
      <c r="BZ1685" s="1" t="s">
        <v>104</v>
      </c>
      <c r="CA1685" s="1" t="s">
        <v>104</v>
      </c>
      <c r="CB1685" s="1" t="s">
        <v>104</v>
      </c>
      <c r="CC1685" s="1" t="s">
        <v>104</v>
      </c>
      <c r="CD1685" s="1" t="s">
        <v>104</v>
      </c>
      <c r="CE1685" s="1" t="s">
        <v>104</v>
      </c>
      <c r="CF1685" s="1" t="s">
        <v>104</v>
      </c>
      <c r="CG1685" s="1" t="s">
        <v>104</v>
      </c>
      <c r="CH1685" s="1" t="s">
        <v>104</v>
      </c>
      <c r="CJ1685" s="1">
        <v>0</v>
      </c>
      <c r="CK1685" s="1">
        <v>0</v>
      </c>
      <c r="CL1685" s="1">
        <v>0</v>
      </c>
      <c r="CM1685" s="1">
        <v>5</v>
      </c>
    </row>
    <row r="1686" spans="1:91" ht="14.25" customHeight="1" x14ac:dyDescent="0.3">
      <c r="A1686" s="1" t="s">
        <v>9247</v>
      </c>
      <c r="B1686" s="1" t="s">
        <v>123</v>
      </c>
      <c r="C1686" s="1" t="s">
        <v>635</v>
      </c>
      <c r="D1686" s="1" t="s">
        <v>6034</v>
      </c>
      <c r="E1686" s="1" t="s">
        <v>9248</v>
      </c>
      <c r="F1686" s="1" t="s">
        <v>95</v>
      </c>
      <c r="G1686" s="1" t="s">
        <v>9249</v>
      </c>
      <c r="H1686" s="1">
        <v>0</v>
      </c>
      <c r="I1686" s="1" t="s">
        <v>117</v>
      </c>
      <c r="L1686" s="1" t="s">
        <v>1065</v>
      </c>
      <c r="M1686" s="1" t="s">
        <v>111</v>
      </c>
      <c r="N1686" s="1">
        <v>0</v>
      </c>
      <c r="O1686" s="1">
        <v>0</v>
      </c>
      <c r="P1686" s="1" t="s">
        <v>211</v>
      </c>
      <c r="Q1686" s="1" t="s">
        <v>184</v>
      </c>
      <c r="R1686" s="1" t="s">
        <v>9250</v>
      </c>
      <c r="S1686" s="1" t="s">
        <v>9131</v>
      </c>
      <c r="T1686" s="1">
        <v>1</v>
      </c>
      <c r="U1686" s="1">
        <v>0</v>
      </c>
      <c r="V1686" s="1">
        <v>1</v>
      </c>
      <c r="W1686" s="1">
        <v>0</v>
      </c>
      <c r="X1686" s="1">
        <v>0</v>
      </c>
      <c r="Y1686" s="1" t="s">
        <v>104</v>
      </c>
      <c r="Z1686" s="1" t="s">
        <v>104</v>
      </c>
      <c r="AA1686" s="1">
        <v>1</v>
      </c>
      <c r="AB1686" s="1" t="s">
        <v>104</v>
      </c>
      <c r="AC1686" s="1" t="s">
        <v>104</v>
      </c>
      <c r="AD1686" s="1">
        <v>1</v>
      </c>
      <c r="AE1686" s="1">
        <v>1</v>
      </c>
      <c r="AF1686" s="1" t="s">
        <v>104</v>
      </c>
      <c r="AG1686" s="1" t="s">
        <v>104</v>
      </c>
      <c r="AH1686" s="1">
        <v>1</v>
      </c>
      <c r="AI1686" s="1">
        <v>1</v>
      </c>
      <c r="AJ1686" s="1">
        <v>1</v>
      </c>
      <c r="AK1686" s="1" t="s">
        <v>104</v>
      </c>
      <c r="AL1686" s="1" t="s">
        <v>104</v>
      </c>
      <c r="AM1686" s="1" t="s">
        <v>104</v>
      </c>
      <c r="AN1686" s="1" t="s">
        <v>9147</v>
      </c>
      <c r="AO1686" s="1">
        <v>1</v>
      </c>
      <c r="AR1686" s="1">
        <v>0</v>
      </c>
      <c r="AS1686" s="1">
        <v>0</v>
      </c>
      <c r="AT1686" s="1">
        <v>0</v>
      </c>
      <c r="AU1686" s="1">
        <v>0</v>
      </c>
      <c r="AV1686" s="1">
        <v>0</v>
      </c>
      <c r="AW1686" s="1">
        <v>0</v>
      </c>
      <c r="AX1686" s="1">
        <v>0</v>
      </c>
      <c r="AY1686" s="1">
        <v>0</v>
      </c>
      <c r="AZ1686" s="1">
        <v>0</v>
      </c>
      <c r="BA1686" s="1">
        <v>0</v>
      </c>
      <c r="BB1686" s="1">
        <v>1</v>
      </c>
      <c r="BC1686" s="1">
        <v>0</v>
      </c>
      <c r="BD1686" s="1">
        <v>0</v>
      </c>
      <c r="BE1686" s="1">
        <v>0</v>
      </c>
      <c r="BF1686" s="1">
        <v>0</v>
      </c>
      <c r="BG1686" s="1">
        <v>0</v>
      </c>
      <c r="BH1686" s="1">
        <v>0</v>
      </c>
      <c r="BI1686" s="1">
        <v>0</v>
      </c>
      <c r="BJ1686" s="1">
        <v>0</v>
      </c>
      <c r="BK1686" s="1">
        <v>1</v>
      </c>
      <c r="BL1686" s="1">
        <v>0</v>
      </c>
      <c r="BM1686" s="1">
        <v>0</v>
      </c>
      <c r="BN1686" s="1">
        <v>0</v>
      </c>
      <c r="BO1686" s="1">
        <v>0</v>
      </c>
      <c r="BP1686" s="1">
        <v>0</v>
      </c>
      <c r="BQ1686" s="1" t="s">
        <v>104</v>
      </c>
      <c r="BR1686" s="1">
        <v>1780</v>
      </c>
      <c r="BS1686" s="1" t="s">
        <v>104</v>
      </c>
      <c r="BX1686" s="1">
        <v>0</v>
      </c>
      <c r="BY1686" s="1" t="s">
        <v>104</v>
      </c>
      <c r="BZ1686" s="1" t="s">
        <v>104</v>
      </c>
      <c r="CA1686" s="1" t="s">
        <v>104</v>
      </c>
      <c r="CB1686" s="1" t="s">
        <v>104</v>
      </c>
      <c r="CC1686" s="1" t="s">
        <v>104</v>
      </c>
      <c r="CD1686" s="1" t="s">
        <v>104</v>
      </c>
      <c r="CE1686" s="1" t="s">
        <v>104</v>
      </c>
      <c r="CF1686" s="1" t="s">
        <v>104</v>
      </c>
      <c r="CG1686" s="1" t="s">
        <v>104</v>
      </c>
      <c r="CH1686" s="1" t="s">
        <v>104</v>
      </c>
      <c r="CJ1686" s="1">
        <v>0</v>
      </c>
      <c r="CK1686" s="1">
        <v>0</v>
      </c>
      <c r="CL1686" s="1">
        <v>0</v>
      </c>
      <c r="CM1686" s="1" t="s">
        <v>104</v>
      </c>
    </row>
    <row r="1687" spans="1:91" ht="14.25" customHeight="1" x14ac:dyDescent="0.3">
      <c r="A1687" s="1" t="s">
        <v>9251</v>
      </c>
      <c r="B1687" s="1" t="s">
        <v>137</v>
      </c>
      <c r="E1687" s="1" t="s">
        <v>327</v>
      </c>
      <c r="F1687" s="1" t="s">
        <v>95</v>
      </c>
      <c r="G1687" s="1" t="s">
        <v>127</v>
      </c>
      <c r="H1687" s="1">
        <v>0</v>
      </c>
      <c r="I1687" s="1" t="s">
        <v>117</v>
      </c>
      <c r="L1687" s="1" t="s">
        <v>541</v>
      </c>
      <c r="M1687" s="1" t="s">
        <v>201</v>
      </c>
      <c r="N1687" s="1">
        <v>0</v>
      </c>
      <c r="O1687" s="1">
        <v>0</v>
      </c>
      <c r="P1687" s="1" t="s">
        <v>375</v>
      </c>
      <c r="Q1687" s="1" t="s">
        <v>131</v>
      </c>
      <c r="R1687" s="1" t="s">
        <v>9252</v>
      </c>
      <c r="S1687" s="1" t="s">
        <v>9131</v>
      </c>
      <c r="T1687" s="1">
        <v>1</v>
      </c>
      <c r="U1687" s="1">
        <v>1</v>
      </c>
      <c r="V1687" s="1">
        <v>0</v>
      </c>
      <c r="W1687" s="1">
        <v>0</v>
      </c>
      <c r="X1687" s="1">
        <v>1</v>
      </c>
      <c r="Y1687" s="1" t="s">
        <v>104</v>
      </c>
      <c r="Z1687" s="1" t="s">
        <v>104</v>
      </c>
      <c r="AA1687" s="1">
        <v>5</v>
      </c>
      <c r="AB1687" s="1">
        <v>5</v>
      </c>
      <c r="AC1687" s="1" t="s">
        <v>104</v>
      </c>
      <c r="AD1687" s="1" t="s">
        <v>104</v>
      </c>
      <c r="AE1687" s="1" t="s">
        <v>104</v>
      </c>
      <c r="AF1687" s="1" t="s">
        <v>104</v>
      </c>
      <c r="AG1687" s="1" t="s">
        <v>104</v>
      </c>
      <c r="AH1687" s="1" t="s">
        <v>104</v>
      </c>
      <c r="AI1687" s="1">
        <v>5</v>
      </c>
      <c r="AJ1687" s="1">
        <v>5</v>
      </c>
      <c r="AK1687" s="1" t="s">
        <v>104</v>
      </c>
      <c r="AL1687" s="1" t="s">
        <v>104</v>
      </c>
      <c r="AM1687" s="1" t="s">
        <v>104</v>
      </c>
      <c r="AN1687" s="1" t="s">
        <v>9187</v>
      </c>
      <c r="AO1687" s="1">
        <v>5</v>
      </c>
      <c r="AR1687" s="1">
        <v>0</v>
      </c>
      <c r="AS1687" s="1">
        <v>0</v>
      </c>
      <c r="AT1687" s="1">
        <v>0</v>
      </c>
      <c r="AU1687" s="1">
        <v>0</v>
      </c>
      <c r="AV1687" s="1">
        <v>0</v>
      </c>
      <c r="AW1687" s="1">
        <v>0</v>
      </c>
      <c r="AX1687" s="1">
        <v>0</v>
      </c>
      <c r="AY1687" s="1">
        <v>0</v>
      </c>
      <c r="AZ1687" s="1">
        <v>0</v>
      </c>
      <c r="BA1687" s="1">
        <v>0</v>
      </c>
      <c r="BB1687" s="1">
        <v>0</v>
      </c>
      <c r="BC1687" s="1">
        <v>0</v>
      </c>
      <c r="BD1687" s="1">
        <v>0</v>
      </c>
      <c r="BE1687" s="1">
        <v>0</v>
      </c>
      <c r="BF1687" s="1">
        <v>0</v>
      </c>
      <c r="BG1687" s="1">
        <v>0</v>
      </c>
      <c r="BH1687" s="1">
        <v>0</v>
      </c>
      <c r="BI1687" s="1">
        <v>0</v>
      </c>
      <c r="BJ1687" s="1">
        <v>0</v>
      </c>
      <c r="BK1687" s="1">
        <v>0</v>
      </c>
      <c r="BL1687" s="1">
        <v>0</v>
      </c>
      <c r="BM1687" s="1">
        <v>0</v>
      </c>
      <c r="BN1687" s="1">
        <v>0</v>
      </c>
      <c r="BO1687" s="1">
        <v>0</v>
      </c>
      <c r="BP1687" s="1">
        <v>0</v>
      </c>
      <c r="BQ1687" s="1" t="s">
        <v>104</v>
      </c>
      <c r="BR1687" s="1">
        <v>1781</v>
      </c>
      <c r="BS1687" s="1" t="s">
        <v>104</v>
      </c>
      <c r="BX1687" s="1">
        <v>0</v>
      </c>
      <c r="BY1687" s="1" t="s">
        <v>104</v>
      </c>
      <c r="BZ1687" s="1" t="s">
        <v>104</v>
      </c>
      <c r="CA1687" s="1" t="s">
        <v>104</v>
      </c>
      <c r="CB1687" s="1" t="s">
        <v>104</v>
      </c>
      <c r="CC1687" s="1" t="s">
        <v>104</v>
      </c>
      <c r="CD1687" s="1" t="s">
        <v>104</v>
      </c>
      <c r="CE1687" s="1" t="s">
        <v>104</v>
      </c>
      <c r="CF1687" s="1" t="s">
        <v>104</v>
      </c>
      <c r="CG1687" s="1" t="s">
        <v>104</v>
      </c>
      <c r="CH1687" s="1">
        <v>5</v>
      </c>
      <c r="CJ1687" s="1">
        <v>0</v>
      </c>
      <c r="CK1687" s="1">
        <v>0</v>
      </c>
      <c r="CL1687" s="1">
        <v>0</v>
      </c>
      <c r="CM1687" s="1" t="s">
        <v>104</v>
      </c>
    </row>
    <row r="1688" spans="1:91" ht="14.25" customHeight="1" x14ac:dyDescent="0.3">
      <c r="A1688" s="1" t="s">
        <v>9253</v>
      </c>
      <c r="B1688" s="1" t="s">
        <v>137</v>
      </c>
      <c r="D1688" s="1" t="s">
        <v>8589</v>
      </c>
      <c r="E1688" s="1" t="s">
        <v>8074</v>
      </c>
      <c r="F1688" s="1" t="s">
        <v>191</v>
      </c>
      <c r="G1688" s="1" t="s">
        <v>9254</v>
      </c>
      <c r="H1688" s="1">
        <v>0</v>
      </c>
      <c r="I1688" s="1" t="s">
        <v>3750</v>
      </c>
      <c r="K1688" s="1" t="s">
        <v>9255</v>
      </c>
      <c r="M1688" s="1" t="s">
        <v>9256</v>
      </c>
      <c r="N1688" s="1">
        <v>0</v>
      </c>
      <c r="O1688" s="1">
        <v>0</v>
      </c>
      <c r="P1688" s="1" t="s">
        <v>100</v>
      </c>
      <c r="Q1688" s="1" t="s">
        <v>101</v>
      </c>
      <c r="R1688" s="1" t="s">
        <v>9257</v>
      </c>
      <c r="S1688" s="1" t="s">
        <v>9131</v>
      </c>
      <c r="T1688" s="1">
        <v>1</v>
      </c>
      <c r="U1688" s="1">
        <v>1</v>
      </c>
      <c r="V1688" s="1">
        <v>0</v>
      </c>
      <c r="W1688" s="1">
        <v>0</v>
      </c>
      <c r="X1688" s="1">
        <v>0</v>
      </c>
      <c r="Y1688" s="1" t="s">
        <v>104</v>
      </c>
      <c r="Z1688" s="1" t="s">
        <v>104</v>
      </c>
      <c r="AA1688" s="1">
        <v>1</v>
      </c>
      <c r="AB1688" s="1">
        <v>1</v>
      </c>
      <c r="AC1688" s="1" t="s">
        <v>104</v>
      </c>
      <c r="AD1688" s="1" t="s">
        <v>104</v>
      </c>
      <c r="AE1688" s="1" t="s">
        <v>104</v>
      </c>
      <c r="AF1688" s="1" t="s">
        <v>104</v>
      </c>
      <c r="AG1688" s="1" t="s">
        <v>104</v>
      </c>
      <c r="AH1688" s="1" t="s">
        <v>104</v>
      </c>
      <c r="AI1688" s="1" t="s">
        <v>104</v>
      </c>
      <c r="AJ1688" s="1">
        <v>1</v>
      </c>
      <c r="AK1688" s="1" t="s">
        <v>104</v>
      </c>
      <c r="AL1688" s="1" t="s">
        <v>104</v>
      </c>
      <c r="AM1688" s="1" t="s">
        <v>104</v>
      </c>
      <c r="AN1688" s="1" t="s">
        <v>9237</v>
      </c>
      <c r="AO1688" s="1">
        <v>1</v>
      </c>
      <c r="AR1688" s="1">
        <v>0</v>
      </c>
      <c r="AS1688" s="1">
        <v>0</v>
      </c>
      <c r="AT1688" s="1">
        <v>0</v>
      </c>
      <c r="AU1688" s="1">
        <v>1</v>
      </c>
      <c r="AV1688" s="1">
        <v>0</v>
      </c>
      <c r="AW1688" s="1">
        <v>0</v>
      </c>
      <c r="AX1688" s="1">
        <v>0</v>
      </c>
      <c r="AY1688" s="1">
        <v>0</v>
      </c>
      <c r="AZ1688" s="1">
        <v>0</v>
      </c>
      <c r="BA1688" s="1">
        <v>0</v>
      </c>
      <c r="BB1688" s="1">
        <v>0</v>
      </c>
      <c r="BC1688" s="1">
        <v>0</v>
      </c>
      <c r="BD1688" s="1">
        <v>0</v>
      </c>
      <c r="BE1688" s="1">
        <v>0</v>
      </c>
      <c r="BF1688" s="1">
        <v>0</v>
      </c>
      <c r="BG1688" s="1">
        <v>0</v>
      </c>
      <c r="BH1688" s="1">
        <v>0</v>
      </c>
      <c r="BI1688" s="1">
        <v>0</v>
      </c>
      <c r="BJ1688" s="1">
        <v>0</v>
      </c>
      <c r="BK1688" s="1">
        <v>0</v>
      </c>
      <c r="BL1688" s="1">
        <v>0</v>
      </c>
      <c r="BM1688" s="1">
        <v>0</v>
      </c>
      <c r="BN1688" s="1">
        <v>0</v>
      </c>
      <c r="BO1688" s="1">
        <v>0</v>
      </c>
      <c r="BP1688" s="1">
        <v>1</v>
      </c>
      <c r="BQ1688" s="1" t="s">
        <v>104</v>
      </c>
      <c r="BR1688" s="1">
        <v>1782</v>
      </c>
      <c r="BS1688" s="1" t="s">
        <v>104</v>
      </c>
      <c r="BX1688" s="1">
        <v>0</v>
      </c>
      <c r="BY1688" s="1" t="s">
        <v>104</v>
      </c>
      <c r="BZ1688" s="1" t="s">
        <v>104</v>
      </c>
      <c r="CA1688" s="1" t="s">
        <v>104</v>
      </c>
      <c r="CB1688" s="1" t="s">
        <v>104</v>
      </c>
      <c r="CC1688" s="1" t="s">
        <v>104</v>
      </c>
      <c r="CD1688" s="1" t="s">
        <v>104</v>
      </c>
      <c r="CE1688" s="1" t="s">
        <v>104</v>
      </c>
      <c r="CF1688" s="1" t="s">
        <v>104</v>
      </c>
      <c r="CG1688" s="1" t="s">
        <v>104</v>
      </c>
      <c r="CH1688" s="1">
        <v>1</v>
      </c>
      <c r="CJ1688" s="1">
        <v>0</v>
      </c>
      <c r="CK1688" s="1">
        <v>0</v>
      </c>
      <c r="CL1688" s="1">
        <v>0</v>
      </c>
      <c r="CM1688" s="1" t="s">
        <v>104</v>
      </c>
    </row>
    <row r="1689" spans="1:91" ht="14.25" customHeight="1" x14ac:dyDescent="0.3">
      <c r="A1689" s="1" t="s">
        <v>9258</v>
      </c>
      <c r="B1689" s="1" t="s">
        <v>137</v>
      </c>
      <c r="E1689" s="1" t="s">
        <v>8190</v>
      </c>
      <c r="F1689" s="1" t="s">
        <v>4934</v>
      </c>
      <c r="G1689" s="1" t="s">
        <v>127</v>
      </c>
      <c r="H1689" s="1">
        <v>0</v>
      </c>
      <c r="I1689" s="1" t="s">
        <v>157</v>
      </c>
      <c r="L1689" s="1" t="s">
        <v>158</v>
      </c>
      <c r="M1689" s="1" t="s">
        <v>145</v>
      </c>
      <c r="N1689" s="1">
        <v>0</v>
      </c>
      <c r="O1689" s="1">
        <v>0</v>
      </c>
      <c r="R1689" s="1" t="s">
        <v>9259</v>
      </c>
      <c r="S1689" s="1" t="s">
        <v>9131</v>
      </c>
      <c r="T1689" s="1">
        <v>1</v>
      </c>
      <c r="U1689" s="1">
        <v>1</v>
      </c>
      <c r="V1689" s="1">
        <v>0</v>
      </c>
      <c r="W1689" s="1">
        <v>0</v>
      </c>
      <c r="X1689" s="1">
        <v>1</v>
      </c>
      <c r="Y1689" s="1" t="s">
        <v>104</v>
      </c>
      <c r="Z1689" s="1" t="s">
        <v>104</v>
      </c>
      <c r="AA1689" s="1">
        <v>2</v>
      </c>
      <c r="AB1689" s="1" t="s">
        <v>104</v>
      </c>
      <c r="AC1689" s="1" t="s">
        <v>104</v>
      </c>
      <c r="AD1689" s="1" t="s">
        <v>104</v>
      </c>
      <c r="AE1689" s="1">
        <v>2</v>
      </c>
      <c r="AF1689" s="1" t="s">
        <v>104</v>
      </c>
      <c r="AG1689" s="1" t="s">
        <v>104</v>
      </c>
      <c r="AH1689" s="1" t="s">
        <v>104</v>
      </c>
      <c r="AI1689" s="1">
        <v>2</v>
      </c>
      <c r="AJ1689" s="1">
        <v>2</v>
      </c>
      <c r="AK1689" s="1" t="s">
        <v>104</v>
      </c>
      <c r="AL1689" s="1" t="s">
        <v>104</v>
      </c>
      <c r="AM1689" s="1" t="s">
        <v>104</v>
      </c>
      <c r="AN1689" s="1" t="s">
        <v>9163</v>
      </c>
      <c r="AO1689" s="1">
        <v>2</v>
      </c>
      <c r="AR1689" s="1">
        <v>0</v>
      </c>
      <c r="AS1689" s="1">
        <v>0</v>
      </c>
      <c r="AT1689" s="1">
        <v>0</v>
      </c>
      <c r="AU1689" s="1">
        <v>0</v>
      </c>
      <c r="AV1689" s="1">
        <v>0</v>
      </c>
      <c r="AW1689" s="1">
        <v>0</v>
      </c>
      <c r="AX1689" s="1">
        <v>0</v>
      </c>
      <c r="AY1689" s="1">
        <v>0</v>
      </c>
      <c r="AZ1689" s="1">
        <v>0</v>
      </c>
      <c r="BA1689" s="1">
        <v>0</v>
      </c>
      <c r="BB1689" s="1">
        <v>0</v>
      </c>
      <c r="BC1689" s="1">
        <v>0</v>
      </c>
      <c r="BD1689" s="1">
        <v>0</v>
      </c>
      <c r="BE1689" s="1">
        <v>0</v>
      </c>
      <c r="BF1689" s="1">
        <v>0</v>
      </c>
      <c r="BG1689" s="1">
        <v>0</v>
      </c>
      <c r="BH1689" s="1">
        <v>0</v>
      </c>
      <c r="BI1689" s="1">
        <v>0</v>
      </c>
      <c r="BJ1689" s="1">
        <v>0</v>
      </c>
      <c r="BK1689" s="1">
        <v>0</v>
      </c>
      <c r="BL1689" s="1">
        <v>0</v>
      </c>
      <c r="BM1689" s="1">
        <v>0</v>
      </c>
      <c r="BN1689" s="1">
        <v>0</v>
      </c>
      <c r="BO1689" s="1">
        <v>0</v>
      </c>
      <c r="BP1689" s="1">
        <v>0</v>
      </c>
      <c r="BQ1689" s="1" t="s">
        <v>104</v>
      </c>
      <c r="BR1689" s="1">
        <v>1783</v>
      </c>
      <c r="BS1689" s="1" t="s">
        <v>104</v>
      </c>
      <c r="BX1689" s="1">
        <v>0</v>
      </c>
      <c r="BY1689" s="1" t="s">
        <v>104</v>
      </c>
      <c r="BZ1689" s="1" t="s">
        <v>104</v>
      </c>
      <c r="CA1689" s="1" t="s">
        <v>104</v>
      </c>
      <c r="CB1689" s="1" t="s">
        <v>104</v>
      </c>
      <c r="CC1689" s="1" t="s">
        <v>104</v>
      </c>
      <c r="CD1689" s="1" t="s">
        <v>104</v>
      </c>
      <c r="CE1689" s="1" t="s">
        <v>104</v>
      </c>
      <c r="CF1689" s="1" t="s">
        <v>104</v>
      </c>
      <c r="CG1689" s="1" t="s">
        <v>104</v>
      </c>
      <c r="CH1689" s="1" t="s">
        <v>104</v>
      </c>
      <c r="CJ1689" s="1">
        <v>0</v>
      </c>
      <c r="CK1689" s="1">
        <v>0</v>
      </c>
      <c r="CL1689" s="1">
        <v>0</v>
      </c>
      <c r="CM1689" s="1" t="s">
        <v>104</v>
      </c>
    </row>
    <row r="1690" spans="1:91" ht="14.25" customHeight="1" x14ac:dyDescent="0.3">
      <c r="A1690" s="1" t="s">
        <v>9260</v>
      </c>
      <c r="B1690" s="1" t="s">
        <v>434</v>
      </c>
      <c r="D1690" s="1" t="s">
        <v>61</v>
      </c>
      <c r="E1690" s="1" t="s">
        <v>9261</v>
      </c>
      <c r="F1690" s="1" t="s">
        <v>95</v>
      </c>
      <c r="G1690" s="1" t="s">
        <v>116</v>
      </c>
      <c r="H1690" s="1">
        <v>0</v>
      </c>
      <c r="I1690" s="1" t="s">
        <v>117</v>
      </c>
      <c r="L1690" s="1" t="s">
        <v>9262</v>
      </c>
      <c r="M1690" s="1" t="s">
        <v>426</v>
      </c>
      <c r="N1690" s="1">
        <v>1</v>
      </c>
      <c r="O1690" s="1">
        <v>0</v>
      </c>
      <c r="P1690" s="1" t="s">
        <v>1605</v>
      </c>
      <c r="Q1690" s="1" t="s">
        <v>184</v>
      </c>
      <c r="R1690" s="1" t="s">
        <v>9263</v>
      </c>
      <c r="S1690" s="1" t="s">
        <v>9131</v>
      </c>
      <c r="T1690" s="1">
        <v>1</v>
      </c>
      <c r="U1690" s="1">
        <v>1</v>
      </c>
      <c r="V1690" s="1">
        <v>0</v>
      </c>
      <c r="W1690" s="1">
        <v>0</v>
      </c>
      <c r="X1690" s="1">
        <v>0</v>
      </c>
      <c r="Y1690" s="1">
        <v>2</v>
      </c>
      <c r="Z1690" s="1">
        <v>2</v>
      </c>
      <c r="AA1690" s="1">
        <v>2</v>
      </c>
      <c r="AB1690" s="1" t="s">
        <v>104</v>
      </c>
      <c r="AC1690" s="1" t="s">
        <v>104</v>
      </c>
      <c r="AD1690" s="1">
        <v>2</v>
      </c>
      <c r="AE1690" s="1" t="s">
        <v>104</v>
      </c>
      <c r="AF1690" s="1" t="s">
        <v>104</v>
      </c>
      <c r="AG1690" s="1" t="s">
        <v>104</v>
      </c>
      <c r="AH1690" s="1" t="s">
        <v>104</v>
      </c>
      <c r="AI1690" s="1">
        <v>2</v>
      </c>
      <c r="AJ1690" s="1">
        <v>2</v>
      </c>
      <c r="AK1690" s="1" t="s">
        <v>104</v>
      </c>
      <c r="AL1690" s="1">
        <v>2</v>
      </c>
      <c r="AM1690" s="1" t="s">
        <v>104</v>
      </c>
      <c r="AN1690" s="1" t="s">
        <v>9163</v>
      </c>
      <c r="AO1690" s="1">
        <v>2</v>
      </c>
      <c r="AR1690" s="1">
        <v>0</v>
      </c>
      <c r="AS1690" s="1">
        <v>0</v>
      </c>
      <c r="AT1690" s="1">
        <v>0</v>
      </c>
      <c r="AU1690" s="1">
        <v>0</v>
      </c>
      <c r="AV1690" s="1">
        <v>0</v>
      </c>
      <c r="AW1690" s="1">
        <v>0</v>
      </c>
      <c r="AX1690" s="1">
        <v>0</v>
      </c>
      <c r="AY1690" s="1">
        <v>0</v>
      </c>
      <c r="AZ1690" s="1">
        <v>0</v>
      </c>
      <c r="BA1690" s="1">
        <v>0</v>
      </c>
      <c r="BB1690" s="1">
        <v>0</v>
      </c>
      <c r="BC1690" s="1">
        <v>0</v>
      </c>
      <c r="BD1690" s="1">
        <v>0</v>
      </c>
      <c r="BE1690" s="1">
        <v>0</v>
      </c>
      <c r="BF1690" s="1">
        <v>0</v>
      </c>
      <c r="BG1690" s="1">
        <v>0</v>
      </c>
      <c r="BH1690" s="1">
        <v>0</v>
      </c>
      <c r="BI1690" s="1">
        <v>0</v>
      </c>
      <c r="BJ1690" s="1">
        <v>1</v>
      </c>
      <c r="BK1690" s="1">
        <v>0</v>
      </c>
      <c r="BL1690" s="1">
        <v>0</v>
      </c>
      <c r="BM1690" s="1">
        <v>0</v>
      </c>
      <c r="BN1690" s="1">
        <v>0</v>
      </c>
      <c r="BO1690" s="1">
        <v>0</v>
      </c>
      <c r="BP1690" s="1">
        <v>0</v>
      </c>
      <c r="BQ1690" s="1" t="s">
        <v>104</v>
      </c>
      <c r="BR1690" s="1">
        <v>1784</v>
      </c>
      <c r="BS1690" s="1" t="s">
        <v>104</v>
      </c>
      <c r="BX1690" s="1">
        <v>0</v>
      </c>
      <c r="BY1690" s="1" t="s">
        <v>104</v>
      </c>
      <c r="BZ1690" s="1" t="s">
        <v>104</v>
      </c>
      <c r="CA1690" s="1" t="s">
        <v>104</v>
      </c>
      <c r="CB1690" s="1" t="s">
        <v>104</v>
      </c>
      <c r="CC1690" s="1" t="s">
        <v>104</v>
      </c>
      <c r="CD1690" s="1" t="s">
        <v>104</v>
      </c>
      <c r="CE1690" s="1" t="s">
        <v>104</v>
      </c>
      <c r="CF1690" s="1" t="s">
        <v>104</v>
      </c>
      <c r="CG1690" s="1" t="s">
        <v>104</v>
      </c>
      <c r="CH1690" s="1" t="s">
        <v>104</v>
      </c>
      <c r="CJ1690" s="1">
        <v>0</v>
      </c>
      <c r="CK1690" s="1">
        <v>0</v>
      </c>
      <c r="CL1690" s="1">
        <v>0</v>
      </c>
      <c r="CM1690" s="1" t="s">
        <v>104</v>
      </c>
    </row>
    <row r="1691" spans="1:91" ht="14.25" customHeight="1" x14ac:dyDescent="0.3">
      <c r="A1691" s="1" t="s">
        <v>9264</v>
      </c>
      <c r="B1691" s="1" t="s">
        <v>137</v>
      </c>
      <c r="E1691" s="1" t="s">
        <v>9265</v>
      </c>
      <c r="F1691" s="1" t="s">
        <v>95</v>
      </c>
      <c r="G1691" s="1" t="s">
        <v>9266</v>
      </c>
      <c r="H1691" s="1">
        <v>0</v>
      </c>
      <c r="I1691" s="1" t="s">
        <v>117</v>
      </c>
      <c r="L1691" s="1" t="s">
        <v>9267</v>
      </c>
      <c r="M1691" s="1" t="s">
        <v>2330</v>
      </c>
      <c r="N1691" s="1">
        <v>0</v>
      </c>
      <c r="O1691" s="1">
        <v>0</v>
      </c>
      <c r="P1691" s="1" t="s">
        <v>471</v>
      </c>
      <c r="Q1691" s="1" t="s">
        <v>472</v>
      </c>
      <c r="R1691" s="1" t="s">
        <v>9268</v>
      </c>
      <c r="S1691" s="1" t="s">
        <v>9131</v>
      </c>
      <c r="T1691" s="1">
        <v>1</v>
      </c>
      <c r="U1691" s="1">
        <v>0</v>
      </c>
      <c r="V1691" s="1">
        <v>1</v>
      </c>
      <c r="W1691" s="1">
        <v>0</v>
      </c>
      <c r="X1691" s="1">
        <v>0</v>
      </c>
      <c r="Y1691" s="1">
        <v>1</v>
      </c>
      <c r="Z1691" s="1">
        <v>1</v>
      </c>
      <c r="AA1691" s="1">
        <v>1</v>
      </c>
      <c r="AB1691" s="1" t="s">
        <v>104</v>
      </c>
      <c r="AC1691" s="1" t="s">
        <v>104</v>
      </c>
      <c r="AD1691" s="1">
        <v>1</v>
      </c>
      <c r="AE1691" s="1" t="s">
        <v>104</v>
      </c>
      <c r="AF1691" s="1" t="s">
        <v>104</v>
      </c>
      <c r="AG1691" s="1">
        <v>1</v>
      </c>
      <c r="AH1691" s="1" t="s">
        <v>104</v>
      </c>
      <c r="AI1691" s="1" t="s">
        <v>104</v>
      </c>
      <c r="AJ1691" s="1">
        <v>1</v>
      </c>
      <c r="AK1691" s="1" t="s">
        <v>104</v>
      </c>
      <c r="AL1691" s="1">
        <v>1</v>
      </c>
      <c r="AM1691" s="1" t="s">
        <v>104</v>
      </c>
      <c r="AN1691" s="1" t="s">
        <v>9269</v>
      </c>
      <c r="AO1691" s="1">
        <v>1</v>
      </c>
      <c r="AR1691" s="1">
        <v>0</v>
      </c>
      <c r="AS1691" s="1">
        <v>0</v>
      </c>
      <c r="AT1691" s="1">
        <v>0</v>
      </c>
      <c r="AU1691" s="1">
        <v>0</v>
      </c>
      <c r="AV1691" s="1">
        <v>0</v>
      </c>
      <c r="AW1691" s="1">
        <v>0</v>
      </c>
      <c r="AX1691" s="1">
        <v>0</v>
      </c>
      <c r="AY1691" s="1">
        <v>0</v>
      </c>
      <c r="AZ1691" s="1">
        <v>0</v>
      </c>
      <c r="BA1691" s="1">
        <v>0</v>
      </c>
      <c r="BB1691" s="1">
        <v>0</v>
      </c>
      <c r="BC1691" s="1">
        <v>0</v>
      </c>
      <c r="BD1691" s="1">
        <v>0</v>
      </c>
      <c r="BE1691" s="1">
        <v>0</v>
      </c>
      <c r="BF1691" s="1">
        <v>0</v>
      </c>
      <c r="BG1691" s="1">
        <v>0</v>
      </c>
      <c r="BH1691" s="1">
        <v>0</v>
      </c>
      <c r="BI1691" s="1">
        <v>0</v>
      </c>
      <c r="BJ1691" s="1">
        <v>0</v>
      </c>
      <c r="BK1691" s="1">
        <v>0</v>
      </c>
      <c r="BL1691" s="1">
        <v>0</v>
      </c>
      <c r="BM1691" s="1">
        <v>0</v>
      </c>
      <c r="BN1691" s="1">
        <v>0</v>
      </c>
      <c r="BO1691" s="1">
        <v>0</v>
      </c>
      <c r="BP1691" s="1">
        <v>0</v>
      </c>
      <c r="BQ1691" s="1" t="s">
        <v>104</v>
      </c>
      <c r="BR1691" s="1">
        <v>1785</v>
      </c>
      <c r="BS1691" s="1" t="s">
        <v>104</v>
      </c>
      <c r="BX1691" s="1">
        <v>0</v>
      </c>
      <c r="BY1691" s="1" t="s">
        <v>104</v>
      </c>
      <c r="BZ1691" s="1" t="s">
        <v>104</v>
      </c>
      <c r="CA1691" s="1" t="s">
        <v>104</v>
      </c>
      <c r="CB1691" s="1" t="s">
        <v>104</v>
      </c>
      <c r="CC1691" s="1" t="s">
        <v>104</v>
      </c>
      <c r="CD1691" s="1" t="s">
        <v>104</v>
      </c>
      <c r="CE1691" s="1" t="s">
        <v>104</v>
      </c>
      <c r="CF1691" s="1" t="s">
        <v>104</v>
      </c>
      <c r="CG1691" s="1" t="s">
        <v>104</v>
      </c>
      <c r="CH1691" s="1" t="s">
        <v>104</v>
      </c>
      <c r="CJ1691" s="1">
        <v>0</v>
      </c>
      <c r="CK1691" s="1">
        <v>0</v>
      </c>
      <c r="CL1691" s="1">
        <v>0</v>
      </c>
      <c r="CM1691" s="1">
        <v>1</v>
      </c>
    </row>
    <row r="1692" spans="1:91" ht="14.25" customHeight="1" x14ac:dyDescent="0.3">
      <c r="A1692" s="1" t="s">
        <v>9270</v>
      </c>
      <c r="B1692" s="1" t="s">
        <v>137</v>
      </c>
      <c r="E1692" s="1" t="s">
        <v>9271</v>
      </c>
      <c r="F1692" s="1" t="s">
        <v>95</v>
      </c>
      <c r="G1692" s="1" t="s">
        <v>9266</v>
      </c>
      <c r="H1692" s="1">
        <v>0</v>
      </c>
      <c r="I1692" s="1" t="s">
        <v>117</v>
      </c>
      <c r="L1692" s="1" t="s">
        <v>9272</v>
      </c>
      <c r="M1692" s="1" t="s">
        <v>4292</v>
      </c>
      <c r="N1692" s="1">
        <v>0</v>
      </c>
      <c r="O1692" s="1">
        <v>0</v>
      </c>
      <c r="P1692" s="1" t="s">
        <v>471</v>
      </c>
      <c r="Q1692" s="1" t="s">
        <v>472</v>
      </c>
      <c r="R1692" s="1" t="s">
        <v>9273</v>
      </c>
      <c r="S1692" s="1" t="s">
        <v>9131</v>
      </c>
      <c r="T1692" s="1">
        <v>1</v>
      </c>
      <c r="U1692" s="1">
        <v>0</v>
      </c>
      <c r="V1692" s="1">
        <v>1</v>
      </c>
      <c r="W1692" s="1">
        <v>0</v>
      </c>
      <c r="X1692" s="1">
        <v>0</v>
      </c>
      <c r="Y1692" s="1">
        <v>5</v>
      </c>
      <c r="Z1692" s="1">
        <v>5</v>
      </c>
      <c r="AA1692" s="1">
        <v>5</v>
      </c>
      <c r="AB1692" s="1" t="s">
        <v>104</v>
      </c>
      <c r="AC1692" s="1" t="s">
        <v>104</v>
      </c>
      <c r="AD1692" s="1" t="s">
        <v>104</v>
      </c>
      <c r="AE1692" s="1" t="s">
        <v>104</v>
      </c>
      <c r="AF1692" s="1" t="s">
        <v>104</v>
      </c>
      <c r="AG1692" s="1">
        <v>5</v>
      </c>
      <c r="AH1692" s="1" t="s">
        <v>104</v>
      </c>
      <c r="AI1692" s="1" t="s">
        <v>104</v>
      </c>
      <c r="AJ1692" s="1">
        <v>5</v>
      </c>
      <c r="AK1692" s="1" t="s">
        <v>104</v>
      </c>
      <c r="AL1692" s="1">
        <v>5</v>
      </c>
      <c r="AM1692" s="1" t="s">
        <v>104</v>
      </c>
      <c r="AN1692" s="1" t="s">
        <v>9269</v>
      </c>
      <c r="AO1692" s="1">
        <v>5</v>
      </c>
      <c r="AR1692" s="1">
        <v>0</v>
      </c>
      <c r="AS1692" s="1">
        <v>0</v>
      </c>
      <c r="AT1692" s="1">
        <v>0</v>
      </c>
      <c r="AU1692" s="1">
        <v>0</v>
      </c>
      <c r="AV1692" s="1">
        <v>0</v>
      </c>
      <c r="AW1692" s="1">
        <v>0</v>
      </c>
      <c r="AX1692" s="1">
        <v>0</v>
      </c>
      <c r="AY1692" s="1">
        <v>0</v>
      </c>
      <c r="AZ1692" s="1">
        <v>0</v>
      </c>
      <c r="BA1692" s="1">
        <v>0</v>
      </c>
      <c r="BB1692" s="1">
        <v>0</v>
      </c>
      <c r="BC1692" s="1">
        <v>0</v>
      </c>
      <c r="BD1692" s="1">
        <v>0</v>
      </c>
      <c r="BE1692" s="1">
        <v>0</v>
      </c>
      <c r="BF1692" s="1">
        <v>0</v>
      </c>
      <c r="BG1692" s="1">
        <v>0</v>
      </c>
      <c r="BH1692" s="1">
        <v>0</v>
      </c>
      <c r="BI1692" s="1">
        <v>0</v>
      </c>
      <c r="BJ1692" s="1">
        <v>0</v>
      </c>
      <c r="BK1692" s="1">
        <v>0</v>
      </c>
      <c r="BL1692" s="1">
        <v>0</v>
      </c>
      <c r="BM1692" s="1">
        <v>0</v>
      </c>
      <c r="BN1692" s="1">
        <v>0</v>
      </c>
      <c r="BO1692" s="1">
        <v>0</v>
      </c>
      <c r="BP1692" s="1">
        <v>0</v>
      </c>
      <c r="BQ1692" s="1" t="s">
        <v>104</v>
      </c>
      <c r="BR1692" s="1">
        <v>1786</v>
      </c>
      <c r="BS1692" s="1" t="s">
        <v>104</v>
      </c>
      <c r="BX1692" s="1">
        <v>0</v>
      </c>
      <c r="BY1692" s="1" t="s">
        <v>104</v>
      </c>
      <c r="BZ1692" s="1" t="s">
        <v>104</v>
      </c>
      <c r="CA1692" s="1" t="s">
        <v>104</v>
      </c>
      <c r="CB1692" s="1" t="s">
        <v>104</v>
      </c>
      <c r="CC1692" s="1" t="s">
        <v>104</v>
      </c>
      <c r="CD1692" s="1" t="s">
        <v>104</v>
      </c>
      <c r="CE1692" s="1" t="s">
        <v>104</v>
      </c>
      <c r="CF1692" s="1" t="s">
        <v>104</v>
      </c>
      <c r="CG1692" s="1" t="s">
        <v>104</v>
      </c>
      <c r="CH1692" s="1" t="s">
        <v>104</v>
      </c>
      <c r="CJ1692" s="1">
        <v>0</v>
      </c>
      <c r="CK1692" s="1">
        <v>0</v>
      </c>
      <c r="CL1692" s="1">
        <v>0</v>
      </c>
      <c r="CM1692" s="1">
        <v>5</v>
      </c>
    </row>
    <row r="1693" spans="1:91" ht="14.25" customHeight="1" x14ac:dyDescent="0.3">
      <c r="A1693" s="1" t="s">
        <v>9274</v>
      </c>
      <c r="B1693" s="1" t="s">
        <v>507</v>
      </c>
      <c r="C1693" s="1" t="s">
        <v>508</v>
      </c>
      <c r="E1693" s="1" t="s">
        <v>9275</v>
      </c>
      <c r="F1693" s="1" t="s">
        <v>95</v>
      </c>
      <c r="G1693" s="1" t="s">
        <v>116</v>
      </c>
      <c r="H1693" s="1">
        <v>0</v>
      </c>
      <c r="I1693" s="1" t="s">
        <v>117</v>
      </c>
      <c r="L1693" s="1" t="s">
        <v>2509</v>
      </c>
      <c r="M1693" s="1" t="s">
        <v>620</v>
      </c>
      <c r="N1693" s="1">
        <v>1</v>
      </c>
      <c r="O1693" s="1">
        <v>0</v>
      </c>
      <c r="P1693" s="1" t="s">
        <v>375</v>
      </c>
      <c r="Q1693" s="1" t="s">
        <v>131</v>
      </c>
      <c r="R1693" s="1" t="s">
        <v>9276</v>
      </c>
      <c r="S1693" s="1" t="s">
        <v>9131</v>
      </c>
      <c r="T1693" s="1">
        <v>1</v>
      </c>
      <c r="U1693" s="1">
        <v>1</v>
      </c>
      <c r="V1693" s="1">
        <v>0</v>
      </c>
      <c r="W1693" s="1">
        <v>0</v>
      </c>
      <c r="X1693" s="1">
        <v>0</v>
      </c>
      <c r="Y1693" s="1">
        <v>1</v>
      </c>
      <c r="Z1693" s="1">
        <v>1</v>
      </c>
      <c r="AA1693" s="1" t="s">
        <v>104</v>
      </c>
      <c r="AB1693" s="1" t="s">
        <v>104</v>
      </c>
      <c r="AC1693" s="1">
        <v>1</v>
      </c>
      <c r="AD1693" s="1" t="s">
        <v>104</v>
      </c>
      <c r="AE1693" s="1" t="s">
        <v>104</v>
      </c>
      <c r="AF1693" s="1" t="s">
        <v>104</v>
      </c>
      <c r="AG1693" s="1" t="s">
        <v>104</v>
      </c>
      <c r="AH1693" s="1" t="s">
        <v>104</v>
      </c>
      <c r="AI1693" s="1" t="s">
        <v>104</v>
      </c>
      <c r="AJ1693" s="1" t="s">
        <v>104</v>
      </c>
      <c r="AK1693" s="1">
        <v>2</v>
      </c>
      <c r="AL1693" s="1" t="s">
        <v>104</v>
      </c>
      <c r="AM1693" s="1" t="s">
        <v>104</v>
      </c>
      <c r="AN1693" s="1" t="s">
        <v>9219</v>
      </c>
      <c r="AO1693" s="1">
        <v>1</v>
      </c>
      <c r="AR1693" s="1">
        <v>0</v>
      </c>
      <c r="AS1693" s="1">
        <v>0</v>
      </c>
      <c r="AT1693" s="1">
        <v>0</v>
      </c>
      <c r="AU1693" s="1">
        <v>0</v>
      </c>
      <c r="AV1693" s="1">
        <v>0</v>
      </c>
      <c r="AW1693" s="1">
        <v>0</v>
      </c>
      <c r="AX1693" s="1">
        <v>0</v>
      </c>
      <c r="AY1693" s="1">
        <v>0</v>
      </c>
      <c r="AZ1693" s="1">
        <v>0</v>
      </c>
      <c r="BA1693" s="1">
        <v>0</v>
      </c>
      <c r="BB1693" s="1">
        <v>0</v>
      </c>
      <c r="BC1693" s="1">
        <v>0</v>
      </c>
      <c r="BD1693" s="1">
        <v>0</v>
      </c>
      <c r="BE1693" s="1">
        <v>0</v>
      </c>
      <c r="BF1693" s="1">
        <v>0</v>
      </c>
      <c r="BG1693" s="1">
        <v>0</v>
      </c>
      <c r="BH1693" s="1">
        <v>0</v>
      </c>
      <c r="BI1693" s="1">
        <v>0</v>
      </c>
      <c r="BJ1693" s="1">
        <v>0</v>
      </c>
      <c r="BK1693" s="1">
        <v>0</v>
      </c>
      <c r="BL1693" s="1">
        <v>0</v>
      </c>
      <c r="BM1693" s="1">
        <v>0</v>
      </c>
      <c r="BN1693" s="1">
        <v>0</v>
      </c>
      <c r="BO1693" s="1">
        <v>0</v>
      </c>
      <c r="BP1693" s="1">
        <v>0</v>
      </c>
      <c r="BQ1693" s="1" t="s">
        <v>104</v>
      </c>
      <c r="BR1693" s="1">
        <v>1787</v>
      </c>
      <c r="BS1693" s="1" t="s">
        <v>104</v>
      </c>
      <c r="BX1693" s="1">
        <v>0</v>
      </c>
      <c r="BY1693" s="1" t="s">
        <v>104</v>
      </c>
      <c r="BZ1693" s="1" t="s">
        <v>104</v>
      </c>
      <c r="CA1693" s="1" t="s">
        <v>104</v>
      </c>
      <c r="CB1693" s="1" t="s">
        <v>104</v>
      </c>
      <c r="CC1693" s="1" t="s">
        <v>104</v>
      </c>
      <c r="CD1693" s="1" t="s">
        <v>104</v>
      </c>
      <c r="CE1693" s="1" t="s">
        <v>104</v>
      </c>
      <c r="CF1693" s="1" t="s">
        <v>104</v>
      </c>
      <c r="CG1693" s="1" t="s">
        <v>104</v>
      </c>
      <c r="CH1693" s="1">
        <v>1</v>
      </c>
      <c r="CJ1693" s="1">
        <v>0</v>
      </c>
      <c r="CK1693" s="1">
        <v>0</v>
      </c>
      <c r="CL1693" s="1">
        <v>0</v>
      </c>
      <c r="CM1693" s="1" t="s">
        <v>104</v>
      </c>
    </row>
    <row r="1694" spans="1:91" ht="14.25" customHeight="1" x14ac:dyDescent="0.3">
      <c r="A1694" s="1" t="s">
        <v>9277</v>
      </c>
      <c r="B1694" s="1" t="s">
        <v>92</v>
      </c>
      <c r="C1694" s="1" t="s">
        <v>1160</v>
      </c>
      <c r="E1694" s="1" t="s">
        <v>9278</v>
      </c>
      <c r="F1694" s="1" t="s">
        <v>255</v>
      </c>
      <c r="G1694" s="1" t="s">
        <v>9279</v>
      </c>
      <c r="H1694" s="1">
        <v>0</v>
      </c>
      <c r="I1694" s="1" t="s">
        <v>117</v>
      </c>
      <c r="L1694" s="1" t="s">
        <v>1065</v>
      </c>
      <c r="M1694" s="1" t="s">
        <v>4935</v>
      </c>
      <c r="N1694" s="1">
        <v>0</v>
      </c>
      <c r="O1694" s="1">
        <v>0</v>
      </c>
      <c r="P1694" s="1" t="s">
        <v>418</v>
      </c>
      <c r="Q1694" s="1" t="s">
        <v>184</v>
      </c>
      <c r="R1694" s="1" t="s">
        <v>9280</v>
      </c>
      <c r="S1694" s="1" t="s">
        <v>9131</v>
      </c>
      <c r="T1694" s="1">
        <v>1</v>
      </c>
      <c r="U1694" s="1">
        <v>1</v>
      </c>
      <c r="V1694" s="1">
        <v>1</v>
      </c>
      <c r="W1694" s="1">
        <v>0</v>
      </c>
      <c r="X1694" s="1">
        <v>0</v>
      </c>
      <c r="Y1694" s="1">
        <v>7</v>
      </c>
      <c r="Z1694" s="1">
        <v>7</v>
      </c>
      <c r="AA1694" s="1">
        <v>7</v>
      </c>
      <c r="AB1694" s="1" t="s">
        <v>104</v>
      </c>
      <c r="AC1694" s="1" t="s">
        <v>104</v>
      </c>
      <c r="AD1694" s="1" t="s">
        <v>104</v>
      </c>
      <c r="AE1694" s="1" t="s">
        <v>104</v>
      </c>
      <c r="AF1694" s="1" t="s">
        <v>104</v>
      </c>
      <c r="AG1694" s="1" t="s">
        <v>104</v>
      </c>
      <c r="AH1694" s="1">
        <v>7</v>
      </c>
      <c r="AI1694" s="1" t="s">
        <v>104</v>
      </c>
      <c r="AJ1694" s="1">
        <v>7</v>
      </c>
      <c r="AK1694" s="1" t="s">
        <v>104</v>
      </c>
      <c r="AL1694" s="1" t="s">
        <v>104</v>
      </c>
      <c r="AM1694" s="1" t="s">
        <v>104</v>
      </c>
      <c r="AN1694" s="1" t="s">
        <v>9281</v>
      </c>
      <c r="AO1694" s="1">
        <v>7</v>
      </c>
      <c r="AR1694" s="1">
        <v>0</v>
      </c>
      <c r="AS1694" s="1">
        <v>0</v>
      </c>
      <c r="AT1694" s="1">
        <v>0</v>
      </c>
      <c r="AU1694" s="1">
        <v>0</v>
      </c>
      <c r="AV1694" s="1">
        <v>0</v>
      </c>
      <c r="AW1694" s="1">
        <v>0</v>
      </c>
      <c r="AX1694" s="1">
        <v>0</v>
      </c>
      <c r="AY1694" s="1">
        <v>0</v>
      </c>
      <c r="AZ1694" s="1">
        <v>0</v>
      </c>
      <c r="BA1694" s="1">
        <v>0</v>
      </c>
      <c r="BB1694" s="1">
        <v>0</v>
      </c>
      <c r="BC1694" s="1">
        <v>0</v>
      </c>
      <c r="BD1694" s="1">
        <v>0</v>
      </c>
      <c r="BE1694" s="1">
        <v>0</v>
      </c>
      <c r="BF1694" s="1">
        <v>0</v>
      </c>
      <c r="BG1694" s="1">
        <v>0</v>
      </c>
      <c r="BH1694" s="1">
        <v>0</v>
      </c>
      <c r="BI1694" s="1">
        <v>0</v>
      </c>
      <c r="BJ1694" s="1">
        <v>0</v>
      </c>
      <c r="BK1694" s="1">
        <v>0</v>
      </c>
      <c r="BL1694" s="1">
        <v>0</v>
      </c>
      <c r="BM1694" s="1">
        <v>0</v>
      </c>
      <c r="BN1694" s="1">
        <v>0</v>
      </c>
      <c r="BO1694" s="1">
        <v>0</v>
      </c>
      <c r="BP1694" s="1">
        <v>0</v>
      </c>
      <c r="BQ1694" s="1" t="s">
        <v>104</v>
      </c>
      <c r="BR1694" s="1">
        <v>1788</v>
      </c>
      <c r="BS1694" s="1" t="s">
        <v>104</v>
      </c>
      <c r="BX1694" s="1">
        <v>0</v>
      </c>
      <c r="BY1694" s="1" t="s">
        <v>104</v>
      </c>
      <c r="BZ1694" s="1" t="s">
        <v>104</v>
      </c>
      <c r="CA1694" s="1" t="s">
        <v>104</v>
      </c>
      <c r="CB1694" s="1" t="s">
        <v>104</v>
      </c>
      <c r="CC1694" s="1" t="s">
        <v>104</v>
      </c>
      <c r="CD1694" s="1" t="s">
        <v>104</v>
      </c>
      <c r="CE1694" s="1" t="s">
        <v>104</v>
      </c>
      <c r="CF1694" s="1" t="s">
        <v>104</v>
      </c>
      <c r="CG1694" s="1" t="s">
        <v>104</v>
      </c>
      <c r="CH1694" s="1" t="s">
        <v>104</v>
      </c>
      <c r="CJ1694" s="1">
        <v>0</v>
      </c>
      <c r="CK1694" s="1">
        <v>0</v>
      </c>
      <c r="CL1694" s="1">
        <v>0</v>
      </c>
      <c r="CM1694" s="1" t="s">
        <v>104</v>
      </c>
    </row>
    <row r="1695" spans="1:91" ht="14.25" customHeight="1" x14ac:dyDescent="0.3">
      <c r="A1695" s="1" t="s">
        <v>9282</v>
      </c>
      <c r="B1695" s="1" t="s">
        <v>137</v>
      </c>
      <c r="C1695" s="1" t="s">
        <v>154</v>
      </c>
      <c r="E1695" s="1" t="s">
        <v>9283</v>
      </c>
      <c r="F1695" s="1" t="s">
        <v>191</v>
      </c>
      <c r="G1695" s="1" t="s">
        <v>116</v>
      </c>
      <c r="H1695" s="1">
        <v>0</v>
      </c>
      <c r="I1695" s="1" t="s">
        <v>128</v>
      </c>
      <c r="L1695" s="1" t="s">
        <v>374</v>
      </c>
      <c r="M1695" s="1" t="s">
        <v>201</v>
      </c>
      <c r="N1695" s="1">
        <v>0</v>
      </c>
      <c r="O1695" s="1">
        <v>0</v>
      </c>
      <c r="P1695" s="1" t="s">
        <v>211</v>
      </c>
      <c r="Q1695" s="1" t="s">
        <v>184</v>
      </c>
      <c r="R1695" s="1" t="s">
        <v>9284</v>
      </c>
      <c r="S1695" s="1" t="s">
        <v>9131</v>
      </c>
      <c r="T1695" s="1">
        <v>1</v>
      </c>
      <c r="U1695" s="1">
        <v>1</v>
      </c>
      <c r="V1695" s="1">
        <v>0</v>
      </c>
      <c r="W1695" s="1">
        <v>0</v>
      </c>
      <c r="X1695" s="1">
        <v>0</v>
      </c>
      <c r="Y1695" s="1">
        <v>3</v>
      </c>
      <c r="Z1695" s="1">
        <v>3</v>
      </c>
      <c r="AA1695" s="1">
        <v>3</v>
      </c>
      <c r="AB1695" s="1" t="s">
        <v>104</v>
      </c>
      <c r="AC1695" s="1" t="s">
        <v>104</v>
      </c>
      <c r="AD1695" s="1" t="s">
        <v>104</v>
      </c>
      <c r="AE1695" s="1" t="s">
        <v>104</v>
      </c>
      <c r="AF1695" s="1" t="s">
        <v>104</v>
      </c>
      <c r="AG1695" s="1" t="s">
        <v>104</v>
      </c>
      <c r="AH1695" s="1">
        <v>4</v>
      </c>
      <c r="AI1695" s="1" t="s">
        <v>104</v>
      </c>
      <c r="AJ1695" s="1">
        <v>3</v>
      </c>
      <c r="AK1695" s="1" t="s">
        <v>104</v>
      </c>
      <c r="AL1695" s="1" t="s">
        <v>104</v>
      </c>
      <c r="AM1695" s="1" t="s">
        <v>104</v>
      </c>
      <c r="AN1695" s="1" t="s">
        <v>9285</v>
      </c>
      <c r="AO1695" s="1">
        <v>3</v>
      </c>
      <c r="AR1695" s="1">
        <v>0</v>
      </c>
      <c r="AS1695" s="1">
        <v>0</v>
      </c>
      <c r="AT1695" s="1">
        <v>0</v>
      </c>
      <c r="AU1695" s="1">
        <v>0</v>
      </c>
      <c r="AV1695" s="1">
        <v>0</v>
      </c>
      <c r="AW1695" s="1">
        <v>0</v>
      </c>
      <c r="AX1695" s="1">
        <v>0</v>
      </c>
      <c r="AY1695" s="1">
        <v>0</v>
      </c>
      <c r="AZ1695" s="1">
        <v>0</v>
      </c>
      <c r="BA1695" s="1">
        <v>0</v>
      </c>
      <c r="BB1695" s="1">
        <v>0</v>
      </c>
      <c r="BC1695" s="1">
        <v>0</v>
      </c>
      <c r="BD1695" s="1">
        <v>0</v>
      </c>
      <c r="BE1695" s="1">
        <v>0</v>
      </c>
      <c r="BF1695" s="1">
        <v>0</v>
      </c>
      <c r="BG1695" s="1">
        <v>0</v>
      </c>
      <c r="BH1695" s="1">
        <v>0</v>
      </c>
      <c r="BI1695" s="1">
        <v>0</v>
      </c>
      <c r="BJ1695" s="1">
        <v>0</v>
      </c>
      <c r="BK1695" s="1">
        <v>0</v>
      </c>
      <c r="BL1695" s="1">
        <v>0</v>
      </c>
      <c r="BM1695" s="1">
        <v>0</v>
      </c>
      <c r="BN1695" s="1">
        <v>0</v>
      </c>
      <c r="BO1695" s="1">
        <v>0</v>
      </c>
      <c r="BP1695" s="1">
        <v>0</v>
      </c>
      <c r="BQ1695" s="1" t="s">
        <v>104</v>
      </c>
      <c r="BR1695" s="1">
        <v>1789</v>
      </c>
      <c r="BS1695" s="1" t="s">
        <v>104</v>
      </c>
      <c r="BX1695" s="1">
        <v>0</v>
      </c>
      <c r="BY1695" s="1" t="s">
        <v>104</v>
      </c>
      <c r="BZ1695" s="1" t="s">
        <v>104</v>
      </c>
      <c r="CA1695" s="1" t="s">
        <v>104</v>
      </c>
      <c r="CB1695" s="1" t="s">
        <v>104</v>
      </c>
      <c r="CC1695" s="1" t="s">
        <v>104</v>
      </c>
      <c r="CD1695" s="1" t="s">
        <v>104</v>
      </c>
      <c r="CE1695" s="1" t="s">
        <v>104</v>
      </c>
      <c r="CF1695" s="1" t="s">
        <v>104</v>
      </c>
      <c r="CG1695" s="1" t="s">
        <v>104</v>
      </c>
      <c r="CH1695" s="1" t="s">
        <v>104</v>
      </c>
      <c r="CJ1695" s="1">
        <v>0</v>
      </c>
      <c r="CK1695" s="1">
        <v>0</v>
      </c>
      <c r="CL1695" s="1">
        <v>0</v>
      </c>
      <c r="CM1695" s="1" t="s">
        <v>104</v>
      </c>
    </row>
    <row r="1696" spans="1:91" ht="14.25" customHeight="1" x14ac:dyDescent="0.3">
      <c r="A1696" s="1" t="s">
        <v>9286</v>
      </c>
      <c r="B1696" s="1" t="s">
        <v>434</v>
      </c>
      <c r="E1696" s="1" t="s">
        <v>9287</v>
      </c>
      <c r="F1696" s="1" t="s">
        <v>95</v>
      </c>
      <c r="G1696" s="1" t="s">
        <v>116</v>
      </c>
      <c r="H1696" s="1">
        <v>0</v>
      </c>
      <c r="I1696" s="1" t="s">
        <v>117</v>
      </c>
      <c r="K1696" s="1" t="s">
        <v>9288</v>
      </c>
      <c r="M1696" s="1" t="s">
        <v>4641</v>
      </c>
      <c r="N1696" s="1">
        <v>1</v>
      </c>
      <c r="O1696" s="1">
        <v>0</v>
      </c>
      <c r="P1696" s="1" t="s">
        <v>550</v>
      </c>
      <c r="Q1696" s="1" t="s">
        <v>184</v>
      </c>
      <c r="R1696" s="1" t="s">
        <v>9289</v>
      </c>
      <c r="S1696" s="1" t="s">
        <v>9131</v>
      </c>
      <c r="T1696" s="1">
        <v>1</v>
      </c>
      <c r="U1696" s="1">
        <v>1</v>
      </c>
      <c r="V1696" s="1">
        <v>0</v>
      </c>
      <c r="W1696" s="1">
        <v>0</v>
      </c>
      <c r="X1696" s="1">
        <v>0</v>
      </c>
      <c r="Y1696" s="1">
        <v>3</v>
      </c>
      <c r="Z1696" s="1">
        <v>3</v>
      </c>
      <c r="AA1696" s="1" t="s">
        <v>104</v>
      </c>
      <c r="AB1696" s="1" t="s">
        <v>104</v>
      </c>
      <c r="AC1696" s="1">
        <v>4</v>
      </c>
      <c r="AD1696" s="1" t="s">
        <v>104</v>
      </c>
      <c r="AE1696" s="1" t="s">
        <v>104</v>
      </c>
      <c r="AF1696" s="1" t="s">
        <v>104</v>
      </c>
      <c r="AG1696" s="1">
        <v>3</v>
      </c>
      <c r="AH1696" s="1" t="s">
        <v>104</v>
      </c>
      <c r="AI1696" s="1">
        <v>3</v>
      </c>
      <c r="AJ1696" s="1" t="s">
        <v>104</v>
      </c>
      <c r="AK1696" s="1">
        <v>4</v>
      </c>
      <c r="AL1696" s="1" t="s">
        <v>104</v>
      </c>
      <c r="AM1696" s="1" t="s">
        <v>104</v>
      </c>
      <c r="AN1696" s="1" t="s">
        <v>9219</v>
      </c>
      <c r="AO1696" s="1">
        <v>3</v>
      </c>
      <c r="AR1696" s="1">
        <v>0</v>
      </c>
      <c r="AS1696" s="1">
        <v>0</v>
      </c>
      <c r="AT1696" s="1">
        <v>0</v>
      </c>
      <c r="AU1696" s="1">
        <v>0</v>
      </c>
      <c r="AV1696" s="1">
        <v>0</v>
      </c>
      <c r="AW1696" s="1">
        <v>0</v>
      </c>
      <c r="AX1696" s="1">
        <v>0</v>
      </c>
      <c r="AY1696" s="1">
        <v>0</v>
      </c>
      <c r="AZ1696" s="1">
        <v>0</v>
      </c>
      <c r="BA1696" s="1">
        <v>0</v>
      </c>
      <c r="BB1696" s="1">
        <v>0</v>
      </c>
      <c r="BC1696" s="1">
        <v>0</v>
      </c>
      <c r="BD1696" s="1">
        <v>0</v>
      </c>
      <c r="BE1696" s="1">
        <v>0</v>
      </c>
      <c r="BF1696" s="1">
        <v>0</v>
      </c>
      <c r="BG1696" s="1">
        <v>0</v>
      </c>
      <c r="BH1696" s="1">
        <v>0</v>
      </c>
      <c r="BI1696" s="1">
        <v>0</v>
      </c>
      <c r="BJ1696" s="1">
        <v>0</v>
      </c>
      <c r="BK1696" s="1">
        <v>0</v>
      </c>
      <c r="BL1696" s="1">
        <v>0</v>
      </c>
      <c r="BM1696" s="1">
        <v>0</v>
      </c>
      <c r="BN1696" s="1">
        <v>0</v>
      </c>
      <c r="BO1696" s="1">
        <v>0</v>
      </c>
      <c r="BP1696" s="1">
        <v>0</v>
      </c>
      <c r="BQ1696" s="1" t="s">
        <v>104</v>
      </c>
      <c r="BR1696" s="1">
        <v>1790</v>
      </c>
      <c r="BS1696" s="1" t="s">
        <v>104</v>
      </c>
      <c r="BX1696" s="1">
        <v>0</v>
      </c>
      <c r="BY1696" s="1" t="s">
        <v>104</v>
      </c>
      <c r="BZ1696" s="1" t="s">
        <v>104</v>
      </c>
      <c r="CA1696" s="1" t="s">
        <v>104</v>
      </c>
      <c r="CB1696" s="1" t="s">
        <v>104</v>
      </c>
      <c r="CC1696" s="1" t="s">
        <v>104</v>
      </c>
      <c r="CD1696" s="1" t="s">
        <v>104</v>
      </c>
      <c r="CE1696" s="1" t="s">
        <v>104</v>
      </c>
      <c r="CF1696" s="1" t="s">
        <v>104</v>
      </c>
      <c r="CG1696" s="1" t="s">
        <v>104</v>
      </c>
      <c r="CH1696" s="1">
        <v>4</v>
      </c>
      <c r="CJ1696" s="1">
        <v>0</v>
      </c>
      <c r="CK1696" s="1">
        <v>0</v>
      </c>
      <c r="CL1696" s="1">
        <v>0</v>
      </c>
      <c r="CM1696" s="1">
        <v>3</v>
      </c>
    </row>
    <row r="1697" spans="1:91" ht="14.25" customHeight="1" x14ac:dyDescent="0.3">
      <c r="A1697" s="1" t="s">
        <v>9290</v>
      </c>
      <c r="B1697" s="1" t="s">
        <v>92</v>
      </c>
      <c r="C1697" s="1" t="s">
        <v>523</v>
      </c>
      <c r="D1697" s="1" t="s">
        <v>125</v>
      </c>
      <c r="E1697" s="1" t="s">
        <v>9291</v>
      </c>
      <c r="F1697" s="1" t="s">
        <v>95</v>
      </c>
      <c r="G1697" s="1" t="s">
        <v>127</v>
      </c>
      <c r="H1697" s="1">
        <v>0</v>
      </c>
      <c r="I1697" s="1" t="s">
        <v>128</v>
      </c>
      <c r="L1697" s="1" t="s">
        <v>374</v>
      </c>
      <c r="M1697" s="1" t="s">
        <v>5923</v>
      </c>
      <c r="N1697" s="1">
        <v>0</v>
      </c>
      <c r="O1697" s="1">
        <v>0</v>
      </c>
      <c r="P1697" s="1" t="s">
        <v>1058</v>
      </c>
      <c r="Q1697" s="1" t="s">
        <v>131</v>
      </c>
      <c r="R1697" s="1" t="s">
        <v>9292</v>
      </c>
      <c r="S1697" s="1" t="s">
        <v>9131</v>
      </c>
      <c r="T1697" s="1">
        <v>1</v>
      </c>
      <c r="U1697" s="1">
        <v>1</v>
      </c>
      <c r="V1697" s="1">
        <v>0</v>
      </c>
      <c r="W1697" s="1">
        <v>0</v>
      </c>
      <c r="X1697" s="1">
        <v>1</v>
      </c>
      <c r="Y1697" s="1" t="s">
        <v>104</v>
      </c>
      <c r="Z1697" s="1" t="s">
        <v>104</v>
      </c>
      <c r="AA1697" s="1">
        <v>1</v>
      </c>
      <c r="AB1697" s="1" t="s">
        <v>104</v>
      </c>
      <c r="AC1697" s="1" t="s">
        <v>104</v>
      </c>
      <c r="AD1697" s="1">
        <v>1</v>
      </c>
      <c r="AE1697" s="1" t="s">
        <v>104</v>
      </c>
      <c r="AF1697" s="1" t="s">
        <v>104</v>
      </c>
      <c r="AG1697" s="1" t="s">
        <v>104</v>
      </c>
      <c r="AH1697" s="1">
        <v>1</v>
      </c>
      <c r="AI1697" s="1">
        <v>1</v>
      </c>
      <c r="AJ1697" s="1">
        <v>1</v>
      </c>
      <c r="AK1697" s="1" t="s">
        <v>104</v>
      </c>
      <c r="AL1697" s="1" t="s">
        <v>104</v>
      </c>
      <c r="AM1697" s="1" t="s">
        <v>104</v>
      </c>
      <c r="AN1697" s="1" t="s">
        <v>9203</v>
      </c>
      <c r="AO1697" s="1">
        <v>1</v>
      </c>
      <c r="AR1697" s="1">
        <v>0</v>
      </c>
      <c r="AS1697" s="1">
        <v>0</v>
      </c>
      <c r="AT1697" s="1">
        <v>0</v>
      </c>
      <c r="AU1697" s="1">
        <v>0</v>
      </c>
      <c r="AV1697" s="1">
        <v>0</v>
      </c>
      <c r="AW1697" s="1">
        <v>0</v>
      </c>
      <c r="AX1697" s="1">
        <v>0</v>
      </c>
      <c r="AY1697" s="1">
        <v>0</v>
      </c>
      <c r="AZ1697" s="1">
        <v>0</v>
      </c>
      <c r="BA1697" s="1">
        <v>0</v>
      </c>
      <c r="BB1697" s="1">
        <v>0</v>
      </c>
      <c r="BC1697" s="1">
        <v>0</v>
      </c>
      <c r="BD1697" s="1">
        <v>0</v>
      </c>
      <c r="BE1697" s="1">
        <v>0</v>
      </c>
      <c r="BF1697" s="1">
        <v>0</v>
      </c>
      <c r="BG1697" s="1">
        <v>0</v>
      </c>
      <c r="BH1697" s="1">
        <v>0</v>
      </c>
      <c r="BI1697" s="1">
        <v>0</v>
      </c>
      <c r="BJ1697" s="1">
        <v>0</v>
      </c>
      <c r="BK1697" s="1">
        <v>1</v>
      </c>
      <c r="BL1697" s="1">
        <v>0</v>
      </c>
      <c r="BM1697" s="1">
        <v>0</v>
      </c>
      <c r="BN1697" s="1">
        <v>0</v>
      </c>
      <c r="BO1697" s="1">
        <v>0</v>
      </c>
      <c r="BP1697" s="1">
        <v>0</v>
      </c>
      <c r="BQ1697" s="1" t="s">
        <v>104</v>
      </c>
      <c r="BR1697" s="1">
        <v>1791</v>
      </c>
      <c r="BS1697" s="1" t="s">
        <v>104</v>
      </c>
      <c r="BX1697" s="1">
        <v>0</v>
      </c>
      <c r="BY1697" s="1" t="s">
        <v>104</v>
      </c>
      <c r="BZ1697" s="1" t="s">
        <v>104</v>
      </c>
      <c r="CA1697" s="1" t="s">
        <v>104</v>
      </c>
      <c r="CB1697" s="1" t="s">
        <v>104</v>
      </c>
      <c r="CC1697" s="1" t="s">
        <v>104</v>
      </c>
      <c r="CD1697" s="1" t="s">
        <v>104</v>
      </c>
      <c r="CE1697" s="1" t="s">
        <v>104</v>
      </c>
      <c r="CF1697" s="1" t="s">
        <v>104</v>
      </c>
      <c r="CG1697" s="1" t="s">
        <v>104</v>
      </c>
      <c r="CH1697" s="1" t="s">
        <v>104</v>
      </c>
      <c r="CJ1697" s="1">
        <v>0</v>
      </c>
      <c r="CK1697" s="1">
        <v>0</v>
      </c>
      <c r="CL1697" s="1">
        <v>0</v>
      </c>
      <c r="CM1697" s="1" t="s">
        <v>104</v>
      </c>
    </row>
    <row r="1698" spans="1:91" ht="14.25" customHeight="1" x14ac:dyDescent="0.3">
      <c r="A1698" s="1" t="s">
        <v>9293</v>
      </c>
      <c r="B1698" s="1" t="s">
        <v>216</v>
      </c>
      <c r="D1698" s="1" t="s">
        <v>6046</v>
      </c>
      <c r="E1698" s="1" t="s">
        <v>9294</v>
      </c>
      <c r="F1698" s="1" t="s">
        <v>95</v>
      </c>
      <c r="G1698" s="1" t="s">
        <v>116</v>
      </c>
      <c r="H1698" s="1">
        <v>0</v>
      </c>
      <c r="I1698" s="1" t="s">
        <v>128</v>
      </c>
      <c r="L1698" s="1" t="s">
        <v>417</v>
      </c>
      <c r="M1698" s="1" t="s">
        <v>6947</v>
      </c>
      <c r="N1698" s="1">
        <v>0</v>
      </c>
      <c r="O1698" s="1">
        <v>0</v>
      </c>
      <c r="P1698" s="1" t="s">
        <v>2807</v>
      </c>
      <c r="Q1698" s="1" t="s">
        <v>184</v>
      </c>
      <c r="R1698" s="1" t="s">
        <v>9295</v>
      </c>
      <c r="S1698" s="1" t="s">
        <v>9131</v>
      </c>
      <c r="T1698" s="1">
        <v>1</v>
      </c>
      <c r="U1698" s="1">
        <v>1</v>
      </c>
      <c r="V1698" s="1">
        <v>0</v>
      </c>
      <c r="W1698" s="1">
        <v>0</v>
      </c>
      <c r="X1698" s="1">
        <v>0</v>
      </c>
      <c r="Y1698" s="1">
        <v>7</v>
      </c>
      <c r="Z1698" s="1">
        <v>7</v>
      </c>
      <c r="AA1698" s="1">
        <v>6</v>
      </c>
      <c r="AB1698" s="1">
        <v>6</v>
      </c>
      <c r="AC1698" s="1" t="s">
        <v>104</v>
      </c>
      <c r="AD1698" s="1" t="s">
        <v>104</v>
      </c>
      <c r="AE1698" s="1" t="s">
        <v>104</v>
      </c>
      <c r="AF1698" s="1">
        <v>6</v>
      </c>
      <c r="AG1698" s="1" t="s">
        <v>104</v>
      </c>
      <c r="AH1698" s="1">
        <v>6</v>
      </c>
      <c r="AI1698" s="1">
        <v>6</v>
      </c>
      <c r="AJ1698" s="1">
        <v>6</v>
      </c>
      <c r="AK1698" s="1">
        <v>6</v>
      </c>
      <c r="AL1698" s="1" t="s">
        <v>104</v>
      </c>
      <c r="AM1698" s="1" t="s">
        <v>104</v>
      </c>
      <c r="AN1698" s="1" t="s">
        <v>8007</v>
      </c>
      <c r="AO1698" s="1">
        <v>7</v>
      </c>
      <c r="AR1698" s="1">
        <v>0</v>
      </c>
      <c r="AS1698" s="1">
        <v>0</v>
      </c>
      <c r="AT1698" s="1">
        <v>0</v>
      </c>
      <c r="AU1698" s="1">
        <v>0</v>
      </c>
      <c r="AV1698" s="1">
        <v>0</v>
      </c>
      <c r="AW1698" s="1">
        <v>0</v>
      </c>
      <c r="AX1698" s="1">
        <v>0</v>
      </c>
      <c r="AY1698" s="1">
        <v>1</v>
      </c>
      <c r="AZ1698" s="1">
        <v>0</v>
      </c>
      <c r="BA1698" s="1">
        <v>0</v>
      </c>
      <c r="BB1698" s="1">
        <v>0</v>
      </c>
      <c r="BC1698" s="1">
        <v>1</v>
      </c>
      <c r="BD1698" s="1">
        <v>0</v>
      </c>
      <c r="BE1698" s="1">
        <v>0</v>
      </c>
      <c r="BF1698" s="1">
        <v>0</v>
      </c>
      <c r="BG1698" s="1">
        <v>0</v>
      </c>
      <c r="BH1698" s="1">
        <v>0</v>
      </c>
      <c r="BI1698" s="1">
        <v>0</v>
      </c>
      <c r="BJ1698" s="1">
        <v>0</v>
      </c>
      <c r="BK1698" s="1">
        <v>0</v>
      </c>
      <c r="BL1698" s="1">
        <v>0</v>
      </c>
      <c r="BM1698" s="1">
        <v>0</v>
      </c>
      <c r="BN1698" s="1">
        <v>0</v>
      </c>
      <c r="BO1698" s="1">
        <v>0</v>
      </c>
      <c r="BP1698" s="1">
        <v>0</v>
      </c>
      <c r="BQ1698" s="1" t="s">
        <v>104</v>
      </c>
      <c r="BR1698" s="1">
        <v>1792</v>
      </c>
      <c r="BS1698" s="1" t="s">
        <v>104</v>
      </c>
      <c r="BX1698" s="1">
        <v>0</v>
      </c>
      <c r="BY1698" s="1" t="s">
        <v>104</v>
      </c>
      <c r="BZ1698" s="1" t="s">
        <v>104</v>
      </c>
      <c r="CA1698" s="1" t="s">
        <v>104</v>
      </c>
      <c r="CB1698" s="1" t="s">
        <v>104</v>
      </c>
      <c r="CC1698" s="1" t="s">
        <v>104</v>
      </c>
      <c r="CD1698" s="1" t="s">
        <v>104</v>
      </c>
      <c r="CE1698" s="1" t="s">
        <v>104</v>
      </c>
      <c r="CF1698" s="1" t="s">
        <v>104</v>
      </c>
      <c r="CG1698" s="1" t="s">
        <v>104</v>
      </c>
      <c r="CH1698" s="1">
        <v>6</v>
      </c>
      <c r="CJ1698" s="1">
        <v>0</v>
      </c>
      <c r="CK1698" s="1">
        <v>0</v>
      </c>
      <c r="CL1698" s="1">
        <v>0</v>
      </c>
      <c r="CM1698" s="1" t="s">
        <v>104</v>
      </c>
    </row>
    <row r="1699" spans="1:91" ht="14.25" customHeight="1" x14ac:dyDescent="0.3">
      <c r="A1699" s="1" t="s">
        <v>9296</v>
      </c>
      <c r="B1699" s="1" t="s">
        <v>137</v>
      </c>
      <c r="D1699" s="1" t="s">
        <v>64</v>
      </c>
      <c r="E1699" s="1" t="s">
        <v>9297</v>
      </c>
      <c r="F1699" s="1" t="s">
        <v>95</v>
      </c>
      <c r="G1699" s="1" t="s">
        <v>127</v>
      </c>
      <c r="H1699" s="1">
        <v>0</v>
      </c>
      <c r="I1699" s="1" t="s">
        <v>128</v>
      </c>
      <c r="L1699" s="1" t="s">
        <v>9298</v>
      </c>
      <c r="M1699" s="1" t="s">
        <v>2330</v>
      </c>
      <c r="N1699" s="1">
        <v>0</v>
      </c>
      <c r="O1699" s="1">
        <v>0</v>
      </c>
      <c r="P1699" s="1" t="s">
        <v>8473</v>
      </c>
      <c r="Q1699" s="1" t="s">
        <v>8474</v>
      </c>
      <c r="R1699" s="1" t="s">
        <v>9299</v>
      </c>
      <c r="S1699" s="1" t="s">
        <v>9131</v>
      </c>
      <c r="T1699" s="1">
        <v>1</v>
      </c>
      <c r="U1699" s="1">
        <v>1</v>
      </c>
      <c r="V1699" s="1">
        <v>0</v>
      </c>
      <c r="W1699" s="1">
        <v>0</v>
      </c>
      <c r="X1699" s="1">
        <v>1</v>
      </c>
      <c r="Y1699" s="1">
        <v>1</v>
      </c>
      <c r="Z1699" s="1">
        <v>1</v>
      </c>
      <c r="AA1699" s="1">
        <v>1</v>
      </c>
      <c r="AB1699" s="1" t="s">
        <v>104</v>
      </c>
      <c r="AC1699" s="1" t="s">
        <v>104</v>
      </c>
      <c r="AD1699" s="1">
        <v>1</v>
      </c>
      <c r="AE1699" s="1" t="s">
        <v>104</v>
      </c>
      <c r="AF1699" s="1" t="s">
        <v>104</v>
      </c>
      <c r="AG1699" s="1" t="s">
        <v>104</v>
      </c>
      <c r="AH1699" s="1">
        <v>1</v>
      </c>
      <c r="AI1699" s="1">
        <v>1</v>
      </c>
      <c r="AJ1699" s="1">
        <v>1</v>
      </c>
      <c r="AK1699" s="1" t="s">
        <v>104</v>
      </c>
      <c r="AL1699" s="1">
        <v>1</v>
      </c>
      <c r="AM1699" s="1" t="s">
        <v>104</v>
      </c>
      <c r="AN1699" s="1" t="s">
        <v>9219</v>
      </c>
      <c r="AO1699" s="1">
        <v>1</v>
      </c>
      <c r="AR1699" s="1">
        <v>0</v>
      </c>
      <c r="AS1699" s="1">
        <v>0</v>
      </c>
      <c r="AT1699" s="1">
        <v>0</v>
      </c>
      <c r="AU1699" s="1">
        <v>0</v>
      </c>
      <c r="AV1699" s="1">
        <v>0</v>
      </c>
      <c r="AW1699" s="1">
        <v>0</v>
      </c>
      <c r="AX1699" s="1">
        <v>0</v>
      </c>
      <c r="AY1699" s="1">
        <v>0</v>
      </c>
      <c r="AZ1699" s="1">
        <v>0</v>
      </c>
      <c r="BA1699" s="1">
        <v>0</v>
      </c>
      <c r="BB1699" s="1">
        <v>0</v>
      </c>
      <c r="BC1699" s="1">
        <v>0</v>
      </c>
      <c r="BD1699" s="1">
        <v>0</v>
      </c>
      <c r="BE1699" s="1">
        <v>0</v>
      </c>
      <c r="BF1699" s="1">
        <v>0</v>
      </c>
      <c r="BG1699" s="1">
        <v>0</v>
      </c>
      <c r="BH1699" s="1">
        <v>0</v>
      </c>
      <c r="BI1699" s="1">
        <v>0</v>
      </c>
      <c r="BJ1699" s="1">
        <v>0</v>
      </c>
      <c r="BK1699" s="1">
        <v>0</v>
      </c>
      <c r="BL1699" s="1">
        <v>0</v>
      </c>
      <c r="BM1699" s="1">
        <v>1</v>
      </c>
      <c r="BN1699" s="1">
        <v>0</v>
      </c>
      <c r="BO1699" s="1">
        <v>0</v>
      </c>
      <c r="BP1699" s="1">
        <v>0</v>
      </c>
      <c r="BQ1699" s="1" t="s">
        <v>104</v>
      </c>
      <c r="BR1699" s="1">
        <v>1793</v>
      </c>
      <c r="BS1699" s="1" t="s">
        <v>104</v>
      </c>
      <c r="BX1699" s="1">
        <v>0</v>
      </c>
      <c r="BY1699" s="1" t="s">
        <v>104</v>
      </c>
      <c r="BZ1699" s="1" t="s">
        <v>104</v>
      </c>
      <c r="CA1699" s="1" t="s">
        <v>104</v>
      </c>
      <c r="CB1699" s="1" t="s">
        <v>104</v>
      </c>
      <c r="CC1699" s="1" t="s">
        <v>104</v>
      </c>
      <c r="CD1699" s="1" t="s">
        <v>104</v>
      </c>
      <c r="CE1699" s="1" t="s">
        <v>104</v>
      </c>
      <c r="CF1699" s="1" t="s">
        <v>104</v>
      </c>
      <c r="CG1699" s="1" t="s">
        <v>104</v>
      </c>
      <c r="CH1699" s="1" t="s">
        <v>104</v>
      </c>
      <c r="CJ1699" s="1">
        <v>0</v>
      </c>
      <c r="CK1699" s="1">
        <v>0</v>
      </c>
      <c r="CL1699" s="1">
        <v>0</v>
      </c>
      <c r="CM1699" s="1" t="s">
        <v>104</v>
      </c>
    </row>
    <row r="1700" spans="1:91" ht="14.25" customHeight="1" x14ac:dyDescent="0.3">
      <c r="A1700" s="1" t="s">
        <v>9300</v>
      </c>
      <c r="B1700" s="1" t="s">
        <v>172</v>
      </c>
      <c r="E1700" s="1" t="s">
        <v>9301</v>
      </c>
      <c r="F1700" s="1" t="s">
        <v>191</v>
      </c>
      <c r="G1700" s="1" t="s">
        <v>9302</v>
      </c>
      <c r="H1700" s="1">
        <v>1</v>
      </c>
      <c r="I1700" s="1" t="s">
        <v>157</v>
      </c>
      <c r="L1700" s="1" t="s">
        <v>158</v>
      </c>
      <c r="M1700" s="1" t="s">
        <v>119</v>
      </c>
      <c r="N1700" s="1">
        <v>0</v>
      </c>
      <c r="O1700" s="1">
        <v>0</v>
      </c>
      <c r="R1700" s="1" t="s">
        <v>9303</v>
      </c>
      <c r="S1700" s="1" t="s">
        <v>9131</v>
      </c>
      <c r="T1700" s="1">
        <v>1</v>
      </c>
      <c r="U1700" s="1">
        <v>1</v>
      </c>
      <c r="V1700" s="1">
        <v>0</v>
      </c>
      <c r="W1700" s="1">
        <v>0</v>
      </c>
      <c r="X1700" s="1">
        <v>0</v>
      </c>
      <c r="Y1700" s="1" t="s">
        <v>104</v>
      </c>
      <c r="Z1700" s="1" t="s">
        <v>104</v>
      </c>
      <c r="AA1700" s="1">
        <v>1</v>
      </c>
      <c r="AB1700" s="1">
        <v>1</v>
      </c>
      <c r="AC1700" s="1">
        <v>1</v>
      </c>
      <c r="AD1700" s="1">
        <v>1</v>
      </c>
      <c r="AE1700" s="1" t="s">
        <v>104</v>
      </c>
      <c r="AF1700" s="1" t="s">
        <v>104</v>
      </c>
      <c r="AG1700" s="1" t="s">
        <v>104</v>
      </c>
      <c r="AH1700" s="1">
        <v>1</v>
      </c>
      <c r="AI1700" s="1" t="s">
        <v>104</v>
      </c>
      <c r="AJ1700" s="1">
        <v>1</v>
      </c>
      <c r="AK1700" s="1" t="s">
        <v>104</v>
      </c>
      <c r="AL1700" s="1" t="s">
        <v>104</v>
      </c>
      <c r="AM1700" s="1" t="s">
        <v>104</v>
      </c>
      <c r="AN1700" s="1" t="s">
        <v>9237</v>
      </c>
      <c r="AO1700" s="1">
        <v>1</v>
      </c>
      <c r="AR1700" s="1">
        <v>0</v>
      </c>
      <c r="AS1700" s="1">
        <v>0</v>
      </c>
      <c r="AT1700" s="1">
        <v>0</v>
      </c>
      <c r="AU1700" s="1">
        <v>0</v>
      </c>
      <c r="AV1700" s="1">
        <v>0</v>
      </c>
      <c r="AW1700" s="1">
        <v>0</v>
      </c>
      <c r="AX1700" s="1">
        <v>0</v>
      </c>
      <c r="AY1700" s="1">
        <v>0</v>
      </c>
      <c r="AZ1700" s="1">
        <v>0</v>
      </c>
      <c r="BA1700" s="1">
        <v>0</v>
      </c>
      <c r="BB1700" s="1">
        <v>0</v>
      </c>
      <c r="BC1700" s="1">
        <v>0</v>
      </c>
      <c r="BD1700" s="1">
        <v>0</v>
      </c>
      <c r="BE1700" s="1">
        <v>0</v>
      </c>
      <c r="BF1700" s="1">
        <v>0</v>
      </c>
      <c r="BG1700" s="1">
        <v>0</v>
      </c>
      <c r="BH1700" s="1">
        <v>0</v>
      </c>
      <c r="BI1700" s="1">
        <v>0</v>
      </c>
      <c r="BJ1700" s="1">
        <v>0</v>
      </c>
      <c r="BK1700" s="1">
        <v>0</v>
      </c>
      <c r="BL1700" s="1">
        <v>0</v>
      </c>
      <c r="BM1700" s="1">
        <v>0</v>
      </c>
      <c r="BN1700" s="1">
        <v>0</v>
      </c>
      <c r="BO1700" s="1">
        <v>0</v>
      </c>
      <c r="BP1700" s="1">
        <v>0</v>
      </c>
      <c r="BQ1700" s="1" t="s">
        <v>104</v>
      </c>
      <c r="BR1700" s="1">
        <v>1794</v>
      </c>
      <c r="BS1700" s="1">
        <v>25</v>
      </c>
      <c r="BX1700" s="1">
        <v>0</v>
      </c>
      <c r="BY1700" s="1" t="s">
        <v>104</v>
      </c>
      <c r="BZ1700" s="1" t="s">
        <v>104</v>
      </c>
      <c r="CA1700" s="1" t="s">
        <v>104</v>
      </c>
      <c r="CB1700" s="1" t="s">
        <v>104</v>
      </c>
      <c r="CC1700" s="1" t="s">
        <v>104</v>
      </c>
      <c r="CD1700" s="1" t="s">
        <v>104</v>
      </c>
      <c r="CE1700" s="1" t="s">
        <v>104</v>
      </c>
      <c r="CF1700" s="1" t="s">
        <v>104</v>
      </c>
      <c r="CG1700" s="1" t="s">
        <v>104</v>
      </c>
      <c r="CH1700" s="1">
        <v>1</v>
      </c>
      <c r="CJ1700" s="1">
        <v>0</v>
      </c>
      <c r="CK1700" s="1">
        <v>0</v>
      </c>
      <c r="CL1700" s="1">
        <v>0</v>
      </c>
      <c r="CM1700" s="1" t="s">
        <v>104</v>
      </c>
    </row>
    <row r="1701" spans="1:91" ht="14.25" customHeight="1" x14ac:dyDescent="0.3">
      <c r="A1701" s="1" t="s">
        <v>9304</v>
      </c>
      <c r="B1701" s="1" t="s">
        <v>92</v>
      </c>
      <c r="C1701" s="1" t="s">
        <v>523</v>
      </c>
      <c r="E1701" s="1" t="s">
        <v>4512</v>
      </c>
      <c r="F1701" s="1" t="s">
        <v>191</v>
      </c>
      <c r="G1701" s="1" t="s">
        <v>127</v>
      </c>
      <c r="H1701" s="1">
        <v>0</v>
      </c>
      <c r="I1701" s="1" t="s">
        <v>128</v>
      </c>
      <c r="L1701" s="1" t="s">
        <v>374</v>
      </c>
      <c r="M1701" s="1" t="s">
        <v>119</v>
      </c>
      <c r="N1701" s="1">
        <v>0</v>
      </c>
      <c r="O1701" s="1">
        <v>0</v>
      </c>
      <c r="P1701" s="1" t="s">
        <v>375</v>
      </c>
      <c r="Q1701" s="1" t="s">
        <v>131</v>
      </c>
      <c r="R1701" s="1" t="s">
        <v>9305</v>
      </c>
      <c r="S1701" s="1" t="s">
        <v>9131</v>
      </c>
      <c r="T1701" s="1">
        <v>1</v>
      </c>
      <c r="U1701" s="1">
        <v>1</v>
      </c>
      <c r="V1701" s="1">
        <v>0</v>
      </c>
      <c r="W1701" s="1">
        <v>0</v>
      </c>
      <c r="X1701" s="1">
        <v>1</v>
      </c>
      <c r="Y1701" s="1" t="s">
        <v>104</v>
      </c>
      <c r="Z1701" s="1" t="s">
        <v>104</v>
      </c>
      <c r="AA1701" s="1">
        <v>4</v>
      </c>
      <c r="AB1701" s="1" t="s">
        <v>104</v>
      </c>
      <c r="AC1701" s="1" t="s">
        <v>104</v>
      </c>
      <c r="AD1701" s="1" t="s">
        <v>104</v>
      </c>
      <c r="AE1701" s="1" t="s">
        <v>104</v>
      </c>
      <c r="AF1701" s="1" t="s">
        <v>104</v>
      </c>
      <c r="AG1701" s="1" t="s">
        <v>104</v>
      </c>
      <c r="AH1701" s="1" t="s">
        <v>104</v>
      </c>
      <c r="AI1701" s="1" t="s">
        <v>104</v>
      </c>
      <c r="AJ1701" s="1">
        <v>4</v>
      </c>
      <c r="AK1701" s="1" t="s">
        <v>104</v>
      </c>
      <c r="AL1701" s="1" t="s">
        <v>104</v>
      </c>
      <c r="AM1701" s="1" t="s">
        <v>104</v>
      </c>
      <c r="AN1701" s="1" t="s">
        <v>9137</v>
      </c>
      <c r="AO1701" s="1">
        <v>4</v>
      </c>
      <c r="AR1701" s="1">
        <v>0</v>
      </c>
      <c r="AS1701" s="1">
        <v>0</v>
      </c>
      <c r="AT1701" s="1">
        <v>0</v>
      </c>
      <c r="AU1701" s="1">
        <v>0</v>
      </c>
      <c r="AV1701" s="1">
        <v>0</v>
      </c>
      <c r="AW1701" s="1">
        <v>0</v>
      </c>
      <c r="AX1701" s="1">
        <v>0</v>
      </c>
      <c r="AY1701" s="1">
        <v>0</v>
      </c>
      <c r="AZ1701" s="1">
        <v>0</v>
      </c>
      <c r="BA1701" s="1">
        <v>0</v>
      </c>
      <c r="BB1701" s="1">
        <v>0</v>
      </c>
      <c r="BC1701" s="1">
        <v>0</v>
      </c>
      <c r="BD1701" s="1">
        <v>0</v>
      </c>
      <c r="BE1701" s="1">
        <v>0</v>
      </c>
      <c r="BF1701" s="1">
        <v>0</v>
      </c>
      <c r="BG1701" s="1">
        <v>0</v>
      </c>
      <c r="BH1701" s="1">
        <v>0</v>
      </c>
      <c r="BI1701" s="1">
        <v>0</v>
      </c>
      <c r="BJ1701" s="1">
        <v>0</v>
      </c>
      <c r="BK1701" s="1">
        <v>0</v>
      </c>
      <c r="BL1701" s="1">
        <v>0</v>
      </c>
      <c r="BM1701" s="1">
        <v>0</v>
      </c>
      <c r="BN1701" s="1">
        <v>0</v>
      </c>
      <c r="BO1701" s="1">
        <v>0</v>
      </c>
      <c r="BP1701" s="1">
        <v>0</v>
      </c>
      <c r="BQ1701" s="1" t="s">
        <v>104</v>
      </c>
      <c r="BR1701" s="1">
        <v>1795</v>
      </c>
      <c r="BS1701" s="1" t="s">
        <v>104</v>
      </c>
      <c r="BX1701" s="1">
        <v>0</v>
      </c>
      <c r="BY1701" s="1" t="s">
        <v>104</v>
      </c>
      <c r="BZ1701" s="1" t="s">
        <v>104</v>
      </c>
      <c r="CA1701" s="1" t="s">
        <v>104</v>
      </c>
      <c r="CB1701" s="1" t="s">
        <v>104</v>
      </c>
      <c r="CC1701" s="1" t="s">
        <v>104</v>
      </c>
      <c r="CD1701" s="1" t="s">
        <v>104</v>
      </c>
      <c r="CE1701" s="1" t="s">
        <v>104</v>
      </c>
      <c r="CF1701" s="1" t="s">
        <v>104</v>
      </c>
      <c r="CG1701" s="1" t="s">
        <v>104</v>
      </c>
      <c r="CH1701" s="1" t="s">
        <v>104</v>
      </c>
      <c r="CJ1701" s="1">
        <v>0</v>
      </c>
      <c r="CK1701" s="1">
        <v>0</v>
      </c>
      <c r="CL1701" s="1">
        <v>0</v>
      </c>
      <c r="CM1701" s="1" t="s">
        <v>104</v>
      </c>
    </row>
    <row r="1702" spans="1:91" ht="14.25" customHeight="1" x14ac:dyDescent="0.3">
      <c r="A1702" s="1" t="s">
        <v>9306</v>
      </c>
      <c r="B1702" s="1" t="s">
        <v>137</v>
      </c>
      <c r="E1702" s="1" t="s">
        <v>9307</v>
      </c>
      <c r="F1702" s="1" t="s">
        <v>95</v>
      </c>
      <c r="G1702" s="1" t="s">
        <v>116</v>
      </c>
      <c r="H1702" s="1">
        <v>0</v>
      </c>
      <c r="I1702" s="1" t="s">
        <v>914</v>
      </c>
      <c r="J1702" s="1" t="s">
        <v>549</v>
      </c>
      <c r="M1702" s="1" t="s">
        <v>119</v>
      </c>
      <c r="N1702" s="1">
        <v>0</v>
      </c>
      <c r="O1702" s="1">
        <v>0</v>
      </c>
      <c r="P1702" s="1" t="s">
        <v>100</v>
      </c>
      <c r="Q1702" s="1" t="s">
        <v>184</v>
      </c>
      <c r="R1702" s="1" t="s">
        <v>9308</v>
      </c>
      <c r="S1702" s="1" t="s">
        <v>9131</v>
      </c>
      <c r="T1702" s="1">
        <v>1</v>
      </c>
      <c r="U1702" s="1">
        <v>1</v>
      </c>
      <c r="V1702" s="1">
        <v>0</v>
      </c>
      <c r="W1702" s="1">
        <v>0</v>
      </c>
      <c r="X1702" s="1">
        <v>0</v>
      </c>
      <c r="Y1702" s="1">
        <v>2</v>
      </c>
      <c r="Z1702" s="1">
        <v>2</v>
      </c>
      <c r="AA1702" s="1">
        <v>2</v>
      </c>
      <c r="AB1702" s="1" t="s">
        <v>104</v>
      </c>
      <c r="AC1702" s="1" t="s">
        <v>104</v>
      </c>
      <c r="AD1702" s="1" t="s">
        <v>104</v>
      </c>
      <c r="AE1702" s="1" t="s">
        <v>104</v>
      </c>
      <c r="AF1702" s="1" t="s">
        <v>104</v>
      </c>
      <c r="AG1702" s="1" t="s">
        <v>104</v>
      </c>
      <c r="AH1702" s="1">
        <v>2</v>
      </c>
      <c r="AI1702" s="1">
        <v>2</v>
      </c>
      <c r="AJ1702" s="1">
        <v>2</v>
      </c>
      <c r="AK1702" s="1" t="s">
        <v>104</v>
      </c>
      <c r="AL1702" s="1" t="s">
        <v>104</v>
      </c>
      <c r="AM1702" s="1">
        <v>2</v>
      </c>
      <c r="AN1702" s="1" t="s">
        <v>9157</v>
      </c>
      <c r="AO1702" s="1">
        <v>2</v>
      </c>
      <c r="AR1702" s="1">
        <v>0</v>
      </c>
      <c r="AS1702" s="1">
        <v>0</v>
      </c>
      <c r="AT1702" s="1">
        <v>0</v>
      </c>
      <c r="AU1702" s="1">
        <v>0</v>
      </c>
      <c r="AV1702" s="1">
        <v>0</v>
      </c>
      <c r="AW1702" s="1">
        <v>0</v>
      </c>
      <c r="AX1702" s="1">
        <v>0</v>
      </c>
      <c r="AY1702" s="1">
        <v>0</v>
      </c>
      <c r="AZ1702" s="1">
        <v>0</v>
      </c>
      <c r="BA1702" s="1">
        <v>0</v>
      </c>
      <c r="BB1702" s="1">
        <v>0</v>
      </c>
      <c r="BC1702" s="1">
        <v>0</v>
      </c>
      <c r="BD1702" s="1">
        <v>0</v>
      </c>
      <c r="BE1702" s="1">
        <v>0</v>
      </c>
      <c r="BF1702" s="1">
        <v>0</v>
      </c>
      <c r="BG1702" s="1">
        <v>0</v>
      </c>
      <c r="BH1702" s="1">
        <v>0</v>
      </c>
      <c r="BI1702" s="1">
        <v>0</v>
      </c>
      <c r="BJ1702" s="1">
        <v>0</v>
      </c>
      <c r="BK1702" s="1">
        <v>0</v>
      </c>
      <c r="BL1702" s="1">
        <v>0</v>
      </c>
      <c r="BM1702" s="1">
        <v>0</v>
      </c>
      <c r="BN1702" s="1">
        <v>0</v>
      </c>
      <c r="BO1702" s="1">
        <v>0</v>
      </c>
      <c r="BP1702" s="1">
        <v>0</v>
      </c>
      <c r="BQ1702" s="1" t="s">
        <v>104</v>
      </c>
      <c r="BR1702" s="1">
        <v>1796</v>
      </c>
      <c r="BS1702" s="1" t="s">
        <v>104</v>
      </c>
      <c r="BX1702" s="1">
        <v>0</v>
      </c>
      <c r="BY1702" s="1" t="s">
        <v>104</v>
      </c>
      <c r="BZ1702" s="1" t="s">
        <v>104</v>
      </c>
      <c r="CA1702" s="1" t="s">
        <v>104</v>
      </c>
      <c r="CB1702" s="1" t="s">
        <v>104</v>
      </c>
      <c r="CC1702" s="1" t="s">
        <v>104</v>
      </c>
      <c r="CD1702" s="1" t="s">
        <v>104</v>
      </c>
      <c r="CE1702" s="1" t="s">
        <v>104</v>
      </c>
      <c r="CF1702" s="1" t="s">
        <v>104</v>
      </c>
      <c r="CG1702" s="1" t="s">
        <v>104</v>
      </c>
      <c r="CH1702" s="1" t="s">
        <v>104</v>
      </c>
      <c r="CJ1702" s="1">
        <v>0</v>
      </c>
      <c r="CK1702" s="1">
        <v>0</v>
      </c>
      <c r="CL1702" s="1">
        <v>0</v>
      </c>
      <c r="CM1702" s="1" t="s">
        <v>104</v>
      </c>
    </row>
    <row r="1703" spans="1:91" ht="14.25" customHeight="1" x14ac:dyDescent="0.3">
      <c r="A1703" s="1" t="s">
        <v>9309</v>
      </c>
      <c r="B1703" s="1" t="s">
        <v>172</v>
      </c>
      <c r="E1703" s="1" t="s">
        <v>9310</v>
      </c>
      <c r="F1703" s="1" t="s">
        <v>95</v>
      </c>
      <c r="G1703" s="1" t="s">
        <v>116</v>
      </c>
      <c r="H1703" s="1">
        <v>0</v>
      </c>
      <c r="I1703" s="1" t="s">
        <v>128</v>
      </c>
      <c r="L1703" s="1" t="s">
        <v>374</v>
      </c>
      <c r="M1703" s="1" t="s">
        <v>4292</v>
      </c>
      <c r="N1703" s="1">
        <v>0</v>
      </c>
      <c r="O1703" s="1">
        <v>0</v>
      </c>
      <c r="P1703" s="1" t="s">
        <v>375</v>
      </c>
      <c r="Q1703" s="1" t="s">
        <v>9311</v>
      </c>
      <c r="R1703" s="1" t="s">
        <v>9312</v>
      </c>
      <c r="S1703" s="1" t="s">
        <v>9131</v>
      </c>
      <c r="T1703" s="1">
        <v>1</v>
      </c>
      <c r="U1703" s="1">
        <v>1</v>
      </c>
      <c r="V1703" s="1">
        <v>0</v>
      </c>
      <c r="W1703" s="1">
        <v>0</v>
      </c>
      <c r="X1703" s="1">
        <v>0</v>
      </c>
      <c r="Y1703" s="1">
        <v>2</v>
      </c>
      <c r="Z1703" s="1">
        <v>2</v>
      </c>
      <c r="AA1703" s="1">
        <v>2</v>
      </c>
      <c r="AB1703" s="1" t="s">
        <v>104</v>
      </c>
      <c r="AC1703" s="1" t="s">
        <v>104</v>
      </c>
      <c r="AD1703" s="1">
        <v>1</v>
      </c>
      <c r="AE1703" s="1" t="s">
        <v>104</v>
      </c>
      <c r="AF1703" s="1" t="s">
        <v>104</v>
      </c>
      <c r="AG1703" s="1" t="s">
        <v>104</v>
      </c>
      <c r="AH1703" s="1" t="s">
        <v>104</v>
      </c>
      <c r="AI1703" s="1">
        <v>1</v>
      </c>
      <c r="AJ1703" s="1">
        <v>2</v>
      </c>
      <c r="AK1703" s="1" t="s">
        <v>104</v>
      </c>
      <c r="AL1703" s="1" t="s">
        <v>104</v>
      </c>
      <c r="AM1703" s="1" t="s">
        <v>104</v>
      </c>
      <c r="AN1703" s="1" t="s">
        <v>9313</v>
      </c>
      <c r="AO1703" s="1">
        <v>2</v>
      </c>
      <c r="AR1703" s="1">
        <v>0</v>
      </c>
      <c r="AS1703" s="1">
        <v>0</v>
      </c>
      <c r="AT1703" s="1">
        <v>0</v>
      </c>
      <c r="AU1703" s="1">
        <v>0</v>
      </c>
      <c r="AV1703" s="1">
        <v>0</v>
      </c>
      <c r="AW1703" s="1">
        <v>0</v>
      </c>
      <c r="AX1703" s="1">
        <v>0</v>
      </c>
      <c r="AY1703" s="1">
        <v>0</v>
      </c>
      <c r="AZ1703" s="1">
        <v>0</v>
      </c>
      <c r="BA1703" s="1">
        <v>0</v>
      </c>
      <c r="BB1703" s="1">
        <v>0</v>
      </c>
      <c r="BC1703" s="1">
        <v>0</v>
      </c>
      <c r="BD1703" s="1">
        <v>0</v>
      </c>
      <c r="BE1703" s="1">
        <v>0</v>
      </c>
      <c r="BF1703" s="1">
        <v>0</v>
      </c>
      <c r="BG1703" s="1">
        <v>0</v>
      </c>
      <c r="BH1703" s="1">
        <v>0</v>
      </c>
      <c r="BI1703" s="1">
        <v>0</v>
      </c>
      <c r="BJ1703" s="1">
        <v>0</v>
      </c>
      <c r="BK1703" s="1">
        <v>0</v>
      </c>
      <c r="BL1703" s="1">
        <v>0</v>
      </c>
      <c r="BM1703" s="1">
        <v>0</v>
      </c>
      <c r="BN1703" s="1">
        <v>0</v>
      </c>
      <c r="BO1703" s="1">
        <v>0</v>
      </c>
      <c r="BP1703" s="1">
        <v>0</v>
      </c>
      <c r="BQ1703" s="1" t="s">
        <v>104</v>
      </c>
      <c r="BR1703" s="1">
        <v>1798</v>
      </c>
      <c r="BS1703" s="1" t="s">
        <v>104</v>
      </c>
      <c r="BX1703" s="1">
        <v>0</v>
      </c>
      <c r="BY1703" s="1" t="s">
        <v>104</v>
      </c>
      <c r="BZ1703" s="1" t="s">
        <v>104</v>
      </c>
      <c r="CA1703" s="1" t="s">
        <v>104</v>
      </c>
      <c r="CB1703" s="1" t="s">
        <v>104</v>
      </c>
      <c r="CC1703" s="1" t="s">
        <v>104</v>
      </c>
      <c r="CD1703" s="1" t="s">
        <v>104</v>
      </c>
      <c r="CE1703" s="1" t="s">
        <v>104</v>
      </c>
      <c r="CF1703" s="1" t="s">
        <v>104</v>
      </c>
      <c r="CG1703" s="1" t="s">
        <v>104</v>
      </c>
      <c r="CH1703" s="1" t="s">
        <v>104</v>
      </c>
      <c r="CJ1703" s="1">
        <v>0</v>
      </c>
      <c r="CK1703" s="1">
        <v>0</v>
      </c>
      <c r="CL1703" s="1">
        <v>0</v>
      </c>
      <c r="CM1703" s="1" t="s">
        <v>104</v>
      </c>
    </row>
    <row r="1704" spans="1:91" ht="14.25" customHeight="1" x14ac:dyDescent="0.3">
      <c r="A1704" s="1" t="s">
        <v>9314</v>
      </c>
      <c r="B1704" s="1" t="s">
        <v>123</v>
      </c>
      <c r="C1704" s="1" t="s">
        <v>635</v>
      </c>
      <c r="D1704" s="1" t="s">
        <v>125</v>
      </c>
      <c r="E1704" s="1" t="s">
        <v>7941</v>
      </c>
      <c r="F1704" s="1" t="s">
        <v>95</v>
      </c>
      <c r="G1704" s="1" t="s">
        <v>127</v>
      </c>
      <c r="H1704" s="1">
        <v>0</v>
      </c>
      <c r="I1704" s="1" t="s">
        <v>157</v>
      </c>
      <c r="L1704" s="1" t="s">
        <v>158</v>
      </c>
      <c r="M1704" s="1" t="s">
        <v>4992</v>
      </c>
      <c r="N1704" s="1">
        <v>1</v>
      </c>
      <c r="O1704" s="1">
        <v>0</v>
      </c>
      <c r="R1704" s="1" t="s">
        <v>9315</v>
      </c>
      <c r="S1704" s="1" t="s">
        <v>9131</v>
      </c>
      <c r="T1704" s="1">
        <v>1</v>
      </c>
      <c r="U1704" s="1">
        <v>1</v>
      </c>
      <c r="V1704" s="1">
        <v>0</v>
      </c>
      <c r="W1704" s="1">
        <v>0</v>
      </c>
      <c r="X1704" s="1">
        <v>1</v>
      </c>
      <c r="Y1704" s="1">
        <v>2</v>
      </c>
      <c r="Z1704" s="1">
        <v>2</v>
      </c>
      <c r="AA1704" s="1" t="s">
        <v>104</v>
      </c>
      <c r="AB1704" s="1" t="s">
        <v>104</v>
      </c>
      <c r="AC1704" s="1" t="s">
        <v>104</v>
      </c>
      <c r="AD1704" s="1">
        <v>2</v>
      </c>
      <c r="AE1704" s="1" t="s">
        <v>104</v>
      </c>
      <c r="AF1704" s="1" t="s">
        <v>104</v>
      </c>
      <c r="AG1704" s="1" t="s">
        <v>104</v>
      </c>
      <c r="AH1704" s="1">
        <v>2</v>
      </c>
      <c r="AI1704" s="1" t="s">
        <v>104</v>
      </c>
      <c r="AJ1704" s="1" t="s">
        <v>104</v>
      </c>
      <c r="AK1704" s="1" t="s">
        <v>104</v>
      </c>
      <c r="AL1704" s="1" t="s">
        <v>104</v>
      </c>
      <c r="AM1704" s="1" t="s">
        <v>104</v>
      </c>
      <c r="AN1704" s="1" t="s">
        <v>9313</v>
      </c>
      <c r="AO1704" s="1">
        <v>2</v>
      </c>
      <c r="AR1704" s="1">
        <v>0</v>
      </c>
      <c r="AS1704" s="1">
        <v>0</v>
      </c>
      <c r="AT1704" s="1">
        <v>0</v>
      </c>
      <c r="AU1704" s="1">
        <v>0</v>
      </c>
      <c r="AV1704" s="1">
        <v>0</v>
      </c>
      <c r="AW1704" s="1">
        <v>0</v>
      </c>
      <c r="AX1704" s="1">
        <v>0</v>
      </c>
      <c r="AY1704" s="1">
        <v>0</v>
      </c>
      <c r="AZ1704" s="1">
        <v>0</v>
      </c>
      <c r="BA1704" s="1">
        <v>0</v>
      </c>
      <c r="BB1704" s="1">
        <v>0</v>
      </c>
      <c r="BC1704" s="1">
        <v>0</v>
      </c>
      <c r="BD1704" s="1">
        <v>0</v>
      </c>
      <c r="BE1704" s="1">
        <v>0</v>
      </c>
      <c r="BF1704" s="1">
        <v>0</v>
      </c>
      <c r="BG1704" s="1">
        <v>0</v>
      </c>
      <c r="BH1704" s="1">
        <v>0</v>
      </c>
      <c r="BI1704" s="1">
        <v>0</v>
      </c>
      <c r="BJ1704" s="1">
        <v>0</v>
      </c>
      <c r="BK1704" s="1">
        <v>1</v>
      </c>
      <c r="BL1704" s="1">
        <v>0</v>
      </c>
      <c r="BM1704" s="1">
        <v>0</v>
      </c>
      <c r="BN1704" s="1">
        <v>0</v>
      </c>
      <c r="BO1704" s="1">
        <v>0</v>
      </c>
      <c r="BP1704" s="1">
        <v>0</v>
      </c>
      <c r="BQ1704" s="1" t="s">
        <v>104</v>
      </c>
      <c r="BR1704" s="1">
        <v>1799</v>
      </c>
      <c r="BS1704" s="1" t="s">
        <v>104</v>
      </c>
      <c r="BX1704" s="1">
        <v>0</v>
      </c>
      <c r="BY1704" s="1" t="s">
        <v>104</v>
      </c>
      <c r="BZ1704" s="1" t="s">
        <v>104</v>
      </c>
      <c r="CA1704" s="1" t="s">
        <v>104</v>
      </c>
      <c r="CB1704" s="1" t="s">
        <v>104</v>
      </c>
      <c r="CC1704" s="1" t="s">
        <v>104</v>
      </c>
      <c r="CD1704" s="1" t="s">
        <v>104</v>
      </c>
      <c r="CE1704" s="1" t="s">
        <v>104</v>
      </c>
      <c r="CF1704" s="1" t="s">
        <v>104</v>
      </c>
      <c r="CG1704" s="1" t="s">
        <v>104</v>
      </c>
      <c r="CH1704" s="1" t="s">
        <v>104</v>
      </c>
      <c r="CJ1704" s="1">
        <v>0</v>
      </c>
      <c r="CK1704" s="1">
        <v>0</v>
      </c>
      <c r="CL1704" s="1">
        <v>0</v>
      </c>
      <c r="CM1704" s="1" t="s">
        <v>104</v>
      </c>
    </row>
    <row r="1705" spans="1:91" ht="14.25" customHeight="1" x14ac:dyDescent="0.3">
      <c r="A1705" s="1" t="s">
        <v>9316</v>
      </c>
      <c r="B1705" s="1" t="s">
        <v>216</v>
      </c>
      <c r="D1705" s="1" t="s">
        <v>54</v>
      </c>
      <c r="E1705" s="1" t="s">
        <v>9317</v>
      </c>
      <c r="F1705" s="1" t="s">
        <v>255</v>
      </c>
      <c r="G1705" s="1" t="s">
        <v>116</v>
      </c>
      <c r="H1705" s="1">
        <v>0</v>
      </c>
      <c r="I1705" s="1" t="s">
        <v>117</v>
      </c>
      <c r="L1705" s="1" t="s">
        <v>1065</v>
      </c>
      <c r="M1705" s="1" t="s">
        <v>426</v>
      </c>
      <c r="N1705" s="1">
        <v>1</v>
      </c>
      <c r="O1705" s="1">
        <v>0</v>
      </c>
      <c r="P1705" s="1" t="s">
        <v>211</v>
      </c>
      <c r="Q1705" s="1" t="s">
        <v>184</v>
      </c>
      <c r="R1705" s="1" t="s">
        <v>9318</v>
      </c>
      <c r="S1705" s="1" t="s">
        <v>9131</v>
      </c>
      <c r="T1705" s="1">
        <v>1</v>
      </c>
      <c r="U1705" s="1">
        <v>1</v>
      </c>
      <c r="V1705" s="1">
        <v>0</v>
      </c>
      <c r="W1705" s="1">
        <v>0</v>
      </c>
      <c r="X1705" s="1">
        <v>0</v>
      </c>
      <c r="Y1705" s="1" t="s">
        <v>104</v>
      </c>
      <c r="Z1705" s="1" t="s">
        <v>104</v>
      </c>
      <c r="AA1705" s="1">
        <v>2</v>
      </c>
      <c r="AB1705" s="1" t="s">
        <v>104</v>
      </c>
      <c r="AC1705" s="1" t="s">
        <v>104</v>
      </c>
      <c r="AD1705" s="1" t="s">
        <v>104</v>
      </c>
      <c r="AE1705" s="1" t="s">
        <v>104</v>
      </c>
      <c r="AF1705" s="1" t="s">
        <v>104</v>
      </c>
      <c r="AG1705" s="1">
        <v>3</v>
      </c>
      <c r="AH1705" s="1">
        <v>2</v>
      </c>
      <c r="AI1705" s="1" t="s">
        <v>104</v>
      </c>
      <c r="AJ1705" s="1">
        <v>2</v>
      </c>
      <c r="AK1705" s="1">
        <v>3</v>
      </c>
      <c r="AL1705" s="1" t="s">
        <v>104</v>
      </c>
      <c r="AM1705" s="1" t="s">
        <v>104</v>
      </c>
      <c r="AN1705" s="1" t="s">
        <v>4278</v>
      </c>
      <c r="AO1705" s="1">
        <v>2</v>
      </c>
      <c r="AR1705" s="1">
        <v>0</v>
      </c>
      <c r="AS1705" s="1">
        <v>0</v>
      </c>
      <c r="AT1705" s="1">
        <v>0</v>
      </c>
      <c r="AU1705" s="1">
        <v>0</v>
      </c>
      <c r="AV1705" s="1">
        <v>0</v>
      </c>
      <c r="AW1705" s="1">
        <v>0</v>
      </c>
      <c r="AX1705" s="1">
        <v>0</v>
      </c>
      <c r="AY1705" s="1">
        <v>0</v>
      </c>
      <c r="AZ1705" s="1">
        <v>0</v>
      </c>
      <c r="BA1705" s="1">
        <v>0</v>
      </c>
      <c r="BB1705" s="1">
        <v>0</v>
      </c>
      <c r="BC1705" s="1">
        <v>1</v>
      </c>
      <c r="BD1705" s="1">
        <v>0</v>
      </c>
      <c r="BE1705" s="1">
        <v>0</v>
      </c>
      <c r="BF1705" s="1">
        <v>0</v>
      </c>
      <c r="BG1705" s="1">
        <v>0</v>
      </c>
      <c r="BH1705" s="1">
        <v>0</v>
      </c>
      <c r="BI1705" s="1">
        <v>0</v>
      </c>
      <c r="BJ1705" s="1">
        <v>0</v>
      </c>
      <c r="BK1705" s="1">
        <v>0</v>
      </c>
      <c r="BL1705" s="1">
        <v>0</v>
      </c>
      <c r="BM1705" s="1">
        <v>0</v>
      </c>
      <c r="BN1705" s="1">
        <v>0</v>
      </c>
      <c r="BO1705" s="1">
        <v>0</v>
      </c>
      <c r="BP1705" s="1">
        <v>0</v>
      </c>
      <c r="BQ1705" s="1" t="s">
        <v>104</v>
      </c>
      <c r="BR1705" s="1">
        <v>1800</v>
      </c>
      <c r="BS1705" s="1" t="s">
        <v>104</v>
      </c>
      <c r="BX1705" s="1">
        <v>0</v>
      </c>
      <c r="BY1705" s="1" t="s">
        <v>104</v>
      </c>
      <c r="BZ1705" s="1" t="s">
        <v>104</v>
      </c>
      <c r="CA1705" s="1" t="s">
        <v>104</v>
      </c>
      <c r="CB1705" s="1" t="s">
        <v>104</v>
      </c>
      <c r="CC1705" s="1" t="s">
        <v>104</v>
      </c>
      <c r="CD1705" s="1" t="s">
        <v>104</v>
      </c>
      <c r="CE1705" s="1" t="s">
        <v>104</v>
      </c>
      <c r="CF1705" s="1" t="s">
        <v>104</v>
      </c>
      <c r="CG1705" s="1" t="s">
        <v>104</v>
      </c>
      <c r="CH1705" s="1" t="s">
        <v>104</v>
      </c>
      <c r="CJ1705" s="1">
        <v>0</v>
      </c>
      <c r="CK1705" s="1">
        <v>0</v>
      </c>
      <c r="CL1705" s="1">
        <v>0</v>
      </c>
      <c r="CM1705" s="1">
        <v>3</v>
      </c>
    </row>
    <row r="1706" spans="1:91" ht="14.25" customHeight="1" x14ac:dyDescent="0.3">
      <c r="A1706" s="1" t="s">
        <v>9319</v>
      </c>
      <c r="B1706" s="1" t="s">
        <v>434</v>
      </c>
      <c r="D1706" s="1" t="s">
        <v>5816</v>
      </c>
      <c r="E1706" s="1" t="s">
        <v>9320</v>
      </c>
      <c r="F1706" s="1" t="s">
        <v>95</v>
      </c>
      <c r="G1706" s="1" t="s">
        <v>127</v>
      </c>
      <c r="H1706" s="1">
        <v>0</v>
      </c>
      <c r="I1706" s="1" t="s">
        <v>157</v>
      </c>
      <c r="L1706" s="1" t="s">
        <v>158</v>
      </c>
      <c r="M1706" s="1" t="s">
        <v>111</v>
      </c>
      <c r="N1706" s="1">
        <v>0</v>
      </c>
      <c r="O1706" s="1">
        <v>0</v>
      </c>
      <c r="R1706" s="1" t="s">
        <v>9321</v>
      </c>
      <c r="S1706" s="1" t="s">
        <v>9131</v>
      </c>
      <c r="T1706" s="1">
        <v>1</v>
      </c>
      <c r="U1706" s="1">
        <v>1</v>
      </c>
      <c r="V1706" s="1">
        <v>0</v>
      </c>
      <c r="W1706" s="1">
        <v>0</v>
      </c>
      <c r="X1706" s="1">
        <v>1</v>
      </c>
      <c r="Y1706" s="1" t="s">
        <v>104</v>
      </c>
      <c r="Z1706" s="1" t="s">
        <v>104</v>
      </c>
      <c r="AA1706" s="1">
        <v>6</v>
      </c>
      <c r="AB1706" s="1" t="s">
        <v>104</v>
      </c>
      <c r="AC1706" s="1" t="s">
        <v>104</v>
      </c>
      <c r="AD1706" s="1">
        <v>6</v>
      </c>
      <c r="AE1706" s="1" t="s">
        <v>104</v>
      </c>
      <c r="AF1706" s="1" t="s">
        <v>104</v>
      </c>
      <c r="AG1706" s="1" t="s">
        <v>104</v>
      </c>
      <c r="AH1706" s="1" t="s">
        <v>104</v>
      </c>
      <c r="AI1706" s="1" t="s">
        <v>104</v>
      </c>
      <c r="AJ1706" s="1">
        <v>6</v>
      </c>
      <c r="AK1706" s="1" t="s">
        <v>104</v>
      </c>
      <c r="AL1706" s="1">
        <v>6</v>
      </c>
      <c r="AM1706" s="1" t="s">
        <v>104</v>
      </c>
      <c r="AN1706" s="1" t="s">
        <v>9322</v>
      </c>
      <c r="AO1706" s="1">
        <v>6</v>
      </c>
      <c r="AR1706" s="1">
        <v>0</v>
      </c>
      <c r="AS1706" s="1">
        <v>0</v>
      </c>
      <c r="AT1706" s="1">
        <v>0</v>
      </c>
      <c r="AU1706" s="1">
        <v>0</v>
      </c>
      <c r="AV1706" s="1">
        <v>0</v>
      </c>
      <c r="AW1706" s="1">
        <v>0</v>
      </c>
      <c r="AX1706" s="1">
        <v>0</v>
      </c>
      <c r="AY1706" s="1">
        <v>0</v>
      </c>
      <c r="AZ1706" s="1">
        <v>0</v>
      </c>
      <c r="BA1706" s="1">
        <v>0</v>
      </c>
      <c r="BB1706" s="1">
        <v>0</v>
      </c>
      <c r="BC1706" s="1">
        <v>0</v>
      </c>
      <c r="BD1706" s="1">
        <v>0</v>
      </c>
      <c r="BE1706" s="1">
        <v>1</v>
      </c>
      <c r="BF1706" s="1">
        <v>0</v>
      </c>
      <c r="BG1706" s="1">
        <v>1</v>
      </c>
      <c r="BH1706" s="1">
        <v>0</v>
      </c>
      <c r="BI1706" s="1">
        <v>0</v>
      </c>
      <c r="BJ1706" s="1">
        <v>1</v>
      </c>
      <c r="BK1706" s="1">
        <v>0</v>
      </c>
      <c r="BL1706" s="1">
        <v>0</v>
      </c>
      <c r="BM1706" s="1">
        <v>0</v>
      </c>
      <c r="BN1706" s="1">
        <v>0</v>
      </c>
      <c r="BO1706" s="1">
        <v>0</v>
      </c>
      <c r="BP1706" s="1">
        <v>0</v>
      </c>
      <c r="BQ1706" s="1" t="s">
        <v>104</v>
      </c>
      <c r="BR1706" s="1">
        <v>1801</v>
      </c>
      <c r="BS1706" s="1" t="s">
        <v>104</v>
      </c>
      <c r="BX1706" s="1">
        <v>0</v>
      </c>
      <c r="BY1706" s="1" t="s">
        <v>104</v>
      </c>
      <c r="BZ1706" s="1" t="s">
        <v>104</v>
      </c>
      <c r="CA1706" s="1" t="s">
        <v>104</v>
      </c>
      <c r="CB1706" s="1" t="s">
        <v>104</v>
      </c>
      <c r="CC1706" s="1" t="s">
        <v>104</v>
      </c>
      <c r="CD1706" s="1" t="s">
        <v>104</v>
      </c>
      <c r="CE1706" s="1" t="s">
        <v>104</v>
      </c>
      <c r="CF1706" s="1" t="s">
        <v>104</v>
      </c>
      <c r="CG1706" s="1" t="s">
        <v>104</v>
      </c>
      <c r="CH1706" s="1" t="s">
        <v>104</v>
      </c>
      <c r="CJ1706" s="1">
        <v>0</v>
      </c>
      <c r="CK1706" s="1">
        <v>0</v>
      </c>
      <c r="CL1706" s="1">
        <v>0</v>
      </c>
      <c r="CM1706" s="1" t="s">
        <v>104</v>
      </c>
    </row>
    <row r="1707" spans="1:91" ht="14.25" customHeight="1" x14ac:dyDescent="0.3">
      <c r="A1707" s="1" t="s">
        <v>9323</v>
      </c>
      <c r="B1707" s="1" t="s">
        <v>137</v>
      </c>
      <c r="D1707" s="1" t="s">
        <v>44</v>
      </c>
      <c r="E1707" s="1" t="s">
        <v>9324</v>
      </c>
      <c r="F1707" s="1" t="s">
        <v>95</v>
      </c>
      <c r="G1707" s="1" t="s">
        <v>127</v>
      </c>
      <c r="H1707" s="1">
        <v>0</v>
      </c>
      <c r="I1707" s="1" t="s">
        <v>128</v>
      </c>
      <c r="L1707" s="1" t="s">
        <v>9325</v>
      </c>
      <c r="M1707" s="1" t="s">
        <v>2330</v>
      </c>
      <c r="N1707" s="1">
        <v>0</v>
      </c>
      <c r="O1707" s="1">
        <v>0</v>
      </c>
      <c r="P1707" s="1" t="s">
        <v>5957</v>
      </c>
      <c r="Q1707" s="1" t="s">
        <v>131</v>
      </c>
      <c r="R1707" s="1" t="s">
        <v>9326</v>
      </c>
      <c r="S1707" s="1" t="s">
        <v>9131</v>
      </c>
      <c r="T1707" s="1">
        <v>1</v>
      </c>
      <c r="U1707" s="1">
        <v>1</v>
      </c>
      <c r="V1707" s="1">
        <v>0</v>
      </c>
      <c r="W1707" s="1">
        <v>0</v>
      </c>
      <c r="X1707" s="1">
        <v>1</v>
      </c>
      <c r="Y1707" s="1" t="s">
        <v>104</v>
      </c>
      <c r="Z1707" s="1" t="s">
        <v>104</v>
      </c>
      <c r="AA1707" s="1">
        <v>3</v>
      </c>
      <c r="AB1707" s="1">
        <v>3</v>
      </c>
      <c r="AC1707" s="1" t="s">
        <v>104</v>
      </c>
      <c r="AD1707" s="1" t="s">
        <v>104</v>
      </c>
      <c r="AE1707" s="1" t="s">
        <v>104</v>
      </c>
      <c r="AF1707" s="1" t="s">
        <v>104</v>
      </c>
      <c r="AG1707" s="1" t="s">
        <v>104</v>
      </c>
      <c r="AH1707" s="1">
        <v>3</v>
      </c>
      <c r="AI1707" s="1" t="s">
        <v>104</v>
      </c>
      <c r="AJ1707" s="1">
        <v>3</v>
      </c>
      <c r="AK1707" s="1" t="s">
        <v>104</v>
      </c>
      <c r="AL1707" s="1" t="s">
        <v>104</v>
      </c>
      <c r="AM1707" s="1" t="s">
        <v>104</v>
      </c>
      <c r="AN1707" s="1" t="s">
        <v>9237</v>
      </c>
      <c r="AO1707" s="1">
        <v>3</v>
      </c>
      <c r="AR1707" s="1">
        <v>0</v>
      </c>
      <c r="AS1707" s="1">
        <v>1</v>
      </c>
      <c r="AT1707" s="1">
        <v>0</v>
      </c>
      <c r="AU1707" s="1">
        <v>0</v>
      </c>
      <c r="AV1707" s="1">
        <v>0</v>
      </c>
      <c r="AW1707" s="1">
        <v>0</v>
      </c>
      <c r="AX1707" s="1">
        <v>0</v>
      </c>
      <c r="AY1707" s="1">
        <v>0</v>
      </c>
      <c r="AZ1707" s="1">
        <v>0</v>
      </c>
      <c r="BA1707" s="1">
        <v>0</v>
      </c>
      <c r="BB1707" s="1">
        <v>0</v>
      </c>
      <c r="BC1707" s="1">
        <v>0</v>
      </c>
      <c r="BD1707" s="1">
        <v>0</v>
      </c>
      <c r="BE1707" s="1">
        <v>0</v>
      </c>
      <c r="BF1707" s="1">
        <v>0</v>
      </c>
      <c r="BG1707" s="1">
        <v>0</v>
      </c>
      <c r="BH1707" s="1">
        <v>0</v>
      </c>
      <c r="BI1707" s="1">
        <v>0</v>
      </c>
      <c r="BJ1707" s="1">
        <v>0</v>
      </c>
      <c r="BK1707" s="1">
        <v>0</v>
      </c>
      <c r="BL1707" s="1">
        <v>0</v>
      </c>
      <c r="BM1707" s="1">
        <v>0</v>
      </c>
      <c r="BN1707" s="1">
        <v>0</v>
      </c>
      <c r="BO1707" s="1">
        <v>0</v>
      </c>
      <c r="BP1707" s="1">
        <v>0</v>
      </c>
      <c r="BQ1707" s="1" t="s">
        <v>104</v>
      </c>
      <c r="BR1707" s="1">
        <v>1802</v>
      </c>
      <c r="BS1707" s="1" t="s">
        <v>104</v>
      </c>
      <c r="BX1707" s="1">
        <v>0</v>
      </c>
      <c r="BY1707" s="1" t="s">
        <v>104</v>
      </c>
      <c r="BZ1707" s="1" t="s">
        <v>104</v>
      </c>
      <c r="CA1707" s="1" t="s">
        <v>104</v>
      </c>
      <c r="CB1707" s="1" t="s">
        <v>104</v>
      </c>
      <c r="CC1707" s="1" t="s">
        <v>104</v>
      </c>
      <c r="CD1707" s="1" t="s">
        <v>104</v>
      </c>
      <c r="CE1707" s="1" t="s">
        <v>104</v>
      </c>
      <c r="CF1707" s="1" t="s">
        <v>104</v>
      </c>
      <c r="CG1707" s="1" t="s">
        <v>104</v>
      </c>
      <c r="CH1707" s="1">
        <v>3</v>
      </c>
      <c r="CJ1707" s="1">
        <v>0</v>
      </c>
      <c r="CK1707" s="1">
        <v>0</v>
      </c>
      <c r="CL1707" s="1">
        <v>0</v>
      </c>
      <c r="CM1707" s="1" t="s">
        <v>104</v>
      </c>
    </row>
    <row r="1708" spans="1:91" ht="14.25" customHeight="1" x14ac:dyDescent="0.3">
      <c r="A1708" s="1" t="s">
        <v>9327</v>
      </c>
      <c r="B1708" s="1" t="s">
        <v>434</v>
      </c>
      <c r="E1708" s="1" t="s">
        <v>9328</v>
      </c>
      <c r="F1708" s="1" t="s">
        <v>95</v>
      </c>
      <c r="G1708" s="1" t="s">
        <v>127</v>
      </c>
      <c r="H1708" s="1">
        <v>0</v>
      </c>
      <c r="I1708" s="1" t="s">
        <v>157</v>
      </c>
      <c r="L1708" s="1" t="s">
        <v>158</v>
      </c>
      <c r="M1708" s="1" t="s">
        <v>111</v>
      </c>
      <c r="N1708" s="1">
        <v>0</v>
      </c>
      <c r="O1708" s="1">
        <v>0</v>
      </c>
      <c r="R1708" s="1" t="s">
        <v>9329</v>
      </c>
      <c r="S1708" s="1" t="s">
        <v>9131</v>
      </c>
      <c r="T1708" s="1">
        <v>1</v>
      </c>
      <c r="U1708" s="1">
        <v>1</v>
      </c>
      <c r="V1708" s="1">
        <v>0</v>
      </c>
      <c r="W1708" s="1">
        <v>0</v>
      </c>
      <c r="X1708" s="1">
        <v>1</v>
      </c>
      <c r="Y1708" s="1" t="s">
        <v>104</v>
      </c>
      <c r="Z1708" s="1" t="s">
        <v>104</v>
      </c>
      <c r="AA1708" s="1">
        <v>5</v>
      </c>
      <c r="AB1708" s="1" t="s">
        <v>104</v>
      </c>
      <c r="AC1708" s="1" t="s">
        <v>104</v>
      </c>
      <c r="AD1708" s="1" t="s">
        <v>104</v>
      </c>
      <c r="AE1708" s="1" t="s">
        <v>104</v>
      </c>
      <c r="AF1708" s="1" t="s">
        <v>104</v>
      </c>
      <c r="AG1708" s="1" t="s">
        <v>104</v>
      </c>
      <c r="AH1708" s="1" t="s">
        <v>104</v>
      </c>
      <c r="AI1708" s="1">
        <v>4</v>
      </c>
      <c r="AJ1708" s="1">
        <v>5</v>
      </c>
      <c r="AK1708" s="1" t="s">
        <v>104</v>
      </c>
      <c r="AL1708" s="1" t="s">
        <v>104</v>
      </c>
      <c r="AM1708" s="1" t="s">
        <v>104</v>
      </c>
      <c r="AN1708" s="1" t="s">
        <v>9192</v>
      </c>
      <c r="AO1708" s="1">
        <v>5</v>
      </c>
      <c r="AR1708" s="1">
        <v>0</v>
      </c>
      <c r="AS1708" s="1">
        <v>0</v>
      </c>
      <c r="AT1708" s="1">
        <v>0</v>
      </c>
      <c r="AU1708" s="1">
        <v>0</v>
      </c>
      <c r="AV1708" s="1">
        <v>0</v>
      </c>
      <c r="AW1708" s="1">
        <v>0</v>
      </c>
      <c r="AX1708" s="1">
        <v>0</v>
      </c>
      <c r="AY1708" s="1">
        <v>0</v>
      </c>
      <c r="AZ1708" s="1">
        <v>0</v>
      </c>
      <c r="BA1708" s="1">
        <v>0</v>
      </c>
      <c r="BB1708" s="1">
        <v>0</v>
      </c>
      <c r="BC1708" s="1">
        <v>0</v>
      </c>
      <c r="BD1708" s="1">
        <v>0</v>
      </c>
      <c r="BE1708" s="1">
        <v>0</v>
      </c>
      <c r="BF1708" s="1">
        <v>0</v>
      </c>
      <c r="BG1708" s="1">
        <v>0</v>
      </c>
      <c r="BH1708" s="1">
        <v>0</v>
      </c>
      <c r="BI1708" s="1">
        <v>0</v>
      </c>
      <c r="BJ1708" s="1">
        <v>0</v>
      </c>
      <c r="BK1708" s="1">
        <v>0</v>
      </c>
      <c r="BL1708" s="1">
        <v>0</v>
      </c>
      <c r="BM1708" s="1">
        <v>0</v>
      </c>
      <c r="BN1708" s="1">
        <v>0</v>
      </c>
      <c r="BO1708" s="1">
        <v>0</v>
      </c>
      <c r="BP1708" s="1">
        <v>0</v>
      </c>
      <c r="BQ1708" s="1" t="s">
        <v>104</v>
      </c>
      <c r="BR1708" s="1">
        <v>1803</v>
      </c>
      <c r="BS1708" s="1" t="s">
        <v>104</v>
      </c>
      <c r="BX1708" s="1">
        <v>0</v>
      </c>
      <c r="BY1708" s="1" t="s">
        <v>104</v>
      </c>
      <c r="BZ1708" s="1" t="s">
        <v>104</v>
      </c>
      <c r="CA1708" s="1" t="s">
        <v>104</v>
      </c>
      <c r="CB1708" s="1" t="s">
        <v>104</v>
      </c>
      <c r="CC1708" s="1" t="s">
        <v>104</v>
      </c>
      <c r="CD1708" s="1" t="s">
        <v>104</v>
      </c>
      <c r="CE1708" s="1" t="s">
        <v>104</v>
      </c>
      <c r="CF1708" s="1" t="s">
        <v>104</v>
      </c>
      <c r="CG1708" s="1" t="s">
        <v>104</v>
      </c>
      <c r="CH1708" s="1" t="s">
        <v>104</v>
      </c>
      <c r="CJ1708" s="1">
        <v>0</v>
      </c>
      <c r="CK1708" s="1">
        <v>0</v>
      </c>
      <c r="CL1708" s="1">
        <v>0</v>
      </c>
      <c r="CM1708" s="1" t="s">
        <v>104</v>
      </c>
    </row>
    <row r="1709" spans="1:91" ht="14.25" customHeight="1" x14ac:dyDescent="0.3">
      <c r="A1709" s="1" t="s">
        <v>9330</v>
      </c>
      <c r="B1709" s="1" t="s">
        <v>92</v>
      </c>
      <c r="C1709" s="1" t="s">
        <v>2732</v>
      </c>
      <c r="D1709" s="1" t="s">
        <v>8980</v>
      </c>
      <c r="E1709" s="1" t="s">
        <v>6111</v>
      </c>
      <c r="F1709" s="1" t="s">
        <v>9331</v>
      </c>
      <c r="G1709" s="1" t="s">
        <v>9332</v>
      </c>
      <c r="H1709" s="1">
        <v>0</v>
      </c>
      <c r="I1709" s="1" t="s">
        <v>109</v>
      </c>
      <c r="M1709" s="1" t="s">
        <v>119</v>
      </c>
      <c r="N1709" s="1">
        <v>0</v>
      </c>
      <c r="O1709" s="1">
        <v>0</v>
      </c>
      <c r="P1709" s="1" t="s">
        <v>100</v>
      </c>
      <c r="Q1709" s="1" t="s">
        <v>101</v>
      </c>
      <c r="R1709" s="1" t="s">
        <v>9333</v>
      </c>
      <c r="S1709" s="1" t="s">
        <v>9131</v>
      </c>
      <c r="T1709" s="1">
        <v>1</v>
      </c>
      <c r="U1709" s="1">
        <v>1</v>
      </c>
      <c r="V1709" s="1">
        <v>1</v>
      </c>
      <c r="W1709" s="1">
        <v>0</v>
      </c>
      <c r="X1709" s="1">
        <v>1</v>
      </c>
      <c r="Y1709" s="1">
        <v>9</v>
      </c>
      <c r="Z1709" s="1">
        <v>9</v>
      </c>
      <c r="AA1709" s="1">
        <v>9</v>
      </c>
      <c r="AB1709" s="1" t="s">
        <v>104</v>
      </c>
      <c r="AC1709" s="1" t="s">
        <v>104</v>
      </c>
      <c r="AD1709" s="1" t="s">
        <v>104</v>
      </c>
      <c r="AE1709" s="1" t="s">
        <v>104</v>
      </c>
      <c r="AF1709" s="1" t="s">
        <v>104</v>
      </c>
      <c r="AG1709" s="1" t="s">
        <v>104</v>
      </c>
      <c r="AH1709" s="1">
        <v>9</v>
      </c>
      <c r="AI1709" s="1" t="s">
        <v>104</v>
      </c>
      <c r="AJ1709" s="1">
        <v>9</v>
      </c>
      <c r="AK1709" s="1" t="s">
        <v>104</v>
      </c>
      <c r="AL1709" s="1" t="s">
        <v>104</v>
      </c>
      <c r="AM1709" s="1" t="s">
        <v>104</v>
      </c>
      <c r="AN1709" s="1" t="s">
        <v>9157</v>
      </c>
      <c r="AO1709" s="1">
        <v>9</v>
      </c>
      <c r="AR1709" s="1">
        <v>0</v>
      </c>
      <c r="AS1709" s="1">
        <v>0</v>
      </c>
      <c r="AT1709" s="1">
        <v>1</v>
      </c>
      <c r="AU1709" s="1">
        <v>0</v>
      </c>
      <c r="AV1709" s="1">
        <v>0</v>
      </c>
      <c r="AW1709" s="1">
        <v>0</v>
      </c>
      <c r="AX1709" s="1">
        <v>0</v>
      </c>
      <c r="AY1709" s="1">
        <v>0</v>
      </c>
      <c r="AZ1709" s="1">
        <v>0</v>
      </c>
      <c r="BA1709" s="1">
        <v>0</v>
      </c>
      <c r="BB1709" s="1">
        <v>0</v>
      </c>
      <c r="BC1709" s="1">
        <v>1</v>
      </c>
      <c r="BD1709" s="1">
        <v>0</v>
      </c>
      <c r="BE1709" s="1">
        <v>0</v>
      </c>
      <c r="BF1709" s="1">
        <v>0</v>
      </c>
      <c r="BG1709" s="1">
        <v>0</v>
      </c>
      <c r="BH1709" s="1">
        <v>0</v>
      </c>
      <c r="BI1709" s="1">
        <v>0</v>
      </c>
      <c r="BJ1709" s="1">
        <v>0</v>
      </c>
      <c r="BK1709" s="1">
        <v>0</v>
      </c>
      <c r="BL1709" s="1">
        <v>0</v>
      </c>
      <c r="BM1709" s="1">
        <v>0</v>
      </c>
      <c r="BN1709" s="1">
        <v>0</v>
      </c>
      <c r="BO1709" s="1">
        <v>0</v>
      </c>
      <c r="BP1709" s="1">
        <v>0</v>
      </c>
      <c r="BQ1709" s="1" t="s">
        <v>104</v>
      </c>
      <c r="BR1709" s="1">
        <v>1804</v>
      </c>
      <c r="BS1709" s="1" t="s">
        <v>104</v>
      </c>
      <c r="BV1709" s="1" t="s">
        <v>9334</v>
      </c>
      <c r="BX1709" s="1">
        <v>1</v>
      </c>
      <c r="BY1709" s="1" t="s">
        <v>104</v>
      </c>
      <c r="BZ1709" s="1" t="s">
        <v>104</v>
      </c>
      <c r="CA1709" s="1" t="s">
        <v>104</v>
      </c>
      <c r="CB1709" s="1" t="s">
        <v>104</v>
      </c>
      <c r="CC1709" s="1" t="s">
        <v>104</v>
      </c>
      <c r="CD1709" s="1" t="s">
        <v>104</v>
      </c>
      <c r="CE1709" s="1" t="s">
        <v>104</v>
      </c>
      <c r="CF1709" s="1" t="s">
        <v>104</v>
      </c>
      <c r="CG1709" s="1" t="s">
        <v>104</v>
      </c>
      <c r="CH1709" s="1" t="s">
        <v>104</v>
      </c>
      <c r="CJ1709" s="1">
        <v>0</v>
      </c>
      <c r="CK1709" s="1">
        <v>0</v>
      </c>
      <c r="CL1709" s="1">
        <v>0</v>
      </c>
      <c r="CM1709" s="1" t="s">
        <v>104</v>
      </c>
    </row>
    <row r="1710" spans="1:91" ht="14.25" customHeight="1" x14ac:dyDescent="0.3">
      <c r="A1710" s="1" t="s">
        <v>9335</v>
      </c>
      <c r="B1710" s="1" t="s">
        <v>172</v>
      </c>
      <c r="D1710" s="1" t="s">
        <v>125</v>
      </c>
      <c r="E1710" s="1" t="s">
        <v>9336</v>
      </c>
      <c r="F1710" s="1" t="s">
        <v>95</v>
      </c>
      <c r="G1710" s="1" t="s">
        <v>9337</v>
      </c>
      <c r="H1710" s="1">
        <v>0</v>
      </c>
      <c r="I1710" s="1" t="s">
        <v>117</v>
      </c>
      <c r="L1710" s="1" t="s">
        <v>1065</v>
      </c>
      <c r="M1710" s="1" t="s">
        <v>119</v>
      </c>
      <c r="N1710" s="1">
        <v>0</v>
      </c>
      <c r="O1710" s="1">
        <v>0</v>
      </c>
      <c r="P1710" s="1" t="s">
        <v>211</v>
      </c>
      <c r="Q1710" s="1" t="s">
        <v>184</v>
      </c>
      <c r="R1710" s="1" t="s">
        <v>9338</v>
      </c>
      <c r="S1710" s="1" t="s">
        <v>9131</v>
      </c>
      <c r="T1710" s="1">
        <v>1</v>
      </c>
      <c r="U1710" s="1">
        <v>1</v>
      </c>
      <c r="V1710" s="1">
        <v>0</v>
      </c>
      <c r="W1710" s="1">
        <v>0</v>
      </c>
      <c r="X1710" s="1">
        <v>0</v>
      </c>
      <c r="Y1710" s="1">
        <v>2</v>
      </c>
      <c r="Z1710" s="1">
        <v>2</v>
      </c>
      <c r="AA1710" s="1">
        <v>2</v>
      </c>
      <c r="AB1710" s="1" t="s">
        <v>104</v>
      </c>
      <c r="AC1710" s="1" t="s">
        <v>104</v>
      </c>
      <c r="AD1710" s="1">
        <v>2</v>
      </c>
      <c r="AE1710" s="1" t="s">
        <v>104</v>
      </c>
      <c r="AF1710" s="1" t="s">
        <v>104</v>
      </c>
      <c r="AG1710" s="1" t="s">
        <v>104</v>
      </c>
      <c r="AH1710" s="1">
        <v>2</v>
      </c>
      <c r="AI1710" s="1">
        <v>2</v>
      </c>
      <c r="AJ1710" s="1">
        <v>2</v>
      </c>
      <c r="AK1710" s="1" t="s">
        <v>104</v>
      </c>
      <c r="AL1710" s="1" t="s">
        <v>104</v>
      </c>
      <c r="AM1710" s="1" t="s">
        <v>104</v>
      </c>
      <c r="AN1710" s="1" t="s">
        <v>9176</v>
      </c>
      <c r="AO1710" s="1">
        <v>2</v>
      </c>
      <c r="AR1710" s="1">
        <v>0</v>
      </c>
      <c r="AS1710" s="1">
        <v>0</v>
      </c>
      <c r="AT1710" s="1">
        <v>0</v>
      </c>
      <c r="AU1710" s="1">
        <v>0</v>
      </c>
      <c r="AV1710" s="1">
        <v>0</v>
      </c>
      <c r="AW1710" s="1">
        <v>0</v>
      </c>
      <c r="AX1710" s="1">
        <v>0</v>
      </c>
      <c r="AY1710" s="1">
        <v>0</v>
      </c>
      <c r="AZ1710" s="1">
        <v>0</v>
      </c>
      <c r="BA1710" s="1">
        <v>0</v>
      </c>
      <c r="BB1710" s="1">
        <v>0</v>
      </c>
      <c r="BC1710" s="1">
        <v>0</v>
      </c>
      <c r="BD1710" s="1">
        <v>0</v>
      </c>
      <c r="BE1710" s="1">
        <v>0</v>
      </c>
      <c r="BF1710" s="1">
        <v>0</v>
      </c>
      <c r="BG1710" s="1">
        <v>0</v>
      </c>
      <c r="BH1710" s="1">
        <v>0</v>
      </c>
      <c r="BI1710" s="1">
        <v>0</v>
      </c>
      <c r="BJ1710" s="1">
        <v>0</v>
      </c>
      <c r="BK1710" s="1">
        <v>1</v>
      </c>
      <c r="BL1710" s="1">
        <v>0</v>
      </c>
      <c r="BM1710" s="1">
        <v>0</v>
      </c>
      <c r="BN1710" s="1">
        <v>0</v>
      </c>
      <c r="BO1710" s="1">
        <v>0</v>
      </c>
      <c r="BP1710" s="1">
        <v>0</v>
      </c>
      <c r="BQ1710" s="1" t="s">
        <v>104</v>
      </c>
      <c r="BR1710" s="1">
        <v>1805</v>
      </c>
      <c r="BS1710" s="1" t="s">
        <v>104</v>
      </c>
      <c r="BX1710" s="1">
        <v>0</v>
      </c>
      <c r="BY1710" s="1" t="s">
        <v>104</v>
      </c>
      <c r="BZ1710" s="1" t="s">
        <v>104</v>
      </c>
      <c r="CA1710" s="1" t="s">
        <v>104</v>
      </c>
      <c r="CB1710" s="1" t="s">
        <v>104</v>
      </c>
      <c r="CC1710" s="1" t="s">
        <v>104</v>
      </c>
      <c r="CD1710" s="1" t="s">
        <v>104</v>
      </c>
      <c r="CE1710" s="1" t="s">
        <v>104</v>
      </c>
      <c r="CF1710" s="1" t="s">
        <v>104</v>
      </c>
      <c r="CG1710" s="1" t="s">
        <v>104</v>
      </c>
      <c r="CH1710" s="1" t="s">
        <v>104</v>
      </c>
      <c r="CJ1710" s="1">
        <v>0</v>
      </c>
      <c r="CK1710" s="1">
        <v>0</v>
      </c>
      <c r="CL1710" s="1">
        <v>0</v>
      </c>
      <c r="CM1710" s="1" t="s">
        <v>104</v>
      </c>
    </row>
    <row r="1711" spans="1:91" ht="14.25" customHeight="1" x14ac:dyDescent="0.3">
      <c r="A1711" s="1" t="s">
        <v>9339</v>
      </c>
      <c r="B1711" s="1" t="s">
        <v>162</v>
      </c>
      <c r="E1711" s="1" t="s">
        <v>9278</v>
      </c>
      <c r="F1711" s="1" t="s">
        <v>95</v>
      </c>
      <c r="G1711" s="1" t="s">
        <v>116</v>
      </c>
      <c r="H1711" s="1">
        <v>0</v>
      </c>
      <c r="I1711" s="1" t="s">
        <v>117</v>
      </c>
      <c r="L1711" s="1" t="s">
        <v>1065</v>
      </c>
      <c r="M1711" s="1" t="s">
        <v>9340</v>
      </c>
      <c r="N1711" s="1">
        <v>0</v>
      </c>
      <c r="O1711" s="1">
        <v>0</v>
      </c>
      <c r="P1711" s="1" t="s">
        <v>211</v>
      </c>
      <c r="Q1711" s="1" t="s">
        <v>184</v>
      </c>
      <c r="R1711" s="1" t="s">
        <v>9341</v>
      </c>
      <c r="S1711" s="1" t="s">
        <v>9131</v>
      </c>
      <c r="T1711" s="1">
        <v>1</v>
      </c>
      <c r="U1711" s="1">
        <v>1</v>
      </c>
      <c r="V1711" s="1">
        <v>0</v>
      </c>
      <c r="W1711" s="1">
        <v>0</v>
      </c>
      <c r="X1711" s="1">
        <v>0</v>
      </c>
      <c r="Y1711" s="1">
        <v>7</v>
      </c>
      <c r="Z1711" s="1">
        <v>7</v>
      </c>
      <c r="AA1711" s="1">
        <v>7</v>
      </c>
      <c r="AB1711" s="1" t="s">
        <v>104</v>
      </c>
      <c r="AC1711" s="1" t="s">
        <v>104</v>
      </c>
      <c r="AD1711" s="1" t="s">
        <v>104</v>
      </c>
      <c r="AE1711" s="1" t="s">
        <v>104</v>
      </c>
      <c r="AF1711" s="1" t="s">
        <v>104</v>
      </c>
      <c r="AG1711" s="1" t="s">
        <v>104</v>
      </c>
      <c r="AH1711" s="1">
        <v>7</v>
      </c>
      <c r="AI1711" s="1" t="s">
        <v>104</v>
      </c>
      <c r="AJ1711" s="1">
        <v>7</v>
      </c>
      <c r="AK1711" s="1" t="s">
        <v>104</v>
      </c>
      <c r="AL1711" s="1" t="s">
        <v>104</v>
      </c>
      <c r="AM1711" s="1" t="s">
        <v>104</v>
      </c>
      <c r="AN1711" s="1" t="s">
        <v>9176</v>
      </c>
      <c r="AO1711" s="1">
        <v>7</v>
      </c>
      <c r="AR1711" s="1">
        <v>0</v>
      </c>
      <c r="AS1711" s="1">
        <v>0</v>
      </c>
      <c r="AT1711" s="1">
        <v>0</v>
      </c>
      <c r="AU1711" s="1">
        <v>0</v>
      </c>
      <c r="AV1711" s="1">
        <v>0</v>
      </c>
      <c r="AW1711" s="1">
        <v>0</v>
      </c>
      <c r="AX1711" s="1">
        <v>0</v>
      </c>
      <c r="AY1711" s="1">
        <v>0</v>
      </c>
      <c r="AZ1711" s="1">
        <v>0</v>
      </c>
      <c r="BA1711" s="1">
        <v>0</v>
      </c>
      <c r="BB1711" s="1">
        <v>0</v>
      </c>
      <c r="BC1711" s="1">
        <v>0</v>
      </c>
      <c r="BD1711" s="1">
        <v>0</v>
      </c>
      <c r="BE1711" s="1">
        <v>0</v>
      </c>
      <c r="BF1711" s="1">
        <v>0</v>
      </c>
      <c r="BG1711" s="1">
        <v>0</v>
      </c>
      <c r="BH1711" s="1">
        <v>0</v>
      </c>
      <c r="BI1711" s="1">
        <v>0</v>
      </c>
      <c r="BJ1711" s="1">
        <v>0</v>
      </c>
      <c r="BK1711" s="1">
        <v>0</v>
      </c>
      <c r="BL1711" s="1">
        <v>0</v>
      </c>
      <c r="BM1711" s="1">
        <v>0</v>
      </c>
      <c r="BN1711" s="1">
        <v>0</v>
      </c>
      <c r="BO1711" s="1">
        <v>0</v>
      </c>
      <c r="BP1711" s="1">
        <v>0</v>
      </c>
      <c r="BQ1711" s="1" t="s">
        <v>104</v>
      </c>
      <c r="BR1711" s="1">
        <v>1806</v>
      </c>
      <c r="BS1711" s="1" t="s">
        <v>104</v>
      </c>
      <c r="BX1711" s="1">
        <v>0</v>
      </c>
      <c r="BY1711" s="1" t="s">
        <v>104</v>
      </c>
      <c r="BZ1711" s="1" t="s">
        <v>104</v>
      </c>
      <c r="CA1711" s="1" t="s">
        <v>104</v>
      </c>
      <c r="CB1711" s="1" t="s">
        <v>104</v>
      </c>
      <c r="CC1711" s="1" t="s">
        <v>104</v>
      </c>
      <c r="CD1711" s="1" t="s">
        <v>104</v>
      </c>
      <c r="CE1711" s="1" t="s">
        <v>104</v>
      </c>
      <c r="CF1711" s="1" t="s">
        <v>104</v>
      </c>
      <c r="CG1711" s="1" t="s">
        <v>104</v>
      </c>
      <c r="CH1711" s="1" t="s">
        <v>104</v>
      </c>
      <c r="CJ1711" s="1">
        <v>0</v>
      </c>
      <c r="CK1711" s="1">
        <v>0</v>
      </c>
      <c r="CL1711" s="1">
        <v>0</v>
      </c>
      <c r="CM1711" s="1" t="s">
        <v>104</v>
      </c>
    </row>
    <row r="1712" spans="1:91" ht="14.25" customHeight="1" x14ac:dyDescent="0.3">
      <c r="A1712" s="1" t="s">
        <v>9342</v>
      </c>
      <c r="B1712" s="1" t="s">
        <v>123</v>
      </c>
      <c r="C1712" s="1" t="s">
        <v>124</v>
      </c>
      <c r="D1712" s="1" t="s">
        <v>6034</v>
      </c>
      <c r="E1712" s="1" t="s">
        <v>9343</v>
      </c>
      <c r="F1712" s="1" t="s">
        <v>287</v>
      </c>
      <c r="G1712" s="1" t="s">
        <v>9344</v>
      </c>
      <c r="H1712" s="1">
        <v>1</v>
      </c>
      <c r="I1712" s="1" t="s">
        <v>3750</v>
      </c>
      <c r="K1712" s="1" t="s">
        <v>3751</v>
      </c>
      <c r="M1712" s="1" t="s">
        <v>145</v>
      </c>
      <c r="N1712" s="1">
        <v>0</v>
      </c>
      <c r="O1712" s="1">
        <v>0</v>
      </c>
      <c r="P1712" s="1" t="s">
        <v>211</v>
      </c>
      <c r="Q1712" s="1" t="s">
        <v>184</v>
      </c>
      <c r="R1712" s="1" t="s">
        <v>9345</v>
      </c>
      <c r="S1712" s="1" t="s">
        <v>9131</v>
      </c>
      <c r="T1712" s="1">
        <v>1</v>
      </c>
      <c r="U1712" s="1">
        <v>1</v>
      </c>
      <c r="V1712" s="1">
        <v>1</v>
      </c>
      <c r="W1712" s="1">
        <v>0</v>
      </c>
      <c r="X1712" s="1">
        <v>0</v>
      </c>
      <c r="Y1712" s="1">
        <v>8</v>
      </c>
      <c r="Z1712" s="1">
        <v>8</v>
      </c>
      <c r="AA1712" s="1">
        <v>8</v>
      </c>
      <c r="AB1712" s="1" t="s">
        <v>104</v>
      </c>
      <c r="AC1712" s="1" t="s">
        <v>104</v>
      </c>
      <c r="AD1712" s="1">
        <v>6</v>
      </c>
      <c r="AE1712" s="1" t="s">
        <v>104</v>
      </c>
      <c r="AF1712" s="1" t="s">
        <v>104</v>
      </c>
      <c r="AG1712" s="1" t="s">
        <v>104</v>
      </c>
      <c r="AH1712" s="1">
        <v>8</v>
      </c>
      <c r="AI1712" s="1" t="s">
        <v>104</v>
      </c>
      <c r="AJ1712" s="1">
        <v>8</v>
      </c>
      <c r="AK1712" s="1" t="s">
        <v>104</v>
      </c>
      <c r="AL1712" s="1" t="s">
        <v>104</v>
      </c>
      <c r="AM1712" s="1" t="s">
        <v>104</v>
      </c>
      <c r="AO1712" s="1">
        <v>8</v>
      </c>
      <c r="AR1712" s="1">
        <v>0</v>
      </c>
      <c r="AS1712" s="1">
        <v>0</v>
      </c>
      <c r="AT1712" s="1">
        <v>0</v>
      </c>
      <c r="AU1712" s="1">
        <v>0</v>
      </c>
      <c r="AV1712" s="1">
        <v>0</v>
      </c>
      <c r="AW1712" s="1">
        <v>0</v>
      </c>
      <c r="AX1712" s="1">
        <v>0</v>
      </c>
      <c r="AY1712" s="1">
        <v>0</v>
      </c>
      <c r="AZ1712" s="1">
        <v>0</v>
      </c>
      <c r="BA1712" s="1">
        <v>0</v>
      </c>
      <c r="BB1712" s="1">
        <v>1</v>
      </c>
      <c r="BC1712" s="1">
        <v>0</v>
      </c>
      <c r="BD1712" s="1">
        <v>0</v>
      </c>
      <c r="BE1712" s="1">
        <v>0</v>
      </c>
      <c r="BF1712" s="1">
        <v>0</v>
      </c>
      <c r="BG1712" s="1">
        <v>0</v>
      </c>
      <c r="BH1712" s="1">
        <v>0</v>
      </c>
      <c r="BI1712" s="1">
        <v>0</v>
      </c>
      <c r="BJ1712" s="1">
        <v>0</v>
      </c>
      <c r="BK1712" s="1">
        <v>1</v>
      </c>
      <c r="BL1712" s="1">
        <v>0</v>
      </c>
      <c r="BM1712" s="1">
        <v>0</v>
      </c>
      <c r="BN1712" s="1">
        <v>0</v>
      </c>
      <c r="BO1712" s="1">
        <v>0</v>
      </c>
      <c r="BP1712" s="1">
        <v>0</v>
      </c>
      <c r="BQ1712" s="1" t="s">
        <v>104</v>
      </c>
      <c r="BR1712" s="1">
        <v>1807</v>
      </c>
      <c r="BS1712" s="1">
        <v>5000</v>
      </c>
      <c r="BX1712" s="1">
        <v>0</v>
      </c>
      <c r="BY1712" s="1" t="s">
        <v>104</v>
      </c>
      <c r="BZ1712" s="1" t="s">
        <v>104</v>
      </c>
      <c r="CA1712" s="1" t="s">
        <v>104</v>
      </c>
      <c r="CB1712" s="1" t="s">
        <v>104</v>
      </c>
      <c r="CC1712" s="1" t="s">
        <v>104</v>
      </c>
      <c r="CD1712" s="1" t="s">
        <v>104</v>
      </c>
      <c r="CE1712" s="1" t="s">
        <v>104</v>
      </c>
      <c r="CF1712" s="1" t="s">
        <v>104</v>
      </c>
      <c r="CG1712" s="1" t="s">
        <v>104</v>
      </c>
      <c r="CH1712" s="1" t="s">
        <v>104</v>
      </c>
      <c r="CJ1712" s="1">
        <v>0</v>
      </c>
      <c r="CK1712" s="1">
        <v>0</v>
      </c>
      <c r="CL1712" s="1">
        <v>0</v>
      </c>
      <c r="CM1712" s="1" t="s">
        <v>104</v>
      </c>
    </row>
    <row r="1713" spans="1:91" ht="14.25" customHeight="1" x14ac:dyDescent="0.3">
      <c r="A1713" s="1" t="s">
        <v>9346</v>
      </c>
      <c r="B1713" s="1" t="s">
        <v>162</v>
      </c>
      <c r="E1713" s="1" t="s">
        <v>9011</v>
      </c>
      <c r="F1713" s="1" t="s">
        <v>287</v>
      </c>
      <c r="G1713" s="1" t="s">
        <v>9347</v>
      </c>
      <c r="H1713" s="1">
        <v>1</v>
      </c>
      <c r="I1713" s="1" t="s">
        <v>3750</v>
      </c>
      <c r="K1713" s="1" t="s">
        <v>3751</v>
      </c>
      <c r="M1713" s="1" t="s">
        <v>119</v>
      </c>
      <c r="N1713" s="1">
        <v>0</v>
      </c>
      <c r="O1713" s="1">
        <v>0</v>
      </c>
      <c r="P1713" s="1" t="s">
        <v>100</v>
      </c>
      <c r="Q1713" s="1" t="s">
        <v>101</v>
      </c>
      <c r="R1713" s="1" t="s">
        <v>9348</v>
      </c>
      <c r="S1713" s="1" t="s">
        <v>9131</v>
      </c>
      <c r="T1713" s="1">
        <v>1</v>
      </c>
      <c r="U1713" s="1">
        <v>1</v>
      </c>
      <c r="V1713" s="1">
        <v>1</v>
      </c>
      <c r="W1713" s="1">
        <v>0</v>
      </c>
      <c r="X1713" s="1">
        <v>0</v>
      </c>
      <c r="Y1713" s="1">
        <v>8</v>
      </c>
      <c r="Z1713" s="1">
        <v>8</v>
      </c>
      <c r="AA1713" s="1">
        <v>8</v>
      </c>
      <c r="AB1713" s="1" t="s">
        <v>104</v>
      </c>
      <c r="AC1713" s="1" t="s">
        <v>104</v>
      </c>
      <c r="AD1713" s="1" t="s">
        <v>104</v>
      </c>
      <c r="AE1713" s="1" t="s">
        <v>104</v>
      </c>
      <c r="AF1713" s="1" t="s">
        <v>104</v>
      </c>
      <c r="AG1713" s="1" t="s">
        <v>104</v>
      </c>
      <c r="AH1713" s="1">
        <v>8</v>
      </c>
      <c r="AI1713" s="1" t="s">
        <v>104</v>
      </c>
      <c r="AJ1713" s="1">
        <v>8</v>
      </c>
      <c r="AK1713" s="1" t="s">
        <v>104</v>
      </c>
      <c r="AL1713" s="1" t="s">
        <v>104</v>
      </c>
      <c r="AM1713" s="1" t="s">
        <v>104</v>
      </c>
      <c r="AO1713" s="1">
        <v>8</v>
      </c>
      <c r="AR1713" s="1">
        <v>0</v>
      </c>
      <c r="AS1713" s="1">
        <v>0</v>
      </c>
      <c r="AT1713" s="1">
        <v>0</v>
      </c>
      <c r="AU1713" s="1">
        <v>0</v>
      </c>
      <c r="AV1713" s="1">
        <v>0</v>
      </c>
      <c r="AW1713" s="1">
        <v>0</v>
      </c>
      <c r="AX1713" s="1">
        <v>0</v>
      </c>
      <c r="AY1713" s="1">
        <v>0</v>
      </c>
      <c r="AZ1713" s="1">
        <v>0</v>
      </c>
      <c r="BA1713" s="1">
        <v>0</v>
      </c>
      <c r="BB1713" s="1">
        <v>0</v>
      </c>
      <c r="BC1713" s="1">
        <v>0</v>
      </c>
      <c r="BD1713" s="1">
        <v>0</v>
      </c>
      <c r="BE1713" s="1">
        <v>0</v>
      </c>
      <c r="BF1713" s="1">
        <v>0</v>
      </c>
      <c r="BG1713" s="1">
        <v>0</v>
      </c>
      <c r="BH1713" s="1">
        <v>0</v>
      </c>
      <c r="BI1713" s="1">
        <v>0</v>
      </c>
      <c r="BJ1713" s="1">
        <v>0</v>
      </c>
      <c r="BK1713" s="1">
        <v>0</v>
      </c>
      <c r="BL1713" s="1">
        <v>0</v>
      </c>
      <c r="BM1713" s="1">
        <v>0</v>
      </c>
      <c r="BN1713" s="1">
        <v>0</v>
      </c>
      <c r="BO1713" s="1">
        <v>0</v>
      </c>
      <c r="BP1713" s="1">
        <v>0</v>
      </c>
      <c r="BQ1713" s="1" t="s">
        <v>104</v>
      </c>
      <c r="BR1713" s="1">
        <v>1808</v>
      </c>
      <c r="BS1713" s="1">
        <v>5000</v>
      </c>
      <c r="BX1713" s="1">
        <v>0</v>
      </c>
      <c r="BY1713" s="1" t="s">
        <v>104</v>
      </c>
      <c r="BZ1713" s="1" t="s">
        <v>104</v>
      </c>
      <c r="CA1713" s="1" t="s">
        <v>104</v>
      </c>
      <c r="CB1713" s="1" t="s">
        <v>104</v>
      </c>
      <c r="CC1713" s="1" t="s">
        <v>104</v>
      </c>
      <c r="CD1713" s="1" t="s">
        <v>104</v>
      </c>
      <c r="CE1713" s="1" t="s">
        <v>104</v>
      </c>
      <c r="CF1713" s="1" t="s">
        <v>104</v>
      </c>
      <c r="CG1713" s="1" t="s">
        <v>104</v>
      </c>
      <c r="CH1713" s="1" t="s">
        <v>104</v>
      </c>
      <c r="CJ1713" s="1">
        <v>0</v>
      </c>
      <c r="CK1713" s="1">
        <v>0</v>
      </c>
      <c r="CL1713" s="1">
        <v>0</v>
      </c>
      <c r="CM1713" s="1" t="s">
        <v>104</v>
      </c>
    </row>
    <row r="1714" spans="1:91" ht="14.25" customHeight="1" x14ac:dyDescent="0.3">
      <c r="A1714" s="1" t="s">
        <v>9349</v>
      </c>
      <c r="B1714" s="1" t="s">
        <v>172</v>
      </c>
      <c r="E1714" s="1" t="s">
        <v>9350</v>
      </c>
      <c r="F1714" s="1" t="s">
        <v>95</v>
      </c>
      <c r="G1714" s="1" t="s">
        <v>9351</v>
      </c>
      <c r="H1714" s="1">
        <v>0</v>
      </c>
      <c r="I1714" s="1" t="s">
        <v>157</v>
      </c>
      <c r="L1714" s="1" t="s">
        <v>158</v>
      </c>
      <c r="M1714" s="1" t="s">
        <v>2330</v>
      </c>
      <c r="N1714" s="1">
        <v>0</v>
      </c>
      <c r="O1714" s="1">
        <v>0</v>
      </c>
      <c r="R1714" s="1" t="s">
        <v>9352</v>
      </c>
      <c r="S1714" s="1" t="s">
        <v>9131</v>
      </c>
      <c r="T1714" s="1">
        <v>1</v>
      </c>
      <c r="U1714" s="1">
        <v>0</v>
      </c>
      <c r="V1714" s="1">
        <v>1</v>
      </c>
      <c r="W1714" s="1">
        <v>0</v>
      </c>
      <c r="X1714" s="1">
        <v>0</v>
      </c>
      <c r="Y1714" s="1" t="s">
        <v>104</v>
      </c>
      <c r="Z1714" s="1" t="s">
        <v>104</v>
      </c>
      <c r="AA1714" s="1">
        <v>1</v>
      </c>
      <c r="AB1714" s="1" t="s">
        <v>104</v>
      </c>
      <c r="AC1714" s="1" t="s">
        <v>104</v>
      </c>
      <c r="AD1714" s="1">
        <v>1</v>
      </c>
      <c r="AE1714" s="1" t="s">
        <v>104</v>
      </c>
      <c r="AF1714" s="1" t="s">
        <v>104</v>
      </c>
      <c r="AG1714" s="1" t="s">
        <v>104</v>
      </c>
      <c r="AH1714" s="1">
        <v>1</v>
      </c>
      <c r="AI1714" s="1" t="s">
        <v>104</v>
      </c>
      <c r="AJ1714" s="1">
        <v>1</v>
      </c>
      <c r="AK1714" s="1" t="s">
        <v>104</v>
      </c>
      <c r="AL1714" s="1" t="s">
        <v>104</v>
      </c>
      <c r="AM1714" s="1" t="s">
        <v>104</v>
      </c>
      <c r="AN1714" s="1" t="s">
        <v>5838</v>
      </c>
      <c r="AO1714" s="1">
        <v>1</v>
      </c>
      <c r="AR1714" s="1">
        <v>0</v>
      </c>
      <c r="AS1714" s="1">
        <v>0</v>
      </c>
      <c r="AT1714" s="1">
        <v>0</v>
      </c>
      <c r="AU1714" s="1">
        <v>0</v>
      </c>
      <c r="AV1714" s="1">
        <v>0</v>
      </c>
      <c r="AW1714" s="1">
        <v>0</v>
      </c>
      <c r="AX1714" s="1">
        <v>0</v>
      </c>
      <c r="AY1714" s="1">
        <v>0</v>
      </c>
      <c r="AZ1714" s="1">
        <v>0</v>
      </c>
      <c r="BA1714" s="1">
        <v>0</v>
      </c>
      <c r="BB1714" s="1">
        <v>0</v>
      </c>
      <c r="BC1714" s="1">
        <v>0</v>
      </c>
      <c r="BD1714" s="1">
        <v>0</v>
      </c>
      <c r="BE1714" s="1">
        <v>0</v>
      </c>
      <c r="BF1714" s="1">
        <v>0</v>
      </c>
      <c r="BG1714" s="1">
        <v>0</v>
      </c>
      <c r="BH1714" s="1">
        <v>0</v>
      </c>
      <c r="BI1714" s="1">
        <v>0</v>
      </c>
      <c r="BJ1714" s="1">
        <v>0</v>
      </c>
      <c r="BK1714" s="1">
        <v>0</v>
      </c>
      <c r="BL1714" s="1">
        <v>0</v>
      </c>
      <c r="BM1714" s="1">
        <v>0</v>
      </c>
      <c r="BN1714" s="1">
        <v>0</v>
      </c>
      <c r="BO1714" s="1">
        <v>0</v>
      </c>
      <c r="BP1714" s="1">
        <v>0</v>
      </c>
      <c r="BQ1714" s="1" t="s">
        <v>104</v>
      </c>
      <c r="BR1714" s="1">
        <v>1809</v>
      </c>
      <c r="BS1714" s="1" t="s">
        <v>104</v>
      </c>
      <c r="BX1714" s="1">
        <v>0</v>
      </c>
      <c r="BY1714" s="1" t="s">
        <v>104</v>
      </c>
      <c r="BZ1714" s="1" t="s">
        <v>104</v>
      </c>
      <c r="CA1714" s="1" t="s">
        <v>104</v>
      </c>
      <c r="CB1714" s="1" t="s">
        <v>104</v>
      </c>
      <c r="CC1714" s="1" t="s">
        <v>104</v>
      </c>
      <c r="CD1714" s="1" t="s">
        <v>104</v>
      </c>
      <c r="CE1714" s="1" t="s">
        <v>104</v>
      </c>
      <c r="CF1714" s="1" t="s">
        <v>104</v>
      </c>
      <c r="CG1714" s="1" t="s">
        <v>104</v>
      </c>
      <c r="CH1714" s="1" t="s">
        <v>104</v>
      </c>
      <c r="CJ1714" s="1">
        <v>0</v>
      </c>
      <c r="CK1714" s="1">
        <v>0</v>
      </c>
      <c r="CL1714" s="1">
        <v>0</v>
      </c>
      <c r="CM1714" s="1" t="s">
        <v>104</v>
      </c>
    </row>
    <row r="1715" spans="1:91" ht="14.25" customHeight="1" x14ac:dyDescent="0.3">
      <c r="A1715" s="1" t="s">
        <v>9353</v>
      </c>
      <c r="B1715" s="1" t="s">
        <v>216</v>
      </c>
      <c r="E1715" s="1" t="s">
        <v>9354</v>
      </c>
      <c r="F1715" s="1" t="s">
        <v>95</v>
      </c>
      <c r="G1715" s="1" t="s">
        <v>116</v>
      </c>
      <c r="H1715" s="1">
        <v>0</v>
      </c>
      <c r="I1715" s="1" t="s">
        <v>128</v>
      </c>
      <c r="L1715" s="1" t="s">
        <v>129</v>
      </c>
      <c r="M1715" s="1" t="s">
        <v>111</v>
      </c>
      <c r="N1715" s="1">
        <v>0</v>
      </c>
      <c r="O1715" s="1">
        <v>0</v>
      </c>
      <c r="P1715" s="1" t="s">
        <v>211</v>
      </c>
      <c r="Q1715" s="1" t="s">
        <v>184</v>
      </c>
      <c r="R1715" s="1" t="s">
        <v>9355</v>
      </c>
      <c r="S1715" s="1" t="s">
        <v>9131</v>
      </c>
      <c r="T1715" s="1">
        <v>1</v>
      </c>
      <c r="U1715" s="1">
        <v>1</v>
      </c>
      <c r="V1715" s="1">
        <v>0</v>
      </c>
      <c r="W1715" s="1">
        <v>0</v>
      </c>
      <c r="X1715" s="1">
        <v>0</v>
      </c>
      <c r="Y1715" s="1">
        <v>2</v>
      </c>
      <c r="Z1715" s="1">
        <v>2</v>
      </c>
      <c r="AA1715" s="1">
        <v>1</v>
      </c>
      <c r="AB1715" s="1">
        <v>1</v>
      </c>
      <c r="AC1715" s="1" t="s">
        <v>104</v>
      </c>
      <c r="AD1715" s="1" t="s">
        <v>104</v>
      </c>
      <c r="AE1715" s="1" t="s">
        <v>104</v>
      </c>
      <c r="AF1715" s="1" t="s">
        <v>104</v>
      </c>
      <c r="AG1715" s="1" t="s">
        <v>104</v>
      </c>
      <c r="AH1715" s="1">
        <v>2</v>
      </c>
      <c r="AI1715" s="1" t="s">
        <v>104</v>
      </c>
      <c r="AJ1715" s="1">
        <v>1</v>
      </c>
      <c r="AK1715" s="1">
        <v>2</v>
      </c>
      <c r="AL1715" s="1" t="s">
        <v>104</v>
      </c>
      <c r="AM1715" s="1" t="s">
        <v>104</v>
      </c>
      <c r="AN1715" s="1" t="s">
        <v>9281</v>
      </c>
      <c r="AO1715" s="1">
        <v>2</v>
      </c>
      <c r="AR1715" s="1">
        <v>0</v>
      </c>
      <c r="AS1715" s="1">
        <v>0</v>
      </c>
      <c r="AT1715" s="1">
        <v>0</v>
      </c>
      <c r="AU1715" s="1">
        <v>0</v>
      </c>
      <c r="AV1715" s="1">
        <v>0</v>
      </c>
      <c r="AW1715" s="1">
        <v>0</v>
      </c>
      <c r="AX1715" s="1">
        <v>0</v>
      </c>
      <c r="AY1715" s="1">
        <v>0</v>
      </c>
      <c r="AZ1715" s="1">
        <v>0</v>
      </c>
      <c r="BA1715" s="1">
        <v>0</v>
      </c>
      <c r="BB1715" s="1">
        <v>0</v>
      </c>
      <c r="BC1715" s="1">
        <v>0</v>
      </c>
      <c r="BD1715" s="1">
        <v>0</v>
      </c>
      <c r="BE1715" s="1">
        <v>0</v>
      </c>
      <c r="BF1715" s="1">
        <v>0</v>
      </c>
      <c r="BG1715" s="1">
        <v>0</v>
      </c>
      <c r="BH1715" s="1">
        <v>0</v>
      </c>
      <c r="BI1715" s="1">
        <v>0</v>
      </c>
      <c r="BJ1715" s="1">
        <v>0</v>
      </c>
      <c r="BK1715" s="1">
        <v>0</v>
      </c>
      <c r="BL1715" s="1">
        <v>0</v>
      </c>
      <c r="BM1715" s="1">
        <v>0</v>
      </c>
      <c r="BN1715" s="1">
        <v>0</v>
      </c>
      <c r="BO1715" s="1">
        <v>0</v>
      </c>
      <c r="BP1715" s="1">
        <v>0</v>
      </c>
      <c r="BQ1715" s="1" t="s">
        <v>104</v>
      </c>
      <c r="BR1715" s="1">
        <v>1810</v>
      </c>
      <c r="BS1715" s="1" t="s">
        <v>104</v>
      </c>
      <c r="BX1715" s="1">
        <v>0</v>
      </c>
      <c r="BY1715" s="1" t="s">
        <v>104</v>
      </c>
      <c r="BZ1715" s="1" t="s">
        <v>104</v>
      </c>
      <c r="CA1715" s="1" t="s">
        <v>104</v>
      </c>
      <c r="CB1715" s="1" t="s">
        <v>104</v>
      </c>
      <c r="CC1715" s="1" t="s">
        <v>104</v>
      </c>
      <c r="CD1715" s="1" t="s">
        <v>104</v>
      </c>
      <c r="CE1715" s="1" t="s">
        <v>104</v>
      </c>
      <c r="CF1715" s="1" t="s">
        <v>104</v>
      </c>
      <c r="CG1715" s="1" t="s">
        <v>104</v>
      </c>
      <c r="CH1715" s="1">
        <v>1</v>
      </c>
      <c r="CJ1715" s="1">
        <v>0</v>
      </c>
      <c r="CK1715" s="1">
        <v>0</v>
      </c>
      <c r="CL1715" s="1">
        <v>0</v>
      </c>
      <c r="CM1715" s="1" t="s">
        <v>104</v>
      </c>
    </row>
    <row r="1716" spans="1:91" ht="14.25" customHeight="1" x14ac:dyDescent="0.3">
      <c r="A1716" s="1" t="s">
        <v>9356</v>
      </c>
      <c r="B1716" s="1" t="s">
        <v>434</v>
      </c>
      <c r="E1716" s="1" t="s">
        <v>9357</v>
      </c>
      <c r="F1716" s="1" t="s">
        <v>95</v>
      </c>
      <c r="G1716" s="1" t="s">
        <v>1974</v>
      </c>
      <c r="H1716" s="1">
        <v>0</v>
      </c>
      <c r="I1716" s="1" t="s">
        <v>97</v>
      </c>
      <c r="L1716" s="1" t="s">
        <v>1065</v>
      </c>
      <c r="M1716" s="1" t="s">
        <v>4992</v>
      </c>
      <c r="N1716" s="1">
        <v>1</v>
      </c>
      <c r="O1716" s="1">
        <v>0</v>
      </c>
      <c r="P1716" s="1" t="s">
        <v>211</v>
      </c>
      <c r="Q1716" s="1" t="s">
        <v>184</v>
      </c>
      <c r="R1716" s="1" t="s">
        <v>9358</v>
      </c>
      <c r="S1716" s="1" t="s">
        <v>9131</v>
      </c>
      <c r="T1716" s="1">
        <v>0</v>
      </c>
      <c r="U1716" s="1">
        <v>1</v>
      </c>
      <c r="V1716" s="1">
        <v>0</v>
      </c>
      <c r="W1716" s="1">
        <v>0</v>
      </c>
      <c r="X1716" s="1">
        <v>1</v>
      </c>
      <c r="Y1716" s="1" t="s">
        <v>104</v>
      </c>
      <c r="Z1716" s="1" t="s">
        <v>104</v>
      </c>
      <c r="AA1716" s="1">
        <v>1</v>
      </c>
      <c r="AB1716" s="1">
        <v>1</v>
      </c>
      <c r="AC1716" s="1">
        <v>1</v>
      </c>
      <c r="AD1716" s="1" t="s">
        <v>104</v>
      </c>
      <c r="AE1716" s="1">
        <v>1</v>
      </c>
      <c r="AF1716" s="1" t="s">
        <v>104</v>
      </c>
      <c r="AG1716" s="1" t="s">
        <v>104</v>
      </c>
      <c r="AH1716" s="1" t="s">
        <v>104</v>
      </c>
      <c r="AI1716" s="1" t="s">
        <v>104</v>
      </c>
      <c r="AJ1716" s="1">
        <v>1</v>
      </c>
      <c r="AK1716" s="1" t="s">
        <v>104</v>
      </c>
      <c r="AL1716" s="1" t="s">
        <v>104</v>
      </c>
      <c r="AM1716" s="1" t="s">
        <v>104</v>
      </c>
      <c r="AN1716" s="1" t="s">
        <v>9187</v>
      </c>
      <c r="AO1716" s="1">
        <v>1</v>
      </c>
      <c r="AR1716" s="1">
        <v>0</v>
      </c>
      <c r="AS1716" s="1">
        <v>0</v>
      </c>
      <c r="AT1716" s="1">
        <v>0</v>
      </c>
      <c r="AU1716" s="1">
        <v>0</v>
      </c>
      <c r="AV1716" s="1">
        <v>0</v>
      </c>
      <c r="AW1716" s="1">
        <v>0</v>
      </c>
      <c r="AX1716" s="1">
        <v>0</v>
      </c>
      <c r="AY1716" s="1">
        <v>0</v>
      </c>
      <c r="AZ1716" s="1">
        <v>0</v>
      </c>
      <c r="BA1716" s="1">
        <v>0</v>
      </c>
      <c r="BB1716" s="1">
        <v>0</v>
      </c>
      <c r="BC1716" s="1">
        <v>0</v>
      </c>
      <c r="BD1716" s="1">
        <v>0</v>
      </c>
      <c r="BE1716" s="1">
        <v>0</v>
      </c>
      <c r="BF1716" s="1">
        <v>0</v>
      </c>
      <c r="BG1716" s="1">
        <v>0</v>
      </c>
      <c r="BH1716" s="1">
        <v>0</v>
      </c>
      <c r="BI1716" s="1">
        <v>0</v>
      </c>
      <c r="BJ1716" s="1">
        <v>0</v>
      </c>
      <c r="BK1716" s="1">
        <v>0</v>
      </c>
      <c r="BL1716" s="1">
        <v>0</v>
      </c>
      <c r="BM1716" s="1">
        <v>0</v>
      </c>
      <c r="BN1716" s="1">
        <v>0</v>
      </c>
      <c r="BO1716" s="1">
        <v>0</v>
      </c>
      <c r="BP1716" s="1">
        <v>0</v>
      </c>
      <c r="BQ1716" s="1" t="s">
        <v>104</v>
      </c>
      <c r="BR1716" s="1">
        <v>1811</v>
      </c>
      <c r="BS1716" s="1" t="s">
        <v>104</v>
      </c>
      <c r="BX1716" s="1">
        <v>0</v>
      </c>
      <c r="BY1716" s="1" t="s">
        <v>104</v>
      </c>
      <c r="BZ1716" s="1" t="s">
        <v>104</v>
      </c>
      <c r="CA1716" s="1" t="s">
        <v>104</v>
      </c>
      <c r="CB1716" s="1" t="s">
        <v>104</v>
      </c>
      <c r="CC1716" s="1" t="s">
        <v>104</v>
      </c>
      <c r="CD1716" s="1" t="s">
        <v>104</v>
      </c>
      <c r="CE1716" s="1" t="s">
        <v>104</v>
      </c>
      <c r="CF1716" s="1" t="s">
        <v>104</v>
      </c>
      <c r="CG1716" s="1" t="s">
        <v>104</v>
      </c>
      <c r="CH1716" s="1">
        <v>1</v>
      </c>
      <c r="CJ1716" s="1">
        <v>0</v>
      </c>
      <c r="CK1716" s="1">
        <v>0</v>
      </c>
      <c r="CL1716" s="1">
        <v>0</v>
      </c>
      <c r="CM1716" s="1" t="s">
        <v>104</v>
      </c>
    </row>
    <row r="1717" spans="1:91" ht="14.25" customHeight="1" x14ac:dyDescent="0.3">
      <c r="A1717" s="1" t="s">
        <v>9359</v>
      </c>
      <c r="B1717" s="1" t="s">
        <v>137</v>
      </c>
      <c r="D1717" s="1" t="s">
        <v>54</v>
      </c>
      <c r="E1717" s="1" t="s">
        <v>9360</v>
      </c>
      <c r="F1717" s="1" t="s">
        <v>255</v>
      </c>
      <c r="G1717" s="1" t="s">
        <v>9361</v>
      </c>
      <c r="H1717" s="1">
        <v>0</v>
      </c>
      <c r="I1717" s="1" t="s">
        <v>157</v>
      </c>
      <c r="L1717" s="1" t="s">
        <v>158</v>
      </c>
      <c r="M1717" s="1" t="s">
        <v>298</v>
      </c>
      <c r="N1717" s="1">
        <v>0</v>
      </c>
      <c r="O1717" s="1">
        <v>0</v>
      </c>
      <c r="R1717" s="1" t="s">
        <v>9362</v>
      </c>
      <c r="S1717" s="1" t="s">
        <v>9131</v>
      </c>
      <c r="T1717" s="1">
        <v>1</v>
      </c>
      <c r="U1717" s="1">
        <v>1</v>
      </c>
      <c r="V1717" s="1">
        <v>1</v>
      </c>
      <c r="W1717" s="1">
        <v>0</v>
      </c>
      <c r="X1717" s="1">
        <v>0</v>
      </c>
      <c r="Y1717" s="1">
        <v>5</v>
      </c>
      <c r="Z1717" s="1">
        <v>5</v>
      </c>
      <c r="AA1717" s="1">
        <v>4</v>
      </c>
      <c r="AB1717" s="1" t="s">
        <v>104</v>
      </c>
      <c r="AC1717" s="1" t="s">
        <v>104</v>
      </c>
      <c r="AD1717" s="1" t="s">
        <v>104</v>
      </c>
      <c r="AE1717" s="1" t="s">
        <v>104</v>
      </c>
      <c r="AF1717" s="1">
        <v>5</v>
      </c>
      <c r="AG1717" s="1" t="s">
        <v>104</v>
      </c>
      <c r="AH1717" s="1">
        <v>5</v>
      </c>
      <c r="AI1717" s="1">
        <v>4</v>
      </c>
      <c r="AJ1717" s="1">
        <v>4</v>
      </c>
      <c r="AK1717" s="1">
        <v>4</v>
      </c>
      <c r="AL1717" s="1">
        <v>5</v>
      </c>
      <c r="AM1717" s="1" t="s">
        <v>104</v>
      </c>
      <c r="AO1717" s="1">
        <v>5</v>
      </c>
      <c r="AR1717" s="1">
        <v>0</v>
      </c>
      <c r="AS1717" s="1">
        <v>0</v>
      </c>
      <c r="AT1717" s="1">
        <v>0</v>
      </c>
      <c r="AU1717" s="1">
        <v>0</v>
      </c>
      <c r="AV1717" s="1">
        <v>0</v>
      </c>
      <c r="AW1717" s="1">
        <v>0</v>
      </c>
      <c r="AX1717" s="1">
        <v>0</v>
      </c>
      <c r="AY1717" s="1">
        <v>0</v>
      </c>
      <c r="AZ1717" s="1">
        <v>0</v>
      </c>
      <c r="BA1717" s="1">
        <v>0</v>
      </c>
      <c r="BB1717" s="1">
        <v>0</v>
      </c>
      <c r="BC1717" s="1">
        <v>1</v>
      </c>
      <c r="BD1717" s="1">
        <v>0</v>
      </c>
      <c r="BE1717" s="1">
        <v>0</v>
      </c>
      <c r="BF1717" s="1">
        <v>0</v>
      </c>
      <c r="BG1717" s="1">
        <v>0</v>
      </c>
      <c r="BH1717" s="1">
        <v>0</v>
      </c>
      <c r="BI1717" s="1">
        <v>0</v>
      </c>
      <c r="BJ1717" s="1">
        <v>0</v>
      </c>
      <c r="BK1717" s="1">
        <v>0</v>
      </c>
      <c r="BL1717" s="1">
        <v>0</v>
      </c>
      <c r="BM1717" s="1">
        <v>0</v>
      </c>
      <c r="BN1717" s="1">
        <v>0</v>
      </c>
      <c r="BO1717" s="1">
        <v>0</v>
      </c>
      <c r="BP1717" s="1">
        <v>0</v>
      </c>
      <c r="BQ1717" s="1" t="s">
        <v>104</v>
      </c>
      <c r="BR1717" s="1">
        <v>1812</v>
      </c>
      <c r="BS1717" s="1" t="s">
        <v>104</v>
      </c>
      <c r="BX1717" s="1">
        <v>0</v>
      </c>
      <c r="BY1717" s="1" t="s">
        <v>104</v>
      </c>
      <c r="BZ1717" s="1" t="s">
        <v>104</v>
      </c>
      <c r="CA1717" s="1" t="s">
        <v>104</v>
      </c>
      <c r="CB1717" s="1" t="s">
        <v>104</v>
      </c>
      <c r="CC1717" s="1" t="s">
        <v>104</v>
      </c>
      <c r="CD1717" s="1" t="s">
        <v>104</v>
      </c>
      <c r="CE1717" s="1" t="s">
        <v>104</v>
      </c>
      <c r="CF1717" s="1" t="s">
        <v>104</v>
      </c>
      <c r="CG1717" s="1" t="s">
        <v>104</v>
      </c>
      <c r="CH1717" s="1" t="s">
        <v>104</v>
      </c>
      <c r="CJ1717" s="1">
        <v>0</v>
      </c>
      <c r="CK1717" s="1">
        <v>0</v>
      </c>
      <c r="CL1717" s="1">
        <v>0</v>
      </c>
      <c r="CM1717" s="1" t="s">
        <v>104</v>
      </c>
    </row>
    <row r="1718" spans="1:91" ht="14.25" customHeight="1" x14ac:dyDescent="0.3">
      <c r="A1718" s="1" t="s">
        <v>9363</v>
      </c>
      <c r="B1718" s="1" t="s">
        <v>434</v>
      </c>
      <c r="D1718" s="1" t="s">
        <v>61</v>
      </c>
      <c r="E1718" s="1" t="s">
        <v>9364</v>
      </c>
      <c r="F1718" s="1" t="s">
        <v>95</v>
      </c>
      <c r="G1718" s="1" t="s">
        <v>116</v>
      </c>
      <c r="H1718" s="1">
        <v>0</v>
      </c>
      <c r="I1718" s="1" t="s">
        <v>109</v>
      </c>
      <c r="L1718" s="1" t="s">
        <v>9365</v>
      </c>
      <c r="M1718" s="1" t="s">
        <v>2330</v>
      </c>
      <c r="N1718" s="1">
        <v>0</v>
      </c>
      <c r="O1718" s="1">
        <v>0</v>
      </c>
      <c r="P1718" s="1" t="s">
        <v>211</v>
      </c>
      <c r="Q1718" s="1" t="s">
        <v>184</v>
      </c>
      <c r="R1718" s="1" t="s">
        <v>9366</v>
      </c>
      <c r="S1718" s="1" t="s">
        <v>9131</v>
      </c>
      <c r="T1718" s="1">
        <v>1</v>
      </c>
      <c r="U1718" s="1">
        <v>1</v>
      </c>
      <c r="V1718" s="1">
        <v>0</v>
      </c>
      <c r="W1718" s="1">
        <v>0</v>
      </c>
      <c r="X1718" s="1">
        <v>0</v>
      </c>
      <c r="Y1718" s="1">
        <v>1</v>
      </c>
      <c r="Z1718" s="1">
        <v>1</v>
      </c>
      <c r="AA1718" s="1">
        <v>1</v>
      </c>
      <c r="AB1718" s="1" t="s">
        <v>104</v>
      </c>
      <c r="AC1718" s="1" t="s">
        <v>104</v>
      </c>
      <c r="AD1718" s="1" t="s">
        <v>104</v>
      </c>
      <c r="AE1718" s="1">
        <v>1</v>
      </c>
      <c r="AF1718" s="1" t="s">
        <v>104</v>
      </c>
      <c r="AG1718" s="1" t="s">
        <v>104</v>
      </c>
      <c r="AH1718" s="1" t="s">
        <v>104</v>
      </c>
      <c r="AI1718" s="1" t="s">
        <v>104</v>
      </c>
      <c r="AJ1718" s="1">
        <v>1</v>
      </c>
      <c r="AK1718" s="1" t="s">
        <v>104</v>
      </c>
      <c r="AL1718" s="1" t="s">
        <v>104</v>
      </c>
      <c r="AM1718" s="1" t="s">
        <v>104</v>
      </c>
      <c r="AN1718" s="1" t="s">
        <v>9322</v>
      </c>
      <c r="AO1718" s="1">
        <v>1</v>
      </c>
      <c r="AR1718" s="1">
        <v>0</v>
      </c>
      <c r="AS1718" s="1">
        <v>0</v>
      </c>
      <c r="AT1718" s="1">
        <v>0</v>
      </c>
      <c r="AU1718" s="1">
        <v>0</v>
      </c>
      <c r="AV1718" s="1">
        <v>0</v>
      </c>
      <c r="AW1718" s="1">
        <v>0</v>
      </c>
      <c r="AX1718" s="1">
        <v>0</v>
      </c>
      <c r="AY1718" s="1">
        <v>0</v>
      </c>
      <c r="AZ1718" s="1">
        <v>0</v>
      </c>
      <c r="BA1718" s="1">
        <v>0</v>
      </c>
      <c r="BB1718" s="1">
        <v>0</v>
      </c>
      <c r="BC1718" s="1">
        <v>0</v>
      </c>
      <c r="BD1718" s="1">
        <v>0</v>
      </c>
      <c r="BE1718" s="1">
        <v>0</v>
      </c>
      <c r="BF1718" s="1">
        <v>0</v>
      </c>
      <c r="BG1718" s="1">
        <v>0</v>
      </c>
      <c r="BH1718" s="1">
        <v>0</v>
      </c>
      <c r="BI1718" s="1">
        <v>0</v>
      </c>
      <c r="BJ1718" s="1">
        <v>1</v>
      </c>
      <c r="BK1718" s="1">
        <v>0</v>
      </c>
      <c r="BL1718" s="1">
        <v>0</v>
      </c>
      <c r="BM1718" s="1">
        <v>0</v>
      </c>
      <c r="BN1718" s="1">
        <v>0</v>
      </c>
      <c r="BO1718" s="1">
        <v>0</v>
      </c>
      <c r="BP1718" s="1">
        <v>0</v>
      </c>
      <c r="BQ1718" s="1" t="s">
        <v>104</v>
      </c>
      <c r="BR1718" s="1">
        <v>1813</v>
      </c>
      <c r="BS1718" s="1" t="s">
        <v>104</v>
      </c>
      <c r="BX1718" s="1">
        <v>0</v>
      </c>
      <c r="BY1718" s="1" t="s">
        <v>104</v>
      </c>
      <c r="BZ1718" s="1" t="s">
        <v>104</v>
      </c>
      <c r="CA1718" s="1" t="s">
        <v>104</v>
      </c>
      <c r="CB1718" s="1" t="s">
        <v>104</v>
      </c>
      <c r="CC1718" s="1" t="s">
        <v>104</v>
      </c>
      <c r="CD1718" s="1" t="s">
        <v>104</v>
      </c>
      <c r="CE1718" s="1" t="s">
        <v>104</v>
      </c>
      <c r="CF1718" s="1" t="s">
        <v>104</v>
      </c>
      <c r="CG1718" s="1" t="s">
        <v>104</v>
      </c>
      <c r="CH1718" s="1" t="s">
        <v>104</v>
      </c>
      <c r="CJ1718" s="1">
        <v>0</v>
      </c>
      <c r="CK1718" s="1">
        <v>0</v>
      </c>
      <c r="CL1718" s="1">
        <v>0</v>
      </c>
      <c r="CM1718" s="1" t="s">
        <v>104</v>
      </c>
    </row>
    <row r="1719" spans="1:91" ht="14.25" customHeight="1" x14ac:dyDescent="0.3">
      <c r="A1719" s="1" t="s">
        <v>9367</v>
      </c>
      <c r="B1719" s="1" t="s">
        <v>137</v>
      </c>
      <c r="C1719" s="1" t="s">
        <v>154</v>
      </c>
      <c r="D1719" s="1" t="s">
        <v>64</v>
      </c>
      <c r="E1719" s="1" t="s">
        <v>9368</v>
      </c>
      <c r="F1719" s="1" t="s">
        <v>95</v>
      </c>
      <c r="G1719" s="1" t="s">
        <v>9369</v>
      </c>
      <c r="H1719" s="1">
        <v>0</v>
      </c>
      <c r="I1719" s="1" t="s">
        <v>157</v>
      </c>
      <c r="L1719" s="1" t="s">
        <v>158</v>
      </c>
      <c r="M1719" s="1" t="s">
        <v>111</v>
      </c>
      <c r="N1719" s="1">
        <v>0</v>
      </c>
      <c r="O1719" s="1">
        <v>0</v>
      </c>
      <c r="P1719" s="1" t="s">
        <v>2807</v>
      </c>
      <c r="Q1719" s="1" t="s">
        <v>101</v>
      </c>
      <c r="R1719" s="1" t="s">
        <v>9370</v>
      </c>
      <c r="S1719" s="1" t="s">
        <v>9131</v>
      </c>
      <c r="T1719" s="1">
        <v>1</v>
      </c>
      <c r="U1719" s="1">
        <v>1</v>
      </c>
      <c r="V1719" s="1">
        <v>1</v>
      </c>
      <c r="W1719" s="1">
        <v>0</v>
      </c>
      <c r="X1719" s="1">
        <v>1</v>
      </c>
      <c r="Y1719" s="1">
        <v>5</v>
      </c>
      <c r="Z1719" s="1">
        <v>5</v>
      </c>
      <c r="AA1719" s="1">
        <v>6</v>
      </c>
      <c r="AB1719" s="1" t="s">
        <v>104</v>
      </c>
      <c r="AC1719" s="1" t="s">
        <v>104</v>
      </c>
      <c r="AD1719" s="1" t="s">
        <v>104</v>
      </c>
      <c r="AE1719" s="1" t="s">
        <v>104</v>
      </c>
      <c r="AF1719" s="1" t="s">
        <v>104</v>
      </c>
      <c r="AG1719" s="1">
        <v>5</v>
      </c>
      <c r="AH1719" s="1">
        <v>5</v>
      </c>
      <c r="AI1719" s="1" t="s">
        <v>104</v>
      </c>
      <c r="AJ1719" s="1">
        <v>6</v>
      </c>
      <c r="AK1719" s="1" t="s">
        <v>104</v>
      </c>
      <c r="AL1719" s="1" t="s">
        <v>104</v>
      </c>
      <c r="AM1719" s="1" t="s">
        <v>104</v>
      </c>
      <c r="AN1719" s="1" t="s">
        <v>9313</v>
      </c>
      <c r="AO1719" s="1">
        <v>5</v>
      </c>
      <c r="AR1719" s="1">
        <v>0</v>
      </c>
      <c r="AS1719" s="1">
        <v>0</v>
      </c>
      <c r="AT1719" s="1">
        <v>0</v>
      </c>
      <c r="AU1719" s="1">
        <v>0</v>
      </c>
      <c r="AV1719" s="1">
        <v>0</v>
      </c>
      <c r="AW1719" s="1">
        <v>0</v>
      </c>
      <c r="AX1719" s="1">
        <v>0</v>
      </c>
      <c r="AY1719" s="1">
        <v>0</v>
      </c>
      <c r="AZ1719" s="1">
        <v>0</v>
      </c>
      <c r="BA1719" s="1">
        <v>0</v>
      </c>
      <c r="BB1719" s="1">
        <v>0</v>
      </c>
      <c r="BC1719" s="1">
        <v>0</v>
      </c>
      <c r="BD1719" s="1">
        <v>0</v>
      </c>
      <c r="BE1719" s="1">
        <v>0</v>
      </c>
      <c r="BF1719" s="1">
        <v>0</v>
      </c>
      <c r="BG1719" s="1">
        <v>0</v>
      </c>
      <c r="BH1719" s="1">
        <v>0</v>
      </c>
      <c r="BI1719" s="1">
        <v>0</v>
      </c>
      <c r="BJ1719" s="1">
        <v>0</v>
      </c>
      <c r="BK1719" s="1">
        <v>0</v>
      </c>
      <c r="BL1719" s="1">
        <v>0</v>
      </c>
      <c r="BM1719" s="1">
        <v>1</v>
      </c>
      <c r="BN1719" s="1">
        <v>0</v>
      </c>
      <c r="BO1719" s="1">
        <v>0</v>
      </c>
      <c r="BP1719" s="1">
        <v>0</v>
      </c>
      <c r="BQ1719" s="1" t="s">
        <v>104</v>
      </c>
      <c r="BR1719" s="1">
        <v>1814</v>
      </c>
      <c r="BS1719" s="1" t="s">
        <v>104</v>
      </c>
      <c r="BX1719" s="1">
        <v>0</v>
      </c>
      <c r="BY1719" s="1" t="s">
        <v>104</v>
      </c>
      <c r="BZ1719" s="1" t="s">
        <v>104</v>
      </c>
      <c r="CA1719" s="1" t="s">
        <v>104</v>
      </c>
      <c r="CB1719" s="1" t="s">
        <v>104</v>
      </c>
      <c r="CC1719" s="1" t="s">
        <v>104</v>
      </c>
      <c r="CD1719" s="1" t="s">
        <v>104</v>
      </c>
      <c r="CE1719" s="1" t="s">
        <v>104</v>
      </c>
      <c r="CF1719" s="1" t="s">
        <v>104</v>
      </c>
      <c r="CG1719" s="1" t="s">
        <v>104</v>
      </c>
      <c r="CH1719" s="1" t="s">
        <v>104</v>
      </c>
      <c r="CJ1719" s="1">
        <v>0</v>
      </c>
      <c r="CK1719" s="1">
        <v>0</v>
      </c>
      <c r="CL1719" s="1">
        <v>0</v>
      </c>
      <c r="CM1719" s="1">
        <v>5</v>
      </c>
    </row>
    <row r="1720" spans="1:91" ht="14.25" customHeight="1" x14ac:dyDescent="0.3">
      <c r="A1720" s="1" t="s">
        <v>9371</v>
      </c>
      <c r="B1720" s="1" t="s">
        <v>123</v>
      </c>
      <c r="C1720" s="1" t="s">
        <v>124</v>
      </c>
      <c r="D1720" s="1" t="s">
        <v>125</v>
      </c>
      <c r="E1720" s="1" t="s">
        <v>9372</v>
      </c>
      <c r="F1720" s="1" t="s">
        <v>95</v>
      </c>
      <c r="G1720" s="1" t="s">
        <v>116</v>
      </c>
      <c r="H1720" s="1">
        <v>0</v>
      </c>
      <c r="I1720" s="1" t="s">
        <v>117</v>
      </c>
      <c r="L1720" s="1" t="s">
        <v>1065</v>
      </c>
      <c r="M1720" s="1" t="s">
        <v>6149</v>
      </c>
      <c r="N1720" s="1">
        <v>0</v>
      </c>
      <c r="O1720" s="1">
        <v>0</v>
      </c>
      <c r="P1720" s="1" t="s">
        <v>211</v>
      </c>
      <c r="Q1720" s="1" t="s">
        <v>184</v>
      </c>
      <c r="R1720" s="1" t="s">
        <v>9373</v>
      </c>
      <c r="S1720" s="1" t="s">
        <v>9131</v>
      </c>
      <c r="T1720" s="1">
        <v>1</v>
      </c>
      <c r="U1720" s="1">
        <v>1</v>
      </c>
      <c r="V1720" s="1">
        <v>0</v>
      </c>
      <c r="W1720" s="1">
        <v>0</v>
      </c>
      <c r="X1720" s="1">
        <v>0</v>
      </c>
      <c r="Y1720" s="1" t="s">
        <v>104</v>
      </c>
      <c r="Z1720" s="1" t="s">
        <v>104</v>
      </c>
      <c r="AA1720" s="1">
        <v>2</v>
      </c>
      <c r="AB1720" s="1" t="s">
        <v>104</v>
      </c>
      <c r="AC1720" s="1" t="s">
        <v>104</v>
      </c>
      <c r="AD1720" s="1" t="s">
        <v>104</v>
      </c>
      <c r="AE1720" s="1" t="s">
        <v>104</v>
      </c>
      <c r="AF1720" s="1" t="s">
        <v>104</v>
      </c>
      <c r="AG1720" s="1" t="s">
        <v>104</v>
      </c>
      <c r="AH1720" s="1">
        <v>2</v>
      </c>
      <c r="AI1720" s="1">
        <v>2</v>
      </c>
      <c r="AJ1720" s="1">
        <v>2</v>
      </c>
      <c r="AK1720" s="1" t="s">
        <v>104</v>
      </c>
      <c r="AL1720" s="1" t="s">
        <v>104</v>
      </c>
      <c r="AM1720" s="1" t="s">
        <v>104</v>
      </c>
      <c r="AO1720" s="1">
        <v>2</v>
      </c>
      <c r="AR1720" s="1">
        <v>0</v>
      </c>
      <c r="AS1720" s="1">
        <v>0</v>
      </c>
      <c r="AT1720" s="1">
        <v>0</v>
      </c>
      <c r="AU1720" s="1">
        <v>0</v>
      </c>
      <c r="AV1720" s="1">
        <v>0</v>
      </c>
      <c r="AW1720" s="1">
        <v>0</v>
      </c>
      <c r="AX1720" s="1">
        <v>0</v>
      </c>
      <c r="AY1720" s="1">
        <v>0</v>
      </c>
      <c r="AZ1720" s="1">
        <v>0</v>
      </c>
      <c r="BA1720" s="1">
        <v>0</v>
      </c>
      <c r="BB1720" s="1">
        <v>0</v>
      </c>
      <c r="BC1720" s="1">
        <v>0</v>
      </c>
      <c r="BD1720" s="1">
        <v>0</v>
      </c>
      <c r="BE1720" s="1">
        <v>0</v>
      </c>
      <c r="BF1720" s="1">
        <v>0</v>
      </c>
      <c r="BG1720" s="1">
        <v>0</v>
      </c>
      <c r="BH1720" s="1">
        <v>0</v>
      </c>
      <c r="BI1720" s="1">
        <v>0</v>
      </c>
      <c r="BJ1720" s="1">
        <v>0</v>
      </c>
      <c r="BK1720" s="1">
        <v>1</v>
      </c>
      <c r="BL1720" s="1">
        <v>0</v>
      </c>
      <c r="BM1720" s="1">
        <v>0</v>
      </c>
      <c r="BN1720" s="1">
        <v>0</v>
      </c>
      <c r="BO1720" s="1">
        <v>0</v>
      </c>
      <c r="BP1720" s="1">
        <v>0</v>
      </c>
      <c r="BQ1720" s="1" t="s">
        <v>104</v>
      </c>
      <c r="BR1720" s="1">
        <v>1815</v>
      </c>
      <c r="BS1720" s="1" t="s">
        <v>104</v>
      </c>
      <c r="BX1720" s="1">
        <v>0</v>
      </c>
      <c r="BY1720" s="1" t="s">
        <v>104</v>
      </c>
      <c r="BZ1720" s="1" t="s">
        <v>104</v>
      </c>
      <c r="CA1720" s="1" t="s">
        <v>104</v>
      </c>
      <c r="CB1720" s="1" t="s">
        <v>104</v>
      </c>
      <c r="CC1720" s="1" t="s">
        <v>104</v>
      </c>
      <c r="CD1720" s="1" t="s">
        <v>104</v>
      </c>
      <c r="CE1720" s="1" t="s">
        <v>104</v>
      </c>
      <c r="CF1720" s="1" t="s">
        <v>104</v>
      </c>
      <c r="CG1720" s="1" t="s">
        <v>104</v>
      </c>
      <c r="CH1720" s="1" t="s">
        <v>104</v>
      </c>
      <c r="CJ1720" s="1">
        <v>0</v>
      </c>
      <c r="CK1720" s="1">
        <v>0</v>
      </c>
      <c r="CL1720" s="1">
        <v>0</v>
      </c>
      <c r="CM1720" s="1" t="s">
        <v>104</v>
      </c>
    </row>
    <row r="1721" spans="1:91" ht="14.25" customHeight="1" x14ac:dyDescent="0.3">
      <c r="A1721" s="1" t="s">
        <v>9374</v>
      </c>
      <c r="B1721" s="1" t="s">
        <v>137</v>
      </c>
      <c r="E1721" s="1" t="s">
        <v>8908</v>
      </c>
      <c r="F1721" s="1" t="s">
        <v>95</v>
      </c>
      <c r="G1721" s="1" t="s">
        <v>4639</v>
      </c>
      <c r="H1721" s="1">
        <v>0</v>
      </c>
      <c r="I1721" s="1" t="s">
        <v>117</v>
      </c>
      <c r="L1721" s="1" t="s">
        <v>9375</v>
      </c>
      <c r="M1721" s="1" t="s">
        <v>111</v>
      </c>
      <c r="N1721" s="1">
        <v>0</v>
      </c>
      <c r="O1721" s="1">
        <v>0</v>
      </c>
      <c r="P1721" s="1" t="s">
        <v>7424</v>
      </c>
      <c r="Q1721" s="1" t="s">
        <v>149</v>
      </c>
      <c r="R1721" s="1" t="s">
        <v>9376</v>
      </c>
      <c r="S1721" s="1" t="s">
        <v>9131</v>
      </c>
      <c r="T1721" s="1">
        <v>1</v>
      </c>
      <c r="U1721" s="1">
        <v>0</v>
      </c>
      <c r="V1721" s="1">
        <v>0</v>
      </c>
      <c r="W1721" s="1">
        <v>0</v>
      </c>
      <c r="X1721" s="1">
        <v>1</v>
      </c>
      <c r="Y1721" s="1" t="s">
        <v>104</v>
      </c>
      <c r="Z1721" s="1" t="s">
        <v>104</v>
      </c>
      <c r="AA1721" s="1">
        <v>1</v>
      </c>
      <c r="AB1721" s="1" t="s">
        <v>104</v>
      </c>
      <c r="AC1721" s="1" t="s">
        <v>104</v>
      </c>
      <c r="AD1721" s="1" t="s">
        <v>104</v>
      </c>
      <c r="AE1721" s="1">
        <v>1</v>
      </c>
      <c r="AF1721" s="1" t="s">
        <v>104</v>
      </c>
      <c r="AG1721" s="1" t="s">
        <v>104</v>
      </c>
      <c r="AH1721" s="1" t="s">
        <v>104</v>
      </c>
      <c r="AI1721" s="1">
        <v>1</v>
      </c>
      <c r="AJ1721" s="1">
        <v>1</v>
      </c>
      <c r="AK1721" s="1" t="s">
        <v>104</v>
      </c>
      <c r="AL1721" s="1" t="s">
        <v>104</v>
      </c>
      <c r="AM1721" s="1" t="s">
        <v>104</v>
      </c>
      <c r="AN1721" s="1" t="s">
        <v>9163</v>
      </c>
      <c r="AO1721" s="1">
        <v>1</v>
      </c>
      <c r="AR1721" s="1">
        <v>0</v>
      </c>
      <c r="AS1721" s="1">
        <v>0</v>
      </c>
      <c r="AT1721" s="1">
        <v>0</v>
      </c>
      <c r="AU1721" s="1">
        <v>0</v>
      </c>
      <c r="AV1721" s="1">
        <v>0</v>
      </c>
      <c r="AW1721" s="1">
        <v>0</v>
      </c>
      <c r="AX1721" s="1">
        <v>0</v>
      </c>
      <c r="AY1721" s="1">
        <v>0</v>
      </c>
      <c r="AZ1721" s="1">
        <v>0</v>
      </c>
      <c r="BA1721" s="1">
        <v>0</v>
      </c>
      <c r="BB1721" s="1">
        <v>0</v>
      </c>
      <c r="BC1721" s="1">
        <v>0</v>
      </c>
      <c r="BD1721" s="1">
        <v>0</v>
      </c>
      <c r="BE1721" s="1">
        <v>0</v>
      </c>
      <c r="BF1721" s="1">
        <v>0</v>
      </c>
      <c r="BG1721" s="1">
        <v>0</v>
      </c>
      <c r="BH1721" s="1">
        <v>0</v>
      </c>
      <c r="BI1721" s="1">
        <v>0</v>
      </c>
      <c r="BJ1721" s="1">
        <v>0</v>
      </c>
      <c r="BK1721" s="1">
        <v>0</v>
      </c>
      <c r="BL1721" s="1">
        <v>0</v>
      </c>
      <c r="BM1721" s="1">
        <v>0</v>
      </c>
      <c r="BN1721" s="1">
        <v>0</v>
      </c>
      <c r="BO1721" s="1">
        <v>0</v>
      </c>
      <c r="BP1721" s="1">
        <v>0</v>
      </c>
      <c r="BQ1721" s="1" t="s">
        <v>104</v>
      </c>
      <c r="BR1721" s="1">
        <v>1816</v>
      </c>
      <c r="BS1721" s="1" t="s">
        <v>104</v>
      </c>
      <c r="BX1721" s="1">
        <v>0</v>
      </c>
      <c r="BY1721" s="1" t="s">
        <v>104</v>
      </c>
      <c r="BZ1721" s="1" t="s">
        <v>104</v>
      </c>
      <c r="CA1721" s="1" t="s">
        <v>104</v>
      </c>
      <c r="CB1721" s="1" t="s">
        <v>104</v>
      </c>
      <c r="CC1721" s="1" t="s">
        <v>104</v>
      </c>
      <c r="CD1721" s="1" t="s">
        <v>104</v>
      </c>
      <c r="CE1721" s="1" t="s">
        <v>104</v>
      </c>
      <c r="CF1721" s="1" t="s">
        <v>104</v>
      </c>
      <c r="CG1721" s="1" t="s">
        <v>104</v>
      </c>
      <c r="CH1721" s="1" t="s">
        <v>104</v>
      </c>
      <c r="CJ1721" s="1">
        <v>0</v>
      </c>
      <c r="CK1721" s="1">
        <v>0</v>
      </c>
      <c r="CL1721" s="1">
        <v>0</v>
      </c>
      <c r="CM1721" s="1" t="s">
        <v>104</v>
      </c>
    </row>
    <row r="1722" spans="1:91" ht="14.25" customHeight="1" x14ac:dyDescent="0.3">
      <c r="A1722" s="1" t="s">
        <v>9377</v>
      </c>
      <c r="B1722" s="1" t="s">
        <v>216</v>
      </c>
      <c r="D1722" s="1" t="s">
        <v>54</v>
      </c>
      <c r="E1722" s="1" t="s">
        <v>4226</v>
      </c>
      <c r="F1722" s="1" t="s">
        <v>273</v>
      </c>
      <c r="G1722" s="1" t="s">
        <v>9378</v>
      </c>
      <c r="H1722" s="1">
        <v>1</v>
      </c>
      <c r="I1722" s="1" t="s">
        <v>117</v>
      </c>
      <c r="L1722" s="1" t="s">
        <v>9379</v>
      </c>
      <c r="M1722" s="1" t="s">
        <v>119</v>
      </c>
      <c r="N1722" s="1">
        <v>0</v>
      </c>
      <c r="O1722" s="1">
        <v>0</v>
      </c>
      <c r="P1722" s="1" t="s">
        <v>100</v>
      </c>
      <c r="Q1722" s="1" t="s">
        <v>101</v>
      </c>
      <c r="R1722" s="1" t="s">
        <v>9380</v>
      </c>
      <c r="S1722" s="1" t="s">
        <v>9381</v>
      </c>
      <c r="T1722" s="1">
        <v>1</v>
      </c>
      <c r="U1722" s="1">
        <v>1</v>
      </c>
      <c r="V1722" s="1">
        <v>1</v>
      </c>
      <c r="W1722" s="1">
        <v>0</v>
      </c>
      <c r="X1722" s="1">
        <v>0</v>
      </c>
      <c r="Y1722" s="1">
        <v>7</v>
      </c>
      <c r="Z1722" s="1">
        <v>7</v>
      </c>
      <c r="AA1722" s="1">
        <v>7</v>
      </c>
      <c r="AB1722" s="1" t="s">
        <v>104</v>
      </c>
      <c r="AC1722" s="1" t="s">
        <v>104</v>
      </c>
      <c r="AD1722" s="1" t="s">
        <v>104</v>
      </c>
      <c r="AE1722" s="1" t="s">
        <v>104</v>
      </c>
      <c r="AF1722" s="1" t="s">
        <v>104</v>
      </c>
      <c r="AG1722" s="1" t="s">
        <v>104</v>
      </c>
      <c r="AH1722" s="1" t="s">
        <v>104</v>
      </c>
      <c r="AI1722" s="1" t="s">
        <v>104</v>
      </c>
      <c r="AJ1722" s="1">
        <v>7</v>
      </c>
      <c r="AK1722" s="1" t="s">
        <v>104</v>
      </c>
      <c r="AL1722" s="1" t="s">
        <v>104</v>
      </c>
      <c r="AM1722" s="1" t="s">
        <v>104</v>
      </c>
      <c r="AO1722" s="1">
        <v>7</v>
      </c>
      <c r="AR1722" s="1">
        <v>0</v>
      </c>
      <c r="AS1722" s="1">
        <v>0</v>
      </c>
      <c r="AT1722" s="1">
        <v>0</v>
      </c>
      <c r="AU1722" s="1">
        <v>0</v>
      </c>
      <c r="AV1722" s="1">
        <v>0</v>
      </c>
      <c r="AW1722" s="1">
        <v>0</v>
      </c>
      <c r="AX1722" s="1">
        <v>0</v>
      </c>
      <c r="AY1722" s="1">
        <v>0</v>
      </c>
      <c r="AZ1722" s="1">
        <v>0</v>
      </c>
      <c r="BA1722" s="1">
        <v>0</v>
      </c>
      <c r="BB1722" s="1">
        <v>0</v>
      </c>
      <c r="BC1722" s="1">
        <v>1</v>
      </c>
      <c r="BD1722" s="1">
        <v>0</v>
      </c>
      <c r="BE1722" s="1">
        <v>0</v>
      </c>
      <c r="BF1722" s="1">
        <v>0</v>
      </c>
      <c r="BG1722" s="1">
        <v>0</v>
      </c>
      <c r="BH1722" s="1">
        <v>0</v>
      </c>
      <c r="BI1722" s="1">
        <v>0</v>
      </c>
      <c r="BJ1722" s="1">
        <v>0</v>
      </c>
      <c r="BK1722" s="1">
        <v>0</v>
      </c>
      <c r="BL1722" s="1">
        <v>0</v>
      </c>
      <c r="BM1722" s="1">
        <v>0</v>
      </c>
      <c r="BN1722" s="1">
        <v>0</v>
      </c>
      <c r="BO1722" s="1">
        <v>0</v>
      </c>
      <c r="BP1722" s="1">
        <v>0</v>
      </c>
      <c r="BQ1722" s="1" t="s">
        <v>104</v>
      </c>
      <c r="BR1722" s="1">
        <v>1817</v>
      </c>
      <c r="BS1722" s="1">
        <v>50</v>
      </c>
      <c r="BX1722" s="1">
        <v>0</v>
      </c>
      <c r="BY1722" s="1" t="s">
        <v>104</v>
      </c>
      <c r="BZ1722" s="1" t="s">
        <v>104</v>
      </c>
      <c r="CA1722" s="1" t="s">
        <v>104</v>
      </c>
      <c r="CB1722" s="1" t="s">
        <v>104</v>
      </c>
      <c r="CC1722" s="1" t="s">
        <v>104</v>
      </c>
      <c r="CD1722" s="1" t="s">
        <v>104</v>
      </c>
      <c r="CE1722" s="1" t="s">
        <v>104</v>
      </c>
      <c r="CF1722" s="1" t="s">
        <v>104</v>
      </c>
      <c r="CG1722" s="1" t="s">
        <v>104</v>
      </c>
      <c r="CH1722" s="1" t="s">
        <v>104</v>
      </c>
      <c r="CJ1722" s="1">
        <v>0</v>
      </c>
      <c r="CK1722" s="1">
        <v>0</v>
      </c>
      <c r="CL1722" s="1">
        <v>0</v>
      </c>
      <c r="CM1722" s="1" t="s">
        <v>104</v>
      </c>
    </row>
    <row r="1723" spans="1:91" ht="14.25" customHeight="1" x14ac:dyDescent="0.3">
      <c r="A1723" s="1" t="s">
        <v>9382</v>
      </c>
      <c r="B1723" s="1" t="s">
        <v>216</v>
      </c>
      <c r="D1723" s="1" t="s">
        <v>54</v>
      </c>
      <c r="E1723" s="1" t="s">
        <v>8880</v>
      </c>
      <c r="F1723" s="1" t="s">
        <v>95</v>
      </c>
      <c r="G1723" s="1" t="s">
        <v>116</v>
      </c>
      <c r="H1723" s="1">
        <v>0</v>
      </c>
      <c r="I1723" s="1" t="s">
        <v>448</v>
      </c>
      <c r="J1723" s="1" t="s">
        <v>9383</v>
      </c>
      <c r="M1723" s="1" t="s">
        <v>119</v>
      </c>
      <c r="N1723" s="1">
        <v>0</v>
      </c>
      <c r="O1723" s="1">
        <v>0</v>
      </c>
      <c r="P1723" s="1" t="s">
        <v>145</v>
      </c>
      <c r="Q1723" s="1" t="s">
        <v>184</v>
      </c>
      <c r="R1723" s="1" t="s">
        <v>9384</v>
      </c>
      <c r="S1723" s="1" t="s">
        <v>9381</v>
      </c>
      <c r="T1723" s="1">
        <v>1</v>
      </c>
      <c r="U1723" s="1">
        <v>1</v>
      </c>
      <c r="V1723" s="1">
        <v>0</v>
      </c>
      <c r="W1723" s="1">
        <v>0</v>
      </c>
      <c r="X1723" s="1">
        <v>0</v>
      </c>
      <c r="Y1723" s="1" t="s">
        <v>104</v>
      </c>
      <c r="Z1723" s="1" t="s">
        <v>104</v>
      </c>
      <c r="AA1723" s="1">
        <v>4</v>
      </c>
      <c r="AB1723" s="1" t="s">
        <v>104</v>
      </c>
      <c r="AC1723" s="1" t="s">
        <v>104</v>
      </c>
      <c r="AD1723" s="1" t="s">
        <v>104</v>
      </c>
      <c r="AE1723" s="1" t="s">
        <v>104</v>
      </c>
      <c r="AF1723" s="1" t="s">
        <v>104</v>
      </c>
      <c r="AG1723" s="1" t="s">
        <v>104</v>
      </c>
      <c r="AH1723" s="1">
        <v>4</v>
      </c>
      <c r="AI1723" s="1" t="s">
        <v>104</v>
      </c>
      <c r="AJ1723" s="1">
        <v>4</v>
      </c>
      <c r="AK1723" s="1" t="s">
        <v>104</v>
      </c>
      <c r="AL1723" s="1" t="s">
        <v>104</v>
      </c>
      <c r="AM1723" s="1" t="s">
        <v>104</v>
      </c>
      <c r="AO1723" s="1">
        <v>4</v>
      </c>
      <c r="AR1723" s="1">
        <v>0</v>
      </c>
      <c r="AS1723" s="1">
        <v>0</v>
      </c>
      <c r="AT1723" s="1">
        <v>0</v>
      </c>
      <c r="AU1723" s="1">
        <v>0</v>
      </c>
      <c r="AV1723" s="1">
        <v>0</v>
      </c>
      <c r="AW1723" s="1">
        <v>0</v>
      </c>
      <c r="AX1723" s="1">
        <v>0</v>
      </c>
      <c r="AY1723" s="1">
        <v>0</v>
      </c>
      <c r="AZ1723" s="1">
        <v>0</v>
      </c>
      <c r="BA1723" s="1">
        <v>0</v>
      </c>
      <c r="BB1723" s="1">
        <v>0</v>
      </c>
      <c r="BC1723" s="1">
        <v>1</v>
      </c>
      <c r="BD1723" s="1">
        <v>0</v>
      </c>
      <c r="BE1723" s="1">
        <v>0</v>
      </c>
      <c r="BF1723" s="1">
        <v>0</v>
      </c>
      <c r="BG1723" s="1">
        <v>0</v>
      </c>
      <c r="BH1723" s="1">
        <v>0</v>
      </c>
      <c r="BI1723" s="1">
        <v>0</v>
      </c>
      <c r="BJ1723" s="1">
        <v>0</v>
      </c>
      <c r="BK1723" s="1">
        <v>0</v>
      </c>
      <c r="BL1723" s="1">
        <v>0</v>
      </c>
      <c r="BM1723" s="1">
        <v>0</v>
      </c>
      <c r="BN1723" s="1">
        <v>0</v>
      </c>
      <c r="BO1723" s="1">
        <v>0</v>
      </c>
      <c r="BP1723" s="1">
        <v>0</v>
      </c>
      <c r="BQ1723" s="1" t="s">
        <v>104</v>
      </c>
      <c r="BR1723" s="1">
        <v>1818</v>
      </c>
      <c r="BS1723" s="1" t="s">
        <v>104</v>
      </c>
      <c r="BX1723" s="1">
        <v>0</v>
      </c>
      <c r="BY1723" s="1" t="s">
        <v>104</v>
      </c>
      <c r="BZ1723" s="1" t="s">
        <v>104</v>
      </c>
      <c r="CA1723" s="1" t="s">
        <v>104</v>
      </c>
      <c r="CB1723" s="1" t="s">
        <v>104</v>
      </c>
      <c r="CC1723" s="1" t="s">
        <v>104</v>
      </c>
      <c r="CD1723" s="1" t="s">
        <v>104</v>
      </c>
      <c r="CE1723" s="1" t="s">
        <v>104</v>
      </c>
      <c r="CF1723" s="1" t="s">
        <v>104</v>
      </c>
      <c r="CG1723" s="1" t="s">
        <v>104</v>
      </c>
      <c r="CH1723" s="1" t="s">
        <v>104</v>
      </c>
      <c r="CJ1723" s="1">
        <v>0</v>
      </c>
      <c r="CK1723" s="1">
        <v>0</v>
      </c>
      <c r="CL1723" s="1">
        <v>0</v>
      </c>
      <c r="CM1723" s="1" t="s">
        <v>104</v>
      </c>
    </row>
    <row r="1724" spans="1:91" ht="14.25" customHeight="1" x14ac:dyDescent="0.3">
      <c r="A1724" s="1" t="s">
        <v>9385</v>
      </c>
      <c r="B1724" s="1" t="s">
        <v>172</v>
      </c>
      <c r="E1724" s="1" t="s">
        <v>9386</v>
      </c>
      <c r="F1724" s="1" t="s">
        <v>95</v>
      </c>
      <c r="G1724" s="1" t="s">
        <v>116</v>
      </c>
      <c r="H1724" s="1">
        <v>0</v>
      </c>
      <c r="I1724" s="1" t="s">
        <v>157</v>
      </c>
      <c r="L1724" s="1" t="s">
        <v>158</v>
      </c>
      <c r="M1724" s="1" t="s">
        <v>426</v>
      </c>
      <c r="N1724" s="1">
        <v>1</v>
      </c>
      <c r="O1724" s="1">
        <v>0</v>
      </c>
      <c r="P1724" s="1" t="s">
        <v>100</v>
      </c>
      <c r="Q1724" s="1" t="s">
        <v>101</v>
      </c>
      <c r="R1724" s="1" t="s">
        <v>9387</v>
      </c>
      <c r="S1724" s="1" t="s">
        <v>9388</v>
      </c>
      <c r="T1724" s="1">
        <v>1</v>
      </c>
      <c r="U1724" s="1">
        <v>1</v>
      </c>
      <c r="V1724" s="1">
        <v>0</v>
      </c>
      <c r="W1724" s="1">
        <v>0</v>
      </c>
      <c r="X1724" s="1">
        <v>0</v>
      </c>
      <c r="Y1724" s="1" t="s">
        <v>104</v>
      </c>
      <c r="Z1724" s="1" t="s">
        <v>104</v>
      </c>
      <c r="AA1724" s="1">
        <v>3</v>
      </c>
      <c r="AB1724" s="1" t="s">
        <v>104</v>
      </c>
      <c r="AC1724" s="1" t="s">
        <v>104</v>
      </c>
      <c r="AD1724" s="1" t="s">
        <v>104</v>
      </c>
      <c r="AE1724" s="1" t="s">
        <v>104</v>
      </c>
      <c r="AF1724" s="1" t="s">
        <v>104</v>
      </c>
      <c r="AG1724" s="1" t="s">
        <v>104</v>
      </c>
      <c r="AH1724" s="1">
        <v>4</v>
      </c>
      <c r="AI1724" s="1" t="s">
        <v>104</v>
      </c>
      <c r="AJ1724" s="1">
        <v>3</v>
      </c>
      <c r="AK1724" s="1" t="s">
        <v>104</v>
      </c>
      <c r="AL1724" s="1" t="s">
        <v>104</v>
      </c>
      <c r="AM1724" s="1" t="s">
        <v>104</v>
      </c>
      <c r="AO1724" s="1">
        <v>3</v>
      </c>
      <c r="AR1724" s="1">
        <v>0</v>
      </c>
      <c r="AS1724" s="1">
        <v>0</v>
      </c>
      <c r="AT1724" s="1">
        <v>0</v>
      </c>
      <c r="AU1724" s="1">
        <v>0</v>
      </c>
      <c r="AV1724" s="1">
        <v>0</v>
      </c>
      <c r="AW1724" s="1">
        <v>0</v>
      </c>
      <c r="AX1724" s="1">
        <v>0</v>
      </c>
      <c r="AY1724" s="1">
        <v>0</v>
      </c>
      <c r="AZ1724" s="1">
        <v>0</v>
      </c>
      <c r="BA1724" s="1">
        <v>0</v>
      </c>
      <c r="BB1724" s="1">
        <v>0</v>
      </c>
      <c r="BC1724" s="1">
        <v>0</v>
      </c>
      <c r="BD1724" s="1">
        <v>0</v>
      </c>
      <c r="BE1724" s="1">
        <v>0</v>
      </c>
      <c r="BF1724" s="1">
        <v>0</v>
      </c>
      <c r="BG1724" s="1">
        <v>0</v>
      </c>
      <c r="BH1724" s="1">
        <v>0</v>
      </c>
      <c r="BI1724" s="1">
        <v>0</v>
      </c>
      <c r="BJ1724" s="1">
        <v>0</v>
      </c>
      <c r="BK1724" s="1">
        <v>0</v>
      </c>
      <c r="BL1724" s="1">
        <v>0</v>
      </c>
      <c r="BM1724" s="1">
        <v>0</v>
      </c>
      <c r="BN1724" s="1">
        <v>0</v>
      </c>
      <c r="BO1724" s="1">
        <v>0</v>
      </c>
      <c r="BP1724" s="1">
        <v>0</v>
      </c>
      <c r="BQ1724" s="1" t="s">
        <v>104</v>
      </c>
      <c r="BR1724" s="1">
        <v>1819</v>
      </c>
      <c r="BS1724" s="1" t="s">
        <v>104</v>
      </c>
      <c r="BX1724" s="1">
        <v>0</v>
      </c>
      <c r="BY1724" s="1" t="s">
        <v>104</v>
      </c>
      <c r="BZ1724" s="1" t="s">
        <v>104</v>
      </c>
      <c r="CA1724" s="1" t="s">
        <v>104</v>
      </c>
      <c r="CB1724" s="1" t="s">
        <v>104</v>
      </c>
      <c r="CC1724" s="1" t="s">
        <v>104</v>
      </c>
      <c r="CD1724" s="1" t="s">
        <v>104</v>
      </c>
      <c r="CE1724" s="1" t="s">
        <v>104</v>
      </c>
      <c r="CF1724" s="1" t="s">
        <v>104</v>
      </c>
      <c r="CG1724" s="1" t="s">
        <v>104</v>
      </c>
      <c r="CH1724" s="1" t="s">
        <v>104</v>
      </c>
      <c r="CJ1724" s="1">
        <v>0</v>
      </c>
      <c r="CK1724" s="1">
        <v>0</v>
      </c>
      <c r="CL1724" s="1">
        <v>0</v>
      </c>
      <c r="CM1724" s="1" t="s">
        <v>104</v>
      </c>
    </row>
    <row r="1725" spans="1:91" ht="14.25" customHeight="1" x14ac:dyDescent="0.3">
      <c r="A1725" s="1" t="s">
        <v>9389</v>
      </c>
      <c r="B1725" s="1" t="s">
        <v>172</v>
      </c>
      <c r="E1725" s="1" t="s">
        <v>9390</v>
      </c>
      <c r="F1725" s="1" t="s">
        <v>9391</v>
      </c>
      <c r="G1725" s="1" t="s">
        <v>9392</v>
      </c>
      <c r="H1725" s="1">
        <v>0</v>
      </c>
      <c r="I1725" s="1" t="s">
        <v>157</v>
      </c>
      <c r="L1725" s="1" t="s">
        <v>158</v>
      </c>
      <c r="M1725" s="1" t="s">
        <v>9393</v>
      </c>
      <c r="N1725" s="1">
        <v>0</v>
      </c>
      <c r="O1725" s="1">
        <v>0</v>
      </c>
      <c r="P1725" s="1" t="s">
        <v>100</v>
      </c>
      <c r="Q1725" s="1" t="s">
        <v>101</v>
      </c>
      <c r="R1725" s="1" t="s">
        <v>9394</v>
      </c>
      <c r="S1725" s="1" t="s">
        <v>9388</v>
      </c>
      <c r="T1725" s="1">
        <v>1</v>
      </c>
      <c r="U1725" s="1">
        <v>1</v>
      </c>
      <c r="V1725" s="1">
        <v>0</v>
      </c>
      <c r="W1725" s="1">
        <v>0</v>
      </c>
      <c r="X1725" s="1">
        <v>1</v>
      </c>
      <c r="Y1725" s="1">
        <v>3</v>
      </c>
      <c r="Z1725" s="1">
        <v>3</v>
      </c>
      <c r="AA1725" s="1">
        <v>2</v>
      </c>
      <c r="AB1725" s="1">
        <v>3</v>
      </c>
      <c r="AC1725" s="1" t="s">
        <v>104</v>
      </c>
      <c r="AD1725" s="1" t="s">
        <v>104</v>
      </c>
      <c r="AE1725" s="1" t="s">
        <v>104</v>
      </c>
      <c r="AF1725" s="1" t="s">
        <v>104</v>
      </c>
      <c r="AG1725" s="1" t="s">
        <v>104</v>
      </c>
      <c r="AH1725" s="1" t="s">
        <v>104</v>
      </c>
      <c r="AI1725" s="1">
        <v>3</v>
      </c>
      <c r="AJ1725" s="1">
        <v>2</v>
      </c>
      <c r="AK1725" s="1" t="s">
        <v>104</v>
      </c>
      <c r="AL1725" s="1" t="s">
        <v>104</v>
      </c>
      <c r="AM1725" s="1" t="s">
        <v>104</v>
      </c>
      <c r="AO1725" s="1">
        <v>3</v>
      </c>
      <c r="AR1725" s="1">
        <v>0</v>
      </c>
      <c r="AS1725" s="1">
        <v>0</v>
      </c>
      <c r="AT1725" s="1">
        <v>0</v>
      </c>
      <c r="AU1725" s="1">
        <v>0</v>
      </c>
      <c r="AV1725" s="1">
        <v>0</v>
      </c>
      <c r="AW1725" s="1">
        <v>0</v>
      </c>
      <c r="AX1725" s="1">
        <v>0</v>
      </c>
      <c r="AY1725" s="1">
        <v>0</v>
      </c>
      <c r="AZ1725" s="1">
        <v>0</v>
      </c>
      <c r="BA1725" s="1">
        <v>0</v>
      </c>
      <c r="BB1725" s="1">
        <v>0</v>
      </c>
      <c r="BC1725" s="1">
        <v>0</v>
      </c>
      <c r="BD1725" s="1">
        <v>0</v>
      </c>
      <c r="BE1725" s="1">
        <v>0</v>
      </c>
      <c r="BF1725" s="1">
        <v>0</v>
      </c>
      <c r="BG1725" s="1">
        <v>0</v>
      </c>
      <c r="BH1725" s="1">
        <v>0</v>
      </c>
      <c r="BI1725" s="1">
        <v>0</v>
      </c>
      <c r="BJ1725" s="1">
        <v>0</v>
      </c>
      <c r="BK1725" s="1">
        <v>0</v>
      </c>
      <c r="BL1725" s="1">
        <v>0</v>
      </c>
      <c r="BM1725" s="1">
        <v>0</v>
      </c>
      <c r="BN1725" s="1">
        <v>0</v>
      </c>
      <c r="BO1725" s="1">
        <v>0</v>
      </c>
      <c r="BP1725" s="1">
        <v>0</v>
      </c>
      <c r="BQ1725" s="1" t="s">
        <v>104</v>
      </c>
      <c r="BR1725" s="1">
        <v>1820</v>
      </c>
      <c r="BS1725" s="1" t="s">
        <v>104</v>
      </c>
      <c r="BX1725" s="1">
        <v>0</v>
      </c>
      <c r="BY1725" s="1" t="s">
        <v>104</v>
      </c>
      <c r="BZ1725" s="1" t="s">
        <v>104</v>
      </c>
      <c r="CA1725" s="1" t="s">
        <v>104</v>
      </c>
      <c r="CB1725" s="1" t="s">
        <v>104</v>
      </c>
      <c r="CC1725" s="1" t="s">
        <v>104</v>
      </c>
      <c r="CD1725" s="1" t="s">
        <v>104</v>
      </c>
      <c r="CE1725" s="1" t="s">
        <v>104</v>
      </c>
      <c r="CF1725" s="1" t="s">
        <v>104</v>
      </c>
      <c r="CG1725" s="1" t="s">
        <v>104</v>
      </c>
      <c r="CH1725" s="1">
        <v>3</v>
      </c>
      <c r="CJ1725" s="1">
        <v>0</v>
      </c>
      <c r="CK1725" s="1">
        <v>0</v>
      </c>
      <c r="CL1725" s="1">
        <v>0</v>
      </c>
      <c r="CM1725" s="1" t="s">
        <v>104</v>
      </c>
    </row>
    <row r="1726" spans="1:91" ht="14.25" customHeight="1" x14ac:dyDescent="0.3">
      <c r="A1726" s="1" t="s">
        <v>9395</v>
      </c>
      <c r="B1726" s="1" t="s">
        <v>137</v>
      </c>
      <c r="E1726" s="1" t="s">
        <v>9396</v>
      </c>
      <c r="F1726" s="1" t="s">
        <v>95</v>
      </c>
      <c r="G1726" s="1" t="s">
        <v>116</v>
      </c>
      <c r="H1726" s="1">
        <v>0</v>
      </c>
      <c r="I1726" s="1" t="s">
        <v>128</v>
      </c>
      <c r="L1726" s="1" t="s">
        <v>6465</v>
      </c>
      <c r="M1726" s="1" t="s">
        <v>9397</v>
      </c>
      <c r="N1726" s="1">
        <v>0</v>
      </c>
      <c r="O1726" s="1">
        <v>0</v>
      </c>
      <c r="P1726" s="1" t="s">
        <v>100</v>
      </c>
      <c r="Q1726" s="1" t="s">
        <v>101</v>
      </c>
      <c r="R1726" s="1" t="s">
        <v>9398</v>
      </c>
      <c r="S1726" s="1" t="s">
        <v>9388</v>
      </c>
      <c r="T1726" s="1">
        <v>1</v>
      </c>
      <c r="U1726" s="1">
        <v>1</v>
      </c>
      <c r="V1726" s="1">
        <v>0</v>
      </c>
      <c r="W1726" s="1">
        <v>0</v>
      </c>
      <c r="X1726" s="1">
        <v>0</v>
      </c>
      <c r="Y1726" s="1">
        <v>1</v>
      </c>
      <c r="Z1726" s="1">
        <v>1</v>
      </c>
      <c r="AA1726" s="1">
        <v>1</v>
      </c>
      <c r="AB1726" s="1">
        <v>1</v>
      </c>
      <c r="AC1726" s="1" t="s">
        <v>104</v>
      </c>
      <c r="AD1726" s="1">
        <v>1</v>
      </c>
      <c r="AE1726" s="1">
        <v>1</v>
      </c>
      <c r="AF1726" s="1" t="s">
        <v>104</v>
      </c>
      <c r="AG1726" s="1">
        <v>1</v>
      </c>
      <c r="AH1726" s="1">
        <v>1</v>
      </c>
      <c r="AI1726" s="1">
        <v>1</v>
      </c>
      <c r="AJ1726" s="1">
        <v>1</v>
      </c>
      <c r="AK1726" s="1" t="s">
        <v>104</v>
      </c>
      <c r="AL1726" s="1" t="s">
        <v>104</v>
      </c>
      <c r="AM1726" s="1" t="s">
        <v>104</v>
      </c>
      <c r="AO1726" s="1">
        <v>1</v>
      </c>
      <c r="AR1726" s="1">
        <v>0</v>
      </c>
      <c r="AS1726" s="1">
        <v>0</v>
      </c>
      <c r="AT1726" s="1">
        <v>0</v>
      </c>
      <c r="AU1726" s="1">
        <v>0</v>
      </c>
      <c r="AV1726" s="1">
        <v>0</v>
      </c>
      <c r="AW1726" s="1">
        <v>0</v>
      </c>
      <c r="AX1726" s="1">
        <v>0</v>
      </c>
      <c r="AY1726" s="1">
        <v>0</v>
      </c>
      <c r="AZ1726" s="1">
        <v>0</v>
      </c>
      <c r="BA1726" s="1">
        <v>0</v>
      </c>
      <c r="BB1726" s="1">
        <v>0</v>
      </c>
      <c r="BC1726" s="1">
        <v>0</v>
      </c>
      <c r="BD1726" s="1">
        <v>0</v>
      </c>
      <c r="BE1726" s="1">
        <v>0</v>
      </c>
      <c r="BF1726" s="1">
        <v>0</v>
      </c>
      <c r="BG1726" s="1">
        <v>0</v>
      </c>
      <c r="BH1726" s="1">
        <v>0</v>
      </c>
      <c r="BI1726" s="1">
        <v>0</v>
      </c>
      <c r="BJ1726" s="1">
        <v>0</v>
      </c>
      <c r="BK1726" s="1">
        <v>0</v>
      </c>
      <c r="BL1726" s="1">
        <v>0</v>
      </c>
      <c r="BM1726" s="1">
        <v>0</v>
      </c>
      <c r="BN1726" s="1">
        <v>0</v>
      </c>
      <c r="BO1726" s="1">
        <v>0</v>
      </c>
      <c r="BP1726" s="1">
        <v>0</v>
      </c>
      <c r="BQ1726" s="1" t="s">
        <v>104</v>
      </c>
      <c r="BR1726" s="1">
        <v>1821</v>
      </c>
      <c r="BS1726" s="1" t="s">
        <v>104</v>
      </c>
      <c r="BX1726" s="1">
        <v>0</v>
      </c>
      <c r="BY1726" s="1" t="s">
        <v>104</v>
      </c>
      <c r="BZ1726" s="1" t="s">
        <v>104</v>
      </c>
      <c r="CA1726" s="1" t="s">
        <v>104</v>
      </c>
      <c r="CB1726" s="1" t="s">
        <v>104</v>
      </c>
      <c r="CC1726" s="1" t="s">
        <v>104</v>
      </c>
      <c r="CD1726" s="1" t="s">
        <v>104</v>
      </c>
      <c r="CE1726" s="1" t="s">
        <v>104</v>
      </c>
      <c r="CF1726" s="1" t="s">
        <v>104</v>
      </c>
      <c r="CG1726" s="1" t="s">
        <v>104</v>
      </c>
      <c r="CH1726" s="1">
        <v>1</v>
      </c>
      <c r="CJ1726" s="1">
        <v>0</v>
      </c>
      <c r="CK1726" s="1">
        <v>0</v>
      </c>
      <c r="CL1726" s="1">
        <v>0</v>
      </c>
      <c r="CM1726" s="1">
        <v>1</v>
      </c>
    </row>
    <row r="1727" spans="1:91" ht="14.25" customHeight="1" x14ac:dyDescent="0.3">
      <c r="A1727" s="1" t="s">
        <v>9399</v>
      </c>
      <c r="B1727" s="1" t="s">
        <v>216</v>
      </c>
      <c r="D1727" s="1" t="s">
        <v>47</v>
      </c>
      <c r="E1727" s="1" t="s">
        <v>9400</v>
      </c>
      <c r="F1727" s="1" t="s">
        <v>95</v>
      </c>
      <c r="G1727" s="1" t="s">
        <v>9401</v>
      </c>
      <c r="H1727" s="1">
        <v>0</v>
      </c>
      <c r="I1727" s="1" t="s">
        <v>128</v>
      </c>
      <c r="L1727" s="1" t="s">
        <v>417</v>
      </c>
      <c r="M1727" s="1" t="s">
        <v>145</v>
      </c>
      <c r="N1727" s="1">
        <v>0</v>
      </c>
      <c r="O1727" s="1">
        <v>0</v>
      </c>
      <c r="P1727" s="1" t="s">
        <v>211</v>
      </c>
      <c r="Q1727" s="1" t="s">
        <v>184</v>
      </c>
      <c r="R1727" s="1" t="s">
        <v>9402</v>
      </c>
      <c r="S1727" s="1" t="s">
        <v>9388</v>
      </c>
      <c r="T1727" s="1">
        <v>1</v>
      </c>
      <c r="U1727" s="1">
        <v>1</v>
      </c>
      <c r="V1727" s="1">
        <v>1</v>
      </c>
      <c r="W1727" s="1">
        <v>0</v>
      </c>
      <c r="X1727" s="1">
        <v>1</v>
      </c>
      <c r="Y1727" s="1">
        <v>2</v>
      </c>
      <c r="Z1727" s="1">
        <v>2</v>
      </c>
      <c r="AA1727" s="1">
        <v>3</v>
      </c>
      <c r="AB1727" s="1" t="s">
        <v>104</v>
      </c>
      <c r="AC1727" s="1" t="s">
        <v>104</v>
      </c>
      <c r="AD1727" s="1">
        <v>2</v>
      </c>
      <c r="AE1727" s="1" t="s">
        <v>104</v>
      </c>
      <c r="AF1727" s="1" t="s">
        <v>104</v>
      </c>
      <c r="AG1727" s="1" t="s">
        <v>104</v>
      </c>
      <c r="AH1727" s="1">
        <v>2</v>
      </c>
      <c r="AI1727" s="1" t="s">
        <v>104</v>
      </c>
      <c r="AJ1727" s="1">
        <v>3</v>
      </c>
      <c r="AK1727" s="1">
        <v>2</v>
      </c>
      <c r="AL1727" s="1" t="s">
        <v>104</v>
      </c>
      <c r="AM1727" s="1" t="s">
        <v>104</v>
      </c>
      <c r="AO1727" s="1">
        <v>2</v>
      </c>
      <c r="AR1727" s="1">
        <v>0</v>
      </c>
      <c r="AS1727" s="1">
        <v>0</v>
      </c>
      <c r="AT1727" s="1">
        <v>0</v>
      </c>
      <c r="AU1727" s="1">
        <v>0</v>
      </c>
      <c r="AV1727" s="1">
        <v>1</v>
      </c>
      <c r="AW1727" s="1">
        <v>0</v>
      </c>
      <c r="AX1727" s="1">
        <v>0</v>
      </c>
      <c r="AY1727" s="1">
        <v>0</v>
      </c>
      <c r="AZ1727" s="1">
        <v>0</v>
      </c>
      <c r="BA1727" s="1">
        <v>0</v>
      </c>
      <c r="BB1727" s="1">
        <v>0</v>
      </c>
      <c r="BC1727" s="1">
        <v>0</v>
      </c>
      <c r="BD1727" s="1">
        <v>0</v>
      </c>
      <c r="BE1727" s="1">
        <v>0</v>
      </c>
      <c r="BF1727" s="1">
        <v>0</v>
      </c>
      <c r="BG1727" s="1">
        <v>0</v>
      </c>
      <c r="BH1727" s="1">
        <v>0</v>
      </c>
      <c r="BI1727" s="1">
        <v>0</v>
      </c>
      <c r="BJ1727" s="1">
        <v>0</v>
      </c>
      <c r="BK1727" s="1">
        <v>0</v>
      </c>
      <c r="BL1727" s="1">
        <v>0</v>
      </c>
      <c r="BM1727" s="1">
        <v>0</v>
      </c>
      <c r="BN1727" s="1">
        <v>0</v>
      </c>
      <c r="BO1727" s="1">
        <v>0</v>
      </c>
      <c r="BP1727" s="1">
        <v>0</v>
      </c>
      <c r="BQ1727" s="1" t="s">
        <v>104</v>
      </c>
      <c r="BR1727" s="1">
        <v>1822</v>
      </c>
      <c r="BS1727" s="1" t="s">
        <v>104</v>
      </c>
      <c r="BX1727" s="1">
        <v>0</v>
      </c>
      <c r="BY1727" s="1" t="s">
        <v>104</v>
      </c>
      <c r="BZ1727" s="1" t="s">
        <v>104</v>
      </c>
      <c r="CA1727" s="1" t="s">
        <v>104</v>
      </c>
      <c r="CB1727" s="1" t="s">
        <v>104</v>
      </c>
      <c r="CC1727" s="1" t="s">
        <v>104</v>
      </c>
      <c r="CD1727" s="1" t="s">
        <v>104</v>
      </c>
      <c r="CE1727" s="1" t="s">
        <v>104</v>
      </c>
      <c r="CF1727" s="1" t="s">
        <v>104</v>
      </c>
      <c r="CG1727" s="1" t="s">
        <v>104</v>
      </c>
      <c r="CH1727" s="1" t="s">
        <v>104</v>
      </c>
      <c r="CJ1727" s="1">
        <v>0</v>
      </c>
      <c r="CK1727" s="1">
        <v>0</v>
      </c>
      <c r="CL1727" s="1">
        <v>0</v>
      </c>
      <c r="CM1727" s="1" t="s">
        <v>104</v>
      </c>
    </row>
    <row r="1728" spans="1:91" ht="14.25" customHeight="1" x14ac:dyDescent="0.3">
      <c r="A1728" s="1" t="s">
        <v>9403</v>
      </c>
      <c r="B1728" s="1" t="s">
        <v>434</v>
      </c>
      <c r="E1728" s="1" t="s">
        <v>9404</v>
      </c>
      <c r="F1728" s="1" t="s">
        <v>95</v>
      </c>
      <c r="G1728" s="1" t="s">
        <v>116</v>
      </c>
      <c r="H1728" s="1">
        <v>0</v>
      </c>
      <c r="I1728" s="1" t="s">
        <v>145</v>
      </c>
      <c r="L1728" s="1" t="s">
        <v>145</v>
      </c>
      <c r="M1728" s="1" t="s">
        <v>119</v>
      </c>
      <c r="N1728" s="1">
        <v>0</v>
      </c>
      <c r="O1728" s="1">
        <v>0</v>
      </c>
      <c r="P1728" s="1" t="s">
        <v>550</v>
      </c>
      <c r="Q1728" s="1" t="s">
        <v>184</v>
      </c>
      <c r="R1728" s="1" t="s">
        <v>9405</v>
      </c>
      <c r="S1728" s="1" t="s">
        <v>9388</v>
      </c>
      <c r="T1728" s="1">
        <v>1</v>
      </c>
      <c r="U1728" s="1">
        <v>1</v>
      </c>
      <c r="V1728" s="1">
        <v>0</v>
      </c>
      <c r="W1728" s="1">
        <v>0</v>
      </c>
      <c r="X1728" s="1">
        <v>0</v>
      </c>
      <c r="Y1728" s="1">
        <v>3</v>
      </c>
      <c r="Z1728" s="1">
        <v>3</v>
      </c>
      <c r="AA1728" s="1" t="s">
        <v>104</v>
      </c>
      <c r="AB1728" s="1" t="s">
        <v>104</v>
      </c>
      <c r="AC1728" s="1" t="s">
        <v>104</v>
      </c>
      <c r="AD1728" s="1" t="s">
        <v>104</v>
      </c>
      <c r="AE1728" s="1" t="s">
        <v>104</v>
      </c>
      <c r="AF1728" s="1" t="s">
        <v>104</v>
      </c>
      <c r="AG1728" s="1" t="s">
        <v>104</v>
      </c>
      <c r="AH1728" s="1">
        <v>4</v>
      </c>
      <c r="AI1728" s="1" t="s">
        <v>104</v>
      </c>
      <c r="AJ1728" s="1" t="s">
        <v>104</v>
      </c>
      <c r="AK1728" s="1" t="s">
        <v>104</v>
      </c>
      <c r="AL1728" s="1">
        <v>3</v>
      </c>
      <c r="AM1728" s="1" t="s">
        <v>104</v>
      </c>
      <c r="AO1728" s="1">
        <v>3</v>
      </c>
      <c r="AR1728" s="1">
        <v>0</v>
      </c>
      <c r="AS1728" s="1">
        <v>0</v>
      </c>
      <c r="AT1728" s="1">
        <v>0</v>
      </c>
      <c r="AU1728" s="1">
        <v>0</v>
      </c>
      <c r="AV1728" s="1">
        <v>0</v>
      </c>
      <c r="AW1728" s="1">
        <v>0</v>
      </c>
      <c r="AX1728" s="1">
        <v>0</v>
      </c>
      <c r="AY1728" s="1">
        <v>0</v>
      </c>
      <c r="AZ1728" s="1">
        <v>0</v>
      </c>
      <c r="BA1728" s="1">
        <v>0</v>
      </c>
      <c r="BB1728" s="1">
        <v>0</v>
      </c>
      <c r="BC1728" s="1">
        <v>0</v>
      </c>
      <c r="BD1728" s="1">
        <v>0</v>
      </c>
      <c r="BE1728" s="1">
        <v>0</v>
      </c>
      <c r="BF1728" s="1">
        <v>0</v>
      </c>
      <c r="BG1728" s="1">
        <v>0</v>
      </c>
      <c r="BH1728" s="1">
        <v>0</v>
      </c>
      <c r="BI1728" s="1">
        <v>0</v>
      </c>
      <c r="BJ1728" s="1">
        <v>0</v>
      </c>
      <c r="BK1728" s="1">
        <v>0</v>
      </c>
      <c r="BL1728" s="1">
        <v>0</v>
      </c>
      <c r="BM1728" s="1">
        <v>0</v>
      </c>
      <c r="BN1728" s="1">
        <v>0</v>
      </c>
      <c r="BO1728" s="1">
        <v>0</v>
      </c>
      <c r="BP1728" s="1">
        <v>0</v>
      </c>
      <c r="BQ1728" s="1" t="s">
        <v>104</v>
      </c>
      <c r="BR1728" s="1">
        <v>1823</v>
      </c>
      <c r="BS1728" s="1" t="s">
        <v>104</v>
      </c>
      <c r="BX1728" s="1">
        <v>0</v>
      </c>
      <c r="BY1728" s="1" t="s">
        <v>104</v>
      </c>
      <c r="BZ1728" s="1" t="s">
        <v>104</v>
      </c>
      <c r="CA1728" s="1" t="s">
        <v>104</v>
      </c>
      <c r="CB1728" s="1" t="s">
        <v>104</v>
      </c>
      <c r="CC1728" s="1" t="s">
        <v>104</v>
      </c>
      <c r="CD1728" s="1" t="s">
        <v>104</v>
      </c>
      <c r="CE1728" s="1" t="s">
        <v>104</v>
      </c>
      <c r="CF1728" s="1" t="s">
        <v>104</v>
      </c>
      <c r="CG1728" s="1" t="s">
        <v>104</v>
      </c>
      <c r="CH1728" s="1" t="s">
        <v>104</v>
      </c>
      <c r="CJ1728" s="1">
        <v>0</v>
      </c>
      <c r="CK1728" s="1">
        <v>0</v>
      </c>
      <c r="CL1728" s="1">
        <v>0</v>
      </c>
      <c r="CM1728" s="1" t="s">
        <v>104</v>
      </c>
    </row>
    <row r="1729" spans="1:91" ht="14.25" customHeight="1" x14ac:dyDescent="0.3">
      <c r="A1729" s="1" t="s">
        <v>9406</v>
      </c>
      <c r="B1729" s="1" t="s">
        <v>162</v>
      </c>
      <c r="E1729" s="1" t="s">
        <v>8539</v>
      </c>
      <c r="F1729" s="1" t="s">
        <v>95</v>
      </c>
      <c r="G1729" s="1" t="s">
        <v>116</v>
      </c>
      <c r="H1729" s="1">
        <v>0</v>
      </c>
      <c r="I1729" s="1" t="s">
        <v>117</v>
      </c>
      <c r="L1729" s="1" t="s">
        <v>145</v>
      </c>
      <c r="M1729" s="1" t="s">
        <v>145</v>
      </c>
      <c r="N1729" s="1">
        <v>0</v>
      </c>
      <c r="O1729" s="1">
        <v>0</v>
      </c>
      <c r="P1729" s="1" t="s">
        <v>100</v>
      </c>
      <c r="Q1729" s="1" t="s">
        <v>101</v>
      </c>
      <c r="R1729" s="1" t="s">
        <v>9407</v>
      </c>
      <c r="S1729" s="1" t="s">
        <v>9388</v>
      </c>
      <c r="T1729" s="1">
        <v>1</v>
      </c>
      <c r="U1729" s="1">
        <v>1</v>
      </c>
      <c r="V1729" s="1">
        <v>0</v>
      </c>
      <c r="W1729" s="1">
        <v>0</v>
      </c>
      <c r="X1729" s="1">
        <v>0</v>
      </c>
      <c r="Y1729" s="1">
        <v>3</v>
      </c>
      <c r="Z1729" s="1">
        <v>3</v>
      </c>
      <c r="AA1729" s="1">
        <v>3</v>
      </c>
      <c r="AB1729" s="1" t="s">
        <v>104</v>
      </c>
      <c r="AC1729" s="1" t="s">
        <v>104</v>
      </c>
      <c r="AD1729" s="1" t="s">
        <v>104</v>
      </c>
      <c r="AE1729" s="1" t="s">
        <v>104</v>
      </c>
      <c r="AF1729" s="1" t="s">
        <v>104</v>
      </c>
      <c r="AG1729" s="1" t="s">
        <v>104</v>
      </c>
      <c r="AH1729" s="1" t="s">
        <v>104</v>
      </c>
      <c r="AI1729" s="1" t="s">
        <v>104</v>
      </c>
      <c r="AJ1729" s="1">
        <v>3</v>
      </c>
      <c r="AK1729" s="1" t="s">
        <v>104</v>
      </c>
      <c r="AL1729" s="1" t="s">
        <v>104</v>
      </c>
      <c r="AM1729" s="1" t="s">
        <v>104</v>
      </c>
      <c r="AO1729" s="1">
        <v>3</v>
      </c>
      <c r="AR1729" s="1">
        <v>0</v>
      </c>
      <c r="AS1729" s="1">
        <v>0</v>
      </c>
      <c r="AT1729" s="1">
        <v>0</v>
      </c>
      <c r="AU1729" s="1">
        <v>0</v>
      </c>
      <c r="AV1729" s="1">
        <v>0</v>
      </c>
      <c r="AW1729" s="1">
        <v>0</v>
      </c>
      <c r="AX1729" s="1">
        <v>0</v>
      </c>
      <c r="AY1729" s="1">
        <v>0</v>
      </c>
      <c r="AZ1729" s="1">
        <v>0</v>
      </c>
      <c r="BA1729" s="1">
        <v>0</v>
      </c>
      <c r="BB1729" s="1">
        <v>0</v>
      </c>
      <c r="BC1729" s="1">
        <v>0</v>
      </c>
      <c r="BD1729" s="1">
        <v>0</v>
      </c>
      <c r="BE1729" s="1">
        <v>0</v>
      </c>
      <c r="BF1729" s="1">
        <v>0</v>
      </c>
      <c r="BG1729" s="1">
        <v>0</v>
      </c>
      <c r="BH1729" s="1">
        <v>0</v>
      </c>
      <c r="BI1729" s="1">
        <v>0</v>
      </c>
      <c r="BJ1729" s="1">
        <v>0</v>
      </c>
      <c r="BK1729" s="1">
        <v>0</v>
      </c>
      <c r="BL1729" s="1">
        <v>0</v>
      </c>
      <c r="BM1729" s="1">
        <v>0</v>
      </c>
      <c r="BN1729" s="1">
        <v>0</v>
      </c>
      <c r="BO1729" s="1">
        <v>0</v>
      </c>
      <c r="BP1729" s="1">
        <v>0</v>
      </c>
      <c r="BQ1729" s="1" t="s">
        <v>104</v>
      </c>
      <c r="BR1729" s="1">
        <v>1824</v>
      </c>
      <c r="BS1729" s="1" t="s">
        <v>104</v>
      </c>
      <c r="BX1729" s="1">
        <v>0</v>
      </c>
      <c r="BY1729" s="1" t="s">
        <v>104</v>
      </c>
      <c r="BZ1729" s="1" t="s">
        <v>104</v>
      </c>
      <c r="CA1729" s="1" t="s">
        <v>104</v>
      </c>
      <c r="CB1729" s="1" t="s">
        <v>104</v>
      </c>
      <c r="CC1729" s="1" t="s">
        <v>104</v>
      </c>
      <c r="CD1729" s="1" t="s">
        <v>104</v>
      </c>
      <c r="CE1729" s="1" t="s">
        <v>104</v>
      </c>
      <c r="CF1729" s="1" t="s">
        <v>104</v>
      </c>
      <c r="CG1729" s="1" t="s">
        <v>104</v>
      </c>
      <c r="CH1729" s="1" t="s">
        <v>104</v>
      </c>
      <c r="CJ1729" s="1">
        <v>0</v>
      </c>
      <c r="CK1729" s="1">
        <v>0</v>
      </c>
      <c r="CL1729" s="1">
        <v>0</v>
      </c>
      <c r="CM1729" s="1" t="s">
        <v>104</v>
      </c>
    </row>
    <row r="1730" spans="1:91" ht="14.25" customHeight="1" x14ac:dyDescent="0.3">
      <c r="A1730" s="1" t="s">
        <v>9408</v>
      </c>
      <c r="B1730" s="1" t="s">
        <v>216</v>
      </c>
      <c r="E1730" s="1" t="s">
        <v>1864</v>
      </c>
      <c r="F1730" s="1" t="s">
        <v>255</v>
      </c>
      <c r="G1730" s="1" t="s">
        <v>9409</v>
      </c>
      <c r="H1730" s="1">
        <v>1</v>
      </c>
      <c r="I1730" s="1" t="s">
        <v>117</v>
      </c>
      <c r="K1730" s="1" t="s">
        <v>9410</v>
      </c>
      <c r="M1730" s="1" t="s">
        <v>4992</v>
      </c>
      <c r="N1730" s="1">
        <v>1</v>
      </c>
      <c r="O1730" s="1">
        <v>0</v>
      </c>
      <c r="P1730" s="1" t="s">
        <v>100</v>
      </c>
      <c r="Q1730" s="1" t="s">
        <v>101</v>
      </c>
      <c r="R1730" s="1" t="s">
        <v>9411</v>
      </c>
      <c r="S1730" s="1" t="s">
        <v>9388</v>
      </c>
      <c r="T1730" s="1">
        <v>1</v>
      </c>
      <c r="U1730" s="1">
        <v>1</v>
      </c>
      <c r="V1730" s="1">
        <v>0</v>
      </c>
      <c r="W1730" s="1">
        <v>0</v>
      </c>
      <c r="X1730" s="1">
        <v>0</v>
      </c>
      <c r="Y1730" s="1">
        <v>6</v>
      </c>
      <c r="Z1730" s="1">
        <v>6</v>
      </c>
      <c r="AA1730" s="1" t="s">
        <v>104</v>
      </c>
      <c r="AB1730" s="1" t="s">
        <v>104</v>
      </c>
      <c r="AC1730" s="1" t="s">
        <v>104</v>
      </c>
      <c r="AD1730" s="1" t="s">
        <v>104</v>
      </c>
      <c r="AE1730" s="1" t="s">
        <v>104</v>
      </c>
      <c r="AF1730" s="1" t="s">
        <v>104</v>
      </c>
      <c r="AG1730" s="1" t="s">
        <v>104</v>
      </c>
      <c r="AH1730" s="1">
        <v>6</v>
      </c>
      <c r="AI1730" s="1" t="s">
        <v>104</v>
      </c>
      <c r="AJ1730" s="1" t="s">
        <v>104</v>
      </c>
      <c r="AK1730" s="1" t="s">
        <v>104</v>
      </c>
      <c r="AL1730" s="1" t="s">
        <v>104</v>
      </c>
      <c r="AM1730" s="1" t="s">
        <v>104</v>
      </c>
      <c r="AO1730" s="1">
        <v>6</v>
      </c>
      <c r="AR1730" s="1">
        <v>0</v>
      </c>
      <c r="AS1730" s="1">
        <v>0</v>
      </c>
      <c r="AT1730" s="1">
        <v>0</v>
      </c>
      <c r="AU1730" s="1">
        <v>0</v>
      </c>
      <c r="AV1730" s="1">
        <v>0</v>
      </c>
      <c r="AW1730" s="1">
        <v>0</v>
      </c>
      <c r="AX1730" s="1">
        <v>0</v>
      </c>
      <c r="AY1730" s="1">
        <v>0</v>
      </c>
      <c r="AZ1730" s="1">
        <v>0</v>
      </c>
      <c r="BA1730" s="1">
        <v>0</v>
      </c>
      <c r="BB1730" s="1">
        <v>0</v>
      </c>
      <c r="BC1730" s="1">
        <v>0</v>
      </c>
      <c r="BD1730" s="1">
        <v>0</v>
      </c>
      <c r="BE1730" s="1">
        <v>0</v>
      </c>
      <c r="BF1730" s="1">
        <v>0</v>
      </c>
      <c r="BG1730" s="1">
        <v>0</v>
      </c>
      <c r="BH1730" s="1">
        <v>0</v>
      </c>
      <c r="BI1730" s="1">
        <v>0</v>
      </c>
      <c r="BJ1730" s="1">
        <v>0</v>
      </c>
      <c r="BK1730" s="1">
        <v>0</v>
      </c>
      <c r="BL1730" s="1">
        <v>0</v>
      </c>
      <c r="BM1730" s="1">
        <v>0</v>
      </c>
      <c r="BN1730" s="1">
        <v>0</v>
      </c>
      <c r="BO1730" s="1">
        <v>0</v>
      </c>
      <c r="BP1730" s="1">
        <v>0</v>
      </c>
      <c r="BQ1730" s="1" t="s">
        <v>104</v>
      </c>
      <c r="BR1730" s="1">
        <v>1827</v>
      </c>
      <c r="BS1730" s="1">
        <v>100</v>
      </c>
      <c r="BX1730" s="1">
        <v>0</v>
      </c>
      <c r="BY1730" s="1" t="s">
        <v>104</v>
      </c>
      <c r="BZ1730" s="1" t="s">
        <v>104</v>
      </c>
      <c r="CA1730" s="1" t="s">
        <v>104</v>
      </c>
      <c r="CB1730" s="1" t="s">
        <v>104</v>
      </c>
      <c r="CC1730" s="1" t="s">
        <v>104</v>
      </c>
      <c r="CD1730" s="1" t="s">
        <v>104</v>
      </c>
      <c r="CE1730" s="1" t="s">
        <v>104</v>
      </c>
      <c r="CF1730" s="1" t="s">
        <v>104</v>
      </c>
      <c r="CG1730" s="1" t="s">
        <v>104</v>
      </c>
      <c r="CH1730" s="1" t="s">
        <v>104</v>
      </c>
      <c r="CJ1730" s="1">
        <v>0</v>
      </c>
      <c r="CK1730" s="1">
        <v>0</v>
      </c>
      <c r="CL1730" s="1">
        <v>0</v>
      </c>
      <c r="CM1730" s="1" t="s">
        <v>104</v>
      </c>
    </row>
    <row r="1731" spans="1:91" ht="14.25" customHeight="1" x14ac:dyDescent="0.3">
      <c r="A1731" s="1" t="s">
        <v>9412</v>
      </c>
      <c r="B1731" s="1" t="s">
        <v>172</v>
      </c>
      <c r="E1731" s="1" t="s">
        <v>9413</v>
      </c>
      <c r="F1731" s="1" t="s">
        <v>287</v>
      </c>
      <c r="G1731" s="1" t="s">
        <v>9414</v>
      </c>
      <c r="H1731" s="1">
        <v>0</v>
      </c>
      <c r="I1731" s="1" t="s">
        <v>128</v>
      </c>
      <c r="L1731" s="1" t="s">
        <v>9415</v>
      </c>
      <c r="M1731" s="1" t="s">
        <v>5797</v>
      </c>
      <c r="N1731" s="1">
        <v>0</v>
      </c>
      <c r="O1731" s="1">
        <v>0</v>
      </c>
      <c r="R1731" s="1" t="s">
        <v>9416</v>
      </c>
      <c r="S1731" s="1" t="s">
        <v>9417</v>
      </c>
      <c r="T1731" s="1">
        <v>1</v>
      </c>
      <c r="U1731" s="1">
        <v>1</v>
      </c>
      <c r="V1731" s="1">
        <v>0</v>
      </c>
      <c r="W1731" s="1">
        <v>0</v>
      </c>
      <c r="X1731" s="1">
        <v>0</v>
      </c>
      <c r="Y1731" s="1">
        <v>6</v>
      </c>
      <c r="Z1731" s="1">
        <v>6</v>
      </c>
      <c r="AA1731" s="1" t="s">
        <v>104</v>
      </c>
      <c r="AB1731" s="1" t="s">
        <v>104</v>
      </c>
      <c r="AC1731" s="1" t="s">
        <v>104</v>
      </c>
      <c r="AD1731" s="1">
        <v>5</v>
      </c>
      <c r="AE1731" s="1" t="s">
        <v>104</v>
      </c>
      <c r="AF1731" s="1" t="s">
        <v>104</v>
      </c>
      <c r="AG1731" s="1" t="s">
        <v>104</v>
      </c>
      <c r="AH1731" s="1">
        <v>6</v>
      </c>
      <c r="AI1731" s="1" t="s">
        <v>104</v>
      </c>
      <c r="AJ1731" s="1" t="s">
        <v>104</v>
      </c>
      <c r="AK1731" s="1" t="s">
        <v>104</v>
      </c>
      <c r="AL1731" s="1" t="s">
        <v>104</v>
      </c>
      <c r="AM1731" s="1" t="s">
        <v>104</v>
      </c>
      <c r="AO1731" s="1">
        <v>6</v>
      </c>
      <c r="AR1731" s="1">
        <v>0</v>
      </c>
      <c r="AS1731" s="1">
        <v>0</v>
      </c>
      <c r="AT1731" s="1">
        <v>0</v>
      </c>
      <c r="AU1731" s="1">
        <v>0</v>
      </c>
      <c r="AV1731" s="1">
        <v>0</v>
      </c>
      <c r="AW1731" s="1">
        <v>0</v>
      </c>
      <c r="AX1731" s="1">
        <v>0</v>
      </c>
      <c r="AY1731" s="1">
        <v>0</v>
      </c>
      <c r="AZ1731" s="1">
        <v>0</v>
      </c>
      <c r="BA1731" s="1">
        <v>0</v>
      </c>
      <c r="BB1731" s="1">
        <v>0</v>
      </c>
      <c r="BC1731" s="1">
        <v>0</v>
      </c>
      <c r="BD1731" s="1">
        <v>0</v>
      </c>
      <c r="BE1731" s="1">
        <v>0</v>
      </c>
      <c r="BF1731" s="1">
        <v>0</v>
      </c>
      <c r="BG1731" s="1">
        <v>0</v>
      </c>
      <c r="BH1731" s="1">
        <v>0</v>
      </c>
      <c r="BI1731" s="1">
        <v>0</v>
      </c>
      <c r="BJ1731" s="1">
        <v>0</v>
      </c>
      <c r="BK1731" s="1">
        <v>0</v>
      </c>
      <c r="BL1731" s="1">
        <v>0</v>
      </c>
      <c r="BM1731" s="1">
        <v>0</v>
      </c>
      <c r="BN1731" s="1">
        <v>0</v>
      </c>
      <c r="BO1731" s="1">
        <v>0</v>
      </c>
      <c r="BP1731" s="1">
        <v>0</v>
      </c>
      <c r="BQ1731" s="1" t="s">
        <v>104</v>
      </c>
      <c r="BR1731" s="1">
        <v>1828</v>
      </c>
      <c r="BS1731" s="1" t="s">
        <v>104</v>
      </c>
      <c r="BT1731" s="1" t="s">
        <v>9418</v>
      </c>
      <c r="BX1731" s="1">
        <v>0</v>
      </c>
      <c r="BY1731" s="1" t="s">
        <v>104</v>
      </c>
      <c r="BZ1731" s="1" t="s">
        <v>104</v>
      </c>
      <c r="CA1731" s="1" t="s">
        <v>104</v>
      </c>
      <c r="CB1731" s="1" t="s">
        <v>104</v>
      </c>
      <c r="CC1731" s="1" t="s">
        <v>104</v>
      </c>
      <c r="CD1731" s="1" t="s">
        <v>104</v>
      </c>
      <c r="CE1731" s="1" t="s">
        <v>104</v>
      </c>
      <c r="CF1731" s="1" t="s">
        <v>104</v>
      </c>
      <c r="CG1731" s="1" t="s">
        <v>104</v>
      </c>
      <c r="CH1731" s="1" t="s">
        <v>104</v>
      </c>
      <c r="CJ1731" s="1">
        <v>0</v>
      </c>
      <c r="CK1731" s="1">
        <v>0</v>
      </c>
      <c r="CL1731" s="1">
        <v>0</v>
      </c>
      <c r="CM1731" s="1" t="s">
        <v>104</v>
      </c>
    </row>
    <row r="1732" spans="1:91" ht="14.25" customHeight="1" x14ac:dyDescent="0.3">
      <c r="A1732" s="1" t="s">
        <v>9419</v>
      </c>
      <c r="B1732" s="1" t="s">
        <v>162</v>
      </c>
      <c r="E1732" s="1" t="s">
        <v>8190</v>
      </c>
      <c r="F1732" s="1" t="s">
        <v>191</v>
      </c>
      <c r="G1732" s="1" t="s">
        <v>9420</v>
      </c>
      <c r="H1732" s="1">
        <v>1</v>
      </c>
      <c r="I1732" s="1" t="s">
        <v>128</v>
      </c>
      <c r="L1732" s="1" t="s">
        <v>374</v>
      </c>
      <c r="M1732" s="1" t="s">
        <v>341</v>
      </c>
      <c r="N1732" s="1">
        <v>0</v>
      </c>
      <c r="O1732" s="1">
        <v>0</v>
      </c>
      <c r="P1732" s="1" t="s">
        <v>375</v>
      </c>
      <c r="Q1732" s="1" t="s">
        <v>131</v>
      </c>
      <c r="R1732" s="1" t="s">
        <v>9421</v>
      </c>
      <c r="S1732" s="1" t="s">
        <v>9422</v>
      </c>
      <c r="T1732" s="1">
        <v>1</v>
      </c>
      <c r="U1732" s="1">
        <v>1</v>
      </c>
      <c r="V1732" s="1">
        <v>1</v>
      </c>
      <c r="W1732" s="1">
        <v>0</v>
      </c>
      <c r="X1732" s="1">
        <v>1</v>
      </c>
      <c r="Y1732" s="1" t="s">
        <v>104</v>
      </c>
      <c r="Z1732" s="1" t="s">
        <v>104</v>
      </c>
      <c r="AA1732" s="1">
        <v>2</v>
      </c>
      <c r="AB1732" s="1" t="s">
        <v>104</v>
      </c>
      <c r="AC1732" s="1" t="s">
        <v>104</v>
      </c>
      <c r="AD1732" s="1" t="s">
        <v>104</v>
      </c>
      <c r="AE1732" s="1">
        <v>2</v>
      </c>
      <c r="AF1732" s="1" t="s">
        <v>104</v>
      </c>
      <c r="AG1732" s="1" t="s">
        <v>104</v>
      </c>
      <c r="AH1732" s="1" t="s">
        <v>104</v>
      </c>
      <c r="AI1732" s="1">
        <v>2</v>
      </c>
      <c r="AJ1732" s="1">
        <v>2</v>
      </c>
      <c r="AK1732" s="1" t="s">
        <v>104</v>
      </c>
      <c r="AL1732" s="1" t="s">
        <v>104</v>
      </c>
      <c r="AM1732" s="1" t="s">
        <v>104</v>
      </c>
      <c r="AO1732" s="1">
        <v>2</v>
      </c>
      <c r="AR1732" s="1">
        <v>0</v>
      </c>
      <c r="AS1732" s="1">
        <v>0</v>
      </c>
      <c r="AT1732" s="1">
        <v>0</v>
      </c>
      <c r="AU1732" s="1">
        <v>0</v>
      </c>
      <c r="AV1732" s="1">
        <v>0</v>
      </c>
      <c r="AW1732" s="1">
        <v>0</v>
      </c>
      <c r="AX1732" s="1">
        <v>0</v>
      </c>
      <c r="AY1732" s="1">
        <v>0</v>
      </c>
      <c r="AZ1732" s="1">
        <v>0</v>
      </c>
      <c r="BA1732" s="1">
        <v>0</v>
      </c>
      <c r="BB1732" s="1">
        <v>0</v>
      </c>
      <c r="BC1732" s="1">
        <v>0</v>
      </c>
      <c r="BD1732" s="1">
        <v>0</v>
      </c>
      <c r="BE1732" s="1">
        <v>0</v>
      </c>
      <c r="BF1732" s="1">
        <v>0</v>
      </c>
      <c r="BG1732" s="1">
        <v>0</v>
      </c>
      <c r="BH1732" s="1">
        <v>0</v>
      </c>
      <c r="BI1732" s="1">
        <v>0</v>
      </c>
      <c r="BJ1732" s="1">
        <v>0</v>
      </c>
      <c r="BK1732" s="1">
        <v>0</v>
      </c>
      <c r="BL1732" s="1">
        <v>0</v>
      </c>
      <c r="BM1732" s="1">
        <v>0</v>
      </c>
      <c r="BN1732" s="1">
        <v>0</v>
      </c>
      <c r="BO1732" s="1">
        <v>0</v>
      </c>
      <c r="BP1732" s="1">
        <v>0</v>
      </c>
      <c r="BQ1732" s="1" t="s">
        <v>104</v>
      </c>
      <c r="BR1732" s="1">
        <v>1829</v>
      </c>
      <c r="BS1732" s="1">
        <v>25</v>
      </c>
      <c r="BX1732" s="1">
        <v>0</v>
      </c>
      <c r="BY1732" s="1" t="s">
        <v>104</v>
      </c>
      <c r="BZ1732" s="1" t="s">
        <v>104</v>
      </c>
      <c r="CA1732" s="1" t="s">
        <v>104</v>
      </c>
      <c r="CB1732" s="1" t="s">
        <v>104</v>
      </c>
      <c r="CC1732" s="1" t="s">
        <v>104</v>
      </c>
      <c r="CD1732" s="1" t="s">
        <v>104</v>
      </c>
      <c r="CE1732" s="1" t="s">
        <v>104</v>
      </c>
      <c r="CF1732" s="1" t="s">
        <v>104</v>
      </c>
      <c r="CG1732" s="1" t="s">
        <v>104</v>
      </c>
      <c r="CH1732" s="1" t="s">
        <v>104</v>
      </c>
      <c r="CJ1732" s="1">
        <v>0</v>
      </c>
      <c r="CK1732" s="1">
        <v>0</v>
      </c>
      <c r="CL1732" s="1">
        <v>0</v>
      </c>
      <c r="CM1732" s="1" t="s">
        <v>104</v>
      </c>
    </row>
    <row r="1733" spans="1:91" ht="14.25" customHeight="1" x14ac:dyDescent="0.3">
      <c r="A1733" s="1" t="s">
        <v>9423</v>
      </c>
      <c r="B1733" s="1" t="s">
        <v>216</v>
      </c>
      <c r="E1733" s="1" t="s">
        <v>9424</v>
      </c>
      <c r="F1733" s="1" t="s">
        <v>95</v>
      </c>
      <c r="G1733" s="1" t="s">
        <v>116</v>
      </c>
      <c r="H1733" s="1">
        <v>0</v>
      </c>
      <c r="I1733" s="1" t="s">
        <v>117</v>
      </c>
      <c r="L1733" s="1" t="s">
        <v>1065</v>
      </c>
      <c r="M1733" s="1" t="s">
        <v>119</v>
      </c>
      <c r="N1733" s="1">
        <v>0</v>
      </c>
      <c r="O1733" s="1">
        <v>0</v>
      </c>
      <c r="P1733" s="1" t="s">
        <v>145</v>
      </c>
      <c r="Q1733" s="1" t="s">
        <v>184</v>
      </c>
      <c r="R1733" s="1" t="s">
        <v>9425</v>
      </c>
      <c r="S1733" s="1" t="s">
        <v>9422</v>
      </c>
      <c r="T1733" s="1">
        <v>1</v>
      </c>
      <c r="U1733" s="1">
        <v>1</v>
      </c>
      <c r="V1733" s="1">
        <v>0</v>
      </c>
      <c r="W1733" s="1">
        <v>0</v>
      </c>
      <c r="X1733" s="1">
        <v>0</v>
      </c>
      <c r="Y1733" s="1">
        <v>4</v>
      </c>
      <c r="Z1733" s="1">
        <v>4</v>
      </c>
      <c r="AA1733" s="1">
        <v>3</v>
      </c>
      <c r="AB1733" s="1">
        <v>3</v>
      </c>
      <c r="AC1733" s="1" t="s">
        <v>104</v>
      </c>
      <c r="AD1733" s="1" t="s">
        <v>104</v>
      </c>
      <c r="AE1733" s="1" t="s">
        <v>104</v>
      </c>
      <c r="AF1733" s="1" t="s">
        <v>104</v>
      </c>
      <c r="AG1733" s="1" t="s">
        <v>104</v>
      </c>
      <c r="AH1733" s="1">
        <v>3</v>
      </c>
      <c r="AI1733" s="1" t="s">
        <v>104</v>
      </c>
      <c r="AJ1733" s="1">
        <v>3</v>
      </c>
      <c r="AK1733" s="1" t="s">
        <v>104</v>
      </c>
      <c r="AL1733" s="1" t="s">
        <v>104</v>
      </c>
      <c r="AM1733" s="1" t="s">
        <v>104</v>
      </c>
      <c r="AO1733" s="1">
        <v>4</v>
      </c>
      <c r="AR1733" s="1">
        <v>0</v>
      </c>
      <c r="AS1733" s="1">
        <v>0</v>
      </c>
      <c r="AT1733" s="1">
        <v>0</v>
      </c>
      <c r="AU1733" s="1">
        <v>0</v>
      </c>
      <c r="AV1733" s="1">
        <v>0</v>
      </c>
      <c r="AW1733" s="1">
        <v>0</v>
      </c>
      <c r="AX1733" s="1">
        <v>0</v>
      </c>
      <c r="AY1733" s="1">
        <v>0</v>
      </c>
      <c r="AZ1733" s="1">
        <v>0</v>
      </c>
      <c r="BA1733" s="1">
        <v>0</v>
      </c>
      <c r="BB1733" s="1">
        <v>0</v>
      </c>
      <c r="BC1733" s="1">
        <v>0</v>
      </c>
      <c r="BD1733" s="1">
        <v>0</v>
      </c>
      <c r="BE1733" s="1">
        <v>0</v>
      </c>
      <c r="BF1733" s="1">
        <v>0</v>
      </c>
      <c r="BG1733" s="1">
        <v>0</v>
      </c>
      <c r="BH1733" s="1">
        <v>0</v>
      </c>
      <c r="BI1733" s="1">
        <v>0</v>
      </c>
      <c r="BJ1733" s="1">
        <v>0</v>
      </c>
      <c r="BK1733" s="1">
        <v>0</v>
      </c>
      <c r="BL1733" s="1">
        <v>0</v>
      </c>
      <c r="BM1733" s="1">
        <v>0</v>
      </c>
      <c r="BN1733" s="1">
        <v>0</v>
      </c>
      <c r="BO1733" s="1">
        <v>0</v>
      </c>
      <c r="BP1733" s="1">
        <v>0</v>
      </c>
      <c r="BQ1733" s="1" t="s">
        <v>104</v>
      </c>
      <c r="BR1733" s="1">
        <v>1830</v>
      </c>
      <c r="BS1733" s="1" t="s">
        <v>104</v>
      </c>
      <c r="BX1733" s="1">
        <v>0</v>
      </c>
      <c r="BY1733" s="1" t="s">
        <v>104</v>
      </c>
      <c r="BZ1733" s="1" t="s">
        <v>104</v>
      </c>
      <c r="CA1733" s="1" t="s">
        <v>104</v>
      </c>
      <c r="CB1733" s="1" t="s">
        <v>104</v>
      </c>
      <c r="CC1733" s="1" t="s">
        <v>104</v>
      </c>
      <c r="CD1733" s="1" t="s">
        <v>104</v>
      </c>
      <c r="CE1733" s="1" t="s">
        <v>104</v>
      </c>
      <c r="CF1733" s="1" t="s">
        <v>104</v>
      </c>
      <c r="CG1733" s="1" t="s">
        <v>104</v>
      </c>
      <c r="CH1733" s="1">
        <v>3</v>
      </c>
      <c r="CJ1733" s="1">
        <v>0</v>
      </c>
      <c r="CK1733" s="1">
        <v>0</v>
      </c>
      <c r="CL1733" s="1">
        <v>0</v>
      </c>
      <c r="CM1733" s="1" t="s">
        <v>104</v>
      </c>
    </row>
    <row r="1734" spans="1:91" ht="14.25" customHeight="1" x14ac:dyDescent="0.3">
      <c r="A1734" s="1" t="s">
        <v>9426</v>
      </c>
      <c r="B1734" s="1" t="s">
        <v>216</v>
      </c>
      <c r="E1734" s="1" t="s">
        <v>9427</v>
      </c>
      <c r="F1734" s="1" t="s">
        <v>95</v>
      </c>
      <c r="G1734" s="1" t="s">
        <v>116</v>
      </c>
      <c r="H1734" s="1">
        <v>0</v>
      </c>
      <c r="I1734" s="1" t="s">
        <v>128</v>
      </c>
      <c r="L1734" s="1" t="s">
        <v>374</v>
      </c>
      <c r="M1734" s="1" t="s">
        <v>298</v>
      </c>
      <c r="N1734" s="1">
        <v>0</v>
      </c>
      <c r="O1734" s="1">
        <v>0</v>
      </c>
      <c r="P1734" s="1" t="s">
        <v>211</v>
      </c>
      <c r="Q1734" s="1" t="s">
        <v>184</v>
      </c>
      <c r="R1734" s="1" t="s">
        <v>9428</v>
      </c>
      <c r="S1734" s="1" t="s">
        <v>9422</v>
      </c>
      <c r="T1734" s="1">
        <v>1</v>
      </c>
      <c r="U1734" s="1">
        <v>1</v>
      </c>
      <c r="V1734" s="1">
        <v>0</v>
      </c>
      <c r="W1734" s="1">
        <v>0</v>
      </c>
      <c r="X1734" s="1">
        <v>0</v>
      </c>
      <c r="Y1734" s="1">
        <v>8</v>
      </c>
      <c r="Z1734" s="1">
        <v>8</v>
      </c>
      <c r="AA1734" s="1">
        <v>7</v>
      </c>
      <c r="AB1734" s="1" t="s">
        <v>104</v>
      </c>
      <c r="AC1734" s="1" t="s">
        <v>104</v>
      </c>
      <c r="AD1734" s="1" t="s">
        <v>104</v>
      </c>
      <c r="AE1734" s="1" t="s">
        <v>104</v>
      </c>
      <c r="AF1734" s="1" t="s">
        <v>104</v>
      </c>
      <c r="AG1734" s="1" t="s">
        <v>104</v>
      </c>
      <c r="AH1734" s="1">
        <v>7</v>
      </c>
      <c r="AI1734" s="1" t="s">
        <v>104</v>
      </c>
      <c r="AJ1734" s="1">
        <v>7</v>
      </c>
      <c r="AK1734" s="1" t="s">
        <v>104</v>
      </c>
      <c r="AL1734" s="1" t="s">
        <v>104</v>
      </c>
      <c r="AM1734" s="1" t="s">
        <v>104</v>
      </c>
      <c r="AO1734" s="1">
        <v>8</v>
      </c>
      <c r="AP1734" s="1" t="s">
        <v>9429</v>
      </c>
      <c r="AR1734" s="1">
        <v>0</v>
      </c>
      <c r="AS1734" s="1">
        <v>0</v>
      </c>
      <c r="AT1734" s="1">
        <v>0</v>
      </c>
      <c r="AU1734" s="1">
        <v>0</v>
      </c>
      <c r="AV1734" s="1">
        <v>0</v>
      </c>
      <c r="AW1734" s="1">
        <v>0</v>
      </c>
      <c r="AX1734" s="1">
        <v>0</v>
      </c>
      <c r="AY1734" s="1">
        <v>0</v>
      </c>
      <c r="AZ1734" s="1">
        <v>0</v>
      </c>
      <c r="BA1734" s="1">
        <v>0</v>
      </c>
      <c r="BB1734" s="1">
        <v>0</v>
      </c>
      <c r="BC1734" s="1">
        <v>0</v>
      </c>
      <c r="BD1734" s="1">
        <v>0</v>
      </c>
      <c r="BE1734" s="1">
        <v>0</v>
      </c>
      <c r="BF1734" s="1">
        <v>0</v>
      </c>
      <c r="BG1734" s="1">
        <v>0</v>
      </c>
      <c r="BH1734" s="1">
        <v>0</v>
      </c>
      <c r="BI1734" s="1">
        <v>0</v>
      </c>
      <c r="BJ1734" s="1">
        <v>0</v>
      </c>
      <c r="BK1734" s="1">
        <v>0</v>
      </c>
      <c r="BL1734" s="1">
        <v>0</v>
      </c>
      <c r="BM1734" s="1">
        <v>0</v>
      </c>
      <c r="BN1734" s="1">
        <v>0</v>
      </c>
      <c r="BO1734" s="1">
        <v>0</v>
      </c>
      <c r="BP1734" s="1">
        <v>0</v>
      </c>
      <c r="BQ1734" s="1" t="s">
        <v>104</v>
      </c>
      <c r="BR1734" s="1">
        <v>1831</v>
      </c>
      <c r="BS1734" s="1" t="s">
        <v>104</v>
      </c>
      <c r="BX1734" s="1">
        <v>0</v>
      </c>
      <c r="BY1734" s="1" t="s">
        <v>104</v>
      </c>
      <c r="BZ1734" s="1" t="s">
        <v>104</v>
      </c>
      <c r="CA1734" s="1" t="s">
        <v>104</v>
      </c>
      <c r="CB1734" s="1" t="s">
        <v>104</v>
      </c>
      <c r="CC1734" s="1" t="s">
        <v>104</v>
      </c>
      <c r="CD1734" s="1" t="s">
        <v>104</v>
      </c>
      <c r="CE1734" s="1" t="s">
        <v>104</v>
      </c>
      <c r="CF1734" s="1" t="s">
        <v>104</v>
      </c>
      <c r="CG1734" s="1" t="s">
        <v>104</v>
      </c>
      <c r="CH1734" s="1" t="s">
        <v>104</v>
      </c>
      <c r="CJ1734" s="1">
        <v>0</v>
      </c>
      <c r="CK1734" s="1">
        <v>0</v>
      </c>
      <c r="CL1734" s="1">
        <v>0</v>
      </c>
      <c r="CM1734" s="1" t="s">
        <v>104</v>
      </c>
    </row>
    <row r="1735" spans="1:91" ht="14.25" customHeight="1" x14ac:dyDescent="0.3">
      <c r="A1735" s="1" t="s">
        <v>9430</v>
      </c>
      <c r="B1735" s="1" t="s">
        <v>92</v>
      </c>
      <c r="C1735" s="1" t="s">
        <v>1160</v>
      </c>
      <c r="D1735" s="1" t="s">
        <v>52</v>
      </c>
      <c r="E1735" s="1" t="s">
        <v>9431</v>
      </c>
      <c r="F1735" s="1" t="s">
        <v>95</v>
      </c>
      <c r="G1735" s="1" t="s">
        <v>237</v>
      </c>
      <c r="H1735" s="1">
        <v>0</v>
      </c>
      <c r="I1735" s="1" t="s">
        <v>117</v>
      </c>
      <c r="L1735" s="1" t="s">
        <v>158</v>
      </c>
      <c r="M1735" s="1" t="s">
        <v>119</v>
      </c>
      <c r="N1735" s="1">
        <v>0</v>
      </c>
      <c r="O1735" s="1">
        <v>0</v>
      </c>
      <c r="P1735" s="1" t="s">
        <v>9432</v>
      </c>
      <c r="Q1735" s="1" t="s">
        <v>184</v>
      </c>
      <c r="R1735" s="1" t="s">
        <v>9433</v>
      </c>
      <c r="S1735" s="1" t="s">
        <v>9434</v>
      </c>
      <c r="T1735" s="1">
        <v>1</v>
      </c>
      <c r="U1735" s="1">
        <v>0</v>
      </c>
      <c r="V1735" s="1">
        <v>0</v>
      </c>
      <c r="W1735" s="1">
        <v>0</v>
      </c>
      <c r="X1735" s="1">
        <v>0</v>
      </c>
      <c r="Y1735" s="1">
        <v>3</v>
      </c>
      <c r="Z1735" s="1">
        <v>3</v>
      </c>
      <c r="AA1735" s="1" t="s">
        <v>104</v>
      </c>
      <c r="AB1735" s="1" t="s">
        <v>104</v>
      </c>
      <c r="AC1735" s="1" t="s">
        <v>104</v>
      </c>
      <c r="AD1735" s="1" t="s">
        <v>104</v>
      </c>
      <c r="AE1735" s="1" t="s">
        <v>104</v>
      </c>
      <c r="AF1735" s="1" t="s">
        <v>104</v>
      </c>
      <c r="AG1735" s="1" t="s">
        <v>104</v>
      </c>
      <c r="AH1735" s="1">
        <v>3</v>
      </c>
      <c r="AI1735" s="1" t="s">
        <v>104</v>
      </c>
      <c r="AJ1735" s="1" t="s">
        <v>104</v>
      </c>
      <c r="AK1735" s="1" t="s">
        <v>104</v>
      </c>
      <c r="AL1735" s="1">
        <v>3</v>
      </c>
      <c r="AM1735" s="1" t="s">
        <v>104</v>
      </c>
      <c r="AO1735" s="1">
        <v>3</v>
      </c>
      <c r="AR1735" s="1">
        <v>0</v>
      </c>
      <c r="AS1735" s="1">
        <v>0</v>
      </c>
      <c r="AT1735" s="1">
        <v>0</v>
      </c>
      <c r="AU1735" s="1">
        <v>0</v>
      </c>
      <c r="AV1735" s="1">
        <v>0</v>
      </c>
      <c r="AW1735" s="1">
        <v>0</v>
      </c>
      <c r="AX1735" s="1">
        <v>0</v>
      </c>
      <c r="AY1735" s="1">
        <v>0</v>
      </c>
      <c r="AZ1735" s="1">
        <v>0</v>
      </c>
      <c r="BA1735" s="1">
        <v>1</v>
      </c>
      <c r="BB1735" s="1">
        <v>0</v>
      </c>
      <c r="BC1735" s="1">
        <v>0</v>
      </c>
      <c r="BD1735" s="1">
        <v>0</v>
      </c>
      <c r="BE1735" s="1">
        <v>0</v>
      </c>
      <c r="BF1735" s="1">
        <v>0</v>
      </c>
      <c r="BG1735" s="1">
        <v>0</v>
      </c>
      <c r="BH1735" s="1">
        <v>0</v>
      </c>
      <c r="BI1735" s="1">
        <v>0</v>
      </c>
      <c r="BJ1735" s="1">
        <v>0</v>
      </c>
      <c r="BK1735" s="1">
        <v>0</v>
      </c>
      <c r="BL1735" s="1">
        <v>0</v>
      </c>
      <c r="BM1735" s="1">
        <v>0</v>
      </c>
      <c r="BN1735" s="1">
        <v>0</v>
      </c>
      <c r="BO1735" s="1">
        <v>0</v>
      </c>
      <c r="BP1735" s="1">
        <v>0</v>
      </c>
      <c r="BQ1735" s="1" t="s">
        <v>104</v>
      </c>
      <c r="BR1735" s="1">
        <v>1833</v>
      </c>
      <c r="BS1735" s="1" t="s">
        <v>104</v>
      </c>
      <c r="BX1735" s="1">
        <v>0</v>
      </c>
      <c r="BY1735" s="1" t="s">
        <v>104</v>
      </c>
      <c r="BZ1735" s="1" t="s">
        <v>104</v>
      </c>
      <c r="CA1735" s="1" t="s">
        <v>104</v>
      </c>
      <c r="CB1735" s="1" t="s">
        <v>104</v>
      </c>
      <c r="CC1735" s="1" t="s">
        <v>104</v>
      </c>
      <c r="CD1735" s="1" t="s">
        <v>104</v>
      </c>
      <c r="CE1735" s="1" t="s">
        <v>104</v>
      </c>
      <c r="CF1735" s="1" t="s">
        <v>104</v>
      </c>
      <c r="CG1735" s="1" t="s">
        <v>104</v>
      </c>
      <c r="CH1735" s="1" t="s">
        <v>104</v>
      </c>
      <c r="CJ1735" s="1">
        <v>0</v>
      </c>
      <c r="CK1735" s="1">
        <v>0</v>
      </c>
      <c r="CL1735" s="1">
        <v>0</v>
      </c>
      <c r="CM1735" s="1" t="s">
        <v>104</v>
      </c>
    </row>
    <row r="1736" spans="1:91" ht="14.25" customHeight="1" x14ac:dyDescent="0.3">
      <c r="A1736" s="1" t="s">
        <v>9435</v>
      </c>
      <c r="B1736" s="1" t="s">
        <v>216</v>
      </c>
      <c r="E1736" s="1" t="s">
        <v>9436</v>
      </c>
      <c r="F1736" s="1" t="s">
        <v>95</v>
      </c>
      <c r="G1736" s="1" t="s">
        <v>9437</v>
      </c>
      <c r="H1736" s="1">
        <v>0</v>
      </c>
      <c r="I1736" s="1" t="s">
        <v>9438</v>
      </c>
      <c r="L1736" s="1" t="s">
        <v>9439</v>
      </c>
      <c r="M1736" s="1" t="s">
        <v>9440</v>
      </c>
      <c r="N1736" s="1">
        <v>0</v>
      </c>
      <c r="O1736" s="1">
        <v>0</v>
      </c>
      <c r="P1736" s="1" t="s">
        <v>6205</v>
      </c>
      <c r="Q1736" s="1" t="s">
        <v>184</v>
      </c>
      <c r="R1736" s="1" t="s">
        <v>9441</v>
      </c>
      <c r="S1736" s="1" t="s">
        <v>9442</v>
      </c>
      <c r="T1736" s="1">
        <v>1</v>
      </c>
      <c r="U1736" s="1">
        <v>1</v>
      </c>
      <c r="V1736" s="1">
        <v>1</v>
      </c>
      <c r="W1736" s="1">
        <v>0</v>
      </c>
      <c r="X1736" s="1">
        <v>0</v>
      </c>
      <c r="Y1736" s="1">
        <v>4</v>
      </c>
      <c r="Z1736" s="1">
        <v>4</v>
      </c>
      <c r="AA1736" s="1">
        <v>5</v>
      </c>
      <c r="AB1736" s="1" t="s">
        <v>104</v>
      </c>
      <c r="AC1736" s="1" t="s">
        <v>104</v>
      </c>
      <c r="AD1736" s="1" t="s">
        <v>104</v>
      </c>
      <c r="AE1736" s="1" t="s">
        <v>104</v>
      </c>
      <c r="AF1736" s="1" t="s">
        <v>104</v>
      </c>
      <c r="AG1736" s="1" t="s">
        <v>104</v>
      </c>
      <c r="AH1736" s="1" t="s">
        <v>104</v>
      </c>
      <c r="AI1736" s="1" t="s">
        <v>104</v>
      </c>
      <c r="AJ1736" s="1">
        <v>5</v>
      </c>
      <c r="AK1736" s="1" t="s">
        <v>104</v>
      </c>
      <c r="AL1736" s="1" t="s">
        <v>104</v>
      </c>
      <c r="AM1736" s="1" t="s">
        <v>104</v>
      </c>
      <c r="AO1736" s="1">
        <v>4</v>
      </c>
      <c r="AR1736" s="1">
        <v>0</v>
      </c>
      <c r="AS1736" s="1">
        <v>0</v>
      </c>
      <c r="AT1736" s="1">
        <v>0</v>
      </c>
      <c r="AU1736" s="1">
        <v>0</v>
      </c>
      <c r="AV1736" s="1">
        <v>0</v>
      </c>
      <c r="AW1736" s="1">
        <v>0</v>
      </c>
      <c r="AX1736" s="1">
        <v>0</v>
      </c>
      <c r="AY1736" s="1">
        <v>0</v>
      </c>
      <c r="AZ1736" s="1">
        <v>0</v>
      </c>
      <c r="BA1736" s="1">
        <v>0</v>
      </c>
      <c r="BB1736" s="1">
        <v>0</v>
      </c>
      <c r="BC1736" s="1">
        <v>0</v>
      </c>
      <c r="BD1736" s="1">
        <v>0</v>
      </c>
      <c r="BE1736" s="1">
        <v>0</v>
      </c>
      <c r="BF1736" s="1">
        <v>0</v>
      </c>
      <c r="BG1736" s="1">
        <v>0</v>
      </c>
      <c r="BH1736" s="1">
        <v>0</v>
      </c>
      <c r="BI1736" s="1">
        <v>0</v>
      </c>
      <c r="BJ1736" s="1">
        <v>0</v>
      </c>
      <c r="BK1736" s="1">
        <v>0</v>
      </c>
      <c r="BL1736" s="1">
        <v>0</v>
      </c>
      <c r="BM1736" s="1">
        <v>0</v>
      </c>
      <c r="BN1736" s="1">
        <v>0</v>
      </c>
      <c r="BO1736" s="1">
        <v>0</v>
      </c>
      <c r="BP1736" s="1">
        <v>0</v>
      </c>
      <c r="BQ1736" s="1" t="s">
        <v>104</v>
      </c>
      <c r="BR1736" s="1">
        <v>1834</v>
      </c>
      <c r="BS1736" s="1" t="s">
        <v>104</v>
      </c>
      <c r="BX1736" s="1">
        <v>0</v>
      </c>
      <c r="BY1736" s="1" t="s">
        <v>104</v>
      </c>
      <c r="BZ1736" s="1" t="s">
        <v>104</v>
      </c>
      <c r="CA1736" s="1" t="s">
        <v>104</v>
      </c>
      <c r="CB1736" s="1" t="s">
        <v>104</v>
      </c>
      <c r="CC1736" s="1" t="s">
        <v>104</v>
      </c>
      <c r="CD1736" s="1" t="s">
        <v>104</v>
      </c>
      <c r="CE1736" s="1" t="s">
        <v>104</v>
      </c>
      <c r="CF1736" s="1" t="s">
        <v>104</v>
      </c>
      <c r="CG1736" s="1" t="s">
        <v>104</v>
      </c>
      <c r="CH1736" s="1" t="s">
        <v>104</v>
      </c>
      <c r="CJ1736" s="1">
        <v>0</v>
      </c>
      <c r="CK1736" s="1">
        <v>0</v>
      </c>
      <c r="CL1736" s="1">
        <v>0</v>
      </c>
      <c r="CM1736" s="1" t="s">
        <v>104</v>
      </c>
    </row>
    <row r="1737" spans="1:91" ht="14.25" customHeight="1" x14ac:dyDescent="0.3">
      <c r="A1737" s="1" t="s">
        <v>9443</v>
      </c>
      <c r="B1737" s="1" t="s">
        <v>137</v>
      </c>
      <c r="D1737" s="1" t="s">
        <v>67</v>
      </c>
      <c r="E1737" s="1" t="s">
        <v>9444</v>
      </c>
      <c r="F1737" s="1" t="s">
        <v>95</v>
      </c>
      <c r="G1737" s="1" t="s">
        <v>9445</v>
      </c>
      <c r="H1737" s="1">
        <v>0</v>
      </c>
      <c r="I1737" s="1" t="s">
        <v>109</v>
      </c>
      <c r="L1737" s="1" t="s">
        <v>9446</v>
      </c>
      <c r="M1737" s="1" t="s">
        <v>4641</v>
      </c>
      <c r="N1737" s="1">
        <v>1</v>
      </c>
      <c r="O1737" s="1">
        <v>0</v>
      </c>
      <c r="P1737" s="1" t="s">
        <v>100</v>
      </c>
      <c r="Q1737" s="1" t="s">
        <v>101</v>
      </c>
      <c r="R1737" s="1" t="s">
        <v>9447</v>
      </c>
      <c r="S1737" s="1" t="s">
        <v>9448</v>
      </c>
      <c r="T1737" s="1">
        <v>1</v>
      </c>
      <c r="U1737" s="1">
        <v>1</v>
      </c>
      <c r="V1737" s="1">
        <v>1</v>
      </c>
      <c r="W1737" s="1">
        <v>0</v>
      </c>
      <c r="X1737" s="1">
        <v>0</v>
      </c>
      <c r="Y1737" s="1">
        <v>5</v>
      </c>
      <c r="Z1737" s="1">
        <v>5</v>
      </c>
      <c r="AA1737" s="1">
        <v>4</v>
      </c>
      <c r="AB1737" s="1">
        <v>4</v>
      </c>
      <c r="AC1737" s="1" t="s">
        <v>104</v>
      </c>
      <c r="AD1737" s="1" t="s">
        <v>104</v>
      </c>
      <c r="AE1737" s="1" t="s">
        <v>104</v>
      </c>
      <c r="AF1737" s="1" t="s">
        <v>104</v>
      </c>
      <c r="AG1737" s="1" t="s">
        <v>104</v>
      </c>
      <c r="AH1737" s="1" t="s">
        <v>104</v>
      </c>
      <c r="AI1737" s="1" t="s">
        <v>104</v>
      </c>
      <c r="AJ1737" s="1">
        <v>4</v>
      </c>
      <c r="AK1737" s="1" t="s">
        <v>104</v>
      </c>
      <c r="AL1737" s="1" t="s">
        <v>104</v>
      </c>
      <c r="AM1737" s="1" t="s">
        <v>104</v>
      </c>
      <c r="AO1737" s="1">
        <v>5</v>
      </c>
      <c r="AR1737" s="1">
        <v>0</v>
      </c>
      <c r="AS1737" s="1">
        <v>0</v>
      </c>
      <c r="AT1737" s="1">
        <v>0</v>
      </c>
      <c r="AU1737" s="1">
        <v>0</v>
      </c>
      <c r="AV1737" s="1">
        <v>0</v>
      </c>
      <c r="AW1737" s="1">
        <v>0</v>
      </c>
      <c r="AX1737" s="1">
        <v>0</v>
      </c>
      <c r="AY1737" s="1">
        <v>0</v>
      </c>
      <c r="AZ1737" s="1">
        <v>0</v>
      </c>
      <c r="BA1737" s="1">
        <v>0</v>
      </c>
      <c r="BB1737" s="1">
        <v>0</v>
      </c>
      <c r="BC1737" s="1">
        <v>0</v>
      </c>
      <c r="BD1737" s="1">
        <v>0</v>
      </c>
      <c r="BE1737" s="1">
        <v>0</v>
      </c>
      <c r="BF1737" s="1">
        <v>0</v>
      </c>
      <c r="BG1737" s="1">
        <v>0</v>
      </c>
      <c r="BH1737" s="1">
        <v>0</v>
      </c>
      <c r="BI1737" s="1">
        <v>0</v>
      </c>
      <c r="BJ1737" s="1">
        <v>0</v>
      </c>
      <c r="BK1737" s="1">
        <v>0</v>
      </c>
      <c r="BL1737" s="1">
        <v>0</v>
      </c>
      <c r="BM1737" s="1">
        <v>0</v>
      </c>
      <c r="BN1737" s="1">
        <v>0</v>
      </c>
      <c r="BO1737" s="1">
        <v>0</v>
      </c>
      <c r="BP1737" s="1">
        <v>1</v>
      </c>
      <c r="BQ1737" s="1" t="s">
        <v>104</v>
      </c>
      <c r="BR1737" s="1">
        <v>1835</v>
      </c>
      <c r="BS1737" s="1" t="s">
        <v>104</v>
      </c>
      <c r="BX1737" s="1">
        <v>0</v>
      </c>
      <c r="BY1737" s="1" t="s">
        <v>104</v>
      </c>
      <c r="BZ1737" s="1" t="s">
        <v>104</v>
      </c>
      <c r="CA1737" s="1" t="s">
        <v>104</v>
      </c>
      <c r="CB1737" s="1" t="s">
        <v>104</v>
      </c>
      <c r="CC1737" s="1" t="s">
        <v>104</v>
      </c>
      <c r="CD1737" s="1" t="s">
        <v>104</v>
      </c>
      <c r="CE1737" s="1" t="s">
        <v>104</v>
      </c>
      <c r="CF1737" s="1" t="s">
        <v>104</v>
      </c>
      <c r="CG1737" s="1" t="s">
        <v>104</v>
      </c>
      <c r="CH1737" s="1">
        <v>4</v>
      </c>
      <c r="CJ1737" s="1">
        <v>0</v>
      </c>
      <c r="CK1737" s="1">
        <v>0</v>
      </c>
      <c r="CL1737" s="1">
        <v>0</v>
      </c>
      <c r="CM1737" s="1" t="s">
        <v>104</v>
      </c>
    </row>
    <row r="1738" spans="1:91" ht="14.25" customHeight="1" x14ac:dyDescent="0.3">
      <c r="A1738" s="1" t="s">
        <v>9449</v>
      </c>
      <c r="B1738" s="1" t="s">
        <v>172</v>
      </c>
      <c r="E1738" s="1" t="s">
        <v>9450</v>
      </c>
      <c r="F1738" s="1" t="s">
        <v>95</v>
      </c>
      <c r="G1738" s="1" t="s">
        <v>9451</v>
      </c>
      <c r="H1738" s="1">
        <v>0</v>
      </c>
      <c r="I1738" s="1" t="s">
        <v>776</v>
      </c>
      <c r="J1738" s="1" t="s">
        <v>1030</v>
      </c>
      <c r="M1738" s="1" t="s">
        <v>8629</v>
      </c>
      <c r="N1738" s="1">
        <v>1</v>
      </c>
      <c r="O1738" s="1">
        <v>0</v>
      </c>
      <c r="P1738" s="1" t="s">
        <v>100</v>
      </c>
      <c r="Q1738" s="1" t="s">
        <v>101</v>
      </c>
      <c r="R1738" s="1" t="s">
        <v>9452</v>
      </c>
      <c r="S1738" s="1" t="s">
        <v>9448</v>
      </c>
      <c r="T1738" s="1">
        <v>1</v>
      </c>
      <c r="U1738" s="1">
        <v>1</v>
      </c>
      <c r="V1738" s="1">
        <v>0</v>
      </c>
      <c r="W1738" s="1">
        <v>0</v>
      </c>
      <c r="X1738" s="1">
        <v>0</v>
      </c>
      <c r="Y1738" s="1">
        <v>1</v>
      </c>
      <c r="Z1738" s="1">
        <v>1</v>
      </c>
      <c r="AA1738" s="1" t="s">
        <v>104</v>
      </c>
      <c r="AB1738" s="1" t="s">
        <v>104</v>
      </c>
      <c r="AC1738" s="1" t="s">
        <v>104</v>
      </c>
      <c r="AD1738" s="1">
        <v>1</v>
      </c>
      <c r="AE1738" s="1" t="s">
        <v>104</v>
      </c>
      <c r="AF1738" s="1">
        <v>1</v>
      </c>
      <c r="AG1738" s="1">
        <v>1</v>
      </c>
      <c r="AH1738" s="1" t="s">
        <v>104</v>
      </c>
      <c r="AI1738" s="1" t="s">
        <v>104</v>
      </c>
      <c r="AJ1738" s="1" t="s">
        <v>104</v>
      </c>
      <c r="AK1738" s="1" t="s">
        <v>104</v>
      </c>
      <c r="AL1738" s="1" t="s">
        <v>104</v>
      </c>
      <c r="AM1738" s="1" t="s">
        <v>104</v>
      </c>
      <c r="AO1738" s="1">
        <v>1</v>
      </c>
      <c r="AR1738" s="1">
        <v>0</v>
      </c>
      <c r="AS1738" s="1">
        <v>0</v>
      </c>
      <c r="AT1738" s="1">
        <v>0</v>
      </c>
      <c r="AU1738" s="1">
        <v>0</v>
      </c>
      <c r="AV1738" s="1">
        <v>0</v>
      </c>
      <c r="AW1738" s="1">
        <v>0</v>
      </c>
      <c r="AX1738" s="1">
        <v>0</v>
      </c>
      <c r="AY1738" s="1">
        <v>0</v>
      </c>
      <c r="AZ1738" s="1">
        <v>0</v>
      </c>
      <c r="BA1738" s="1">
        <v>0</v>
      </c>
      <c r="BB1738" s="1">
        <v>0</v>
      </c>
      <c r="BC1738" s="1">
        <v>0</v>
      </c>
      <c r="BD1738" s="1">
        <v>0</v>
      </c>
      <c r="BE1738" s="1">
        <v>0</v>
      </c>
      <c r="BF1738" s="1">
        <v>0</v>
      </c>
      <c r="BG1738" s="1">
        <v>0</v>
      </c>
      <c r="BH1738" s="1">
        <v>0</v>
      </c>
      <c r="BI1738" s="1">
        <v>0</v>
      </c>
      <c r="BJ1738" s="1">
        <v>0</v>
      </c>
      <c r="BK1738" s="1">
        <v>0</v>
      </c>
      <c r="BL1738" s="1">
        <v>0</v>
      </c>
      <c r="BM1738" s="1">
        <v>0</v>
      </c>
      <c r="BN1738" s="1">
        <v>0</v>
      </c>
      <c r="BO1738" s="1">
        <v>0</v>
      </c>
      <c r="BP1738" s="1">
        <v>0</v>
      </c>
      <c r="BQ1738" s="1" t="s">
        <v>104</v>
      </c>
      <c r="BR1738" s="1">
        <v>1836</v>
      </c>
      <c r="BS1738" s="1" t="s">
        <v>104</v>
      </c>
      <c r="BX1738" s="1">
        <v>0</v>
      </c>
      <c r="BY1738" s="1" t="s">
        <v>104</v>
      </c>
      <c r="BZ1738" s="1" t="s">
        <v>104</v>
      </c>
      <c r="CA1738" s="1" t="s">
        <v>104</v>
      </c>
      <c r="CB1738" s="1" t="s">
        <v>104</v>
      </c>
      <c r="CC1738" s="1" t="s">
        <v>104</v>
      </c>
      <c r="CD1738" s="1" t="s">
        <v>104</v>
      </c>
      <c r="CE1738" s="1" t="s">
        <v>104</v>
      </c>
      <c r="CF1738" s="1" t="s">
        <v>104</v>
      </c>
      <c r="CG1738" s="1" t="s">
        <v>104</v>
      </c>
      <c r="CH1738" s="1" t="s">
        <v>104</v>
      </c>
      <c r="CJ1738" s="1">
        <v>0</v>
      </c>
      <c r="CK1738" s="1">
        <v>0</v>
      </c>
      <c r="CL1738" s="1">
        <v>0</v>
      </c>
      <c r="CM1738" s="1">
        <v>1</v>
      </c>
    </row>
    <row r="1739" spans="1:91" ht="14.25" customHeight="1" x14ac:dyDescent="0.3">
      <c r="A1739" s="1" t="s">
        <v>9453</v>
      </c>
      <c r="B1739" s="1" t="s">
        <v>92</v>
      </c>
      <c r="C1739" s="1" t="s">
        <v>93</v>
      </c>
      <c r="E1739" s="1" t="s">
        <v>9454</v>
      </c>
      <c r="F1739" s="1" t="s">
        <v>191</v>
      </c>
      <c r="G1739" s="1" t="s">
        <v>9455</v>
      </c>
      <c r="H1739" s="1">
        <v>0</v>
      </c>
      <c r="I1739" s="1" t="s">
        <v>117</v>
      </c>
      <c r="K1739" s="1" t="s">
        <v>9456</v>
      </c>
      <c r="M1739" s="1" t="s">
        <v>620</v>
      </c>
      <c r="N1739" s="1">
        <v>1</v>
      </c>
      <c r="O1739" s="1">
        <v>0</v>
      </c>
      <c r="P1739" s="1" t="s">
        <v>100</v>
      </c>
      <c r="Q1739" s="1" t="s">
        <v>101</v>
      </c>
      <c r="R1739" s="1" t="s">
        <v>9457</v>
      </c>
      <c r="S1739" s="1" t="s">
        <v>9448</v>
      </c>
      <c r="T1739" s="1">
        <v>1</v>
      </c>
      <c r="U1739" s="1">
        <v>1</v>
      </c>
      <c r="V1739" s="1">
        <v>1</v>
      </c>
      <c r="W1739" s="1">
        <v>0</v>
      </c>
      <c r="X1739" s="1">
        <v>0</v>
      </c>
      <c r="Y1739" s="1" t="s">
        <v>104</v>
      </c>
      <c r="Z1739" s="1" t="s">
        <v>104</v>
      </c>
      <c r="AA1739" s="1">
        <v>2</v>
      </c>
      <c r="AB1739" s="1">
        <v>2</v>
      </c>
      <c r="AC1739" s="1">
        <v>1</v>
      </c>
      <c r="AD1739" s="1" t="s">
        <v>104</v>
      </c>
      <c r="AE1739" s="1" t="s">
        <v>104</v>
      </c>
      <c r="AF1739" s="1" t="s">
        <v>104</v>
      </c>
      <c r="AG1739" s="1">
        <v>1</v>
      </c>
      <c r="AH1739" s="1" t="s">
        <v>104</v>
      </c>
      <c r="AI1739" s="1" t="s">
        <v>104</v>
      </c>
      <c r="AJ1739" s="1">
        <v>2</v>
      </c>
      <c r="AK1739" s="1" t="s">
        <v>104</v>
      </c>
      <c r="AL1739" s="1" t="s">
        <v>104</v>
      </c>
      <c r="AM1739" s="1" t="s">
        <v>104</v>
      </c>
      <c r="AO1739" s="1">
        <v>2</v>
      </c>
      <c r="AR1739" s="1">
        <v>0</v>
      </c>
      <c r="AS1739" s="1">
        <v>0</v>
      </c>
      <c r="AT1739" s="1">
        <v>0</v>
      </c>
      <c r="AU1739" s="1">
        <v>0</v>
      </c>
      <c r="AV1739" s="1">
        <v>0</v>
      </c>
      <c r="AW1739" s="1">
        <v>0</v>
      </c>
      <c r="AX1739" s="1">
        <v>0</v>
      </c>
      <c r="AY1739" s="1">
        <v>0</v>
      </c>
      <c r="AZ1739" s="1">
        <v>0</v>
      </c>
      <c r="BA1739" s="1">
        <v>0</v>
      </c>
      <c r="BB1739" s="1">
        <v>0</v>
      </c>
      <c r="BC1739" s="1">
        <v>0</v>
      </c>
      <c r="BD1739" s="1">
        <v>0</v>
      </c>
      <c r="BE1739" s="1">
        <v>0</v>
      </c>
      <c r="BF1739" s="1">
        <v>0</v>
      </c>
      <c r="BG1739" s="1">
        <v>0</v>
      </c>
      <c r="BH1739" s="1">
        <v>0</v>
      </c>
      <c r="BI1739" s="1">
        <v>0</v>
      </c>
      <c r="BJ1739" s="1">
        <v>0</v>
      </c>
      <c r="BK1739" s="1">
        <v>0</v>
      </c>
      <c r="BL1739" s="1">
        <v>0</v>
      </c>
      <c r="BM1739" s="1">
        <v>0</v>
      </c>
      <c r="BN1739" s="1">
        <v>0</v>
      </c>
      <c r="BO1739" s="1">
        <v>0</v>
      </c>
      <c r="BP1739" s="1">
        <v>0</v>
      </c>
      <c r="BQ1739" s="1" t="s">
        <v>104</v>
      </c>
      <c r="BR1739" s="1">
        <v>1837</v>
      </c>
      <c r="BS1739" s="1" t="s">
        <v>104</v>
      </c>
      <c r="BX1739" s="1">
        <v>0</v>
      </c>
      <c r="BY1739" s="1" t="s">
        <v>104</v>
      </c>
      <c r="BZ1739" s="1" t="s">
        <v>104</v>
      </c>
      <c r="CA1739" s="1" t="s">
        <v>104</v>
      </c>
      <c r="CB1739" s="1" t="s">
        <v>104</v>
      </c>
      <c r="CC1739" s="1" t="s">
        <v>104</v>
      </c>
      <c r="CD1739" s="1" t="s">
        <v>104</v>
      </c>
      <c r="CE1739" s="1" t="s">
        <v>104</v>
      </c>
      <c r="CF1739" s="1" t="s">
        <v>104</v>
      </c>
      <c r="CG1739" s="1" t="s">
        <v>104</v>
      </c>
      <c r="CH1739" s="1">
        <v>1</v>
      </c>
      <c r="CJ1739" s="1">
        <v>0</v>
      </c>
      <c r="CK1739" s="1">
        <v>0</v>
      </c>
      <c r="CL1739" s="1">
        <v>0</v>
      </c>
      <c r="CM1739" s="1">
        <v>1</v>
      </c>
    </row>
    <row r="1740" spans="1:91" ht="14.25" customHeight="1" x14ac:dyDescent="0.3">
      <c r="A1740" s="1" t="s">
        <v>9458</v>
      </c>
      <c r="B1740" s="1" t="s">
        <v>162</v>
      </c>
      <c r="E1740" s="1" t="s">
        <v>9459</v>
      </c>
      <c r="F1740" s="1" t="s">
        <v>95</v>
      </c>
      <c r="G1740" s="1" t="s">
        <v>116</v>
      </c>
      <c r="H1740" s="1">
        <v>0</v>
      </c>
      <c r="I1740" s="1" t="s">
        <v>914</v>
      </c>
      <c r="J1740" s="1" t="s">
        <v>5210</v>
      </c>
      <c r="M1740" s="1" t="s">
        <v>9002</v>
      </c>
      <c r="N1740" s="1">
        <v>1</v>
      </c>
      <c r="O1740" s="1">
        <v>0</v>
      </c>
      <c r="P1740" s="1" t="s">
        <v>9460</v>
      </c>
      <c r="Q1740" s="1" t="s">
        <v>472</v>
      </c>
      <c r="R1740" s="1" t="s">
        <v>9461</v>
      </c>
      <c r="S1740" s="1" t="s">
        <v>9448</v>
      </c>
      <c r="T1740" s="1">
        <v>1</v>
      </c>
      <c r="U1740" s="1">
        <v>1</v>
      </c>
      <c r="V1740" s="1">
        <v>0</v>
      </c>
      <c r="W1740" s="1">
        <v>0</v>
      </c>
      <c r="X1740" s="1">
        <v>0</v>
      </c>
      <c r="Y1740" s="1">
        <v>7</v>
      </c>
      <c r="Z1740" s="1">
        <v>7</v>
      </c>
      <c r="AA1740" s="1">
        <v>7</v>
      </c>
      <c r="AB1740" s="1" t="s">
        <v>104</v>
      </c>
      <c r="AC1740" s="1" t="s">
        <v>104</v>
      </c>
      <c r="AD1740" s="1" t="s">
        <v>104</v>
      </c>
      <c r="AE1740" s="1" t="s">
        <v>104</v>
      </c>
      <c r="AF1740" s="1">
        <v>6</v>
      </c>
      <c r="AG1740" s="1">
        <v>6</v>
      </c>
      <c r="AH1740" s="1">
        <v>7</v>
      </c>
      <c r="AI1740" s="1" t="s">
        <v>104</v>
      </c>
      <c r="AJ1740" s="1">
        <v>7</v>
      </c>
      <c r="AK1740" s="1" t="s">
        <v>104</v>
      </c>
      <c r="AL1740" s="1">
        <v>6</v>
      </c>
      <c r="AM1740" s="1" t="s">
        <v>104</v>
      </c>
      <c r="AO1740" s="1">
        <v>7</v>
      </c>
      <c r="AR1740" s="1">
        <v>0</v>
      </c>
      <c r="AS1740" s="1">
        <v>0</v>
      </c>
      <c r="AT1740" s="1">
        <v>0</v>
      </c>
      <c r="AU1740" s="1">
        <v>0</v>
      </c>
      <c r="AV1740" s="1">
        <v>0</v>
      </c>
      <c r="AW1740" s="1">
        <v>0</v>
      </c>
      <c r="AX1740" s="1">
        <v>0</v>
      </c>
      <c r="AY1740" s="1">
        <v>0</v>
      </c>
      <c r="AZ1740" s="1">
        <v>0</v>
      </c>
      <c r="BA1740" s="1">
        <v>0</v>
      </c>
      <c r="BB1740" s="1">
        <v>0</v>
      </c>
      <c r="BC1740" s="1">
        <v>0</v>
      </c>
      <c r="BD1740" s="1">
        <v>0</v>
      </c>
      <c r="BE1740" s="1">
        <v>0</v>
      </c>
      <c r="BF1740" s="1">
        <v>0</v>
      </c>
      <c r="BG1740" s="1">
        <v>0</v>
      </c>
      <c r="BH1740" s="1">
        <v>0</v>
      </c>
      <c r="BI1740" s="1">
        <v>0</v>
      </c>
      <c r="BJ1740" s="1">
        <v>0</v>
      </c>
      <c r="BK1740" s="1">
        <v>0</v>
      </c>
      <c r="BL1740" s="1">
        <v>0</v>
      </c>
      <c r="BM1740" s="1">
        <v>0</v>
      </c>
      <c r="BN1740" s="1">
        <v>0</v>
      </c>
      <c r="BO1740" s="1">
        <v>0</v>
      </c>
      <c r="BP1740" s="1">
        <v>0</v>
      </c>
      <c r="BQ1740" s="1" t="s">
        <v>104</v>
      </c>
      <c r="BR1740" s="1">
        <v>1838</v>
      </c>
      <c r="BS1740" s="1" t="s">
        <v>104</v>
      </c>
      <c r="BT1740" s="1" t="s">
        <v>9462</v>
      </c>
      <c r="BX1740" s="1">
        <v>0</v>
      </c>
      <c r="BY1740" s="1" t="s">
        <v>104</v>
      </c>
      <c r="BZ1740" s="1" t="s">
        <v>104</v>
      </c>
      <c r="CA1740" s="1" t="s">
        <v>104</v>
      </c>
      <c r="CB1740" s="1" t="s">
        <v>104</v>
      </c>
      <c r="CC1740" s="1" t="s">
        <v>104</v>
      </c>
      <c r="CD1740" s="1" t="s">
        <v>104</v>
      </c>
      <c r="CE1740" s="1" t="s">
        <v>104</v>
      </c>
      <c r="CF1740" s="1" t="s">
        <v>104</v>
      </c>
      <c r="CG1740" s="1" t="s">
        <v>104</v>
      </c>
      <c r="CH1740" s="1" t="s">
        <v>104</v>
      </c>
      <c r="CJ1740" s="1">
        <v>0</v>
      </c>
      <c r="CK1740" s="1">
        <v>0</v>
      </c>
      <c r="CL1740" s="1">
        <v>0</v>
      </c>
      <c r="CM1740" s="1">
        <v>6</v>
      </c>
    </row>
    <row r="1741" spans="1:91" ht="14.25" customHeight="1" x14ac:dyDescent="0.3">
      <c r="A1741" s="1" t="s">
        <v>9463</v>
      </c>
      <c r="B1741" s="1" t="s">
        <v>137</v>
      </c>
      <c r="E1741" s="1" t="s">
        <v>4596</v>
      </c>
      <c r="F1741" s="1" t="s">
        <v>95</v>
      </c>
      <c r="G1741" s="1" t="s">
        <v>9464</v>
      </c>
      <c r="H1741" s="1">
        <v>0</v>
      </c>
      <c r="I1741" s="1" t="s">
        <v>914</v>
      </c>
      <c r="J1741" s="1" t="s">
        <v>9465</v>
      </c>
      <c r="M1741" s="1" t="s">
        <v>111</v>
      </c>
      <c r="N1741" s="1">
        <v>0</v>
      </c>
      <c r="O1741" s="1">
        <v>0</v>
      </c>
      <c r="P1741" s="1" t="s">
        <v>1605</v>
      </c>
      <c r="Q1741" s="1" t="s">
        <v>472</v>
      </c>
      <c r="R1741" s="1" t="s">
        <v>9466</v>
      </c>
      <c r="S1741" s="1" t="s">
        <v>9448</v>
      </c>
      <c r="T1741" s="1">
        <v>0</v>
      </c>
      <c r="U1741" s="1">
        <v>1</v>
      </c>
      <c r="V1741" s="1">
        <v>0</v>
      </c>
      <c r="W1741" s="1">
        <v>0</v>
      </c>
      <c r="X1741" s="1">
        <v>0</v>
      </c>
      <c r="Y1741" s="1" t="s">
        <v>104</v>
      </c>
      <c r="Z1741" s="1" t="s">
        <v>104</v>
      </c>
      <c r="AA1741" s="1" t="s">
        <v>104</v>
      </c>
      <c r="AB1741" s="1" t="s">
        <v>104</v>
      </c>
      <c r="AC1741" s="1" t="s">
        <v>104</v>
      </c>
      <c r="AD1741" s="1">
        <v>2</v>
      </c>
      <c r="AE1741" s="1" t="s">
        <v>104</v>
      </c>
      <c r="AF1741" s="1" t="s">
        <v>104</v>
      </c>
      <c r="AG1741" s="1" t="s">
        <v>104</v>
      </c>
      <c r="AH1741" s="1" t="s">
        <v>104</v>
      </c>
      <c r="AI1741" s="1" t="s">
        <v>104</v>
      </c>
      <c r="AJ1741" s="1" t="s">
        <v>104</v>
      </c>
      <c r="AK1741" s="1" t="s">
        <v>104</v>
      </c>
      <c r="AL1741" s="1" t="s">
        <v>104</v>
      </c>
      <c r="AM1741" s="1" t="s">
        <v>104</v>
      </c>
      <c r="AO1741" s="1">
        <v>2</v>
      </c>
      <c r="AR1741" s="1">
        <v>0</v>
      </c>
      <c r="AS1741" s="1">
        <v>0</v>
      </c>
      <c r="AT1741" s="1">
        <v>0</v>
      </c>
      <c r="AU1741" s="1">
        <v>0</v>
      </c>
      <c r="AV1741" s="1">
        <v>0</v>
      </c>
      <c r="AW1741" s="1">
        <v>0</v>
      </c>
      <c r="AX1741" s="1">
        <v>0</v>
      </c>
      <c r="AY1741" s="1">
        <v>0</v>
      </c>
      <c r="AZ1741" s="1">
        <v>0</v>
      </c>
      <c r="BA1741" s="1">
        <v>0</v>
      </c>
      <c r="BB1741" s="1">
        <v>0</v>
      </c>
      <c r="BC1741" s="1">
        <v>0</v>
      </c>
      <c r="BD1741" s="1">
        <v>0</v>
      </c>
      <c r="BE1741" s="1">
        <v>0</v>
      </c>
      <c r="BF1741" s="1">
        <v>0</v>
      </c>
      <c r="BG1741" s="1">
        <v>0</v>
      </c>
      <c r="BH1741" s="1">
        <v>0</v>
      </c>
      <c r="BI1741" s="1">
        <v>0</v>
      </c>
      <c r="BJ1741" s="1">
        <v>0</v>
      </c>
      <c r="BK1741" s="1">
        <v>0</v>
      </c>
      <c r="BL1741" s="1">
        <v>0</v>
      </c>
      <c r="BM1741" s="1">
        <v>0</v>
      </c>
      <c r="BN1741" s="1">
        <v>0</v>
      </c>
      <c r="BO1741" s="1">
        <v>0</v>
      </c>
      <c r="BP1741" s="1">
        <v>0</v>
      </c>
      <c r="BQ1741" s="1" t="s">
        <v>104</v>
      </c>
      <c r="BR1741" s="1">
        <v>1839</v>
      </c>
      <c r="BS1741" s="1" t="s">
        <v>104</v>
      </c>
      <c r="BX1741" s="1">
        <v>0</v>
      </c>
      <c r="BY1741" s="1" t="s">
        <v>104</v>
      </c>
      <c r="BZ1741" s="1" t="s">
        <v>104</v>
      </c>
      <c r="CA1741" s="1" t="s">
        <v>104</v>
      </c>
      <c r="CB1741" s="1" t="s">
        <v>104</v>
      </c>
      <c r="CC1741" s="1" t="s">
        <v>104</v>
      </c>
      <c r="CD1741" s="1" t="s">
        <v>104</v>
      </c>
      <c r="CE1741" s="1" t="s">
        <v>104</v>
      </c>
      <c r="CF1741" s="1" t="s">
        <v>104</v>
      </c>
      <c r="CG1741" s="1" t="s">
        <v>104</v>
      </c>
      <c r="CH1741" s="1" t="s">
        <v>104</v>
      </c>
      <c r="CJ1741" s="1">
        <v>0</v>
      </c>
      <c r="CK1741" s="1">
        <v>0</v>
      </c>
      <c r="CL1741" s="1">
        <v>0</v>
      </c>
      <c r="CM1741" s="1" t="s">
        <v>104</v>
      </c>
    </row>
    <row r="1742" spans="1:91" ht="14.25" customHeight="1" x14ac:dyDescent="0.3">
      <c r="A1742" s="1" t="s">
        <v>9467</v>
      </c>
      <c r="B1742" s="1" t="s">
        <v>172</v>
      </c>
      <c r="C1742" s="1" t="s">
        <v>285</v>
      </c>
      <c r="E1742" s="1" t="s">
        <v>9468</v>
      </c>
      <c r="F1742" s="1" t="s">
        <v>191</v>
      </c>
      <c r="G1742" s="1" t="s">
        <v>9469</v>
      </c>
      <c r="H1742" s="1">
        <v>0</v>
      </c>
      <c r="I1742" s="1" t="s">
        <v>145</v>
      </c>
      <c r="K1742" s="1" t="s">
        <v>290</v>
      </c>
      <c r="L1742" s="1" t="s">
        <v>9470</v>
      </c>
      <c r="M1742" s="1" t="s">
        <v>4641</v>
      </c>
      <c r="N1742" s="1">
        <v>1</v>
      </c>
      <c r="O1742" s="1">
        <v>0</v>
      </c>
      <c r="P1742" s="1" t="s">
        <v>100</v>
      </c>
      <c r="Q1742" s="1" t="s">
        <v>101</v>
      </c>
      <c r="R1742" s="1" t="s">
        <v>9471</v>
      </c>
      <c r="S1742" s="1" t="s">
        <v>9448</v>
      </c>
      <c r="T1742" s="1">
        <v>1</v>
      </c>
      <c r="U1742" s="1">
        <v>1</v>
      </c>
      <c r="V1742" s="1">
        <v>0</v>
      </c>
      <c r="W1742" s="1">
        <v>0</v>
      </c>
      <c r="X1742" s="1">
        <v>1</v>
      </c>
      <c r="Y1742" s="1" t="s">
        <v>104</v>
      </c>
      <c r="Z1742" s="1" t="s">
        <v>104</v>
      </c>
      <c r="AA1742" s="1">
        <v>3</v>
      </c>
      <c r="AB1742" s="1">
        <v>2</v>
      </c>
      <c r="AC1742" s="1">
        <v>2</v>
      </c>
      <c r="AD1742" s="1" t="s">
        <v>104</v>
      </c>
      <c r="AE1742" s="1" t="s">
        <v>104</v>
      </c>
      <c r="AF1742" s="1" t="s">
        <v>104</v>
      </c>
      <c r="AG1742" s="1" t="s">
        <v>104</v>
      </c>
      <c r="AH1742" s="1">
        <v>3</v>
      </c>
      <c r="AI1742" s="1">
        <v>3</v>
      </c>
      <c r="AJ1742" s="1">
        <v>3</v>
      </c>
      <c r="AK1742" s="1" t="s">
        <v>104</v>
      </c>
      <c r="AL1742" s="1" t="s">
        <v>104</v>
      </c>
      <c r="AM1742" s="1" t="s">
        <v>104</v>
      </c>
      <c r="AO1742" s="1">
        <v>3</v>
      </c>
      <c r="AR1742" s="1">
        <v>0</v>
      </c>
      <c r="AS1742" s="1">
        <v>0</v>
      </c>
      <c r="AT1742" s="1">
        <v>0</v>
      </c>
      <c r="AU1742" s="1">
        <v>0</v>
      </c>
      <c r="AV1742" s="1">
        <v>0</v>
      </c>
      <c r="AW1742" s="1">
        <v>0</v>
      </c>
      <c r="AX1742" s="1">
        <v>0</v>
      </c>
      <c r="AY1742" s="1">
        <v>0</v>
      </c>
      <c r="AZ1742" s="1">
        <v>0</v>
      </c>
      <c r="BA1742" s="1">
        <v>0</v>
      </c>
      <c r="BB1742" s="1">
        <v>0</v>
      </c>
      <c r="BC1742" s="1">
        <v>0</v>
      </c>
      <c r="BD1742" s="1">
        <v>0</v>
      </c>
      <c r="BE1742" s="1">
        <v>0</v>
      </c>
      <c r="BF1742" s="1">
        <v>0</v>
      </c>
      <c r="BG1742" s="1">
        <v>0</v>
      </c>
      <c r="BH1742" s="1">
        <v>0</v>
      </c>
      <c r="BI1742" s="1">
        <v>0</v>
      </c>
      <c r="BJ1742" s="1">
        <v>0</v>
      </c>
      <c r="BK1742" s="1">
        <v>0</v>
      </c>
      <c r="BL1742" s="1">
        <v>0</v>
      </c>
      <c r="BM1742" s="1">
        <v>0</v>
      </c>
      <c r="BN1742" s="1">
        <v>0</v>
      </c>
      <c r="BO1742" s="1">
        <v>0</v>
      </c>
      <c r="BP1742" s="1">
        <v>0</v>
      </c>
      <c r="BQ1742" s="1" t="s">
        <v>104</v>
      </c>
      <c r="BR1742" s="1">
        <v>1840</v>
      </c>
      <c r="BS1742" s="1" t="s">
        <v>104</v>
      </c>
      <c r="BX1742" s="1">
        <v>0</v>
      </c>
      <c r="BY1742" s="1" t="s">
        <v>104</v>
      </c>
      <c r="BZ1742" s="1" t="s">
        <v>104</v>
      </c>
      <c r="CA1742" s="1" t="s">
        <v>104</v>
      </c>
      <c r="CB1742" s="1" t="s">
        <v>104</v>
      </c>
      <c r="CC1742" s="1" t="s">
        <v>104</v>
      </c>
      <c r="CD1742" s="1" t="s">
        <v>104</v>
      </c>
      <c r="CE1742" s="1" t="s">
        <v>104</v>
      </c>
      <c r="CF1742" s="1" t="s">
        <v>104</v>
      </c>
      <c r="CG1742" s="1" t="s">
        <v>104</v>
      </c>
      <c r="CH1742" s="1">
        <v>2</v>
      </c>
      <c r="CJ1742" s="1">
        <v>0</v>
      </c>
      <c r="CK1742" s="1">
        <v>0</v>
      </c>
      <c r="CL1742" s="1">
        <v>0</v>
      </c>
      <c r="CM1742" s="1" t="s">
        <v>104</v>
      </c>
    </row>
    <row r="1743" spans="1:91" ht="14.25" customHeight="1" x14ac:dyDescent="0.3">
      <c r="A1743" s="1" t="s">
        <v>9472</v>
      </c>
      <c r="B1743" s="1" t="s">
        <v>137</v>
      </c>
      <c r="E1743" s="1" t="s">
        <v>9473</v>
      </c>
      <c r="F1743" s="1" t="s">
        <v>95</v>
      </c>
      <c r="G1743" s="1" t="s">
        <v>5834</v>
      </c>
      <c r="H1743" s="1">
        <v>0</v>
      </c>
      <c r="I1743" s="1" t="s">
        <v>128</v>
      </c>
      <c r="M1743" s="1" t="s">
        <v>111</v>
      </c>
      <c r="N1743" s="1">
        <v>0</v>
      </c>
      <c r="O1743" s="1">
        <v>0</v>
      </c>
      <c r="P1743" s="1" t="s">
        <v>276</v>
      </c>
      <c r="Q1743" s="1" t="s">
        <v>184</v>
      </c>
      <c r="R1743" s="1" t="s">
        <v>9474</v>
      </c>
      <c r="S1743" s="1" t="s">
        <v>9448</v>
      </c>
      <c r="T1743" s="1">
        <v>1</v>
      </c>
      <c r="U1743" s="1">
        <v>1</v>
      </c>
      <c r="V1743" s="1">
        <v>0</v>
      </c>
      <c r="W1743" s="1">
        <v>0</v>
      </c>
      <c r="X1743" s="1">
        <v>0</v>
      </c>
      <c r="Y1743" s="1">
        <v>6</v>
      </c>
      <c r="Z1743" s="1">
        <v>6</v>
      </c>
      <c r="AA1743" s="1" t="s">
        <v>104</v>
      </c>
      <c r="AB1743" s="1" t="s">
        <v>104</v>
      </c>
      <c r="AC1743" s="1" t="s">
        <v>104</v>
      </c>
      <c r="AD1743" s="1">
        <v>5</v>
      </c>
      <c r="AE1743" s="1" t="s">
        <v>104</v>
      </c>
      <c r="AF1743" s="1" t="s">
        <v>104</v>
      </c>
      <c r="AG1743" s="1" t="s">
        <v>104</v>
      </c>
      <c r="AH1743" s="1">
        <v>6</v>
      </c>
      <c r="AI1743" s="1">
        <v>5</v>
      </c>
      <c r="AJ1743" s="1" t="s">
        <v>104</v>
      </c>
      <c r="AK1743" s="1" t="s">
        <v>104</v>
      </c>
      <c r="AL1743" s="1" t="s">
        <v>104</v>
      </c>
      <c r="AM1743" s="1" t="s">
        <v>104</v>
      </c>
      <c r="AO1743" s="1">
        <v>6</v>
      </c>
      <c r="AR1743" s="1">
        <v>0</v>
      </c>
      <c r="AS1743" s="1">
        <v>0</v>
      </c>
      <c r="AT1743" s="1">
        <v>0</v>
      </c>
      <c r="AU1743" s="1">
        <v>0</v>
      </c>
      <c r="AV1743" s="1">
        <v>0</v>
      </c>
      <c r="AW1743" s="1">
        <v>0</v>
      </c>
      <c r="AX1743" s="1">
        <v>0</v>
      </c>
      <c r="AY1743" s="1">
        <v>0</v>
      </c>
      <c r="AZ1743" s="1">
        <v>0</v>
      </c>
      <c r="BA1743" s="1">
        <v>0</v>
      </c>
      <c r="BB1743" s="1">
        <v>0</v>
      </c>
      <c r="BC1743" s="1">
        <v>0</v>
      </c>
      <c r="BD1743" s="1">
        <v>0</v>
      </c>
      <c r="BE1743" s="1">
        <v>0</v>
      </c>
      <c r="BF1743" s="1">
        <v>0</v>
      </c>
      <c r="BG1743" s="1">
        <v>0</v>
      </c>
      <c r="BH1743" s="1">
        <v>0</v>
      </c>
      <c r="BI1743" s="1">
        <v>0</v>
      </c>
      <c r="BJ1743" s="1">
        <v>0</v>
      </c>
      <c r="BK1743" s="1">
        <v>0</v>
      </c>
      <c r="BL1743" s="1">
        <v>0</v>
      </c>
      <c r="BM1743" s="1">
        <v>0</v>
      </c>
      <c r="BN1743" s="1">
        <v>0</v>
      </c>
      <c r="BO1743" s="1">
        <v>0</v>
      </c>
      <c r="BP1743" s="1">
        <v>0</v>
      </c>
      <c r="BQ1743" s="1" t="s">
        <v>104</v>
      </c>
      <c r="BR1743" s="1">
        <v>1841</v>
      </c>
      <c r="BS1743" s="1" t="s">
        <v>104</v>
      </c>
      <c r="BX1743" s="1">
        <v>0</v>
      </c>
      <c r="BY1743" s="1" t="s">
        <v>104</v>
      </c>
      <c r="BZ1743" s="1" t="s">
        <v>104</v>
      </c>
      <c r="CA1743" s="1" t="s">
        <v>104</v>
      </c>
      <c r="CB1743" s="1" t="s">
        <v>104</v>
      </c>
      <c r="CC1743" s="1" t="s">
        <v>104</v>
      </c>
      <c r="CD1743" s="1" t="s">
        <v>104</v>
      </c>
      <c r="CE1743" s="1" t="s">
        <v>104</v>
      </c>
      <c r="CF1743" s="1" t="s">
        <v>104</v>
      </c>
      <c r="CG1743" s="1" t="s">
        <v>104</v>
      </c>
      <c r="CH1743" s="1" t="s">
        <v>104</v>
      </c>
      <c r="CJ1743" s="1">
        <v>0</v>
      </c>
      <c r="CK1743" s="1">
        <v>0</v>
      </c>
      <c r="CL1743" s="1">
        <v>0</v>
      </c>
      <c r="CM1743" s="1" t="s">
        <v>104</v>
      </c>
    </row>
    <row r="1744" spans="1:91" ht="14.25" customHeight="1" x14ac:dyDescent="0.3">
      <c r="A1744" s="1" t="s">
        <v>9475</v>
      </c>
      <c r="B1744" s="1" t="s">
        <v>162</v>
      </c>
      <c r="E1744" s="1" t="s">
        <v>9476</v>
      </c>
      <c r="F1744" s="1" t="s">
        <v>95</v>
      </c>
      <c r="G1744" s="1" t="s">
        <v>9477</v>
      </c>
      <c r="H1744" s="1">
        <v>0</v>
      </c>
      <c r="I1744" s="1" t="s">
        <v>256</v>
      </c>
      <c r="L1744" s="1" t="s">
        <v>3086</v>
      </c>
      <c r="M1744" s="1" t="s">
        <v>4641</v>
      </c>
      <c r="N1744" s="1">
        <v>1</v>
      </c>
      <c r="O1744" s="1">
        <v>0</v>
      </c>
      <c r="P1744" s="1" t="s">
        <v>6205</v>
      </c>
      <c r="Q1744" s="1" t="s">
        <v>184</v>
      </c>
      <c r="R1744" s="1" t="s">
        <v>9478</v>
      </c>
      <c r="S1744" s="1" t="s">
        <v>9479</v>
      </c>
      <c r="T1744" s="1">
        <v>1</v>
      </c>
      <c r="U1744" s="1">
        <v>1</v>
      </c>
      <c r="V1744" s="1">
        <v>1</v>
      </c>
      <c r="W1744" s="1">
        <v>0</v>
      </c>
      <c r="X1744" s="1">
        <v>1</v>
      </c>
      <c r="Y1744" s="1">
        <v>7</v>
      </c>
      <c r="Z1744" s="1">
        <v>7</v>
      </c>
      <c r="AA1744" s="1" t="s">
        <v>104</v>
      </c>
      <c r="AB1744" s="1">
        <v>6</v>
      </c>
      <c r="AC1744" s="1" t="s">
        <v>104</v>
      </c>
      <c r="AD1744" s="1" t="s">
        <v>104</v>
      </c>
      <c r="AE1744" s="1" t="s">
        <v>104</v>
      </c>
      <c r="AF1744" s="1" t="s">
        <v>104</v>
      </c>
      <c r="AG1744" s="1" t="s">
        <v>104</v>
      </c>
      <c r="AH1744" s="1" t="s">
        <v>104</v>
      </c>
      <c r="AI1744" s="1" t="s">
        <v>104</v>
      </c>
      <c r="AJ1744" s="1" t="s">
        <v>104</v>
      </c>
      <c r="AK1744" s="1" t="s">
        <v>104</v>
      </c>
      <c r="AL1744" s="1" t="s">
        <v>104</v>
      </c>
      <c r="AM1744" s="1" t="s">
        <v>104</v>
      </c>
      <c r="AO1744" s="1">
        <v>7</v>
      </c>
      <c r="AR1744" s="1">
        <v>0</v>
      </c>
      <c r="AS1744" s="1">
        <v>0</v>
      </c>
      <c r="AT1744" s="1">
        <v>0</v>
      </c>
      <c r="AU1744" s="1">
        <v>0</v>
      </c>
      <c r="AV1744" s="1">
        <v>0</v>
      </c>
      <c r="AW1744" s="1">
        <v>0</v>
      </c>
      <c r="AX1744" s="1">
        <v>0</v>
      </c>
      <c r="AY1744" s="1">
        <v>0</v>
      </c>
      <c r="AZ1744" s="1">
        <v>0</v>
      </c>
      <c r="BA1744" s="1">
        <v>0</v>
      </c>
      <c r="BB1744" s="1">
        <v>0</v>
      </c>
      <c r="BC1744" s="1">
        <v>0</v>
      </c>
      <c r="BD1744" s="1">
        <v>0</v>
      </c>
      <c r="BE1744" s="1">
        <v>0</v>
      </c>
      <c r="BF1744" s="1">
        <v>0</v>
      </c>
      <c r="BG1744" s="1">
        <v>0</v>
      </c>
      <c r="BH1744" s="1">
        <v>0</v>
      </c>
      <c r="BI1744" s="1">
        <v>0</v>
      </c>
      <c r="BJ1744" s="1">
        <v>0</v>
      </c>
      <c r="BK1744" s="1">
        <v>0</v>
      </c>
      <c r="BL1744" s="1">
        <v>0</v>
      </c>
      <c r="BM1744" s="1">
        <v>0</v>
      </c>
      <c r="BN1744" s="1">
        <v>0</v>
      </c>
      <c r="BO1744" s="1">
        <v>0</v>
      </c>
      <c r="BP1744" s="1">
        <v>0</v>
      </c>
      <c r="BQ1744" s="1" t="s">
        <v>104</v>
      </c>
      <c r="BR1744" s="1">
        <v>1842</v>
      </c>
      <c r="BS1744" s="1" t="s">
        <v>104</v>
      </c>
      <c r="BX1744" s="1">
        <v>0</v>
      </c>
      <c r="BY1744" s="1" t="s">
        <v>104</v>
      </c>
      <c r="BZ1744" s="1" t="s">
        <v>104</v>
      </c>
      <c r="CA1744" s="1" t="s">
        <v>104</v>
      </c>
      <c r="CB1744" s="1" t="s">
        <v>104</v>
      </c>
      <c r="CC1744" s="1" t="s">
        <v>104</v>
      </c>
      <c r="CD1744" s="1" t="s">
        <v>104</v>
      </c>
      <c r="CE1744" s="1" t="s">
        <v>104</v>
      </c>
      <c r="CF1744" s="1" t="s">
        <v>104</v>
      </c>
      <c r="CG1744" s="1" t="s">
        <v>104</v>
      </c>
      <c r="CH1744" s="1">
        <v>6</v>
      </c>
      <c r="CJ1744" s="1">
        <v>0</v>
      </c>
      <c r="CK1744" s="1">
        <v>0</v>
      </c>
      <c r="CL1744" s="1">
        <v>0</v>
      </c>
      <c r="CM1744" s="1" t="s">
        <v>104</v>
      </c>
    </row>
    <row r="1745" spans="1:91" ht="14.25" customHeight="1" x14ac:dyDescent="0.3">
      <c r="A1745" s="1" t="s">
        <v>9480</v>
      </c>
      <c r="B1745" s="1" t="s">
        <v>137</v>
      </c>
      <c r="E1745" s="1" t="s">
        <v>9481</v>
      </c>
      <c r="F1745" s="1" t="s">
        <v>95</v>
      </c>
      <c r="G1745" s="1" t="s">
        <v>9482</v>
      </c>
      <c r="H1745" s="1">
        <v>0</v>
      </c>
      <c r="I1745" s="1" t="s">
        <v>117</v>
      </c>
      <c r="L1745" s="1" t="s">
        <v>9483</v>
      </c>
      <c r="M1745" s="1" t="s">
        <v>119</v>
      </c>
      <c r="N1745" s="1">
        <v>0</v>
      </c>
      <c r="O1745" s="1">
        <v>0</v>
      </c>
      <c r="P1745" s="1" t="s">
        <v>1080</v>
      </c>
      <c r="Q1745" s="1" t="s">
        <v>184</v>
      </c>
      <c r="R1745" s="1" t="s">
        <v>9484</v>
      </c>
      <c r="S1745" s="1" t="s">
        <v>9479</v>
      </c>
      <c r="T1745" s="1">
        <v>1</v>
      </c>
      <c r="U1745" s="1">
        <v>1</v>
      </c>
      <c r="V1745" s="1">
        <v>0</v>
      </c>
      <c r="W1745" s="1">
        <v>0</v>
      </c>
      <c r="X1745" s="1">
        <v>1</v>
      </c>
      <c r="Y1745" s="1">
        <v>6</v>
      </c>
      <c r="Z1745" s="1">
        <v>6</v>
      </c>
      <c r="AA1745" s="1" t="s">
        <v>104</v>
      </c>
      <c r="AB1745" s="1">
        <v>5</v>
      </c>
      <c r="AC1745" s="1" t="s">
        <v>104</v>
      </c>
      <c r="AD1745" s="1" t="s">
        <v>104</v>
      </c>
      <c r="AE1745" s="1" t="s">
        <v>104</v>
      </c>
      <c r="AF1745" s="1" t="s">
        <v>104</v>
      </c>
      <c r="AG1745" s="1" t="s">
        <v>104</v>
      </c>
      <c r="AH1745" s="1" t="s">
        <v>104</v>
      </c>
      <c r="AI1745" s="1" t="s">
        <v>104</v>
      </c>
      <c r="AJ1745" s="1" t="s">
        <v>104</v>
      </c>
      <c r="AK1745" s="1" t="s">
        <v>104</v>
      </c>
      <c r="AL1745" s="1" t="s">
        <v>104</v>
      </c>
      <c r="AM1745" s="1" t="s">
        <v>104</v>
      </c>
      <c r="AO1745" s="1">
        <v>6</v>
      </c>
      <c r="AR1745" s="1">
        <v>0</v>
      </c>
      <c r="AS1745" s="1">
        <v>0</v>
      </c>
      <c r="AT1745" s="1">
        <v>0</v>
      </c>
      <c r="AU1745" s="1">
        <v>0</v>
      </c>
      <c r="AV1745" s="1">
        <v>0</v>
      </c>
      <c r="AW1745" s="1">
        <v>0</v>
      </c>
      <c r="AX1745" s="1">
        <v>0</v>
      </c>
      <c r="AY1745" s="1">
        <v>0</v>
      </c>
      <c r="AZ1745" s="1">
        <v>0</v>
      </c>
      <c r="BA1745" s="1">
        <v>0</v>
      </c>
      <c r="BB1745" s="1">
        <v>0</v>
      </c>
      <c r="BC1745" s="1">
        <v>0</v>
      </c>
      <c r="BD1745" s="1">
        <v>0</v>
      </c>
      <c r="BE1745" s="1">
        <v>0</v>
      </c>
      <c r="BF1745" s="1">
        <v>0</v>
      </c>
      <c r="BG1745" s="1">
        <v>0</v>
      </c>
      <c r="BH1745" s="1">
        <v>0</v>
      </c>
      <c r="BI1745" s="1">
        <v>0</v>
      </c>
      <c r="BJ1745" s="1">
        <v>0</v>
      </c>
      <c r="BK1745" s="1">
        <v>0</v>
      </c>
      <c r="BL1745" s="1">
        <v>0</v>
      </c>
      <c r="BM1745" s="1">
        <v>0</v>
      </c>
      <c r="BN1745" s="1">
        <v>0</v>
      </c>
      <c r="BO1745" s="1">
        <v>0</v>
      </c>
      <c r="BP1745" s="1">
        <v>0</v>
      </c>
      <c r="BQ1745" s="1" t="s">
        <v>104</v>
      </c>
      <c r="BR1745" s="1">
        <v>1843</v>
      </c>
      <c r="BS1745" s="1" t="s">
        <v>104</v>
      </c>
      <c r="BX1745" s="1">
        <v>0</v>
      </c>
      <c r="BY1745" s="1" t="s">
        <v>104</v>
      </c>
      <c r="BZ1745" s="1" t="s">
        <v>104</v>
      </c>
      <c r="CA1745" s="1" t="s">
        <v>104</v>
      </c>
      <c r="CB1745" s="1" t="s">
        <v>104</v>
      </c>
      <c r="CC1745" s="1" t="s">
        <v>104</v>
      </c>
      <c r="CD1745" s="1" t="s">
        <v>104</v>
      </c>
      <c r="CE1745" s="1" t="s">
        <v>104</v>
      </c>
      <c r="CF1745" s="1" t="s">
        <v>104</v>
      </c>
      <c r="CG1745" s="1" t="s">
        <v>104</v>
      </c>
      <c r="CH1745" s="1">
        <v>5</v>
      </c>
      <c r="CJ1745" s="1">
        <v>0</v>
      </c>
      <c r="CK1745" s="1">
        <v>0</v>
      </c>
      <c r="CL1745" s="1">
        <v>0</v>
      </c>
      <c r="CM1745" s="1" t="s">
        <v>104</v>
      </c>
    </row>
    <row r="1746" spans="1:91" ht="14.25" customHeight="1" x14ac:dyDescent="0.3">
      <c r="A1746" s="1" t="s">
        <v>9485</v>
      </c>
      <c r="B1746" s="1" t="s">
        <v>172</v>
      </c>
      <c r="E1746" s="1" t="s">
        <v>9486</v>
      </c>
      <c r="F1746" s="1" t="s">
        <v>95</v>
      </c>
      <c r="G1746" s="1" t="s">
        <v>116</v>
      </c>
      <c r="H1746" s="1">
        <v>0</v>
      </c>
      <c r="I1746" s="1" t="s">
        <v>2272</v>
      </c>
      <c r="J1746" s="1" t="s">
        <v>9487</v>
      </c>
      <c r="M1746" s="1" t="s">
        <v>5923</v>
      </c>
      <c r="N1746" s="1">
        <v>0</v>
      </c>
      <c r="O1746" s="1">
        <v>0</v>
      </c>
      <c r="P1746" s="1" t="s">
        <v>100</v>
      </c>
      <c r="Q1746" s="1" t="s">
        <v>101</v>
      </c>
      <c r="R1746" s="1" t="s">
        <v>9488</v>
      </c>
      <c r="S1746" s="1" t="s">
        <v>9479</v>
      </c>
      <c r="T1746" s="1">
        <v>1</v>
      </c>
      <c r="U1746" s="1">
        <v>1</v>
      </c>
      <c r="V1746" s="1">
        <v>0</v>
      </c>
      <c r="W1746" s="1">
        <v>0</v>
      </c>
      <c r="X1746" s="1">
        <v>0</v>
      </c>
      <c r="Y1746" s="1">
        <v>1</v>
      </c>
      <c r="Z1746" s="1">
        <v>1</v>
      </c>
      <c r="AA1746" s="1">
        <v>1</v>
      </c>
      <c r="AB1746" s="1">
        <v>1</v>
      </c>
      <c r="AC1746" s="1">
        <v>1</v>
      </c>
      <c r="AD1746" s="1">
        <v>1</v>
      </c>
      <c r="AE1746" s="1" t="s">
        <v>104</v>
      </c>
      <c r="AF1746" s="1" t="s">
        <v>104</v>
      </c>
      <c r="AG1746" s="1" t="s">
        <v>104</v>
      </c>
      <c r="AH1746" s="1" t="s">
        <v>104</v>
      </c>
      <c r="AI1746" s="1" t="s">
        <v>104</v>
      </c>
      <c r="AJ1746" s="1">
        <v>1</v>
      </c>
      <c r="AK1746" s="1" t="s">
        <v>104</v>
      </c>
      <c r="AL1746" s="1" t="s">
        <v>104</v>
      </c>
      <c r="AM1746" s="1" t="s">
        <v>104</v>
      </c>
      <c r="AO1746" s="1">
        <v>1</v>
      </c>
      <c r="AR1746" s="1">
        <v>0</v>
      </c>
      <c r="AS1746" s="1">
        <v>0</v>
      </c>
      <c r="AT1746" s="1">
        <v>0</v>
      </c>
      <c r="AU1746" s="1">
        <v>0</v>
      </c>
      <c r="AV1746" s="1">
        <v>0</v>
      </c>
      <c r="AW1746" s="1">
        <v>0</v>
      </c>
      <c r="AX1746" s="1">
        <v>0</v>
      </c>
      <c r="AY1746" s="1">
        <v>0</v>
      </c>
      <c r="AZ1746" s="1">
        <v>0</v>
      </c>
      <c r="BA1746" s="1">
        <v>0</v>
      </c>
      <c r="BB1746" s="1">
        <v>0</v>
      </c>
      <c r="BC1746" s="1">
        <v>0</v>
      </c>
      <c r="BD1746" s="1">
        <v>0</v>
      </c>
      <c r="BE1746" s="1">
        <v>0</v>
      </c>
      <c r="BF1746" s="1">
        <v>0</v>
      </c>
      <c r="BG1746" s="1">
        <v>0</v>
      </c>
      <c r="BH1746" s="1">
        <v>0</v>
      </c>
      <c r="BI1746" s="1">
        <v>0</v>
      </c>
      <c r="BJ1746" s="1">
        <v>0</v>
      </c>
      <c r="BK1746" s="1">
        <v>0</v>
      </c>
      <c r="BL1746" s="1">
        <v>0</v>
      </c>
      <c r="BM1746" s="1">
        <v>0</v>
      </c>
      <c r="BN1746" s="1">
        <v>0</v>
      </c>
      <c r="BO1746" s="1">
        <v>0</v>
      </c>
      <c r="BP1746" s="1">
        <v>0</v>
      </c>
      <c r="BQ1746" s="1" t="s">
        <v>104</v>
      </c>
      <c r="BR1746" s="1">
        <v>1844</v>
      </c>
      <c r="BS1746" s="1" t="s">
        <v>104</v>
      </c>
      <c r="BX1746" s="1">
        <v>0</v>
      </c>
      <c r="BY1746" s="1" t="s">
        <v>104</v>
      </c>
      <c r="BZ1746" s="1" t="s">
        <v>104</v>
      </c>
      <c r="CA1746" s="1" t="s">
        <v>104</v>
      </c>
      <c r="CB1746" s="1" t="s">
        <v>104</v>
      </c>
      <c r="CC1746" s="1" t="s">
        <v>104</v>
      </c>
      <c r="CD1746" s="1" t="s">
        <v>104</v>
      </c>
      <c r="CE1746" s="1" t="s">
        <v>104</v>
      </c>
      <c r="CF1746" s="1" t="s">
        <v>104</v>
      </c>
      <c r="CG1746" s="1" t="s">
        <v>104</v>
      </c>
      <c r="CH1746" s="1">
        <v>1</v>
      </c>
      <c r="CJ1746" s="1">
        <v>0</v>
      </c>
      <c r="CK1746" s="1">
        <v>0</v>
      </c>
      <c r="CL1746" s="1">
        <v>0</v>
      </c>
      <c r="CM1746" s="1" t="s">
        <v>104</v>
      </c>
    </row>
    <row r="1747" spans="1:91" ht="14.25" customHeight="1" x14ac:dyDescent="0.3">
      <c r="A1747" s="1" t="s">
        <v>9489</v>
      </c>
      <c r="B1747" s="1" t="s">
        <v>162</v>
      </c>
      <c r="E1747" s="1" t="s">
        <v>9490</v>
      </c>
      <c r="F1747" s="1" t="s">
        <v>95</v>
      </c>
      <c r="G1747" s="1" t="s">
        <v>116</v>
      </c>
      <c r="H1747" s="1">
        <v>0</v>
      </c>
      <c r="I1747" s="1" t="s">
        <v>109</v>
      </c>
      <c r="L1747" s="1" t="s">
        <v>9491</v>
      </c>
      <c r="M1747" s="1" t="s">
        <v>119</v>
      </c>
      <c r="N1747" s="1">
        <v>0</v>
      </c>
      <c r="O1747" s="1">
        <v>0</v>
      </c>
      <c r="P1747" s="1" t="s">
        <v>183</v>
      </c>
      <c r="Q1747" s="1" t="s">
        <v>101</v>
      </c>
      <c r="R1747" s="1" t="s">
        <v>9492</v>
      </c>
      <c r="S1747" s="1" t="s">
        <v>9479</v>
      </c>
      <c r="T1747" s="1">
        <v>1</v>
      </c>
      <c r="U1747" s="1">
        <v>1</v>
      </c>
      <c r="V1747" s="1">
        <v>0</v>
      </c>
      <c r="W1747" s="1">
        <v>0</v>
      </c>
      <c r="X1747" s="1">
        <v>0</v>
      </c>
      <c r="Y1747" s="1">
        <v>3</v>
      </c>
      <c r="Z1747" s="1">
        <v>3</v>
      </c>
      <c r="AA1747" s="1">
        <v>3</v>
      </c>
      <c r="AB1747" s="1" t="s">
        <v>104</v>
      </c>
      <c r="AC1747" s="1" t="s">
        <v>104</v>
      </c>
      <c r="AD1747" s="1">
        <v>3</v>
      </c>
      <c r="AE1747" s="1" t="s">
        <v>104</v>
      </c>
      <c r="AF1747" s="1" t="s">
        <v>104</v>
      </c>
      <c r="AG1747" s="1" t="s">
        <v>104</v>
      </c>
      <c r="AH1747" s="1">
        <v>3</v>
      </c>
      <c r="AI1747" s="1" t="s">
        <v>104</v>
      </c>
      <c r="AJ1747" s="1">
        <v>3</v>
      </c>
      <c r="AK1747" s="1" t="s">
        <v>104</v>
      </c>
      <c r="AL1747" s="1">
        <v>3</v>
      </c>
      <c r="AM1747" s="1" t="s">
        <v>104</v>
      </c>
      <c r="AO1747" s="1">
        <v>3</v>
      </c>
      <c r="AR1747" s="1">
        <v>0</v>
      </c>
      <c r="AS1747" s="1">
        <v>0</v>
      </c>
      <c r="AT1747" s="1">
        <v>0</v>
      </c>
      <c r="AU1747" s="1">
        <v>0</v>
      </c>
      <c r="AV1747" s="1">
        <v>0</v>
      </c>
      <c r="AW1747" s="1">
        <v>0</v>
      </c>
      <c r="AX1747" s="1">
        <v>0</v>
      </c>
      <c r="AY1747" s="1">
        <v>0</v>
      </c>
      <c r="AZ1747" s="1">
        <v>0</v>
      </c>
      <c r="BA1747" s="1">
        <v>0</v>
      </c>
      <c r="BB1747" s="1">
        <v>0</v>
      </c>
      <c r="BC1747" s="1">
        <v>0</v>
      </c>
      <c r="BD1747" s="1">
        <v>0</v>
      </c>
      <c r="BE1747" s="1">
        <v>0</v>
      </c>
      <c r="BF1747" s="1">
        <v>0</v>
      </c>
      <c r="BG1747" s="1">
        <v>0</v>
      </c>
      <c r="BH1747" s="1">
        <v>0</v>
      </c>
      <c r="BI1747" s="1">
        <v>0</v>
      </c>
      <c r="BJ1747" s="1">
        <v>0</v>
      </c>
      <c r="BK1747" s="1">
        <v>0</v>
      </c>
      <c r="BL1747" s="1">
        <v>0</v>
      </c>
      <c r="BM1747" s="1">
        <v>0</v>
      </c>
      <c r="BN1747" s="1">
        <v>0</v>
      </c>
      <c r="BO1747" s="1">
        <v>0</v>
      </c>
      <c r="BP1747" s="1">
        <v>0</v>
      </c>
      <c r="BQ1747" s="1" t="s">
        <v>104</v>
      </c>
      <c r="BR1747" s="1">
        <v>1845</v>
      </c>
      <c r="BS1747" s="1" t="s">
        <v>104</v>
      </c>
      <c r="BX1747" s="1">
        <v>0</v>
      </c>
      <c r="BY1747" s="1" t="s">
        <v>104</v>
      </c>
      <c r="BZ1747" s="1" t="s">
        <v>104</v>
      </c>
      <c r="CA1747" s="1" t="s">
        <v>104</v>
      </c>
      <c r="CB1747" s="1" t="s">
        <v>104</v>
      </c>
      <c r="CC1747" s="1" t="s">
        <v>104</v>
      </c>
      <c r="CD1747" s="1" t="s">
        <v>104</v>
      </c>
      <c r="CE1747" s="1" t="s">
        <v>104</v>
      </c>
      <c r="CF1747" s="1" t="s">
        <v>104</v>
      </c>
      <c r="CG1747" s="1" t="s">
        <v>104</v>
      </c>
      <c r="CH1747" s="1" t="s">
        <v>104</v>
      </c>
      <c r="CJ1747" s="1">
        <v>0</v>
      </c>
      <c r="CK1747" s="1">
        <v>0</v>
      </c>
      <c r="CL1747" s="1">
        <v>0</v>
      </c>
      <c r="CM1747" s="1" t="s">
        <v>104</v>
      </c>
    </row>
    <row r="1748" spans="1:91" ht="14.25" customHeight="1" x14ac:dyDescent="0.3">
      <c r="A1748" s="1" t="s">
        <v>9493</v>
      </c>
      <c r="B1748" s="1" t="s">
        <v>162</v>
      </c>
      <c r="E1748" s="1" t="s">
        <v>9494</v>
      </c>
      <c r="F1748" s="1" t="s">
        <v>95</v>
      </c>
      <c r="G1748" s="1" t="s">
        <v>116</v>
      </c>
      <c r="H1748" s="1">
        <v>0</v>
      </c>
      <c r="I1748" s="1" t="s">
        <v>109</v>
      </c>
      <c r="J1748" s="1" t="s">
        <v>9495</v>
      </c>
      <c r="L1748" s="1" t="s">
        <v>9495</v>
      </c>
      <c r="M1748" s="1" t="s">
        <v>119</v>
      </c>
      <c r="N1748" s="1">
        <v>0</v>
      </c>
      <c r="O1748" s="1">
        <v>0</v>
      </c>
      <c r="P1748" s="1" t="s">
        <v>183</v>
      </c>
      <c r="Q1748" s="1" t="s">
        <v>101</v>
      </c>
      <c r="R1748" s="1" t="s">
        <v>9496</v>
      </c>
      <c r="S1748" s="1" t="s">
        <v>9479</v>
      </c>
      <c r="T1748" s="1">
        <v>1</v>
      </c>
      <c r="U1748" s="1">
        <v>1</v>
      </c>
      <c r="V1748" s="1">
        <v>0</v>
      </c>
      <c r="W1748" s="1">
        <v>0</v>
      </c>
      <c r="X1748" s="1">
        <v>0</v>
      </c>
      <c r="Y1748" s="1">
        <v>6</v>
      </c>
      <c r="Z1748" s="1">
        <v>6</v>
      </c>
      <c r="AA1748" s="1">
        <v>6</v>
      </c>
      <c r="AB1748" s="1" t="s">
        <v>104</v>
      </c>
      <c r="AC1748" s="1" t="s">
        <v>104</v>
      </c>
      <c r="AD1748" s="1">
        <v>6</v>
      </c>
      <c r="AE1748" s="1" t="s">
        <v>104</v>
      </c>
      <c r="AF1748" s="1" t="s">
        <v>104</v>
      </c>
      <c r="AG1748" s="1" t="s">
        <v>104</v>
      </c>
      <c r="AH1748" s="1">
        <v>6</v>
      </c>
      <c r="AI1748" s="1" t="s">
        <v>104</v>
      </c>
      <c r="AJ1748" s="1">
        <v>6</v>
      </c>
      <c r="AK1748" s="1" t="s">
        <v>104</v>
      </c>
      <c r="AL1748" s="1">
        <v>6</v>
      </c>
      <c r="AM1748" s="1" t="s">
        <v>104</v>
      </c>
      <c r="AO1748" s="1">
        <v>6</v>
      </c>
      <c r="AR1748" s="1">
        <v>0</v>
      </c>
      <c r="AS1748" s="1">
        <v>0</v>
      </c>
      <c r="AT1748" s="1">
        <v>0</v>
      </c>
      <c r="AU1748" s="1">
        <v>0</v>
      </c>
      <c r="AV1748" s="1">
        <v>0</v>
      </c>
      <c r="AW1748" s="1">
        <v>0</v>
      </c>
      <c r="AX1748" s="1">
        <v>0</v>
      </c>
      <c r="AY1748" s="1">
        <v>0</v>
      </c>
      <c r="AZ1748" s="1">
        <v>0</v>
      </c>
      <c r="BA1748" s="1">
        <v>0</v>
      </c>
      <c r="BB1748" s="1">
        <v>0</v>
      </c>
      <c r="BC1748" s="1">
        <v>0</v>
      </c>
      <c r="BD1748" s="1">
        <v>0</v>
      </c>
      <c r="BE1748" s="1">
        <v>0</v>
      </c>
      <c r="BF1748" s="1">
        <v>0</v>
      </c>
      <c r="BG1748" s="1">
        <v>0</v>
      </c>
      <c r="BH1748" s="1">
        <v>0</v>
      </c>
      <c r="BI1748" s="1">
        <v>0</v>
      </c>
      <c r="BJ1748" s="1">
        <v>0</v>
      </c>
      <c r="BK1748" s="1">
        <v>0</v>
      </c>
      <c r="BL1748" s="1">
        <v>0</v>
      </c>
      <c r="BM1748" s="1">
        <v>0</v>
      </c>
      <c r="BN1748" s="1">
        <v>0</v>
      </c>
      <c r="BO1748" s="1">
        <v>0</v>
      </c>
      <c r="BP1748" s="1">
        <v>0</v>
      </c>
      <c r="BQ1748" s="1" t="s">
        <v>104</v>
      </c>
      <c r="BR1748" s="1">
        <v>1846</v>
      </c>
      <c r="BS1748" s="1" t="s">
        <v>104</v>
      </c>
      <c r="BX1748" s="1">
        <v>0</v>
      </c>
      <c r="BY1748" s="1" t="s">
        <v>104</v>
      </c>
      <c r="BZ1748" s="1" t="s">
        <v>104</v>
      </c>
      <c r="CA1748" s="1" t="s">
        <v>104</v>
      </c>
      <c r="CB1748" s="1" t="s">
        <v>104</v>
      </c>
      <c r="CC1748" s="1" t="s">
        <v>104</v>
      </c>
      <c r="CD1748" s="1" t="s">
        <v>104</v>
      </c>
      <c r="CE1748" s="1" t="s">
        <v>104</v>
      </c>
      <c r="CF1748" s="1" t="s">
        <v>104</v>
      </c>
      <c r="CG1748" s="1" t="s">
        <v>104</v>
      </c>
      <c r="CH1748" s="1" t="s">
        <v>104</v>
      </c>
      <c r="CJ1748" s="1">
        <v>0</v>
      </c>
      <c r="CK1748" s="1">
        <v>0</v>
      </c>
      <c r="CL1748" s="1">
        <v>0</v>
      </c>
      <c r="CM1748" s="1" t="s">
        <v>104</v>
      </c>
    </row>
    <row r="1749" spans="1:91" ht="14.25" customHeight="1" x14ac:dyDescent="0.3">
      <c r="A1749" s="1" t="s">
        <v>9497</v>
      </c>
      <c r="B1749" s="1" t="s">
        <v>137</v>
      </c>
      <c r="E1749" s="1" t="s">
        <v>9498</v>
      </c>
      <c r="F1749" s="1" t="s">
        <v>95</v>
      </c>
      <c r="G1749" s="1" t="s">
        <v>116</v>
      </c>
      <c r="H1749" s="1">
        <v>0</v>
      </c>
      <c r="I1749" s="1" t="s">
        <v>109</v>
      </c>
      <c r="L1749" s="1" t="s">
        <v>9499</v>
      </c>
      <c r="M1749" s="1" t="s">
        <v>4992</v>
      </c>
      <c r="N1749" s="1">
        <v>1</v>
      </c>
      <c r="O1749" s="1">
        <v>0</v>
      </c>
      <c r="P1749" s="1" t="s">
        <v>211</v>
      </c>
      <c r="Q1749" s="1" t="s">
        <v>184</v>
      </c>
      <c r="R1749" s="1" t="s">
        <v>9500</v>
      </c>
      <c r="S1749" s="1" t="s">
        <v>9479</v>
      </c>
      <c r="T1749" s="1">
        <v>1</v>
      </c>
      <c r="U1749" s="1">
        <v>1</v>
      </c>
      <c r="V1749" s="1">
        <v>0</v>
      </c>
      <c r="W1749" s="1">
        <v>0</v>
      </c>
      <c r="X1749" s="1">
        <v>0</v>
      </c>
      <c r="Y1749" s="1">
        <v>7</v>
      </c>
      <c r="Z1749" s="1">
        <v>7</v>
      </c>
      <c r="AA1749" s="1">
        <v>7</v>
      </c>
      <c r="AB1749" s="1">
        <v>7</v>
      </c>
      <c r="AC1749" s="1" t="s">
        <v>104</v>
      </c>
      <c r="AD1749" s="1" t="s">
        <v>104</v>
      </c>
      <c r="AE1749" s="1" t="s">
        <v>104</v>
      </c>
      <c r="AF1749" s="1" t="s">
        <v>104</v>
      </c>
      <c r="AG1749" s="1" t="s">
        <v>104</v>
      </c>
      <c r="AH1749" s="1">
        <v>7</v>
      </c>
      <c r="AI1749" s="1" t="s">
        <v>104</v>
      </c>
      <c r="AJ1749" s="1">
        <v>7</v>
      </c>
      <c r="AK1749" s="1" t="s">
        <v>104</v>
      </c>
      <c r="AL1749" s="1" t="s">
        <v>104</v>
      </c>
      <c r="AM1749" s="1" t="s">
        <v>104</v>
      </c>
      <c r="AO1749" s="1">
        <v>7</v>
      </c>
      <c r="AR1749" s="1">
        <v>0</v>
      </c>
      <c r="AS1749" s="1">
        <v>0</v>
      </c>
      <c r="AT1749" s="1">
        <v>0</v>
      </c>
      <c r="AU1749" s="1">
        <v>0</v>
      </c>
      <c r="AV1749" s="1">
        <v>0</v>
      </c>
      <c r="AW1749" s="1">
        <v>0</v>
      </c>
      <c r="AX1749" s="1">
        <v>0</v>
      </c>
      <c r="AY1749" s="1">
        <v>0</v>
      </c>
      <c r="AZ1749" s="1">
        <v>0</v>
      </c>
      <c r="BA1749" s="1">
        <v>0</v>
      </c>
      <c r="BB1749" s="1">
        <v>0</v>
      </c>
      <c r="BC1749" s="1">
        <v>0</v>
      </c>
      <c r="BD1749" s="1">
        <v>0</v>
      </c>
      <c r="BE1749" s="1">
        <v>0</v>
      </c>
      <c r="BF1749" s="1">
        <v>0</v>
      </c>
      <c r="BG1749" s="1">
        <v>0</v>
      </c>
      <c r="BH1749" s="1">
        <v>0</v>
      </c>
      <c r="BI1749" s="1">
        <v>0</v>
      </c>
      <c r="BJ1749" s="1">
        <v>0</v>
      </c>
      <c r="BK1749" s="1">
        <v>0</v>
      </c>
      <c r="BL1749" s="1">
        <v>0</v>
      </c>
      <c r="BM1749" s="1">
        <v>0</v>
      </c>
      <c r="BN1749" s="1">
        <v>0</v>
      </c>
      <c r="BO1749" s="1">
        <v>0</v>
      </c>
      <c r="BP1749" s="1">
        <v>0</v>
      </c>
      <c r="BQ1749" s="1" t="s">
        <v>104</v>
      </c>
      <c r="BR1749" s="1">
        <v>1847</v>
      </c>
      <c r="BS1749" s="1" t="s">
        <v>104</v>
      </c>
      <c r="BX1749" s="1">
        <v>0</v>
      </c>
      <c r="BY1749" s="1" t="s">
        <v>104</v>
      </c>
      <c r="BZ1749" s="1" t="s">
        <v>104</v>
      </c>
      <c r="CA1749" s="1" t="s">
        <v>104</v>
      </c>
      <c r="CB1749" s="1" t="s">
        <v>104</v>
      </c>
      <c r="CC1749" s="1" t="s">
        <v>104</v>
      </c>
      <c r="CD1749" s="1" t="s">
        <v>104</v>
      </c>
      <c r="CE1749" s="1" t="s">
        <v>104</v>
      </c>
      <c r="CF1749" s="1" t="s">
        <v>104</v>
      </c>
      <c r="CG1749" s="1" t="s">
        <v>104</v>
      </c>
      <c r="CH1749" s="1" t="s">
        <v>104</v>
      </c>
      <c r="CJ1749" s="1">
        <v>0</v>
      </c>
      <c r="CK1749" s="1">
        <v>0</v>
      </c>
      <c r="CL1749" s="1">
        <v>0</v>
      </c>
      <c r="CM1749" s="1" t="s">
        <v>104</v>
      </c>
    </row>
    <row r="1750" spans="1:91" ht="14.25" customHeight="1" x14ac:dyDescent="0.3">
      <c r="A1750" s="1" t="s">
        <v>9501</v>
      </c>
      <c r="B1750" s="1" t="s">
        <v>92</v>
      </c>
      <c r="C1750" s="1" t="s">
        <v>93</v>
      </c>
      <c r="E1750" s="1" t="s">
        <v>9502</v>
      </c>
      <c r="F1750" s="1" t="s">
        <v>95</v>
      </c>
      <c r="G1750" s="1" t="s">
        <v>116</v>
      </c>
      <c r="H1750" s="1">
        <v>0</v>
      </c>
      <c r="I1750" s="1" t="s">
        <v>109</v>
      </c>
      <c r="K1750" s="1" t="s">
        <v>7129</v>
      </c>
      <c r="M1750" s="1" t="s">
        <v>119</v>
      </c>
      <c r="N1750" s="1">
        <v>0</v>
      </c>
      <c r="O1750" s="1">
        <v>0</v>
      </c>
      <c r="P1750" s="1" t="s">
        <v>7252</v>
      </c>
      <c r="Q1750" s="1" t="s">
        <v>101</v>
      </c>
      <c r="R1750" s="1" t="s">
        <v>9503</v>
      </c>
      <c r="S1750" s="1" t="s">
        <v>9479</v>
      </c>
      <c r="T1750" s="1">
        <v>1</v>
      </c>
      <c r="U1750" s="1">
        <v>1</v>
      </c>
      <c r="V1750" s="1">
        <v>0</v>
      </c>
      <c r="W1750" s="1">
        <v>0</v>
      </c>
      <c r="X1750" s="1">
        <v>0</v>
      </c>
      <c r="Y1750" s="1">
        <v>3</v>
      </c>
      <c r="Z1750" s="1">
        <v>3</v>
      </c>
      <c r="AA1750" s="1">
        <v>3</v>
      </c>
      <c r="AB1750" s="1">
        <v>4</v>
      </c>
      <c r="AC1750" s="1" t="s">
        <v>104</v>
      </c>
      <c r="AD1750" s="1" t="s">
        <v>104</v>
      </c>
      <c r="AE1750" s="1" t="s">
        <v>104</v>
      </c>
      <c r="AF1750" s="1" t="s">
        <v>104</v>
      </c>
      <c r="AG1750" s="1">
        <v>3</v>
      </c>
      <c r="AH1750" s="1">
        <v>3</v>
      </c>
      <c r="AI1750" s="1" t="s">
        <v>104</v>
      </c>
      <c r="AJ1750" s="1">
        <v>3</v>
      </c>
      <c r="AK1750" s="1" t="s">
        <v>104</v>
      </c>
      <c r="AL1750" s="1">
        <v>3</v>
      </c>
      <c r="AM1750" s="1" t="s">
        <v>104</v>
      </c>
      <c r="AO1750" s="1">
        <v>3</v>
      </c>
      <c r="AR1750" s="1">
        <v>0</v>
      </c>
      <c r="AS1750" s="1">
        <v>0</v>
      </c>
      <c r="AT1750" s="1">
        <v>0</v>
      </c>
      <c r="AU1750" s="1">
        <v>0</v>
      </c>
      <c r="AV1750" s="1">
        <v>0</v>
      </c>
      <c r="AW1750" s="1">
        <v>0</v>
      </c>
      <c r="AX1750" s="1">
        <v>0</v>
      </c>
      <c r="AY1750" s="1">
        <v>0</v>
      </c>
      <c r="AZ1750" s="1">
        <v>0</v>
      </c>
      <c r="BA1750" s="1">
        <v>0</v>
      </c>
      <c r="BB1750" s="1">
        <v>0</v>
      </c>
      <c r="BC1750" s="1">
        <v>0</v>
      </c>
      <c r="BD1750" s="1">
        <v>0</v>
      </c>
      <c r="BE1750" s="1">
        <v>0</v>
      </c>
      <c r="BF1750" s="1">
        <v>0</v>
      </c>
      <c r="BG1750" s="1">
        <v>0</v>
      </c>
      <c r="BH1750" s="1">
        <v>0</v>
      </c>
      <c r="BI1750" s="1">
        <v>0</v>
      </c>
      <c r="BJ1750" s="1">
        <v>0</v>
      </c>
      <c r="BK1750" s="1">
        <v>0</v>
      </c>
      <c r="BL1750" s="1">
        <v>0</v>
      </c>
      <c r="BM1750" s="1">
        <v>0</v>
      </c>
      <c r="BN1750" s="1">
        <v>0</v>
      </c>
      <c r="BO1750" s="1">
        <v>0</v>
      </c>
      <c r="BP1750" s="1">
        <v>0</v>
      </c>
      <c r="BQ1750" s="1" t="s">
        <v>104</v>
      </c>
      <c r="BR1750" s="1">
        <v>1848</v>
      </c>
      <c r="BS1750" s="1" t="s">
        <v>104</v>
      </c>
      <c r="BX1750" s="1">
        <v>0</v>
      </c>
      <c r="BY1750" s="1" t="s">
        <v>104</v>
      </c>
      <c r="BZ1750" s="1" t="s">
        <v>104</v>
      </c>
      <c r="CA1750" s="1" t="s">
        <v>104</v>
      </c>
      <c r="CB1750" s="1" t="s">
        <v>104</v>
      </c>
      <c r="CC1750" s="1" t="s">
        <v>104</v>
      </c>
      <c r="CD1750" s="1" t="s">
        <v>104</v>
      </c>
      <c r="CE1750" s="1" t="s">
        <v>104</v>
      </c>
      <c r="CF1750" s="1" t="s">
        <v>104</v>
      </c>
      <c r="CG1750" s="1" t="s">
        <v>104</v>
      </c>
      <c r="CH1750" s="1">
        <v>4</v>
      </c>
      <c r="CJ1750" s="1">
        <v>0</v>
      </c>
      <c r="CK1750" s="1">
        <v>0</v>
      </c>
      <c r="CL1750" s="1">
        <v>0</v>
      </c>
      <c r="CM1750" s="1">
        <v>3</v>
      </c>
    </row>
    <row r="1751" spans="1:91" ht="14.25" customHeight="1" x14ac:dyDescent="0.3">
      <c r="A1751" s="1" t="s">
        <v>9504</v>
      </c>
      <c r="B1751" s="1" t="s">
        <v>162</v>
      </c>
      <c r="E1751" s="1" t="s">
        <v>7269</v>
      </c>
      <c r="F1751" s="1" t="s">
        <v>95</v>
      </c>
      <c r="G1751" s="1" t="s">
        <v>9505</v>
      </c>
      <c r="H1751" s="1">
        <v>0</v>
      </c>
      <c r="I1751" s="1" t="s">
        <v>128</v>
      </c>
      <c r="J1751" s="1" t="s">
        <v>2375</v>
      </c>
      <c r="M1751" s="1" t="s">
        <v>5923</v>
      </c>
      <c r="N1751" s="1">
        <v>0</v>
      </c>
      <c r="O1751" s="1">
        <v>0</v>
      </c>
      <c r="P1751" s="1" t="s">
        <v>9506</v>
      </c>
      <c r="Q1751" s="1" t="s">
        <v>2376</v>
      </c>
      <c r="R1751" s="1" t="s">
        <v>9507</v>
      </c>
      <c r="S1751" s="1" t="s">
        <v>9479</v>
      </c>
      <c r="T1751" s="1">
        <v>1</v>
      </c>
      <c r="U1751" s="1">
        <v>1</v>
      </c>
      <c r="V1751" s="1">
        <v>1</v>
      </c>
      <c r="W1751" s="1">
        <v>0</v>
      </c>
      <c r="X1751" s="1">
        <v>1</v>
      </c>
      <c r="Y1751" s="1">
        <v>4</v>
      </c>
      <c r="Z1751" s="1">
        <v>4</v>
      </c>
      <c r="AA1751" s="1">
        <v>4</v>
      </c>
      <c r="AB1751" s="1" t="s">
        <v>104</v>
      </c>
      <c r="AC1751" s="1" t="s">
        <v>104</v>
      </c>
      <c r="AD1751" s="1" t="s">
        <v>104</v>
      </c>
      <c r="AE1751" s="1" t="s">
        <v>104</v>
      </c>
      <c r="AF1751" s="1" t="s">
        <v>104</v>
      </c>
      <c r="AG1751" s="1" t="s">
        <v>104</v>
      </c>
      <c r="AH1751" s="1" t="s">
        <v>104</v>
      </c>
      <c r="AI1751" s="1" t="s">
        <v>104</v>
      </c>
      <c r="AJ1751" s="1">
        <v>4</v>
      </c>
      <c r="AK1751" s="1" t="s">
        <v>104</v>
      </c>
      <c r="AL1751" s="1" t="s">
        <v>104</v>
      </c>
      <c r="AM1751" s="1" t="s">
        <v>104</v>
      </c>
      <c r="AO1751" s="1">
        <v>4</v>
      </c>
      <c r="AR1751" s="1">
        <v>0</v>
      </c>
      <c r="AS1751" s="1">
        <v>0</v>
      </c>
      <c r="AT1751" s="1">
        <v>0</v>
      </c>
      <c r="AU1751" s="1">
        <v>0</v>
      </c>
      <c r="AV1751" s="1">
        <v>0</v>
      </c>
      <c r="AW1751" s="1">
        <v>0</v>
      </c>
      <c r="AX1751" s="1">
        <v>0</v>
      </c>
      <c r="AY1751" s="1">
        <v>0</v>
      </c>
      <c r="AZ1751" s="1">
        <v>0</v>
      </c>
      <c r="BA1751" s="1">
        <v>0</v>
      </c>
      <c r="BB1751" s="1">
        <v>0</v>
      </c>
      <c r="BC1751" s="1">
        <v>0</v>
      </c>
      <c r="BD1751" s="1">
        <v>0</v>
      </c>
      <c r="BE1751" s="1">
        <v>0</v>
      </c>
      <c r="BF1751" s="1">
        <v>0</v>
      </c>
      <c r="BG1751" s="1">
        <v>0</v>
      </c>
      <c r="BH1751" s="1">
        <v>0</v>
      </c>
      <c r="BI1751" s="1">
        <v>0</v>
      </c>
      <c r="BJ1751" s="1">
        <v>0</v>
      </c>
      <c r="BK1751" s="1">
        <v>0</v>
      </c>
      <c r="BL1751" s="1">
        <v>0</v>
      </c>
      <c r="BM1751" s="1">
        <v>0</v>
      </c>
      <c r="BN1751" s="1">
        <v>0</v>
      </c>
      <c r="BO1751" s="1">
        <v>0</v>
      </c>
      <c r="BP1751" s="1">
        <v>0</v>
      </c>
      <c r="BQ1751" s="1" t="s">
        <v>104</v>
      </c>
      <c r="BR1751" s="1">
        <v>1849</v>
      </c>
      <c r="BS1751" s="1" t="s">
        <v>104</v>
      </c>
      <c r="BX1751" s="1">
        <v>0</v>
      </c>
      <c r="BY1751" s="1" t="s">
        <v>104</v>
      </c>
      <c r="BZ1751" s="1" t="s">
        <v>104</v>
      </c>
      <c r="CA1751" s="1" t="s">
        <v>104</v>
      </c>
      <c r="CB1751" s="1" t="s">
        <v>104</v>
      </c>
      <c r="CC1751" s="1" t="s">
        <v>104</v>
      </c>
      <c r="CD1751" s="1" t="s">
        <v>104</v>
      </c>
      <c r="CE1751" s="1" t="s">
        <v>104</v>
      </c>
      <c r="CF1751" s="1" t="s">
        <v>104</v>
      </c>
      <c r="CG1751" s="1" t="s">
        <v>104</v>
      </c>
      <c r="CH1751" s="1" t="s">
        <v>104</v>
      </c>
      <c r="CJ1751" s="1">
        <v>0</v>
      </c>
      <c r="CK1751" s="1">
        <v>0</v>
      </c>
      <c r="CL1751" s="1">
        <v>0</v>
      </c>
      <c r="CM1751" s="1" t="s">
        <v>104</v>
      </c>
    </row>
    <row r="1752" spans="1:91" ht="14.25" customHeight="1" x14ac:dyDescent="0.3">
      <c r="A1752" s="1" t="s">
        <v>9508</v>
      </c>
      <c r="B1752" s="1" t="s">
        <v>137</v>
      </c>
      <c r="E1752" s="1" t="s">
        <v>7269</v>
      </c>
      <c r="F1752" s="1" t="s">
        <v>95</v>
      </c>
      <c r="G1752" s="1" t="s">
        <v>116</v>
      </c>
      <c r="H1752" s="1">
        <v>0</v>
      </c>
      <c r="I1752" s="1" t="s">
        <v>256</v>
      </c>
      <c r="L1752" s="1" t="s">
        <v>9509</v>
      </c>
      <c r="M1752" s="1" t="s">
        <v>119</v>
      </c>
      <c r="N1752" s="1">
        <v>0</v>
      </c>
      <c r="O1752" s="1">
        <v>0</v>
      </c>
      <c r="P1752" s="1" t="s">
        <v>148</v>
      </c>
      <c r="Q1752" s="1" t="s">
        <v>149</v>
      </c>
      <c r="R1752" s="1" t="s">
        <v>9510</v>
      </c>
      <c r="S1752" s="1" t="s">
        <v>9479</v>
      </c>
      <c r="T1752" s="1">
        <v>1</v>
      </c>
      <c r="U1752" s="1">
        <v>1</v>
      </c>
      <c r="V1752" s="1">
        <v>0</v>
      </c>
      <c r="W1752" s="1">
        <v>0</v>
      </c>
      <c r="X1752" s="1">
        <v>0</v>
      </c>
      <c r="Y1752" s="1">
        <v>4</v>
      </c>
      <c r="Z1752" s="1">
        <v>4</v>
      </c>
      <c r="AA1752" s="1">
        <v>4</v>
      </c>
      <c r="AB1752" s="1" t="s">
        <v>104</v>
      </c>
      <c r="AC1752" s="1" t="s">
        <v>104</v>
      </c>
      <c r="AD1752" s="1" t="s">
        <v>104</v>
      </c>
      <c r="AE1752" s="1" t="s">
        <v>104</v>
      </c>
      <c r="AF1752" s="1" t="s">
        <v>104</v>
      </c>
      <c r="AG1752" s="1" t="s">
        <v>104</v>
      </c>
      <c r="AH1752" s="1" t="s">
        <v>104</v>
      </c>
      <c r="AI1752" s="1" t="s">
        <v>104</v>
      </c>
      <c r="AJ1752" s="1">
        <v>4</v>
      </c>
      <c r="AK1752" s="1" t="s">
        <v>104</v>
      </c>
      <c r="AL1752" s="1" t="s">
        <v>104</v>
      </c>
      <c r="AM1752" s="1" t="s">
        <v>104</v>
      </c>
      <c r="AO1752" s="1">
        <v>4</v>
      </c>
      <c r="AR1752" s="1">
        <v>0</v>
      </c>
      <c r="AS1752" s="1">
        <v>0</v>
      </c>
      <c r="AT1752" s="1">
        <v>0</v>
      </c>
      <c r="AU1752" s="1">
        <v>0</v>
      </c>
      <c r="AV1752" s="1">
        <v>0</v>
      </c>
      <c r="AW1752" s="1">
        <v>0</v>
      </c>
      <c r="AX1752" s="1">
        <v>0</v>
      </c>
      <c r="AY1752" s="1">
        <v>0</v>
      </c>
      <c r="AZ1752" s="1">
        <v>0</v>
      </c>
      <c r="BA1752" s="1">
        <v>0</v>
      </c>
      <c r="BB1752" s="1">
        <v>0</v>
      </c>
      <c r="BC1752" s="1">
        <v>0</v>
      </c>
      <c r="BD1752" s="1">
        <v>0</v>
      </c>
      <c r="BE1752" s="1">
        <v>0</v>
      </c>
      <c r="BF1752" s="1">
        <v>0</v>
      </c>
      <c r="BG1752" s="1">
        <v>0</v>
      </c>
      <c r="BH1752" s="1">
        <v>0</v>
      </c>
      <c r="BI1752" s="1">
        <v>0</v>
      </c>
      <c r="BJ1752" s="1">
        <v>0</v>
      </c>
      <c r="BK1752" s="1">
        <v>0</v>
      </c>
      <c r="BL1752" s="1">
        <v>0</v>
      </c>
      <c r="BM1752" s="1">
        <v>0</v>
      </c>
      <c r="BN1752" s="1">
        <v>0</v>
      </c>
      <c r="BO1752" s="1">
        <v>0</v>
      </c>
      <c r="BP1752" s="1">
        <v>0</v>
      </c>
      <c r="BQ1752" s="1" t="s">
        <v>104</v>
      </c>
      <c r="BR1752" s="1">
        <v>1850</v>
      </c>
      <c r="BS1752" s="1" t="s">
        <v>104</v>
      </c>
      <c r="BX1752" s="1">
        <v>0</v>
      </c>
      <c r="BY1752" s="1" t="s">
        <v>104</v>
      </c>
      <c r="BZ1752" s="1" t="s">
        <v>104</v>
      </c>
      <c r="CA1752" s="1" t="s">
        <v>104</v>
      </c>
      <c r="CB1752" s="1" t="s">
        <v>104</v>
      </c>
      <c r="CC1752" s="1" t="s">
        <v>104</v>
      </c>
      <c r="CD1752" s="1" t="s">
        <v>104</v>
      </c>
      <c r="CE1752" s="1" t="s">
        <v>104</v>
      </c>
      <c r="CF1752" s="1" t="s">
        <v>104</v>
      </c>
      <c r="CG1752" s="1" t="s">
        <v>104</v>
      </c>
      <c r="CH1752" s="1" t="s">
        <v>104</v>
      </c>
      <c r="CJ1752" s="1">
        <v>0</v>
      </c>
      <c r="CK1752" s="1">
        <v>0</v>
      </c>
      <c r="CL1752" s="1">
        <v>0</v>
      </c>
      <c r="CM1752" s="1" t="s">
        <v>104</v>
      </c>
    </row>
    <row r="1753" spans="1:91" ht="14.25" customHeight="1" x14ac:dyDescent="0.3">
      <c r="A1753" s="1" t="s">
        <v>9511</v>
      </c>
      <c r="B1753" s="1" t="s">
        <v>137</v>
      </c>
      <c r="E1753" s="1" t="s">
        <v>4226</v>
      </c>
      <c r="F1753" s="1" t="s">
        <v>95</v>
      </c>
      <c r="G1753" s="1" t="s">
        <v>9512</v>
      </c>
      <c r="H1753" s="1">
        <v>1</v>
      </c>
      <c r="I1753" s="1" t="s">
        <v>128</v>
      </c>
      <c r="L1753" s="1" t="s">
        <v>9513</v>
      </c>
      <c r="M1753" s="1" t="s">
        <v>119</v>
      </c>
      <c r="N1753" s="1">
        <v>0</v>
      </c>
      <c r="O1753" s="1">
        <v>0</v>
      </c>
      <c r="P1753" s="1" t="s">
        <v>211</v>
      </c>
      <c r="Q1753" s="1" t="s">
        <v>184</v>
      </c>
      <c r="R1753" s="1" t="s">
        <v>9514</v>
      </c>
      <c r="S1753" s="1" t="s">
        <v>9479</v>
      </c>
      <c r="T1753" s="1">
        <v>1</v>
      </c>
      <c r="U1753" s="1">
        <v>1</v>
      </c>
      <c r="V1753" s="1">
        <v>0</v>
      </c>
      <c r="W1753" s="1">
        <v>0</v>
      </c>
      <c r="X1753" s="1">
        <v>0</v>
      </c>
      <c r="Y1753" s="1">
        <v>7</v>
      </c>
      <c r="Z1753" s="1">
        <v>7</v>
      </c>
      <c r="AA1753" s="1">
        <v>7</v>
      </c>
      <c r="AB1753" s="1" t="s">
        <v>104</v>
      </c>
      <c r="AC1753" s="1" t="s">
        <v>104</v>
      </c>
      <c r="AD1753" s="1" t="s">
        <v>104</v>
      </c>
      <c r="AE1753" s="1" t="s">
        <v>104</v>
      </c>
      <c r="AF1753" s="1" t="s">
        <v>104</v>
      </c>
      <c r="AG1753" s="1" t="s">
        <v>104</v>
      </c>
      <c r="AH1753" s="1" t="s">
        <v>104</v>
      </c>
      <c r="AI1753" s="1" t="s">
        <v>104</v>
      </c>
      <c r="AJ1753" s="1">
        <v>7</v>
      </c>
      <c r="AK1753" s="1" t="s">
        <v>104</v>
      </c>
      <c r="AL1753" s="1" t="s">
        <v>104</v>
      </c>
      <c r="AM1753" s="1" t="s">
        <v>104</v>
      </c>
      <c r="AO1753" s="1">
        <v>7</v>
      </c>
      <c r="AR1753" s="1">
        <v>0</v>
      </c>
      <c r="AS1753" s="1">
        <v>0</v>
      </c>
      <c r="AT1753" s="1">
        <v>0</v>
      </c>
      <c r="AU1753" s="1">
        <v>0</v>
      </c>
      <c r="AV1753" s="1">
        <v>0</v>
      </c>
      <c r="AW1753" s="1">
        <v>0</v>
      </c>
      <c r="AX1753" s="1">
        <v>0</v>
      </c>
      <c r="AY1753" s="1">
        <v>0</v>
      </c>
      <c r="AZ1753" s="1">
        <v>0</v>
      </c>
      <c r="BA1753" s="1">
        <v>0</v>
      </c>
      <c r="BB1753" s="1">
        <v>0</v>
      </c>
      <c r="BC1753" s="1">
        <v>0</v>
      </c>
      <c r="BD1753" s="1">
        <v>0</v>
      </c>
      <c r="BE1753" s="1">
        <v>0</v>
      </c>
      <c r="BF1753" s="1">
        <v>0</v>
      </c>
      <c r="BG1753" s="1">
        <v>0</v>
      </c>
      <c r="BH1753" s="1">
        <v>0</v>
      </c>
      <c r="BI1753" s="1">
        <v>0</v>
      </c>
      <c r="BJ1753" s="1">
        <v>0</v>
      </c>
      <c r="BK1753" s="1">
        <v>0</v>
      </c>
      <c r="BL1753" s="1">
        <v>0</v>
      </c>
      <c r="BM1753" s="1">
        <v>0</v>
      </c>
      <c r="BN1753" s="1">
        <v>0</v>
      </c>
      <c r="BO1753" s="1">
        <v>0</v>
      </c>
      <c r="BP1753" s="1">
        <v>0</v>
      </c>
      <c r="BQ1753" s="1" t="s">
        <v>104</v>
      </c>
      <c r="BR1753" s="1">
        <v>1851</v>
      </c>
      <c r="BS1753" s="1">
        <v>10000</v>
      </c>
      <c r="BX1753" s="1">
        <v>0</v>
      </c>
      <c r="BY1753" s="1" t="s">
        <v>104</v>
      </c>
      <c r="BZ1753" s="1" t="s">
        <v>104</v>
      </c>
      <c r="CA1753" s="1" t="s">
        <v>104</v>
      </c>
      <c r="CB1753" s="1" t="s">
        <v>104</v>
      </c>
      <c r="CC1753" s="1" t="s">
        <v>104</v>
      </c>
      <c r="CD1753" s="1" t="s">
        <v>104</v>
      </c>
      <c r="CE1753" s="1" t="s">
        <v>104</v>
      </c>
      <c r="CF1753" s="1" t="s">
        <v>104</v>
      </c>
      <c r="CG1753" s="1" t="s">
        <v>104</v>
      </c>
      <c r="CH1753" s="1" t="s">
        <v>104</v>
      </c>
      <c r="CJ1753" s="1">
        <v>0</v>
      </c>
      <c r="CK1753" s="1">
        <v>0</v>
      </c>
      <c r="CL1753" s="1">
        <v>0</v>
      </c>
      <c r="CM1753" s="1" t="s">
        <v>104</v>
      </c>
    </row>
    <row r="1754" spans="1:91" ht="14.25" customHeight="1" x14ac:dyDescent="0.3">
      <c r="A1754" s="1" t="s">
        <v>9515</v>
      </c>
      <c r="B1754" s="1" t="s">
        <v>162</v>
      </c>
      <c r="E1754" s="1" t="s">
        <v>8732</v>
      </c>
      <c r="F1754" s="1" t="s">
        <v>95</v>
      </c>
      <c r="G1754" s="1" t="s">
        <v>9516</v>
      </c>
      <c r="H1754" s="1">
        <v>0</v>
      </c>
      <c r="I1754" s="1" t="s">
        <v>128</v>
      </c>
      <c r="L1754" s="1" t="s">
        <v>374</v>
      </c>
      <c r="M1754" s="1" t="s">
        <v>4641</v>
      </c>
      <c r="N1754" s="1">
        <v>1</v>
      </c>
      <c r="O1754" s="1">
        <v>0</v>
      </c>
      <c r="P1754" s="1" t="s">
        <v>9506</v>
      </c>
      <c r="Q1754" s="1" t="s">
        <v>9517</v>
      </c>
      <c r="R1754" s="1" t="s">
        <v>9518</v>
      </c>
      <c r="S1754" s="1" t="s">
        <v>9479</v>
      </c>
      <c r="T1754" s="1">
        <v>1</v>
      </c>
      <c r="U1754" s="1">
        <v>1</v>
      </c>
      <c r="V1754" s="1">
        <v>1</v>
      </c>
      <c r="W1754" s="1">
        <v>0</v>
      </c>
      <c r="X1754" s="1">
        <v>1</v>
      </c>
      <c r="Y1754" s="1">
        <v>2</v>
      </c>
      <c r="Z1754" s="1">
        <v>2</v>
      </c>
      <c r="AA1754" s="1">
        <v>2</v>
      </c>
      <c r="AB1754" s="1" t="s">
        <v>104</v>
      </c>
      <c r="AC1754" s="1" t="s">
        <v>104</v>
      </c>
      <c r="AD1754" s="1" t="s">
        <v>104</v>
      </c>
      <c r="AE1754" s="1" t="s">
        <v>104</v>
      </c>
      <c r="AF1754" s="1" t="s">
        <v>104</v>
      </c>
      <c r="AG1754" s="1" t="s">
        <v>104</v>
      </c>
      <c r="AH1754" s="1" t="s">
        <v>104</v>
      </c>
      <c r="AI1754" s="1" t="s">
        <v>104</v>
      </c>
      <c r="AJ1754" s="1">
        <v>2</v>
      </c>
      <c r="AK1754" s="1" t="s">
        <v>104</v>
      </c>
      <c r="AL1754" s="1" t="s">
        <v>104</v>
      </c>
      <c r="AM1754" s="1" t="s">
        <v>104</v>
      </c>
      <c r="AO1754" s="1">
        <v>2</v>
      </c>
      <c r="AR1754" s="1">
        <v>0</v>
      </c>
      <c r="AS1754" s="1">
        <v>0</v>
      </c>
      <c r="AT1754" s="1">
        <v>0</v>
      </c>
      <c r="AU1754" s="1">
        <v>0</v>
      </c>
      <c r="AV1754" s="1">
        <v>0</v>
      </c>
      <c r="AW1754" s="1">
        <v>0</v>
      </c>
      <c r="AX1754" s="1">
        <v>0</v>
      </c>
      <c r="AY1754" s="1">
        <v>0</v>
      </c>
      <c r="AZ1754" s="1">
        <v>0</v>
      </c>
      <c r="BA1754" s="1">
        <v>0</v>
      </c>
      <c r="BB1754" s="1">
        <v>0</v>
      </c>
      <c r="BC1754" s="1">
        <v>0</v>
      </c>
      <c r="BD1754" s="1">
        <v>0</v>
      </c>
      <c r="BE1754" s="1">
        <v>0</v>
      </c>
      <c r="BF1754" s="1">
        <v>0</v>
      </c>
      <c r="BG1754" s="1">
        <v>0</v>
      </c>
      <c r="BH1754" s="1">
        <v>0</v>
      </c>
      <c r="BI1754" s="1">
        <v>0</v>
      </c>
      <c r="BJ1754" s="1">
        <v>0</v>
      </c>
      <c r="BK1754" s="1">
        <v>0</v>
      </c>
      <c r="BL1754" s="1">
        <v>0</v>
      </c>
      <c r="BM1754" s="1">
        <v>0</v>
      </c>
      <c r="BN1754" s="1">
        <v>0</v>
      </c>
      <c r="BO1754" s="1">
        <v>0</v>
      </c>
      <c r="BP1754" s="1">
        <v>0</v>
      </c>
      <c r="BQ1754" s="1" t="s">
        <v>104</v>
      </c>
      <c r="BR1754" s="1">
        <v>1852</v>
      </c>
      <c r="BS1754" s="1" t="s">
        <v>104</v>
      </c>
      <c r="BX1754" s="1">
        <v>0</v>
      </c>
      <c r="BY1754" s="1" t="s">
        <v>104</v>
      </c>
      <c r="BZ1754" s="1" t="s">
        <v>104</v>
      </c>
      <c r="CA1754" s="1" t="s">
        <v>104</v>
      </c>
      <c r="CB1754" s="1" t="s">
        <v>104</v>
      </c>
      <c r="CC1754" s="1" t="s">
        <v>104</v>
      </c>
      <c r="CD1754" s="1" t="s">
        <v>104</v>
      </c>
      <c r="CE1754" s="1" t="s">
        <v>104</v>
      </c>
      <c r="CF1754" s="1" t="s">
        <v>104</v>
      </c>
      <c r="CG1754" s="1" t="s">
        <v>104</v>
      </c>
      <c r="CH1754" s="1" t="s">
        <v>104</v>
      </c>
      <c r="CJ1754" s="1">
        <v>0</v>
      </c>
      <c r="CK1754" s="1">
        <v>0</v>
      </c>
      <c r="CL1754" s="1">
        <v>0</v>
      </c>
      <c r="CM1754" s="1" t="s">
        <v>104</v>
      </c>
    </row>
    <row r="1755" spans="1:91" ht="14.25" customHeight="1" x14ac:dyDescent="0.3">
      <c r="A1755" s="1" t="s">
        <v>9519</v>
      </c>
      <c r="B1755" s="1" t="s">
        <v>162</v>
      </c>
      <c r="E1755" s="1" t="s">
        <v>9520</v>
      </c>
      <c r="F1755" s="1" t="s">
        <v>95</v>
      </c>
      <c r="G1755" s="1" t="s">
        <v>9521</v>
      </c>
      <c r="H1755" s="1">
        <v>0</v>
      </c>
      <c r="I1755" s="1" t="s">
        <v>109</v>
      </c>
      <c r="L1755" s="1" t="s">
        <v>9522</v>
      </c>
      <c r="M1755" s="1" t="s">
        <v>111</v>
      </c>
      <c r="N1755" s="1">
        <v>0</v>
      </c>
      <c r="O1755" s="1">
        <v>0</v>
      </c>
      <c r="P1755" s="1" t="s">
        <v>4401</v>
      </c>
      <c r="Q1755" s="1" t="s">
        <v>472</v>
      </c>
      <c r="R1755" s="1" t="s">
        <v>9523</v>
      </c>
      <c r="S1755" s="1" t="s">
        <v>9479</v>
      </c>
      <c r="T1755" s="1">
        <v>1</v>
      </c>
      <c r="U1755" s="1">
        <v>1</v>
      </c>
      <c r="V1755" s="1">
        <v>0</v>
      </c>
      <c r="W1755" s="1">
        <v>0</v>
      </c>
      <c r="X1755" s="1">
        <v>1</v>
      </c>
      <c r="Y1755" s="1">
        <v>4</v>
      </c>
      <c r="Z1755" s="1">
        <v>4</v>
      </c>
      <c r="AA1755" s="1" t="s">
        <v>104</v>
      </c>
      <c r="AB1755" s="1">
        <v>4</v>
      </c>
      <c r="AC1755" s="1" t="s">
        <v>104</v>
      </c>
      <c r="AD1755" s="1" t="s">
        <v>104</v>
      </c>
      <c r="AE1755" s="1" t="s">
        <v>104</v>
      </c>
      <c r="AF1755" s="1" t="s">
        <v>104</v>
      </c>
      <c r="AG1755" s="1" t="s">
        <v>104</v>
      </c>
      <c r="AH1755" s="1" t="s">
        <v>104</v>
      </c>
      <c r="AI1755" s="1" t="s">
        <v>104</v>
      </c>
      <c r="AJ1755" s="1" t="s">
        <v>104</v>
      </c>
      <c r="AK1755" s="1" t="s">
        <v>104</v>
      </c>
      <c r="AL1755" s="1" t="s">
        <v>104</v>
      </c>
      <c r="AM1755" s="1" t="s">
        <v>104</v>
      </c>
      <c r="AO1755" s="1">
        <v>4</v>
      </c>
      <c r="AR1755" s="1">
        <v>0</v>
      </c>
      <c r="AS1755" s="1">
        <v>0</v>
      </c>
      <c r="AT1755" s="1">
        <v>0</v>
      </c>
      <c r="AU1755" s="1">
        <v>0</v>
      </c>
      <c r="AV1755" s="1">
        <v>0</v>
      </c>
      <c r="AW1755" s="1">
        <v>0</v>
      </c>
      <c r="AX1755" s="1">
        <v>0</v>
      </c>
      <c r="AY1755" s="1">
        <v>0</v>
      </c>
      <c r="AZ1755" s="1">
        <v>0</v>
      </c>
      <c r="BA1755" s="1">
        <v>0</v>
      </c>
      <c r="BB1755" s="1">
        <v>0</v>
      </c>
      <c r="BC1755" s="1">
        <v>0</v>
      </c>
      <c r="BD1755" s="1">
        <v>0</v>
      </c>
      <c r="BE1755" s="1">
        <v>0</v>
      </c>
      <c r="BF1755" s="1">
        <v>0</v>
      </c>
      <c r="BG1755" s="1">
        <v>0</v>
      </c>
      <c r="BH1755" s="1">
        <v>0</v>
      </c>
      <c r="BI1755" s="1">
        <v>0</v>
      </c>
      <c r="BJ1755" s="1">
        <v>0</v>
      </c>
      <c r="BK1755" s="1">
        <v>0</v>
      </c>
      <c r="BL1755" s="1">
        <v>0</v>
      </c>
      <c r="BM1755" s="1">
        <v>0</v>
      </c>
      <c r="BN1755" s="1">
        <v>0</v>
      </c>
      <c r="BO1755" s="1">
        <v>0</v>
      </c>
      <c r="BP1755" s="1">
        <v>0</v>
      </c>
      <c r="BQ1755" s="1" t="s">
        <v>104</v>
      </c>
      <c r="BR1755" s="1">
        <v>1853</v>
      </c>
      <c r="BS1755" s="1" t="s">
        <v>104</v>
      </c>
      <c r="BX1755" s="1">
        <v>0</v>
      </c>
      <c r="BY1755" s="1" t="s">
        <v>104</v>
      </c>
      <c r="BZ1755" s="1" t="s">
        <v>104</v>
      </c>
      <c r="CA1755" s="1" t="s">
        <v>104</v>
      </c>
      <c r="CB1755" s="1" t="s">
        <v>104</v>
      </c>
      <c r="CC1755" s="1" t="s">
        <v>104</v>
      </c>
      <c r="CD1755" s="1" t="s">
        <v>104</v>
      </c>
      <c r="CE1755" s="1" t="s">
        <v>104</v>
      </c>
      <c r="CF1755" s="1" t="s">
        <v>104</v>
      </c>
      <c r="CG1755" s="1" t="s">
        <v>104</v>
      </c>
      <c r="CH1755" s="1">
        <v>4</v>
      </c>
      <c r="CJ1755" s="1">
        <v>0</v>
      </c>
      <c r="CK1755" s="1">
        <v>0</v>
      </c>
      <c r="CL1755" s="1">
        <v>0</v>
      </c>
      <c r="CM1755" s="1" t="s">
        <v>104</v>
      </c>
    </row>
    <row r="1756" spans="1:91" ht="14.25" customHeight="1" x14ac:dyDescent="0.3">
      <c r="A1756" s="1" t="s">
        <v>9524</v>
      </c>
      <c r="B1756" s="1" t="s">
        <v>434</v>
      </c>
      <c r="E1756" s="1" t="s">
        <v>9525</v>
      </c>
      <c r="F1756" s="1" t="s">
        <v>255</v>
      </c>
      <c r="G1756" s="1" t="s">
        <v>9526</v>
      </c>
      <c r="H1756" s="1">
        <v>1</v>
      </c>
      <c r="I1756" s="1" t="s">
        <v>128</v>
      </c>
      <c r="L1756" s="1" t="s">
        <v>983</v>
      </c>
      <c r="M1756" s="1" t="s">
        <v>119</v>
      </c>
      <c r="N1756" s="1">
        <v>0</v>
      </c>
      <c r="O1756" s="1">
        <v>0</v>
      </c>
      <c r="P1756" s="1" t="s">
        <v>4401</v>
      </c>
      <c r="Q1756" s="1" t="s">
        <v>472</v>
      </c>
      <c r="R1756" s="1" t="s">
        <v>9527</v>
      </c>
      <c r="S1756" s="1" t="s">
        <v>9479</v>
      </c>
      <c r="T1756" s="1">
        <v>1</v>
      </c>
      <c r="U1756" s="1">
        <v>1</v>
      </c>
      <c r="V1756" s="1">
        <v>1</v>
      </c>
      <c r="W1756" s="1">
        <v>0</v>
      </c>
      <c r="X1756" s="1">
        <v>0</v>
      </c>
      <c r="Y1756" s="1">
        <v>3</v>
      </c>
      <c r="Z1756" s="1">
        <v>3</v>
      </c>
      <c r="AA1756" s="1">
        <v>3</v>
      </c>
      <c r="AB1756" s="1" t="s">
        <v>104</v>
      </c>
      <c r="AC1756" s="1" t="s">
        <v>104</v>
      </c>
      <c r="AD1756" s="1">
        <v>2</v>
      </c>
      <c r="AE1756" s="1" t="s">
        <v>104</v>
      </c>
      <c r="AF1756" s="1" t="s">
        <v>104</v>
      </c>
      <c r="AG1756" s="1" t="s">
        <v>104</v>
      </c>
      <c r="AH1756" s="1" t="s">
        <v>104</v>
      </c>
      <c r="AI1756" s="1" t="s">
        <v>104</v>
      </c>
      <c r="AJ1756" s="1">
        <v>3</v>
      </c>
      <c r="AK1756" s="1" t="s">
        <v>104</v>
      </c>
      <c r="AL1756" s="1">
        <v>3</v>
      </c>
      <c r="AM1756" s="1" t="s">
        <v>104</v>
      </c>
      <c r="AO1756" s="1">
        <v>3</v>
      </c>
      <c r="AR1756" s="1">
        <v>0</v>
      </c>
      <c r="AS1756" s="1">
        <v>0</v>
      </c>
      <c r="AT1756" s="1">
        <v>0</v>
      </c>
      <c r="AU1756" s="1">
        <v>0</v>
      </c>
      <c r="AV1756" s="1">
        <v>0</v>
      </c>
      <c r="AW1756" s="1">
        <v>0</v>
      </c>
      <c r="AX1756" s="1">
        <v>0</v>
      </c>
      <c r="AY1756" s="1">
        <v>0</v>
      </c>
      <c r="AZ1756" s="1">
        <v>0</v>
      </c>
      <c r="BA1756" s="1">
        <v>0</v>
      </c>
      <c r="BB1756" s="1">
        <v>0</v>
      </c>
      <c r="BC1756" s="1">
        <v>0</v>
      </c>
      <c r="BD1756" s="1">
        <v>0</v>
      </c>
      <c r="BE1756" s="1">
        <v>0</v>
      </c>
      <c r="BF1756" s="1">
        <v>0</v>
      </c>
      <c r="BG1756" s="1">
        <v>0</v>
      </c>
      <c r="BH1756" s="1">
        <v>0</v>
      </c>
      <c r="BI1756" s="1">
        <v>0</v>
      </c>
      <c r="BJ1756" s="1">
        <v>0</v>
      </c>
      <c r="BK1756" s="1">
        <v>0</v>
      </c>
      <c r="BL1756" s="1">
        <v>0</v>
      </c>
      <c r="BM1756" s="1">
        <v>0</v>
      </c>
      <c r="BN1756" s="1">
        <v>0</v>
      </c>
      <c r="BO1756" s="1">
        <v>0</v>
      </c>
      <c r="BP1756" s="1">
        <v>0</v>
      </c>
      <c r="BQ1756" s="1" t="s">
        <v>104</v>
      </c>
      <c r="BR1756" s="1">
        <v>1854</v>
      </c>
      <c r="BS1756" s="1">
        <v>500</v>
      </c>
      <c r="BX1756" s="1">
        <v>0</v>
      </c>
      <c r="BY1756" s="1" t="s">
        <v>104</v>
      </c>
      <c r="BZ1756" s="1" t="s">
        <v>104</v>
      </c>
      <c r="CA1756" s="1" t="s">
        <v>104</v>
      </c>
      <c r="CB1756" s="1" t="s">
        <v>104</v>
      </c>
      <c r="CC1756" s="1" t="s">
        <v>104</v>
      </c>
      <c r="CD1756" s="1" t="s">
        <v>104</v>
      </c>
      <c r="CE1756" s="1" t="s">
        <v>104</v>
      </c>
      <c r="CF1756" s="1" t="s">
        <v>104</v>
      </c>
      <c r="CG1756" s="1" t="s">
        <v>104</v>
      </c>
      <c r="CH1756" s="1" t="s">
        <v>104</v>
      </c>
      <c r="CJ1756" s="1">
        <v>0</v>
      </c>
      <c r="CK1756" s="1">
        <v>0</v>
      </c>
      <c r="CL1756" s="1">
        <v>0</v>
      </c>
      <c r="CM1756" s="1" t="s">
        <v>104</v>
      </c>
    </row>
    <row r="1757" spans="1:91" ht="14.25" customHeight="1" x14ac:dyDescent="0.3">
      <c r="A1757" s="1" t="s">
        <v>9528</v>
      </c>
      <c r="B1757" s="1" t="s">
        <v>92</v>
      </c>
      <c r="C1757" s="1" t="s">
        <v>523</v>
      </c>
      <c r="E1757" s="1" t="s">
        <v>9529</v>
      </c>
      <c r="F1757" s="1" t="s">
        <v>95</v>
      </c>
      <c r="G1757" s="1" t="s">
        <v>116</v>
      </c>
      <c r="H1757" s="1">
        <v>0</v>
      </c>
      <c r="I1757" s="1" t="s">
        <v>128</v>
      </c>
      <c r="L1757" s="1" t="s">
        <v>2630</v>
      </c>
      <c r="M1757" s="1" t="s">
        <v>119</v>
      </c>
      <c r="N1757" s="1">
        <v>0</v>
      </c>
      <c r="O1757" s="1">
        <v>0</v>
      </c>
      <c r="P1757" s="1" t="s">
        <v>4401</v>
      </c>
      <c r="Q1757" s="1" t="s">
        <v>472</v>
      </c>
      <c r="R1757" s="1" t="s">
        <v>9530</v>
      </c>
      <c r="S1757" s="1" t="s">
        <v>9479</v>
      </c>
      <c r="T1757" s="1">
        <v>1</v>
      </c>
      <c r="U1757" s="1">
        <v>1</v>
      </c>
      <c r="V1757" s="1">
        <v>0</v>
      </c>
      <c r="W1757" s="1">
        <v>0</v>
      </c>
      <c r="X1757" s="1">
        <v>0</v>
      </c>
      <c r="Y1757" s="1" t="s">
        <v>104</v>
      </c>
      <c r="Z1757" s="1" t="s">
        <v>104</v>
      </c>
      <c r="AA1757" s="1">
        <v>4</v>
      </c>
      <c r="AB1757" s="1">
        <v>4</v>
      </c>
      <c r="AC1757" s="1">
        <v>4</v>
      </c>
      <c r="AD1757" s="1">
        <v>4</v>
      </c>
      <c r="AE1757" s="1">
        <v>4</v>
      </c>
      <c r="AF1757" s="1" t="s">
        <v>104</v>
      </c>
      <c r="AG1757" s="1" t="s">
        <v>104</v>
      </c>
      <c r="AH1757" s="1">
        <v>4</v>
      </c>
      <c r="AI1757" s="1">
        <v>4</v>
      </c>
      <c r="AJ1757" s="1">
        <v>4</v>
      </c>
      <c r="AK1757" s="1" t="s">
        <v>104</v>
      </c>
      <c r="AL1757" s="1" t="s">
        <v>104</v>
      </c>
      <c r="AM1757" s="1" t="s">
        <v>104</v>
      </c>
      <c r="AO1757" s="1">
        <v>4</v>
      </c>
      <c r="AR1757" s="1">
        <v>0</v>
      </c>
      <c r="AS1757" s="1">
        <v>0</v>
      </c>
      <c r="AT1757" s="1">
        <v>0</v>
      </c>
      <c r="AU1757" s="1">
        <v>0</v>
      </c>
      <c r="AV1757" s="1">
        <v>0</v>
      </c>
      <c r="AW1757" s="1">
        <v>0</v>
      </c>
      <c r="AX1757" s="1">
        <v>0</v>
      </c>
      <c r="AY1757" s="1">
        <v>0</v>
      </c>
      <c r="AZ1757" s="1">
        <v>0</v>
      </c>
      <c r="BA1757" s="1">
        <v>0</v>
      </c>
      <c r="BB1757" s="1">
        <v>0</v>
      </c>
      <c r="BC1757" s="1">
        <v>0</v>
      </c>
      <c r="BD1757" s="1">
        <v>0</v>
      </c>
      <c r="BE1757" s="1">
        <v>0</v>
      </c>
      <c r="BF1757" s="1">
        <v>0</v>
      </c>
      <c r="BG1757" s="1">
        <v>0</v>
      </c>
      <c r="BH1757" s="1">
        <v>0</v>
      </c>
      <c r="BI1757" s="1">
        <v>0</v>
      </c>
      <c r="BJ1757" s="1">
        <v>0</v>
      </c>
      <c r="BK1757" s="1">
        <v>0</v>
      </c>
      <c r="BL1757" s="1">
        <v>0</v>
      </c>
      <c r="BM1757" s="1">
        <v>0</v>
      </c>
      <c r="BN1757" s="1">
        <v>0</v>
      </c>
      <c r="BO1757" s="1">
        <v>0</v>
      </c>
      <c r="BP1757" s="1">
        <v>0</v>
      </c>
      <c r="BQ1757" s="1" t="s">
        <v>104</v>
      </c>
      <c r="BR1757" s="1">
        <v>1855</v>
      </c>
      <c r="BS1757" s="1" t="s">
        <v>104</v>
      </c>
      <c r="BX1757" s="1">
        <v>0</v>
      </c>
      <c r="BY1757" s="1" t="s">
        <v>104</v>
      </c>
      <c r="BZ1757" s="1" t="s">
        <v>104</v>
      </c>
      <c r="CA1757" s="1" t="s">
        <v>104</v>
      </c>
      <c r="CB1757" s="1" t="s">
        <v>104</v>
      </c>
      <c r="CC1757" s="1" t="s">
        <v>104</v>
      </c>
      <c r="CD1757" s="1" t="s">
        <v>104</v>
      </c>
      <c r="CE1757" s="1" t="s">
        <v>104</v>
      </c>
      <c r="CF1757" s="1" t="s">
        <v>104</v>
      </c>
      <c r="CG1757" s="1" t="s">
        <v>104</v>
      </c>
      <c r="CH1757" s="1">
        <v>4</v>
      </c>
      <c r="CJ1757" s="1">
        <v>0</v>
      </c>
      <c r="CK1757" s="1">
        <v>0</v>
      </c>
      <c r="CL1757" s="1">
        <v>0</v>
      </c>
      <c r="CM1757" s="1" t="s">
        <v>104</v>
      </c>
    </row>
    <row r="1758" spans="1:91" ht="14.25" customHeight="1" x14ac:dyDescent="0.3">
      <c r="A1758" s="1" t="s">
        <v>9531</v>
      </c>
      <c r="B1758" s="1" t="s">
        <v>92</v>
      </c>
      <c r="C1758" s="1" t="s">
        <v>523</v>
      </c>
      <c r="E1758" s="1" t="s">
        <v>9532</v>
      </c>
      <c r="F1758" s="1" t="s">
        <v>95</v>
      </c>
      <c r="G1758" s="1" t="s">
        <v>116</v>
      </c>
      <c r="H1758" s="1">
        <v>0</v>
      </c>
      <c r="I1758" s="1" t="s">
        <v>128</v>
      </c>
      <c r="L1758" s="1" t="s">
        <v>2630</v>
      </c>
      <c r="M1758" s="1" t="s">
        <v>119</v>
      </c>
      <c r="N1758" s="1">
        <v>0</v>
      </c>
      <c r="O1758" s="1">
        <v>0</v>
      </c>
      <c r="P1758" s="1" t="s">
        <v>4401</v>
      </c>
      <c r="Q1758" s="1" t="s">
        <v>472</v>
      </c>
      <c r="R1758" s="1" t="s">
        <v>9533</v>
      </c>
      <c r="S1758" s="1" t="s">
        <v>9479</v>
      </c>
      <c r="T1758" s="1">
        <v>1</v>
      </c>
      <c r="U1758" s="1">
        <v>1</v>
      </c>
      <c r="V1758" s="1">
        <v>0</v>
      </c>
      <c r="W1758" s="1">
        <v>0</v>
      </c>
      <c r="X1758" s="1">
        <v>0</v>
      </c>
      <c r="Y1758" s="1" t="s">
        <v>104</v>
      </c>
      <c r="Z1758" s="1" t="s">
        <v>104</v>
      </c>
      <c r="AA1758" s="1">
        <v>8</v>
      </c>
      <c r="AB1758" s="1">
        <v>8</v>
      </c>
      <c r="AC1758" s="1" t="s">
        <v>104</v>
      </c>
      <c r="AD1758" s="1" t="s">
        <v>104</v>
      </c>
      <c r="AE1758" s="1" t="s">
        <v>104</v>
      </c>
      <c r="AF1758" s="1" t="s">
        <v>104</v>
      </c>
      <c r="AG1758" s="1" t="s">
        <v>104</v>
      </c>
      <c r="AH1758" s="1">
        <v>8</v>
      </c>
      <c r="AI1758" s="1" t="s">
        <v>104</v>
      </c>
      <c r="AJ1758" s="1">
        <v>8</v>
      </c>
      <c r="AK1758" s="1" t="s">
        <v>104</v>
      </c>
      <c r="AL1758" s="1" t="s">
        <v>104</v>
      </c>
      <c r="AM1758" s="1" t="s">
        <v>104</v>
      </c>
      <c r="AO1758" s="1">
        <v>8</v>
      </c>
      <c r="AR1758" s="1">
        <v>0</v>
      </c>
      <c r="AS1758" s="1">
        <v>0</v>
      </c>
      <c r="AT1758" s="1">
        <v>0</v>
      </c>
      <c r="AU1758" s="1">
        <v>0</v>
      </c>
      <c r="AV1758" s="1">
        <v>0</v>
      </c>
      <c r="AW1758" s="1">
        <v>0</v>
      </c>
      <c r="AX1758" s="1">
        <v>0</v>
      </c>
      <c r="AY1758" s="1">
        <v>0</v>
      </c>
      <c r="AZ1758" s="1">
        <v>0</v>
      </c>
      <c r="BA1758" s="1">
        <v>0</v>
      </c>
      <c r="BB1758" s="1">
        <v>0</v>
      </c>
      <c r="BC1758" s="1">
        <v>0</v>
      </c>
      <c r="BD1758" s="1">
        <v>0</v>
      </c>
      <c r="BE1758" s="1">
        <v>0</v>
      </c>
      <c r="BF1758" s="1">
        <v>0</v>
      </c>
      <c r="BG1758" s="1">
        <v>0</v>
      </c>
      <c r="BH1758" s="1">
        <v>0</v>
      </c>
      <c r="BI1758" s="1">
        <v>0</v>
      </c>
      <c r="BJ1758" s="1">
        <v>0</v>
      </c>
      <c r="BK1758" s="1">
        <v>0</v>
      </c>
      <c r="BL1758" s="1">
        <v>0</v>
      </c>
      <c r="BM1758" s="1">
        <v>0</v>
      </c>
      <c r="BN1758" s="1">
        <v>0</v>
      </c>
      <c r="BO1758" s="1">
        <v>0</v>
      </c>
      <c r="BP1758" s="1">
        <v>0</v>
      </c>
      <c r="BQ1758" s="1" t="s">
        <v>104</v>
      </c>
      <c r="BR1758" s="1">
        <v>1856</v>
      </c>
      <c r="BS1758" s="1" t="s">
        <v>104</v>
      </c>
      <c r="BX1758" s="1">
        <v>0</v>
      </c>
      <c r="BY1758" s="1" t="s">
        <v>104</v>
      </c>
      <c r="BZ1758" s="1" t="s">
        <v>104</v>
      </c>
      <c r="CA1758" s="1" t="s">
        <v>104</v>
      </c>
      <c r="CB1758" s="1" t="s">
        <v>104</v>
      </c>
      <c r="CC1758" s="1" t="s">
        <v>104</v>
      </c>
      <c r="CD1758" s="1" t="s">
        <v>104</v>
      </c>
      <c r="CE1758" s="1" t="s">
        <v>104</v>
      </c>
      <c r="CF1758" s="1" t="s">
        <v>104</v>
      </c>
      <c r="CG1758" s="1" t="s">
        <v>104</v>
      </c>
      <c r="CH1758" s="1" t="s">
        <v>104</v>
      </c>
      <c r="CJ1758" s="1">
        <v>0</v>
      </c>
      <c r="CK1758" s="1">
        <v>0</v>
      </c>
      <c r="CL1758" s="1">
        <v>0</v>
      </c>
      <c r="CM1758" s="1" t="s">
        <v>104</v>
      </c>
    </row>
    <row r="1759" spans="1:91" ht="14.25" customHeight="1" x14ac:dyDescent="0.3">
      <c r="A1759" s="1" t="s">
        <v>9534</v>
      </c>
      <c r="B1759" s="1" t="s">
        <v>172</v>
      </c>
      <c r="E1759" s="1" t="s">
        <v>4347</v>
      </c>
      <c r="F1759" s="1" t="s">
        <v>95</v>
      </c>
      <c r="G1759" s="1" t="s">
        <v>9535</v>
      </c>
      <c r="H1759" s="1">
        <v>0</v>
      </c>
      <c r="I1759" s="1" t="s">
        <v>776</v>
      </c>
      <c r="L1759" s="1" t="s">
        <v>1030</v>
      </c>
      <c r="M1759" s="1" t="s">
        <v>2084</v>
      </c>
      <c r="N1759" s="1">
        <v>0</v>
      </c>
      <c r="O1759" s="1">
        <v>0</v>
      </c>
      <c r="P1759" s="1" t="s">
        <v>100</v>
      </c>
      <c r="Q1759" s="1" t="s">
        <v>101</v>
      </c>
      <c r="R1759" s="1" t="s">
        <v>9536</v>
      </c>
      <c r="S1759" s="1" t="s">
        <v>9479</v>
      </c>
      <c r="T1759" s="1">
        <v>1</v>
      </c>
      <c r="U1759" s="1">
        <v>1</v>
      </c>
      <c r="V1759" s="1">
        <v>1</v>
      </c>
      <c r="W1759" s="1">
        <v>0</v>
      </c>
      <c r="X1759" s="1">
        <v>0</v>
      </c>
      <c r="Y1759" s="1">
        <v>1</v>
      </c>
      <c r="Z1759" s="1">
        <v>1</v>
      </c>
      <c r="AA1759" s="1" t="s">
        <v>104</v>
      </c>
      <c r="AB1759" s="1" t="s">
        <v>104</v>
      </c>
      <c r="AC1759" s="1" t="s">
        <v>104</v>
      </c>
      <c r="AD1759" s="1">
        <v>1</v>
      </c>
      <c r="AE1759" s="1" t="s">
        <v>104</v>
      </c>
      <c r="AF1759" s="1" t="s">
        <v>104</v>
      </c>
      <c r="AG1759" s="1" t="s">
        <v>104</v>
      </c>
      <c r="AH1759" s="1" t="s">
        <v>104</v>
      </c>
      <c r="AI1759" s="1" t="s">
        <v>104</v>
      </c>
      <c r="AJ1759" s="1" t="s">
        <v>104</v>
      </c>
      <c r="AK1759" s="1" t="s">
        <v>104</v>
      </c>
      <c r="AL1759" s="1" t="s">
        <v>104</v>
      </c>
      <c r="AM1759" s="1" t="s">
        <v>104</v>
      </c>
      <c r="AO1759" s="1">
        <v>1</v>
      </c>
      <c r="AR1759" s="1">
        <v>0</v>
      </c>
      <c r="AS1759" s="1">
        <v>0</v>
      </c>
      <c r="AT1759" s="1">
        <v>0</v>
      </c>
      <c r="AU1759" s="1">
        <v>0</v>
      </c>
      <c r="AV1759" s="1">
        <v>0</v>
      </c>
      <c r="AW1759" s="1">
        <v>0</v>
      </c>
      <c r="AX1759" s="1">
        <v>0</v>
      </c>
      <c r="AY1759" s="1">
        <v>0</v>
      </c>
      <c r="AZ1759" s="1">
        <v>0</v>
      </c>
      <c r="BA1759" s="1">
        <v>0</v>
      </c>
      <c r="BB1759" s="1">
        <v>0</v>
      </c>
      <c r="BC1759" s="1">
        <v>0</v>
      </c>
      <c r="BD1759" s="1">
        <v>0</v>
      </c>
      <c r="BE1759" s="1">
        <v>0</v>
      </c>
      <c r="BF1759" s="1">
        <v>0</v>
      </c>
      <c r="BG1759" s="1">
        <v>0</v>
      </c>
      <c r="BH1759" s="1">
        <v>0</v>
      </c>
      <c r="BI1759" s="1">
        <v>0</v>
      </c>
      <c r="BJ1759" s="1">
        <v>0</v>
      </c>
      <c r="BK1759" s="1">
        <v>0</v>
      </c>
      <c r="BL1759" s="1">
        <v>0</v>
      </c>
      <c r="BM1759" s="1">
        <v>0</v>
      </c>
      <c r="BN1759" s="1">
        <v>0</v>
      </c>
      <c r="BO1759" s="1">
        <v>0</v>
      </c>
      <c r="BP1759" s="1">
        <v>0</v>
      </c>
      <c r="BQ1759" s="1" t="s">
        <v>104</v>
      </c>
      <c r="BR1759" s="1">
        <v>1857</v>
      </c>
      <c r="BS1759" s="1" t="s">
        <v>104</v>
      </c>
      <c r="BX1759" s="1">
        <v>0</v>
      </c>
      <c r="BY1759" s="1" t="s">
        <v>104</v>
      </c>
      <c r="BZ1759" s="1" t="s">
        <v>104</v>
      </c>
      <c r="CA1759" s="1" t="s">
        <v>104</v>
      </c>
      <c r="CB1759" s="1" t="s">
        <v>104</v>
      </c>
      <c r="CC1759" s="1" t="s">
        <v>104</v>
      </c>
      <c r="CD1759" s="1" t="s">
        <v>104</v>
      </c>
      <c r="CE1759" s="1" t="s">
        <v>104</v>
      </c>
      <c r="CF1759" s="1" t="s">
        <v>104</v>
      </c>
      <c r="CG1759" s="1" t="s">
        <v>104</v>
      </c>
      <c r="CH1759" s="1" t="s">
        <v>104</v>
      </c>
      <c r="CJ1759" s="1">
        <v>0</v>
      </c>
      <c r="CK1759" s="1">
        <v>0</v>
      </c>
      <c r="CL1759" s="1">
        <v>0</v>
      </c>
      <c r="CM1759" s="1" t="s">
        <v>104</v>
      </c>
    </row>
    <row r="1760" spans="1:91" ht="14.25" customHeight="1" x14ac:dyDescent="0.3">
      <c r="A1760" s="1" t="s">
        <v>9537</v>
      </c>
      <c r="B1760" s="1" t="s">
        <v>434</v>
      </c>
      <c r="E1760" s="1" t="s">
        <v>9538</v>
      </c>
      <c r="F1760" s="1" t="s">
        <v>95</v>
      </c>
      <c r="G1760" s="1" t="s">
        <v>9539</v>
      </c>
      <c r="H1760" s="1">
        <v>0</v>
      </c>
      <c r="I1760" s="1" t="s">
        <v>117</v>
      </c>
      <c r="K1760" s="1" t="s">
        <v>1148</v>
      </c>
      <c r="M1760" s="1" t="s">
        <v>9540</v>
      </c>
      <c r="N1760" s="1">
        <v>0</v>
      </c>
      <c r="O1760" s="1">
        <v>0</v>
      </c>
      <c r="P1760" s="1" t="s">
        <v>1080</v>
      </c>
      <c r="Q1760" s="1" t="s">
        <v>184</v>
      </c>
      <c r="R1760" s="1" t="s">
        <v>9541</v>
      </c>
      <c r="S1760" s="1" t="s">
        <v>9542</v>
      </c>
      <c r="T1760" s="1">
        <v>1</v>
      </c>
      <c r="U1760" s="1">
        <v>1</v>
      </c>
      <c r="V1760" s="1">
        <v>1</v>
      </c>
      <c r="W1760" s="1">
        <v>0</v>
      </c>
      <c r="X1760" s="1">
        <v>0</v>
      </c>
      <c r="Y1760" s="1">
        <v>6</v>
      </c>
      <c r="Z1760" s="1">
        <v>6</v>
      </c>
      <c r="AA1760" s="1" t="s">
        <v>104</v>
      </c>
      <c r="AB1760" s="1" t="s">
        <v>104</v>
      </c>
      <c r="AC1760" s="1" t="s">
        <v>104</v>
      </c>
      <c r="AD1760" s="1" t="s">
        <v>104</v>
      </c>
      <c r="AE1760" s="1" t="s">
        <v>104</v>
      </c>
      <c r="AF1760" s="1" t="s">
        <v>104</v>
      </c>
      <c r="AG1760" s="1" t="s">
        <v>104</v>
      </c>
      <c r="AH1760" s="1" t="s">
        <v>104</v>
      </c>
      <c r="AI1760" s="1" t="s">
        <v>104</v>
      </c>
      <c r="AJ1760" s="1" t="s">
        <v>104</v>
      </c>
      <c r="AK1760" s="1" t="s">
        <v>104</v>
      </c>
      <c r="AL1760" s="1">
        <v>5</v>
      </c>
      <c r="AM1760" s="1" t="s">
        <v>104</v>
      </c>
      <c r="AO1760" s="1">
        <v>6</v>
      </c>
      <c r="AR1760" s="1">
        <v>0</v>
      </c>
      <c r="AS1760" s="1">
        <v>0</v>
      </c>
      <c r="AT1760" s="1">
        <v>0</v>
      </c>
      <c r="AU1760" s="1">
        <v>0</v>
      </c>
      <c r="AV1760" s="1">
        <v>0</v>
      </c>
      <c r="AW1760" s="1">
        <v>0</v>
      </c>
      <c r="AX1760" s="1">
        <v>0</v>
      </c>
      <c r="AY1760" s="1">
        <v>0</v>
      </c>
      <c r="AZ1760" s="1">
        <v>0</v>
      </c>
      <c r="BA1760" s="1">
        <v>0</v>
      </c>
      <c r="BB1760" s="1">
        <v>0</v>
      </c>
      <c r="BC1760" s="1">
        <v>0</v>
      </c>
      <c r="BD1760" s="1">
        <v>0</v>
      </c>
      <c r="BE1760" s="1">
        <v>0</v>
      </c>
      <c r="BF1760" s="1">
        <v>0</v>
      </c>
      <c r="BG1760" s="1">
        <v>0</v>
      </c>
      <c r="BH1760" s="1">
        <v>0</v>
      </c>
      <c r="BI1760" s="1">
        <v>0</v>
      </c>
      <c r="BJ1760" s="1">
        <v>0</v>
      </c>
      <c r="BK1760" s="1">
        <v>0</v>
      </c>
      <c r="BL1760" s="1">
        <v>0</v>
      </c>
      <c r="BM1760" s="1">
        <v>0</v>
      </c>
      <c r="BN1760" s="1">
        <v>0</v>
      </c>
      <c r="BO1760" s="1">
        <v>0</v>
      </c>
      <c r="BP1760" s="1">
        <v>0</v>
      </c>
      <c r="BQ1760" s="1" t="s">
        <v>104</v>
      </c>
      <c r="BR1760" s="1">
        <v>1858</v>
      </c>
      <c r="BS1760" s="1" t="s">
        <v>104</v>
      </c>
      <c r="BX1760" s="1">
        <v>0</v>
      </c>
      <c r="BY1760" s="1" t="s">
        <v>104</v>
      </c>
      <c r="BZ1760" s="1" t="s">
        <v>104</v>
      </c>
      <c r="CA1760" s="1" t="s">
        <v>104</v>
      </c>
      <c r="CB1760" s="1" t="s">
        <v>104</v>
      </c>
      <c r="CC1760" s="1" t="s">
        <v>104</v>
      </c>
      <c r="CD1760" s="1" t="s">
        <v>104</v>
      </c>
      <c r="CE1760" s="1" t="s">
        <v>104</v>
      </c>
      <c r="CF1760" s="1" t="s">
        <v>104</v>
      </c>
      <c r="CG1760" s="1" t="s">
        <v>104</v>
      </c>
      <c r="CH1760" s="1" t="s">
        <v>104</v>
      </c>
      <c r="CJ1760" s="1">
        <v>0</v>
      </c>
      <c r="CK1760" s="1">
        <v>0</v>
      </c>
      <c r="CL1760" s="1">
        <v>0</v>
      </c>
      <c r="CM1760" s="1" t="s">
        <v>104</v>
      </c>
    </row>
    <row r="1761" spans="1:91" ht="14.25" customHeight="1" x14ac:dyDescent="0.3">
      <c r="A1761" s="1" t="s">
        <v>9543</v>
      </c>
      <c r="B1761" s="1" t="s">
        <v>137</v>
      </c>
      <c r="E1761" s="1" t="s">
        <v>8833</v>
      </c>
      <c r="F1761" s="1" t="s">
        <v>95</v>
      </c>
      <c r="G1761" s="1" t="s">
        <v>9544</v>
      </c>
      <c r="H1761" s="1">
        <v>0</v>
      </c>
      <c r="I1761" s="1" t="s">
        <v>109</v>
      </c>
      <c r="K1761" s="1" t="s">
        <v>9545</v>
      </c>
      <c r="M1761" s="1" t="s">
        <v>426</v>
      </c>
      <c r="N1761" s="1">
        <v>1</v>
      </c>
      <c r="O1761" s="1">
        <v>0</v>
      </c>
      <c r="P1761" s="1" t="s">
        <v>6053</v>
      </c>
      <c r="Q1761" s="1" t="s">
        <v>101</v>
      </c>
      <c r="R1761" s="1" t="s">
        <v>9546</v>
      </c>
      <c r="S1761" s="1" t="s">
        <v>9542</v>
      </c>
      <c r="T1761" s="1">
        <v>1</v>
      </c>
      <c r="U1761" s="1">
        <v>1</v>
      </c>
      <c r="V1761" s="1">
        <v>1</v>
      </c>
      <c r="W1761" s="1">
        <v>0</v>
      </c>
      <c r="X1761" s="1">
        <v>0</v>
      </c>
      <c r="Y1761" s="1">
        <v>5</v>
      </c>
      <c r="Z1761" s="1">
        <v>5</v>
      </c>
      <c r="AA1761" s="1" t="s">
        <v>104</v>
      </c>
      <c r="AB1761" s="1">
        <v>6</v>
      </c>
      <c r="AC1761" s="1" t="s">
        <v>104</v>
      </c>
      <c r="AD1761" s="1" t="s">
        <v>104</v>
      </c>
      <c r="AE1761" s="1" t="s">
        <v>104</v>
      </c>
      <c r="AF1761" s="1" t="s">
        <v>104</v>
      </c>
      <c r="AG1761" s="1" t="s">
        <v>104</v>
      </c>
      <c r="AH1761" s="1" t="s">
        <v>104</v>
      </c>
      <c r="AI1761" s="1" t="s">
        <v>104</v>
      </c>
      <c r="AJ1761" s="1" t="s">
        <v>104</v>
      </c>
      <c r="AK1761" s="1" t="s">
        <v>104</v>
      </c>
      <c r="AL1761" s="1" t="s">
        <v>104</v>
      </c>
      <c r="AM1761" s="1" t="s">
        <v>104</v>
      </c>
      <c r="AO1761" s="1">
        <v>5</v>
      </c>
      <c r="AR1761" s="1">
        <v>0</v>
      </c>
      <c r="AS1761" s="1">
        <v>0</v>
      </c>
      <c r="AT1761" s="1">
        <v>0</v>
      </c>
      <c r="AU1761" s="1">
        <v>0</v>
      </c>
      <c r="AV1761" s="1">
        <v>0</v>
      </c>
      <c r="AW1761" s="1">
        <v>0</v>
      </c>
      <c r="AX1761" s="1">
        <v>0</v>
      </c>
      <c r="AY1761" s="1">
        <v>0</v>
      </c>
      <c r="AZ1761" s="1">
        <v>0</v>
      </c>
      <c r="BA1761" s="1">
        <v>0</v>
      </c>
      <c r="BB1761" s="1">
        <v>0</v>
      </c>
      <c r="BC1761" s="1">
        <v>0</v>
      </c>
      <c r="BD1761" s="1">
        <v>0</v>
      </c>
      <c r="BE1761" s="1">
        <v>0</v>
      </c>
      <c r="BF1761" s="1">
        <v>0</v>
      </c>
      <c r="BG1761" s="1">
        <v>0</v>
      </c>
      <c r="BH1761" s="1">
        <v>0</v>
      </c>
      <c r="BI1761" s="1">
        <v>0</v>
      </c>
      <c r="BJ1761" s="1">
        <v>0</v>
      </c>
      <c r="BK1761" s="1">
        <v>0</v>
      </c>
      <c r="BL1761" s="1">
        <v>0</v>
      </c>
      <c r="BM1761" s="1">
        <v>0</v>
      </c>
      <c r="BN1761" s="1">
        <v>0</v>
      </c>
      <c r="BO1761" s="1">
        <v>0</v>
      </c>
      <c r="BP1761" s="1">
        <v>0</v>
      </c>
      <c r="BQ1761" s="1" t="s">
        <v>104</v>
      </c>
      <c r="BR1761" s="1">
        <v>1859</v>
      </c>
      <c r="BS1761" s="1" t="s">
        <v>104</v>
      </c>
      <c r="BX1761" s="1">
        <v>0</v>
      </c>
      <c r="BY1761" s="1" t="s">
        <v>104</v>
      </c>
      <c r="BZ1761" s="1" t="s">
        <v>104</v>
      </c>
      <c r="CA1761" s="1" t="s">
        <v>104</v>
      </c>
      <c r="CB1761" s="1" t="s">
        <v>104</v>
      </c>
      <c r="CC1761" s="1" t="s">
        <v>104</v>
      </c>
      <c r="CD1761" s="1" t="s">
        <v>104</v>
      </c>
      <c r="CE1761" s="1" t="s">
        <v>104</v>
      </c>
      <c r="CF1761" s="1" t="s">
        <v>104</v>
      </c>
      <c r="CG1761" s="1" t="s">
        <v>104</v>
      </c>
      <c r="CH1761" s="1">
        <v>6</v>
      </c>
      <c r="CJ1761" s="1">
        <v>0</v>
      </c>
      <c r="CK1761" s="1">
        <v>0</v>
      </c>
      <c r="CL1761" s="1">
        <v>0</v>
      </c>
      <c r="CM1761" s="1" t="s">
        <v>104</v>
      </c>
    </row>
    <row r="1762" spans="1:91" ht="14.25" customHeight="1" x14ac:dyDescent="0.3">
      <c r="A1762" s="1" t="s">
        <v>9547</v>
      </c>
      <c r="B1762" s="1" t="s">
        <v>507</v>
      </c>
      <c r="C1762" s="1" t="s">
        <v>1767</v>
      </c>
      <c r="E1762" s="1" t="s">
        <v>9548</v>
      </c>
      <c r="F1762" s="1" t="s">
        <v>95</v>
      </c>
      <c r="G1762" s="1" t="s">
        <v>116</v>
      </c>
      <c r="H1762" s="1">
        <v>0</v>
      </c>
      <c r="I1762" s="1" t="s">
        <v>117</v>
      </c>
      <c r="K1762" s="1" t="s">
        <v>9549</v>
      </c>
      <c r="M1762" s="1" t="s">
        <v>9550</v>
      </c>
      <c r="N1762" s="1">
        <v>0</v>
      </c>
      <c r="O1762" s="1">
        <v>0</v>
      </c>
      <c r="P1762" s="1" t="s">
        <v>9551</v>
      </c>
      <c r="Q1762" s="1" t="s">
        <v>101</v>
      </c>
      <c r="R1762" s="1" t="s">
        <v>9552</v>
      </c>
      <c r="S1762" s="1" t="s">
        <v>9542</v>
      </c>
      <c r="T1762" s="1">
        <v>1</v>
      </c>
      <c r="U1762" s="1">
        <v>1</v>
      </c>
      <c r="V1762" s="1">
        <v>0</v>
      </c>
      <c r="W1762" s="1">
        <v>0</v>
      </c>
      <c r="X1762" s="1">
        <v>0</v>
      </c>
      <c r="Y1762" s="1">
        <v>2</v>
      </c>
      <c r="Z1762" s="1">
        <v>2</v>
      </c>
      <c r="AA1762" s="1">
        <v>2</v>
      </c>
      <c r="AB1762" s="1">
        <v>2</v>
      </c>
      <c r="AC1762" s="1" t="s">
        <v>104</v>
      </c>
      <c r="AD1762" s="1">
        <v>2</v>
      </c>
      <c r="AE1762" s="1" t="s">
        <v>104</v>
      </c>
      <c r="AF1762" s="1" t="s">
        <v>104</v>
      </c>
      <c r="AG1762" s="1">
        <v>2</v>
      </c>
      <c r="AH1762" s="1">
        <v>2</v>
      </c>
      <c r="AI1762" s="1" t="s">
        <v>104</v>
      </c>
      <c r="AJ1762" s="1">
        <v>2</v>
      </c>
      <c r="AK1762" s="1" t="s">
        <v>104</v>
      </c>
      <c r="AL1762" s="1" t="s">
        <v>104</v>
      </c>
      <c r="AM1762" s="1" t="s">
        <v>104</v>
      </c>
      <c r="AO1762" s="1">
        <v>2</v>
      </c>
      <c r="AR1762" s="1">
        <v>0</v>
      </c>
      <c r="AS1762" s="1">
        <v>0</v>
      </c>
      <c r="AT1762" s="1">
        <v>0</v>
      </c>
      <c r="AU1762" s="1">
        <v>0</v>
      </c>
      <c r="AV1762" s="1">
        <v>0</v>
      </c>
      <c r="AW1762" s="1">
        <v>0</v>
      </c>
      <c r="AX1762" s="1">
        <v>0</v>
      </c>
      <c r="AY1762" s="1">
        <v>0</v>
      </c>
      <c r="AZ1762" s="1">
        <v>0</v>
      </c>
      <c r="BA1762" s="1">
        <v>0</v>
      </c>
      <c r="BB1762" s="1">
        <v>0</v>
      </c>
      <c r="BC1762" s="1">
        <v>0</v>
      </c>
      <c r="BD1762" s="1">
        <v>0</v>
      </c>
      <c r="BE1762" s="1">
        <v>0</v>
      </c>
      <c r="BF1762" s="1">
        <v>0</v>
      </c>
      <c r="BG1762" s="1">
        <v>0</v>
      </c>
      <c r="BH1762" s="1">
        <v>0</v>
      </c>
      <c r="BI1762" s="1">
        <v>0</v>
      </c>
      <c r="BJ1762" s="1">
        <v>0</v>
      </c>
      <c r="BK1762" s="1">
        <v>0</v>
      </c>
      <c r="BL1762" s="1">
        <v>0</v>
      </c>
      <c r="BM1762" s="1">
        <v>0</v>
      </c>
      <c r="BN1762" s="1">
        <v>0</v>
      </c>
      <c r="BO1762" s="1">
        <v>0</v>
      </c>
      <c r="BP1762" s="1">
        <v>0</v>
      </c>
      <c r="BQ1762" s="1" t="s">
        <v>104</v>
      </c>
      <c r="BR1762" s="1">
        <v>1860</v>
      </c>
      <c r="BS1762" s="1" t="s">
        <v>104</v>
      </c>
      <c r="BX1762" s="1">
        <v>0</v>
      </c>
      <c r="BY1762" s="1" t="s">
        <v>104</v>
      </c>
      <c r="BZ1762" s="1" t="s">
        <v>104</v>
      </c>
      <c r="CA1762" s="1" t="s">
        <v>104</v>
      </c>
      <c r="CB1762" s="1" t="s">
        <v>104</v>
      </c>
      <c r="CC1762" s="1" t="s">
        <v>104</v>
      </c>
      <c r="CD1762" s="1" t="s">
        <v>104</v>
      </c>
      <c r="CE1762" s="1" t="s">
        <v>104</v>
      </c>
      <c r="CF1762" s="1" t="s">
        <v>104</v>
      </c>
      <c r="CG1762" s="1" t="s">
        <v>104</v>
      </c>
      <c r="CH1762" s="1">
        <v>2</v>
      </c>
      <c r="CJ1762" s="1">
        <v>0</v>
      </c>
      <c r="CK1762" s="1">
        <v>0</v>
      </c>
      <c r="CL1762" s="1">
        <v>0</v>
      </c>
      <c r="CM1762" s="1">
        <v>2</v>
      </c>
    </row>
    <row r="1763" spans="1:91" ht="14.25" customHeight="1" x14ac:dyDescent="0.3">
      <c r="A1763" s="1" t="s">
        <v>9553</v>
      </c>
      <c r="B1763" s="1" t="s">
        <v>137</v>
      </c>
      <c r="E1763" s="1" t="s">
        <v>9554</v>
      </c>
      <c r="F1763" s="1" t="s">
        <v>95</v>
      </c>
      <c r="G1763" s="1" t="s">
        <v>237</v>
      </c>
      <c r="H1763" s="1">
        <v>0</v>
      </c>
      <c r="I1763" s="1" t="s">
        <v>157</v>
      </c>
      <c r="L1763" s="1" t="s">
        <v>158</v>
      </c>
      <c r="M1763" s="1" t="s">
        <v>201</v>
      </c>
      <c r="N1763" s="1">
        <v>0</v>
      </c>
      <c r="O1763" s="1">
        <v>0</v>
      </c>
      <c r="R1763" s="1" t="s">
        <v>9555</v>
      </c>
      <c r="S1763" s="1" t="s">
        <v>9542</v>
      </c>
      <c r="T1763" s="1">
        <v>1</v>
      </c>
      <c r="U1763" s="1">
        <v>0</v>
      </c>
      <c r="V1763" s="1">
        <v>0</v>
      </c>
      <c r="W1763" s="1">
        <v>0</v>
      </c>
      <c r="X1763" s="1">
        <v>0</v>
      </c>
      <c r="Y1763" s="1">
        <v>5</v>
      </c>
      <c r="Z1763" s="1">
        <v>5</v>
      </c>
      <c r="AA1763" s="1">
        <v>4</v>
      </c>
      <c r="AB1763" s="1" t="s">
        <v>104</v>
      </c>
      <c r="AC1763" s="1" t="s">
        <v>104</v>
      </c>
      <c r="AD1763" s="1" t="s">
        <v>104</v>
      </c>
      <c r="AE1763" s="1" t="s">
        <v>104</v>
      </c>
      <c r="AF1763" s="1">
        <v>5</v>
      </c>
      <c r="AG1763" s="1">
        <v>5</v>
      </c>
      <c r="AH1763" s="1" t="s">
        <v>104</v>
      </c>
      <c r="AI1763" s="1" t="s">
        <v>104</v>
      </c>
      <c r="AJ1763" s="1">
        <v>4</v>
      </c>
      <c r="AK1763" s="1" t="s">
        <v>104</v>
      </c>
      <c r="AL1763" s="1" t="s">
        <v>104</v>
      </c>
      <c r="AM1763" s="1" t="s">
        <v>104</v>
      </c>
      <c r="AO1763" s="1">
        <v>5</v>
      </c>
      <c r="AR1763" s="1">
        <v>0</v>
      </c>
      <c r="AS1763" s="1">
        <v>0</v>
      </c>
      <c r="AT1763" s="1">
        <v>0</v>
      </c>
      <c r="AU1763" s="1">
        <v>0</v>
      </c>
      <c r="AV1763" s="1">
        <v>0</v>
      </c>
      <c r="AW1763" s="1">
        <v>0</v>
      </c>
      <c r="AX1763" s="1">
        <v>0</v>
      </c>
      <c r="AY1763" s="1">
        <v>0</v>
      </c>
      <c r="AZ1763" s="1">
        <v>0</v>
      </c>
      <c r="BA1763" s="1">
        <v>0</v>
      </c>
      <c r="BB1763" s="1">
        <v>0</v>
      </c>
      <c r="BC1763" s="1">
        <v>0</v>
      </c>
      <c r="BD1763" s="1">
        <v>0</v>
      </c>
      <c r="BE1763" s="1">
        <v>0</v>
      </c>
      <c r="BF1763" s="1">
        <v>0</v>
      </c>
      <c r="BG1763" s="1">
        <v>0</v>
      </c>
      <c r="BH1763" s="1">
        <v>0</v>
      </c>
      <c r="BI1763" s="1">
        <v>0</v>
      </c>
      <c r="BJ1763" s="1">
        <v>0</v>
      </c>
      <c r="BK1763" s="1">
        <v>0</v>
      </c>
      <c r="BL1763" s="1">
        <v>0</v>
      </c>
      <c r="BM1763" s="1">
        <v>0</v>
      </c>
      <c r="BN1763" s="1">
        <v>0</v>
      </c>
      <c r="BO1763" s="1">
        <v>0</v>
      </c>
      <c r="BP1763" s="1">
        <v>0</v>
      </c>
      <c r="BQ1763" s="1" t="s">
        <v>104</v>
      </c>
      <c r="BR1763" s="1">
        <v>1861</v>
      </c>
      <c r="BS1763" s="1" t="s">
        <v>104</v>
      </c>
      <c r="BX1763" s="1">
        <v>0</v>
      </c>
      <c r="BY1763" s="1" t="s">
        <v>104</v>
      </c>
      <c r="BZ1763" s="1" t="s">
        <v>104</v>
      </c>
      <c r="CA1763" s="1" t="s">
        <v>104</v>
      </c>
      <c r="CB1763" s="1" t="s">
        <v>104</v>
      </c>
      <c r="CC1763" s="1" t="s">
        <v>104</v>
      </c>
      <c r="CD1763" s="1" t="s">
        <v>104</v>
      </c>
      <c r="CE1763" s="1" t="s">
        <v>104</v>
      </c>
      <c r="CF1763" s="1" t="s">
        <v>104</v>
      </c>
      <c r="CG1763" s="1" t="s">
        <v>104</v>
      </c>
      <c r="CH1763" s="1" t="s">
        <v>104</v>
      </c>
      <c r="CJ1763" s="1">
        <v>0</v>
      </c>
      <c r="CK1763" s="1">
        <v>0</v>
      </c>
      <c r="CL1763" s="1">
        <v>0</v>
      </c>
      <c r="CM1763" s="1">
        <v>5</v>
      </c>
    </row>
    <row r="1764" spans="1:91" ht="14.25" customHeight="1" x14ac:dyDescent="0.3">
      <c r="A1764" s="1" t="s">
        <v>9556</v>
      </c>
      <c r="B1764" s="1" t="s">
        <v>137</v>
      </c>
      <c r="E1764" s="1" t="s">
        <v>9557</v>
      </c>
      <c r="F1764" s="1" t="s">
        <v>95</v>
      </c>
      <c r="G1764" s="1" t="s">
        <v>116</v>
      </c>
      <c r="H1764" s="1">
        <v>0</v>
      </c>
      <c r="I1764" s="1" t="s">
        <v>117</v>
      </c>
      <c r="L1764" s="1" t="s">
        <v>541</v>
      </c>
      <c r="M1764" s="1" t="s">
        <v>201</v>
      </c>
      <c r="N1764" s="1">
        <v>0</v>
      </c>
      <c r="O1764" s="1">
        <v>0</v>
      </c>
      <c r="P1764" s="1" t="s">
        <v>375</v>
      </c>
      <c r="Q1764" s="1" t="s">
        <v>131</v>
      </c>
      <c r="R1764" s="1" t="s">
        <v>9558</v>
      </c>
      <c r="S1764" s="1" t="s">
        <v>9542</v>
      </c>
      <c r="T1764" s="1">
        <v>1</v>
      </c>
      <c r="U1764" s="1">
        <v>1</v>
      </c>
      <c r="V1764" s="1">
        <v>0</v>
      </c>
      <c r="W1764" s="1">
        <v>0</v>
      </c>
      <c r="X1764" s="1">
        <v>0</v>
      </c>
      <c r="Y1764" s="1">
        <v>7</v>
      </c>
      <c r="Z1764" s="1">
        <v>7</v>
      </c>
      <c r="AA1764" s="1">
        <v>6</v>
      </c>
      <c r="AB1764" s="1" t="s">
        <v>104</v>
      </c>
      <c r="AC1764" s="1" t="s">
        <v>104</v>
      </c>
      <c r="AD1764" s="1" t="s">
        <v>104</v>
      </c>
      <c r="AE1764" s="1" t="s">
        <v>104</v>
      </c>
      <c r="AF1764" s="1" t="s">
        <v>104</v>
      </c>
      <c r="AG1764" s="1">
        <v>6</v>
      </c>
      <c r="AH1764" s="1" t="s">
        <v>104</v>
      </c>
      <c r="AI1764" s="1" t="s">
        <v>104</v>
      </c>
      <c r="AJ1764" s="1">
        <v>6</v>
      </c>
      <c r="AK1764" s="1" t="s">
        <v>104</v>
      </c>
      <c r="AL1764" s="1" t="s">
        <v>104</v>
      </c>
      <c r="AM1764" s="1" t="s">
        <v>104</v>
      </c>
      <c r="AO1764" s="1">
        <v>7</v>
      </c>
      <c r="AR1764" s="1">
        <v>0</v>
      </c>
      <c r="AS1764" s="1">
        <v>0</v>
      </c>
      <c r="AT1764" s="1">
        <v>0</v>
      </c>
      <c r="AU1764" s="1">
        <v>0</v>
      </c>
      <c r="AV1764" s="1">
        <v>0</v>
      </c>
      <c r="AW1764" s="1">
        <v>0</v>
      </c>
      <c r="AX1764" s="1">
        <v>0</v>
      </c>
      <c r="AY1764" s="1">
        <v>0</v>
      </c>
      <c r="AZ1764" s="1">
        <v>0</v>
      </c>
      <c r="BA1764" s="1">
        <v>0</v>
      </c>
      <c r="BB1764" s="1">
        <v>0</v>
      </c>
      <c r="BC1764" s="1">
        <v>0</v>
      </c>
      <c r="BD1764" s="1">
        <v>0</v>
      </c>
      <c r="BE1764" s="1">
        <v>0</v>
      </c>
      <c r="BF1764" s="1">
        <v>0</v>
      </c>
      <c r="BG1764" s="1">
        <v>0</v>
      </c>
      <c r="BH1764" s="1">
        <v>0</v>
      </c>
      <c r="BI1764" s="1">
        <v>0</v>
      </c>
      <c r="BJ1764" s="1">
        <v>0</v>
      </c>
      <c r="BK1764" s="1">
        <v>0</v>
      </c>
      <c r="BL1764" s="1">
        <v>0</v>
      </c>
      <c r="BM1764" s="1">
        <v>0</v>
      </c>
      <c r="BN1764" s="1">
        <v>0</v>
      </c>
      <c r="BO1764" s="1">
        <v>0</v>
      </c>
      <c r="BP1764" s="1">
        <v>0</v>
      </c>
      <c r="BQ1764" s="1" t="s">
        <v>104</v>
      </c>
      <c r="BR1764" s="1">
        <v>1862</v>
      </c>
      <c r="BS1764" s="1" t="s">
        <v>104</v>
      </c>
      <c r="BX1764" s="1">
        <v>0</v>
      </c>
      <c r="BY1764" s="1" t="s">
        <v>104</v>
      </c>
      <c r="BZ1764" s="1" t="s">
        <v>104</v>
      </c>
      <c r="CA1764" s="1" t="s">
        <v>104</v>
      </c>
      <c r="CB1764" s="1" t="s">
        <v>104</v>
      </c>
      <c r="CC1764" s="1" t="s">
        <v>104</v>
      </c>
      <c r="CD1764" s="1" t="s">
        <v>104</v>
      </c>
      <c r="CE1764" s="1" t="s">
        <v>104</v>
      </c>
      <c r="CF1764" s="1" t="s">
        <v>104</v>
      </c>
      <c r="CG1764" s="1" t="s">
        <v>104</v>
      </c>
      <c r="CH1764" s="1" t="s">
        <v>104</v>
      </c>
      <c r="CJ1764" s="1">
        <v>0</v>
      </c>
      <c r="CK1764" s="1">
        <v>0</v>
      </c>
      <c r="CL1764" s="1">
        <v>0</v>
      </c>
      <c r="CM1764" s="1">
        <v>6</v>
      </c>
    </row>
    <row r="1765" spans="1:91" ht="14.25" customHeight="1" x14ac:dyDescent="0.3">
      <c r="A1765" s="1" t="s">
        <v>9559</v>
      </c>
      <c r="B1765" s="1" t="s">
        <v>137</v>
      </c>
      <c r="E1765" s="1" t="s">
        <v>8032</v>
      </c>
      <c r="F1765" s="1" t="s">
        <v>255</v>
      </c>
      <c r="G1765" s="1" t="s">
        <v>9560</v>
      </c>
      <c r="H1765" s="1">
        <v>1</v>
      </c>
      <c r="I1765" s="1" t="s">
        <v>117</v>
      </c>
      <c r="L1765" s="1" t="s">
        <v>9561</v>
      </c>
      <c r="M1765" s="1" t="s">
        <v>426</v>
      </c>
      <c r="N1765" s="1">
        <v>1</v>
      </c>
      <c r="O1765" s="1">
        <v>0</v>
      </c>
      <c r="P1765" s="1" t="s">
        <v>100</v>
      </c>
      <c r="Q1765" s="1" t="s">
        <v>101</v>
      </c>
      <c r="R1765" s="1" t="s">
        <v>9562</v>
      </c>
      <c r="S1765" s="1" t="s">
        <v>9542</v>
      </c>
      <c r="T1765" s="1">
        <v>1</v>
      </c>
      <c r="U1765" s="1">
        <v>1</v>
      </c>
      <c r="V1765" s="1">
        <v>0</v>
      </c>
      <c r="W1765" s="1">
        <v>0</v>
      </c>
      <c r="X1765" s="1">
        <v>0</v>
      </c>
      <c r="Y1765" s="1">
        <v>5</v>
      </c>
      <c r="Z1765" s="1">
        <v>5</v>
      </c>
      <c r="AA1765" s="1">
        <v>5</v>
      </c>
      <c r="AB1765" s="1" t="s">
        <v>104</v>
      </c>
      <c r="AC1765" s="1" t="s">
        <v>104</v>
      </c>
      <c r="AD1765" s="1" t="s">
        <v>104</v>
      </c>
      <c r="AE1765" s="1" t="s">
        <v>104</v>
      </c>
      <c r="AF1765" s="1" t="s">
        <v>104</v>
      </c>
      <c r="AG1765" s="1">
        <v>4</v>
      </c>
      <c r="AH1765" s="1">
        <v>5</v>
      </c>
      <c r="AI1765" s="1" t="s">
        <v>104</v>
      </c>
      <c r="AJ1765" s="1">
        <v>5</v>
      </c>
      <c r="AK1765" s="1" t="s">
        <v>104</v>
      </c>
      <c r="AL1765" s="1" t="s">
        <v>104</v>
      </c>
      <c r="AM1765" s="1" t="s">
        <v>104</v>
      </c>
      <c r="AO1765" s="1">
        <v>5</v>
      </c>
      <c r="AR1765" s="1">
        <v>0</v>
      </c>
      <c r="AS1765" s="1">
        <v>0</v>
      </c>
      <c r="AT1765" s="1">
        <v>0</v>
      </c>
      <c r="AU1765" s="1">
        <v>0</v>
      </c>
      <c r="AV1765" s="1">
        <v>0</v>
      </c>
      <c r="AW1765" s="1">
        <v>0</v>
      </c>
      <c r="AX1765" s="1">
        <v>0</v>
      </c>
      <c r="AY1765" s="1">
        <v>0</v>
      </c>
      <c r="AZ1765" s="1">
        <v>0</v>
      </c>
      <c r="BA1765" s="1">
        <v>0</v>
      </c>
      <c r="BB1765" s="1">
        <v>0</v>
      </c>
      <c r="BC1765" s="1">
        <v>0</v>
      </c>
      <c r="BD1765" s="1">
        <v>0</v>
      </c>
      <c r="BE1765" s="1">
        <v>0</v>
      </c>
      <c r="BF1765" s="1">
        <v>0</v>
      </c>
      <c r="BG1765" s="1">
        <v>0</v>
      </c>
      <c r="BH1765" s="1">
        <v>0</v>
      </c>
      <c r="BI1765" s="1">
        <v>0</v>
      </c>
      <c r="BJ1765" s="1">
        <v>0</v>
      </c>
      <c r="BK1765" s="1">
        <v>0</v>
      </c>
      <c r="BL1765" s="1">
        <v>0</v>
      </c>
      <c r="BM1765" s="1">
        <v>0</v>
      </c>
      <c r="BN1765" s="1">
        <v>0</v>
      </c>
      <c r="BO1765" s="1">
        <v>0</v>
      </c>
      <c r="BP1765" s="1">
        <v>0</v>
      </c>
      <c r="BQ1765" s="1" t="s">
        <v>104</v>
      </c>
      <c r="BR1765" s="1">
        <v>1863</v>
      </c>
      <c r="BS1765" s="1">
        <v>25</v>
      </c>
      <c r="BX1765" s="1">
        <v>0</v>
      </c>
      <c r="BY1765" s="1" t="s">
        <v>104</v>
      </c>
      <c r="BZ1765" s="1" t="s">
        <v>104</v>
      </c>
      <c r="CA1765" s="1" t="s">
        <v>104</v>
      </c>
      <c r="CB1765" s="1" t="s">
        <v>104</v>
      </c>
      <c r="CC1765" s="1" t="s">
        <v>104</v>
      </c>
      <c r="CD1765" s="1" t="s">
        <v>104</v>
      </c>
      <c r="CE1765" s="1" t="s">
        <v>104</v>
      </c>
      <c r="CF1765" s="1" t="s">
        <v>104</v>
      </c>
      <c r="CG1765" s="1" t="s">
        <v>104</v>
      </c>
      <c r="CH1765" s="1" t="s">
        <v>104</v>
      </c>
      <c r="CJ1765" s="1">
        <v>0</v>
      </c>
      <c r="CK1765" s="1">
        <v>0</v>
      </c>
      <c r="CL1765" s="1">
        <v>0</v>
      </c>
      <c r="CM1765" s="1">
        <v>4</v>
      </c>
    </row>
    <row r="1766" spans="1:91" ht="14.25" customHeight="1" x14ac:dyDescent="0.3">
      <c r="A1766" s="1" t="s">
        <v>9563</v>
      </c>
      <c r="B1766" s="1" t="s">
        <v>172</v>
      </c>
      <c r="E1766" s="1" t="s">
        <v>9564</v>
      </c>
      <c r="F1766" s="1" t="s">
        <v>95</v>
      </c>
      <c r="G1766" s="1" t="s">
        <v>116</v>
      </c>
      <c r="H1766" s="1">
        <v>0</v>
      </c>
      <c r="I1766" s="1" t="s">
        <v>157</v>
      </c>
      <c r="L1766" s="1" t="s">
        <v>158</v>
      </c>
      <c r="M1766" s="1" t="s">
        <v>4292</v>
      </c>
      <c r="N1766" s="1">
        <v>0</v>
      </c>
      <c r="O1766" s="1">
        <v>0</v>
      </c>
      <c r="R1766" s="1" t="s">
        <v>9565</v>
      </c>
      <c r="S1766" s="1" t="s">
        <v>9542</v>
      </c>
      <c r="T1766" s="1">
        <v>1</v>
      </c>
      <c r="U1766" s="1">
        <v>1</v>
      </c>
      <c r="V1766" s="1">
        <v>0</v>
      </c>
      <c r="W1766" s="1">
        <v>0</v>
      </c>
      <c r="X1766" s="1">
        <v>0</v>
      </c>
      <c r="Y1766" s="1">
        <v>1</v>
      </c>
      <c r="Z1766" s="1">
        <v>1</v>
      </c>
      <c r="AA1766" s="1">
        <v>1</v>
      </c>
      <c r="AB1766" s="1">
        <v>1</v>
      </c>
      <c r="AC1766" s="1">
        <v>1</v>
      </c>
      <c r="AD1766" s="1">
        <v>1</v>
      </c>
      <c r="AE1766" s="1" t="s">
        <v>104</v>
      </c>
      <c r="AF1766" s="1">
        <v>1</v>
      </c>
      <c r="AG1766" s="1" t="s">
        <v>104</v>
      </c>
      <c r="AH1766" s="1">
        <v>1</v>
      </c>
      <c r="AI1766" s="1" t="s">
        <v>104</v>
      </c>
      <c r="AJ1766" s="1">
        <v>1</v>
      </c>
      <c r="AK1766" s="1" t="s">
        <v>104</v>
      </c>
      <c r="AL1766" s="1" t="s">
        <v>104</v>
      </c>
      <c r="AM1766" s="1" t="s">
        <v>104</v>
      </c>
      <c r="AO1766" s="1">
        <v>1</v>
      </c>
      <c r="AR1766" s="1">
        <v>0</v>
      </c>
      <c r="AS1766" s="1">
        <v>0</v>
      </c>
      <c r="AT1766" s="1">
        <v>0</v>
      </c>
      <c r="AU1766" s="1">
        <v>0</v>
      </c>
      <c r="AV1766" s="1">
        <v>0</v>
      </c>
      <c r="AW1766" s="1">
        <v>0</v>
      </c>
      <c r="AX1766" s="1">
        <v>0</v>
      </c>
      <c r="AY1766" s="1">
        <v>0</v>
      </c>
      <c r="AZ1766" s="1">
        <v>0</v>
      </c>
      <c r="BA1766" s="1">
        <v>0</v>
      </c>
      <c r="BB1766" s="1">
        <v>0</v>
      </c>
      <c r="BC1766" s="1">
        <v>0</v>
      </c>
      <c r="BD1766" s="1">
        <v>0</v>
      </c>
      <c r="BE1766" s="1">
        <v>0</v>
      </c>
      <c r="BF1766" s="1">
        <v>0</v>
      </c>
      <c r="BG1766" s="1">
        <v>0</v>
      </c>
      <c r="BH1766" s="1">
        <v>0</v>
      </c>
      <c r="BI1766" s="1">
        <v>0</v>
      </c>
      <c r="BJ1766" s="1">
        <v>0</v>
      </c>
      <c r="BK1766" s="1">
        <v>0</v>
      </c>
      <c r="BL1766" s="1">
        <v>0</v>
      </c>
      <c r="BM1766" s="1">
        <v>0</v>
      </c>
      <c r="BN1766" s="1">
        <v>0</v>
      </c>
      <c r="BO1766" s="1">
        <v>0</v>
      </c>
      <c r="BP1766" s="1">
        <v>0</v>
      </c>
      <c r="BQ1766" s="1" t="s">
        <v>104</v>
      </c>
      <c r="BR1766" s="1">
        <v>1864</v>
      </c>
      <c r="BS1766" s="1" t="s">
        <v>104</v>
      </c>
      <c r="BX1766" s="1">
        <v>0</v>
      </c>
      <c r="BY1766" s="1" t="s">
        <v>104</v>
      </c>
      <c r="BZ1766" s="1" t="s">
        <v>104</v>
      </c>
      <c r="CA1766" s="1" t="s">
        <v>104</v>
      </c>
      <c r="CB1766" s="1" t="s">
        <v>104</v>
      </c>
      <c r="CC1766" s="1" t="s">
        <v>104</v>
      </c>
      <c r="CD1766" s="1" t="s">
        <v>104</v>
      </c>
      <c r="CE1766" s="1" t="s">
        <v>104</v>
      </c>
      <c r="CF1766" s="1" t="s">
        <v>104</v>
      </c>
      <c r="CG1766" s="1" t="s">
        <v>104</v>
      </c>
      <c r="CH1766" s="1">
        <v>1</v>
      </c>
      <c r="CJ1766" s="1">
        <v>0</v>
      </c>
      <c r="CK1766" s="1">
        <v>0</v>
      </c>
      <c r="CL1766" s="1">
        <v>0</v>
      </c>
      <c r="CM1766" s="1" t="s">
        <v>104</v>
      </c>
    </row>
    <row r="1767" spans="1:91" ht="14.25" customHeight="1" x14ac:dyDescent="0.3">
      <c r="A1767" s="1" t="s">
        <v>9566</v>
      </c>
      <c r="B1767" s="1" t="s">
        <v>137</v>
      </c>
      <c r="E1767" s="1" t="s">
        <v>9567</v>
      </c>
      <c r="F1767" s="1" t="s">
        <v>95</v>
      </c>
      <c r="G1767" s="1" t="s">
        <v>116</v>
      </c>
      <c r="H1767" s="1">
        <v>0</v>
      </c>
      <c r="I1767" s="1" t="s">
        <v>157</v>
      </c>
      <c r="L1767" s="1" t="s">
        <v>158</v>
      </c>
      <c r="M1767" s="1" t="s">
        <v>2330</v>
      </c>
      <c r="N1767" s="1">
        <v>0</v>
      </c>
      <c r="O1767" s="1">
        <v>0</v>
      </c>
      <c r="P1767" s="1" t="s">
        <v>8614</v>
      </c>
      <c r="Q1767" s="1" t="s">
        <v>101</v>
      </c>
      <c r="R1767" s="1" t="s">
        <v>9568</v>
      </c>
      <c r="S1767" s="1" t="s">
        <v>9569</v>
      </c>
      <c r="T1767" s="1">
        <v>1</v>
      </c>
      <c r="U1767" s="1">
        <v>1</v>
      </c>
      <c r="V1767" s="1">
        <v>0</v>
      </c>
      <c r="W1767" s="1">
        <v>0</v>
      </c>
      <c r="X1767" s="1">
        <v>0</v>
      </c>
      <c r="Y1767" s="1">
        <v>2</v>
      </c>
      <c r="Z1767" s="1">
        <v>2</v>
      </c>
      <c r="AA1767" s="1" t="s">
        <v>104</v>
      </c>
      <c r="AB1767" s="1" t="s">
        <v>104</v>
      </c>
      <c r="AC1767" s="1" t="s">
        <v>104</v>
      </c>
      <c r="AD1767" s="1" t="s">
        <v>104</v>
      </c>
      <c r="AE1767" s="1" t="s">
        <v>104</v>
      </c>
      <c r="AF1767" s="1">
        <v>2</v>
      </c>
      <c r="AG1767" s="1" t="s">
        <v>104</v>
      </c>
      <c r="AH1767" s="1">
        <v>2</v>
      </c>
      <c r="AI1767" s="1" t="s">
        <v>104</v>
      </c>
      <c r="AJ1767" s="1" t="s">
        <v>104</v>
      </c>
      <c r="AK1767" s="1" t="s">
        <v>104</v>
      </c>
      <c r="AL1767" s="1" t="s">
        <v>104</v>
      </c>
      <c r="AM1767" s="1" t="s">
        <v>104</v>
      </c>
      <c r="AO1767" s="1">
        <v>2</v>
      </c>
      <c r="AQ1767" s="1" t="s">
        <v>9570</v>
      </c>
      <c r="AR1767" s="1">
        <v>0</v>
      </c>
      <c r="AS1767" s="1">
        <v>0</v>
      </c>
      <c r="AT1767" s="1">
        <v>0</v>
      </c>
      <c r="AU1767" s="1">
        <v>0</v>
      </c>
      <c r="AV1767" s="1">
        <v>0</v>
      </c>
      <c r="AW1767" s="1">
        <v>0</v>
      </c>
      <c r="AX1767" s="1">
        <v>0</v>
      </c>
      <c r="AY1767" s="1">
        <v>0</v>
      </c>
      <c r="AZ1767" s="1">
        <v>0</v>
      </c>
      <c r="BA1767" s="1">
        <v>0</v>
      </c>
      <c r="BB1767" s="1">
        <v>0</v>
      </c>
      <c r="BC1767" s="1">
        <v>0</v>
      </c>
      <c r="BD1767" s="1">
        <v>0</v>
      </c>
      <c r="BE1767" s="1">
        <v>0</v>
      </c>
      <c r="BF1767" s="1">
        <v>0</v>
      </c>
      <c r="BG1767" s="1">
        <v>0</v>
      </c>
      <c r="BH1767" s="1">
        <v>0</v>
      </c>
      <c r="BI1767" s="1">
        <v>0</v>
      </c>
      <c r="BJ1767" s="1">
        <v>0</v>
      </c>
      <c r="BK1767" s="1">
        <v>0</v>
      </c>
      <c r="BL1767" s="1">
        <v>0</v>
      </c>
      <c r="BM1767" s="1">
        <v>0</v>
      </c>
      <c r="BN1767" s="1">
        <v>0</v>
      </c>
      <c r="BO1767" s="1">
        <v>0</v>
      </c>
      <c r="BP1767" s="1">
        <v>0</v>
      </c>
      <c r="BQ1767" s="1" t="s">
        <v>104</v>
      </c>
      <c r="BR1767" s="1">
        <v>1865</v>
      </c>
      <c r="BS1767" s="1" t="s">
        <v>104</v>
      </c>
      <c r="BX1767" s="1">
        <v>0</v>
      </c>
      <c r="BY1767" s="1">
        <v>2</v>
      </c>
      <c r="BZ1767" s="1" t="s">
        <v>104</v>
      </c>
      <c r="CA1767" s="1">
        <v>2</v>
      </c>
      <c r="CB1767" s="1" t="s">
        <v>104</v>
      </c>
      <c r="CC1767" s="1" t="s">
        <v>104</v>
      </c>
      <c r="CD1767" s="1" t="s">
        <v>104</v>
      </c>
      <c r="CE1767" s="1" t="s">
        <v>104</v>
      </c>
      <c r="CF1767" s="1" t="s">
        <v>104</v>
      </c>
      <c r="CG1767" s="1" t="s">
        <v>104</v>
      </c>
      <c r="CH1767" s="1" t="s">
        <v>104</v>
      </c>
      <c r="CJ1767" s="1">
        <v>0</v>
      </c>
      <c r="CK1767" s="1">
        <v>0</v>
      </c>
      <c r="CL1767" s="1">
        <v>0</v>
      </c>
      <c r="CM1767" s="1" t="s">
        <v>104</v>
      </c>
    </row>
    <row r="1768" spans="1:91" ht="14.25" customHeight="1" x14ac:dyDescent="0.3">
      <c r="A1768" s="1" t="s">
        <v>9571</v>
      </c>
      <c r="B1768" s="1" t="s">
        <v>92</v>
      </c>
      <c r="C1768" s="1" t="s">
        <v>93</v>
      </c>
      <c r="E1768" s="1" t="s">
        <v>9572</v>
      </c>
      <c r="F1768" s="1" t="s">
        <v>95</v>
      </c>
      <c r="G1768" s="1" t="s">
        <v>116</v>
      </c>
      <c r="H1768" s="1">
        <v>0</v>
      </c>
      <c r="I1768" s="1" t="s">
        <v>548</v>
      </c>
      <c r="L1768" s="1" t="s">
        <v>1065</v>
      </c>
      <c r="M1768" s="1" t="s">
        <v>9573</v>
      </c>
      <c r="N1768" s="1">
        <v>0</v>
      </c>
      <c r="O1768" s="1">
        <v>0</v>
      </c>
      <c r="P1768" s="1" t="s">
        <v>3552</v>
      </c>
      <c r="Q1768" s="1" t="s">
        <v>101</v>
      </c>
      <c r="R1768" s="1" t="s">
        <v>9574</v>
      </c>
      <c r="S1768" s="1" t="s">
        <v>9569</v>
      </c>
      <c r="T1768" s="1">
        <v>1</v>
      </c>
      <c r="U1768" s="1">
        <v>1</v>
      </c>
      <c r="V1768" s="1">
        <v>0</v>
      </c>
      <c r="W1768" s="1">
        <v>0</v>
      </c>
      <c r="X1768" s="1">
        <v>0</v>
      </c>
      <c r="Y1768" s="1">
        <v>1</v>
      </c>
      <c r="Z1768" s="1">
        <v>1</v>
      </c>
      <c r="AA1768" s="1" t="s">
        <v>104</v>
      </c>
      <c r="AB1768" s="1" t="s">
        <v>104</v>
      </c>
      <c r="AC1768" s="1" t="s">
        <v>104</v>
      </c>
      <c r="AD1768" s="1" t="s">
        <v>104</v>
      </c>
      <c r="AE1768" s="1" t="s">
        <v>104</v>
      </c>
      <c r="AF1768" s="1">
        <v>1</v>
      </c>
      <c r="AG1768" s="1" t="s">
        <v>104</v>
      </c>
      <c r="AH1768" s="1">
        <v>1</v>
      </c>
      <c r="AI1768" s="1" t="s">
        <v>104</v>
      </c>
      <c r="AJ1768" s="1" t="s">
        <v>104</v>
      </c>
      <c r="AK1768" s="1" t="s">
        <v>104</v>
      </c>
      <c r="AL1768" s="1" t="s">
        <v>104</v>
      </c>
      <c r="AM1768" s="1" t="s">
        <v>104</v>
      </c>
      <c r="AO1768" s="1">
        <v>1</v>
      </c>
      <c r="AQ1768" s="1" t="s">
        <v>9575</v>
      </c>
      <c r="AR1768" s="1">
        <v>0</v>
      </c>
      <c r="AS1768" s="1">
        <v>0</v>
      </c>
      <c r="AT1768" s="1">
        <v>0</v>
      </c>
      <c r="AU1768" s="1">
        <v>0</v>
      </c>
      <c r="AV1768" s="1">
        <v>0</v>
      </c>
      <c r="AW1768" s="1">
        <v>0</v>
      </c>
      <c r="AX1768" s="1">
        <v>0</v>
      </c>
      <c r="AY1768" s="1">
        <v>0</v>
      </c>
      <c r="AZ1768" s="1">
        <v>0</v>
      </c>
      <c r="BA1768" s="1">
        <v>0</v>
      </c>
      <c r="BB1768" s="1">
        <v>0</v>
      </c>
      <c r="BC1768" s="1">
        <v>0</v>
      </c>
      <c r="BD1768" s="1">
        <v>0</v>
      </c>
      <c r="BE1768" s="1">
        <v>0</v>
      </c>
      <c r="BF1768" s="1">
        <v>0</v>
      </c>
      <c r="BG1768" s="1">
        <v>0</v>
      </c>
      <c r="BH1768" s="1">
        <v>0</v>
      </c>
      <c r="BI1768" s="1">
        <v>0</v>
      </c>
      <c r="BJ1768" s="1">
        <v>0</v>
      </c>
      <c r="BK1768" s="1">
        <v>0</v>
      </c>
      <c r="BL1768" s="1">
        <v>0</v>
      </c>
      <c r="BM1768" s="1">
        <v>0</v>
      </c>
      <c r="BN1768" s="1">
        <v>0</v>
      </c>
      <c r="BO1768" s="1">
        <v>0</v>
      </c>
      <c r="BP1768" s="1">
        <v>0</v>
      </c>
      <c r="BQ1768" s="1" t="s">
        <v>104</v>
      </c>
      <c r="BR1768" s="1">
        <v>1866</v>
      </c>
      <c r="BS1768" s="1" t="s">
        <v>104</v>
      </c>
      <c r="BX1768" s="1">
        <v>0</v>
      </c>
      <c r="BY1768" s="1" t="s">
        <v>104</v>
      </c>
      <c r="BZ1768" s="1" t="s">
        <v>104</v>
      </c>
      <c r="CA1768" s="1">
        <v>1</v>
      </c>
      <c r="CB1768" s="1" t="s">
        <v>104</v>
      </c>
      <c r="CC1768" s="1" t="s">
        <v>104</v>
      </c>
      <c r="CD1768" s="1" t="s">
        <v>104</v>
      </c>
      <c r="CE1768" s="1" t="s">
        <v>104</v>
      </c>
      <c r="CF1768" s="1" t="s">
        <v>104</v>
      </c>
      <c r="CG1768" s="1" t="s">
        <v>104</v>
      </c>
      <c r="CH1768" s="1" t="s">
        <v>104</v>
      </c>
      <c r="CJ1768" s="1">
        <v>0</v>
      </c>
      <c r="CK1768" s="1">
        <v>0</v>
      </c>
      <c r="CL1768" s="1">
        <v>0</v>
      </c>
      <c r="CM1768" s="1" t="s">
        <v>104</v>
      </c>
    </row>
    <row r="1769" spans="1:91" ht="14.25" customHeight="1" x14ac:dyDescent="0.3">
      <c r="A1769" s="1" t="s">
        <v>9576</v>
      </c>
      <c r="B1769" s="1" t="s">
        <v>507</v>
      </c>
      <c r="C1769" s="1" t="s">
        <v>508</v>
      </c>
      <c r="E1769" s="1" t="s">
        <v>9577</v>
      </c>
      <c r="F1769" s="1" t="s">
        <v>95</v>
      </c>
      <c r="G1769" s="1" t="s">
        <v>116</v>
      </c>
      <c r="H1769" s="1">
        <v>0</v>
      </c>
      <c r="I1769" s="1" t="s">
        <v>157</v>
      </c>
      <c r="L1769" s="1" t="s">
        <v>158</v>
      </c>
      <c r="M1769" s="1" t="s">
        <v>4992</v>
      </c>
      <c r="N1769" s="1">
        <v>1</v>
      </c>
      <c r="O1769" s="1">
        <v>0</v>
      </c>
      <c r="R1769" s="1" t="s">
        <v>9578</v>
      </c>
      <c r="S1769" s="1" t="s">
        <v>9569</v>
      </c>
      <c r="T1769" s="1">
        <v>1</v>
      </c>
      <c r="U1769" s="1">
        <v>1</v>
      </c>
      <c r="V1769" s="1">
        <v>0</v>
      </c>
      <c r="W1769" s="1">
        <v>0</v>
      </c>
      <c r="X1769" s="1">
        <v>0</v>
      </c>
      <c r="Y1769" s="1">
        <v>3</v>
      </c>
      <c r="Z1769" s="1">
        <v>3</v>
      </c>
      <c r="AA1769" s="1" t="s">
        <v>104</v>
      </c>
      <c r="AB1769" s="1" t="s">
        <v>104</v>
      </c>
      <c r="AC1769" s="1" t="s">
        <v>104</v>
      </c>
      <c r="AD1769" s="1">
        <v>3</v>
      </c>
      <c r="AE1769" s="1" t="s">
        <v>104</v>
      </c>
      <c r="AF1769" s="1">
        <v>3</v>
      </c>
      <c r="AG1769" s="1" t="s">
        <v>104</v>
      </c>
      <c r="AH1769" s="1">
        <v>3</v>
      </c>
      <c r="AI1769" s="1">
        <v>3</v>
      </c>
      <c r="AJ1769" s="1" t="s">
        <v>104</v>
      </c>
      <c r="AK1769" s="1">
        <v>3</v>
      </c>
      <c r="AL1769" s="1" t="s">
        <v>104</v>
      </c>
      <c r="AM1769" s="1" t="s">
        <v>104</v>
      </c>
      <c r="AO1769" s="1">
        <v>3</v>
      </c>
      <c r="AQ1769" s="1" t="s">
        <v>9579</v>
      </c>
      <c r="AR1769" s="1">
        <v>0</v>
      </c>
      <c r="AS1769" s="1">
        <v>0</v>
      </c>
      <c r="AT1769" s="1">
        <v>0</v>
      </c>
      <c r="AU1769" s="1">
        <v>0</v>
      </c>
      <c r="AV1769" s="1">
        <v>0</v>
      </c>
      <c r="AW1769" s="1">
        <v>0</v>
      </c>
      <c r="AX1769" s="1">
        <v>0</v>
      </c>
      <c r="AY1769" s="1">
        <v>0</v>
      </c>
      <c r="AZ1769" s="1">
        <v>0</v>
      </c>
      <c r="BA1769" s="1">
        <v>0</v>
      </c>
      <c r="BB1769" s="1">
        <v>0</v>
      </c>
      <c r="BC1769" s="1">
        <v>0</v>
      </c>
      <c r="BD1769" s="1">
        <v>0</v>
      </c>
      <c r="BE1769" s="1">
        <v>0</v>
      </c>
      <c r="BF1769" s="1">
        <v>0</v>
      </c>
      <c r="BG1769" s="1">
        <v>0</v>
      </c>
      <c r="BH1769" s="1">
        <v>0</v>
      </c>
      <c r="BI1769" s="1">
        <v>0</v>
      </c>
      <c r="BJ1769" s="1">
        <v>0</v>
      </c>
      <c r="BK1769" s="1">
        <v>0</v>
      </c>
      <c r="BL1769" s="1">
        <v>0</v>
      </c>
      <c r="BM1769" s="1">
        <v>0</v>
      </c>
      <c r="BN1769" s="1">
        <v>0</v>
      </c>
      <c r="BO1769" s="1">
        <v>0</v>
      </c>
      <c r="BP1769" s="1">
        <v>0</v>
      </c>
      <c r="BQ1769" s="1" t="s">
        <v>104</v>
      </c>
      <c r="BR1769" s="1">
        <v>1867</v>
      </c>
      <c r="BS1769" s="1" t="s">
        <v>104</v>
      </c>
      <c r="BX1769" s="1">
        <v>0</v>
      </c>
      <c r="BY1769" s="1" t="s">
        <v>104</v>
      </c>
      <c r="BZ1769" s="1" t="s">
        <v>104</v>
      </c>
      <c r="CA1769" s="1">
        <v>3</v>
      </c>
      <c r="CB1769" s="1">
        <v>3</v>
      </c>
      <c r="CC1769" s="1">
        <v>3</v>
      </c>
      <c r="CD1769" s="1">
        <v>3</v>
      </c>
      <c r="CE1769" s="1" t="s">
        <v>104</v>
      </c>
      <c r="CF1769" s="1" t="s">
        <v>104</v>
      </c>
      <c r="CG1769" s="1" t="s">
        <v>104</v>
      </c>
      <c r="CH1769" s="1" t="s">
        <v>104</v>
      </c>
      <c r="CJ1769" s="1">
        <v>0</v>
      </c>
      <c r="CK1769" s="1">
        <v>0</v>
      </c>
      <c r="CL1769" s="1">
        <v>0</v>
      </c>
      <c r="CM1769" s="1" t="s">
        <v>104</v>
      </c>
    </row>
    <row r="1770" spans="1:91" ht="14.25" customHeight="1" x14ac:dyDescent="0.3">
      <c r="A1770" s="1" t="s">
        <v>9580</v>
      </c>
      <c r="B1770" s="1" t="s">
        <v>137</v>
      </c>
      <c r="C1770" s="1" t="s">
        <v>154</v>
      </c>
      <c r="E1770" s="1" t="s">
        <v>9581</v>
      </c>
      <c r="F1770" s="1" t="s">
        <v>95</v>
      </c>
      <c r="G1770" s="1" t="s">
        <v>9582</v>
      </c>
      <c r="H1770" s="1">
        <v>0</v>
      </c>
      <c r="I1770" s="1" t="s">
        <v>157</v>
      </c>
      <c r="L1770" s="1" t="s">
        <v>158</v>
      </c>
      <c r="M1770" s="1" t="s">
        <v>4641</v>
      </c>
      <c r="N1770" s="1">
        <v>1</v>
      </c>
      <c r="O1770" s="1">
        <v>0</v>
      </c>
      <c r="R1770" s="1" t="s">
        <v>9583</v>
      </c>
      <c r="S1770" s="1" t="s">
        <v>9569</v>
      </c>
      <c r="T1770" s="1">
        <v>1</v>
      </c>
      <c r="U1770" s="1">
        <v>1</v>
      </c>
      <c r="V1770" s="1">
        <v>1</v>
      </c>
      <c r="W1770" s="1">
        <v>0</v>
      </c>
      <c r="X1770" s="1">
        <v>0</v>
      </c>
      <c r="Y1770" s="1">
        <v>4</v>
      </c>
      <c r="Z1770" s="1">
        <v>4</v>
      </c>
      <c r="AA1770" s="1" t="s">
        <v>104</v>
      </c>
      <c r="AB1770" s="1" t="s">
        <v>104</v>
      </c>
      <c r="AC1770" s="1" t="s">
        <v>104</v>
      </c>
      <c r="AD1770" s="1">
        <v>4</v>
      </c>
      <c r="AE1770" s="1" t="s">
        <v>104</v>
      </c>
      <c r="AF1770" s="1">
        <v>4</v>
      </c>
      <c r="AG1770" s="1">
        <v>4</v>
      </c>
      <c r="AH1770" s="1">
        <v>4</v>
      </c>
      <c r="AI1770" s="1" t="s">
        <v>104</v>
      </c>
      <c r="AJ1770" s="1" t="s">
        <v>104</v>
      </c>
      <c r="AK1770" s="1" t="s">
        <v>104</v>
      </c>
      <c r="AL1770" s="1">
        <v>4</v>
      </c>
      <c r="AM1770" s="1" t="s">
        <v>104</v>
      </c>
      <c r="AO1770" s="1">
        <v>4</v>
      </c>
      <c r="AQ1770" s="1" t="s">
        <v>9584</v>
      </c>
      <c r="AR1770" s="1">
        <v>0</v>
      </c>
      <c r="AS1770" s="1">
        <v>0</v>
      </c>
      <c r="AT1770" s="1">
        <v>0</v>
      </c>
      <c r="AU1770" s="1">
        <v>0</v>
      </c>
      <c r="AV1770" s="1">
        <v>0</v>
      </c>
      <c r="AW1770" s="1">
        <v>0</v>
      </c>
      <c r="AX1770" s="1">
        <v>0</v>
      </c>
      <c r="AY1770" s="1">
        <v>0</v>
      </c>
      <c r="AZ1770" s="1">
        <v>0</v>
      </c>
      <c r="BA1770" s="1">
        <v>0</v>
      </c>
      <c r="BB1770" s="1">
        <v>0</v>
      </c>
      <c r="BC1770" s="1">
        <v>0</v>
      </c>
      <c r="BD1770" s="1">
        <v>0</v>
      </c>
      <c r="BE1770" s="1">
        <v>0</v>
      </c>
      <c r="BF1770" s="1">
        <v>0</v>
      </c>
      <c r="BG1770" s="1">
        <v>0</v>
      </c>
      <c r="BH1770" s="1">
        <v>0</v>
      </c>
      <c r="BI1770" s="1">
        <v>0</v>
      </c>
      <c r="BJ1770" s="1">
        <v>0</v>
      </c>
      <c r="BK1770" s="1">
        <v>0</v>
      </c>
      <c r="BL1770" s="1">
        <v>0</v>
      </c>
      <c r="BM1770" s="1">
        <v>0</v>
      </c>
      <c r="BN1770" s="1">
        <v>0</v>
      </c>
      <c r="BO1770" s="1">
        <v>0</v>
      </c>
      <c r="BP1770" s="1">
        <v>0</v>
      </c>
      <c r="BQ1770" s="1" t="s">
        <v>104</v>
      </c>
      <c r="BR1770" s="1">
        <v>1868</v>
      </c>
      <c r="BS1770" s="1" t="s">
        <v>104</v>
      </c>
      <c r="BX1770" s="1">
        <v>0</v>
      </c>
      <c r="BY1770" s="1" t="s">
        <v>104</v>
      </c>
      <c r="BZ1770" s="1">
        <v>4</v>
      </c>
      <c r="CA1770" s="1">
        <v>4</v>
      </c>
      <c r="CB1770" s="1">
        <v>4</v>
      </c>
      <c r="CC1770" s="1" t="s">
        <v>104</v>
      </c>
      <c r="CD1770" s="1" t="s">
        <v>104</v>
      </c>
      <c r="CE1770" s="1" t="s">
        <v>104</v>
      </c>
      <c r="CF1770" s="1" t="s">
        <v>104</v>
      </c>
      <c r="CG1770" s="1" t="s">
        <v>104</v>
      </c>
      <c r="CH1770" s="1" t="s">
        <v>104</v>
      </c>
      <c r="CJ1770" s="1">
        <v>0</v>
      </c>
      <c r="CK1770" s="1">
        <v>0</v>
      </c>
      <c r="CL1770" s="1">
        <v>0</v>
      </c>
      <c r="CM1770" s="1">
        <v>4</v>
      </c>
    </row>
    <row r="1771" spans="1:91" ht="14.25" customHeight="1" x14ac:dyDescent="0.3">
      <c r="A1771" s="1" t="s">
        <v>9585</v>
      </c>
      <c r="B1771" s="1" t="s">
        <v>434</v>
      </c>
      <c r="D1771" s="1" t="s">
        <v>52</v>
      </c>
      <c r="E1771" s="1" t="s">
        <v>8590</v>
      </c>
      <c r="F1771" s="1" t="s">
        <v>95</v>
      </c>
      <c r="G1771" s="1" t="s">
        <v>9586</v>
      </c>
      <c r="H1771" s="1">
        <v>0</v>
      </c>
      <c r="I1771" s="1" t="s">
        <v>109</v>
      </c>
      <c r="K1771" s="1" t="s">
        <v>1604</v>
      </c>
      <c r="M1771" s="1" t="s">
        <v>111</v>
      </c>
      <c r="N1771" s="1">
        <v>0</v>
      </c>
      <c r="O1771" s="1">
        <v>0</v>
      </c>
      <c r="P1771" s="1" t="s">
        <v>1605</v>
      </c>
      <c r="Q1771" s="1" t="s">
        <v>184</v>
      </c>
      <c r="R1771" s="1" t="s">
        <v>9587</v>
      </c>
      <c r="S1771" s="1" t="s">
        <v>9569</v>
      </c>
      <c r="T1771" s="1">
        <v>1</v>
      </c>
      <c r="U1771" s="1">
        <v>1</v>
      </c>
      <c r="V1771" s="1">
        <v>1</v>
      </c>
      <c r="W1771" s="1">
        <v>0</v>
      </c>
      <c r="X1771" s="1">
        <v>1</v>
      </c>
      <c r="Y1771" s="1">
        <v>2</v>
      </c>
      <c r="Z1771" s="1">
        <v>2</v>
      </c>
      <c r="AA1771" s="1" t="s">
        <v>104</v>
      </c>
      <c r="AB1771" s="1">
        <v>2</v>
      </c>
      <c r="AC1771" s="1" t="s">
        <v>104</v>
      </c>
      <c r="AD1771" s="1" t="s">
        <v>104</v>
      </c>
      <c r="AE1771" s="1" t="s">
        <v>104</v>
      </c>
      <c r="AF1771" s="1" t="s">
        <v>104</v>
      </c>
      <c r="AG1771" s="1" t="s">
        <v>104</v>
      </c>
      <c r="AH1771" s="1">
        <v>2</v>
      </c>
      <c r="AI1771" s="1" t="s">
        <v>104</v>
      </c>
      <c r="AJ1771" s="1" t="s">
        <v>104</v>
      </c>
      <c r="AK1771" s="1" t="s">
        <v>104</v>
      </c>
      <c r="AL1771" s="1">
        <v>2</v>
      </c>
      <c r="AM1771" s="1" t="s">
        <v>104</v>
      </c>
      <c r="AO1771" s="1">
        <v>2</v>
      </c>
      <c r="AQ1771" s="1" t="s">
        <v>9588</v>
      </c>
      <c r="AR1771" s="1">
        <v>0</v>
      </c>
      <c r="AS1771" s="1">
        <v>0</v>
      </c>
      <c r="AT1771" s="1">
        <v>0</v>
      </c>
      <c r="AU1771" s="1">
        <v>0</v>
      </c>
      <c r="AV1771" s="1">
        <v>0</v>
      </c>
      <c r="AW1771" s="1">
        <v>0</v>
      </c>
      <c r="AX1771" s="1">
        <v>0</v>
      </c>
      <c r="AY1771" s="1">
        <v>0</v>
      </c>
      <c r="AZ1771" s="1">
        <v>0</v>
      </c>
      <c r="BA1771" s="1">
        <v>1</v>
      </c>
      <c r="BB1771" s="1">
        <v>0</v>
      </c>
      <c r="BC1771" s="1">
        <v>0</v>
      </c>
      <c r="BD1771" s="1">
        <v>0</v>
      </c>
      <c r="BE1771" s="1">
        <v>0</v>
      </c>
      <c r="BF1771" s="1">
        <v>0</v>
      </c>
      <c r="BG1771" s="1">
        <v>0</v>
      </c>
      <c r="BH1771" s="1">
        <v>0</v>
      </c>
      <c r="BI1771" s="1">
        <v>0</v>
      </c>
      <c r="BJ1771" s="1">
        <v>0</v>
      </c>
      <c r="BK1771" s="1">
        <v>0</v>
      </c>
      <c r="BL1771" s="1">
        <v>0</v>
      </c>
      <c r="BM1771" s="1">
        <v>0</v>
      </c>
      <c r="BN1771" s="1">
        <v>0</v>
      </c>
      <c r="BO1771" s="1">
        <v>0</v>
      </c>
      <c r="BP1771" s="1">
        <v>0</v>
      </c>
      <c r="BQ1771" s="1" t="s">
        <v>104</v>
      </c>
      <c r="BR1771" s="1">
        <v>1870</v>
      </c>
      <c r="BS1771" s="1" t="s">
        <v>104</v>
      </c>
      <c r="BX1771" s="1">
        <v>0</v>
      </c>
      <c r="BY1771" s="1" t="s">
        <v>104</v>
      </c>
      <c r="BZ1771" s="1" t="s">
        <v>104</v>
      </c>
      <c r="CA1771" s="1" t="s">
        <v>104</v>
      </c>
      <c r="CB1771" s="1" t="s">
        <v>104</v>
      </c>
      <c r="CC1771" s="1" t="s">
        <v>104</v>
      </c>
      <c r="CD1771" s="1" t="s">
        <v>104</v>
      </c>
      <c r="CE1771" s="1" t="s">
        <v>104</v>
      </c>
      <c r="CF1771" s="1" t="s">
        <v>104</v>
      </c>
      <c r="CG1771" s="1" t="s">
        <v>104</v>
      </c>
      <c r="CH1771" s="1">
        <v>2</v>
      </c>
      <c r="CJ1771" s="1">
        <v>0</v>
      </c>
      <c r="CK1771" s="1">
        <v>0</v>
      </c>
      <c r="CL1771" s="1">
        <v>0</v>
      </c>
      <c r="CM1771" s="1" t="s">
        <v>104</v>
      </c>
    </row>
    <row r="1772" spans="1:91" ht="14.25" customHeight="1" x14ac:dyDescent="0.3">
      <c r="A1772" s="1" t="s">
        <v>9589</v>
      </c>
      <c r="B1772" s="1" t="s">
        <v>434</v>
      </c>
      <c r="D1772" s="1" t="s">
        <v>9590</v>
      </c>
      <c r="E1772" s="1" t="s">
        <v>9591</v>
      </c>
      <c r="F1772" s="1" t="s">
        <v>95</v>
      </c>
      <c r="G1772" s="1" t="s">
        <v>9586</v>
      </c>
      <c r="H1772" s="1">
        <v>0</v>
      </c>
      <c r="I1772" s="1" t="s">
        <v>109</v>
      </c>
      <c r="K1772" s="1" t="s">
        <v>1604</v>
      </c>
      <c r="M1772" s="1" t="s">
        <v>111</v>
      </c>
      <c r="N1772" s="1">
        <v>0</v>
      </c>
      <c r="O1772" s="1">
        <v>0</v>
      </c>
      <c r="P1772" s="1" t="s">
        <v>9592</v>
      </c>
      <c r="Q1772" s="1" t="s">
        <v>184</v>
      </c>
      <c r="R1772" s="1" t="s">
        <v>9593</v>
      </c>
      <c r="S1772" s="1" t="s">
        <v>9569</v>
      </c>
      <c r="T1772" s="1">
        <v>1</v>
      </c>
      <c r="U1772" s="1">
        <v>1</v>
      </c>
      <c r="V1772" s="1">
        <v>1</v>
      </c>
      <c r="W1772" s="1">
        <v>0</v>
      </c>
      <c r="X1772" s="1">
        <v>1</v>
      </c>
      <c r="Y1772" s="1">
        <v>4</v>
      </c>
      <c r="Z1772" s="1">
        <v>4</v>
      </c>
      <c r="AA1772" s="1" t="s">
        <v>104</v>
      </c>
      <c r="AB1772" s="1">
        <v>4</v>
      </c>
      <c r="AC1772" s="1" t="s">
        <v>104</v>
      </c>
      <c r="AD1772" s="1" t="s">
        <v>104</v>
      </c>
      <c r="AE1772" s="1" t="s">
        <v>104</v>
      </c>
      <c r="AF1772" s="1" t="s">
        <v>104</v>
      </c>
      <c r="AG1772" s="1" t="s">
        <v>104</v>
      </c>
      <c r="AH1772" s="1">
        <v>4</v>
      </c>
      <c r="AI1772" s="1" t="s">
        <v>104</v>
      </c>
      <c r="AJ1772" s="1" t="s">
        <v>104</v>
      </c>
      <c r="AK1772" s="1" t="s">
        <v>104</v>
      </c>
      <c r="AL1772" s="1">
        <v>4</v>
      </c>
      <c r="AM1772" s="1" t="s">
        <v>104</v>
      </c>
      <c r="AO1772" s="1">
        <v>4</v>
      </c>
      <c r="AQ1772" s="1" t="s">
        <v>9594</v>
      </c>
      <c r="AR1772" s="1">
        <v>0</v>
      </c>
      <c r="AS1772" s="1">
        <v>0</v>
      </c>
      <c r="AT1772" s="1">
        <v>0</v>
      </c>
      <c r="AU1772" s="1">
        <v>0</v>
      </c>
      <c r="AV1772" s="1">
        <v>0</v>
      </c>
      <c r="AW1772" s="1">
        <v>0</v>
      </c>
      <c r="AX1772" s="1">
        <v>0</v>
      </c>
      <c r="AY1772" s="1">
        <v>0</v>
      </c>
      <c r="AZ1772" s="1">
        <v>0</v>
      </c>
      <c r="BA1772" s="1">
        <v>1</v>
      </c>
      <c r="BB1772" s="1">
        <v>0</v>
      </c>
      <c r="BC1772" s="1">
        <v>0</v>
      </c>
      <c r="BD1772" s="1">
        <v>0</v>
      </c>
      <c r="BE1772" s="1">
        <v>0</v>
      </c>
      <c r="BF1772" s="1">
        <v>0</v>
      </c>
      <c r="BG1772" s="1">
        <v>0</v>
      </c>
      <c r="BH1772" s="1">
        <v>0</v>
      </c>
      <c r="BI1772" s="1">
        <v>0</v>
      </c>
      <c r="BJ1772" s="1">
        <v>0</v>
      </c>
      <c r="BK1772" s="1">
        <v>0</v>
      </c>
      <c r="BL1772" s="1">
        <v>0</v>
      </c>
      <c r="BM1772" s="1">
        <v>0</v>
      </c>
      <c r="BN1772" s="1">
        <v>0</v>
      </c>
      <c r="BO1772" s="1">
        <v>1</v>
      </c>
      <c r="BP1772" s="1">
        <v>0</v>
      </c>
      <c r="BQ1772" s="1" t="s">
        <v>104</v>
      </c>
      <c r="BR1772" s="1">
        <v>1871</v>
      </c>
      <c r="BS1772" s="1" t="s">
        <v>104</v>
      </c>
      <c r="BX1772" s="1">
        <v>0</v>
      </c>
      <c r="BY1772" s="1" t="s">
        <v>104</v>
      </c>
      <c r="BZ1772" s="1" t="s">
        <v>104</v>
      </c>
      <c r="CA1772" s="1" t="s">
        <v>104</v>
      </c>
      <c r="CB1772" s="1" t="s">
        <v>104</v>
      </c>
      <c r="CC1772" s="1" t="s">
        <v>104</v>
      </c>
      <c r="CD1772" s="1" t="s">
        <v>104</v>
      </c>
      <c r="CE1772" s="1" t="s">
        <v>104</v>
      </c>
      <c r="CF1772" s="1" t="s">
        <v>104</v>
      </c>
      <c r="CG1772" s="1" t="s">
        <v>104</v>
      </c>
      <c r="CH1772" s="1">
        <v>4</v>
      </c>
      <c r="CJ1772" s="1">
        <v>0</v>
      </c>
      <c r="CK1772" s="1">
        <v>0</v>
      </c>
      <c r="CL1772" s="1">
        <v>0</v>
      </c>
      <c r="CM1772" s="1" t="s">
        <v>104</v>
      </c>
    </row>
    <row r="1773" spans="1:91" ht="14.25" customHeight="1" x14ac:dyDescent="0.3">
      <c r="A1773" s="1" t="s">
        <v>9595</v>
      </c>
      <c r="B1773" s="1" t="s">
        <v>434</v>
      </c>
      <c r="D1773" s="1" t="s">
        <v>44</v>
      </c>
      <c r="E1773" s="1" t="s">
        <v>9596</v>
      </c>
      <c r="F1773" s="1" t="s">
        <v>95</v>
      </c>
      <c r="G1773" s="1" t="s">
        <v>116</v>
      </c>
      <c r="H1773" s="1">
        <v>0</v>
      </c>
      <c r="I1773" s="1" t="s">
        <v>117</v>
      </c>
      <c r="L1773" s="1" t="s">
        <v>9597</v>
      </c>
      <c r="M1773" s="1" t="s">
        <v>119</v>
      </c>
      <c r="N1773" s="1">
        <v>0</v>
      </c>
      <c r="O1773" s="1">
        <v>0</v>
      </c>
      <c r="P1773" s="1" t="s">
        <v>5842</v>
      </c>
      <c r="Q1773" s="1" t="s">
        <v>184</v>
      </c>
      <c r="R1773" s="1" t="s">
        <v>9598</v>
      </c>
      <c r="S1773" s="1" t="s">
        <v>9569</v>
      </c>
      <c r="T1773" s="1">
        <v>1</v>
      </c>
      <c r="U1773" s="1">
        <v>1</v>
      </c>
      <c r="V1773" s="1">
        <v>0</v>
      </c>
      <c r="W1773" s="1">
        <v>0</v>
      </c>
      <c r="X1773" s="1">
        <v>0</v>
      </c>
      <c r="Y1773" s="1">
        <v>3</v>
      </c>
      <c r="Z1773" s="1">
        <v>3</v>
      </c>
      <c r="AA1773" s="1" t="s">
        <v>104</v>
      </c>
      <c r="AB1773" s="1">
        <v>3</v>
      </c>
      <c r="AC1773" s="1" t="s">
        <v>104</v>
      </c>
      <c r="AD1773" s="1" t="s">
        <v>104</v>
      </c>
      <c r="AE1773" s="1" t="s">
        <v>104</v>
      </c>
      <c r="AF1773" s="1" t="s">
        <v>104</v>
      </c>
      <c r="AG1773" s="1" t="s">
        <v>104</v>
      </c>
      <c r="AH1773" s="1">
        <v>3</v>
      </c>
      <c r="AI1773" s="1" t="s">
        <v>104</v>
      </c>
      <c r="AJ1773" s="1" t="s">
        <v>104</v>
      </c>
      <c r="AK1773" s="1" t="s">
        <v>104</v>
      </c>
      <c r="AL1773" s="1">
        <v>3</v>
      </c>
      <c r="AM1773" s="1" t="s">
        <v>104</v>
      </c>
      <c r="AO1773" s="1">
        <v>3</v>
      </c>
      <c r="AQ1773" s="1" t="s">
        <v>9599</v>
      </c>
      <c r="AR1773" s="1">
        <v>0</v>
      </c>
      <c r="AS1773" s="1">
        <v>1</v>
      </c>
      <c r="AT1773" s="1">
        <v>0</v>
      </c>
      <c r="AU1773" s="1">
        <v>0</v>
      </c>
      <c r="AV1773" s="1">
        <v>0</v>
      </c>
      <c r="AW1773" s="1">
        <v>0</v>
      </c>
      <c r="AX1773" s="1">
        <v>0</v>
      </c>
      <c r="AY1773" s="1">
        <v>0</v>
      </c>
      <c r="AZ1773" s="1">
        <v>0</v>
      </c>
      <c r="BA1773" s="1">
        <v>0</v>
      </c>
      <c r="BB1773" s="1">
        <v>0</v>
      </c>
      <c r="BC1773" s="1">
        <v>0</v>
      </c>
      <c r="BD1773" s="1">
        <v>0</v>
      </c>
      <c r="BE1773" s="1">
        <v>0</v>
      </c>
      <c r="BF1773" s="1">
        <v>0</v>
      </c>
      <c r="BG1773" s="1">
        <v>0</v>
      </c>
      <c r="BH1773" s="1">
        <v>0</v>
      </c>
      <c r="BI1773" s="1">
        <v>0</v>
      </c>
      <c r="BJ1773" s="1">
        <v>0</v>
      </c>
      <c r="BK1773" s="1">
        <v>0</v>
      </c>
      <c r="BL1773" s="1">
        <v>0</v>
      </c>
      <c r="BM1773" s="1">
        <v>0</v>
      </c>
      <c r="BN1773" s="1">
        <v>0</v>
      </c>
      <c r="BO1773" s="1">
        <v>0</v>
      </c>
      <c r="BP1773" s="1">
        <v>0</v>
      </c>
      <c r="BQ1773" s="1" t="s">
        <v>104</v>
      </c>
      <c r="BR1773" s="1">
        <v>1872</v>
      </c>
      <c r="BS1773" s="1" t="s">
        <v>104</v>
      </c>
      <c r="BX1773" s="1">
        <v>0</v>
      </c>
      <c r="BY1773" s="1">
        <v>3</v>
      </c>
      <c r="BZ1773" s="1">
        <v>4</v>
      </c>
      <c r="CA1773" s="1" t="s">
        <v>104</v>
      </c>
      <c r="CB1773" s="1" t="s">
        <v>104</v>
      </c>
      <c r="CC1773" s="1" t="s">
        <v>104</v>
      </c>
      <c r="CD1773" s="1" t="s">
        <v>104</v>
      </c>
      <c r="CE1773" s="1" t="s">
        <v>104</v>
      </c>
      <c r="CF1773" s="1" t="s">
        <v>104</v>
      </c>
      <c r="CG1773" s="1" t="s">
        <v>104</v>
      </c>
      <c r="CH1773" s="1">
        <v>3</v>
      </c>
      <c r="CJ1773" s="1">
        <v>0</v>
      </c>
      <c r="CK1773" s="1">
        <v>0</v>
      </c>
      <c r="CL1773" s="1">
        <v>0</v>
      </c>
      <c r="CM1773" s="1" t="s">
        <v>104</v>
      </c>
    </row>
    <row r="1774" spans="1:91" ht="14.25" customHeight="1" x14ac:dyDescent="0.3">
      <c r="A1774" s="1" t="s">
        <v>9600</v>
      </c>
      <c r="B1774" s="1" t="s">
        <v>137</v>
      </c>
      <c r="D1774" s="1" t="s">
        <v>44</v>
      </c>
      <c r="E1774" s="1" t="s">
        <v>9601</v>
      </c>
      <c r="F1774" s="1" t="s">
        <v>95</v>
      </c>
      <c r="G1774" s="1" t="s">
        <v>9602</v>
      </c>
      <c r="H1774" s="1">
        <v>0</v>
      </c>
      <c r="I1774" s="1" t="s">
        <v>157</v>
      </c>
      <c r="L1774" s="1" t="s">
        <v>158</v>
      </c>
      <c r="M1774" s="1" t="s">
        <v>2330</v>
      </c>
      <c r="N1774" s="1">
        <v>0</v>
      </c>
      <c r="O1774" s="1">
        <v>0</v>
      </c>
      <c r="R1774" s="1" t="s">
        <v>9603</v>
      </c>
      <c r="S1774" s="1" t="s">
        <v>9569</v>
      </c>
      <c r="T1774" s="1">
        <v>1</v>
      </c>
      <c r="U1774" s="1">
        <v>1</v>
      </c>
      <c r="V1774" s="1">
        <v>1</v>
      </c>
      <c r="W1774" s="1">
        <v>0</v>
      </c>
      <c r="X1774" s="1">
        <v>0</v>
      </c>
      <c r="Y1774" s="1">
        <v>2</v>
      </c>
      <c r="Z1774" s="1">
        <v>2</v>
      </c>
      <c r="AA1774" s="1">
        <v>2</v>
      </c>
      <c r="AB1774" s="1">
        <v>2</v>
      </c>
      <c r="AC1774" s="1">
        <v>2</v>
      </c>
      <c r="AD1774" s="1">
        <v>2</v>
      </c>
      <c r="AE1774" s="1" t="s">
        <v>104</v>
      </c>
      <c r="AF1774" s="1">
        <v>2</v>
      </c>
      <c r="AG1774" s="1" t="s">
        <v>104</v>
      </c>
      <c r="AH1774" s="1">
        <v>2</v>
      </c>
      <c r="AI1774" s="1" t="s">
        <v>104</v>
      </c>
      <c r="AJ1774" s="1">
        <v>2</v>
      </c>
      <c r="AK1774" s="1" t="s">
        <v>104</v>
      </c>
      <c r="AL1774" s="1" t="s">
        <v>104</v>
      </c>
      <c r="AM1774" s="1" t="s">
        <v>104</v>
      </c>
      <c r="AO1774" s="1">
        <v>2</v>
      </c>
      <c r="AQ1774" s="1" t="s">
        <v>9604</v>
      </c>
      <c r="AR1774" s="1">
        <v>0</v>
      </c>
      <c r="AS1774" s="1">
        <v>1</v>
      </c>
      <c r="AT1774" s="1">
        <v>0</v>
      </c>
      <c r="AU1774" s="1">
        <v>0</v>
      </c>
      <c r="AV1774" s="1">
        <v>0</v>
      </c>
      <c r="AW1774" s="1">
        <v>0</v>
      </c>
      <c r="AX1774" s="1">
        <v>0</v>
      </c>
      <c r="AY1774" s="1">
        <v>0</v>
      </c>
      <c r="AZ1774" s="1">
        <v>0</v>
      </c>
      <c r="BA1774" s="1">
        <v>0</v>
      </c>
      <c r="BB1774" s="1">
        <v>0</v>
      </c>
      <c r="BC1774" s="1">
        <v>0</v>
      </c>
      <c r="BD1774" s="1">
        <v>0</v>
      </c>
      <c r="BE1774" s="1">
        <v>0</v>
      </c>
      <c r="BF1774" s="1">
        <v>0</v>
      </c>
      <c r="BG1774" s="1">
        <v>0</v>
      </c>
      <c r="BH1774" s="1">
        <v>0</v>
      </c>
      <c r="BI1774" s="1">
        <v>0</v>
      </c>
      <c r="BJ1774" s="1">
        <v>0</v>
      </c>
      <c r="BK1774" s="1">
        <v>0</v>
      </c>
      <c r="BL1774" s="1">
        <v>0</v>
      </c>
      <c r="BM1774" s="1">
        <v>0</v>
      </c>
      <c r="BN1774" s="1">
        <v>0</v>
      </c>
      <c r="BO1774" s="1">
        <v>0</v>
      </c>
      <c r="BP1774" s="1">
        <v>0</v>
      </c>
      <c r="BQ1774" s="1" t="s">
        <v>104</v>
      </c>
      <c r="BR1774" s="1">
        <v>1873</v>
      </c>
      <c r="BS1774" s="1" t="s">
        <v>104</v>
      </c>
      <c r="BX1774" s="1">
        <v>0</v>
      </c>
      <c r="BY1774" s="1" t="s">
        <v>104</v>
      </c>
      <c r="BZ1774" s="1" t="s">
        <v>104</v>
      </c>
      <c r="CA1774" s="1" t="s">
        <v>104</v>
      </c>
      <c r="CB1774" s="1" t="s">
        <v>104</v>
      </c>
      <c r="CC1774" s="1" t="s">
        <v>104</v>
      </c>
      <c r="CD1774" s="1">
        <v>2</v>
      </c>
      <c r="CE1774" s="1" t="s">
        <v>104</v>
      </c>
      <c r="CF1774" s="1" t="s">
        <v>104</v>
      </c>
      <c r="CG1774" s="1" t="s">
        <v>104</v>
      </c>
      <c r="CH1774" s="1">
        <v>2</v>
      </c>
      <c r="CJ1774" s="1">
        <v>0</v>
      </c>
      <c r="CK1774" s="1">
        <v>0</v>
      </c>
      <c r="CL1774" s="1">
        <v>0</v>
      </c>
      <c r="CM1774" s="1" t="s">
        <v>104</v>
      </c>
    </row>
    <row r="1775" spans="1:91" ht="14.25" customHeight="1" x14ac:dyDescent="0.3">
      <c r="A1775" s="1" t="s">
        <v>9605</v>
      </c>
      <c r="B1775" s="1" t="s">
        <v>137</v>
      </c>
      <c r="D1775" s="1" t="s">
        <v>145</v>
      </c>
      <c r="E1775" s="1" t="s">
        <v>3225</v>
      </c>
      <c r="F1775" s="1" t="s">
        <v>95</v>
      </c>
      <c r="G1775" s="1" t="s">
        <v>127</v>
      </c>
      <c r="H1775" s="1">
        <v>0</v>
      </c>
      <c r="I1775" s="1" t="s">
        <v>128</v>
      </c>
      <c r="L1775" s="1" t="s">
        <v>9606</v>
      </c>
      <c r="M1775" s="1" t="s">
        <v>2330</v>
      </c>
      <c r="N1775" s="1">
        <v>0</v>
      </c>
      <c r="O1775" s="1">
        <v>0</v>
      </c>
      <c r="P1775" s="1" t="s">
        <v>148</v>
      </c>
      <c r="Q1775" s="1" t="s">
        <v>149</v>
      </c>
      <c r="R1775" s="1" t="s">
        <v>9607</v>
      </c>
      <c r="S1775" s="1" t="s">
        <v>9569</v>
      </c>
      <c r="T1775" s="1">
        <v>1</v>
      </c>
      <c r="U1775" s="1">
        <v>1</v>
      </c>
      <c r="V1775" s="1">
        <v>0</v>
      </c>
      <c r="W1775" s="1">
        <v>0</v>
      </c>
      <c r="X1775" s="1">
        <v>1</v>
      </c>
      <c r="Y1775" s="1" t="s">
        <v>104</v>
      </c>
      <c r="Z1775" s="1" t="s">
        <v>104</v>
      </c>
      <c r="AA1775" s="1">
        <v>3</v>
      </c>
      <c r="AB1775" s="1" t="s">
        <v>104</v>
      </c>
      <c r="AC1775" s="1" t="s">
        <v>104</v>
      </c>
      <c r="AD1775" s="1" t="s">
        <v>104</v>
      </c>
      <c r="AE1775" s="1" t="s">
        <v>104</v>
      </c>
      <c r="AF1775" s="1" t="s">
        <v>104</v>
      </c>
      <c r="AG1775" s="1" t="s">
        <v>104</v>
      </c>
      <c r="AH1775" s="1" t="s">
        <v>104</v>
      </c>
      <c r="AI1775" s="1">
        <v>3</v>
      </c>
      <c r="AJ1775" s="1">
        <v>3</v>
      </c>
      <c r="AK1775" s="1" t="s">
        <v>104</v>
      </c>
      <c r="AL1775" s="1" t="s">
        <v>104</v>
      </c>
      <c r="AM1775" s="1" t="s">
        <v>104</v>
      </c>
      <c r="AO1775" s="1">
        <v>3</v>
      </c>
      <c r="AQ1775" s="1" t="s">
        <v>9608</v>
      </c>
      <c r="AR1775" s="1">
        <v>0</v>
      </c>
      <c r="AS1775" s="1">
        <v>0</v>
      </c>
      <c r="AT1775" s="1">
        <v>0</v>
      </c>
      <c r="AU1775" s="1">
        <v>0</v>
      </c>
      <c r="AV1775" s="1">
        <v>0</v>
      </c>
      <c r="AW1775" s="1">
        <v>0</v>
      </c>
      <c r="AX1775" s="1">
        <v>0</v>
      </c>
      <c r="AY1775" s="1">
        <v>0</v>
      </c>
      <c r="AZ1775" s="1">
        <v>0</v>
      </c>
      <c r="BA1775" s="1">
        <v>0</v>
      </c>
      <c r="BB1775" s="1">
        <v>0</v>
      </c>
      <c r="BC1775" s="1">
        <v>0</v>
      </c>
      <c r="BD1775" s="1">
        <v>0</v>
      </c>
      <c r="BE1775" s="1">
        <v>0</v>
      </c>
      <c r="BF1775" s="1">
        <v>0</v>
      </c>
      <c r="BG1775" s="1">
        <v>0</v>
      </c>
      <c r="BH1775" s="1">
        <v>0</v>
      </c>
      <c r="BI1775" s="1">
        <v>0</v>
      </c>
      <c r="BJ1775" s="1">
        <v>0</v>
      </c>
      <c r="BK1775" s="1">
        <v>0</v>
      </c>
      <c r="BL1775" s="1">
        <v>0</v>
      </c>
      <c r="BM1775" s="1">
        <v>0</v>
      </c>
      <c r="BN1775" s="1">
        <v>0</v>
      </c>
      <c r="BO1775" s="1">
        <v>0</v>
      </c>
      <c r="BP1775" s="1">
        <v>0</v>
      </c>
      <c r="BQ1775" s="1" t="s">
        <v>104</v>
      </c>
      <c r="BR1775" s="1">
        <v>1874</v>
      </c>
      <c r="BS1775" s="1" t="s">
        <v>104</v>
      </c>
      <c r="BX1775" s="1">
        <v>0</v>
      </c>
      <c r="BY1775" s="1" t="s">
        <v>104</v>
      </c>
      <c r="BZ1775" s="1" t="s">
        <v>104</v>
      </c>
      <c r="CA1775" s="1" t="s">
        <v>104</v>
      </c>
      <c r="CB1775" s="1" t="s">
        <v>104</v>
      </c>
      <c r="CC1775" s="1" t="s">
        <v>104</v>
      </c>
      <c r="CD1775" s="1" t="s">
        <v>104</v>
      </c>
      <c r="CE1775" s="1" t="s">
        <v>104</v>
      </c>
      <c r="CF1775" s="1" t="s">
        <v>104</v>
      </c>
      <c r="CG1775" s="1" t="s">
        <v>104</v>
      </c>
      <c r="CH1775" s="1" t="s">
        <v>104</v>
      </c>
      <c r="CJ1775" s="1">
        <v>0</v>
      </c>
      <c r="CK1775" s="1">
        <v>0</v>
      </c>
      <c r="CL1775" s="1">
        <v>0</v>
      </c>
      <c r="CM1775" s="1" t="s">
        <v>104</v>
      </c>
    </row>
    <row r="1776" spans="1:91" ht="14.25" customHeight="1" x14ac:dyDescent="0.3">
      <c r="A1776" s="1" t="s">
        <v>9609</v>
      </c>
      <c r="B1776" s="1" t="s">
        <v>507</v>
      </c>
      <c r="C1776" s="1" t="s">
        <v>1767</v>
      </c>
      <c r="E1776" s="1" t="s">
        <v>9610</v>
      </c>
      <c r="F1776" s="1" t="s">
        <v>95</v>
      </c>
      <c r="G1776" s="1" t="s">
        <v>9611</v>
      </c>
      <c r="H1776" s="1">
        <v>0</v>
      </c>
      <c r="I1776" s="1" t="s">
        <v>117</v>
      </c>
      <c r="L1776" s="1" t="s">
        <v>9612</v>
      </c>
      <c r="M1776" s="1" t="s">
        <v>620</v>
      </c>
      <c r="N1776" s="1">
        <v>1</v>
      </c>
      <c r="O1776" s="1">
        <v>0</v>
      </c>
      <c r="P1776" s="1" t="s">
        <v>4401</v>
      </c>
      <c r="Q1776" s="1" t="s">
        <v>472</v>
      </c>
      <c r="R1776" s="1" t="s">
        <v>9613</v>
      </c>
      <c r="S1776" s="1" t="s">
        <v>9569</v>
      </c>
      <c r="T1776" s="1">
        <v>1</v>
      </c>
      <c r="U1776" s="1">
        <v>1</v>
      </c>
      <c r="V1776" s="1">
        <v>0</v>
      </c>
      <c r="W1776" s="1">
        <v>0</v>
      </c>
      <c r="X1776" s="1">
        <v>0</v>
      </c>
      <c r="Y1776" s="1">
        <v>1</v>
      </c>
      <c r="Z1776" s="1">
        <v>1</v>
      </c>
      <c r="AA1776" s="1" t="s">
        <v>104</v>
      </c>
      <c r="AB1776" s="1" t="s">
        <v>104</v>
      </c>
      <c r="AC1776" s="1" t="s">
        <v>104</v>
      </c>
      <c r="AD1776" s="1">
        <v>1</v>
      </c>
      <c r="AE1776" s="1" t="s">
        <v>104</v>
      </c>
      <c r="AF1776" s="1" t="s">
        <v>104</v>
      </c>
      <c r="AG1776" s="1" t="s">
        <v>104</v>
      </c>
      <c r="AH1776" s="1">
        <v>1</v>
      </c>
      <c r="AI1776" s="1" t="s">
        <v>104</v>
      </c>
      <c r="AJ1776" s="1" t="s">
        <v>104</v>
      </c>
      <c r="AK1776" s="1" t="s">
        <v>104</v>
      </c>
      <c r="AL1776" s="1" t="s">
        <v>104</v>
      </c>
      <c r="AM1776" s="1" t="s">
        <v>104</v>
      </c>
      <c r="AO1776" s="1">
        <v>1</v>
      </c>
      <c r="AQ1776" s="1" t="s">
        <v>9614</v>
      </c>
      <c r="AR1776" s="1">
        <v>0</v>
      </c>
      <c r="AS1776" s="1">
        <v>0</v>
      </c>
      <c r="AT1776" s="1">
        <v>0</v>
      </c>
      <c r="AU1776" s="1">
        <v>0</v>
      </c>
      <c r="AV1776" s="1">
        <v>0</v>
      </c>
      <c r="AW1776" s="1">
        <v>0</v>
      </c>
      <c r="AX1776" s="1">
        <v>0</v>
      </c>
      <c r="AY1776" s="1">
        <v>0</v>
      </c>
      <c r="AZ1776" s="1">
        <v>0</v>
      </c>
      <c r="BA1776" s="1">
        <v>0</v>
      </c>
      <c r="BB1776" s="1">
        <v>0</v>
      </c>
      <c r="BC1776" s="1">
        <v>0</v>
      </c>
      <c r="BD1776" s="1">
        <v>0</v>
      </c>
      <c r="BE1776" s="1">
        <v>0</v>
      </c>
      <c r="BF1776" s="1">
        <v>0</v>
      </c>
      <c r="BG1776" s="1">
        <v>0</v>
      </c>
      <c r="BH1776" s="1">
        <v>0</v>
      </c>
      <c r="BI1776" s="1">
        <v>0</v>
      </c>
      <c r="BJ1776" s="1">
        <v>0</v>
      </c>
      <c r="BK1776" s="1">
        <v>0</v>
      </c>
      <c r="BL1776" s="1">
        <v>0</v>
      </c>
      <c r="BM1776" s="1">
        <v>0</v>
      </c>
      <c r="BN1776" s="1">
        <v>0</v>
      </c>
      <c r="BO1776" s="1">
        <v>0</v>
      </c>
      <c r="BP1776" s="1">
        <v>0</v>
      </c>
      <c r="BQ1776" s="1" t="s">
        <v>104</v>
      </c>
      <c r="BR1776" s="1">
        <v>1875</v>
      </c>
      <c r="BS1776" s="1" t="s">
        <v>104</v>
      </c>
      <c r="BX1776" s="1">
        <v>0</v>
      </c>
      <c r="BY1776" s="1" t="s">
        <v>104</v>
      </c>
      <c r="BZ1776" s="1" t="s">
        <v>104</v>
      </c>
      <c r="CA1776" s="1" t="s">
        <v>104</v>
      </c>
      <c r="CB1776" s="1" t="s">
        <v>104</v>
      </c>
      <c r="CC1776" s="1" t="s">
        <v>104</v>
      </c>
      <c r="CD1776" s="1">
        <v>1</v>
      </c>
      <c r="CE1776" s="1" t="s">
        <v>104</v>
      </c>
      <c r="CF1776" s="1" t="s">
        <v>104</v>
      </c>
      <c r="CG1776" s="1" t="s">
        <v>104</v>
      </c>
      <c r="CH1776" s="1" t="s">
        <v>104</v>
      </c>
      <c r="CJ1776" s="1">
        <v>0</v>
      </c>
      <c r="CK1776" s="1">
        <v>0</v>
      </c>
      <c r="CL1776" s="1">
        <v>0</v>
      </c>
      <c r="CM1776" s="1" t="s">
        <v>104</v>
      </c>
    </row>
    <row r="1777" spans="1:91" ht="14.25" customHeight="1" x14ac:dyDescent="0.3">
      <c r="A1777" s="1" t="s">
        <v>9615</v>
      </c>
      <c r="B1777" s="1" t="s">
        <v>137</v>
      </c>
      <c r="E1777" s="1" t="s">
        <v>9616</v>
      </c>
      <c r="F1777" s="1" t="s">
        <v>95</v>
      </c>
      <c r="G1777" s="1" t="s">
        <v>9617</v>
      </c>
      <c r="H1777" s="1">
        <v>0</v>
      </c>
      <c r="I1777" s="1" t="s">
        <v>157</v>
      </c>
      <c r="L1777" s="1" t="s">
        <v>158</v>
      </c>
      <c r="M1777" s="1" t="s">
        <v>4992</v>
      </c>
      <c r="N1777" s="1">
        <v>1</v>
      </c>
      <c r="O1777" s="1">
        <v>0</v>
      </c>
      <c r="R1777" s="1" t="s">
        <v>9618</v>
      </c>
      <c r="S1777" s="1" t="s">
        <v>9569</v>
      </c>
      <c r="T1777" s="1">
        <v>1</v>
      </c>
      <c r="U1777" s="1">
        <v>1</v>
      </c>
      <c r="V1777" s="1">
        <v>1</v>
      </c>
      <c r="W1777" s="1">
        <v>0</v>
      </c>
      <c r="X1777" s="1">
        <v>0</v>
      </c>
      <c r="Y1777" s="1">
        <v>3</v>
      </c>
      <c r="Z1777" s="1">
        <v>3</v>
      </c>
      <c r="AA1777" s="1" t="s">
        <v>104</v>
      </c>
      <c r="AB1777" s="1">
        <v>3</v>
      </c>
      <c r="AC1777" s="1" t="s">
        <v>104</v>
      </c>
      <c r="AD1777" s="1" t="s">
        <v>104</v>
      </c>
      <c r="AE1777" s="1" t="s">
        <v>104</v>
      </c>
      <c r="AF1777" s="1">
        <v>3</v>
      </c>
      <c r="AG1777" s="1" t="s">
        <v>104</v>
      </c>
      <c r="AH1777" s="1">
        <v>3</v>
      </c>
      <c r="AI1777" s="1" t="s">
        <v>104</v>
      </c>
      <c r="AJ1777" s="1" t="s">
        <v>104</v>
      </c>
      <c r="AK1777" s="1" t="s">
        <v>104</v>
      </c>
      <c r="AL1777" s="1" t="s">
        <v>104</v>
      </c>
      <c r="AM1777" s="1" t="s">
        <v>104</v>
      </c>
      <c r="AO1777" s="1">
        <v>3</v>
      </c>
      <c r="AQ1777" s="1" t="s">
        <v>9619</v>
      </c>
      <c r="AR1777" s="1">
        <v>0</v>
      </c>
      <c r="AS1777" s="1">
        <v>0</v>
      </c>
      <c r="AT1777" s="1">
        <v>0</v>
      </c>
      <c r="AU1777" s="1">
        <v>0</v>
      </c>
      <c r="AV1777" s="1">
        <v>0</v>
      </c>
      <c r="AW1777" s="1">
        <v>0</v>
      </c>
      <c r="AX1777" s="1">
        <v>0</v>
      </c>
      <c r="AY1777" s="1">
        <v>0</v>
      </c>
      <c r="AZ1777" s="1">
        <v>0</v>
      </c>
      <c r="BA1777" s="1">
        <v>0</v>
      </c>
      <c r="BB1777" s="1">
        <v>0</v>
      </c>
      <c r="BC1777" s="1">
        <v>0</v>
      </c>
      <c r="BD1777" s="1">
        <v>0</v>
      </c>
      <c r="BE1777" s="1">
        <v>0</v>
      </c>
      <c r="BF1777" s="1">
        <v>0</v>
      </c>
      <c r="BG1777" s="1">
        <v>0</v>
      </c>
      <c r="BH1777" s="1">
        <v>0</v>
      </c>
      <c r="BI1777" s="1">
        <v>0</v>
      </c>
      <c r="BJ1777" s="1">
        <v>0</v>
      </c>
      <c r="BK1777" s="1">
        <v>0</v>
      </c>
      <c r="BL1777" s="1">
        <v>0</v>
      </c>
      <c r="BM1777" s="1">
        <v>0</v>
      </c>
      <c r="BN1777" s="1">
        <v>0</v>
      </c>
      <c r="BO1777" s="1">
        <v>0</v>
      </c>
      <c r="BP1777" s="1">
        <v>0</v>
      </c>
      <c r="BQ1777" s="1" t="s">
        <v>104</v>
      </c>
      <c r="BR1777" s="1">
        <v>1876</v>
      </c>
      <c r="BS1777" s="1" t="s">
        <v>104</v>
      </c>
      <c r="BX1777" s="1">
        <v>0</v>
      </c>
      <c r="BY1777" s="1" t="s">
        <v>104</v>
      </c>
      <c r="BZ1777" s="1">
        <v>3</v>
      </c>
      <c r="CA1777" s="1">
        <v>3</v>
      </c>
      <c r="CB1777" s="1" t="s">
        <v>104</v>
      </c>
      <c r="CC1777" s="1" t="s">
        <v>104</v>
      </c>
      <c r="CD1777" s="1" t="s">
        <v>104</v>
      </c>
      <c r="CE1777" s="1" t="s">
        <v>104</v>
      </c>
      <c r="CF1777" s="1" t="s">
        <v>104</v>
      </c>
      <c r="CG1777" s="1" t="s">
        <v>104</v>
      </c>
      <c r="CH1777" s="1">
        <v>3</v>
      </c>
      <c r="CJ1777" s="1">
        <v>0</v>
      </c>
      <c r="CK1777" s="1">
        <v>0</v>
      </c>
      <c r="CL1777" s="1">
        <v>0</v>
      </c>
      <c r="CM1777" s="1" t="s">
        <v>104</v>
      </c>
    </row>
    <row r="1778" spans="1:91" ht="14.25" customHeight="1" x14ac:dyDescent="0.3">
      <c r="A1778" s="1" t="s">
        <v>9620</v>
      </c>
      <c r="B1778" s="1" t="s">
        <v>123</v>
      </c>
      <c r="C1778" s="1" t="s">
        <v>124</v>
      </c>
      <c r="D1778" s="1" t="s">
        <v>125</v>
      </c>
      <c r="E1778" s="1" t="s">
        <v>9621</v>
      </c>
      <c r="F1778" s="1" t="s">
        <v>191</v>
      </c>
      <c r="G1778" s="1" t="s">
        <v>6941</v>
      </c>
      <c r="H1778" s="1">
        <v>0</v>
      </c>
      <c r="I1778" s="1" t="s">
        <v>117</v>
      </c>
      <c r="L1778" s="1" t="s">
        <v>6942</v>
      </c>
      <c r="M1778" s="1" t="s">
        <v>201</v>
      </c>
      <c r="N1778" s="1">
        <v>0</v>
      </c>
      <c r="O1778" s="1">
        <v>0</v>
      </c>
      <c r="P1778" s="1" t="s">
        <v>100</v>
      </c>
      <c r="Q1778" s="1" t="s">
        <v>184</v>
      </c>
      <c r="R1778" s="1" t="s">
        <v>9622</v>
      </c>
      <c r="S1778" s="1" t="s">
        <v>9569</v>
      </c>
      <c r="T1778" s="1">
        <v>1</v>
      </c>
      <c r="U1778" s="1">
        <v>1</v>
      </c>
      <c r="V1778" s="1">
        <v>1</v>
      </c>
      <c r="W1778" s="1">
        <v>0</v>
      </c>
      <c r="X1778" s="1">
        <v>0</v>
      </c>
      <c r="Y1778" s="1" t="s">
        <v>104</v>
      </c>
      <c r="Z1778" s="1" t="s">
        <v>104</v>
      </c>
      <c r="AA1778" s="1" t="s">
        <v>104</v>
      </c>
      <c r="AB1778" s="1">
        <v>2</v>
      </c>
      <c r="AC1778" s="1">
        <v>1</v>
      </c>
      <c r="AD1778" s="1">
        <v>2</v>
      </c>
      <c r="AE1778" s="1">
        <v>1</v>
      </c>
      <c r="AF1778" s="1" t="s">
        <v>104</v>
      </c>
      <c r="AG1778" s="1" t="s">
        <v>104</v>
      </c>
      <c r="AH1778" s="1">
        <v>1</v>
      </c>
      <c r="AI1778" s="1">
        <v>1</v>
      </c>
      <c r="AJ1778" s="1" t="s">
        <v>104</v>
      </c>
      <c r="AK1778" s="1">
        <v>1</v>
      </c>
      <c r="AL1778" s="1" t="s">
        <v>104</v>
      </c>
      <c r="AM1778" s="1" t="s">
        <v>104</v>
      </c>
      <c r="AO1778" s="1">
        <v>2</v>
      </c>
      <c r="AQ1778" s="1" t="s">
        <v>9623</v>
      </c>
      <c r="AR1778" s="1">
        <v>0</v>
      </c>
      <c r="AS1778" s="1">
        <v>0</v>
      </c>
      <c r="AT1778" s="1">
        <v>0</v>
      </c>
      <c r="AU1778" s="1">
        <v>0</v>
      </c>
      <c r="AV1778" s="1">
        <v>0</v>
      </c>
      <c r="AW1778" s="1">
        <v>0</v>
      </c>
      <c r="AX1778" s="1">
        <v>0</v>
      </c>
      <c r="AY1778" s="1">
        <v>0</v>
      </c>
      <c r="AZ1778" s="1">
        <v>0</v>
      </c>
      <c r="BA1778" s="1">
        <v>0</v>
      </c>
      <c r="BB1778" s="1">
        <v>0</v>
      </c>
      <c r="BC1778" s="1">
        <v>0</v>
      </c>
      <c r="BD1778" s="1">
        <v>0</v>
      </c>
      <c r="BE1778" s="1">
        <v>0</v>
      </c>
      <c r="BF1778" s="1">
        <v>0</v>
      </c>
      <c r="BG1778" s="1">
        <v>0</v>
      </c>
      <c r="BH1778" s="1">
        <v>0</v>
      </c>
      <c r="BI1778" s="1">
        <v>0</v>
      </c>
      <c r="BJ1778" s="1">
        <v>0</v>
      </c>
      <c r="BK1778" s="1">
        <v>1</v>
      </c>
      <c r="BL1778" s="1">
        <v>0</v>
      </c>
      <c r="BM1778" s="1">
        <v>0</v>
      </c>
      <c r="BN1778" s="1">
        <v>0</v>
      </c>
      <c r="BO1778" s="1">
        <v>0</v>
      </c>
      <c r="BP1778" s="1">
        <v>0</v>
      </c>
      <c r="BQ1778" s="1" t="s">
        <v>104</v>
      </c>
      <c r="BR1778" s="1">
        <v>1877</v>
      </c>
      <c r="BS1778" s="1" t="s">
        <v>104</v>
      </c>
      <c r="BX1778" s="1">
        <v>0</v>
      </c>
      <c r="BY1778" s="1" t="s">
        <v>104</v>
      </c>
      <c r="BZ1778" s="1">
        <v>2</v>
      </c>
      <c r="CA1778" s="1">
        <v>1</v>
      </c>
      <c r="CB1778" s="1" t="s">
        <v>104</v>
      </c>
      <c r="CC1778" s="1" t="s">
        <v>104</v>
      </c>
      <c r="CD1778" s="1" t="s">
        <v>104</v>
      </c>
      <c r="CE1778" s="1" t="s">
        <v>104</v>
      </c>
      <c r="CF1778" s="1" t="s">
        <v>104</v>
      </c>
      <c r="CG1778" s="1" t="s">
        <v>104</v>
      </c>
      <c r="CH1778" s="1">
        <v>1</v>
      </c>
      <c r="CJ1778" s="1">
        <v>0</v>
      </c>
      <c r="CK1778" s="1">
        <v>0</v>
      </c>
      <c r="CL1778" s="1">
        <v>0</v>
      </c>
      <c r="CM1778" s="1" t="s">
        <v>104</v>
      </c>
    </row>
    <row r="1779" spans="1:91" ht="14.25" customHeight="1" x14ac:dyDescent="0.3">
      <c r="A1779" s="1" t="s">
        <v>9624</v>
      </c>
      <c r="B1779" s="1" t="s">
        <v>123</v>
      </c>
      <c r="C1779" s="1" t="s">
        <v>124</v>
      </c>
      <c r="D1779" s="1" t="s">
        <v>125</v>
      </c>
      <c r="E1779" s="1" t="s">
        <v>9625</v>
      </c>
      <c r="F1779" s="1" t="s">
        <v>95</v>
      </c>
      <c r="G1779" s="1" t="s">
        <v>116</v>
      </c>
      <c r="H1779" s="1">
        <v>0</v>
      </c>
      <c r="I1779" s="1" t="s">
        <v>117</v>
      </c>
      <c r="L1779" s="1" t="s">
        <v>9626</v>
      </c>
      <c r="M1779" s="1" t="s">
        <v>8646</v>
      </c>
      <c r="N1779" s="1">
        <v>0</v>
      </c>
      <c r="O1779" s="1">
        <v>0</v>
      </c>
      <c r="P1779" s="1" t="s">
        <v>211</v>
      </c>
      <c r="Q1779" s="1" t="s">
        <v>184</v>
      </c>
      <c r="R1779" s="1" t="s">
        <v>9627</v>
      </c>
      <c r="S1779" s="1" t="s">
        <v>9569</v>
      </c>
      <c r="T1779" s="1">
        <v>1</v>
      </c>
      <c r="U1779" s="1">
        <v>1</v>
      </c>
      <c r="V1779" s="1">
        <v>0</v>
      </c>
      <c r="W1779" s="1">
        <v>0</v>
      </c>
      <c r="X1779" s="1">
        <v>0</v>
      </c>
      <c r="Y1779" s="1" t="s">
        <v>104</v>
      </c>
      <c r="Z1779" s="1" t="s">
        <v>104</v>
      </c>
      <c r="AA1779" s="1" t="s">
        <v>104</v>
      </c>
      <c r="AB1779" s="1" t="s">
        <v>104</v>
      </c>
      <c r="AC1779" s="1" t="s">
        <v>104</v>
      </c>
      <c r="AD1779" s="1">
        <v>2</v>
      </c>
      <c r="AE1779" s="1" t="s">
        <v>104</v>
      </c>
      <c r="AF1779" s="1" t="s">
        <v>104</v>
      </c>
      <c r="AG1779" s="1" t="s">
        <v>104</v>
      </c>
      <c r="AH1779" s="1">
        <v>2</v>
      </c>
      <c r="AI1779" s="1" t="s">
        <v>104</v>
      </c>
      <c r="AJ1779" s="1" t="s">
        <v>104</v>
      </c>
      <c r="AK1779" s="1" t="s">
        <v>104</v>
      </c>
      <c r="AL1779" s="1" t="s">
        <v>104</v>
      </c>
      <c r="AM1779" s="1" t="s">
        <v>104</v>
      </c>
      <c r="AO1779" s="1">
        <v>2</v>
      </c>
      <c r="AP1779" s="1" t="s">
        <v>9628</v>
      </c>
      <c r="AQ1779" s="1" t="s">
        <v>9629</v>
      </c>
      <c r="AR1779" s="1">
        <v>0</v>
      </c>
      <c r="AS1779" s="1">
        <v>0</v>
      </c>
      <c r="AT1779" s="1">
        <v>0</v>
      </c>
      <c r="AU1779" s="1">
        <v>0</v>
      </c>
      <c r="AV1779" s="1">
        <v>0</v>
      </c>
      <c r="AW1779" s="1">
        <v>0</v>
      </c>
      <c r="AX1779" s="1">
        <v>0</v>
      </c>
      <c r="AY1779" s="1">
        <v>0</v>
      </c>
      <c r="AZ1779" s="1">
        <v>0</v>
      </c>
      <c r="BA1779" s="1">
        <v>0</v>
      </c>
      <c r="BB1779" s="1">
        <v>0</v>
      </c>
      <c r="BC1779" s="1">
        <v>0</v>
      </c>
      <c r="BD1779" s="1">
        <v>0</v>
      </c>
      <c r="BE1779" s="1">
        <v>0</v>
      </c>
      <c r="BF1779" s="1">
        <v>0</v>
      </c>
      <c r="BG1779" s="1">
        <v>0</v>
      </c>
      <c r="BH1779" s="1">
        <v>0</v>
      </c>
      <c r="BI1779" s="1">
        <v>0</v>
      </c>
      <c r="BJ1779" s="1">
        <v>0</v>
      </c>
      <c r="BK1779" s="1">
        <v>1</v>
      </c>
      <c r="BL1779" s="1">
        <v>0</v>
      </c>
      <c r="BM1779" s="1">
        <v>0</v>
      </c>
      <c r="BN1779" s="1">
        <v>0</v>
      </c>
      <c r="BO1779" s="1">
        <v>0</v>
      </c>
      <c r="BP1779" s="1">
        <v>0</v>
      </c>
      <c r="BQ1779" s="1" t="s">
        <v>104</v>
      </c>
      <c r="BR1779" s="1">
        <v>1878</v>
      </c>
      <c r="BS1779" s="1" t="s">
        <v>104</v>
      </c>
      <c r="BX1779" s="1">
        <v>0</v>
      </c>
      <c r="BY1779" s="1" t="s">
        <v>104</v>
      </c>
      <c r="BZ1779" s="1" t="s">
        <v>104</v>
      </c>
      <c r="CA1779" s="1">
        <v>2</v>
      </c>
      <c r="CB1779" s="1" t="s">
        <v>104</v>
      </c>
      <c r="CC1779" s="1">
        <v>2</v>
      </c>
      <c r="CD1779" s="1" t="s">
        <v>104</v>
      </c>
      <c r="CE1779" s="1" t="s">
        <v>104</v>
      </c>
      <c r="CF1779" s="1" t="s">
        <v>104</v>
      </c>
      <c r="CG1779" s="1" t="s">
        <v>104</v>
      </c>
      <c r="CH1779" s="1" t="s">
        <v>104</v>
      </c>
      <c r="CJ1779" s="1">
        <v>0</v>
      </c>
      <c r="CK1779" s="1">
        <v>0</v>
      </c>
      <c r="CL1779" s="1">
        <v>0</v>
      </c>
      <c r="CM1779" s="1" t="s">
        <v>104</v>
      </c>
    </row>
    <row r="1780" spans="1:91" ht="14.25" customHeight="1" x14ac:dyDescent="0.3">
      <c r="A1780" s="1" t="s">
        <v>9630</v>
      </c>
      <c r="B1780" s="1" t="s">
        <v>162</v>
      </c>
      <c r="E1780" s="1" t="s">
        <v>9631</v>
      </c>
      <c r="F1780" s="1" t="s">
        <v>255</v>
      </c>
      <c r="G1780" s="1" t="s">
        <v>127</v>
      </c>
      <c r="H1780" s="1">
        <v>0</v>
      </c>
      <c r="I1780" s="1" t="s">
        <v>256</v>
      </c>
      <c r="J1780" s="1" t="s">
        <v>3086</v>
      </c>
      <c r="M1780" s="1" t="s">
        <v>4641</v>
      </c>
      <c r="N1780" s="1">
        <v>1</v>
      </c>
      <c r="O1780" s="1">
        <v>0</v>
      </c>
      <c r="P1780" s="1" t="s">
        <v>100</v>
      </c>
      <c r="Q1780" s="1" t="s">
        <v>184</v>
      </c>
      <c r="R1780" s="1" t="s">
        <v>9632</v>
      </c>
      <c r="S1780" s="1" t="s">
        <v>9569</v>
      </c>
      <c r="T1780" s="1">
        <v>1</v>
      </c>
      <c r="U1780" s="1">
        <v>1</v>
      </c>
      <c r="V1780" s="1">
        <v>0</v>
      </c>
      <c r="W1780" s="1">
        <v>0</v>
      </c>
      <c r="X1780" s="1">
        <v>1</v>
      </c>
      <c r="Y1780" s="1" t="s">
        <v>104</v>
      </c>
      <c r="Z1780" s="1" t="s">
        <v>104</v>
      </c>
      <c r="AA1780" s="1">
        <v>4</v>
      </c>
      <c r="AB1780" s="1" t="s">
        <v>104</v>
      </c>
      <c r="AC1780" s="1" t="s">
        <v>104</v>
      </c>
      <c r="AD1780" s="1" t="s">
        <v>104</v>
      </c>
      <c r="AE1780" s="1" t="s">
        <v>104</v>
      </c>
      <c r="AF1780" s="1" t="s">
        <v>104</v>
      </c>
      <c r="AG1780" s="1" t="s">
        <v>104</v>
      </c>
      <c r="AH1780" s="1">
        <v>4</v>
      </c>
      <c r="AI1780" s="1" t="s">
        <v>104</v>
      </c>
      <c r="AJ1780" s="1">
        <v>4</v>
      </c>
      <c r="AK1780" s="1" t="s">
        <v>104</v>
      </c>
      <c r="AL1780" s="1" t="s">
        <v>104</v>
      </c>
      <c r="AM1780" s="1" t="s">
        <v>104</v>
      </c>
      <c r="AO1780" s="1">
        <v>4</v>
      </c>
      <c r="AQ1780" s="1" t="s">
        <v>9633</v>
      </c>
      <c r="AR1780" s="1">
        <v>0</v>
      </c>
      <c r="AS1780" s="1">
        <v>0</v>
      </c>
      <c r="AT1780" s="1">
        <v>0</v>
      </c>
      <c r="AU1780" s="1">
        <v>0</v>
      </c>
      <c r="AV1780" s="1">
        <v>0</v>
      </c>
      <c r="AW1780" s="1">
        <v>0</v>
      </c>
      <c r="AX1780" s="1">
        <v>0</v>
      </c>
      <c r="AY1780" s="1">
        <v>0</v>
      </c>
      <c r="AZ1780" s="1">
        <v>0</v>
      </c>
      <c r="BA1780" s="1">
        <v>0</v>
      </c>
      <c r="BB1780" s="1">
        <v>0</v>
      </c>
      <c r="BC1780" s="1">
        <v>0</v>
      </c>
      <c r="BD1780" s="1">
        <v>0</v>
      </c>
      <c r="BE1780" s="1">
        <v>0</v>
      </c>
      <c r="BF1780" s="1">
        <v>0</v>
      </c>
      <c r="BG1780" s="1">
        <v>0</v>
      </c>
      <c r="BH1780" s="1">
        <v>0</v>
      </c>
      <c r="BI1780" s="1">
        <v>0</v>
      </c>
      <c r="BJ1780" s="1">
        <v>0</v>
      </c>
      <c r="BK1780" s="1">
        <v>0</v>
      </c>
      <c r="BL1780" s="1">
        <v>0</v>
      </c>
      <c r="BM1780" s="1">
        <v>0</v>
      </c>
      <c r="BN1780" s="1">
        <v>0</v>
      </c>
      <c r="BO1780" s="1">
        <v>0</v>
      </c>
      <c r="BP1780" s="1">
        <v>0</v>
      </c>
      <c r="BQ1780" s="1" t="s">
        <v>104</v>
      </c>
      <c r="BR1780" s="1">
        <v>1879</v>
      </c>
      <c r="BS1780" s="1" t="s">
        <v>104</v>
      </c>
      <c r="BX1780" s="1">
        <v>0</v>
      </c>
      <c r="BY1780" s="1" t="s">
        <v>104</v>
      </c>
      <c r="BZ1780" s="1">
        <v>4</v>
      </c>
      <c r="CA1780" s="1">
        <v>4</v>
      </c>
      <c r="CB1780" s="1" t="s">
        <v>104</v>
      </c>
      <c r="CC1780" s="1" t="s">
        <v>104</v>
      </c>
      <c r="CD1780" s="1" t="s">
        <v>104</v>
      </c>
      <c r="CE1780" s="1">
        <v>4</v>
      </c>
      <c r="CF1780" s="1" t="s">
        <v>104</v>
      </c>
      <c r="CG1780" s="1" t="s">
        <v>104</v>
      </c>
      <c r="CH1780" s="1" t="s">
        <v>104</v>
      </c>
      <c r="CJ1780" s="1">
        <v>0</v>
      </c>
      <c r="CK1780" s="1">
        <v>0</v>
      </c>
      <c r="CL1780" s="1">
        <v>0</v>
      </c>
      <c r="CM1780" s="1" t="s">
        <v>104</v>
      </c>
    </row>
    <row r="1781" spans="1:91" ht="14.25" customHeight="1" x14ac:dyDescent="0.3">
      <c r="A1781" s="1" t="s">
        <v>9634</v>
      </c>
      <c r="B1781" s="1" t="s">
        <v>172</v>
      </c>
      <c r="E1781" s="1" t="s">
        <v>9635</v>
      </c>
      <c r="F1781" s="1" t="s">
        <v>95</v>
      </c>
      <c r="G1781" s="1" t="s">
        <v>116</v>
      </c>
      <c r="H1781" s="1">
        <v>0</v>
      </c>
      <c r="I1781" s="1" t="s">
        <v>157</v>
      </c>
      <c r="L1781" s="1" t="s">
        <v>158</v>
      </c>
      <c r="M1781" s="1" t="s">
        <v>4641</v>
      </c>
      <c r="N1781" s="1">
        <v>1</v>
      </c>
      <c r="O1781" s="1">
        <v>0</v>
      </c>
      <c r="R1781" s="1" t="s">
        <v>9636</v>
      </c>
      <c r="S1781" s="1" t="s">
        <v>9569</v>
      </c>
      <c r="T1781" s="1">
        <v>1</v>
      </c>
      <c r="U1781" s="1">
        <v>1</v>
      </c>
      <c r="V1781" s="1">
        <v>0</v>
      </c>
      <c r="W1781" s="1">
        <v>0</v>
      </c>
      <c r="X1781" s="1">
        <v>0</v>
      </c>
      <c r="Y1781" s="1">
        <v>3</v>
      </c>
      <c r="Z1781" s="1">
        <v>3</v>
      </c>
      <c r="AA1781" s="1">
        <v>3</v>
      </c>
      <c r="AB1781" s="1" t="s">
        <v>104</v>
      </c>
      <c r="AC1781" s="1" t="s">
        <v>104</v>
      </c>
      <c r="AD1781" s="1" t="s">
        <v>104</v>
      </c>
      <c r="AE1781" s="1" t="s">
        <v>104</v>
      </c>
      <c r="AF1781" s="1">
        <v>3</v>
      </c>
      <c r="AG1781" s="1" t="s">
        <v>104</v>
      </c>
      <c r="AH1781" s="1">
        <v>3</v>
      </c>
      <c r="AI1781" s="1">
        <v>4</v>
      </c>
      <c r="AJ1781" s="1">
        <v>3</v>
      </c>
      <c r="AK1781" s="1" t="s">
        <v>104</v>
      </c>
      <c r="AL1781" s="1" t="s">
        <v>104</v>
      </c>
      <c r="AM1781" s="1" t="s">
        <v>104</v>
      </c>
      <c r="AO1781" s="1">
        <v>3</v>
      </c>
      <c r="AQ1781" s="1" t="s">
        <v>9637</v>
      </c>
      <c r="AR1781" s="1">
        <v>0</v>
      </c>
      <c r="AS1781" s="1">
        <v>0</v>
      </c>
      <c r="AT1781" s="1">
        <v>0</v>
      </c>
      <c r="AU1781" s="1">
        <v>0</v>
      </c>
      <c r="AV1781" s="1">
        <v>0</v>
      </c>
      <c r="AW1781" s="1">
        <v>0</v>
      </c>
      <c r="AX1781" s="1">
        <v>0</v>
      </c>
      <c r="AY1781" s="1">
        <v>0</v>
      </c>
      <c r="AZ1781" s="1">
        <v>0</v>
      </c>
      <c r="BA1781" s="1">
        <v>0</v>
      </c>
      <c r="BB1781" s="1">
        <v>0</v>
      </c>
      <c r="BC1781" s="1">
        <v>0</v>
      </c>
      <c r="BD1781" s="1">
        <v>0</v>
      </c>
      <c r="BE1781" s="1">
        <v>0</v>
      </c>
      <c r="BF1781" s="1">
        <v>0</v>
      </c>
      <c r="BG1781" s="1">
        <v>0</v>
      </c>
      <c r="BH1781" s="1">
        <v>0</v>
      </c>
      <c r="BI1781" s="1">
        <v>0</v>
      </c>
      <c r="BJ1781" s="1">
        <v>0</v>
      </c>
      <c r="BK1781" s="1">
        <v>0</v>
      </c>
      <c r="BL1781" s="1">
        <v>0</v>
      </c>
      <c r="BM1781" s="1">
        <v>0</v>
      </c>
      <c r="BN1781" s="1">
        <v>0</v>
      </c>
      <c r="BO1781" s="1">
        <v>0</v>
      </c>
      <c r="BP1781" s="1">
        <v>0</v>
      </c>
      <c r="BQ1781" s="1" t="s">
        <v>104</v>
      </c>
      <c r="BR1781" s="1">
        <v>1880</v>
      </c>
      <c r="BS1781" s="1" t="s">
        <v>104</v>
      </c>
      <c r="BX1781" s="1">
        <v>0</v>
      </c>
      <c r="BY1781" s="1" t="s">
        <v>104</v>
      </c>
      <c r="BZ1781" s="1">
        <v>3</v>
      </c>
      <c r="CA1781" s="1">
        <v>3</v>
      </c>
      <c r="CB1781" s="1" t="s">
        <v>104</v>
      </c>
      <c r="CC1781" s="1">
        <v>3</v>
      </c>
      <c r="CD1781" s="1" t="s">
        <v>104</v>
      </c>
      <c r="CE1781" s="1">
        <v>3</v>
      </c>
      <c r="CF1781" s="1" t="s">
        <v>104</v>
      </c>
      <c r="CG1781" s="1" t="s">
        <v>104</v>
      </c>
      <c r="CH1781" s="1" t="s">
        <v>104</v>
      </c>
      <c r="CJ1781" s="1">
        <v>0</v>
      </c>
      <c r="CK1781" s="1">
        <v>0</v>
      </c>
      <c r="CL1781" s="1">
        <v>0</v>
      </c>
      <c r="CM1781" s="1" t="s">
        <v>104</v>
      </c>
    </row>
    <row r="1782" spans="1:91" ht="14.25" customHeight="1" x14ac:dyDescent="0.3">
      <c r="A1782" s="1" t="s">
        <v>9638</v>
      </c>
      <c r="B1782" s="1" t="s">
        <v>216</v>
      </c>
      <c r="D1782" s="1" t="s">
        <v>9639</v>
      </c>
      <c r="E1782" s="1" t="s">
        <v>9640</v>
      </c>
      <c r="F1782" s="1" t="s">
        <v>95</v>
      </c>
      <c r="G1782" s="1" t="s">
        <v>116</v>
      </c>
      <c r="H1782" s="1">
        <v>0</v>
      </c>
      <c r="I1782" s="1" t="s">
        <v>914</v>
      </c>
      <c r="J1782" s="1" t="s">
        <v>549</v>
      </c>
      <c r="M1782" s="1" t="s">
        <v>9540</v>
      </c>
      <c r="N1782" s="1">
        <v>0</v>
      </c>
      <c r="O1782" s="1">
        <v>0</v>
      </c>
      <c r="P1782" s="1" t="s">
        <v>9641</v>
      </c>
      <c r="Q1782" s="1" t="s">
        <v>184</v>
      </c>
      <c r="R1782" s="1" t="s">
        <v>9642</v>
      </c>
      <c r="S1782" s="1" t="s">
        <v>9569</v>
      </c>
      <c r="T1782" s="1">
        <v>1</v>
      </c>
      <c r="U1782" s="1">
        <v>1</v>
      </c>
      <c r="V1782" s="1">
        <v>0</v>
      </c>
      <c r="W1782" s="1">
        <v>0</v>
      </c>
      <c r="X1782" s="1">
        <v>0</v>
      </c>
      <c r="Y1782" s="1">
        <v>6</v>
      </c>
      <c r="Z1782" s="1">
        <v>6</v>
      </c>
      <c r="AA1782" s="1" t="s">
        <v>104</v>
      </c>
      <c r="AB1782" s="1" t="s">
        <v>104</v>
      </c>
      <c r="AC1782" s="1" t="s">
        <v>104</v>
      </c>
      <c r="AD1782" s="1" t="s">
        <v>104</v>
      </c>
      <c r="AE1782" s="1" t="s">
        <v>104</v>
      </c>
      <c r="AF1782" s="1" t="s">
        <v>104</v>
      </c>
      <c r="AG1782" s="1" t="s">
        <v>104</v>
      </c>
      <c r="AH1782" s="1">
        <v>6</v>
      </c>
      <c r="AI1782" s="1" t="s">
        <v>104</v>
      </c>
      <c r="AJ1782" s="1" t="s">
        <v>104</v>
      </c>
      <c r="AK1782" s="1" t="s">
        <v>104</v>
      </c>
      <c r="AL1782" s="1" t="s">
        <v>104</v>
      </c>
      <c r="AM1782" s="1" t="s">
        <v>104</v>
      </c>
      <c r="AO1782" s="1">
        <v>6</v>
      </c>
      <c r="AQ1782" s="1" t="s">
        <v>9643</v>
      </c>
      <c r="AR1782" s="1">
        <v>0</v>
      </c>
      <c r="AS1782" s="1">
        <v>0</v>
      </c>
      <c r="AT1782" s="1">
        <v>0</v>
      </c>
      <c r="AU1782" s="1">
        <v>0</v>
      </c>
      <c r="AV1782" s="1">
        <v>0</v>
      </c>
      <c r="AW1782" s="1">
        <v>0</v>
      </c>
      <c r="AX1782" s="1">
        <v>1</v>
      </c>
      <c r="AY1782" s="1">
        <v>0</v>
      </c>
      <c r="AZ1782" s="1">
        <v>0</v>
      </c>
      <c r="BA1782" s="1">
        <v>0</v>
      </c>
      <c r="BB1782" s="1">
        <v>0</v>
      </c>
      <c r="BC1782" s="1">
        <v>0</v>
      </c>
      <c r="BD1782" s="1">
        <v>1</v>
      </c>
      <c r="BE1782" s="1">
        <v>0</v>
      </c>
      <c r="BF1782" s="1">
        <v>0</v>
      </c>
      <c r="BG1782" s="1">
        <v>0</v>
      </c>
      <c r="BH1782" s="1">
        <v>0</v>
      </c>
      <c r="BI1782" s="1">
        <v>0</v>
      </c>
      <c r="BJ1782" s="1">
        <v>0</v>
      </c>
      <c r="BK1782" s="1">
        <v>1</v>
      </c>
      <c r="BL1782" s="1">
        <v>0</v>
      </c>
      <c r="BM1782" s="1">
        <v>0</v>
      </c>
      <c r="BN1782" s="1">
        <v>0</v>
      </c>
      <c r="BO1782" s="1">
        <v>1</v>
      </c>
      <c r="BP1782" s="1">
        <v>0</v>
      </c>
      <c r="BQ1782" s="1" t="s">
        <v>104</v>
      </c>
      <c r="BR1782" s="1">
        <v>1881</v>
      </c>
      <c r="BS1782" s="1" t="s">
        <v>104</v>
      </c>
      <c r="BX1782" s="1">
        <v>0</v>
      </c>
      <c r="BY1782" s="1" t="s">
        <v>104</v>
      </c>
      <c r="BZ1782" s="1" t="s">
        <v>104</v>
      </c>
      <c r="CA1782" s="1" t="s">
        <v>104</v>
      </c>
      <c r="CB1782" s="1" t="s">
        <v>104</v>
      </c>
      <c r="CC1782" s="1" t="s">
        <v>104</v>
      </c>
      <c r="CD1782" s="1" t="s">
        <v>104</v>
      </c>
      <c r="CE1782" s="1">
        <v>6</v>
      </c>
      <c r="CF1782" s="1" t="s">
        <v>104</v>
      </c>
      <c r="CG1782" s="1" t="s">
        <v>104</v>
      </c>
      <c r="CH1782" s="1" t="s">
        <v>104</v>
      </c>
      <c r="CJ1782" s="1">
        <v>0</v>
      </c>
      <c r="CK1782" s="1">
        <v>0</v>
      </c>
      <c r="CL1782" s="1">
        <v>0</v>
      </c>
      <c r="CM1782" s="1" t="s">
        <v>104</v>
      </c>
    </row>
    <row r="1783" spans="1:91" ht="14.25" customHeight="1" x14ac:dyDescent="0.3">
      <c r="A1783" s="1" t="s">
        <v>9644</v>
      </c>
      <c r="B1783" s="1" t="s">
        <v>216</v>
      </c>
      <c r="E1783" s="1" t="s">
        <v>7498</v>
      </c>
      <c r="F1783" s="1" t="s">
        <v>95</v>
      </c>
      <c r="G1783" s="1" t="s">
        <v>116</v>
      </c>
      <c r="H1783" s="1">
        <v>0</v>
      </c>
      <c r="I1783" s="1" t="s">
        <v>109</v>
      </c>
      <c r="K1783" s="1" t="s">
        <v>110</v>
      </c>
      <c r="M1783" s="1" t="s">
        <v>2330</v>
      </c>
      <c r="N1783" s="1">
        <v>0</v>
      </c>
      <c r="O1783" s="1">
        <v>0</v>
      </c>
      <c r="P1783" s="1" t="s">
        <v>100</v>
      </c>
      <c r="Q1783" s="1" t="s">
        <v>101</v>
      </c>
      <c r="R1783" s="1" t="s">
        <v>9645</v>
      </c>
      <c r="S1783" s="1" t="s">
        <v>9569</v>
      </c>
      <c r="T1783" s="1">
        <v>1</v>
      </c>
      <c r="U1783" s="1">
        <v>1</v>
      </c>
      <c r="V1783" s="1">
        <v>0</v>
      </c>
      <c r="W1783" s="1">
        <v>0</v>
      </c>
      <c r="X1783" s="1">
        <v>0</v>
      </c>
      <c r="Y1783" s="1">
        <v>3</v>
      </c>
      <c r="Z1783" s="1">
        <v>3</v>
      </c>
      <c r="AA1783" s="1" t="s">
        <v>104</v>
      </c>
      <c r="AB1783" s="1" t="s">
        <v>104</v>
      </c>
      <c r="AC1783" s="1" t="s">
        <v>104</v>
      </c>
      <c r="AD1783" s="1" t="s">
        <v>104</v>
      </c>
      <c r="AE1783" s="1" t="s">
        <v>104</v>
      </c>
      <c r="AF1783" s="1" t="s">
        <v>104</v>
      </c>
      <c r="AG1783" s="1" t="s">
        <v>104</v>
      </c>
      <c r="AH1783" s="1">
        <v>3</v>
      </c>
      <c r="AI1783" s="1" t="s">
        <v>104</v>
      </c>
      <c r="AJ1783" s="1" t="s">
        <v>104</v>
      </c>
      <c r="AK1783" s="1" t="s">
        <v>104</v>
      </c>
      <c r="AL1783" s="1" t="s">
        <v>104</v>
      </c>
      <c r="AM1783" s="1" t="s">
        <v>104</v>
      </c>
      <c r="AO1783" s="1">
        <v>3</v>
      </c>
      <c r="AQ1783" s="1" t="s">
        <v>9646</v>
      </c>
      <c r="AR1783" s="1">
        <v>0</v>
      </c>
      <c r="AS1783" s="1">
        <v>0</v>
      </c>
      <c r="AT1783" s="1">
        <v>0</v>
      </c>
      <c r="AU1783" s="1">
        <v>0</v>
      </c>
      <c r="AV1783" s="1">
        <v>0</v>
      </c>
      <c r="AW1783" s="1">
        <v>0</v>
      </c>
      <c r="AX1783" s="1">
        <v>0</v>
      </c>
      <c r="AY1783" s="1">
        <v>0</v>
      </c>
      <c r="AZ1783" s="1">
        <v>0</v>
      </c>
      <c r="BA1783" s="1">
        <v>0</v>
      </c>
      <c r="BB1783" s="1">
        <v>0</v>
      </c>
      <c r="BC1783" s="1">
        <v>0</v>
      </c>
      <c r="BD1783" s="1">
        <v>0</v>
      </c>
      <c r="BE1783" s="1">
        <v>0</v>
      </c>
      <c r="BF1783" s="1">
        <v>0</v>
      </c>
      <c r="BG1783" s="1">
        <v>0</v>
      </c>
      <c r="BH1783" s="1">
        <v>0</v>
      </c>
      <c r="BI1783" s="1">
        <v>0</v>
      </c>
      <c r="BJ1783" s="1">
        <v>0</v>
      </c>
      <c r="BK1783" s="1">
        <v>0</v>
      </c>
      <c r="BL1783" s="1">
        <v>0</v>
      </c>
      <c r="BM1783" s="1">
        <v>0</v>
      </c>
      <c r="BN1783" s="1">
        <v>0</v>
      </c>
      <c r="BO1783" s="1">
        <v>0</v>
      </c>
      <c r="BP1783" s="1">
        <v>0</v>
      </c>
      <c r="BQ1783" s="1" t="s">
        <v>104</v>
      </c>
      <c r="BR1783" s="1">
        <v>1882</v>
      </c>
      <c r="BS1783" s="1" t="s">
        <v>104</v>
      </c>
      <c r="BX1783" s="1">
        <v>0</v>
      </c>
      <c r="BY1783" s="1" t="s">
        <v>104</v>
      </c>
      <c r="BZ1783" s="1" t="s">
        <v>104</v>
      </c>
      <c r="CA1783" s="1" t="s">
        <v>104</v>
      </c>
      <c r="CB1783" s="1" t="s">
        <v>104</v>
      </c>
      <c r="CC1783" s="1" t="s">
        <v>104</v>
      </c>
      <c r="CD1783" s="1" t="s">
        <v>104</v>
      </c>
      <c r="CE1783" s="1" t="s">
        <v>104</v>
      </c>
      <c r="CF1783" s="1" t="s">
        <v>104</v>
      </c>
      <c r="CG1783" s="1" t="s">
        <v>104</v>
      </c>
      <c r="CH1783" s="1" t="s">
        <v>104</v>
      </c>
      <c r="CJ1783" s="1">
        <v>0</v>
      </c>
      <c r="CK1783" s="1">
        <v>0</v>
      </c>
      <c r="CL1783" s="1">
        <v>0</v>
      </c>
      <c r="CM1783" s="1" t="s">
        <v>104</v>
      </c>
    </row>
    <row r="1784" spans="1:91" ht="14.25" customHeight="1" x14ac:dyDescent="0.3">
      <c r="A1784" s="1" t="s">
        <v>9647</v>
      </c>
      <c r="B1784" s="1" t="s">
        <v>172</v>
      </c>
      <c r="E1784" s="1" t="s">
        <v>9648</v>
      </c>
      <c r="F1784" s="1" t="s">
        <v>95</v>
      </c>
      <c r="G1784" s="1" t="s">
        <v>1974</v>
      </c>
      <c r="H1784" s="1">
        <v>0</v>
      </c>
      <c r="I1784" s="1" t="s">
        <v>157</v>
      </c>
      <c r="L1784" s="1" t="s">
        <v>158</v>
      </c>
      <c r="M1784" s="1" t="s">
        <v>4292</v>
      </c>
      <c r="N1784" s="1">
        <v>0</v>
      </c>
      <c r="O1784" s="1">
        <v>0</v>
      </c>
      <c r="R1784" s="1" t="s">
        <v>9649</v>
      </c>
      <c r="S1784" s="1" t="s">
        <v>9569</v>
      </c>
      <c r="T1784" s="1">
        <v>0</v>
      </c>
      <c r="U1784" s="1">
        <v>1</v>
      </c>
      <c r="V1784" s="1">
        <v>0</v>
      </c>
      <c r="W1784" s="1">
        <v>0</v>
      </c>
      <c r="X1784" s="1">
        <v>1</v>
      </c>
      <c r="Y1784" s="1" t="s">
        <v>104</v>
      </c>
      <c r="Z1784" s="1" t="s">
        <v>104</v>
      </c>
      <c r="AA1784" s="1" t="s">
        <v>104</v>
      </c>
      <c r="AB1784" s="1">
        <v>2</v>
      </c>
      <c r="AC1784" s="1" t="s">
        <v>104</v>
      </c>
      <c r="AD1784" s="1" t="s">
        <v>104</v>
      </c>
      <c r="AE1784" s="1" t="s">
        <v>104</v>
      </c>
      <c r="AF1784" s="1" t="s">
        <v>104</v>
      </c>
      <c r="AG1784" s="1" t="s">
        <v>104</v>
      </c>
      <c r="AH1784" s="1">
        <v>2</v>
      </c>
      <c r="AI1784" s="1" t="s">
        <v>104</v>
      </c>
      <c r="AJ1784" s="1" t="s">
        <v>104</v>
      </c>
      <c r="AK1784" s="1" t="s">
        <v>104</v>
      </c>
      <c r="AL1784" s="1" t="s">
        <v>104</v>
      </c>
      <c r="AM1784" s="1" t="s">
        <v>104</v>
      </c>
      <c r="AO1784" s="1">
        <v>2</v>
      </c>
      <c r="AQ1784" s="1" t="s">
        <v>9650</v>
      </c>
      <c r="AR1784" s="1">
        <v>0</v>
      </c>
      <c r="AS1784" s="1">
        <v>0</v>
      </c>
      <c r="AT1784" s="1">
        <v>0</v>
      </c>
      <c r="AU1784" s="1">
        <v>0</v>
      </c>
      <c r="AV1784" s="1">
        <v>0</v>
      </c>
      <c r="AW1784" s="1">
        <v>0</v>
      </c>
      <c r="AX1784" s="1">
        <v>0</v>
      </c>
      <c r="AY1784" s="1">
        <v>0</v>
      </c>
      <c r="AZ1784" s="1">
        <v>0</v>
      </c>
      <c r="BA1784" s="1">
        <v>0</v>
      </c>
      <c r="BB1784" s="1">
        <v>0</v>
      </c>
      <c r="BC1784" s="1">
        <v>0</v>
      </c>
      <c r="BD1784" s="1">
        <v>0</v>
      </c>
      <c r="BE1784" s="1">
        <v>0</v>
      </c>
      <c r="BF1784" s="1">
        <v>0</v>
      </c>
      <c r="BG1784" s="1">
        <v>0</v>
      </c>
      <c r="BH1784" s="1">
        <v>0</v>
      </c>
      <c r="BI1784" s="1">
        <v>0</v>
      </c>
      <c r="BJ1784" s="1">
        <v>0</v>
      </c>
      <c r="BK1784" s="1">
        <v>0</v>
      </c>
      <c r="BL1784" s="1">
        <v>0</v>
      </c>
      <c r="BM1784" s="1">
        <v>0</v>
      </c>
      <c r="BN1784" s="1">
        <v>0</v>
      </c>
      <c r="BO1784" s="1">
        <v>0</v>
      </c>
      <c r="BP1784" s="1">
        <v>0</v>
      </c>
      <c r="BQ1784" s="1" t="s">
        <v>104</v>
      </c>
      <c r="BR1784" s="1">
        <v>1883</v>
      </c>
      <c r="BS1784" s="1" t="s">
        <v>104</v>
      </c>
      <c r="BX1784" s="1">
        <v>0</v>
      </c>
      <c r="BY1784" s="1" t="s">
        <v>104</v>
      </c>
      <c r="BZ1784" s="1">
        <v>2</v>
      </c>
      <c r="CA1784" s="1" t="s">
        <v>104</v>
      </c>
      <c r="CB1784" s="1" t="s">
        <v>104</v>
      </c>
      <c r="CC1784" s="1" t="s">
        <v>104</v>
      </c>
      <c r="CD1784" s="1" t="s">
        <v>104</v>
      </c>
      <c r="CE1784" s="1" t="s">
        <v>104</v>
      </c>
      <c r="CF1784" s="1" t="s">
        <v>104</v>
      </c>
      <c r="CG1784" s="1" t="s">
        <v>104</v>
      </c>
      <c r="CH1784" s="1">
        <v>2</v>
      </c>
      <c r="CJ1784" s="1">
        <v>0</v>
      </c>
      <c r="CK1784" s="1">
        <v>0</v>
      </c>
      <c r="CL1784" s="1">
        <v>0</v>
      </c>
      <c r="CM1784" s="1" t="s">
        <v>104</v>
      </c>
    </row>
    <row r="1785" spans="1:91" ht="14.25" customHeight="1" x14ac:dyDescent="0.3">
      <c r="A1785" s="1" t="s">
        <v>9651</v>
      </c>
      <c r="B1785" s="1" t="s">
        <v>162</v>
      </c>
      <c r="E1785" s="1" t="s">
        <v>9652</v>
      </c>
      <c r="F1785" s="1" t="s">
        <v>95</v>
      </c>
      <c r="G1785" s="1" t="s">
        <v>116</v>
      </c>
      <c r="H1785" s="1">
        <v>0</v>
      </c>
      <c r="I1785" s="1" t="s">
        <v>117</v>
      </c>
      <c r="L1785" s="1" t="s">
        <v>1065</v>
      </c>
      <c r="M1785" s="1" t="s">
        <v>4641</v>
      </c>
      <c r="N1785" s="1">
        <v>1</v>
      </c>
      <c r="O1785" s="1">
        <v>0</v>
      </c>
      <c r="P1785" s="1" t="s">
        <v>375</v>
      </c>
      <c r="Q1785" s="1" t="s">
        <v>184</v>
      </c>
      <c r="R1785" s="1" t="s">
        <v>9653</v>
      </c>
      <c r="S1785" s="1" t="s">
        <v>9569</v>
      </c>
      <c r="T1785" s="1">
        <v>1</v>
      </c>
      <c r="U1785" s="1">
        <v>1</v>
      </c>
      <c r="V1785" s="1">
        <v>0</v>
      </c>
      <c r="W1785" s="1">
        <v>0</v>
      </c>
      <c r="X1785" s="1">
        <v>0</v>
      </c>
      <c r="Y1785" s="1" t="s">
        <v>104</v>
      </c>
      <c r="Z1785" s="1" t="s">
        <v>104</v>
      </c>
      <c r="AA1785" s="1" t="s">
        <v>104</v>
      </c>
      <c r="AB1785" s="1" t="s">
        <v>104</v>
      </c>
      <c r="AC1785" s="1" t="s">
        <v>104</v>
      </c>
      <c r="AD1785" s="1" t="s">
        <v>104</v>
      </c>
      <c r="AE1785" s="1">
        <v>3</v>
      </c>
      <c r="AF1785" s="1" t="s">
        <v>104</v>
      </c>
      <c r="AG1785" s="1" t="s">
        <v>104</v>
      </c>
      <c r="AH1785" s="1" t="s">
        <v>104</v>
      </c>
      <c r="AI1785" s="1" t="s">
        <v>104</v>
      </c>
      <c r="AJ1785" s="1" t="s">
        <v>104</v>
      </c>
      <c r="AK1785" s="1">
        <v>3</v>
      </c>
      <c r="AL1785" s="1" t="s">
        <v>104</v>
      </c>
      <c r="AM1785" s="1" t="s">
        <v>104</v>
      </c>
      <c r="AO1785" s="1">
        <v>3</v>
      </c>
      <c r="AQ1785" s="1" t="s">
        <v>9654</v>
      </c>
      <c r="AR1785" s="1">
        <v>0</v>
      </c>
      <c r="AS1785" s="1">
        <v>0</v>
      </c>
      <c r="AT1785" s="1">
        <v>0</v>
      </c>
      <c r="AU1785" s="1">
        <v>0</v>
      </c>
      <c r="AV1785" s="1">
        <v>0</v>
      </c>
      <c r="AW1785" s="1">
        <v>0</v>
      </c>
      <c r="AX1785" s="1">
        <v>0</v>
      </c>
      <c r="AY1785" s="1">
        <v>0</v>
      </c>
      <c r="AZ1785" s="1">
        <v>0</v>
      </c>
      <c r="BA1785" s="1">
        <v>0</v>
      </c>
      <c r="BB1785" s="1">
        <v>0</v>
      </c>
      <c r="BC1785" s="1">
        <v>0</v>
      </c>
      <c r="BD1785" s="1">
        <v>0</v>
      </c>
      <c r="BE1785" s="1">
        <v>0</v>
      </c>
      <c r="BF1785" s="1">
        <v>0</v>
      </c>
      <c r="BG1785" s="1">
        <v>0</v>
      </c>
      <c r="BH1785" s="1">
        <v>0</v>
      </c>
      <c r="BI1785" s="1">
        <v>0</v>
      </c>
      <c r="BJ1785" s="1">
        <v>0</v>
      </c>
      <c r="BK1785" s="1">
        <v>0</v>
      </c>
      <c r="BL1785" s="1">
        <v>0</v>
      </c>
      <c r="BM1785" s="1">
        <v>0</v>
      </c>
      <c r="BN1785" s="1">
        <v>0</v>
      </c>
      <c r="BO1785" s="1">
        <v>0</v>
      </c>
      <c r="BP1785" s="1">
        <v>0</v>
      </c>
      <c r="BQ1785" s="1" t="s">
        <v>104</v>
      </c>
      <c r="BR1785" s="1">
        <v>1884</v>
      </c>
      <c r="BS1785" s="1" t="s">
        <v>104</v>
      </c>
      <c r="BX1785" s="1">
        <v>0</v>
      </c>
      <c r="BY1785" s="1" t="s">
        <v>104</v>
      </c>
      <c r="BZ1785" s="1" t="s">
        <v>104</v>
      </c>
      <c r="CA1785" s="1" t="s">
        <v>104</v>
      </c>
      <c r="CB1785" s="1" t="s">
        <v>104</v>
      </c>
      <c r="CC1785" s="1" t="s">
        <v>104</v>
      </c>
      <c r="CD1785" s="1" t="s">
        <v>104</v>
      </c>
      <c r="CE1785" s="1" t="s">
        <v>104</v>
      </c>
      <c r="CF1785" s="1" t="s">
        <v>104</v>
      </c>
      <c r="CG1785" s="1" t="s">
        <v>104</v>
      </c>
      <c r="CH1785" s="1" t="s">
        <v>104</v>
      </c>
      <c r="CJ1785" s="1">
        <v>0</v>
      </c>
      <c r="CK1785" s="1">
        <v>0</v>
      </c>
      <c r="CL1785" s="1">
        <v>0</v>
      </c>
      <c r="CM1785" s="1" t="s">
        <v>104</v>
      </c>
    </row>
    <row r="1786" spans="1:91" ht="14.25" customHeight="1" x14ac:dyDescent="0.3">
      <c r="A1786" s="1" t="s">
        <v>9655</v>
      </c>
      <c r="B1786" s="1" t="s">
        <v>137</v>
      </c>
      <c r="E1786" s="1" t="s">
        <v>9656</v>
      </c>
      <c r="F1786" s="1" t="s">
        <v>95</v>
      </c>
      <c r="G1786" s="1" t="s">
        <v>116</v>
      </c>
      <c r="H1786" s="1">
        <v>0</v>
      </c>
      <c r="I1786" s="1" t="s">
        <v>128</v>
      </c>
      <c r="L1786" s="1" t="s">
        <v>9657</v>
      </c>
      <c r="M1786" s="1" t="s">
        <v>119</v>
      </c>
      <c r="N1786" s="1">
        <v>0</v>
      </c>
      <c r="O1786" s="1">
        <v>0</v>
      </c>
      <c r="P1786" s="1" t="s">
        <v>100</v>
      </c>
      <c r="Q1786" s="1" t="s">
        <v>101</v>
      </c>
      <c r="R1786" s="1" t="s">
        <v>9658</v>
      </c>
      <c r="S1786" s="1" t="s">
        <v>9569</v>
      </c>
      <c r="T1786" s="1">
        <v>1</v>
      </c>
      <c r="U1786" s="1">
        <v>1</v>
      </c>
      <c r="V1786" s="1">
        <v>0</v>
      </c>
      <c r="W1786" s="1">
        <v>0</v>
      </c>
      <c r="X1786" s="1">
        <v>0</v>
      </c>
      <c r="Y1786" s="1" t="s">
        <v>104</v>
      </c>
      <c r="Z1786" s="1" t="s">
        <v>104</v>
      </c>
      <c r="AA1786" s="1" t="s">
        <v>104</v>
      </c>
      <c r="AB1786" s="1" t="s">
        <v>104</v>
      </c>
      <c r="AC1786" s="1" t="s">
        <v>104</v>
      </c>
      <c r="AD1786" s="1" t="s">
        <v>104</v>
      </c>
      <c r="AE1786" s="1" t="s">
        <v>104</v>
      </c>
      <c r="AF1786" s="1" t="s">
        <v>104</v>
      </c>
      <c r="AG1786" s="1" t="s">
        <v>104</v>
      </c>
      <c r="AH1786" s="1" t="s">
        <v>104</v>
      </c>
      <c r="AI1786" s="1" t="s">
        <v>104</v>
      </c>
      <c r="AJ1786" s="1" t="s">
        <v>104</v>
      </c>
      <c r="AK1786" s="1" t="s">
        <v>104</v>
      </c>
      <c r="AL1786" s="1">
        <v>1</v>
      </c>
      <c r="AM1786" s="1" t="s">
        <v>104</v>
      </c>
      <c r="AO1786" s="1">
        <v>1</v>
      </c>
      <c r="AQ1786" s="1" t="s">
        <v>9659</v>
      </c>
      <c r="AR1786" s="1">
        <v>0</v>
      </c>
      <c r="AS1786" s="1">
        <v>0</v>
      </c>
      <c r="AT1786" s="1">
        <v>0</v>
      </c>
      <c r="AU1786" s="1">
        <v>0</v>
      </c>
      <c r="AV1786" s="1">
        <v>0</v>
      </c>
      <c r="AW1786" s="1">
        <v>0</v>
      </c>
      <c r="AX1786" s="1">
        <v>0</v>
      </c>
      <c r="AY1786" s="1">
        <v>0</v>
      </c>
      <c r="AZ1786" s="1">
        <v>0</v>
      </c>
      <c r="BA1786" s="1">
        <v>0</v>
      </c>
      <c r="BB1786" s="1">
        <v>0</v>
      </c>
      <c r="BC1786" s="1">
        <v>0</v>
      </c>
      <c r="BD1786" s="1">
        <v>0</v>
      </c>
      <c r="BE1786" s="1">
        <v>0</v>
      </c>
      <c r="BF1786" s="1">
        <v>0</v>
      </c>
      <c r="BG1786" s="1">
        <v>0</v>
      </c>
      <c r="BH1786" s="1">
        <v>0</v>
      </c>
      <c r="BI1786" s="1">
        <v>0</v>
      </c>
      <c r="BJ1786" s="1">
        <v>0</v>
      </c>
      <c r="BK1786" s="1">
        <v>0</v>
      </c>
      <c r="BL1786" s="1">
        <v>0</v>
      </c>
      <c r="BM1786" s="1">
        <v>0</v>
      </c>
      <c r="BN1786" s="1">
        <v>0</v>
      </c>
      <c r="BO1786" s="1">
        <v>0</v>
      </c>
      <c r="BP1786" s="1">
        <v>0</v>
      </c>
      <c r="BQ1786" s="1" t="s">
        <v>104</v>
      </c>
      <c r="BR1786" s="1">
        <v>1885</v>
      </c>
      <c r="BS1786" s="1" t="s">
        <v>104</v>
      </c>
      <c r="BX1786" s="1">
        <v>0</v>
      </c>
      <c r="BY1786" s="1">
        <v>1</v>
      </c>
      <c r="BZ1786" s="1" t="s">
        <v>104</v>
      </c>
      <c r="CA1786" s="1" t="s">
        <v>104</v>
      </c>
      <c r="CB1786" s="1" t="s">
        <v>104</v>
      </c>
      <c r="CC1786" s="1" t="s">
        <v>104</v>
      </c>
      <c r="CD1786" s="1" t="s">
        <v>104</v>
      </c>
      <c r="CE1786" s="1" t="s">
        <v>104</v>
      </c>
      <c r="CF1786" s="1" t="s">
        <v>104</v>
      </c>
      <c r="CG1786" s="1" t="s">
        <v>104</v>
      </c>
      <c r="CH1786" s="1" t="s">
        <v>104</v>
      </c>
      <c r="CJ1786" s="1">
        <v>0</v>
      </c>
      <c r="CK1786" s="1">
        <v>0</v>
      </c>
      <c r="CL1786" s="1">
        <v>0</v>
      </c>
      <c r="CM1786" s="1" t="s">
        <v>104</v>
      </c>
    </row>
    <row r="1787" spans="1:91" ht="14.25" customHeight="1" x14ac:dyDescent="0.3">
      <c r="A1787" s="1" t="s">
        <v>9660</v>
      </c>
      <c r="B1787" s="1" t="s">
        <v>434</v>
      </c>
      <c r="D1787" s="1" t="s">
        <v>61</v>
      </c>
      <c r="E1787" s="1" t="s">
        <v>3091</v>
      </c>
      <c r="F1787" s="1" t="s">
        <v>255</v>
      </c>
      <c r="G1787" s="1" t="s">
        <v>9661</v>
      </c>
      <c r="H1787" s="1">
        <v>0</v>
      </c>
      <c r="I1787" s="1" t="s">
        <v>9662</v>
      </c>
      <c r="K1787" s="1" t="s">
        <v>9663</v>
      </c>
      <c r="M1787" s="1" t="s">
        <v>4332</v>
      </c>
      <c r="N1787" s="1">
        <v>0</v>
      </c>
      <c r="O1787" s="1">
        <v>0</v>
      </c>
      <c r="P1787" s="1" t="s">
        <v>100</v>
      </c>
      <c r="Q1787" s="1" t="s">
        <v>101</v>
      </c>
      <c r="R1787" s="1" t="s">
        <v>9664</v>
      </c>
      <c r="S1787" s="1" t="s">
        <v>9569</v>
      </c>
      <c r="T1787" s="1">
        <v>1</v>
      </c>
      <c r="U1787" s="1">
        <v>1</v>
      </c>
      <c r="V1787" s="1">
        <v>1</v>
      </c>
      <c r="W1787" s="1">
        <v>0</v>
      </c>
      <c r="X1787" s="1">
        <v>0</v>
      </c>
      <c r="Y1787" s="1" t="s">
        <v>104</v>
      </c>
      <c r="Z1787" s="1" t="s">
        <v>104</v>
      </c>
      <c r="AA1787" s="1" t="s">
        <v>104</v>
      </c>
      <c r="AB1787" s="1">
        <v>6</v>
      </c>
      <c r="AC1787" s="1" t="s">
        <v>104</v>
      </c>
      <c r="AD1787" s="1" t="s">
        <v>104</v>
      </c>
      <c r="AE1787" s="1" t="s">
        <v>104</v>
      </c>
      <c r="AF1787" s="1" t="s">
        <v>104</v>
      </c>
      <c r="AG1787" s="1" t="s">
        <v>104</v>
      </c>
      <c r="AH1787" s="1" t="s">
        <v>104</v>
      </c>
      <c r="AI1787" s="1" t="s">
        <v>104</v>
      </c>
      <c r="AJ1787" s="1" t="s">
        <v>104</v>
      </c>
      <c r="AK1787" s="1" t="s">
        <v>104</v>
      </c>
      <c r="AL1787" s="1" t="s">
        <v>104</v>
      </c>
      <c r="AM1787" s="1" t="s">
        <v>104</v>
      </c>
      <c r="AO1787" s="1">
        <v>6</v>
      </c>
      <c r="AQ1787" s="1" t="s">
        <v>9665</v>
      </c>
      <c r="AR1787" s="1">
        <v>0</v>
      </c>
      <c r="AS1787" s="1">
        <v>0</v>
      </c>
      <c r="AT1787" s="1">
        <v>0</v>
      </c>
      <c r="AU1787" s="1">
        <v>0</v>
      </c>
      <c r="AV1787" s="1">
        <v>0</v>
      </c>
      <c r="AW1787" s="1">
        <v>0</v>
      </c>
      <c r="AX1787" s="1">
        <v>0</v>
      </c>
      <c r="AY1787" s="1">
        <v>0</v>
      </c>
      <c r="AZ1787" s="1">
        <v>0</v>
      </c>
      <c r="BA1787" s="1">
        <v>0</v>
      </c>
      <c r="BB1787" s="1">
        <v>0</v>
      </c>
      <c r="BC1787" s="1">
        <v>0</v>
      </c>
      <c r="BD1787" s="1">
        <v>0</v>
      </c>
      <c r="BE1787" s="1">
        <v>0</v>
      </c>
      <c r="BF1787" s="1">
        <v>0</v>
      </c>
      <c r="BG1787" s="1">
        <v>0</v>
      </c>
      <c r="BH1787" s="1">
        <v>0</v>
      </c>
      <c r="BI1787" s="1">
        <v>0</v>
      </c>
      <c r="BJ1787" s="1">
        <v>1</v>
      </c>
      <c r="BK1787" s="1">
        <v>0</v>
      </c>
      <c r="BL1787" s="1">
        <v>0</v>
      </c>
      <c r="BM1787" s="1">
        <v>0</v>
      </c>
      <c r="BN1787" s="1">
        <v>0</v>
      </c>
      <c r="BO1787" s="1">
        <v>0</v>
      </c>
      <c r="BP1787" s="1">
        <v>0</v>
      </c>
      <c r="BQ1787" s="1" t="s">
        <v>104</v>
      </c>
      <c r="BR1787" s="1">
        <v>1886</v>
      </c>
      <c r="BS1787" s="1" t="s">
        <v>104</v>
      </c>
      <c r="BX1787" s="1">
        <v>0</v>
      </c>
      <c r="BY1787" s="1" t="s">
        <v>104</v>
      </c>
      <c r="BZ1787" s="1" t="s">
        <v>104</v>
      </c>
      <c r="CA1787" s="1" t="s">
        <v>104</v>
      </c>
      <c r="CB1787" s="1" t="s">
        <v>104</v>
      </c>
      <c r="CC1787" s="1" t="s">
        <v>104</v>
      </c>
      <c r="CD1787" s="1" t="s">
        <v>104</v>
      </c>
      <c r="CE1787" s="1" t="s">
        <v>104</v>
      </c>
      <c r="CF1787" s="1" t="s">
        <v>104</v>
      </c>
      <c r="CG1787" s="1" t="s">
        <v>104</v>
      </c>
      <c r="CH1787" s="1">
        <v>6</v>
      </c>
      <c r="CJ1787" s="1">
        <v>0</v>
      </c>
      <c r="CK1787" s="1">
        <v>0</v>
      </c>
      <c r="CL1787" s="1">
        <v>0</v>
      </c>
      <c r="CM1787" s="1" t="s">
        <v>104</v>
      </c>
    </row>
    <row r="1788" spans="1:91" ht="14.25" customHeight="1" x14ac:dyDescent="0.3">
      <c r="A1788" s="1" t="s">
        <v>9666</v>
      </c>
      <c r="B1788" s="1" t="s">
        <v>137</v>
      </c>
      <c r="D1788" s="1" t="s">
        <v>58</v>
      </c>
      <c r="E1788" s="1" t="s">
        <v>9667</v>
      </c>
      <c r="F1788" s="1" t="s">
        <v>95</v>
      </c>
      <c r="G1788" s="1" t="s">
        <v>116</v>
      </c>
      <c r="H1788" s="1">
        <v>0</v>
      </c>
      <c r="I1788" s="1" t="s">
        <v>128</v>
      </c>
      <c r="L1788" s="1" t="s">
        <v>374</v>
      </c>
      <c r="M1788" s="1" t="s">
        <v>2330</v>
      </c>
      <c r="N1788" s="1">
        <v>0</v>
      </c>
      <c r="O1788" s="1">
        <v>0</v>
      </c>
      <c r="P1788" s="1" t="s">
        <v>100</v>
      </c>
      <c r="Q1788" s="1" t="s">
        <v>184</v>
      </c>
      <c r="R1788" s="1" t="s">
        <v>9668</v>
      </c>
      <c r="S1788" s="1" t="s">
        <v>9569</v>
      </c>
      <c r="T1788" s="1">
        <v>1</v>
      </c>
      <c r="U1788" s="1">
        <v>1</v>
      </c>
      <c r="V1788" s="1">
        <v>0</v>
      </c>
      <c r="W1788" s="1">
        <v>0</v>
      </c>
      <c r="X1788" s="1">
        <v>0</v>
      </c>
      <c r="Y1788" s="1" t="s">
        <v>104</v>
      </c>
      <c r="Z1788" s="1" t="s">
        <v>104</v>
      </c>
      <c r="AA1788" s="1">
        <v>1</v>
      </c>
      <c r="AB1788" s="1" t="s">
        <v>104</v>
      </c>
      <c r="AC1788" s="1" t="s">
        <v>104</v>
      </c>
      <c r="AD1788" s="1" t="s">
        <v>104</v>
      </c>
      <c r="AE1788" s="1">
        <v>1</v>
      </c>
      <c r="AF1788" s="1" t="s">
        <v>104</v>
      </c>
      <c r="AG1788" s="1" t="s">
        <v>104</v>
      </c>
      <c r="AH1788" s="1" t="s">
        <v>104</v>
      </c>
      <c r="AI1788" s="1" t="s">
        <v>104</v>
      </c>
      <c r="AJ1788" s="1">
        <v>1</v>
      </c>
      <c r="AK1788" s="1" t="s">
        <v>104</v>
      </c>
      <c r="AL1788" s="1" t="s">
        <v>104</v>
      </c>
      <c r="AM1788" s="1" t="s">
        <v>104</v>
      </c>
      <c r="AO1788" s="1">
        <v>1</v>
      </c>
      <c r="AQ1788" s="1" t="s">
        <v>9669</v>
      </c>
      <c r="AR1788" s="1">
        <v>0</v>
      </c>
      <c r="AS1788" s="1">
        <v>0</v>
      </c>
      <c r="AT1788" s="1">
        <v>0</v>
      </c>
      <c r="AU1788" s="1">
        <v>0</v>
      </c>
      <c r="AV1788" s="1">
        <v>0</v>
      </c>
      <c r="AW1788" s="1">
        <v>0</v>
      </c>
      <c r="AX1788" s="1">
        <v>0</v>
      </c>
      <c r="AY1788" s="1">
        <v>0</v>
      </c>
      <c r="AZ1788" s="1">
        <v>0</v>
      </c>
      <c r="BA1788" s="1">
        <v>0</v>
      </c>
      <c r="BB1788" s="1">
        <v>0</v>
      </c>
      <c r="BC1788" s="1">
        <v>0</v>
      </c>
      <c r="BD1788" s="1">
        <v>0</v>
      </c>
      <c r="BE1788" s="1">
        <v>0</v>
      </c>
      <c r="BF1788" s="1">
        <v>0</v>
      </c>
      <c r="BG1788" s="1">
        <v>1</v>
      </c>
      <c r="BH1788" s="1">
        <v>0</v>
      </c>
      <c r="BI1788" s="1">
        <v>0</v>
      </c>
      <c r="BJ1788" s="1">
        <v>0</v>
      </c>
      <c r="BK1788" s="1">
        <v>0</v>
      </c>
      <c r="BL1788" s="1">
        <v>0</v>
      </c>
      <c r="BM1788" s="1">
        <v>0</v>
      </c>
      <c r="BN1788" s="1">
        <v>0</v>
      </c>
      <c r="BO1788" s="1">
        <v>0</v>
      </c>
      <c r="BP1788" s="1">
        <v>0</v>
      </c>
      <c r="BQ1788" s="1" t="s">
        <v>104</v>
      </c>
      <c r="BR1788" s="1">
        <v>1887</v>
      </c>
      <c r="BS1788" s="1" t="s">
        <v>104</v>
      </c>
      <c r="BX1788" s="1">
        <v>0</v>
      </c>
      <c r="BY1788" s="1" t="s">
        <v>104</v>
      </c>
      <c r="BZ1788" s="1" t="s">
        <v>104</v>
      </c>
      <c r="CA1788" s="1" t="s">
        <v>104</v>
      </c>
      <c r="CB1788" s="1" t="s">
        <v>104</v>
      </c>
      <c r="CC1788" s="1" t="s">
        <v>104</v>
      </c>
      <c r="CD1788" s="1" t="s">
        <v>104</v>
      </c>
      <c r="CE1788" s="1" t="s">
        <v>104</v>
      </c>
      <c r="CF1788" s="1" t="s">
        <v>104</v>
      </c>
      <c r="CG1788" s="1" t="s">
        <v>104</v>
      </c>
      <c r="CH1788" s="1" t="s">
        <v>104</v>
      </c>
      <c r="CJ1788" s="1">
        <v>0</v>
      </c>
      <c r="CK1788" s="1">
        <v>0</v>
      </c>
      <c r="CL1788" s="1">
        <v>0</v>
      </c>
      <c r="CM1788" s="1" t="s">
        <v>104</v>
      </c>
    </row>
    <row r="1789" spans="1:91" ht="14.25" customHeight="1" x14ac:dyDescent="0.3">
      <c r="A1789" s="1" t="s">
        <v>9670</v>
      </c>
      <c r="B1789" s="1" t="s">
        <v>216</v>
      </c>
      <c r="D1789" s="1" t="s">
        <v>9671</v>
      </c>
      <c r="E1789" s="1" t="s">
        <v>9672</v>
      </c>
      <c r="F1789" s="1" t="s">
        <v>95</v>
      </c>
      <c r="G1789" s="1" t="s">
        <v>116</v>
      </c>
      <c r="H1789" s="1">
        <v>0</v>
      </c>
      <c r="I1789" s="1" t="s">
        <v>128</v>
      </c>
      <c r="L1789" s="1" t="s">
        <v>129</v>
      </c>
      <c r="M1789" s="1" t="s">
        <v>9440</v>
      </c>
      <c r="N1789" s="1">
        <v>0</v>
      </c>
      <c r="O1789" s="1">
        <v>0</v>
      </c>
      <c r="P1789" s="1" t="s">
        <v>9673</v>
      </c>
      <c r="Q1789" s="1" t="s">
        <v>184</v>
      </c>
      <c r="R1789" s="1" t="s">
        <v>9674</v>
      </c>
      <c r="S1789" s="1" t="s">
        <v>9569</v>
      </c>
      <c r="T1789" s="1">
        <v>1</v>
      </c>
      <c r="U1789" s="1">
        <v>1</v>
      </c>
      <c r="V1789" s="1">
        <v>0</v>
      </c>
      <c r="W1789" s="1">
        <v>0</v>
      </c>
      <c r="X1789" s="1">
        <v>0</v>
      </c>
      <c r="Y1789" s="1">
        <v>4</v>
      </c>
      <c r="Z1789" s="1">
        <v>4</v>
      </c>
      <c r="AA1789" s="1">
        <v>4</v>
      </c>
      <c r="AB1789" s="1" t="s">
        <v>104</v>
      </c>
      <c r="AC1789" s="1" t="s">
        <v>104</v>
      </c>
      <c r="AD1789" s="1" t="s">
        <v>104</v>
      </c>
      <c r="AE1789" s="1" t="s">
        <v>104</v>
      </c>
      <c r="AF1789" s="1" t="s">
        <v>104</v>
      </c>
      <c r="AG1789" s="1" t="s">
        <v>104</v>
      </c>
      <c r="AH1789" s="1" t="s">
        <v>104</v>
      </c>
      <c r="AI1789" s="1" t="s">
        <v>104</v>
      </c>
      <c r="AJ1789" s="1">
        <v>4</v>
      </c>
      <c r="AK1789" s="1">
        <v>4</v>
      </c>
      <c r="AL1789" s="1" t="s">
        <v>104</v>
      </c>
      <c r="AM1789" s="1" t="s">
        <v>104</v>
      </c>
      <c r="AO1789" s="1">
        <v>4</v>
      </c>
      <c r="AQ1789" s="1" t="s">
        <v>9675</v>
      </c>
      <c r="AR1789" s="1">
        <v>1</v>
      </c>
      <c r="AS1789" s="1">
        <v>0</v>
      </c>
      <c r="AT1789" s="1">
        <v>0</v>
      </c>
      <c r="AU1789" s="1">
        <v>0</v>
      </c>
      <c r="AV1789" s="1">
        <v>0</v>
      </c>
      <c r="AW1789" s="1">
        <v>0</v>
      </c>
      <c r="AX1789" s="1">
        <v>1</v>
      </c>
      <c r="AY1789" s="1">
        <v>0</v>
      </c>
      <c r="AZ1789" s="1">
        <v>0</v>
      </c>
      <c r="BA1789" s="1">
        <v>0</v>
      </c>
      <c r="BB1789" s="1">
        <v>0</v>
      </c>
      <c r="BC1789" s="1">
        <v>0</v>
      </c>
      <c r="BD1789" s="1">
        <v>0</v>
      </c>
      <c r="BE1789" s="1">
        <v>0</v>
      </c>
      <c r="BF1789" s="1">
        <v>0</v>
      </c>
      <c r="BG1789" s="1">
        <v>0</v>
      </c>
      <c r="BH1789" s="1">
        <v>0</v>
      </c>
      <c r="BI1789" s="1">
        <v>0</v>
      </c>
      <c r="BJ1789" s="1">
        <v>0</v>
      </c>
      <c r="BK1789" s="1">
        <v>0</v>
      </c>
      <c r="BL1789" s="1">
        <v>0</v>
      </c>
      <c r="BM1789" s="1">
        <v>0</v>
      </c>
      <c r="BN1789" s="1">
        <v>0</v>
      </c>
      <c r="BO1789" s="1">
        <v>0</v>
      </c>
      <c r="BP1789" s="1">
        <v>0</v>
      </c>
      <c r="BQ1789" s="1" t="s">
        <v>104</v>
      </c>
      <c r="BR1789" s="1">
        <v>1888</v>
      </c>
      <c r="BS1789" s="1" t="s">
        <v>104</v>
      </c>
      <c r="BX1789" s="1">
        <v>0</v>
      </c>
      <c r="BY1789" s="1" t="s">
        <v>104</v>
      </c>
      <c r="BZ1789" s="1" t="s">
        <v>104</v>
      </c>
      <c r="CA1789" s="1" t="s">
        <v>104</v>
      </c>
      <c r="CB1789" s="1" t="s">
        <v>104</v>
      </c>
      <c r="CC1789" s="1" t="s">
        <v>104</v>
      </c>
      <c r="CD1789" s="1" t="s">
        <v>104</v>
      </c>
      <c r="CE1789" s="1" t="s">
        <v>104</v>
      </c>
      <c r="CF1789" s="1" t="s">
        <v>104</v>
      </c>
      <c r="CG1789" s="1" t="s">
        <v>104</v>
      </c>
      <c r="CH1789" s="1" t="s">
        <v>104</v>
      </c>
      <c r="CJ1789" s="1">
        <v>0</v>
      </c>
      <c r="CK1789" s="1">
        <v>0</v>
      </c>
      <c r="CL1789" s="1">
        <v>0</v>
      </c>
      <c r="CM1789" s="1" t="s">
        <v>104</v>
      </c>
    </row>
    <row r="1790" spans="1:91" ht="14.25" customHeight="1" x14ac:dyDescent="0.3">
      <c r="A1790" s="1" t="s">
        <v>9676</v>
      </c>
      <c r="B1790" s="1" t="s">
        <v>137</v>
      </c>
      <c r="E1790" s="1" t="s">
        <v>9677</v>
      </c>
      <c r="F1790" s="1" t="s">
        <v>95</v>
      </c>
      <c r="G1790" s="1" t="s">
        <v>116</v>
      </c>
      <c r="H1790" s="1">
        <v>0</v>
      </c>
      <c r="I1790" s="1" t="s">
        <v>157</v>
      </c>
      <c r="L1790" s="1" t="s">
        <v>158</v>
      </c>
      <c r="M1790" s="1" t="s">
        <v>2330</v>
      </c>
      <c r="N1790" s="1">
        <v>0</v>
      </c>
      <c r="O1790" s="1">
        <v>0</v>
      </c>
      <c r="R1790" s="1" t="s">
        <v>9678</v>
      </c>
      <c r="S1790" s="1" t="s">
        <v>9569</v>
      </c>
      <c r="T1790" s="1">
        <v>1</v>
      </c>
      <c r="U1790" s="1">
        <v>1</v>
      </c>
      <c r="V1790" s="1">
        <v>0</v>
      </c>
      <c r="W1790" s="1">
        <v>0</v>
      </c>
      <c r="X1790" s="1">
        <v>0</v>
      </c>
      <c r="Y1790" s="1">
        <v>2</v>
      </c>
      <c r="Z1790" s="1">
        <v>2</v>
      </c>
      <c r="AA1790" s="1" t="s">
        <v>104</v>
      </c>
      <c r="AB1790" s="1" t="s">
        <v>104</v>
      </c>
      <c r="AC1790" s="1" t="s">
        <v>104</v>
      </c>
      <c r="AD1790" s="1" t="s">
        <v>104</v>
      </c>
      <c r="AE1790" s="1" t="s">
        <v>104</v>
      </c>
      <c r="AF1790" s="1">
        <v>2</v>
      </c>
      <c r="AG1790" s="1">
        <v>2</v>
      </c>
      <c r="AH1790" s="1">
        <v>2</v>
      </c>
      <c r="AI1790" s="1" t="s">
        <v>104</v>
      </c>
      <c r="AJ1790" s="1" t="s">
        <v>104</v>
      </c>
      <c r="AK1790" s="1" t="s">
        <v>104</v>
      </c>
      <c r="AL1790" s="1" t="s">
        <v>104</v>
      </c>
      <c r="AM1790" s="1" t="s">
        <v>104</v>
      </c>
      <c r="AO1790" s="1">
        <v>2</v>
      </c>
      <c r="AQ1790" s="1" t="s">
        <v>9679</v>
      </c>
      <c r="AR1790" s="1">
        <v>0</v>
      </c>
      <c r="AS1790" s="1">
        <v>0</v>
      </c>
      <c r="AT1790" s="1">
        <v>0</v>
      </c>
      <c r="AU1790" s="1">
        <v>0</v>
      </c>
      <c r="AV1790" s="1">
        <v>0</v>
      </c>
      <c r="AW1790" s="1">
        <v>0</v>
      </c>
      <c r="AX1790" s="1">
        <v>0</v>
      </c>
      <c r="AY1790" s="1">
        <v>0</v>
      </c>
      <c r="AZ1790" s="1">
        <v>0</v>
      </c>
      <c r="BA1790" s="1">
        <v>0</v>
      </c>
      <c r="BB1790" s="1">
        <v>0</v>
      </c>
      <c r="BC1790" s="1">
        <v>0</v>
      </c>
      <c r="BD1790" s="1">
        <v>0</v>
      </c>
      <c r="BE1790" s="1">
        <v>0</v>
      </c>
      <c r="BF1790" s="1">
        <v>0</v>
      </c>
      <c r="BG1790" s="1">
        <v>0</v>
      </c>
      <c r="BH1790" s="1">
        <v>0</v>
      </c>
      <c r="BI1790" s="1">
        <v>0</v>
      </c>
      <c r="BJ1790" s="1">
        <v>0</v>
      </c>
      <c r="BK1790" s="1">
        <v>0</v>
      </c>
      <c r="BL1790" s="1">
        <v>0</v>
      </c>
      <c r="BM1790" s="1">
        <v>0</v>
      </c>
      <c r="BN1790" s="1">
        <v>0</v>
      </c>
      <c r="BO1790" s="1">
        <v>0</v>
      </c>
      <c r="BP1790" s="1">
        <v>0</v>
      </c>
      <c r="BQ1790" s="1" t="s">
        <v>104</v>
      </c>
      <c r="BR1790" s="1">
        <v>1889</v>
      </c>
      <c r="BS1790" s="1" t="s">
        <v>104</v>
      </c>
      <c r="BX1790" s="1">
        <v>0</v>
      </c>
      <c r="BY1790" s="1">
        <v>2</v>
      </c>
      <c r="BZ1790" s="1" t="s">
        <v>104</v>
      </c>
      <c r="CA1790" s="1">
        <v>2</v>
      </c>
      <c r="CB1790" s="1" t="s">
        <v>104</v>
      </c>
      <c r="CC1790" s="1" t="s">
        <v>104</v>
      </c>
      <c r="CD1790" s="1" t="s">
        <v>104</v>
      </c>
      <c r="CE1790" s="1" t="s">
        <v>104</v>
      </c>
      <c r="CF1790" s="1" t="s">
        <v>104</v>
      </c>
      <c r="CG1790" s="1" t="s">
        <v>104</v>
      </c>
      <c r="CH1790" s="1" t="s">
        <v>104</v>
      </c>
      <c r="CJ1790" s="1">
        <v>0</v>
      </c>
      <c r="CK1790" s="1">
        <v>0</v>
      </c>
      <c r="CL1790" s="1">
        <v>0</v>
      </c>
      <c r="CM1790" s="1">
        <v>2</v>
      </c>
    </row>
    <row r="1791" spans="1:91" ht="14.25" customHeight="1" x14ac:dyDescent="0.3">
      <c r="A1791" s="1" t="s">
        <v>9680</v>
      </c>
      <c r="B1791" s="1" t="s">
        <v>137</v>
      </c>
      <c r="E1791" s="1" t="s">
        <v>9681</v>
      </c>
      <c r="F1791" s="1" t="s">
        <v>95</v>
      </c>
      <c r="G1791" s="1" t="s">
        <v>9682</v>
      </c>
      <c r="H1791" s="1">
        <v>1</v>
      </c>
      <c r="I1791" s="1" t="s">
        <v>128</v>
      </c>
      <c r="L1791" s="1" t="s">
        <v>9683</v>
      </c>
      <c r="M1791" s="1" t="s">
        <v>4292</v>
      </c>
      <c r="N1791" s="1">
        <v>0</v>
      </c>
      <c r="O1791" s="1">
        <v>0</v>
      </c>
      <c r="P1791" s="1" t="s">
        <v>100</v>
      </c>
      <c r="Q1791" s="1" t="s">
        <v>9311</v>
      </c>
      <c r="R1791" s="1" t="s">
        <v>9684</v>
      </c>
      <c r="S1791" s="1" t="s">
        <v>9569</v>
      </c>
      <c r="T1791" s="1">
        <v>1</v>
      </c>
      <c r="U1791" s="1">
        <v>1</v>
      </c>
      <c r="V1791" s="1">
        <v>1</v>
      </c>
      <c r="W1791" s="1">
        <v>0</v>
      </c>
      <c r="X1791" s="1">
        <v>0</v>
      </c>
      <c r="Y1791" s="1">
        <v>3</v>
      </c>
      <c r="Z1791" s="1">
        <v>3</v>
      </c>
      <c r="AA1791" s="1" t="s">
        <v>104</v>
      </c>
      <c r="AB1791" s="1" t="s">
        <v>104</v>
      </c>
      <c r="AC1791" s="1" t="s">
        <v>104</v>
      </c>
      <c r="AD1791" s="1" t="s">
        <v>104</v>
      </c>
      <c r="AE1791" s="1" t="s">
        <v>104</v>
      </c>
      <c r="AF1791" s="1">
        <v>3</v>
      </c>
      <c r="AG1791" s="1" t="s">
        <v>104</v>
      </c>
      <c r="AH1791" s="1" t="s">
        <v>104</v>
      </c>
      <c r="AI1791" s="1" t="s">
        <v>104</v>
      </c>
      <c r="AJ1791" s="1" t="s">
        <v>104</v>
      </c>
      <c r="AK1791" s="1" t="s">
        <v>104</v>
      </c>
      <c r="AL1791" s="1" t="s">
        <v>104</v>
      </c>
      <c r="AM1791" s="1" t="s">
        <v>104</v>
      </c>
      <c r="AO1791" s="1">
        <v>3</v>
      </c>
      <c r="AQ1791" s="1" t="s">
        <v>9685</v>
      </c>
      <c r="AR1791" s="1">
        <v>0</v>
      </c>
      <c r="AS1791" s="1">
        <v>0</v>
      </c>
      <c r="AT1791" s="1">
        <v>0</v>
      </c>
      <c r="AU1791" s="1">
        <v>0</v>
      </c>
      <c r="AV1791" s="1">
        <v>0</v>
      </c>
      <c r="AW1791" s="1">
        <v>0</v>
      </c>
      <c r="AX1791" s="1">
        <v>0</v>
      </c>
      <c r="AY1791" s="1">
        <v>0</v>
      </c>
      <c r="AZ1791" s="1">
        <v>0</v>
      </c>
      <c r="BA1791" s="1">
        <v>0</v>
      </c>
      <c r="BB1791" s="1">
        <v>0</v>
      </c>
      <c r="BC1791" s="1">
        <v>0</v>
      </c>
      <c r="BD1791" s="1">
        <v>0</v>
      </c>
      <c r="BE1791" s="1">
        <v>0</v>
      </c>
      <c r="BF1791" s="1">
        <v>0</v>
      </c>
      <c r="BG1791" s="1">
        <v>0</v>
      </c>
      <c r="BH1791" s="1">
        <v>0</v>
      </c>
      <c r="BI1791" s="1">
        <v>0</v>
      </c>
      <c r="BJ1791" s="1">
        <v>0</v>
      </c>
      <c r="BK1791" s="1">
        <v>0</v>
      </c>
      <c r="BL1791" s="1">
        <v>0</v>
      </c>
      <c r="BM1791" s="1">
        <v>0</v>
      </c>
      <c r="BN1791" s="1">
        <v>0</v>
      </c>
      <c r="BO1791" s="1">
        <v>0</v>
      </c>
      <c r="BP1791" s="1">
        <v>0</v>
      </c>
      <c r="BQ1791" s="1" t="s">
        <v>104</v>
      </c>
      <c r="BR1791" s="1">
        <v>1890</v>
      </c>
      <c r="BS1791" s="1">
        <v>25</v>
      </c>
      <c r="BX1791" s="1">
        <v>0</v>
      </c>
      <c r="BY1791" s="1" t="s">
        <v>104</v>
      </c>
      <c r="BZ1791" s="1" t="s">
        <v>104</v>
      </c>
      <c r="CA1791" s="1" t="s">
        <v>104</v>
      </c>
      <c r="CB1791" s="1" t="s">
        <v>104</v>
      </c>
      <c r="CC1791" s="1" t="s">
        <v>104</v>
      </c>
      <c r="CD1791" s="1" t="s">
        <v>104</v>
      </c>
      <c r="CE1791" s="1" t="s">
        <v>104</v>
      </c>
      <c r="CF1791" s="1" t="s">
        <v>104</v>
      </c>
      <c r="CG1791" s="1" t="s">
        <v>104</v>
      </c>
      <c r="CH1791" s="1" t="s">
        <v>104</v>
      </c>
      <c r="CJ1791" s="1">
        <v>0</v>
      </c>
      <c r="CK1791" s="1">
        <v>0</v>
      </c>
      <c r="CL1791" s="1">
        <v>0</v>
      </c>
      <c r="CM1791" s="1" t="s">
        <v>104</v>
      </c>
    </row>
    <row r="1792" spans="1:91" ht="14.25" customHeight="1" x14ac:dyDescent="0.3">
      <c r="A1792" s="1" t="s">
        <v>9686</v>
      </c>
      <c r="B1792" s="1" t="s">
        <v>507</v>
      </c>
      <c r="C1792" s="1" t="s">
        <v>508</v>
      </c>
      <c r="E1792" s="1" t="s">
        <v>9687</v>
      </c>
      <c r="F1792" s="1" t="s">
        <v>95</v>
      </c>
      <c r="G1792" s="1" t="s">
        <v>116</v>
      </c>
      <c r="H1792" s="1">
        <v>0</v>
      </c>
      <c r="I1792" s="1" t="s">
        <v>157</v>
      </c>
      <c r="L1792" s="1" t="s">
        <v>158</v>
      </c>
      <c r="M1792" s="1" t="s">
        <v>4641</v>
      </c>
      <c r="N1792" s="1">
        <v>1</v>
      </c>
      <c r="O1792" s="1">
        <v>0</v>
      </c>
      <c r="R1792" s="1" t="s">
        <v>9688</v>
      </c>
      <c r="S1792" s="1" t="s">
        <v>9569</v>
      </c>
      <c r="T1792" s="1">
        <v>1</v>
      </c>
      <c r="U1792" s="1">
        <v>1</v>
      </c>
      <c r="V1792" s="1">
        <v>0</v>
      </c>
      <c r="W1792" s="1">
        <v>0</v>
      </c>
      <c r="X1792" s="1">
        <v>0</v>
      </c>
      <c r="Y1792" s="1">
        <v>1</v>
      </c>
      <c r="Z1792" s="1">
        <v>1</v>
      </c>
      <c r="AA1792" s="1" t="s">
        <v>104</v>
      </c>
      <c r="AB1792" s="1" t="s">
        <v>104</v>
      </c>
      <c r="AC1792" s="1" t="s">
        <v>104</v>
      </c>
      <c r="AD1792" s="1">
        <v>1</v>
      </c>
      <c r="AE1792" s="1" t="s">
        <v>104</v>
      </c>
      <c r="AF1792" s="1">
        <v>1</v>
      </c>
      <c r="AG1792" s="1">
        <v>1</v>
      </c>
      <c r="AH1792" s="1" t="s">
        <v>104</v>
      </c>
      <c r="AI1792" s="1" t="s">
        <v>104</v>
      </c>
      <c r="AJ1792" s="1" t="s">
        <v>104</v>
      </c>
      <c r="AK1792" s="1" t="s">
        <v>104</v>
      </c>
      <c r="AL1792" s="1">
        <v>1</v>
      </c>
      <c r="AM1792" s="1" t="s">
        <v>104</v>
      </c>
      <c r="AO1792" s="1">
        <v>1</v>
      </c>
      <c r="AQ1792" s="1" t="s">
        <v>9689</v>
      </c>
      <c r="AR1792" s="1">
        <v>0</v>
      </c>
      <c r="AS1792" s="1">
        <v>0</v>
      </c>
      <c r="AT1792" s="1">
        <v>0</v>
      </c>
      <c r="AU1792" s="1">
        <v>0</v>
      </c>
      <c r="AV1792" s="1">
        <v>0</v>
      </c>
      <c r="AW1792" s="1">
        <v>0</v>
      </c>
      <c r="AX1792" s="1">
        <v>0</v>
      </c>
      <c r="AY1792" s="1">
        <v>0</v>
      </c>
      <c r="AZ1792" s="1">
        <v>0</v>
      </c>
      <c r="BA1792" s="1">
        <v>0</v>
      </c>
      <c r="BB1792" s="1">
        <v>0</v>
      </c>
      <c r="BC1792" s="1">
        <v>0</v>
      </c>
      <c r="BD1792" s="1">
        <v>0</v>
      </c>
      <c r="BE1792" s="1">
        <v>0</v>
      </c>
      <c r="BF1792" s="1">
        <v>0</v>
      </c>
      <c r="BG1792" s="1">
        <v>0</v>
      </c>
      <c r="BH1792" s="1">
        <v>0</v>
      </c>
      <c r="BI1792" s="1">
        <v>0</v>
      </c>
      <c r="BJ1792" s="1">
        <v>0</v>
      </c>
      <c r="BK1792" s="1">
        <v>0</v>
      </c>
      <c r="BL1792" s="1">
        <v>0</v>
      </c>
      <c r="BM1792" s="1">
        <v>0</v>
      </c>
      <c r="BN1792" s="1">
        <v>0</v>
      </c>
      <c r="BO1792" s="1">
        <v>0</v>
      </c>
      <c r="BP1792" s="1">
        <v>0</v>
      </c>
      <c r="BQ1792" s="1" t="s">
        <v>104</v>
      </c>
      <c r="BR1792" s="1">
        <v>1891</v>
      </c>
      <c r="BS1792" s="1" t="s">
        <v>104</v>
      </c>
      <c r="BX1792" s="1">
        <v>0</v>
      </c>
      <c r="BY1792" s="1">
        <v>1</v>
      </c>
      <c r="BZ1792" s="1" t="s">
        <v>104</v>
      </c>
      <c r="CA1792" s="1">
        <v>1</v>
      </c>
      <c r="CB1792" s="1" t="s">
        <v>104</v>
      </c>
      <c r="CC1792" s="1">
        <v>1</v>
      </c>
      <c r="CD1792" s="1">
        <v>1</v>
      </c>
      <c r="CE1792" s="1" t="s">
        <v>104</v>
      </c>
      <c r="CF1792" s="1" t="s">
        <v>104</v>
      </c>
      <c r="CG1792" s="1" t="s">
        <v>104</v>
      </c>
      <c r="CH1792" s="1" t="s">
        <v>104</v>
      </c>
      <c r="CJ1792" s="1">
        <v>0</v>
      </c>
      <c r="CK1792" s="1">
        <v>0</v>
      </c>
      <c r="CL1792" s="1">
        <v>0</v>
      </c>
      <c r="CM1792" s="1">
        <v>1</v>
      </c>
    </row>
    <row r="1793" spans="1:91" ht="14.25" customHeight="1" x14ac:dyDescent="0.3">
      <c r="A1793" s="1" t="s">
        <v>9690</v>
      </c>
      <c r="B1793" s="1" t="s">
        <v>137</v>
      </c>
      <c r="D1793" s="1" t="s">
        <v>52</v>
      </c>
      <c r="E1793" s="1" t="s">
        <v>9691</v>
      </c>
      <c r="F1793" s="1" t="s">
        <v>95</v>
      </c>
      <c r="G1793" s="1" t="s">
        <v>9692</v>
      </c>
      <c r="H1793" s="1">
        <v>0</v>
      </c>
      <c r="I1793" s="1" t="s">
        <v>157</v>
      </c>
      <c r="L1793" s="1" t="s">
        <v>158</v>
      </c>
      <c r="M1793" s="1" t="s">
        <v>4332</v>
      </c>
      <c r="N1793" s="1">
        <v>0</v>
      </c>
      <c r="O1793" s="1">
        <v>0</v>
      </c>
      <c r="R1793" s="1" t="s">
        <v>9693</v>
      </c>
      <c r="S1793" s="1" t="s">
        <v>9569</v>
      </c>
      <c r="T1793" s="1">
        <v>1</v>
      </c>
      <c r="U1793" s="1">
        <v>1</v>
      </c>
      <c r="V1793" s="1">
        <v>1</v>
      </c>
      <c r="W1793" s="1">
        <v>0</v>
      </c>
      <c r="X1793" s="1">
        <v>0</v>
      </c>
      <c r="Y1793" s="1">
        <v>1</v>
      </c>
      <c r="Z1793" s="1">
        <v>1</v>
      </c>
      <c r="AA1793" s="1" t="s">
        <v>104</v>
      </c>
      <c r="AB1793" s="1" t="s">
        <v>104</v>
      </c>
      <c r="AC1793" s="1" t="s">
        <v>104</v>
      </c>
      <c r="AD1793" s="1" t="s">
        <v>104</v>
      </c>
      <c r="AE1793" s="1" t="s">
        <v>104</v>
      </c>
      <c r="AF1793" s="1">
        <v>1</v>
      </c>
      <c r="AG1793" s="1" t="s">
        <v>104</v>
      </c>
      <c r="AH1793" s="1" t="s">
        <v>104</v>
      </c>
      <c r="AI1793" s="1" t="s">
        <v>104</v>
      </c>
      <c r="AJ1793" s="1" t="s">
        <v>104</v>
      </c>
      <c r="AK1793" s="1" t="s">
        <v>104</v>
      </c>
      <c r="AL1793" s="1" t="s">
        <v>104</v>
      </c>
      <c r="AM1793" s="1" t="s">
        <v>104</v>
      </c>
      <c r="AO1793" s="1">
        <v>1</v>
      </c>
      <c r="AQ1793" s="1" t="s">
        <v>9694</v>
      </c>
      <c r="AR1793" s="1">
        <v>0</v>
      </c>
      <c r="AS1793" s="1">
        <v>0</v>
      </c>
      <c r="AT1793" s="1">
        <v>0</v>
      </c>
      <c r="AU1793" s="1">
        <v>0</v>
      </c>
      <c r="AV1793" s="1">
        <v>0</v>
      </c>
      <c r="AW1793" s="1">
        <v>0</v>
      </c>
      <c r="AX1793" s="1">
        <v>0</v>
      </c>
      <c r="AY1793" s="1">
        <v>0</v>
      </c>
      <c r="AZ1793" s="1">
        <v>0</v>
      </c>
      <c r="BA1793" s="1">
        <v>1</v>
      </c>
      <c r="BB1793" s="1">
        <v>0</v>
      </c>
      <c r="BC1793" s="1">
        <v>0</v>
      </c>
      <c r="BD1793" s="1">
        <v>0</v>
      </c>
      <c r="BE1793" s="1">
        <v>0</v>
      </c>
      <c r="BF1793" s="1">
        <v>0</v>
      </c>
      <c r="BG1793" s="1">
        <v>0</v>
      </c>
      <c r="BH1793" s="1">
        <v>0</v>
      </c>
      <c r="BI1793" s="1">
        <v>0</v>
      </c>
      <c r="BJ1793" s="1">
        <v>0</v>
      </c>
      <c r="BK1793" s="1">
        <v>0</v>
      </c>
      <c r="BL1793" s="1">
        <v>0</v>
      </c>
      <c r="BM1793" s="1">
        <v>0</v>
      </c>
      <c r="BN1793" s="1">
        <v>0</v>
      </c>
      <c r="BO1793" s="1">
        <v>0</v>
      </c>
      <c r="BP1793" s="1">
        <v>0</v>
      </c>
      <c r="BQ1793" s="1" t="s">
        <v>104</v>
      </c>
      <c r="BR1793" s="1">
        <v>1892</v>
      </c>
      <c r="BS1793" s="1" t="s">
        <v>104</v>
      </c>
      <c r="BX1793" s="1">
        <v>0</v>
      </c>
      <c r="BY1793" s="1" t="s">
        <v>104</v>
      </c>
      <c r="BZ1793" s="1" t="s">
        <v>104</v>
      </c>
      <c r="CA1793" s="1" t="s">
        <v>104</v>
      </c>
      <c r="CB1793" s="1" t="s">
        <v>104</v>
      </c>
      <c r="CC1793" s="1" t="s">
        <v>104</v>
      </c>
      <c r="CD1793" s="1" t="s">
        <v>104</v>
      </c>
      <c r="CE1793" s="1" t="s">
        <v>104</v>
      </c>
      <c r="CF1793" s="1" t="s">
        <v>104</v>
      </c>
      <c r="CG1793" s="1" t="s">
        <v>104</v>
      </c>
      <c r="CH1793" s="1" t="s">
        <v>104</v>
      </c>
      <c r="CJ1793" s="1">
        <v>0</v>
      </c>
      <c r="CK1793" s="1">
        <v>0</v>
      </c>
      <c r="CL1793" s="1">
        <v>0</v>
      </c>
      <c r="CM1793" s="1" t="s">
        <v>104</v>
      </c>
    </row>
    <row r="1794" spans="1:91" ht="14.25" customHeight="1" x14ac:dyDescent="0.3">
      <c r="A1794" s="1" t="s">
        <v>9695</v>
      </c>
      <c r="B1794" s="1" t="s">
        <v>162</v>
      </c>
      <c r="E1794" s="1" t="s">
        <v>9696</v>
      </c>
      <c r="F1794" s="1" t="s">
        <v>95</v>
      </c>
      <c r="G1794" s="1" t="s">
        <v>9697</v>
      </c>
      <c r="H1794" s="1">
        <v>1</v>
      </c>
      <c r="I1794" s="1" t="s">
        <v>157</v>
      </c>
      <c r="L1794" s="1" t="s">
        <v>158</v>
      </c>
      <c r="M1794" s="1" t="s">
        <v>7067</v>
      </c>
      <c r="N1794" s="1">
        <v>0</v>
      </c>
      <c r="O1794" s="1">
        <v>0</v>
      </c>
      <c r="R1794" s="1" t="s">
        <v>9698</v>
      </c>
      <c r="S1794" s="1" t="s">
        <v>9569</v>
      </c>
      <c r="T1794" s="1">
        <v>1</v>
      </c>
      <c r="U1794" s="1">
        <v>1</v>
      </c>
      <c r="V1794" s="1">
        <v>0</v>
      </c>
      <c r="W1794" s="1">
        <v>0</v>
      </c>
      <c r="X1794" s="1">
        <v>0</v>
      </c>
      <c r="Y1794" s="1">
        <v>2</v>
      </c>
      <c r="Z1794" s="1">
        <v>2</v>
      </c>
      <c r="AA1794" s="1" t="s">
        <v>104</v>
      </c>
      <c r="AB1794" s="1" t="s">
        <v>104</v>
      </c>
      <c r="AC1794" s="1">
        <v>2</v>
      </c>
      <c r="AD1794" s="1">
        <v>2</v>
      </c>
      <c r="AE1794" s="1">
        <v>2</v>
      </c>
      <c r="AF1794" s="1" t="s">
        <v>104</v>
      </c>
      <c r="AG1794" s="1" t="s">
        <v>104</v>
      </c>
      <c r="AH1794" s="1">
        <v>2</v>
      </c>
      <c r="AI1794" s="1">
        <v>2</v>
      </c>
      <c r="AJ1794" s="1" t="s">
        <v>104</v>
      </c>
      <c r="AK1794" s="1">
        <v>2</v>
      </c>
      <c r="AL1794" s="1" t="s">
        <v>104</v>
      </c>
      <c r="AM1794" s="1" t="s">
        <v>104</v>
      </c>
      <c r="AO1794" s="1">
        <v>2</v>
      </c>
      <c r="AQ1794" s="1" t="s">
        <v>9699</v>
      </c>
      <c r="AR1794" s="1">
        <v>0</v>
      </c>
      <c r="AS1794" s="1">
        <v>0</v>
      </c>
      <c r="AT1794" s="1">
        <v>0</v>
      </c>
      <c r="AU1794" s="1">
        <v>0</v>
      </c>
      <c r="AV1794" s="1">
        <v>0</v>
      </c>
      <c r="AW1794" s="1">
        <v>0</v>
      </c>
      <c r="AX1794" s="1">
        <v>0</v>
      </c>
      <c r="AY1794" s="1">
        <v>0</v>
      </c>
      <c r="AZ1794" s="1">
        <v>0</v>
      </c>
      <c r="BA1794" s="1">
        <v>0</v>
      </c>
      <c r="BB1794" s="1">
        <v>0</v>
      </c>
      <c r="BC1794" s="1">
        <v>0</v>
      </c>
      <c r="BD1794" s="1">
        <v>0</v>
      </c>
      <c r="BE1794" s="1">
        <v>0</v>
      </c>
      <c r="BF1794" s="1">
        <v>0</v>
      </c>
      <c r="BG1794" s="1">
        <v>0</v>
      </c>
      <c r="BH1794" s="1">
        <v>0</v>
      </c>
      <c r="BI1794" s="1">
        <v>0</v>
      </c>
      <c r="BJ1794" s="1">
        <v>0</v>
      </c>
      <c r="BK1794" s="1">
        <v>0</v>
      </c>
      <c r="BL1794" s="1">
        <v>0</v>
      </c>
      <c r="BM1794" s="1">
        <v>0</v>
      </c>
      <c r="BN1794" s="1">
        <v>0</v>
      </c>
      <c r="BO1794" s="1">
        <v>0</v>
      </c>
      <c r="BP1794" s="1">
        <v>0</v>
      </c>
      <c r="BQ1794" s="1" t="s">
        <v>104</v>
      </c>
      <c r="BR1794" s="1">
        <v>1893</v>
      </c>
      <c r="BS1794" s="1">
        <v>61</v>
      </c>
      <c r="BX1794" s="1">
        <v>0</v>
      </c>
      <c r="BY1794" s="1" t="s">
        <v>104</v>
      </c>
      <c r="BZ1794" s="1" t="s">
        <v>104</v>
      </c>
      <c r="CA1794" s="1">
        <v>2</v>
      </c>
      <c r="CB1794" s="1" t="s">
        <v>104</v>
      </c>
      <c r="CC1794" s="1" t="s">
        <v>104</v>
      </c>
      <c r="CD1794" s="1" t="s">
        <v>104</v>
      </c>
      <c r="CE1794" s="1" t="s">
        <v>104</v>
      </c>
      <c r="CF1794" s="1" t="s">
        <v>104</v>
      </c>
      <c r="CG1794" s="1" t="s">
        <v>104</v>
      </c>
      <c r="CH1794" s="1">
        <v>2</v>
      </c>
      <c r="CJ1794" s="1">
        <v>0</v>
      </c>
      <c r="CK1794" s="1">
        <v>0</v>
      </c>
      <c r="CL1794" s="1">
        <v>0</v>
      </c>
      <c r="CM1794" s="1" t="s">
        <v>104</v>
      </c>
    </row>
    <row r="1795" spans="1:91" ht="14.25" customHeight="1" x14ac:dyDescent="0.3">
      <c r="A1795" s="1" t="s">
        <v>9700</v>
      </c>
      <c r="B1795" s="1" t="s">
        <v>137</v>
      </c>
      <c r="E1795" s="1" t="s">
        <v>9701</v>
      </c>
      <c r="F1795" s="1" t="s">
        <v>1502</v>
      </c>
      <c r="G1795" s="1" t="s">
        <v>237</v>
      </c>
      <c r="H1795" s="1">
        <v>0</v>
      </c>
      <c r="I1795" s="1" t="s">
        <v>117</v>
      </c>
      <c r="L1795" s="1" t="s">
        <v>9702</v>
      </c>
      <c r="M1795" s="1" t="s">
        <v>9703</v>
      </c>
      <c r="N1795" s="1">
        <v>0</v>
      </c>
      <c r="O1795" s="1">
        <v>0</v>
      </c>
      <c r="P1795" s="1" t="s">
        <v>1505</v>
      </c>
      <c r="Q1795" s="1" t="s">
        <v>472</v>
      </c>
      <c r="R1795" s="1" t="s">
        <v>9704</v>
      </c>
      <c r="S1795" s="1" t="s">
        <v>9569</v>
      </c>
      <c r="T1795" s="1">
        <v>1</v>
      </c>
      <c r="U1795" s="1">
        <v>0</v>
      </c>
      <c r="V1795" s="1">
        <v>0</v>
      </c>
      <c r="W1795" s="1">
        <v>0</v>
      </c>
      <c r="X1795" s="1">
        <v>0</v>
      </c>
      <c r="Y1795" s="1">
        <v>2</v>
      </c>
      <c r="Z1795" s="1">
        <v>2</v>
      </c>
      <c r="AA1795" s="1" t="s">
        <v>104</v>
      </c>
      <c r="AB1795" s="1" t="s">
        <v>104</v>
      </c>
      <c r="AC1795" s="1" t="s">
        <v>104</v>
      </c>
      <c r="AD1795" s="1">
        <v>2</v>
      </c>
      <c r="AE1795" s="1" t="s">
        <v>104</v>
      </c>
      <c r="AF1795" s="1" t="s">
        <v>104</v>
      </c>
      <c r="AG1795" s="1" t="s">
        <v>104</v>
      </c>
      <c r="AH1795" s="1">
        <v>2</v>
      </c>
      <c r="AI1795" s="1" t="s">
        <v>104</v>
      </c>
      <c r="AJ1795" s="1" t="s">
        <v>104</v>
      </c>
      <c r="AK1795" s="1" t="s">
        <v>104</v>
      </c>
      <c r="AL1795" s="1" t="s">
        <v>104</v>
      </c>
      <c r="AM1795" s="1" t="s">
        <v>104</v>
      </c>
      <c r="AO1795" s="1">
        <v>2</v>
      </c>
      <c r="AQ1795" s="1" t="s">
        <v>9705</v>
      </c>
      <c r="AR1795" s="1">
        <v>0</v>
      </c>
      <c r="AS1795" s="1">
        <v>0</v>
      </c>
      <c r="AT1795" s="1">
        <v>0</v>
      </c>
      <c r="AU1795" s="1">
        <v>0</v>
      </c>
      <c r="AV1795" s="1">
        <v>0</v>
      </c>
      <c r="AW1795" s="1">
        <v>0</v>
      </c>
      <c r="AX1795" s="1">
        <v>0</v>
      </c>
      <c r="AY1795" s="1">
        <v>0</v>
      </c>
      <c r="AZ1795" s="1">
        <v>0</v>
      </c>
      <c r="BA1795" s="1">
        <v>0</v>
      </c>
      <c r="BB1795" s="1">
        <v>0</v>
      </c>
      <c r="BC1795" s="1">
        <v>0</v>
      </c>
      <c r="BD1795" s="1">
        <v>0</v>
      </c>
      <c r="BE1795" s="1">
        <v>0</v>
      </c>
      <c r="BF1795" s="1">
        <v>0</v>
      </c>
      <c r="BG1795" s="1">
        <v>0</v>
      </c>
      <c r="BH1795" s="1">
        <v>0</v>
      </c>
      <c r="BI1795" s="1">
        <v>0</v>
      </c>
      <c r="BJ1795" s="1">
        <v>0</v>
      </c>
      <c r="BK1795" s="1">
        <v>0</v>
      </c>
      <c r="BL1795" s="1">
        <v>0</v>
      </c>
      <c r="BM1795" s="1">
        <v>0</v>
      </c>
      <c r="BN1795" s="1">
        <v>0</v>
      </c>
      <c r="BO1795" s="1">
        <v>0</v>
      </c>
      <c r="BP1795" s="1">
        <v>0</v>
      </c>
      <c r="BQ1795" s="1" t="s">
        <v>104</v>
      </c>
      <c r="BR1795" s="1">
        <v>1894</v>
      </c>
      <c r="BS1795" s="1" t="s">
        <v>104</v>
      </c>
      <c r="BX1795" s="1">
        <v>0</v>
      </c>
      <c r="BY1795" s="1" t="s">
        <v>104</v>
      </c>
      <c r="BZ1795" s="1">
        <v>2</v>
      </c>
      <c r="CA1795" s="1">
        <v>2</v>
      </c>
      <c r="CB1795" s="1" t="s">
        <v>104</v>
      </c>
      <c r="CC1795" s="1" t="s">
        <v>104</v>
      </c>
      <c r="CD1795" s="1" t="s">
        <v>104</v>
      </c>
      <c r="CE1795" s="1" t="s">
        <v>104</v>
      </c>
      <c r="CF1795" s="1" t="s">
        <v>104</v>
      </c>
      <c r="CG1795" s="1" t="s">
        <v>104</v>
      </c>
      <c r="CH1795" s="1" t="s">
        <v>104</v>
      </c>
      <c r="CJ1795" s="1">
        <v>0</v>
      </c>
      <c r="CK1795" s="1">
        <v>0</v>
      </c>
      <c r="CL1795" s="1">
        <v>0</v>
      </c>
      <c r="CM1795" s="1" t="s">
        <v>104</v>
      </c>
    </row>
    <row r="1796" spans="1:91" ht="14.25" customHeight="1" x14ac:dyDescent="0.3">
      <c r="A1796" s="1" t="s">
        <v>9706</v>
      </c>
      <c r="B1796" s="1" t="s">
        <v>507</v>
      </c>
      <c r="C1796" s="1" t="s">
        <v>508</v>
      </c>
      <c r="E1796" s="1" t="s">
        <v>5134</v>
      </c>
      <c r="F1796" s="1" t="s">
        <v>95</v>
      </c>
      <c r="G1796" s="1" t="s">
        <v>127</v>
      </c>
      <c r="H1796" s="1">
        <v>0</v>
      </c>
      <c r="I1796" s="1" t="s">
        <v>4220</v>
      </c>
      <c r="J1796" s="1" t="s">
        <v>9707</v>
      </c>
      <c r="M1796" s="1" t="s">
        <v>9708</v>
      </c>
      <c r="N1796" s="1">
        <v>0</v>
      </c>
      <c r="O1796" s="1">
        <v>0</v>
      </c>
      <c r="R1796" s="1" t="s">
        <v>9709</v>
      </c>
      <c r="S1796" s="1" t="s">
        <v>9569</v>
      </c>
      <c r="T1796" s="1">
        <v>1</v>
      </c>
      <c r="U1796" s="1">
        <v>1</v>
      </c>
      <c r="V1796" s="1">
        <v>0</v>
      </c>
      <c r="W1796" s="1">
        <v>0</v>
      </c>
      <c r="X1796" s="1">
        <v>1</v>
      </c>
      <c r="Y1796" s="1" t="s">
        <v>104</v>
      </c>
      <c r="Z1796" s="1" t="s">
        <v>104</v>
      </c>
      <c r="AA1796" s="1" t="s">
        <v>104</v>
      </c>
      <c r="AB1796" s="1" t="s">
        <v>104</v>
      </c>
      <c r="AC1796" s="1">
        <v>3</v>
      </c>
      <c r="AD1796" s="1" t="s">
        <v>104</v>
      </c>
      <c r="AE1796" s="1" t="s">
        <v>104</v>
      </c>
      <c r="AF1796" s="1" t="s">
        <v>104</v>
      </c>
      <c r="AG1796" s="1" t="s">
        <v>104</v>
      </c>
      <c r="AH1796" s="1" t="s">
        <v>104</v>
      </c>
      <c r="AI1796" s="1" t="s">
        <v>104</v>
      </c>
      <c r="AJ1796" s="1" t="s">
        <v>104</v>
      </c>
      <c r="AK1796" s="1" t="s">
        <v>104</v>
      </c>
      <c r="AL1796" s="1" t="s">
        <v>104</v>
      </c>
      <c r="AM1796" s="1" t="s">
        <v>104</v>
      </c>
      <c r="AO1796" s="1">
        <v>3</v>
      </c>
      <c r="AQ1796" s="1" t="s">
        <v>9710</v>
      </c>
      <c r="AR1796" s="1">
        <v>0</v>
      </c>
      <c r="AS1796" s="1">
        <v>0</v>
      </c>
      <c r="AT1796" s="1">
        <v>0</v>
      </c>
      <c r="AU1796" s="1">
        <v>0</v>
      </c>
      <c r="AV1796" s="1">
        <v>0</v>
      </c>
      <c r="AW1796" s="1">
        <v>0</v>
      </c>
      <c r="AX1796" s="1">
        <v>0</v>
      </c>
      <c r="AY1796" s="1">
        <v>0</v>
      </c>
      <c r="AZ1796" s="1">
        <v>0</v>
      </c>
      <c r="BA1796" s="1">
        <v>0</v>
      </c>
      <c r="BB1796" s="1">
        <v>0</v>
      </c>
      <c r="BC1796" s="1">
        <v>0</v>
      </c>
      <c r="BD1796" s="1">
        <v>0</v>
      </c>
      <c r="BE1796" s="1">
        <v>0</v>
      </c>
      <c r="BF1796" s="1">
        <v>0</v>
      </c>
      <c r="BG1796" s="1">
        <v>0</v>
      </c>
      <c r="BH1796" s="1">
        <v>0</v>
      </c>
      <c r="BI1796" s="1">
        <v>0</v>
      </c>
      <c r="BJ1796" s="1">
        <v>0</v>
      </c>
      <c r="BK1796" s="1">
        <v>0</v>
      </c>
      <c r="BL1796" s="1">
        <v>0</v>
      </c>
      <c r="BM1796" s="1">
        <v>0</v>
      </c>
      <c r="BN1796" s="1">
        <v>0</v>
      </c>
      <c r="BO1796" s="1">
        <v>0</v>
      </c>
      <c r="BP1796" s="1">
        <v>0</v>
      </c>
      <c r="BQ1796" s="1" t="s">
        <v>104</v>
      </c>
      <c r="BR1796" s="1">
        <v>1895</v>
      </c>
      <c r="BS1796" s="1" t="s">
        <v>104</v>
      </c>
      <c r="BX1796" s="1">
        <v>0</v>
      </c>
      <c r="BY1796" s="1" t="s">
        <v>104</v>
      </c>
      <c r="BZ1796" s="1" t="s">
        <v>104</v>
      </c>
      <c r="CA1796" s="1" t="s">
        <v>104</v>
      </c>
      <c r="CB1796" s="1" t="s">
        <v>104</v>
      </c>
      <c r="CC1796" s="1" t="s">
        <v>104</v>
      </c>
      <c r="CD1796" s="1" t="s">
        <v>104</v>
      </c>
      <c r="CE1796" s="1" t="s">
        <v>104</v>
      </c>
      <c r="CF1796" s="1" t="s">
        <v>104</v>
      </c>
      <c r="CG1796" s="1" t="s">
        <v>104</v>
      </c>
      <c r="CH1796" s="1">
        <v>3</v>
      </c>
      <c r="CJ1796" s="1">
        <v>0</v>
      </c>
      <c r="CK1796" s="1">
        <v>0</v>
      </c>
      <c r="CL1796" s="1">
        <v>0</v>
      </c>
      <c r="CM1796" s="1" t="s">
        <v>104</v>
      </c>
    </row>
    <row r="1797" spans="1:91" ht="14.25" customHeight="1" x14ac:dyDescent="0.3">
      <c r="A1797" s="1" t="s">
        <v>9711</v>
      </c>
      <c r="B1797" s="1" t="s">
        <v>92</v>
      </c>
      <c r="C1797" s="1" t="s">
        <v>93</v>
      </c>
      <c r="E1797" s="1" t="s">
        <v>5284</v>
      </c>
      <c r="F1797" s="1" t="s">
        <v>95</v>
      </c>
      <c r="G1797" s="1" t="s">
        <v>127</v>
      </c>
      <c r="H1797" s="1">
        <v>0</v>
      </c>
      <c r="I1797" s="1" t="s">
        <v>117</v>
      </c>
      <c r="K1797" s="1" t="s">
        <v>9712</v>
      </c>
      <c r="M1797" s="1" t="s">
        <v>119</v>
      </c>
      <c r="N1797" s="1">
        <v>0</v>
      </c>
      <c r="O1797" s="1">
        <v>0</v>
      </c>
      <c r="R1797" s="1" t="s">
        <v>9713</v>
      </c>
      <c r="S1797" s="1" t="s">
        <v>9569</v>
      </c>
      <c r="T1797" s="1">
        <v>1</v>
      </c>
      <c r="U1797" s="1">
        <v>1</v>
      </c>
      <c r="V1797" s="1">
        <v>0</v>
      </c>
      <c r="W1797" s="1">
        <v>0</v>
      </c>
      <c r="X1797" s="1">
        <v>1</v>
      </c>
      <c r="Y1797" s="1" t="s">
        <v>104</v>
      </c>
      <c r="Z1797" s="1" t="s">
        <v>104</v>
      </c>
      <c r="AA1797" s="1" t="s">
        <v>104</v>
      </c>
      <c r="AB1797" s="1">
        <v>2</v>
      </c>
      <c r="AC1797" s="1" t="s">
        <v>104</v>
      </c>
      <c r="AD1797" s="1" t="s">
        <v>104</v>
      </c>
      <c r="AE1797" s="1" t="s">
        <v>104</v>
      </c>
      <c r="AF1797" s="1" t="s">
        <v>104</v>
      </c>
      <c r="AG1797" s="1" t="s">
        <v>104</v>
      </c>
      <c r="AH1797" s="1">
        <v>2</v>
      </c>
      <c r="AI1797" s="1" t="s">
        <v>104</v>
      </c>
      <c r="AJ1797" s="1" t="s">
        <v>104</v>
      </c>
      <c r="AK1797" s="1" t="s">
        <v>104</v>
      </c>
      <c r="AL1797" s="1" t="s">
        <v>104</v>
      </c>
      <c r="AM1797" s="1" t="s">
        <v>104</v>
      </c>
      <c r="AO1797" s="1">
        <v>2</v>
      </c>
      <c r="AQ1797" s="1" t="s">
        <v>9714</v>
      </c>
      <c r="AR1797" s="1">
        <v>0</v>
      </c>
      <c r="AS1797" s="1">
        <v>0</v>
      </c>
      <c r="AT1797" s="1">
        <v>0</v>
      </c>
      <c r="AU1797" s="1">
        <v>0</v>
      </c>
      <c r="AV1797" s="1">
        <v>0</v>
      </c>
      <c r="AW1797" s="1">
        <v>0</v>
      </c>
      <c r="AX1797" s="1">
        <v>0</v>
      </c>
      <c r="AY1797" s="1">
        <v>0</v>
      </c>
      <c r="AZ1797" s="1">
        <v>0</v>
      </c>
      <c r="BA1797" s="1">
        <v>0</v>
      </c>
      <c r="BB1797" s="1">
        <v>0</v>
      </c>
      <c r="BC1797" s="1">
        <v>0</v>
      </c>
      <c r="BD1797" s="1">
        <v>0</v>
      </c>
      <c r="BE1797" s="1">
        <v>0</v>
      </c>
      <c r="BF1797" s="1">
        <v>0</v>
      </c>
      <c r="BG1797" s="1">
        <v>0</v>
      </c>
      <c r="BH1797" s="1">
        <v>0</v>
      </c>
      <c r="BI1797" s="1">
        <v>0</v>
      </c>
      <c r="BJ1797" s="1">
        <v>0</v>
      </c>
      <c r="BK1797" s="1">
        <v>0</v>
      </c>
      <c r="BL1797" s="1">
        <v>0</v>
      </c>
      <c r="BM1797" s="1">
        <v>0</v>
      </c>
      <c r="BN1797" s="1">
        <v>0</v>
      </c>
      <c r="BO1797" s="1">
        <v>0</v>
      </c>
      <c r="BP1797" s="1">
        <v>0</v>
      </c>
      <c r="BQ1797" s="1" t="s">
        <v>104</v>
      </c>
      <c r="BR1797" s="1">
        <v>1896</v>
      </c>
      <c r="BS1797" s="1" t="s">
        <v>104</v>
      </c>
      <c r="BX1797" s="1">
        <v>0</v>
      </c>
      <c r="BY1797" s="1" t="s">
        <v>104</v>
      </c>
      <c r="BZ1797" s="1" t="s">
        <v>104</v>
      </c>
      <c r="CA1797" s="1" t="s">
        <v>104</v>
      </c>
      <c r="CB1797" s="1" t="s">
        <v>104</v>
      </c>
      <c r="CC1797" s="1" t="s">
        <v>104</v>
      </c>
      <c r="CD1797" s="1" t="s">
        <v>104</v>
      </c>
      <c r="CE1797" s="1" t="s">
        <v>104</v>
      </c>
      <c r="CF1797" s="1" t="s">
        <v>104</v>
      </c>
      <c r="CG1797" s="1" t="s">
        <v>104</v>
      </c>
      <c r="CH1797" s="1">
        <v>2</v>
      </c>
      <c r="CJ1797" s="1">
        <v>0</v>
      </c>
      <c r="CK1797" s="1">
        <v>0</v>
      </c>
      <c r="CL1797" s="1">
        <v>0</v>
      </c>
      <c r="CM1797" s="1" t="s">
        <v>104</v>
      </c>
    </row>
    <row r="1798" spans="1:91" ht="14.25" customHeight="1" x14ac:dyDescent="0.3">
      <c r="A1798" s="1" t="s">
        <v>9715</v>
      </c>
      <c r="B1798" s="1" t="s">
        <v>216</v>
      </c>
      <c r="E1798" s="1" t="s">
        <v>9716</v>
      </c>
      <c r="F1798" s="1" t="s">
        <v>95</v>
      </c>
      <c r="G1798" s="1" t="s">
        <v>9717</v>
      </c>
      <c r="H1798" s="1">
        <v>0</v>
      </c>
      <c r="I1798" s="1" t="s">
        <v>128</v>
      </c>
      <c r="L1798" s="1" t="s">
        <v>9718</v>
      </c>
      <c r="M1798" s="1" t="s">
        <v>5775</v>
      </c>
      <c r="N1798" s="1">
        <v>0</v>
      </c>
      <c r="O1798" s="1">
        <v>0</v>
      </c>
      <c r="P1798" s="1" t="s">
        <v>1058</v>
      </c>
      <c r="Q1798" s="1" t="s">
        <v>131</v>
      </c>
      <c r="R1798" s="1" t="s">
        <v>9719</v>
      </c>
      <c r="S1798" s="1" t="s">
        <v>9569</v>
      </c>
      <c r="T1798" s="1">
        <v>1</v>
      </c>
      <c r="U1798" s="1">
        <v>1</v>
      </c>
      <c r="V1798" s="1">
        <v>1</v>
      </c>
      <c r="W1798" s="1">
        <v>0</v>
      </c>
      <c r="X1798" s="1">
        <v>1</v>
      </c>
      <c r="Y1798" s="1">
        <v>2</v>
      </c>
      <c r="Z1798" s="1">
        <v>2</v>
      </c>
      <c r="AA1798" s="1" t="s">
        <v>104</v>
      </c>
      <c r="AB1798" s="1">
        <v>2</v>
      </c>
      <c r="AC1798" s="1">
        <v>2</v>
      </c>
      <c r="AD1798" s="1" t="s">
        <v>104</v>
      </c>
      <c r="AE1798" s="1" t="s">
        <v>104</v>
      </c>
      <c r="AF1798" s="1" t="s">
        <v>104</v>
      </c>
      <c r="AG1798" s="1" t="s">
        <v>104</v>
      </c>
      <c r="AH1798" s="1">
        <v>2</v>
      </c>
      <c r="AI1798" s="1" t="s">
        <v>104</v>
      </c>
      <c r="AJ1798" s="1" t="s">
        <v>104</v>
      </c>
      <c r="AK1798" s="1" t="s">
        <v>104</v>
      </c>
      <c r="AL1798" s="1" t="s">
        <v>104</v>
      </c>
      <c r="AM1798" s="1" t="s">
        <v>104</v>
      </c>
      <c r="AO1798" s="1">
        <v>2</v>
      </c>
      <c r="AQ1798" s="1" t="s">
        <v>9720</v>
      </c>
      <c r="AR1798" s="1">
        <v>0</v>
      </c>
      <c r="AS1798" s="1">
        <v>0</v>
      </c>
      <c r="AT1798" s="1">
        <v>0</v>
      </c>
      <c r="AU1798" s="1">
        <v>0</v>
      </c>
      <c r="AV1798" s="1">
        <v>0</v>
      </c>
      <c r="AW1798" s="1">
        <v>0</v>
      </c>
      <c r="AX1798" s="1">
        <v>0</v>
      </c>
      <c r="AY1798" s="1">
        <v>0</v>
      </c>
      <c r="AZ1798" s="1">
        <v>0</v>
      </c>
      <c r="BA1798" s="1">
        <v>0</v>
      </c>
      <c r="BB1798" s="1">
        <v>0</v>
      </c>
      <c r="BC1798" s="1">
        <v>0</v>
      </c>
      <c r="BD1798" s="1">
        <v>0</v>
      </c>
      <c r="BE1798" s="1">
        <v>0</v>
      </c>
      <c r="BF1798" s="1">
        <v>0</v>
      </c>
      <c r="BG1798" s="1">
        <v>0</v>
      </c>
      <c r="BH1798" s="1">
        <v>0</v>
      </c>
      <c r="BI1798" s="1">
        <v>0</v>
      </c>
      <c r="BJ1798" s="1">
        <v>0</v>
      </c>
      <c r="BK1798" s="1">
        <v>0</v>
      </c>
      <c r="BL1798" s="1">
        <v>0</v>
      </c>
      <c r="BM1798" s="1">
        <v>0</v>
      </c>
      <c r="BN1798" s="1">
        <v>0</v>
      </c>
      <c r="BO1798" s="1">
        <v>0</v>
      </c>
      <c r="BP1798" s="1">
        <v>0</v>
      </c>
      <c r="BQ1798" s="1" t="s">
        <v>104</v>
      </c>
      <c r="BR1798" s="1">
        <v>1897</v>
      </c>
      <c r="BS1798" s="1" t="s">
        <v>104</v>
      </c>
      <c r="BX1798" s="1">
        <v>0</v>
      </c>
      <c r="BY1798" s="1" t="s">
        <v>104</v>
      </c>
      <c r="BZ1798" s="1" t="s">
        <v>104</v>
      </c>
      <c r="CA1798" s="1" t="s">
        <v>104</v>
      </c>
      <c r="CB1798" s="1" t="s">
        <v>104</v>
      </c>
      <c r="CC1798" s="1" t="s">
        <v>104</v>
      </c>
      <c r="CD1798" s="1" t="s">
        <v>104</v>
      </c>
      <c r="CE1798" s="1" t="s">
        <v>104</v>
      </c>
      <c r="CF1798" s="1" t="s">
        <v>104</v>
      </c>
      <c r="CG1798" s="1" t="s">
        <v>104</v>
      </c>
      <c r="CH1798" s="1">
        <v>2</v>
      </c>
      <c r="CJ1798" s="1">
        <v>0</v>
      </c>
      <c r="CK1798" s="1">
        <v>0</v>
      </c>
      <c r="CL1798" s="1">
        <v>0</v>
      </c>
      <c r="CM1798" s="1" t="s">
        <v>104</v>
      </c>
    </row>
    <row r="1799" spans="1:91" ht="14.25" customHeight="1" x14ac:dyDescent="0.3">
      <c r="A1799" s="1" t="s">
        <v>9721</v>
      </c>
      <c r="B1799" s="1" t="s">
        <v>434</v>
      </c>
      <c r="E1799" s="1" t="s">
        <v>9722</v>
      </c>
      <c r="F1799" s="1" t="s">
        <v>191</v>
      </c>
      <c r="G1799" s="1" t="s">
        <v>116</v>
      </c>
      <c r="H1799" s="1">
        <v>0</v>
      </c>
      <c r="I1799" s="1" t="s">
        <v>117</v>
      </c>
      <c r="L1799" s="1" t="s">
        <v>6465</v>
      </c>
      <c r="M1799" s="1" t="s">
        <v>9723</v>
      </c>
      <c r="N1799" s="1">
        <v>1</v>
      </c>
      <c r="O1799" s="1">
        <v>0</v>
      </c>
      <c r="P1799" s="1" t="s">
        <v>375</v>
      </c>
      <c r="Q1799" s="1" t="s">
        <v>131</v>
      </c>
      <c r="R1799" s="1" t="s">
        <v>9724</v>
      </c>
      <c r="S1799" s="1" t="s">
        <v>9569</v>
      </c>
      <c r="T1799" s="1">
        <v>1</v>
      </c>
      <c r="U1799" s="1">
        <v>1</v>
      </c>
      <c r="V1799" s="1">
        <v>0</v>
      </c>
      <c r="W1799" s="1">
        <v>0</v>
      </c>
      <c r="X1799" s="1">
        <v>0</v>
      </c>
      <c r="Y1799" s="1">
        <v>3</v>
      </c>
      <c r="Z1799" s="1">
        <v>3</v>
      </c>
      <c r="AA1799" s="1" t="s">
        <v>104</v>
      </c>
      <c r="AB1799" s="1" t="s">
        <v>104</v>
      </c>
      <c r="AC1799" s="1" t="s">
        <v>104</v>
      </c>
      <c r="AD1799" s="1">
        <v>3</v>
      </c>
      <c r="AE1799" s="1" t="s">
        <v>104</v>
      </c>
      <c r="AF1799" s="1" t="s">
        <v>104</v>
      </c>
      <c r="AG1799" s="1" t="s">
        <v>104</v>
      </c>
      <c r="AH1799" s="1" t="s">
        <v>104</v>
      </c>
      <c r="AI1799" s="1" t="s">
        <v>104</v>
      </c>
      <c r="AJ1799" s="1" t="s">
        <v>104</v>
      </c>
      <c r="AK1799" s="1" t="s">
        <v>104</v>
      </c>
      <c r="AL1799" s="1" t="s">
        <v>104</v>
      </c>
      <c r="AM1799" s="1" t="s">
        <v>104</v>
      </c>
      <c r="AO1799" s="1">
        <v>3</v>
      </c>
      <c r="AQ1799" s="1" t="s">
        <v>9725</v>
      </c>
      <c r="AR1799" s="1">
        <v>0</v>
      </c>
      <c r="AS1799" s="1">
        <v>0</v>
      </c>
      <c r="AT1799" s="1">
        <v>0</v>
      </c>
      <c r="AU1799" s="1">
        <v>0</v>
      </c>
      <c r="AV1799" s="1">
        <v>0</v>
      </c>
      <c r="AW1799" s="1">
        <v>0</v>
      </c>
      <c r="AX1799" s="1">
        <v>0</v>
      </c>
      <c r="AY1799" s="1">
        <v>0</v>
      </c>
      <c r="AZ1799" s="1">
        <v>0</v>
      </c>
      <c r="BA1799" s="1">
        <v>0</v>
      </c>
      <c r="BB1799" s="1">
        <v>0</v>
      </c>
      <c r="BC1799" s="1">
        <v>0</v>
      </c>
      <c r="BD1799" s="1">
        <v>0</v>
      </c>
      <c r="BE1799" s="1">
        <v>0</v>
      </c>
      <c r="BF1799" s="1">
        <v>0</v>
      </c>
      <c r="BG1799" s="1">
        <v>0</v>
      </c>
      <c r="BH1799" s="1">
        <v>0</v>
      </c>
      <c r="BI1799" s="1">
        <v>0</v>
      </c>
      <c r="BJ1799" s="1">
        <v>0</v>
      </c>
      <c r="BK1799" s="1">
        <v>0</v>
      </c>
      <c r="BL1799" s="1">
        <v>0</v>
      </c>
      <c r="BM1799" s="1">
        <v>0</v>
      </c>
      <c r="BN1799" s="1">
        <v>0</v>
      </c>
      <c r="BO1799" s="1">
        <v>0</v>
      </c>
      <c r="BP1799" s="1">
        <v>0</v>
      </c>
      <c r="BQ1799" s="1" t="s">
        <v>104</v>
      </c>
      <c r="BR1799" s="1">
        <v>1898</v>
      </c>
      <c r="BS1799" s="1" t="s">
        <v>104</v>
      </c>
      <c r="BX1799" s="1">
        <v>0</v>
      </c>
      <c r="BY1799" s="1" t="s">
        <v>104</v>
      </c>
      <c r="BZ1799" s="1" t="s">
        <v>104</v>
      </c>
      <c r="CA1799" s="1">
        <v>3</v>
      </c>
      <c r="CB1799" s="1" t="s">
        <v>104</v>
      </c>
      <c r="CC1799" s="1" t="s">
        <v>104</v>
      </c>
      <c r="CD1799" s="1" t="s">
        <v>104</v>
      </c>
      <c r="CE1799" s="1" t="s">
        <v>104</v>
      </c>
      <c r="CF1799" s="1" t="s">
        <v>104</v>
      </c>
      <c r="CG1799" s="1" t="s">
        <v>104</v>
      </c>
      <c r="CH1799" s="1" t="s">
        <v>104</v>
      </c>
      <c r="CJ1799" s="1">
        <v>0</v>
      </c>
      <c r="CK1799" s="1">
        <v>0</v>
      </c>
      <c r="CL1799" s="1">
        <v>0</v>
      </c>
      <c r="CM1799" s="1" t="s">
        <v>104</v>
      </c>
    </row>
    <row r="1800" spans="1:91" ht="14.25" customHeight="1" x14ac:dyDescent="0.3">
      <c r="A1800" s="1" t="s">
        <v>9726</v>
      </c>
      <c r="B1800" s="1" t="s">
        <v>434</v>
      </c>
      <c r="E1800" s="1" t="s">
        <v>9727</v>
      </c>
      <c r="F1800" s="1" t="s">
        <v>287</v>
      </c>
      <c r="G1800" s="1" t="s">
        <v>9728</v>
      </c>
      <c r="H1800" s="1">
        <v>1</v>
      </c>
      <c r="I1800" s="1" t="s">
        <v>157</v>
      </c>
      <c r="L1800" s="1" t="s">
        <v>158</v>
      </c>
      <c r="M1800" s="1" t="s">
        <v>9729</v>
      </c>
      <c r="N1800" s="1">
        <v>1</v>
      </c>
      <c r="O1800" s="1">
        <v>0</v>
      </c>
      <c r="P1800" s="1" t="s">
        <v>375</v>
      </c>
      <c r="Q1800" s="1" t="s">
        <v>131</v>
      </c>
      <c r="R1800" s="1" t="s">
        <v>9730</v>
      </c>
      <c r="S1800" s="1" t="s">
        <v>9569</v>
      </c>
      <c r="T1800" s="1">
        <v>1</v>
      </c>
      <c r="U1800" s="1">
        <v>1</v>
      </c>
      <c r="V1800" s="1">
        <v>1</v>
      </c>
      <c r="W1800" s="1">
        <v>0</v>
      </c>
      <c r="X1800" s="1">
        <v>0</v>
      </c>
      <c r="Y1800" s="1">
        <v>4</v>
      </c>
      <c r="Z1800" s="1">
        <v>4</v>
      </c>
      <c r="AA1800" s="1" t="s">
        <v>104</v>
      </c>
      <c r="AB1800" s="1" t="s">
        <v>104</v>
      </c>
      <c r="AC1800" s="1" t="s">
        <v>104</v>
      </c>
      <c r="AD1800" s="1">
        <v>4</v>
      </c>
      <c r="AE1800" s="1" t="s">
        <v>104</v>
      </c>
      <c r="AF1800" s="1" t="s">
        <v>104</v>
      </c>
      <c r="AG1800" s="1" t="s">
        <v>104</v>
      </c>
      <c r="AH1800" s="1" t="s">
        <v>104</v>
      </c>
      <c r="AI1800" s="1" t="s">
        <v>104</v>
      </c>
      <c r="AJ1800" s="1" t="s">
        <v>104</v>
      </c>
      <c r="AK1800" s="1" t="s">
        <v>104</v>
      </c>
      <c r="AL1800" s="1" t="s">
        <v>104</v>
      </c>
      <c r="AM1800" s="1" t="s">
        <v>104</v>
      </c>
      <c r="AO1800" s="1">
        <v>4</v>
      </c>
      <c r="AQ1800" s="1" t="s">
        <v>9731</v>
      </c>
      <c r="AR1800" s="1">
        <v>0</v>
      </c>
      <c r="AS1800" s="1">
        <v>0</v>
      </c>
      <c r="AT1800" s="1">
        <v>0</v>
      </c>
      <c r="AU1800" s="1">
        <v>0</v>
      </c>
      <c r="AV1800" s="1">
        <v>0</v>
      </c>
      <c r="AW1800" s="1">
        <v>0</v>
      </c>
      <c r="AX1800" s="1">
        <v>0</v>
      </c>
      <c r="AY1800" s="1">
        <v>0</v>
      </c>
      <c r="AZ1800" s="1">
        <v>0</v>
      </c>
      <c r="BA1800" s="1">
        <v>0</v>
      </c>
      <c r="BB1800" s="1">
        <v>0</v>
      </c>
      <c r="BC1800" s="1">
        <v>0</v>
      </c>
      <c r="BD1800" s="1">
        <v>0</v>
      </c>
      <c r="BE1800" s="1">
        <v>0</v>
      </c>
      <c r="BF1800" s="1">
        <v>0</v>
      </c>
      <c r="BG1800" s="1">
        <v>0</v>
      </c>
      <c r="BH1800" s="1">
        <v>0</v>
      </c>
      <c r="BI1800" s="1">
        <v>0</v>
      </c>
      <c r="BJ1800" s="1">
        <v>0</v>
      </c>
      <c r="BK1800" s="1">
        <v>0</v>
      </c>
      <c r="BL1800" s="1">
        <v>0</v>
      </c>
      <c r="BM1800" s="1">
        <v>0</v>
      </c>
      <c r="BN1800" s="1">
        <v>0</v>
      </c>
      <c r="BO1800" s="1">
        <v>0</v>
      </c>
      <c r="BP1800" s="1">
        <v>0</v>
      </c>
      <c r="BQ1800" s="1" t="s">
        <v>104</v>
      </c>
      <c r="BR1800" s="1">
        <v>1899</v>
      </c>
      <c r="BS1800" s="1">
        <v>100</v>
      </c>
      <c r="BX1800" s="1">
        <v>0</v>
      </c>
      <c r="BY1800" s="1" t="s">
        <v>104</v>
      </c>
      <c r="BZ1800" s="1" t="s">
        <v>104</v>
      </c>
      <c r="CA1800" s="1">
        <v>4</v>
      </c>
      <c r="CB1800" s="1" t="s">
        <v>104</v>
      </c>
      <c r="CC1800" s="1" t="s">
        <v>104</v>
      </c>
      <c r="CD1800" s="1">
        <v>4</v>
      </c>
      <c r="CE1800" s="1" t="s">
        <v>104</v>
      </c>
      <c r="CF1800" s="1" t="s">
        <v>104</v>
      </c>
      <c r="CG1800" s="1" t="s">
        <v>104</v>
      </c>
      <c r="CH1800" s="1" t="s">
        <v>104</v>
      </c>
      <c r="CJ1800" s="1">
        <v>0</v>
      </c>
      <c r="CK1800" s="1">
        <v>0</v>
      </c>
      <c r="CL1800" s="1">
        <v>0</v>
      </c>
      <c r="CM1800" s="1" t="s">
        <v>104</v>
      </c>
    </row>
    <row r="1801" spans="1:91" ht="14.25" customHeight="1" x14ac:dyDescent="0.3">
      <c r="A1801" s="1" t="s">
        <v>9732</v>
      </c>
      <c r="B1801" s="1" t="s">
        <v>434</v>
      </c>
      <c r="D1801" s="1" t="s">
        <v>46</v>
      </c>
      <c r="E1801" s="1" t="s">
        <v>7725</v>
      </c>
      <c r="F1801" s="1" t="s">
        <v>95</v>
      </c>
      <c r="G1801" s="1" t="s">
        <v>116</v>
      </c>
      <c r="H1801" s="1">
        <v>0</v>
      </c>
      <c r="I1801" s="1" t="s">
        <v>109</v>
      </c>
      <c r="K1801" s="1" t="s">
        <v>9733</v>
      </c>
      <c r="M1801" s="1" t="s">
        <v>4292</v>
      </c>
      <c r="N1801" s="1">
        <v>0</v>
      </c>
      <c r="O1801" s="1">
        <v>0</v>
      </c>
      <c r="P1801" s="1" t="s">
        <v>8614</v>
      </c>
      <c r="Q1801" s="1" t="s">
        <v>184</v>
      </c>
      <c r="R1801" s="1" t="s">
        <v>9734</v>
      </c>
      <c r="S1801" s="1" t="s">
        <v>9569</v>
      </c>
      <c r="T1801" s="1">
        <v>1</v>
      </c>
      <c r="U1801" s="1">
        <v>1</v>
      </c>
      <c r="V1801" s="1">
        <v>0</v>
      </c>
      <c r="W1801" s="1">
        <v>0</v>
      </c>
      <c r="X1801" s="1">
        <v>0</v>
      </c>
      <c r="Y1801" s="1">
        <v>4</v>
      </c>
      <c r="Z1801" s="1">
        <v>4</v>
      </c>
      <c r="AA1801" s="1" t="s">
        <v>104</v>
      </c>
      <c r="AB1801" s="1">
        <v>4</v>
      </c>
      <c r="AC1801" s="1" t="s">
        <v>104</v>
      </c>
      <c r="AD1801" s="1" t="s">
        <v>104</v>
      </c>
      <c r="AE1801" s="1" t="s">
        <v>104</v>
      </c>
      <c r="AF1801" s="1" t="s">
        <v>104</v>
      </c>
      <c r="AG1801" s="1">
        <v>3</v>
      </c>
      <c r="AH1801" s="1" t="s">
        <v>104</v>
      </c>
      <c r="AI1801" s="1" t="s">
        <v>104</v>
      </c>
      <c r="AJ1801" s="1" t="s">
        <v>104</v>
      </c>
      <c r="AK1801" s="1" t="s">
        <v>104</v>
      </c>
      <c r="AL1801" s="1" t="s">
        <v>104</v>
      </c>
      <c r="AM1801" s="1" t="s">
        <v>104</v>
      </c>
      <c r="AO1801" s="1">
        <v>4</v>
      </c>
      <c r="AQ1801" s="1" t="s">
        <v>9735</v>
      </c>
      <c r="AR1801" s="1">
        <v>0</v>
      </c>
      <c r="AS1801" s="1">
        <v>0</v>
      </c>
      <c r="AT1801" s="1">
        <v>0</v>
      </c>
      <c r="AU1801" s="1">
        <v>1</v>
      </c>
      <c r="AV1801" s="1">
        <v>0</v>
      </c>
      <c r="AW1801" s="1">
        <v>0</v>
      </c>
      <c r="AX1801" s="1">
        <v>0</v>
      </c>
      <c r="AY1801" s="1">
        <v>0</v>
      </c>
      <c r="AZ1801" s="1">
        <v>0</v>
      </c>
      <c r="BA1801" s="1">
        <v>0</v>
      </c>
      <c r="BB1801" s="1">
        <v>0</v>
      </c>
      <c r="BC1801" s="1">
        <v>0</v>
      </c>
      <c r="BD1801" s="1">
        <v>0</v>
      </c>
      <c r="BE1801" s="1">
        <v>0</v>
      </c>
      <c r="BF1801" s="1">
        <v>0</v>
      </c>
      <c r="BG1801" s="1">
        <v>0</v>
      </c>
      <c r="BH1801" s="1">
        <v>0</v>
      </c>
      <c r="BI1801" s="1">
        <v>0</v>
      </c>
      <c r="BJ1801" s="1">
        <v>0</v>
      </c>
      <c r="BK1801" s="1">
        <v>0</v>
      </c>
      <c r="BL1801" s="1">
        <v>0</v>
      </c>
      <c r="BM1801" s="1">
        <v>0</v>
      </c>
      <c r="BN1801" s="1">
        <v>0</v>
      </c>
      <c r="BO1801" s="1">
        <v>0</v>
      </c>
      <c r="BP1801" s="1">
        <v>0</v>
      </c>
      <c r="BQ1801" s="1" t="s">
        <v>104</v>
      </c>
      <c r="BR1801" s="1">
        <v>1900</v>
      </c>
      <c r="BS1801" s="1" t="s">
        <v>104</v>
      </c>
      <c r="BX1801" s="1">
        <v>0</v>
      </c>
      <c r="BY1801" s="1" t="s">
        <v>104</v>
      </c>
      <c r="BZ1801" s="1" t="s">
        <v>104</v>
      </c>
      <c r="CA1801" s="1" t="s">
        <v>104</v>
      </c>
      <c r="CB1801" s="1" t="s">
        <v>104</v>
      </c>
      <c r="CC1801" s="1" t="s">
        <v>104</v>
      </c>
      <c r="CD1801" s="1" t="s">
        <v>104</v>
      </c>
      <c r="CE1801" s="1" t="s">
        <v>104</v>
      </c>
      <c r="CF1801" s="1" t="s">
        <v>104</v>
      </c>
      <c r="CG1801" s="1" t="s">
        <v>104</v>
      </c>
      <c r="CH1801" s="1">
        <v>4</v>
      </c>
      <c r="CJ1801" s="1">
        <v>0</v>
      </c>
      <c r="CK1801" s="1">
        <v>0</v>
      </c>
      <c r="CL1801" s="1">
        <v>0</v>
      </c>
      <c r="CM1801" s="1">
        <v>4</v>
      </c>
    </row>
    <row r="1802" spans="1:91" ht="14.25" customHeight="1" x14ac:dyDescent="0.3">
      <c r="A1802" s="1" t="s">
        <v>9736</v>
      </c>
      <c r="B1802" s="1" t="s">
        <v>162</v>
      </c>
      <c r="E1802" s="1" t="s">
        <v>9737</v>
      </c>
      <c r="F1802" s="1" t="s">
        <v>287</v>
      </c>
      <c r="G1802" s="1" t="s">
        <v>116</v>
      </c>
      <c r="H1802" s="1">
        <v>0</v>
      </c>
      <c r="I1802" s="1" t="s">
        <v>128</v>
      </c>
      <c r="J1802" s="1" t="s">
        <v>9738</v>
      </c>
      <c r="L1802" s="1" t="s">
        <v>9738</v>
      </c>
      <c r="M1802" s="1" t="s">
        <v>9739</v>
      </c>
      <c r="N1802" s="1">
        <v>0</v>
      </c>
      <c r="O1802" s="1">
        <v>0</v>
      </c>
      <c r="P1802" s="1" t="s">
        <v>183</v>
      </c>
      <c r="Q1802" s="1" t="s">
        <v>184</v>
      </c>
      <c r="R1802" s="1" t="s">
        <v>9740</v>
      </c>
      <c r="S1802" s="1" t="s">
        <v>9569</v>
      </c>
      <c r="T1802" s="1">
        <v>1</v>
      </c>
      <c r="U1802" s="1">
        <v>1</v>
      </c>
      <c r="V1802" s="1">
        <v>0</v>
      </c>
      <c r="W1802" s="1">
        <v>0</v>
      </c>
      <c r="X1802" s="1">
        <v>0</v>
      </c>
      <c r="Y1802" s="1">
        <v>2</v>
      </c>
      <c r="Z1802" s="1">
        <v>2</v>
      </c>
      <c r="AA1802" s="1" t="s">
        <v>104</v>
      </c>
      <c r="AB1802" s="1" t="s">
        <v>104</v>
      </c>
      <c r="AC1802" s="1" t="s">
        <v>104</v>
      </c>
      <c r="AD1802" s="1" t="s">
        <v>104</v>
      </c>
      <c r="AE1802" s="1" t="s">
        <v>104</v>
      </c>
      <c r="AF1802" s="1" t="s">
        <v>104</v>
      </c>
      <c r="AG1802" s="1" t="s">
        <v>104</v>
      </c>
      <c r="AH1802" s="1">
        <v>2</v>
      </c>
      <c r="AI1802" s="1" t="s">
        <v>104</v>
      </c>
      <c r="AJ1802" s="1" t="s">
        <v>104</v>
      </c>
      <c r="AK1802" s="1" t="s">
        <v>104</v>
      </c>
      <c r="AL1802" s="1" t="s">
        <v>104</v>
      </c>
      <c r="AM1802" s="1" t="s">
        <v>104</v>
      </c>
      <c r="AO1802" s="1">
        <v>2</v>
      </c>
      <c r="AQ1802" s="1" t="s">
        <v>9741</v>
      </c>
      <c r="AR1802" s="1">
        <v>0</v>
      </c>
      <c r="AS1802" s="1">
        <v>0</v>
      </c>
      <c r="AT1802" s="1">
        <v>0</v>
      </c>
      <c r="AU1802" s="1">
        <v>0</v>
      </c>
      <c r="AV1802" s="1">
        <v>0</v>
      </c>
      <c r="AW1802" s="1">
        <v>0</v>
      </c>
      <c r="AX1802" s="1">
        <v>0</v>
      </c>
      <c r="AY1802" s="1">
        <v>0</v>
      </c>
      <c r="AZ1802" s="1">
        <v>0</v>
      </c>
      <c r="BA1802" s="1">
        <v>0</v>
      </c>
      <c r="BB1802" s="1">
        <v>0</v>
      </c>
      <c r="BC1802" s="1">
        <v>0</v>
      </c>
      <c r="BD1802" s="1">
        <v>0</v>
      </c>
      <c r="BE1802" s="1">
        <v>0</v>
      </c>
      <c r="BF1802" s="1">
        <v>0</v>
      </c>
      <c r="BG1802" s="1">
        <v>0</v>
      </c>
      <c r="BH1802" s="1">
        <v>0</v>
      </c>
      <c r="BI1802" s="1">
        <v>0</v>
      </c>
      <c r="BJ1802" s="1">
        <v>0</v>
      </c>
      <c r="BK1802" s="1">
        <v>0</v>
      </c>
      <c r="BL1802" s="1">
        <v>0</v>
      </c>
      <c r="BM1802" s="1">
        <v>0</v>
      </c>
      <c r="BN1802" s="1">
        <v>0</v>
      </c>
      <c r="BO1802" s="1">
        <v>0</v>
      </c>
      <c r="BP1802" s="1">
        <v>0</v>
      </c>
      <c r="BQ1802" s="1" t="s">
        <v>104</v>
      </c>
      <c r="BR1802" s="1">
        <v>1901</v>
      </c>
      <c r="BS1802" s="1" t="s">
        <v>104</v>
      </c>
      <c r="BX1802" s="1">
        <v>0</v>
      </c>
      <c r="BY1802" s="1" t="s">
        <v>104</v>
      </c>
      <c r="BZ1802" s="1" t="s">
        <v>104</v>
      </c>
      <c r="CA1802" s="1">
        <v>2</v>
      </c>
      <c r="CB1802" s="1" t="s">
        <v>104</v>
      </c>
      <c r="CC1802" s="1" t="s">
        <v>104</v>
      </c>
      <c r="CD1802" s="1">
        <v>2</v>
      </c>
      <c r="CE1802" s="1" t="s">
        <v>104</v>
      </c>
      <c r="CF1802" s="1" t="s">
        <v>104</v>
      </c>
      <c r="CG1802" s="1" t="s">
        <v>104</v>
      </c>
      <c r="CH1802" s="1" t="s">
        <v>104</v>
      </c>
      <c r="CJ1802" s="1">
        <v>0</v>
      </c>
      <c r="CK1802" s="1">
        <v>0</v>
      </c>
      <c r="CL1802" s="1">
        <v>0</v>
      </c>
      <c r="CM1802" s="1" t="s">
        <v>104</v>
      </c>
    </row>
    <row r="1803" spans="1:91" ht="14.25" customHeight="1" x14ac:dyDescent="0.3">
      <c r="A1803" s="1" t="s">
        <v>9742</v>
      </c>
      <c r="B1803" s="1" t="s">
        <v>137</v>
      </c>
      <c r="D1803" s="1" t="s">
        <v>8298</v>
      </c>
      <c r="E1803" s="1" t="s">
        <v>9743</v>
      </c>
      <c r="F1803" s="1" t="s">
        <v>95</v>
      </c>
      <c r="G1803" s="1" t="s">
        <v>9744</v>
      </c>
      <c r="H1803" s="1">
        <v>0</v>
      </c>
      <c r="I1803" s="1" t="s">
        <v>117</v>
      </c>
      <c r="L1803" s="1" t="s">
        <v>1065</v>
      </c>
      <c r="M1803" s="1" t="s">
        <v>9745</v>
      </c>
      <c r="N1803" s="1">
        <v>0</v>
      </c>
      <c r="O1803" s="1">
        <v>0</v>
      </c>
      <c r="P1803" s="1" t="s">
        <v>1902</v>
      </c>
      <c r="Q1803" s="1" t="s">
        <v>184</v>
      </c>
      <c r="R1803" s="1" t="s">
        <v>9746</v>
      </c>
      <c r="S1803" s="1" t="s">
        <v>9569</v>
      </c>
      <c r="T1803" s="1">
        <v>1</v>
      </c>
      <c r="U1803" s="1">
        <v>1</v>
      </c>
      <c r="V1803" s="1">
        <v>1</v>
      </c>
      <c r="W1803" s="1">
        <v>0</v>
      </c>
      <c r="X1803" s="1">
        <v>0</v>
      </c>
      <c r="Y1803" s="1">
        <v>4</v>
      </c>
      <c r="Z1803" s="1">
        <v>4</v>
      </c>
      <c r="AA1803" s="1" t="s">
        <v>104</v>
      </c>
      <c r="AB1803" s="1" t="s">
        <v>104</v>
      </c>
      <c r="AC1803" s="1" t="s">
        <v>104</v>
      </c>
      <c r="AD1803" s="1" t="s">
        <v>104</v>
      </c>
      <c r="AE1803" s="1" t="s">
        <v>104</v>
      </c>
      <c r="AF1803" s="1" t="s">
        <v>104</v>
      </c>
      <c r="AG1803" s="1" t="s">
        <v>104</v>
      </c>
      <c r="AH1803" s="1">
        <v>4</v>
      </c>
      <c r="AI1803" s="1" t="s">
        <v>104</v>
      </c>
      <c r="AJ1803" s="1" t="s">
        <v>104</v>
      </c>
      <c r="AK1803" s="1" t="s">
        <v>104</v>
      </c>
      <c r="AL1803" s="1" t="s">
        <v>104</v>
      </c>
      <c r="AM1803" s="1" t="s">
        <v>104</v>
      </c>
      <c r="AO1803" s="1">
        <v>4</v>
      </c>
      <c r="AQ1803" s="1" t="s">
        <v>9747</v>
      </c>
      <c r="AR1803" s="1">
        <v>0</v>
      </c>
      <c r="AS1803" s="1">
        <v>0</v>
      </c>
      <c r="AT1803" s="1">
        <v>0</v>
      </c>
      <c r="AU1803" s="1">
        <v>0</v>
      </c>
      <c r="AV1803" s="1">
        <v>1</v>
      </c>
      <c r="AW1803" s="1">
        <v>0</v>
      </c>
      <c r="AX1803" s="1">
        <v>0</v>
      </c>
      <c r="AY1803" s="1">
        <v>0</v>
      </c>
      <c r="AZ1803" s="1">
        <v>0</v>
      </c>
      <c r="BA1803" s="1">
        <v>0</v>
      </c>
      <c r="BB1803" s="1">
        <v>0</v>
      </c>
      <c r="BC1803" s="1">
        <v>0</v>
      </c>
      <c r="BD1803" s="1">
        <v>0</v>
      </c>
      <c r="BE1803" s="1">
        <v>1</v>
      </c>
      <c r="BF1803" s="1">
        <v>0</v>
      </c>
      <c r="BG1803" s="1">
        <v>0</v>
      </c>
      <c r="BH1803" s="1">
        <v>0</v>
      </c>
      <c r="BI1803" s="1">
        <v>0</v>
      </c>
      <c r="BJ1803" s="1">
        <v>0</v>
      </c>
      <c r="BK1803" s="1">
        <v>0</v>
      </c>
      <c r="BL1803" s="1">
        <v>0</v>
      </c>
      <c r="BM1803" s="1">
        <v>0</v>
      </c>
      <c r="BN1803" s="1">
        <v>0</v>
      </c>
      <c r="BO1803" s="1">
        <v>0</v>
      </c>
      <c r="BP1803" s="1">
        <v>0</v>
      </c>
      <c r="BQ1803" s="1" t="s">
        <v>104</v>
      </c>
      <c r="BR1803" s="1">
        <v>1902</v>
      </c>
      <c r="BS1803" s="1" t="s">
        <v>104</v>
      </c>
      <c r="BX1803" s="1">
        <v>0</v>
      </c>
      <c r="BY1803" s="1" t="s">
        <v>104</v>
      </c>
      <c r="BZ1803" s="1">
        <v>4</v>
      </c>
      <c r="CA1803" s="1">
        <v>4</v>
      </c>
      <c r="CB1803" s="1" t="s">
        <v>104</v>
      </c>
      <c r="CC1803" s="1" t="s">
        <v>104</v>
      </c>
      <c r="CD1803" s="1" t="s">
        <v>104</v>
      </c>
      <c r="CE1803" s="1" t="s">
        <v>104</v>
      </c>
      <c r="CF1803" s="1" t="s">
        <v>104</v>
      </c>
      <c r="CG1803" s="1" t="s">
        <v>104</v>
      </c>
      <c r="CH1803" s="1" t="s">
        <v>104</v>
      </c>
      <c r="CJ1803" s="1">
        <v>0</v>
      </c>
      <c r="CK1803" s="1">
        <v>0</v>
      </c>
      <c r="CL1803" s="1">
        <v>0</v>
      </c>
      <c r="CM1803" s="1" t="s">
        <v>104</v>
      </c>
    </row>
    <row r="1804" spans="1:91" ht="14.25" customHeight="1" x14ac:dyDescent="0.3">
      <c r="A1804" s="1" t="s">
        <v>9748</v>
      </c>
      <c r="B1804" s="1" t="s">
        <v>92</v>
      </c>
      <c r="C1804" s="1" t="s">
        <v>1160</v>
      </c>
      <c r="E1804" s="1" t="s">
        <v>9749</v>
      </c>
      <c r="F1804" s="1" t="s">
        <v>95</v>
      </c>
      <c r="G1804" s="1" t="s">
        <v>116</v>
      </c>
      <c r="H1804" s="1">
        <v>0</v>
      </c>
      <c r="I1804" s="1" t="s">
        <v>117</v>
      </c>
      <c r="L1804" s="1" t="s">
        <v>1162</v>
      </c>
      <c r="M1804" s="1" t="s">
        <v>5119</v>
      </c>
      <c r="N1804" s="1">
        <v>0</v>
      </c>
      <c r="O1804" s="1">
        <v>0</v>
      </c>
      <c r="P1804" s="1" t="s">
        <v>1163</v>
      </c>
      <c r="Q1804" s="1" t="s">
        <v>1164</v>
      </c>
      <c r="R1804" s="1" t="s">
        <v>9750</v>
      </c>
      <c r="S1804" s="1" t="s">
        <v>9569</v>
      </c>
      <c r="T1804" s="1">
        <v>1</v>
      </c>
      <c r="U1804" s="1">
        <v>1</v>
      </c>
      <c r="V1804" s="1">
        <v>0</v>
      </c>
      <c r="W1804" s="1">
        <v>0</v>
      </c>
      <c r="X1804" s="1">
        <v>0</v>
      </c>
      <c r="Y1804" s="1">
        <v>7</v>
      </c>
      <c r="Z1804" s="1">
        <v>7</v>
      </c>
      <c r="AA1804" s="1" t="s">
        <v>104</v>
      </c>
      <c r="AB1804" s="1" t="s">
        <v>104</v>
      </c>
      <c r="AC1804" s="1" t="s">
        <v>104</v>
      </c>
      <c r="AD1804" s="1" t="s">
        <v>104</v>
      </c>
      <c r="AE1804" s="1" t="s">
        <v>104</v>
      </c>
      <c r="AF1804" s="1" t="s">
        <v>104</v>
      </c>
      <c r="AG1804" s="1">
        <v>6</v>
      </c>
      <c r="AH1804" s="1">
        <v>7</v>
      </c>
      <c r="AI1804" s="1" t="s">
        <v>104</v>
      </c>
      <c r="AJ1804" s="1" t="s">
        <v>104</v>
      </c>
      <c r="AK1804" s="1" t="s">
        <v>104</v>
      </c>
      <c r="AL1804" s="1" t="s">
        <v>104</v>
      </c>
      <c r="AM1804" s="1" t="s">
        <v>104</v>
      </c>
      <c r="AO1804" s="1">
        <v>7</v>
      </c>
      <c r="AQ1804" s="1" t="s">
        <v>9751</v>
      </c>
      <c r="AR1804" s="1">
        <v>0</v>
      </c>
      <c r="AS1804" s="1">
        <v>0</v>
      </c>
      <c r="AT1804" s="1">
        <v>0</v>
      </c>
      <c r="AU1804" s="1">
        <v>0</v>
      </c>
      <c r="AV1804" s="1">
        <v>0</v>
      </c>
      <c r="AW1804" s="1">
        <v>0</v>
      </c>
      <c r="AX1804" s="1">
        <v>0</v>
      </c>
      <c r="AY1804" s="1">
        <v>0</v>
      </c>
      <c r="AZ1804" s="1">
        <v>0</v>
      </c>
      <c r="BA1804" s="1">
        <v>0</v>
      </c>
      <c r="BB1804" s="1">
        <v>0</v>
      </c>
      <c r="BC1804" s="1">
        <v>0</v>
      </c>
      <c r="BD1804" s="1">
        <v>0</v>
      </c>
      <c r="BE1804" s="1">
        <v>0</v>
      </c>
      <c r="BF1804" s="1">
        <v>0</v>
      </c>
      <c r="BG1804" s="1">
        <v>0</v>
      </c>
      <c r="BH1804" s="1">
        <v>0</v>
      </c>
      <c r="BI1804" s="1">
        <v>0</v>
      </c>
      <c r="BJ1804" s="1">
        <v>0</v>
      </c>
      <c r="BK1804" s="1">
        <v>0</v>
      </c>
      <c r="BL1804" s="1">
        <v>0</v>
      </c>
      <c r="BM1804" s="1">
        <v>0</v>
      </c>
      <c r="BN1804" s="1">
        <v>0</v>
      </c>
      <c r="BO1804" s="1">
        <v>0</v>
      </c>
      <c r="BP1804" s="1">
        <v>0</v>
      </c>
      <c r="BQ1804" s="1" t="s">
        <v>104</v>
      </c>
      <c r="BR1804" s="1">
        <v>1903</v>
      </c>
      <c r="BS1804" s="1" t="s">
        <v>104</v>
      </c>
      <c r="BX1804" s="1">
        <v>0</v>
      </c>
      <c r="BY1804" s="1" t="s">
        <v>104</v>
      </c>
      <c r="BZ1804" s="1" t="s">
        <v>104</v>
      </c>
      <c r="CA1804" s="1">
        <v>7</v>
      </c>
      <c r="CB1804" s="1" t="s">
        <v>104</v>
      </c>
      <c r="CC1804" s="1" t="s">
        <v>104</v>
      </c>
      <c r="CD1804" s="1" t="s">
        <v>104</v>
      </c>
      <c r="CE1804" s="1" t="s">
        <v>104</v>
      </c>
      <c r="CF1804" s="1" t="s">
        <v>104</v>
      </c>
      <c r="CG1804" s="1" t="s">
        <v>104</v>
      </c>
      <c r="CH1804" s="1" t="s">
        <v>104</v>
      </c>
      <c r="CJ1804" s="1">
        <v>0</v>
      </c>
      <c r="CK1804" s="1">
        <v>0</v>
      </c>
      <c r="CL1804" s="1">
        <v>0</v>
      </c>
      <c r="CM1804" s="1">
        <v>6</v>
      </c>
    </row>
    <row r="1805" spans="1:91" ht="14.25" customHeight="1" x14ac:dyDescent="0.3">
      <c r="A1805" s="1" t="s">
        <v>9752</v>
      </c>
      <c r="B1805" s="1" t="s">
        <v>137</v>
      </c>
      <c r="E1805" s="1" t="s">
        <v>9753</v>
      </c>
      <c r="F1805" s="1" t="s">
        <v>95</v>
      </c>
      <c r="G1805" s="1" t="s">
        <v>116</v>
      </c>
      <c r="H1805" s="1">
        <v>0</v>
      </c>
      <c r="I1805" s="1" t="s">
        <v>128</v>
      </c>
      <c r="L1805" s="1" t="s">
        <v>6004</v>
      </c>
      <c r="M1805" s="1" t="s">
        <v>426</v>
      </c>
      <c r="N1805" s="1">
        <v>1</v>
      </c>
      <c r="O1805" s="1">
        <v>0</v>
      </c>
      <c r="P1805" s="1" t="s">
        <v>211</v>
      </c>
      <c r="Q1805" s="1" t="s">
        <v>101</v>
      </c>
      <c r="R1805" s="1" t="s">
        <v>9754</v>
      </c>
      <c r="S1805" s="1" t="s">
        <v>9569</v>
      </c>
      <c r="T1805" s="1">
        <v>1</v>
      </c>
      <c r="U1805" s="1">
        <v>1</v>
      </c>
      <c r="V1805" s="1">
        <v>0</v>
      </c>
      <c r="W1805" s="1">
        <v>0</v>
      </c>
      <c r="X1805" s="1">
        <v>0</v>
      </c>
      <c r="Y1805" s="1">
        <v>3</v>
      </c>
      <c r="Z1805" s="1">
        <v>3</v>
      </c>
      <c r="AA1805" s="1" t="s">
        <v>104</v>
      </c>
      <c r="AB1805" s="1" t="s">
        <v>104</v>
      </c>
      <c r="AC1805" s="1" t="s">
        <v>104</v>
      </c>
      <c r="AD1805" s="1" t="s">
        <v>104</v>
      </c>
      <c r="AE1805" s="1" t="s">
        <v>104</v>
      </c>
      <c r="AF1805" s="1">
        <v>3</v>
      </c>
      <c r="AG1805" s="1" t="s">
        <v>104</v>
      </c>
      <c r="AH1805" s="1">
        <v>3</v>
      </c>
      <c r="AI1805" s="1" t="s">
        <v>104</v>
      </c>
      <c r="AJ1805" s="1" t="s">
        <v>104</v>
      </c>
      <c r="AK1805" s="1" t="s">
        <v>104</v>
      </c>
      <c r="AL1805" s="1" t="s">
        <v>104</v>
      </c>
      <c r="AM1805" s="1" t="s">
        <v>104</v>
      </c>
      <c r="AO1805" s="1">
        <v>3</v>
      </c>
      <c r="AQ1805" s="1" t="s">
        <v>9755</v>
      </c>
      <c r="AR1805" s="1">
        <v>0</v>
      </c>
      <c r="AS1805" s="1">
        <v>0</v>
      </c>
      <c r="AT1805" s="1">
        <v>0</v>
      </c>
      <c r="AU1805" s="1">
        <v>0</v>
      </c>
      <c r="AV1805" s="1">
        <v>0</v>
      </c>
      <c r="AW1805" s="1">
        <v>0</v>
      </c>
      <c r="AX1805" s="1">
        <v>0</v>
      </c>
      <c r="AY1805" s="1">
        <v>0</v>
      </c>
      <c r="AZ1805" s="1">
        <v>0</v>
      </c>
      <c r="BA1805" s="1">
        <v>0</v>
      </c>
      <c r="BB1805" s="1">
        <v>0</v>
      </c>
      <c r="BC1805" s="1">
        <v>0</v>
      </c>
      <c r="BD1805" s="1">
        <v>0</v>
      </c>
      <c r="BE1805" s="1">
        <v>0</v>
      </c>
      <c r="BF1805" s="1">
        <v>0</v>
      </c>
      <c r="BG1805" s="1">
        <v>0</v>
      </c>
      <c r="BH1805" s="1">
        <v>0</v>
      </c>
      <c r="BI1805" s="1">
        <v>0</v>
      </c>
      <c r="BJ1805" s="1">
        <v>0</v>
      </c>
      <c r="BK1805" s="1">
        <v>0</v>
      </c>
      <c r="BL1805" s="1">
        <v>0</v>
      </c>
      <c r="BM1805" s="1">
        <v>0</v>
      </c>
      <c r="BN1805" s="1">
        <v>0</v>
      </c>
      <c r="BO1805" s="1">
        <v>0</v>
      </c>
      <c r="BP1805" s="1">
        <v>0</v>
      </c>
      <c r="BQ1805" s="1" t="s">
        <v>104</v>
      </c>
      <c r="BR1805" s="1">
        <v>1904</v>
      </c>
      <c r="BS1805" s="1" t="s">
        <v>104</v>
      </c>
      <c r="BX1805" s="1">
        <v>0</v>
      </c>
      <c r="BY1805" s="1" t="s">
        <v>104</v>
      </c>
      <c r="BZ1805" s="1" t="s">
        <v>104</v>
      </c>
      <c r="CA1805" s="1" t="s">
        <v>104</v>
      </c>
      <c r="CB1805" s="1" t="s">
        <v>104</v>
      </c>
      <c r="CC1805" s="1" t="s">
        <v>104</v>
      </c>
      <c r="CD1805" s="1" t="s">
        <v>104</v>
      </c>
      <c r="CE1805" s="1" t="s">
        <v>104</v>
      </c>
      <c r="CF1805" s="1" t="s">
        <v>104</v>
      </c>
      <c r="CG1805" s="1" t="s">
        <v>104</v>
      </c>
      <c r="CH1805" s="1" t="s">
        <v>104</v>
      </c>
      <c r="CJ1805" s="1">
        <v>0</v>
      </c>
      <c r="CK1805" s="1">
        <v>0</v>
      </c>
      <c r="CL1805" s="1">
        <v>0</v>
      </c>
      <c r="CM1805" s="1" t="s">
        <v>104</v>
      </c>
    </row>
    <row r="1806" spans="1:91" ht="14.25" customHeight="1" x14ac:dyDescent="0.3">
      <c r="A1806" s="1" t="s">
        <v>9756</v>
      </c>
      <c r="B1806" s="1" t="s">
        <v>172</v>
      </c>
      <c r="D1806" s="1" t="s">
        <v>125</v>
      </c>
      <c r="E1806" s="1" t="s">
        <v>9757</v>
      </c>
      <c r="F1806" s="1" t="s">
        <v>95</v>
      </c>
      <c r="G1806" s="1" t="s">
        <v>9758</v>
      </c>
      <c r="H1806" s="1">
        <v>0</v>
      </c>
      <c r="I1806" s="1" t="s">
        <v>776</v>
      </c>
      <c r="L1806" s="1" t="s">
        <v>1065</v>
      </c>
      <c r="M1806" s="1" t="s">
        <v>8629</v>
      </c>
      <c r="N1806" s="1">
        <v>1</v>
      </c>
      <c r="O1806" s="1">
        <v>0</v>
      </c>
      <c r="P1806" s="1" t="s">
        <v>1902</v>
      </c>
      <c r="Q1806" s="1" t="s">
        <v>184</v>
      </c>
      <c r="R1806" s="1" t="s">
        <v>9759</v>
      </c>
      <c r="S1806" s="1" t="s">
        <v>9569</v>
      </c>
      <c r="T1806" s="1">
        <v>1</v>
      </c>
      <c r="U1806" s="1">
        <v>1</v>
      </c>
      <c r="V1806" s="1">
        <v>0</v>
      </c>
      <c r="W1806" s="1">
        <v>0</v>
      </c>
      <c r="X1806" s="1">
        <v>0</v>
      </c>
      <c r="Y1806" s="1">
        <v>1</v>
      </c>
      <c r="Z1806" s="1">
        <v>1</v>
      </c>
      <c r="AA1806" s="1" t="s">
        <v>104</v>
      </c>
      <c r="AB1806" s="1" t="s">
        <v>104</v>
      </c>
      <c r="AC1806" s="1" t="s">
        <v>104</v>
      </c>
      <c r="AD1806" s="1">
        <v>1</v>
      </c>
      <c r="AE1806" s="1" t="s">
        <v>104</v>
      </c>
      <c r="AF1806" s="1" t="s">
        <v>104</v>
      </c>
      <c r="AG1806" s="1" t="s">
        <v>104</v>
      </c>
      <c r="AH1806" s="1">
        <v>1</v>
      </c>
      <c r="AI1806" s="1" t="s">
        <v>104</v>
      </c>
      <c r="AJ1806" s="1" t="s">
        <v>104</v>
      </c>
      <c r="AK1806" s="1" t="s">
        <v>104</v>
      </c>
      <c r="AL1806" s="1" t="s">
        <v>104</v>
      </c>
      <c r="AM1806" s="1" t="s">
        <v>104</v>
      </c>
      <c r="AO1806" s="1">
        <v>1</v>
      </c>
      <c r="AQ1806" s="1" t="s">
        <v>9760</v>
      </c>
      <c r="AR1806" s="1">
        <v>0</v>
      </c>
      <c r="AS1806" s="1">
        <v>0</v>
      </c>
      <c r="AT1806" s="1">
        <v>0</v>
      </c>
      <c r="AU1806" s="1">
        <v>0</v>
      </c>
      <c r="AV1806" s="1">
        <v>0</v>
      </c>
      <c r="AW1806" s="1">
        <v>0</v>
      </c>
      <c r="AX1806" s="1">
        <v>0</v>
      </c>
      <c r="AY1806" s="1">
        <v>0</v>
      </c>
      <c r="AZ1806" s="1">
        <v>0</v>
      </c>
      <c r="BA1806" s="1">
        <v>0</v>
      </c>
      <c r="BB1806" s="1">
        <v>0</v>
      </c>
      <c r="BC1806" s="1">
        <v>0</v>
      </c>
      <c r="BD1806" s="1">
        <v>0</v>
      </c>
      <c r="BE1806" s="1">
        <v>0</v>
      </c>
      <c r="BF1806" s="1">
        <v>0</v>
      </c>
      <c r="BG1806" s="1">
        <v>0</v>
      </c>
      <c r="BH1806" s="1">
        <v>0</v>
      </c>
      <c r="BI1806" s="1">
        <v>0</v>
      </c>
      <c r="BJ1806" s="1">
        <v>0</v>
      </c>
      <c r="BK1806" s="1">
        <v>1</v>
      </c>
      <c r="BL1806" s="1">
        <v>0</v>
      </c>
      <c r="BM1806" s="1">
        <v>0</v>
      </c>
      <c r="BN1806" s="1">
        <v>0</v>
      </c>
      <c r="BO1806" s="1">
        <v>0</v>
      </c>
      <c r="BP1806" s="1">
        <v>0</v>
      </c>
      <c r="BQ1806" s="1" t="s">
        <v>104</v>
      </c>
      <c r="BR1806" s="1">
        <v>1905</v>
      </c>
      <c r="BS1806" s="1" t="s">
        <v>104</v>
      </c>
      <c r="BX1806" s="1">
        <v>0</v>
      </c>
      <c r="BY1806" s="1" t="s">
        <v>104</v>
      </c>
      <c r="BZ1806" s="1">
        <v>1</v>
      </c>
      <c r="CA1806" s="1">
        <v>1</v>
      </c>
      <c r="CB1806" s="1">
        <v>1</v>
      </c>
      <c r="CC1806" s="1">
        <v>1</v>
      </c>
      <c r="CD1806" s="1">
        <v>1</v>
      </c>
      <c r="CE1806" s="1">
        <v>1</v>
      </c>
      <c r="CF1806" s="1" t="s">
        <v>104</v>
      </c>
      <c r="CG1806" s="1" t="s">
        <v>104</v>
      </c>
      <c r="CH1806" s="1" t="s">
        <v>104</v>
      </c>
      <c r="CJ1806" s="1">
        <v>0</v>
      </c>
      <c r="CK1806" s="1">
        <v>0</v>
      </c>
      <c r="CL1806" s="1">
        <v>0</v>
      </c>
      <c r="CM1806" s="1" t="s">
        <v>104</v>
      </c>
    </row>
    <row r="1807" spans="1:91" ht="14.25" customHeight="1" x14ac:dyDescent="0.3">
      <c r="A1807" s="1" t="s">
        <v>9761</v>
      </c>
      <c r="B1807" s="1" t="s">
        <v>507</v>
      </c>
      <c r="C1807" s="1" t="s">
        <v>508</v>
      </c>
      <c r="E1807" s="1" t="s">
        <v>9762</v>
      </c>
      <c r="F1807" s="1" t="s">
        <v>255</v>
      </c>
      <c r="G1807" s="1" t="s">
        <v>116</v>
      </c>
      <c r="H1807" s="1">
        <v>0</v>
      </c>
      <c r="I1807" s="1" t="s">
        <v>128</v>
      </c>
      <c r="L1807" s="1" t="s">
        <v>9763</v>
      </c>
      <c r="M1807" s="1" t="s">
        <v>620</v>
      </c>
      <c r="N1807" s="1">
        <v>1</v>
      </c>
      <c r="O1807" s="1">
        <v>0</v>
      </c>
      <c r="P1807" s="1" t="s">
        <v>100</v>
      </c>
      <c r="Q1807" s="1" t="s">
        <v>101</v>
      </c>
      <c r="R1807" s="1" t="s">
        <v>9764</v>
      </c>
      <c r="S1807" s="1" t="s">
        <v>9569</v>
      </c>
      <c r="T1807" s="1">
        <v>1</v>
      </c>
      <c r="U1807" s="1">
        <v>1</v>
      </c>
      <c r="V1807" s="1">
        <v>0</v>
      </c>
      <c r="W1807" s="1">
        <v>0</v>
      </c>
      <c r="X1807" s="1">
        <v>0</v>
      </c>
      <c r="Y1807" s="1">
        <v>1</v>
      </c>
      <c r="Z1807" s="1">
        <v>1</v>
      </c>
      <c r="AA1807" s="1" t="s">
        <v>104</v>
      </c>
      <c r="AB1807" s="1" t="s">
        <v>104</v>
      </c>
      <c r="AC1807" s="1" t="s">
        <v>104</v>
      </c>
      <c r="AD1807" s="1">
        <v>1</v>
      </c>
      <c r="AE1807" s="1" t="s">
        <v>104</v>
      </c>
      <c r="AF1807" s="1" t="s">
        <v>104</v>
      </c>
      <c r="AG1807" s="1" t="s">
        <v>104</v>
      </c>
      <c r="AH1807" s="1">
        <v>1</v>
      </c>
      <c r="AI1807" s="1" t="s">
        <v>104</v>
      </c>
      <c r="AJ1807" s="1" t="s">
        <v>104</v>
      </c>
      <c r="AK1807" s="1" t="s">
        <v>104</v>
      </c>
      <c r="AL1807" s="1">
        <v>1</v>
      </c>
      <c r="AM1807" s="1" t="s">
        <v>104</v>
      </c>
      <c r="AO1807" s="1">
        <v>1</v>
      </c>
      <c r="AQ1807" s="1" t="s">
        <v>9765</v>
      </c>
      <c r="AR1807" s="1">
        <v>0</v>
      </c>
      <c r="AS1807" s="1">
        <v>0</v>
      </c>
      <c r="AT1807" s="1">
        <v>0</v>
      </c>
      <c r="AU1807" s="1">
        <v>0</v>
      </c>
      <c r="AV1807" s="1">
        <v>0</v>
      </c>
      <c r="AW1807" s="1">
        <v>0</v>
      </c>
      <c r="AX1807" s="1">
        <v>0</v>
      </c>
      <c r="AY1807" s="1">
        <v>0</v>
      </c>
      <c r="AZ1807" s="1">
        <v>0</v>
      </c>
      <c r="BA1807" s="1">
        <v>0</v>
      </c>
      <c r="BB1807" s="1">
        <v>0</v>
      </c>
      <c r="BC1807" s="1">
        <v>0</v>
      </c>
      <c r="BD1807" s="1">
        <v>0</v>
      </c>
      <c r="BE1807" s="1">
        <v>0</v>
      </c>
      <c r="BF1807" s="1">
        <v>0</v>
      </c>
      <c r="BG1807" s="1">
        <v>0</v>
      </c>
      <c r="BH1807" s="1">
        <v>0</v>
      </c>
      <c r="BI1807" s="1">
        <v>0</v>
      </c>
      <c r="BJ1807" s="1">
        <v>0</v>
      </c>
      <c r="BK1807" s="1">
        <v>0</v>
      </c>
      <c r="BL1807" s="1">
        <v>0</v>
      </c>
      <c r="BM1807" s="1">
        <v>0</v>
      </c>
      <c r="BN1807" s="1">
        <v>0</v>
      </c>
      <c r="BO1807" s="1">
        <v>0</v>
      </c>
      <c r="BP1807" s="1">
        <v>0</v>
      </c>
      <c r="BQ1807" s="1" t="s">
        <v>104</v>
      </c>
      <c r="BR1807" s="1">
        <v>1906</v>
      </c>
      <c r="BS1807" s="1" t="s">
        <v>104</v>
      </c>
      <c r="BX1807" s="1">
        <v>0</v>
      </c>
      <c r="BY1807" s="1" t="s">
        <v>104</v>
      </c>
      <c r="BZ1807" s="1" t="s">
        <v>104</v>
      </c>
      <c r="CA1807" s="1">
        <v>1</v>
      </c>
      <c r="CB1807" s="1">
        <v>1</v>
      </c>
      <c r="CC1807" s="1">
        <v>1</v>
      </c>
      <c r="CD1807" s="1" t="s">
        <v>104</v>
      </c>
      <c r="CE1807" s="1" t="s">
        <v>104</v>
      </c>
      <c r="CF1807" s="1" t="s">
        <v>104</v>
      </c>
      <c r="CG1807" s="1" t="s">
        <v>104</v>
      </c>
      <c r="CH1807" s="1" t="s">
        <v>104</v>
      </c>
      <c r="CJ1807" s="1">
        <v>0</v>
      </c>
      <c r="CK1807" s="1">
        <v>0</v>
      </c>
      <c r="CL1807" s="1">
        <v>0</v>
      </c>
      <c r="CM1807" s="1" t="s">
        <v>104</v>
      </c>
    </row>
    <row r="1808" spans="1:91" ht="14.25" customHeight="1" x14ac:dyDescent="0.3">
      <c r="A1808" s="1" t="s">
        <v>9766</v>
      </c>
      <c r="B1808" s="1" t="s">
        <v>162</v>
      </c>
      <c r="E1808" s="1" t="s">
        <v>9767</v>
      </c>
      <c r="F1808" s="1" t="s">
        <v>95</v>
      </c>
      <c r="G1808" s="1" t="s">
        <v>116</v>
      </c>
      <c r="H1808" s="1">
        <v>0</v>
      </c>
      <c r="I1808" s="1" t="s">
        <v>157</v>
      </c>
      <c r="L1808" s="1" t="s">
        <v>158</v>
      </c>
      <c r="M1808" s="1" t="s">
        <v>9768</v>
      </c>
      <c r="N1808" s="1">
        <v>0</v>
      </c>
      <c r="O1808" s="1">
        <v>0</v>
      </c>
      <c r="R1808" s="1" t="s">
        <v>9769</v>
      </c>
      <c r="S1808" s="1" t="s">
        <v>9569</v>
      </c>
      <c r="T1808" s="1">
        <v>1</v>
      </c>
      <c r="U1808" s="1">
        <v>1</v>
      </c>
      <c r="V1808" s="1">
        <v>0</v>
      </c>
      <c r="W1808" s="1">
        <v>0</v>
      </c>
      <c r="X1808" s="1">
        <v>0</v>
      </c>
      <c r="Y1808" s="1">
        <v>4</v>
      </c>
      <c r="Z1808" s="1">
        <v>4</v>
      </c>
      <c r="AA1808" s="1">
        <v>4</v>
      </c>
      <c r="AB1808" s="1" t="s">
        <v>104</v>
      </c>
      <c r="AC1808" s="1" t="s">
        <v>104</v>
      </c>
      <c r="AD1808" s="1" t="s">
        <v>104</v>
      </c>
      <c r="AE1808" s="1" t="s">
        <v>104</v>
      </c>
      <c r="AF1808" s="1">
        <v>4</v>
      </c>
      <c r="AG1808" s="1" t="s">
        <v>104</v>
      </c>
      <c r="AH1808" s="1">
        <v>4</v>
      </c>
      <c r="AI1808" s="1">
        <v>4</v>
      </c>
      <c r="AJ1808" s="1">
        <v>4</v>
      </c>
      <c r="AK1808" s="1" t="s">
        <v>104</v>
      </c>
      <c r="AL1808" s="1" t="s">
        <v>104</v>
      </c>
      <c r="AM1808" s="1" t="s">
        <v>104</v>
      </c>
      <c r="AO1808" s="1">
        <v>4</v>
      </c>
      <c r="AQ1808" s="1" t="s">
        <v>9770</v>
      </c>
      <c r="AR1808" s="1">
        <v>0</v>
      </c>
      <c r="AS1808" s="1">
        <v>0</v>
      </c>
      <c r="AT1808" s="1">
        <v>0</v>
      </c>
      <c r="AU1808" s="1">
        <v>0</v>
      </c>
      <c r="AV1808" s="1">
        <v>0</v>
      </c>
      <c r="AW1808" s="1">
        <v>0</v>
      </c>
      <c r="AX1808" s="1">
        <v>0</v>
      </c>
      <c r="AY1808" s="1">
        <v>0</v>
      </c>
      <c r="AZ1808" s="1">
        <v>0</v>
      </c>
      <c r="BA1808" s="1">
        <v>0</v>
      </c>
      <c r="BB1808" s="1">
        <v>0</v>
      </c>
      <c r="BC1808" s="1">
        <v>0</v>
      </c>
      <c r="BD1808" s="1">
        <v>0</v>
      </c>
      <c r="BE1808" s="1">
        <v>0</v>
      </c>
      <c r="BF1808" s="1">
        <v>0</v>
      </c>
      <c r="BG1808" s="1">
        <v>0</v>
      </c>
      <c r="BH1808" s="1">
        <v>0</v>
      </c>
      <c r="BI1808" s="1">
        <v>0</v>
      </c>
      <c r="BJ1808" s="1">
        <v>0</v>
      </c>
      <c r="BK1808" s="1">
        <v>0</v>
      </c>
      <c r="BL1808" s="1">
        <v>0</v>
      </c>
      <c r="BM1808" s="1">
        <v>0</v>
      </c>
      <c r="BN1808" s="1">
        <v>0</v>
      </c>
      <c r="BO1808" s="1">
        <v>0</v>
      </c>
      <c r="BP1808" s="1">
        <v>0</v>
      </c>
      <c r="BQ1808" s="1" t="s">
        <v>104</v>
      </c>
      <c r="BR1808" s="1">
        <v>1907</v>
      </c>
      <c r="BS1808" s="1" t="s">
        <v>104</v>
      </c>
      <c r="BX1808" s="1">
        <v>0</v>
      </c>
      <c r="BY1808" s="1" t="s">
        <v>104</v>
      </c>
      <c r="BZ1808" s="1" t="s">
        <v>104</v>
      </c>
      <c r="CA1808" s="1">
        <v>4</v>
      </c>
      <c r="CB1808" s="1" t="s">
        <v>104</v>
      </c>
      <c r="CC1808" s="1">
        <v>3</v>
      </c>
      <c r="CD1808" s="1">
        <v>4</v>
      </c>
      <c r="CE1808" s="1" t="s">
        <v>104</v>
      </c>
      <c r="CF1808" s="1" t="s">
        <v>104</v>
      </c>
      <c r="CG1808" s="1" t="s">
        <v>104</v>
      </c>
      <c r="CH1808" s="1" t="s">
        <v>104</v>
      </c>
      <c r="CJ1808" s="1">
        <v>0</v>
      </c>
      <c r="CK1808" s="1">
        <v>0</v>
      </c>
      <c r="CL1808" s="1">
        <v>0</v>
      </c>
      <c r="CM1808" s="1" t="s">
        <v>104</v>
      </c>
    </row>
    <row r="1809" spans="1:91" ht="14.25" customHeight="1" x14ac:dyDescent="0.3">
      <c r="A1809" s="1" t="s">
        <v>9771</v>
      </c>
      <c r="B1809" s="1" t="s">
        <v>172</v>
      </c>
      <c r="E1809" s="1" t="s">
        <v>4422</v>
      </c>
      <c r="F1809" s="1" t="s">
        <v>95</v>
      </c>
      <c r="G1809" s="1" t="s">
        <v>127</v>
      </c>
      <c r="H1809" s="1">
        <v>0</v>
      </c>
      <c r="I1809" s="1" t="s">
        <v>117</v>
      </c>
      <c r="L1809" s="1" t="s">
        <v>9772</v>
      </c>
      <c r="M1809" s="1" t="s">
        <v>2330</v>
      </c>
      <c r="N1809" s="1">
        <v>0</v>
      </c>
      <c r="O1809" s="1">
        <v>0</v>
      </c>
      <c r="P1809" s="1" t="s">
        <v>100</v>
      </c>
      <c r="Q1809" s="1" t="s">
        <v>101</v>
      </c>
      <c r="R1809" s="1" t="s">
        <v>9773</v>
      </c>
      <c r="S1809" s="1" t="s">
        <v>9569</v>
      </c>
      <c r="T1809" s="1">
        <v>1</v>
      </c>
      <c r="U1809" s="1">
        <v>1</v>
      </c>
      <c r="V1809" s="1">
        <v>0</v>
      </c>
      <c r="W1809" s="1">
        <v>0</v>
      </c>
      <c r="X1809" s="1">
        <v>1</v>
      </c>
      <c r="Y1809" s="1" t="s">
        <v>104</v>
      </c>
      <c r="Z1809" s="1" t="s">
        <v>104</v>
      </c>
      <c r="AA1809" s="1" t="s">
        <v>104</v>
      </c>
      <c r="AB1809" s="1" t="s">
        <v>104</v>
      </c>
      <c r="AC1809" s="1">
        <v>2</v>
      </c>
      <c r="AD1809" s="1" t="s">
        <v>104</v>
      </c>
      <c r="AE1809" s="1" t="s">
        <v>104</v>
      </c>
      <c r="AF1809" s="1" t="s">
        <v>104</v>
      </c>
      <c r="AG1809" s="1" t="s">
        <v>104</v>
      </c>
      <c r="AH1809" s="1" t="s">
        <v>104</v>
      </c>
      <c r="AI1809" s="1" t="s">
        <v>104</v>
      </c>
      <c r="AJ1809" s="1" t="s">
        <v>104</v>
      </c>
      <c r="AK1809" s="1" t="s">
        <v>104</v>
      </c>
      <c r="AL1809" s="1" t="s">
        <v>104</v>
      </c>
      <c r="AM1809" s="1" t="s">
        <v>104</v>
      </c>
      <c r="AO1809" s="1">
        <v>2</v>
      </c>
      <c r="AQ1809" s="1" t="s">
        <v>9774</v>
      </c>
      <c r="AR1809" s="1">
        <v>0</v>
      </c>
      <c r="AS1809" s="1">
        <v>0</v>
      </c>
      <c r="AT1809" s="1">
        <v>0</v>
      </c>
      <c r="AU1809" s="1">
        <v>0</v>
      </c>
      <c r="AV1809" s="1">
        <v>0</v>
      </c>
      <c r="AW1809" s="1">
        <v>0</v>
      </c>
      <c r="AX1809" s="1">
        <v>0</v>
      </c>
      <c r="AY1809" s="1">
        <v>0</v>
      </c>
      <c r="AZ1809" s="1">
        <v>0</v>
      </c>
      <c r="BA1809" s="1">
        <v>0</v>
      </c>
      <c r="BB1809" s="1">
        <v>0</v>
      </c>
      <c r="BC1809" s="1">
        <v>0</v>
      </c>
      <c r="BD1809" s="1">
        <v>0</v>
      </c>
      <c r="BE1809" s="1">
        <v>0</v>
      </c>
      <c r="BF1809" s="1">
        <v>0</v>
      </c>
      <c r="BG1809" s="1">
        <v>0</v>
      </c>
      <c r="BH1809" s="1">
        <v>0</v>
      </c>
      <c r="BI1809" s="1">
        <v>0</v>
      </c>
      <c r="BJ1809" s="1">
        <v>0</v>
      </c>
      <c r="BK1809" s="1">
        <v>0</v>
      </c>
      <c r="BL1809" s="1">
        <v>0</v>
      </c>
      <c r="BM1809" s="1">
        <v>0</v>
      </c>
      <c r="BN1809" s="1">
        <v>0</v>
      </c>
      <c r="BO1809" s="1">
        <v>0</v>
      </c>
      <c r="BP1809" s="1">
        <v>0</v>
      </c>
      <c r="BQ1809" s="1" t="s">
        <v>104</v>
      </c>
      <c r="BR1809" s="1">
        <v>1908</v>
      </c>
      <c r="BS1809" s="1" t="s">
        <v>104</v>
      </c>
      <c r="BX1809" s="1">
        <v>0</v>
      </c>
      <c r="BY1809" s="1" t="s">
        <v>104</v>
      </c>
      <c r="BZ1809" s="1" t="s">
        <v>104</v>
      </c>
      <c r="CA1809" s="1" t="s">
        <v>104</v>
      </c>
      <c r="CB1809" s="1" t="s">
        <v>104</v>
      </c>
      <c r="CC1809" s="1" t="s">
        <v>104</v>
      </c>
      <c r="CD1809" s="1" t="s">
        <v>104</v>
      </c>
      <c r="CE1809" s="1" t="s">
        <v>104</v>
      </c>
      <c r="CF1809" s="1" t="s">
        <v>104</v>
      </c>
      <c r="CG1809" s="1" t="s">
        <v>104</v>
      </c>
      <c r="CH1809" s="1">
        <v>2</v>
      </c>
      <c r="CJ1809" s="1">
        <v>0</v>
      </c>
      <c r="CK1809" s="1">
        <v>0</v>
      </c>
      <c r="CL1809" s="1">
        <v>0</v>
      </c>
      <c r="CM1809" s="1" t="s">
        <v>104</v>
      </c>
    </row>
    <row r="1810" spans="1:91" ht="14.25" customHeight="1" x14ac:dyDescent="0.3">
      <c r="A1810" s="1" t="s">
        <v>9775</v>
      </c>
      <c r="B1810" s="1" t="s">
        <v>92</v>
      </c>
      <c r="C1810" s="1" t="s">
        <v>93</v>
      </c>
      <c r="D1810" s="1" t="s">
        <v>64</v>
      </c>
      <c r="E1810" s="1" t="s">
        <v>9776</v>
      </c>
      <c r="F1810" s="1" t="s">
        <v>95</v>
      </c>
      <c r="G1810" s="1" t="s">
        <v>9777</v>
      </c>
      <c r="H1810" s="1">
        <v>1</v>
      </c>
      <c r="I1810" s="1" t="s">
        <v>109</v>
      </c>
      <c r="K1810" s="1" t="s">
        <v>110</v>
      </c>
      <c r="M1810" s="1" t="s">
        <v>111</v>
      </c>
      <c r="N1810" s="1">
        <v>0</v>
      </c>
      <c r="O1810" s="1">
        <v>0</v>
      </c>
      <c r="P1810" s="1" t="s">
        <v>4583</v>
      </c>
      <c r="Q1810" s="1" t="s">
        <v>101</v>
      </c>
      <c r="R1810" s="1" t="s">
        <v>9778</v>
      </c>
      <c r="S1810" s="1" t="s">
        <v>9569</v>
      </c>
      <c r="T1810" s="1">
        <v>1</v>
      </c>
      <c r="U1810" s="1">
        <v>1</v>
      </c>
      <c r="V1810" s="1">
        <v>1</v>
      </c>
      <c r="W1810" s="1">
        <v>0</v>
      </c>
      <c r="X1810" s="1">
        <v>0</v>
      </c>
      <c r="Y1810" s="1">
        <v>2</v>
      </c>
      <c r="Z1810" s="1">
        <v>2</v>
      </c>
      <c r="AA1810" s="1" t="s">
        <v>104</v>
      </c>
      <c r="AB1810" s="1">
        <v>2</v>
      </c>
      <c r="AC1810" s="1" t="s">
        <v>104</v>
      </c>
      <c r="AD1810" s="1" t="s">
        <v>104</v>
      </c>
      <c r="AE1810" s="1" t="s">
        <v>104</v>
      </c>
      <c r="AF1810" s="1" t="s">
        <v>104</v>
      </c>
      <c r="AG1810" s="1" t="s">
        <v>104</v>
      </c>
      <c r="AH1810" s="1">
        <v>2</v>
      </c>
      <c r="AI1810" s="1" t="s">
        <v>104</v>
      </c>
      <c r="AJ1810" s="1" t="s">
        <v>104</v>
      </c>
      <c r="AK1810" s="1" t="s">
        <v>104</v>
      </c>
      <c r="AL1810" s="1">
        <v>2</v>
      </c>
      <c r="AM1810" s="1" t="s">
        <v>104</v>
      </c>
      <c r="AO1810" s="1">
        <v>2</v>
      </c>
      <c r="AQ1810" s="1" t="s">
        <v>9779</v>
      </c>
      <c r="AR1810" s="1">
        <v>0</v>
      </c>
      <c r="AS1810" s="1">
        <v>0</v>
      </c>
      <c r="AT1810" s="1">
        <v>0</v>
      </c>
      <c r="AU1810" s="1">
        <v>0</v>
      </c>
      <c r="AV1810" s="1">
        <v>0</v>
      </c>
      <c r="AW1810" s="1">
        <v>0</v>
      </c>
      <c r="AX1810" s="1">
        <v>0</v>
      </c>
      <c r="AY1810" s="1">
        <v>0</v>
      </c>
      <c r="AZ1810" s="1">
        <v>0</v>
      </c>
      <c r="BA1810" s="1">
        <v>0</v>
      </c>
      <c r="BB1810" s="1">
        <v>0</v>
      </c>
      <c r="BC1810" s="1">
        <v>0</v>
      </c>
      <c r="BD1810" s="1">
        <v>0</v>
      </c>
      <c r="BE1810" s="1">
        <v>0</v>
      </c>
      <c r="BF1810" s="1">
        <v>0</v>
      </c>
      <c r="BG1810" s="1">
        <v>0</v>
      </c>
      <c r="BH1810" s="1">
        <v>0</v>
      </c>
      <c r="BI1810" s="1">
        <v>0</v>
      </c>
      <c r="BJ1810" s="1">
        <v>0</v>
      </c>
      <c r="BK1810" s="1">
        <v>0</v>
      </c>
      <c r="BL1810" s="1">
        <v>0</v>
      </c>
      <c r="BM1810" s="1">
        <v>1</v>
      </c>
      <c r="BN1810" s="1">
        <v>0</v>
      </c>
      <c r="BO1810" s="1">
        <v>0</v>
      </c>
      <c r="BP1810" s="1">
        <v>0</v>
      </c>
      <c r="BQ1810" s="1" t="s">
        <v>104</v>
      </c>
      <c r="BR1810" s="1">
        <v>1909</v>
      </c>
      <c r="BS1810" s="1">
        <v>5</v>
      </c>
      <c r="BX1810" s="1">
        <v>0</v>
      </c>
      <c r="BY1810" s="1" t="s">
        <v>104</v>
      </c>
      <c r="BZ1810" s="1" t="s">
        <v>104</v>
      </c>
      <c r="CA1810" s="1">
        <v>2</v>
      </c>
      <c r="CB1810" s="1" t="s">
        <v>104</v>
      </c>
      <c r="CC1810" s="1">
        <v>2</v>
      </c>
      <c r="CD1810" s="1" t="s">
        <v>104</v>
      </c>
      <c r="CE1810" s="1" t="s">
        <v>104</v>
      </c>
      <c r="CF1810" s="1" t="s">
        <v>104</v>
      </c>
      <c r="CG1810" s="1" t="s">
        <v>104</v>
      </c>
      <c r="CH1810" s="1">
        <v>2</v>
      </c>
      <c r="CJ1810" s="1">
        <v>0</v>
      </c>
      <c r="CK1810" s="1">
        <v>0</v>
      </c>
      <c r="CL1810" s="1">
        <v>0</v>
      </c>
      <c r="CM1810" s="1" t="s">
        <v>104</v>
      </c>
    </row>
    <row r="1811" spans="1:91" ht="14.25" customHeight="1" x14ac:dyDescent="0.3">
      <c r="A1811" s="1" t="s">
        <v>9780</v>
      </c>
      <c r="B1811" s="1" t="s">
        <v>137</v>
      </c>
      <c r="E1811" s="1" t="s">
        <v>9781</v>
      </c>
      <c r="F1811" s="1" t="s">
        <v>95</v>
      </c>
      <c r="G1811" s="1" t="s">
        <v>116</v>
      </c>
      <c r="H1811" s="1">
        <v>0</v>
      </c>
      <c r="I1811" s="1" t="s">
        <v>157</v>
      </c>
      <c r="L1811" s="1" t="s">
        <v>158</v>
      </c>
      <c r="M1811" s="1" t="s">
        <v>2330</v>
      </c>
      <c r="N1811" s="1">
        <v>0</v>
      </c>
      <c r="O1811" s="1">
        <v>0</v>
      </c>
      <c r="R1811" s="1" t="s">
        <v>9782</v>
      </c>
      <c r="S1811" s="1" t="s">
        <v>9569</v>
      </c>
      <c r="T1811" s="1">
        <v>1</v>
      </c>
      <c r="U1811" s="1">
        <v>1</v>
      </c>
      <c r="V1811" s="1">
        <v>0</v>
      </c>
      <c r="W1811" s="1">
        <v>0</v>
      </c>
      <c r="X1811" s="1">
        <v>0</v>
      </c>
      <c r="Y1811" s="1">
        <v>2</v>
      </c>
      <c r="Z1811" s="1">
        <v>2</v>
      </c>
      <c r="AA1811" s="1" t="s">
        <v>104</v>
      </c>
      <c r="AB1811" s="1" t="s">
        <v>104</v>
      </c>
      <c r="AC1811" s="1" t="s">
        <v>104</v>
      </c>
      <c r="AD1811" s="1" t="s">
        <v>104</v>
      </c>
      <c r="AE1811" s="1" t="s">
        <v>104</v>
      </c>
      <c r="AF1811" s="1">
        <v>2</v>
      </c>
      <c r="AG1811" s="1" t="s">
        <v>104</v>
      </c>
      <c r="AH1811" s="1">
        <v>2</v>
      </c>
      <c r="AI1811" s="1" t="s">
        <v>104</v>
      </c>
      <c r="AJ1811" s="1" t="s">
        <v>104</v>
      </c>
      <c r="AK1811" s="1" t="s">
        <v>104</v>
      </c>
      <c r="AL1811" s="1">
        <v>2</v>
      </c>
      <c r="AM1811" s="1" t="s">
        <v>104</v>
      </c>
      <c r="AO1811" s="1">
        <v>2</v>
      </c>
      <c r="AQ1811" s="1" t="s">
        <v>9783</v>
      </c>
      <c r="AR1811" s="1">
        <v>0</v>
      </c>
      <c r="AS1811" s="1">
        <v>0</v>
      </c>
      <c r="AT1811" s="1">
        <v>0</v>
      </c>
      <c r="AU1811" s="1">
        <v>0</v>
      </c>
      <c r="AV1811" s="1">
        <v>0</v>
      </c>
      <c r="AW1811" s="1">
        <v>0</v>
      </c>
      <c r="AX1811" s="1">
        <v>0</v>
      </c>
      <c r="AY1811" s="1">
        <v>0</v>
      </c>
      <c r="AZ1811" s="1">
        <v>0</v>
      </c>
      <c r="BA1811" s="1">
        <v>0</v>
      </c>
      <c r="BB1811" s="1">
        <v>0</v>
      </c>
      <c r="BC1811" s="1">
        <v>0</v>
      </c>
      <c r="BD1811" s="1">
        <v>0</v>
      </c>
      <c r="BE1811" s="1">
        <v>0</v>
      </c>
      <c r="BF1811" s="1">
        <v>0</v>
      </c>
      <c r="BG1811" s="1">
        <v>0</v>
      </c>
      <c r="BH1811" s="1">
        <v>0</v>
      </c>
      <c r="BI1811" s="1">
        <v>0</v>
      </c>
      <c r="BJ1811" s="1">
        <v>0</v>
      </c>
      <c r="BK1811" s="1">
        <v>0</v>
      </c>
      <c r="BL1811" s="1">
        <v>0</v>
      </c>
      <c r="BM1811" s="1">
        <v>0</v>
      </c>
      <c r="BN1811" s="1">
        <v>0</v>
      </c>
      <c r="BO1811" s="1">
        <v>0</v>
      </c>
      <c r="BP1811" s="1">
        <v>0</v>
      </c>
      <c r="BQ1811" s="1" t="s">
        <v>104</v>
      </c>
      <c r="BR1811" s="1">
        <v>1910</v>
      </c>
      <c r="BS1811" s="1" t="s">
        <v>104</v>
      </c>
      <c r="BX1811" s="1">
        <v>0</v>
      </c>
      <c r="BY1811" s="1">
        <v>2</v>
      </c>
      <c r="BZ1811" s="1" t="s">
        <v>104</v>
      </c>
      <c r="CA1811" s="1">
        <v>2</v>
      </c>
      <c r="CB1811" s="1">
        <v>2</v>
      </c>
      <c r="CC1811" s="1" t="s">
        <v>104</v>
      </c>
      <c r="CD1811" s="1" t="s">
        <v>104</v>
      </c>
      <c r="CE1811" s="1" t="s">
        <v>104</v>
      </c>
      <c r="CF1811" s="1" t="s">
        <v>104</v>
      </c>
      <c r="CG1811" s="1" t="s">
        <v>104</v>
      </c>
      <c r="CH1811" s="1" t="s">
        <v>104</v>
      </c>
      <c r="CJ1811" s="1">
        <v>0</v>
      </c>
      <c r="CK1811" s="1">
        <v>0</v>
      </c>
      <c r="CL1811" s="1">
        <v>0</v>
      </c>
      <c r="CM1811" s="1" t="s">
        <v>104</v>
      </c>
    </row>
    <row r="1812" spans="1:91" ht="14.25" customHeight="1" x14ac:dyDescent="0.3">
      <c r="A1812" s="1" t="s">
        <v>9784</v>
      </c>
      <c r="B1812" s="1" t="s">
        <v>137</v>
      </c>
      <c r="E1812" s="1" t="s">
        <v>9785</v>
      </c>
      <c r="F1812" s="1" t="s">
        <v>95</v>
      </c>
      <c r="G1812" s="1" t="s">
        <v>9786</v>
      </c>
      <c r="H1812" s="1">
        <v>0</v>
      </c>
      <c r="I1812" s="1" t="s">
        <v>157</v>
      </c>
      <c r="L1812" s="1" t="s">
        <v>158</v>
      </c>
      <c r="M1812" s="1" t="s">
        <v>4292</v>
      </c>
      <c r="N1812" s="1">
        <v>0</v>
      </c>
      <c r="O1812" s="1">
        <v>0</v>
      </c>
      <c r="R1812" s="1" t="s">
        <v>9787</v>
      </c>
      <c r="S1812" s="1" t="s">
        <v>9569</v>
      </c>
      <c r="T1812" s="1">
        <v>1</v>
      </c>
      <c r="U1812" s="1">
        <v>1</v>
      </c>
      <c r="V1812" s="1">
        <v>1</v>
      </c>
      <c r="W1812" s="1">
        <v>0</v>
      </c>
      <c r="X1812" s="1">
        <v>0</v>
      </c>
      <c r="Y1812" s="1">
        <v>4</v>
      </c>
      <c r="Z1812" s="1">
        <v>4</v>
      </c>
      <c r="AA1812" s="1" t="s">
        <v>104</v>
      </c>
      <c r="AB1812" s="1" t="s">
        <v>104</v>
      </c>
      <c r="AC1812" s="1" t="s">
        <v>104</v>
      </c>
      <c r="AD1812" s="1" t="s">
        <v>104</v>
      </c>
      <c r="AE1812" s="1" t="s">
        <v>104</v>
      </c>
      <c r="AF1812" s="1">
        <v>4</v>
      </c>
      <c r="AG1812" s="1" t="s">
        <v>104</v>
      </c>
      <c r="AH1812" s="1" t="s">
        <v>104</v>
      </c>
      <c r="AI1812" s="1" t="s">
        <v>104</v>
      </c>
      <c r="AJ1812" s="1" t="s">
        <v>104</v>
      </c>
      <c r="AK1812" s="1">
        <v>4</v>
      </c>
      <c r="AL1812" s="1" t="s">
        <v>104</v>
      </c>
      <c r="AM1812" s="1" t="s">
        <v>104</v>
      </c>
      <c r="AO1812" s="1">
        <v>4</v>
      </c>
      <c r="AQ1812" s="1" t="s">
        <v>9788</v>
      </c>
      <c r="AR1812" s="1">
        <v>0</v>
      </c>
      <c r="AS1812" s="1">
        <v>0</v>
      </c>
      <c r="AT1812" s="1">
        <v>0</v>
      </c>
      <c r="AU1812" s="1">
        <v>0</v>
      </c>
      <c r="AV1812" s="1">
        <v>0</v>
      </c>
      <c r="AW1812" s="1">
        <v>0</v>
      </c>
      <c r="AX1812" s="1">
        <v>0</v>
      </c>
      <c r="AY1812" s="1">
        <v>0</v>
      </c>
      <c r="AZ1812" s="1">
        <v>0</v>
      </c>
      <c r="BA1812" s="1">
        <v>0</v>
      </c>
      <c r="BB1812" s="1">
        <v>0</v>
      </c>
      <c r="BC1812" s="1">
        <v>0</v>
      </c>
      <c r="BD1812" s="1">
        <v>0</v>
      </c>
      <c r="BE1812" s="1">
        <v>0</v>
      </c>
      <c r="BF1812" s="1">
        <v>0</v>
      </c>
      <c r="BG1812" s="1">
        <v>0</v>
      </c>
      <c r="BH1812" s="1">
        <v>0</v>
      </c>
      <c r="BI1812" s="1">
        <v>0</v>
      </c>
      <c r="BJ1812" s="1">
        <v>0</v>
      </c>
      <c r="BK1812" s="1">
        <v>0</v>
      </c>
      <c r="BL1812" s="1">
        <v>0</v>
      </c>
      <c r="BM1812" s="1">
        <v>0</v>
      </c>
      <c r="BN1812" s="1">
        <v>0</v>
      </c>
      <c r="BO1812" s="1">
        <v>0</v>
      </c>
      <c r="BP1812" s="1">
        <v>0</v>
      </c>
      <c r="BQ1812" s="1" t="s">
        <v>104</v>
      </c>
      <c r="BR1812" s="1">
        <v>1911</v>
      </c>
      <c r="BS1812" s="1" t="s">
        <v>104</v>
      </c>
      <c r="BX1812" s="1">
        <v>0</v>
      </c>
      <c r="BY1812" s="1" t="s">
        <v>104</v>
      </c>
      <c r="BZ1812" s="1" t="s">
        <v>104</v>
      </c>
      <c r="CA1812" s="1">
        <v>4</v>
      </c>
      <c r="CB1812" s="1" t="s">
        <v>104</v>
      </c>
      <c r="CC1812" s="1" t="s">
        <v>104</v>
      </c>
      <c r="CD1812" s="1" t="s">
        <v>104</v>
      </c>
      <c r="CE1812" s="1" t="s">
        <v>104</v>
      </c>
      <c r="CF1812" s="1" t="s">
        <v>104</v>
      </c>
      <c r="CG1812" s="1" t="s">
        <v>104</v>
      </c>
      <c r="CH1812" s="1" t="s">
        <v>104</v>
      </c>
      <c r="CJ1812" s="1">
        <v>0</v>
      </c>
      <c r="CK1812" s="1">
        <v>0</v>
      </c>
      <c r="CL1812" s="1">
        <v>0</v>
      </c>
      <c r="CM1812" s="1" t="s">
        <v>104</v>
      </c>
    </row>
    <row r="1813" spans="1:91" ht="14.25" customHeight="1" x14ac:dyDescent="0.3">
      <c r="A1813" s="1" t="s">
        <v>9789</v>
      </c>
      <c r="B1813" s="1" t="s">
        <v>92</v>
      </c>
      <c r="C1813" s="1" t="s">
        <v>93</v>
      </c>
      <c r="E1813" s="1" t="s">
        <v>9790</v>
      </c>
      <c r="F1813" s="1" t="s">
        <v>95</v>
      </c>
      <c r="G1813" s="1" t="s">
        <v>127</v>
      </c>
      <c r="H1813" s="1">
        <v>0</v>
      </c>
      <c r="I1813" s="1" t="s">
        <v>117</v>
      </c>
      <c r="K1813" s="1" t="s">
        <v>9791</v>
      </c>
      <c r="M1813" s="1" t="s">
        <v>5062</v>
      </c>
      <c r="N1813" s="1">
        <v>1</v>
      </c>
      <c r="O1813" s="1">
        <v>0</v>
      </c>
      <c r="P1813" s="1" t="s">
        <v>100</v>
      </c>
      <c r="Q1813" s="1" t="s">
        <v>101</v>
      </c>
      <c r="R1813" s="1" t="s">
        <v>9792</v>
      </c>
      <c r="S1813" s="1" t="s">
        <v>9569</v>
      </c>
      <c r="T1813" s="1">
        <v>1</v>
      </c>
      <c r="U1813" s="1">
        <v>1</v>
      </c>
      <c r="V1813" s="1">
        <v>0</v>
      </c>
      <c r="W1813" s="1">
        <v>0</v>
      </c>
      <c r="X1813" s="1">
        <v>1</v>
      </c>
      <c r="Y1813" s="1" t="s">
        <v>104</v>
      </c>
      <c r="Z1813" s="1" t="s">
        <v>104</v>
      </c>
      <c r="AA1813" s="1" t="s">
        <v>104</v>
      </c>
      <c r="AB1813" s="1">
        <v>7</v>
      </c>
      <c r="AC1813" s="1" t="s">
        <v>104</v>
      </c>
      <c r="AD1813" s="1" t="s">
        <v>104</v>
      </c>
      <c r="AE1813" s="1" t="s">
        <v>104</v>
      </c>
      <c r="AF1813" s="1" t="s">
        <v>104</v>
      </c>
      <c r="AG1813" s="1" t="s">
        <v>104</v>
      </c>
      <c r="AH1813" s="1">
        <v>7</v>
      </c>
      <c r="AI1813" s="1" t="s">
        <v>104</v>
      </c>
      <c r="AJ1813" s="1" t="s">
        <v>104</v>
      </c>
      <c r="AK1813" s="1" t="s">
        <v>104</v>
      </c>
      <c r="AL1813" s="1" t="s">
        <v>104</v>
      </c>
      <c r="AM1813" s="1" t="s">
        <v>104</v>
      </c>
      <c r="AO1813" s="1">
        <v>7</v>
      </c>
      <c r="AQ1813" s="1" t="s">
        <v>9793</v>
      </c>
      <c r="AR1813" s="1">
        <v>0</v>
      </c>
      <c r="AS1813" s="1">
        <v>0</v>
      </c>
      <c r="AT1813" s="1">
        <v>0</v>
      </c>
      <c r="AU1813" s="1">
        <v>0</v>
      </c>
      <c r="AV1813" s="1">
        <v>0</v>
      </c>
      <c r="AW1813" s="1">
        <v>0</v>
      </c>
      <c r="AX1813" s="1">
        <v>0</v>
      </c>
      <c r="AY1813" s="1">
        <v>0</v>
      </c>
      <c r="AZ1813" s="1">
        <v>0</v>
      </c>
      <c r="BA1813" s="1">
        <v>0</v>
      </c>
      <c r="BB1813" s="1">
        <v>0</v>
      </c>
      <c r="BC1813" s="1">
        <v>0</v>
      </c>
      <c r="BD1813" s="1">
        <v>0</v>
      </c>
      <c r="BE1813" s="1">
        <v>0</v>
      </c>
      <c r="BF1813" s="1">
        <v>0</v>
      </c>
      <c r="BG1813" s="1">
        <v>0</v>
      </c>
      <c r="BH1813" s="1">
        <v>0</v>
      </c>
      <c r="BI1813" s="1">
        <v>0</v>
      </c>
      <c r="BJ1813" s="1">
        <v>0</v>
      </c>
      <c r="BK1813" s="1">
        <v>0</v>
      </c>
      <c r="BL1813" s="1">
        <v>0</v>
      </c>
      <c r="BM1813" s="1">
        <v>0</v>
      </c>
      <c r="BN1813" s="1">
        <v>0</v>
      </c>
      <c r="BO1813" s="1">
        <v>0</v>
      </c>
      <c r="BP1813" s="1">
        <v>0</v>
      </c>
      <c r="BQ1813" s="1" t="s">
        <v>104</v>
      </c>
      <c r="BR1813" s="1">
        <v>1912</v>
      </c>
      <c r="BS1813" s="1" t="s">
        <v>104</v>
      </c>
      <c r="BX1813" s="1">
        <v>0</v>
      </c>
      <c r="BY1813" s="1" t="s">
        <v>104</v>
      </c>
      <c r="BZ1813" s="1">
        <v>7</v>
      </c>
      <c r="CA1813" s="1" t="s">
        <v>104</v>
      </c>
      <c r="CB1813" s="1" t="s">
        <v>104</v>
      </c>
      <c r="CC1813" s="1" t="s">
        <v>104</v>
      </c>
      <c r="CD1813" s="1" t="s">
        <v>104</v>
      </c>
      <c r="CE1813" s="1" t="s">
        <v>104</v>
      </c>
      <c r="CF1813" s="1" t="s">
        <v>104</v>
      </c>
      <c r="CG1813" s="1" t="s">
        <v>104</v>
      </c>
      <c r="CH1813" s="1" t="s">
        <v>104</v>
      </c>
      <c r="CJ1813" s="1">
        <v>0</v>
      </c>
      <c r="CK1813" s="1">
        <v>0</v>
      </c>
      <c r="CL1813" s="1">
        <v>0</v>
      </c>
      <c r="CM1813" s="1" t="s">
        <v>104</v>
      </c>
    </row>
    <row r="1814" spans="1:91" ht="14.25" customHeight="1" x14ac:dyDescent="0.3">
      <c r="A1814" s="1" t="s">
        <v>9794</v>
      </c>
      <c r="B1814" s="1" t="s">
        <v>507</v>
      </c>
      <c r="C1814" s="1" t="s">
        <v>65</v>
      </c>
      <c r="E1814" s="1" t="s">
        <v>9795</v>
      </c>
      <c r="F1814" s="1" t="s">
        <v>95</v>
      </c>
      <c r="G1814" s="1" t="s">
        <v>2909</v>
      </c>
      <c r="H1814" s="1">
        <v>1</v>
      </c>
      <c r="I1814" s="1" t="s">
        <v>109</v>
      </c>
      <c r="K1814" s="1" t="s">
        <v>2910</v>
      </c>
      <c r="M1814" s="1" t="s">
        <v>426</v>
      </c>
      <c r="N1814" s="1">
        <v>1</v>
      </c>
      <c r="O1814" s="1">
        <v>0</v>
      </c>
      <c r="P1814" s="1" t="s">
        <v>1894</v>
      </c>
      <c r="Q1814" s="1" t="s">
        <v>101</v>
      </c>
      <c r="R1814" s="1" t="s">
        <v>9796</v>
      </c>
      <c r="S1814" s="1" t="s">
        <v>9569</v>
      </c>
      <c r="T1814" s="1">
        <v>1</v>
      </c>
      <c r="U1814" s="1">
        <v>1</v>
      </c>
      <c r="V1814" s="1">
        <v>1</v>
      </c>
      <c r="W1814" s="1">
        <v>0</v>
      </c>
      <c r="X1814" s="1">
        <v>0</v>
      </c>
      <c r="Y1814" s="1" t="s">
        <v>104</v>
      </c>
      <c r="Z1814" s="1" t="s">
        <v>104</v>
      </c>
      <c r="AA1814" s="1" t="s">
        <v>104</v>
      </c>
      <c r="AB1814" s="1" t="s">
        <v>104</v>
      </c>
      <c r="AC1814" s="1" t="s">
        <v>104</v>
      </c>
      <c r="AD1814" s="1" t="s">
        <v>104</v>
      </c>
      <c r="AE1814" s="1" t="s">
        <v>104</v>
      </c>
      <c r="AF1814" s="1" t="s">
        <v>104</v>
      </c>
      <c r="AG1814" s="1" t="s">
        <v>104</v>
      </c>
      <c r="AH1814" s="1">
        <v>7</v>
      </c>
      <c r="AI1814" s="1" t="s">
        <v>104</v>
      </c>
      <c r="AJ1814" s="1" t="s">
        <v>104</v>
      </c>
      <c r="AK1814" s="1" t="s">
        <v>104</v>
      </c>
      <c r="AL1814" s="1" t="s">
        <v>104</v>
      </c>
      <c r="AM1814" s="1" t="s">
        <v>104</v>
      </c>
      <c r="AO1814" s="1">
        <v>7</v>
      </c>
      <c r="AQ1814" s="1" t="s">
        <v>9797</v>
      </c>
      <c r="AR1814" s="1">
        <v>0</v>
      </c>
      <c r="AS1814" s="1">
        <v>0</v>
      </c>
      <c r="AT1814" s="1">
        <v>0</v>
      </c>
      <c r="AU1814" s="1">
        <v>0</v>
      </c>
      <c r="AV1814" s="1">
        <v>0</v>
      </c>
      <c r="AW1814" s="1">
        <v>0</v>
      </c>
      <c r="AX1814" s="1">
        <v>0</v>
      </c>
      <c r="AY1814" s="1">
        <v>0</v>
      </c>
      <c r="AZ1814" s="1">
        <v>0</v>
      </c>
      <c r="BA1814" s="1">
        <v>0</v>
      </c>
      <c r="BB1814" s="1">
        <v>0</v>
      </c>
      <c r="BC1814" s="1">
        <v>0</v>
      </c>
      <c r="BD1814" s="1">
        <v>0</v>
      </c>
      <c r="BE1814" s="1">
        <v>0</v>
      </c>
      <c r="BF1814" s="1">
        <v>0</v>
      </c>
      <c r="BG1814" s="1">
        <v>0</v>
      </c>
      <c r="BH1814" s="1">
        <v>0</v>
      </c>
      <c r="BI1814" s="1">
        <v>0</v>
      </c>
      <c r="BJ1814" s="1">
        <v>0</v>
      </c>
      <c r="BK1814" s="1">
        <v>0</v>
      </c>
      <c r="BL1814" s="1">
        <v>0</v>
      </c>
      <c r="BM1814" s="1">
        <v>0</v>
      </c>
      <c r="BN1814" s="1">
        <v>0</v>
      </c>
      <c r="BO1814" s="1">
        <v>0</v>
      </c>
      <c r="BP1814" s="1">
        <v>0</v>
      </c>
      <c r="BQ1814" s="1" t="s">
        <v>104</v>
      </c>
      <c r="BR1814" s="1">
        <v>1913</v>
      </c>
      <c r="BS1814" s="1">
        <v>5</v>
      </c>
      <c r="BX1814" s="1">
        <v>0</v>
      </c>
      <c r="BY1814" s="1" t="s">
        <v>104</v>
      </c>
      <c r="BZ1814" s="1" t="s">
        <v>104</v>
      </c>
      <c r="CA1814" s="1" t="s">
        <v>104</v>
      </c>
      <c r="CB1814" s="1" t="s">
        <v>104</v>
      </c>
      <c r="CC1814" s="1" t="s">
        <v>104</v>
      </c>
      <c r="CD1814" s="1" t="s">
        <v>104</v>
      </c>
      <c r="CE1814" s="1" t="s">
        <v>104</v>
      </c>
      <c r="CF1814" s="1" t="s">
        <v>104</v>
      </c>
      <c r="CG1814" s="1" t="s">
        <v>104</v>
      </c>
      <c r="CH1814" s="1" t="s">
        <v>104</v>
      </c>
      <c r="CJ1814" s="1">
        <v>0</v>
      </c>
      <c r="CK1814" s="1">
        <v>0</v>
      </c>
      <c r="CL1814" s="1">
        <v>0</v>
      </c>
      <c r="CM1814" s="1" t="s">
        <v>104</v>
      </c>
    </row>
    <row r="1815" spans="1:91" ht="14.25" customHeight="1" x14ac:dyDescent="0.3">
      <c r="A1815" s="1" t="s">
        <v>9798</v>
      </c>
      <c r="B1815" s="1" t="s">
        <v>216</v>
      </c>
      <c r="D1815" s="1" t="s">
        <v>599</v>
      </c>
      <c r="E1815" s="1" t="s">
        <v>9799</v>
      </c>
      <c r="F1815" s="1" t="s">
        <v>95</v>
      </c>
      <c r="G1815" s="1" t="s">
        <v>116</v>
      </c>
      <c r="H1815" s="1">
        <v>0</v>
      </c>
      <c r="I1815" s="1" t="s">
        <v>117</v>
      </c>
      <c r="L1815" s="1" t="s">
        <v>9800</v>
      </c>
      <c r="M1815" s="1" t="s">
        <v>111</v>
      </c>
      <c r="N1815" s="1">
        <v>0</v>
      </c>
      <c r="O1815" s="1">
        <v>0</v>
      </c>
      <c r="P1815" s="1" t="s">
        <v>183</v>
      </c>
      <c r="Q1815" s="1" t="s">
        <v>184</v>
      </c>
      <c r="R1815" s="1" t="s">
        <v>9801</v>
      </c>
      <c r="S1815" s="1" t="s">
        <v>9569</v>
      </c>
      <c r="T1815" s="1">
        <v>1</v>
      </c>
      <c r="U1815" s="1">
        <v>1</v>
      </c>
      <c r="V1815" s="1">
        <v>0</v>
      </c>
      <c r="W1815" s="1">
        <v>0</v>
      </c>
      <c r="X1815" s="1">
        <v>0</v>
      </c>
      <c r="Y1815" s="1">
        <v>5</v>
      </c>
      <c r="Z1815" s="1">
        <v>5</v>
      </c>
      <c r="AA1815" s="1" t="s">
        <v>104</v>
      </c>
      <c r="AB1815" s="1" t="s">
        <v>104</v>
      </c>
      <c r="AC1815" s="1" t="s">
        <v>104</v>
      </c>
      <c r="AD1815" s="1">
        <v>4</v>
      </c>
      <c r="AE1815" s="1" t="s">
        <v>104</v>
      </c>
      <c r="AF1815" s="1" t="s">
        <v>104</v>
      </c>
      <c r="AG1815" s="1" t="s">
        <v>104</v>
      </c>
      <c r="AH1815" s="1">
        <v>5</v>
      </c>
      <c r="AI1815" s="1" t="s">
        <v>104</v>
      </c>
      <c r="AJ1815" s="1" t="s">
        <v>104</v>
      </c>
      <c r="AK1815" s="1" t="s">
        <v>104</v>
      </c>
      <c r="AL1815" s="1" t="s">
        <v>104</v>
      </c>
      <c r="AM1815" s="1" t="s">
        <v>104</v>
      </c>
      <c r="AO1815" s="1">
        <v>5</v>
      </c>
      <c r="AQ1815" s="1" t="s">
        <v>9802</v>
      </c>
      <c r="AR1815" s="1">
        <v>0</v>
      </c>
      <c r="AS1815" s="1">
        <v>0</v>
      </c>
      <c r="AT1815" s="1">
        <v>0</v>
      </c>
      <c r="AU1815" s="1">
        <v>0</v>
      </c>
      <c r="AV1815" s="1">
        <v>0</v>
      </c>
      <c r="AW1815" s="1">
        <v>0</v>
      </c>
      <c r="AX1815" s="1">
        <v>0</v>
      </c>
      <c r="AY1815" s="1">
        <v>0</v>
      </c>
      <c r="AZ1815" s="1">
        <v>0</v>
      </c>
      <c r="BA1815" s="1">
        <v>0</v>
      </c>
      <c r="BB1815" s="1">
        <v>1</v>
      </c>
      <c r="BC1815" s="1">
        <v>0</v>
      </c>
      <c r="BD1815" s="1">
        <v>1</v>
      </c>
      <c r="BE1815" s="1">
        <v>0</v>
      </c>
      <c r="BF1815" s="1">
        <v>0</v>
      </c>
      <c r="BG1815" s="1">
        <v>0</v>
      </c>
      <c r="BH1815" s="1">
        <v>0</v>
      </c>
      <c r="BI1815" s="1">
        <v>0</v>
      </c>
      <c r="BJ1815" s="1">
        <v>0</v>
      </c>
      <c r="BK1815" s="1">
        <v>1</v>
      </c>
      <c r="BL1815" s="1">
        <v>0</v>
      </c>
      <c r="BM1815" s="1">
        <v>0</v>
      </c>
      <c r="BN1815" s="1">
        <v>0</v>
      </c>
      <c r="BO1815" s="1">
        <v>0</v>
      </c>
      <c r="BP1815" s="1">
        <v>0</v>
      </c>
      <c r="BQ1815" s="1" t="s">
        <v>104</v>
      </c>
      <c r="BR1815" s="1">
        <v>1914</v>
      </c>
      <c r="BS1815" s="1" t="s">
        <v>104</v>
      </c>
      <c r="BX1815" s="1">
        <v>0</v>
      </c>
      <c r="BY1815" s="1" t="s">
        <v>104</v>
      </c>
      <c r="BZ1815" s="1">
        <v>5</v>
      </c>
      <c r="CA1815" s="1">
        <v>5</v>
      </c>
      <c r="CB1815" s="1" t="s">
        <v>104</v>
      </c>
      <c r="CC1815" s="1">
        <v>4</v>
      </c>
      <c r="CD1815" s="1" t="s">
        <v>104</v>
      </c>
      <c r="CE1815" s="1">
        <v>5</v>
      </c>
      <c r="CF1815" s="1" t="s">
        <v>104</v>
      </c>
      <c r="CG1815" s="1" t="s">
        <v>104</v>
      </c>
      <c r="CH1815" s="1" t="s">
        <v>104</v>
      </c>
      <c r="CJ1815" s="1">
        <v>0</v>
      </c>
      <c r="CK1815" s="1">
        <v>0</v>
      </c>
      <c r="CL1815" s="1">
        <v>0</v>
      </c>
      <c r="CM1815" s="1" t="s">
        <v>104</v>
      </c>
    </row>
    <row r="1816" spans="1:91" ht="14.25" customHeight="1" x14ac:dyDescent="0.3">
      <c r="A1816" s="1" t="s">
        <v>9803</v>
      </c>
      <c r="B1816" s="1" t="s">
        <v>434</v>
      </c>
      <c r="D1816" s="1" t="s">
        <v>56</v>
      </c>
      <c r="E1816" s="1" t="s">
        <v>9804</v>
      </c>
      <c r="F1816" s="1" t="s">
        <v>95</v>
      </c>
      <c r="G1816" s="1" t="s">
        <v>1603</v>
      </c>
      <c r="H1816" s="1">
        <v>0</v>
      </c>
      <c r="I1816" s="1" t="s">
        <v>109</v>
      </c>
      <c r="K1816" s="1" t="s">
        <v>1604</v>
      </c>
      <c r="M1816" s="1" t="s">
        <v>111</v>
      </c>
      <c r="N1816" s="1">
        <v>0</v>
      </c>
      <c r="O1816" s="1">
        <v>0</v>
      </c>
      <c r="P1816" s="1" t="s">
        <v>8614</v>
      </c>
      <c r="Q1816" s="1" t="s">
        <v>184</v>
      </c>
      <c r="R1816" s="1" t="s">
        <v>9805</v>
      </c>
      <c r="S1816" s="1" t="s">
        <v>9569</v>
      </c>
      <c r="T1816" s="1">
        <v>1</v>
      </c>
      <c r="U1816" s="1">
        <v>1</v>
      </c>
      <c r="V1816" s="1">
        <v>1</v>
      </c>
      <c r="W1816" s="1">
        <v>0</v>
      </c>
      <c r="X1816" s="1">
        <v>1</v>
      </c>
      <c r="Y1816" s="1">
        <v>4</v>
      </c>
      <c r="Z1816" s="1">
        <v>4</v>
      </c>
      <c r="AA1816" s="1" t="s">
        <v>104</v>
      </c>
      <c r="AB1816" s="1">
        <v>4</v>
      </c>
      <c r="AC1816" s="1" t="s">
        <v>104</v>
      </c>
      <c r="AD1816" s="1" t="s">
        <v>104</v>
      </c>
      <c r="AE1816" s="1" t="s">
        <v>104</v>
      </c>
      <c r="AF1816" s="1" t="s">
        <v>104</v>
      </c>
      <c r="AG1816" s="1" t="s">
        <v>104</v>
      </c>
      <c r="AH1816" s="1" t="s">
        <v>104</v>
      </c>
      <c r="AI1816" s="1" t="s">
        <v>104</v>
      </c>
      <c r="AJ1816" s="1" t="s">
        <v>104</v>
      </c>
      <c r="AK1816" s="1" t="s">
        <v>104</v>
      </c>
      <c r="AL1816" s="1">
        <v>4</v>
      </c>
      <c r="AM1816" s="1" t="s">
        <v>104</v>
      </c>
      <c r="AO1816" s="1">
        <v>4</v>
      </c>
      <c r="AQ1816" s="1" t="s">
        <v>9806</v>
      </c>
      <c r="AR1816" s="1">
        <v>0</v>
      </c>
      <c r="AS1816" s="1">
        <v>0</v>
      </c>
      <c r="AT1816" s="1">
        <v>0</v>
      </c>
      <c r="AU1816" s="1">
        <v>0</v>
      </c>
      <c r="AV1816" s="1">
        <v>0</v>
      </c>
      <c r="AW1816" s="1">
        <v>0</v>
      </c>
      <c r="AX1816" s="1">
        <v>0</v>
      </c>
      <c r="AY1816" s="1">
        <v>0</v>
      </c>
      <c r="AZ1816" s="1">
        <v>0</v>
      </c>
      <c r="BA1816" s="1">
        <v>0</v>
      </c>
      <c r="BB1816" s="1">
        <v>0</v>
      </c>
      <c r="BC1816" s="1">
        <v>0</v>
      </c>
      <c r="BD1816" s="1">
        <v>0</v>
      </c>
      <c r="BE1816" s="1">
        <v>1</v>
      </c>
      <c r="BF1816" s="1">
        <v>0</v>
      </c>
      <c r="BG1816" s="1">
        <v>0</v>
      </c>
      <c r="BH1816" s="1">
        <v>0</v>
      </c>
      <c r="BI1816" s="1">
        <v>0</v>
      </c>
      <c r="BJ1816" s="1">
        <v>0</v>
      </c>
      <c r="BK1816" s="1">
        <v>0</v>
      </c>
      <c r="BL1816" s="1">
        <v>0</v>
      </c>
      <c r="BM1816" s="1">
        <v>0</v>
      </c>
      <c r="BN1816" s="1">
        <v>0</v>
      </c>
      <c r="BO1816" s="1">
        <v>0</v>
      </c>
      <c r="BP1816" s="1">
        <v>0</v>
      </c>
      <c r="BQ1816" s="1" t="s">
        <v>104</v>
      </c>
      <c r="BR1816" s="1">
        <v>1915</v>
      </c>
      <c r="BS1816" s="1" t="s">
        <v>104</v>
      </c>
      <c r="BU1816" s="1" t="s">
        <v>9807</v>
      </c>
      <c r="BX1816" s="1">
        <v>0</v>
      </c>
      <c r="BY1816" s="1">
        <v>4</v>
      </c>
      <c r="BZ1816" s="1" t="s">
        <v>104</v>
      </c>
      <c r="CA1816" s="1" t="s">
        <v>104</v>
      </c>
      <c r="CB1816" s="1" t="s">
        <v>104</v>
      </c>
      <c r="CC1816" s="1" t="s">
        <v>104</v>
      </c>
      <c r="CD1816" s="1">
        <v>4</v>
      </c>
      <c r="CE1816" s="1" t="s">
        <v>104</v>
      </c>
      <c r="CF1816" s="1" t="s">
        <v>104</v>
      </c>
      <c r="CG1816" s="1" t="s">
        <v>104</v>
      </c>
      <c r="CH1816" s="1">
        <v>4</v>
      </c>
      <c r="CJ1816" s="1">
        <v>0</v>
      </c>
      <c r="CK1816" s="1">
        <v>0</v>
      </c>
      <c r="CL1816" s="1">
        <v>0</v>
      </c>
      <c r="CM1816" s="1" t="s">
        <v>104</v>
      </c>
    </row>
    <row r="1817" spans="1:91" ht="14.25" customHeight="1" x14ac:dyDescent="0.3">
      <c r="A1817" s="1" t="s">
        <v>9808</v>
      </c>
      <c r="B1817" s="1" t="s">
        <v>137</v>
      </c>
      <c r="E1817" s="1" t="s">
        <v>1846</v>
      </c>
      <c r="F1817" s="1" t="s">
        <v>95</v>
      </c>
      <c r="G1817" s="1" t="s">
        <v>116</v>
      </c>
      <c r="H1817" s="1">
        <v>0</v>
      </c>
      <c r="I1817" s="1" t="s">
        <v>157</v>
      </c>
      <c r="L1817" s="1" t="s">
        <v>158</v>
      </c>
      <c r="M1817" s="1" t="s">
        <v>111</v>
      </c>
      <c r="N1817" s="1">
        <v>0</v>
      </c>
      <c r="O1817" s="1">
        <v>0</v>
      </c>
      <c r="R1817" s="1" t="s">
        <v>9809</v>
      </c>
      <c r="S1817" s="1" t="s">
        <v>9569</v>
      </c>
      <c r="T1817" s="1">
        <v>1</v>
      </c>
      <c r="U1817" s="1">
        <v>1</v>
      </c>
      <c r="V1817" s="1">
        <v>0</v>
      </c>
      <c r="W1817" s="1">
        <v>0</v>
      </c>
      <c r="X1817" s="1">
        <v>0</v>
      </c>
      <c r="Y1817" s="1" t="s">
        <v>104</v>
      </c>
      <c r="Z1817" s="1" t="s">
        <v>104</v>
      </c>
      <c r="AA1817" s="1" t="s">
        <v>104</v>
      </c>
      <c r="AB1817" s="1" t="s">
        <v>104</v>
      </c>
      <c r="AC1817" s="1" t="s">
        <v>104</v>
      </c>
      <c r="AD1817" s="1">
        <v>3</v>
      </c>
      <c r="AE1817" s="1" t="s">
        <v>104</v>
      </c>
      <c r="AF1817" s="1" t="s">
        <v>104</v>
      </c>
      <c r="AG1817" s="1" t="s">
        <v>104</v>
      </c>
      <c r="AH1817" s="1" t="s">
        <v>104</v>
      </c>
      <c r="AI1817" s="1" t="s">
        <v>104</v>
      </c>
      <c r="AJ1817" s="1" t="s">
        <v>104</v>
      </c>
      <c r="AK1817" s="1" t="s">
        <v>104</v>
      </c>
      <c r="AL1817" s="1" t="s">
        <v>104</v>
      </c>
      <c r="AM1817" s="1" t="s">
        <v>104</v>
      </c>
      <c r="AO1817" s="1">
        <v>3</v>
      </c>
      <c r="AQ1817" s="1" t="s">
        <v>9810</v>
      </c>
      <c r="AR1817" s="1">
        <v>0</v>
      </c>
      <c r="AS1817" s="1">
        <v>0</v>
      </c>
      <c r="AT1817" s="1">
        <v>0</v>
      </c>
      <c r="AU1817" s="1">
        <v>0</v>
      </c>
      <c r="AV1817" s="1">
        <v>0</v>
      </c>
      <c r="AW1817" s="1">
        <v>0</v>
      </c>
      <c r="AX1817" s="1">
        <v>0</v>
      </c>
      <c r="AY1817" s="1">
        <v>0</v>
      </c>
      <c r="AZ1817" s="1">
        <v>0</v>
      </c>
      <c r="BA1817" s="1">
        <v>0</v>
      </c>
      <c r="BB1817" s="1">
        <v>0</v>
      </c>
      <c r="BC1817" s="1">
        <v>0</v>
      </c>
      <c r="BD1817" s="1">
        <v>0</v>
      </c>
      <c r="BE1817" s="1">
        <v>0</v>
      </c>
      <c r="BF1817" s="1">
        <v>0</v>
      </c>
      <c r="BG1817" s="1">
        <v>0</v>
      </c>
      <c r="BH1817" s="1">
        <v>0</v>
      </c>
      <c r="BI1817" s="1">
        <v>0</v>
      </c>
      <c r="BJ1817" s="1">
        <v>0</v>
      </c>
      <c r="BK1817" s="1">
        <v>0</v>
      </c>
      <c r="BL1817" s="1">
        <v>0</v>
      </c>
      <c r="BM1817" s="1">
        <v>0</v>
      </c>
      <c r="BN1817" s="1">
        <v>0</v>
      </c>
      <c r="BO1817" s="1">
        <v>0</v>
      </c>
      <c r="BP1817" s="1">
        <v>0</v>
      </c>
      <c r="BQ1817" s="1" t="s">
        <v>104</v>
      </c>
      <c r="BR1817" s="1">
        <v>1916</v>
      </c>
      <c r="BS1817" s="1" t="s">
        <v>104</v>
      </c>
      <c r="BX1817" s="1">
        <v>0</v>
      </c>
      <c r="BY1817" s="1" t="s">
        <v>104</v>
      </c>
      <c r="BZ1817" s="1" t="s">
        <v>104</v>
      </c>
      <c r="CA1817" s="1" t="s">
        <v>104</v>
      </c>
      <c r="CB1817" s="1" t="s">
        <v>104</v>
      </c>
      <c r="CC1817" s="1" t="s">
        <v>104</v>
      </c>
      <c r="CD1817" s="1" t="s">
        <v>104</v>
      </c>
      <c r="CE1817" s="1" t="s">
        <v>104</v>
      </c>
      <c r="CF1817" s="1" t="s">
        <v>104</v>
      </c>
      <c r="CG1817" s="1" t="s">
        <v>104</v>
      </c>
      <c r="CH1817" s="1" t="s">
        <v>104</v>
      </c>
      <c r="CJ1817" s="1">
        <v>0</v>
      </c>
      <c r="CK1817" s="1">
        <v>0</v>
      </c>
      <c r="CL1817" s="1">
        <v>0</v>
      </c>
      <c r="CM1817" s="1" t="s">
        <v>104</v>
      </c>
    </row>
    <row r="1818" spans="1:91" ht="14.25" customHeight="1" x14ac:dyDescent="0.3">
      <c r="A1818" s="1" t="s">
        <v>9811</v>
      </c>
      <c r="B1818" s="1" t="s">
        <v>172</v>
      </c>
      <c r="E1818" s="1" t="s">
        <v>9812</v>
      </c>
      <c r="F1818" s="1" t="s">
        <v>95</v>
      </c>
      <c r="G1818" s="1" t="s">
        <v>116</v>
      </c>
      <c r="H1818" s="1">
        <v>0</v>
      </c>
      <c r="I1818" s="1" t="s">
        <v>157</v>
      </c>
      <c r="L1818" s="1" t="s">
        <v>158</v>
      </c>
      <c r="M1818" s="1" t="s">
        <v>4992</v>
      </c>
      <c r="N1818" s="1">
        <v>1</v>
      </c>
      <c r="O1818" s="1">
        <v>0</v>
      </c>
      <c r="R1818" s="1" t="s">
        <v>9813</v>
      </c>
      <c r="S1818" s="1" t="s">
        <v>9569</v>
      </c>
      <c r="T1818" s="1">
        <v>1</v>
      </c>
      <c r="U1818" s="1">
        <v>1</v>
      </c>
      <c r="V1818" s="1">
        <v>0</v>
      </c>
      <c r="W1818" s="1">
        <v>0</v>
      </c>
      <c r="X1818" s="1">
        <v>0</v>
      </c>
      <c r="Y1818" s="1" t="s">
        <v>104</v>
      </c>
      <c r="Z1818" s="1" t="s">
        <v>104</v>
      </c>
      <c r="AA1818" s="1" t="s">
        <v>104</v>
      </c>
      <c r="AB1818" s="1" t="s">
        <v>104</v>
      </c>
      <c r="AC1818" s="1" t="s">
        <v>104</v>
      </c>
      <c r="AD1818" s="1">
        <v>2</v>
      </c>
      <c r="AE1818" s="1" t="s">
        <v>104</v>
      </c>
      <c r="AF1818" s="1">
        <v>2</v>
      </c>
      <c r="AG1818" s="1" t="s">
        <v>104</v>
      </c>
      <c r="AH1818" s="1" t="s">
        <v>104</v>
      </c>
      <c r="AI1818" s="1">
        <v>2</v>
      </c>
      <c r="AJ1818" s="1" t="s">
        <v>104</v>
      </c>
      <c r="AK1818" s="1" t="s">
        <v>104</v>
      </c>
      <c r="AL1818" s="1" t="s">
        <v>104</v>
      </c>
      <c r="AM1818" s="1" t="s">
        <v>104</v>
      </c>
      <c r="AO1818" s="1">
        <v>2</v>
      </c>
      <c r="AQ1818" s="1" t="s">
        <v>9814</v>
      </c>
      <c r="AR1818" s="1">
        <v>0</v>
      </c>
      <c r="AS1818" s="1">
        <v>0</v>
      </c>
      <c r="AT1818" s="1">
        <v>0</v>
      </c>
      <c r="AU1818" s="1">
        <v>0</v>
      </c>
      <c r="AV1818" s="1">
        <v>0</v>
      </c>
      <c r="AW1818" s="1">
        <v>0</v>
      </c>
      <c r="AX1818" s="1">
        <v>0</v>
      </c>
      <c r="AY1818" s="1">
        <v>0</v>
      </c>
      <c r="AZ1818" s="1">
        <v>0</v>
      </c>
      <c r="BA1818" s="1">
        <v>0</v>
      </c>
      <c r="BB1818" s="1">
        <v>0</v>
      </c>
      <c r="BC1818" s="1">
        <v>0</v>
      </c>
      <c r="BD1818" s="1">
        <v>0</v>
      </c>
      <c r="BE1818" s="1">
        <v>0</v>
      </c>
      <c r="BF1818" s="1">
        <v>0</v>
      </c>
      <c r="BG1818" s="1">
        <v>0</v>
      </c>
      <c r="BH1818" s="1">
        <v>0</v>
      </c>
      <c r="BI1818" s="1">
        <v>0</v>
      </c>
      <c r="BJ1818" s="1">
        <v>0</v>
      </c>
      <c r="BK1818" s="1">
        <v>0</v>
      </c>
      <c r="BL1818" s="1">
        <v>0</v>
      </c>
      <c r="BM1818" s="1">
        <v>0</v>
      </c>
      <c r="BN1818" s="1">
        <v>0</v>
      </c>
      <c r="BO1818" s="1">
        <v>0</v>
      </c>
      <c r="BP1818" s="1">
        <v>0</v>
      </c>
      <c r="BQ1818" s="1" t="s">
        <v>104</v>
      </c>
      <c r="BR1818" s="1">
        <v>1917</v>
      </c>
      <c r="BS1818" s="1" t="s">
        <v>104</v>
      </c>
      <c r="BX1818" s="1">
        <v>0</v>
      </c>
      <c r="BY1818" s="1" t="s">
        <v>104</v>
      </c>
      <c r="BZ1818" s="1">
        <v>2</v>
      </c>
      <c r="CA1818" s="1">
        <v>2</v>
      </c>
      <c r="CB1818" s="1">
        <v>2</v>
      </c>
      <c r="CC1818" s="1">
        <v>2</v>
      </c>
      <c r="CD1818" s="1" t="s">
        <v>104</v>
      </c>
      <c r="CE1818" s="1" t="s">
        <v>104</v>
      </c>
      <c r="CF1818" s="1" t="s">
        <v>104</v>
      </c>
      <c r="CG1818" s="1" t="s">
        <v>104</v>
      </c>
      <c r="CH1818" s="1" t="s">
        <v>104</v>
      </c>
      <c r="CJ1818" s="1">
        <v>0</v>
      </c>
      <c r="CK1818" s="1">
        <v>0</v>
      </c>
      <c r="CL1818" s="1">
        <v>0</v>
      </c>
      <c r="CM1818" s="1" t="s">
        <v>104</v>
      </c>
    </row>
    <row r="1819" spans="1:91" ht="14.25" customHeight="1" x14ac:dyDescent="0.3">
      <c r="A1819" s="1" t="s">
        <v>9815</v>
      </c>
      <c r="B1819" s="1" t="s">
        <v>92</v>
      </c>
      <c r="C1819" s="1" t="s">
        <v>93</v>
      </c>
      <c r="E1819" s="1" t="s">
        <v>9816</v>
      </c>
      <c r="F1819" s="1" t="s">
        <v>95</v>
      </c>
      <c r="G1819" s="1" t="s">
        <v>9817</v>
      </c>
      <c r="H1819" s="1">
        <v>1</v>
      </c>
      <c r="I1819" s="1" t="s">
        <v>914</v>
      </c>
      <c r="J1819" s="1" t="s">
        <v>5007</v>
      </c>
      <c r="M1819" s="1" t="s">
        <v>2313</v>
      </c>
      <c r="N1819" s="1">
        <v>0</v>
      </c>
      <c r="O1819" s="1">
        <v>0</v>
      </c>
      <c r="P1819" s="1" t="s">
        <v>375</v>
      </c>
      <c r="Q1819" s="1" t="s">
        <v>101</v>
      </c>
      <c r="R1819" s="1" t="s">
        <v>9818</v>
      </c>
      <c r="S1819" s="1" t="s">
        <v>9569</v>
      </c>
      <c r="T1819" s="1">
        <v>1</v>
      </c>
      <c r="U1819" s="1">
        <v>1</v>
      </c>
      <c r="V1819" s="1">
        <v>1</v>
      </c>
      <c r="W1819" s="1">
        <v>0</v>
      </c>
      <c r="X1819" s="1">
        <v>0</v>
      </c>
      <c r="Y1819" s="1" t="s">
        <v>104</v>
      </c>
      <c r="Z1819" s="1" t="s">
        <v>104</v>
      </c>
      <c r="AA1819" s="1" t="s">
        <v>104</v>
      </c>
      <c r="AB1819" s="1" t="s">
        <v>104</v>
      </c>
      <c r="AC1819" s="1" t="s">
        <v>104</v>
      </c>
      <c r="AD1819" s="1" t="s">
        <v>104</v>
      </c>
      <c r="AE1819" s="1" t="s">
        <v>104</v>
      </c>
      <c r="AF1819" s="1" t="s">
        <v>104</v>
      </c>
      <c r="AG1819" s="1" t="s">
        <v>104</v>
      </c>
      <c r="AH1819" s="1" t="s">
        <v>104</v>
      </c>
      <c r="AI1819" s="1" t="s">
        <v>104</v>
      </c>
      <c r="AJ1819" s="1" t="s">
        <v>104</v>
      </c>
      <c r="AK1819" s="1" t="s">
        <v>104</v>
      </c>
      <c r="AL1819" s="1" t="s">
        <v>104</v>
      </c>
      <c r="AM1819" s="1" t="s">
        <v>104</v>
      </c>
      <c r="AO1819" s="1">
        <v>3</v>
      </c>
      <c r="AQ1819" s="1" t="s">
        <v>9819</v>
      </c>
      <c r="AR1819" s="1">
        <v>0</v>
      </c>
      <c r="AS1819" s="1">
        <v>0</v>
      </c>
      <c r="AT1819" s="1">
        <v>0</v>
      </c>
      <c r="AU1819" s="1">
        <v>0</v>
      </c>
      <c r="AV1819" s="1">
        <v>0</v>
      </c>
      <c r="AW1819" s="1">
        <v>0</v>
      </c>
      <c r="AX1819" s="1">
        <v>0</v>
      </c>
      <c r="AY1819" s="1">
        <v>0</v>
      </c>
      <c r="AZ1819" s="1">
        <v>0</v>
      </c>
      <c r="BA1819" s="1">
        <v>0</v>
      </c>
      <c r="BB1819" s="1">
        <v>0</v>
      </c>
      <c r="BC1819" s="1">
        <v>0</v>
      </c>
      <c r="BD1819" s="1">
        <v>0</v>
      </c>
      <c r="BE1819" s="1">
        <v>0</v>
      </c>
      <c r="BF1819" s="1">
        <v>0</v>
      </c>
      <c r="BG1819" s="1">
        <v>0</v>
      </c>
      <c r="BH1819" s="1">
        <v>0</v>
      </c>
      <c r="BI1819" s="1">
        <v>0</v>
      </c>
      <c r="BJ1819" s="1">
        <v>0</v>
      </c>
      <c r="BK1819" s="1">
        <v>0</v>
      </c>
      <c r="BL1819" s="1">
        <v>0</v>
      </c>
      <c r="BM1819" s="1">
        <v>0</v>
      </c>
      <c r="BN1819" s="1">
        <v>0</v>
      </c>
      <c r="BO1819" s="1">
        <v>0</v>
      </c>
      <c r="BP1819" s="1">
        <v>0</v>
      </c>
      <c r="BQ1819" s="1" t="s">
        <v>104</v>
      </c>
      <c r="BR1819" s="1">
        <v>1918</v>
      </c>
      <c r="BS1819" s="1">
        <v>50</v>
      </c>
      <c r="BX1819" s="1">
        <v>0</v>
      </c>
      <c r="BY1819" s="1" t="s">
        <v>104</v>
      </c>
      <c r="BZ1819" s="1">
        <v>3</v>
      </c>
      <c r="CA1819" s="1" t="s">
        <v>104</v>
      </c>
      <c r="CB1819" s="1" t="s">
        <v>104</v>
      </c>
      <c r="CC1819" s="1" t="s">
        <v>104</v>
      </c>
      <c r="CD1819" s="1" t="s">
        <v>104</v>
      </c>
      <c r="CE1819" s="1" t="s">
        <v>104</v>
      </c>
      <c r="CF1819" s="1" t="s">
        <v>104</v>
      </c>
      <c r="CG1819" s="1" t="s">
        <v>104</v>
      </c>
      <c r="CH1819" s="1" t="s">
        <v>104</v>
      </c>
      <c r="CJ1819" s="1">
        <v>0</v>
      </c>
      <c r="CK1819" s="1">
        <v>0</v>
      </c>
      <c r="CL1819" s="1">
        <v>0</v>
      </c>
      <c r="CM1819" s="1" t="s">
        <v>104</v>
      </c>
    </row>
    <row r="1820" spans="1:91" ht="14.25" customHeight="1" x14ac:dyDescent="0.3">
      <c r="A1820" s="1" t="s">
        <v>9820</v>
      </c>
      <c r="B1820" s="1" t="s">
        <v>434</v>
      </c>
      <c r="D1820" s="1" t="s">
        <v>44</v>
      </c>
      <c r="E1820" s="1" t="s">
        <v>9821</v>
      </c>
      <c r="F1820" s="1" t="s">
        <v>95</v>
      </c>
      <c r="G1820" s="1" t="s">
        <v>116</v>
      </c>
      <c r="H1820" s="1">
        <v>0</v>
      </c>
      <c r="I1820" s="1" t="s">
        <v>117</v>
      </c>
      <c r="L1820" s="1" t="s">
        <v>1180</v>
      </c>
      <c r="M1820" s="1" t="s">
        <v>6986</v>
      </c>
      <c r="N1820" s="1">
        <v>1</v>
      </c>
      <c r="O1820" s="1">
        <v>0</v>
      </c>
      <c r="P1820" s="1" t="s">
        <v>375</v>
      </c>
      <c r="Q1820" s="1" t="s">
        <v>131</v>
      </c>
      <c r="R1820" s="1" t="s">
        <v>9822</v>
      </c>
      <c r="S1820" s="1" t="s">
        <v>9569</v>
      </c>
      <c r="T1820" s="1">
        <v>1</v>
      </c>
      <c r="U1820" s="1">
        <v>1</v>
      </c>
      <c r="V1820" s="1">
        <v>0</v>
      </c>
      <c r="W1820" s="1">
        <v>0</v>
      </c>
      <c r="X1820" s="1">
        <v>0</v>
      </c>
      <c r="Y1820" s="1">
        <v>1</v>
      </c>
      <c r="Z1820" s="1">
        <v>1</v>
      </c>
      <c r="AA1820" s="1" t="s">
        <v>104</v>
      </c>
      <c r="AB1820" s="1">
        <v>1</v>
      </c>
      <c r="AC1820" s="1" t="s">
        <v>104</v>
      </c>
      <c r="AD1820" s="1" t="s">
        <v>104</v>
      </c>
      <c r="AE1820" s="1" t="s">
        <v>104</v>
      </c>
      <c r="AF1820" s="1" t="s">
        <v>104</v>
      </c>
      <c r="AG1820" s="1" t="s">
        <v>104</v>
      </c>
      <c r="AH1820" s="1">
        <v>1</v>
      </c>
      <c r="AI1820" s="1" t="s">
        <v>104</v>
      </c>
      <c r="AJ1820" s="1" t="s">
        <v>104</v>
      </c>
      <c r="AK1820" s="1" t="s">
        <v>104</v>
      </c>
      <c r="AL1820" s="1" t="s">
        <v>104</v>
      </c>
      <c r="AM1820" s="1" t="s">
        <v>104</v>
      </c>
      <c r="AO1820" s="1">
        <v>1</v>
      </c>
      <c r="AQ1820" s="1" t="s">
        <v>9823</v>
      </c>
      <c r="AR1820" s="1">
        <v>0</v>
      </c>
      <c r="AS1820" s="1">
        <v>1</v>
      </c>
      <c r="AT1820" s="1">
        <v>0</v>
      </c>
      <c r="AU1820" s="1">
        <v>0</v>
      </c>
      <c r="AV1820" s="1">
        <v>0</v>
      </c>
      <c r="AW1820" s="1">
        <v>0</v>
      </c>
      <c r="AX1820" s="1">
        <v>0</v>
      </c>
      <c r="AY1820" s="1">
        <v>0</v>
      </c>
      <c r="AZ1820" s="1">
        <v>0</v>
      </c>
      <c r="BA1820" s="1">
        <v>0</v>
      </c>
      <c r="BB1820" s="1">
        <v>0</v>
      </c>
      <c r="BC1820" s="1">
        <v>0</v>
      </c>
      <c r="BD1820" s="1">
        <v>0</v>
      </c>
      <c r="BE1820" s="1">
        <v>0</v>
      </c>
      <c r="BF1820" s="1">
        <v>0</v>
      </c>
      <c r="BG1820" s="1">
        <v>0</v>
      </c>
      <c r="BH1820" s="1">
        <v>0</v>
      </c>
      <c r="BI1820" s="1">
        <v>0</v>
      </c>
      <c r="BJ1820" s="1">
        <v>0</v>
      </c>
      <c r="BK1820" s="1">
        <v>0</v>
      </c>
      <c r="BL1820" s="1">
        <v>0</v>
      </c>
      <c r="BM1820" s="1">
        <v>0</v>
      </c>
      <c r="BN1820" s="1">
        <v>0</v>
      </c>
      <c r="BO1820" s="1">
        <v>0</v>
      </c>
      <c r="BP1820" s="1">
        <v>0</v>
      </c>
      <c r="BQ1820" s="1" t="s">
        <v>104</v>
      </c>
      <c r="BR1820" s="1">
        <v>1919</v>
      </c>
      <c r="BS1820" s="1" t="s">
        <v>104</v>
      </c>
      <c r="BX1820" s="1">
        <v>0</v>
      </c>
      <c r="BY1820" s="1" t="s">
        <v>104</v>
      </c>
      <c r="BZ1820" s="1">
        <v>1</v>
      </c>
      <c r="CA1820" s="1" t="s">
        <v>104</v>
      </c>
      <c r="CB1820" s="1" t="s">
        <v>104</v>
      </c>
      <c r="CC1820" s="1" t="s">
        <v>104</v>
      </c>
      <c r="CD1820" s="1" t="s">
        <v>104</v>
      </c>
      <c r="CE1820" s="1" t="s">
        <v>104</v>
      </c>
      <c r="CF1820" s="1" t="s">
        <v>104</v>
      </c>
      <c r="CG1820" s="1" t="s">
        <v>104</v>
      </c>
      <c r="CH1820" s="1">
        <v>1</v>
      </c>
      <c r="CJ1820" s="1">
        <v>0</v>
      </c>
      <c r="CK1820" s="1">
        <v>0</v>
      </c>
      <c r="CL1820" s="1">
        <v>0</v>
      </c>
      <c r="CM1820" s="1" t="s">
        <v>104</v>
      </c>
    </row>
    <row r="1821" spans="1:91" ht="14.25" customHeight="1" x14ac:dyDescent="0.3">
      <c r="A1821" s="1" t="s">
        <v>9824</v>
      </c>
      <c r="B1821" s="1" t="s">
        <v>92</v>
      </c>
      <c r="C1821" s="1" t="s">
        <v>93</v>
      </c>
      <c r="E1821" s="1" t="s">
        <v>9825</v>
      </c>
      <c r="F1821" s="1" t="s">
        <v>95</v>
      </c>
      <c r="G1821" s="1" t="s">
        <v>116</v>
      </c>
      <c r="H1821" s="1">
        <v>0</v>
      </c>
      <c r="I1821" s="1" t="s">
        <v>117</v>
      </c>
      <c r="L1821" s="1" t="s">
        <v>9826</v>
      </c>
      <c r="M1821" s="1" t="s">
        <v>4641</v>
      </c>
      <c r="N1821" s="1">
        <v>1</v>
      </c>
      <c r="O1821" s="1">
        <v>0</v>
      </c>
      <c r="P1821" s="1" t="s">
        <v>145</v>
      </c>
      <c r="Q1821" s="1" t="s">
        <v>101</v>
      </c>
      <c r="R1821" s="1" t="s">
        <v>9827</v>
      </c>
      <c r="S1821" s="1" t="s">
        <v>9569</v>
      </c>
      <c r="T1821" s="1">
        <v>1</v>
      </c>
      <c r="U1821" s="1">
        <v>1</v>
      </c>
      <c r="V1821" s="1">
        <v>0</v>
      </c>
      <c r="W1821" s="1">
        <v>0</v>
      </c>
      <c r="X1821" s="1">
        <v>0</v>
      </c>
      <c r="Y1821" s="1">
        <v>1</v>
      </c>
      <c r="Z1821" s="1">
        <v>1</v>
      </c>
      <c r="AA1821" s="1" t="s">
        <v>104</v>
      </c>
      <c r="AB1821" s="1" t="s">
        <v>104</v>
      </c>
      <c r="AC1821" s="1" t="s">
        <v>104</v>
      </c>
      <c r="AD1821" s="1">
        <v>1</v>
      </c>
      <c r="AE1821" s="1" t="s">
        <v>104</v>
      </c>
      <c r="AF1821" s="1" t="s">
        <v>104</v>
      </c>
      <c r="AG1821" s="1">
        <v>1</v>
      </c>
      <c r="AH1821" s="1" t="s">
        <v>104</v>
      </c>
      <c r="AI1821" s="1" t="s">
        <v>104</v>
      </c>
      <c r="AJ1821" s="1" t="s">
        <v>104</v>
      </c>
      <c r="AK1821" s="1" t="s">
        <v>104</v>
      </c>
      <c r="AL1821" s="1">
        <v>1</v>
      </c>
      <c r="AM1821" s="1" t="s">
        <v>104</v>
      </c>
      <c r="AO1821" s="1">
        <v>1</v>
      </c>
      <c r="AQ1821" s="1" t="s">
        <v>9828</v>
      </c>
      <c r="AR1821" s="1">
        <v>0</v>
      </c>
      <c r="AS1821" s="1">
        <v>0</v>
      </c>
      <c r="AT1821" s="1">
        <v>0</v>
      </c>
      <c r="AU1821" s="1">
        <v>0</v>
      </c>
      <c r="AV1821" s="1">
        <v>0</v>
      </c>
      <c r="AW1821" s="1">
        <v>0</v>
      </c>
      <c r="AX1821" s="1">
        <v>0</v>
      </c>
      <c r="AY1821" s="1">
        <v>0</v>
      </c>
      <c r="AZ1821" s="1">
        <v>0</v>
      </c>
      <c r="BA1821" s="1">
        <v>0</v>
      </c>
      <c r="BB1821" s="1">
        <v>0</v>
      </c>
      <c r="BC1821" s="1">
        <v>0</v>
      </c>
      <c r="BD1821" s="1">
        <v>0</v>
      </c>
      <c r="BE1821" s="1">
        <v>0</v>
      </c>
      <c r="BF1821" s="1">
        <v>0</v>
      </c>
      <c r="BG1821" s="1">
        <v>0</v>
      </c>
      <c r="BH1821" s="1">
        <v>0</v>
      </c>
      <c r="BI1821" s="1">
        <v>0</v>
      </c>
      <c r="BJ1821" s="1">
        <v>0</v>
      </c>
      <c r="BK1821" s="1">
        <v>0</v>
      </c>
      <c r="BL1821" s="1">
        <v>0</v>
      </c>
      <c r="BM1821" s="1">
        <v>0</v>
      </c>
      <c r="BN1821" s="1">
        <v>0</v>
      </c>
      <c r="BO1821" s="1">
        <v>0</v>
      </c>
      <c r="BP1821" s="1">
        <v>0</v>
      </c>
      <c r="BQ1821" s="1" t="s">
        <v>104</v>
      </c>
      <c r="BR1821" s="1">
        <v>1920</v>
      </c>
      <c r="BS1821" s="1" t="s">
        <v>104</v>
      </c>
      <c r="BX1821" s="1">
        <v>0</v>
      </c>
      <c r="BY1821" s="1" t="s">
        <v>104</v>
      </c>
      <c r="BZ1821" s="1" t="s">
        <v>104</v>
      </c>
      <c r="CA1821" s="1">
        <v>1</v>
      </c>
      <c r="CB1821" s="1" t="s">
        <v>104</v>
      </c>
      <c r="CC1821" s="1" t="s">
        <v>104</v>
      </c>
      <c r="CD1821" s="1" t="s">
        <v>104</v>
      </c>
      <c r="CE1821" s="1" t="s">
        <v>104</v>
      </c>
      <c r="CF1821" s="1" t="s">
        <v>104</v>
      </c>
      <c r="CG1821" s="1" t="s">
        <v>104</v>
      </c>
      <c r="CH1821" s="1" t="s">
        <v>104</v>
      </c>
      <c r="CJ1821" s="1">
        <v>0</v>
      </c>
      <c r="CK1821" s="1">
        <v>0</v>
      </c>
      <c r="CL1821" s="1">
        <v>0</v>
      </c>
      <c r="CM1821" s="1">
        <v>1</v>
      </c>
    </row>
    <row r="1822" spans="1:91" ht="14.25" customHeight="1" x14ac:dyDescent="0.3">
      <c r="A1822" s="1" t="s">
        <v>9829</v>
      </c>
      <c r="B1822" s="1" t="s">
        <v>162</v>
      </c>
      <c r="D1822" s="1" t="s">
        <v>145</v>
      </c>
      <c r="E1822" s="1" t="s">
        <v>8904</v>
      </c>
      <c r="F1822" s="1" t="s">
        <v>95</v>
      </c>
      <c r="G1822" s="1" t="s">
        <v>3352</v>
      </c>
      <c r="H1822" s="1">
        <v>0</v>
      </c>
      <c r="I1822" s="1" t="s">
        <v>117</v>
      </c>
      <c r="L1822" s="1" t="s">
        <v>6415</v>
      </c>
      <c r="M1822" s="1" t="s">
        <v>2330</v>
      </c>
      <c r="N1822" s="1">
        <v>0</v>
      </c>
      <c r="O1822" s="1">
        <v>0</v>
      </c>
      <c r="P1822" s="1" t="s">
        <v>375</v>
      </c>
      <c r="Q1822" s="1" t="s">
        <v>101</v>
      </c>
      <c r="R1822" s="1" t="s">
        <v>9830</v>
      </c>
      <c r="S1822" s="1" t="s">
        <v>9569</v>
      </c>
      <c r="T1822" s="1">
        <v>1</v>
      </c>
      <c r="U1822" s="1">
        <v>1</v>
      </c>
      <c r="V1822" s="1">
        <v>1</v>
      </c>
      <c r="W1822" s="1">
        <v>0</v>
      </c>
      <c r="X1822" s="1">
        <v>0</v>
      </c>
      <c r="Y1822" s="1" t="s">
        <v>104</v>
      </c>
      <c r="Z1822" s="1" t="s">
        <v>104</v>
      </c>
      <c r="AA1822" s="1">
        <v>4</v>
      </c>
      <c r="AB1822" s="1" t="s">
        <v>104</v>
      </c>
      <c r="AC1822" s="1" t="s">
        <v>104</v>
      </c>
      <c r="AD1822" s="1" t="s">
        <v>104</v>
      </c>
      <c r="AE1822" s="1">
        <v>4</v>
      </c>
      <c r="AF1822" s="1" t="s">
        <v>104</v>
      </c>
      <c r="AG1822" s="1" t="s">
        <v>104</v>
      </c>
      <c r="AH1822" s="1" t="s">
        <v>104</v>
      </c>
      <c r="AI1822" s="1" t="s">
        <v>104</v>
      </c>
      <c r="AJ1822" s="1">
        <v>4</v>
      </c>
      <c r="AK1822" s="1" t="s">
        <v>104</v>
      </c>
      <c r="AL1822" s="1" t="s">
        <v>104</v>
      </c>
      <c r="AM1822" s="1" t="s">
        <v>104</v>
      </c>
      <c r="AO1822" s="1">
        <v>4</v>
      </c>
      <c r="AQ1822" s="1" t="s">
        <v>9831</v>
      </c>
      <c r="AR1822" s="1">
        <v>0</v>
      </c>
      <c r="AS1822" s="1">
        <v>0</v>
      </c>
      <c r="AT1822" s="1">
        <v>0</v>
      </c>
      <c r="AU1822" s="1">
        <v>0</v>
      </c>
      <c r="AV1822" s="1">
        <v>0</v>
      </c>
      <c r="AW1822" s="1">
        <v>0</v>
      </c>
      <c r="AX1822" s="1">
        <v>0</v>
      </c>
      <c r="AY1822" s="1">
        <v>0</v>
      </c>
      <c r="AZ1822" s="1">
        <v>0</v>
      </c>
      <c r="BA1822" s="1">
        <v>0</v>
      </c>
      <c r="BB1822" s="1">
        <v>0</v>
      </c>
      <c r="BC1822" s="1">
        <v>0</v>
      </c>
      <c r="BD1822" s="1">
        <v>0</v>
      </c>
      <c r="BE1822" s="1">
        <v>0</v>
      </c>
      <c r="BF1822" s="1">
        <v>0</v>
      </c>
      <c r="BG1822" s="1">
        <v>0</v>
      </c>
      <c r="BH1822" s="1">
        <v>0</v>
      </c>
      <c r="BI1822" s="1">
        <v>0</v>
      </c>
      <c r="BJ1822" s="1">
        <v>0</v>
      </c>
      <c r="BK1822" s="1">
        <v>0</v>
      </c>
      <c r="BL1822" s="1">
        <v>0</v>
      </c>
      <c r="BM1822" s="1">
        <v>0</v>
      </c>
      <c r="BN1822" s="1">
        <v>0</v>
      </c>
      <c r="BO1822" s="1">
        <v>0</v>
      </c>
      <c r="BP1822" s="1">
        <v>0</v>
      </c>
      <c r="BQ1822" s="1" t="s">
        <v>104</v>
      </c>
      <c r="BR1822" s="1">
        <v>1921</v>
      </c>
      <c r="BS1822" s="1" t="s">
        <v>104</v>
      </c>
      <c r="BX1822" s="1">
        <v>0</v>
      </c>
      <c r="BY1822" s="1" t="s">
        <v>104</v>
      </c>
      <c r="BZ1822" s="1" t="s">
        <v>104</v>
      </c>
      <c r="CA1822" s="1" t="s">
        <v>104</v>
      </c>
      <c r="CB1822" s="1" t="s">
        <v>104</v>
      </c>
      <c r="CC1822" s="1" t="s">
        <v>104</v>
      </c>
      <c r="CD1822" s="1" t="s">
        <v>104</v>
      </c>
      <c r="CE1822" s="1" t="s">
        <v>104</v>
      </c>
      <c r="CF1822" s="1" t="s">
        <v>104</v>
      </c>
      <c r="CG1822" s="1" t="s">
        <v>104</v>
      </c>
      <c r="CH1822" s="1" t="s">
        <v>104</v>
      </c>
      <c r="CJ1822" s="1">
        <v>0</v>
      </c>
      <c r="CK1822" s="1">
        <v>0</v>
      </c>
      <c r="CL1822" s="1">
        <v>0</v>
      </c>
      <c r="CM1822" s="1" t="s">
        <v>104</v>
      </c>
    </row>
    <row r="1823" spans="1:91" ht="14.25" customHeight="1" x14ac:dyDescent="0.3">
      <c r="A1823" s="1" t="s">
        <v>9832</v>
      </c>
      <c r="B1823" s="1" t="s">
        <v>137</v>
      </c>
      <c r="D1823" s="1" t="s">
        <v>51</v>
      </c>
      <c r="E1823" s="1" t="s">
        <v>9431</v>
      </c>
      <c r="F1823" s="1" t="s">
        <v>95</v>
      </c>
      <c r="G1823" s="1" t="s">
        <v>9833</v>
      </c>
      <c r="H1823" s="1">
        <v>1</v>
      </c>
      <c r="I1823" s="1" t="s">
        <v>117</v>
      </c>
      <c r="L1823" s="1" t="s">
        <v>9834</v>
      </c>
      <c r="M1823" s="1" t="s">
        <v>9708</v>
      </c>
      <c r="N1823" s="1">
        <v>0</v>
      </c>
      <c r="O1823" s="1">
        <v>0</v>
      </c>
      <c r="P1823" s="1" t="s">
        <v>100</v>
      </c>
      <c r="Q1823" s="1" t="s">
        <v>101</v>
      </c>
      <c r="R1823" s="1" t="s">
        <v>9835</v>
      </c>
      <c r="S1823" s="1" t="s">
        <v>9569</v>
      </c>
      <c r="T1823" s="1">
        <v>1</v>
      </c>
      <c r="U1823" s="1">
        <v>1</v>
      </c>
      <c r="V1823" s="1">
        <v>1</v>
      </c>
      <c r="W1823" s="1">
        <v>0</v>
      </c>
      <c r="X1823" s="1">
        <v>0</v>
      </c>
      <c r="Y1823" s="1">
        <v>3</v>
      </c>
      <c r="Z1823" s="1">
        <v>3</v>
      </c>
      <c r="AA1823" s="1" t="s">
        <v>104</v>
      </c>
      <c r="AB1823" s="1" t="s">
        <v>104</v>
      </c>
      <c r="AC1823" s="1" t="s">
        <v>104</v>
      </c>
      <c r="AD1823" s="1" t="s">
        <v>104</v>
      </c>
      <c r="AE1823" s="1" t="s">
        <v>104</v>
      </c>
      <c r="AF1823" s="1" t="s">
        <v>104</v>
      </c>
      <c r="AG1823" s="1" t="s">
        <v>104</v>
      </c>
      <c r="AH1823" s="1">
        <v>3</v>
      </c>
      <c r="AI1823" s="1" t="s">
        <v>104</v>
      </c>
      <c r="AJ1823" s="1" t="s">
        <v>104</v>
      </c>
      <c r="AK1823" s="1" t="s">
        <v>104</v>
      </c>
      <c r="AL1823" s="1">
        <v>3</v>
      </c>
      <c r="AM1823" s="1" t="s">
        <v>104</v>
      </c>
      <c r="AO1823" s="1">
        <v>3</v>
      </c>
      <c r="AQ1823" s="1" t="s">
        <v>9836</v>
      </c>
      <c r="AR1823" s="1">
        <v>0</v>
      </c>
      <c r="AS1823" s="1">
        <v>0</v>
      </c>
      <c r="AT1823" s="1">
        <v>0</v>
      </c>
      <c r="AU1823" s="1">
        <v>0</v>
      </c>
      <c r="AV1823" s="1">
        <v>0</v>
      </c>
      <c r="AW1823" s="1">
        <v>0</v>
      </c>
      <c r="AX1823" s="1">
        <v>0</v>
      </c>
      <c r="AY1823" s="1">
        <v>0</v>
      </c>
      <c r="AZ1823" s="1">
        <v>1</v>
      </c>
      <c r="BA1823" s="1">
        <v>0</v>
      </c>
      <c r="BB1823" s="1">
        <v>0</v>
      </c>
      <c r="BC1823" s="1">
        <v>0</v>
      </c>
      <c r="BD1823" s="1">
        <v>0</v>
      </c>
      <c r="BE1823" s="1">
        <v>0</v>
      </c>
      <c r="BF1823" s="1">
        <v>0</v>
      </c>
      <c r="BG1823" s="1">
        <v>0</v>
      </c>
      <c r="BH1823" s="1">
        <v>0</v>
      </c>
      <c r="BI1823" s="1">
        <v>0</v>
      </c>
      <c r="BJ1823" s="1">
        <v>0</v>
      </c>
      <c r="BK1823" s="1">
        <v>0</v>
      </c>
      <c r="BL1823" s="1">
        <v>0</v>
      </c>
      <c r="BM1823" s="1">
        <v>0</v>
      </c>
      <c r="BN1823" s="1">
        <v>0</v>
      </c>
      <c r="BO1823" s="1">
        <v>0</v>
      </c>
      <c r="BP1823" s="1">
        <v>0</v>
      </c>
      <c r="BQ1823" s="1" t="s">
        <v>104</v>
      </c>
      <c r="BR1823" s="1">
        <v>1922</v>
      </c>
      <c r="BS1823" s="1">
        <v>100</v>
      </c>
      <c r="BX1823" s="1">
        <v>0</v>
      </c>
      <c r="BY1823" s="1" t="s">
        <v>104</v>
      </c>
      <c r="BZ1823" s="1" t="s">
        <v>104</v>
      </c>
      <c r="CA1823" s="1" t="s">
        <v>104</v>
      </c>
      <c r="CB1823" s="1" t="s">
        <v>104</v>
      </c>
      <c r="CC1823" s="1" t="s">
        <v>104</v>
      </c>
      <c r="CD1823" s="1" t="s">
        <v>104</v>
      </c>
      <c r="CE1823" s="1" t="s">
        <v>104</v>
      </c>
      <c r="CF1823" s="1" t="s">
        <v>104</v>
      </c>
      <c r="CG1823" s="1" t="s">
        <v>104</v>
      </c>
      <c r="CH1823" s="1" t="s">
        <v>104</v>
      </c>
      <c r="CJ1823" s="1">
        <v>0</v>
      </c>
      <c r="CK1823" s="1">
        <v>0</v>
      </c>
      <c r="CL1823" s="1">
        <v>0</v>
      </c>
      <c r="CM1823" s="1" t="s">
        <v>104</v>
      </c>
    </row>
    <row r="1824" spans="1:91" ht="14.25" customHeight="1" x14ac:dyDescent="0.3">
      <c r="A1824" s="1" t="s">
        <v>9837</v>
      </c>
      <c r="B1824" s="1" t="s">
        <v>172</v>
      </c>
      <c r="E1824" s="1" t="s">
        <v>9838</v>
      </c>
      <c r="F1824" s="1" t="s">
        <v>95</v>
      </c>
      <c r="G1824" s="1" t="s">
        <v>9839</v>
      </c>
      <c r="H1824" s="1">
        <v>0</v>
      </c>
      <c r="I1824" s="1" t="s">
        <v>157</v>
      </c>
      <c r="L1824" s="1" t="s">
        <v>158</v>
      </c>
      <c r="M1824" s="1" t="s">
        <v>4992</v>
      </c>
      <c r="N1824" s="1">
        <v>1</v>
      </c>
      <c r="O1824" s="1">
        <v>0</v>
      </c>
      <c r="R1824" s="1" t="s">
        <v>9840</v>
      </c>
      <c r="S1824" s="1" t="s">
        <v>9569</v>
      </c>
      <c r="T1824" s="1">
        <v>1</v>
      </c>
      <c r="U1824" s="1">
        <v>0</v>
      </c>
      <c r="V1824" s="1">
        <v>1</v>
      </c>
      <c r="W1824" s="1">
        <v>0</v>
      </c>
      <c r="X1824" s="1">
        <v>1</v>
      </c>
      <c r="Y1824" s="1">
        <v>1</v>
      </c>
      <c r="Z1824" s="1">
        <v>1</v>
      </c>
      <c r="AA1824" s="1" t="s">
        <v>104</v>
      </c>
      <c r="AB1824" s="1">
        <v>1</v>
      </c>
      <c r="AC1824" s="1">
        <v>1</v>
      </c>
      <c r="AD1824" s="1">
        <v>1</v>
      </c>
      <c r="AE1824" s="1" t="s">
        <v>104</v>
      </c>
      <c r="AF1824" s="1">
        <v>1</v>
      </c>
      <c r="AG1824" s="1" t="s">
        <v>104</v>
      </c>
      <c r="AH1824" s="1" t="s">
        <v>104</v>
      </c>
      <c r="AI1824" s="1">
        <v>1</v>
      </c>
      <c r="AJ1824" s="1" t="s">
        <v>104</v>
      </c>
      <c r="AK1824" s="1" t="s">
        <v>104</v>
      </c>
      <c r="AL1824" s="1" t="s">
        <v>104</v>
      </c>
      <c r="AM1824" s="1" t="s">
        <v>104</v>
      </c>
      <c r="AO1824" s="1">
        <v>1</v>
      </c>
      <c r="AQ1824" s="1" t="s">
        <v>9841</v>
      </c>
      <c r="AR1824" s="1">
        <v>0</v>
      </c>
      <c r="AS1824" s="1">
        <v>0</v>
      </c>
      <c r="AT1824" s="1">
        <v>0</v>
      </c>
      <c r="AU1824" s="1">
        <v>0</v>
      </c>
      <c r="AV1824" s="1">
        <v>0</v>
      </c>
      <c r="AW1824" s="1">
        <v>0</v>
      </c>
      <c r="AX1824" s="1">
        <v>0</v>
      </c>
      <c r="AY1824" s="1">
        <v>0</v>
      </c>
      <c r="AZ1824" s="1">
        <v>0</v>
      </c>
      <c r="BA1824" s="1">
        <v>0</v>
      </c>
      <c r="BB1824" s="1">
        <v>0</v>
      </c>
      <c r="BC1824" s="1">
        <v>0</v>
      </c>
      <c r="BD1824" s="1">
        <v>0</v>
      </c>
      <c r="BE1824" s="1">
        <v>0</v>
      </c>
      <c r="BF1824" s="1">
        <v>0</v>
      </c>
      <c r="BG1824" s="1">
        <v>0</v>
      </c>
      <c r="BH1824" s="1">
        <v>0</v>
      </c>
      <c r="BI1824" s="1">
        <v>0</v>
      </c>
      <c r="BJ1824" s="1">
        <v>0</v>
      </c>
      <c r="BK1824" s="1">
        <v>0</v>
      </c>
      <c r="BL1824" s="1">
        <v>0</v>
      </c>
      <c r="BM1824" s="1">
        <v>0</v>
      </c>
      <c r="BN1824" s="1">
        <v>0</v>
      </c>
      <c r="BO1824" s="1">
        <v>0</v>
      </c>
      <c r="BP1824" s="1">
        <v>0</v>
      </c>
      <c r="BQ1824" s="1" t="s">
        <v>104</v>
      </c>
      <c r="BR1824" s="1">
        <v>1923</v>
      </c>
      <c r="BS1824" s="1" t="s">
        <v>104</v>
      </c>
      <c r="BX1824" s="1">
        <v>0</v>
      </c>
      <c r="BY1824" s="1" t="s">
        <v>104</v>
      </c>
      <c r="BZ1824" s="1">
        <v>1</v>
      </c>
      <c r="CA1824" s="1">
        <v>1</v>
      </c>
      <c r="CB1824" s="1">
        <v>1</v>
      </c>
      <c r="CC1824" s="1">
        <v>1</v>
      </c>
      <c r="CD1824" s="1">
        <v>1</v>
      </c>
      <c r="CE1824" s="1" t="s">
        <v>104</v>
      </c>
      <c r="CF1824" s="1" t="s">
        <v>104</v>
      </c>
      <c r="CG1824" s="1" t="s">
        <v>104</v>
      </c>
      <c r="CH1824" s="1">
        <v>1</v>
      </c>
      <c r="CJ1824" s="1">
        <v>0</v>
      </c>
      <c r="CK1824" s="1">
        <v>0</v>
      </c>
      <c r="CL1824" s="1">
        <v>0</v>
      </c>
      <c r="CM1824" s="1" t="s">
        <v>104</v>
      </c>
    </row>
    <row r="1825" spans="1:91" ht="14.25" customHeight="1" x14ac:dyDescent="0.3">
      <c r="A1825" s="1" t="s">
        <v>9842</v>
      </c>
      <c r="B1825" s="1" t="s">
        <v>137</v>
      </c>
      <c r="E1825" s="1" t="s">
        <v>4596</v>
      </c>
      <c r="F1825" s="1" t="s">
        <v>95</v>
      </c>
      <c r="G1825" s="1" t="s">
        <v>116</v>
      </c>
      <c r="H1825" s="1">
        <v>0</v>
      </c>
      <c r="I1825" s="1" t="s">
        <v>914</v>
      </c>
      <c r="J1825" s="1" t="s">
        <v>9843</v>
      </c>
      <c r="M1825" s="1" t="s">
        <v>6149</v>
      </c>
      <c r="N1825" s="1">
        <v>0</v>
      </c>
      <c r="O1825" s="1">
        <v>0</v>
      </c>
      <c r="P1825" s="1" t="s">
        <v>375</v>
      </c>
      <c r="Q1825" s="1" t="s">
        <v>131</v>
      </c>
      <c r="R1825" s="1" t="s">
        <v>9844</v>
      </c>
      <c r="S1825" s="1" t="s">
        <v>9569</v>
      </c>
      <c r="T1825" s="1">
        <v>1</v>
      </c>
      <c r="U1825" s="1">
        <v>1</v>
      </c>
      <c r="V1825" s="1">
        <v>0</v>
      </c>
      <c r="W1825" s="1">
        <v>0</v>
      </c>
      <c r="X1825" s="1">
        <v>0</v>
      </c>
      <c r="Y1825" s="1" t="s">
        <v>104</v>
      </c>
      <c r="Z1825" s="1" t="s">
        <v>104</v>
      </c>
      <c r="AA1825" s="1" t="s">
        <v>104</v>
      </c>
      <c r="AB1825" s="1" t="s">
        <v>104</v>
      </c>
      <c r="AC1825" s="1" t="s">
        <v>104</v>
      </c>
      <c r="AD1825" s="1">
        <v>2</v>
      </c>
      <c r="AE1825" s="1" t="s">
        <v>104</v>
      </c>
      <c r="AF1825" s="1" t="s">
        <v>104</v>
      </c>
      <c r="AG1825" s="1" t="s">
        <v>104</v>
      </c>
      <c r="AH1825" s="1" t="s">
        <v>104</v>
      </c>
      <c r="AI1825" s="1" t="s">
        <v>104</v>
      </c>
      <c r="AJ1825" s="1" t="s">
        <v>104</v>
      </c>
      <c r="AK1825" s="1" t="s">
        <v>104</v>
      </c>
      <c r="AL1825" s="1" t="s">
        <v>104</v>
      </c>
      <c r="AM1825" s="1" t="s">
        <v>104</v>
      </c>
      <c r="AO1825" s="1">
        <v>2</v>
      </c>
      <c r="AQ1825" s="1" t="s">
        <v>9845</v>
      </c>
      <c r="AR1825" s="1">
        <v>0</v>
      </c>
      <c r="AS1825" s="1">
        <v>0</v>
      </c>
      <c r="AT1825" s="1">
        <v>0</v>
      </c>
      <c r="AU1825" s="1">
        <v>0</v>
      </c>
      <c r="AV1825" s="1">
        <v>0</v>
      </c>
      <c r="AW1825" s="1">
        <v>0</v>
      </c>
      <c r="AX1825" s="1">
        <v>0</v>
      </c>
      <c r="AY1825" s="1">
        <v>0</v>
      </c>
      <c r="AZ1825" s="1">
        <v>0</v>
      </c>
      <c r="BA1825" s="1">
        <v>0</v>
      </c>
      <c r="BB1825" s="1">
        <v>0</v>
      </c>
      <c r="BC1825" s="1">
        <v>0</v>
      </c>
      <c r="BD1825" s="1">
        <v>0</v>
      </c>
      <c r="BE1825" s="1">
        <v>0</v>
      </c>
      <c r="BF1825" s="1">
        <v>0</v>
      </c>
      <c r="BG1825" s="1">
        <v>0</v>
      </c>
      <c r="BH1825" s="1">
        <v>0</v>
      </c>
      <c r="BI1825" s="1">
        <v>0</v>
      </c>
      <c r="BJ1825" s="1">
        <v>0</v>
      </c>
      <c r="BK1825" s="1">
        <v>0</v>
      </c>
      <c r="BL1825" s="1">
        <v>0</v>
      </c>
      <c r="BM1825" s="1">
        <v>0</v>
      </c>
      <c r="BN1825" s="1">
        <v>0</v>
      </c>
      <c r="BO1825" s="1">
        <v>0</v>
      </c>
      <c r="BP1825" s="1">
        <v>0</v>
      </c>
      <c r="BQ1825" s="1" t="s">
        <v>104</v>
      </c>
      <c r="BR1825" s="1">
        <v>1924</v>
      </c>
      <c r="BS1825" s="1" t="s">
        <v>104</v>
      </c>
      <c r="BX1825" s="1">
        <v>0</v>
      </c>
      <c r="BY1825" s="1" t="s">
        <v>104</v>
      </c>
      <c r="BZ1825" s="1" t="s">
        <v>104</v>
      </c>
      <c r="CA1825" s="1" t="s">
        <v>104</v>
      </c>
      <c r="CB1825" s="1" t="s">
        <v>104</v>
      </c>
      <c r="CC1825" s="1" t="s">
        <v>104</v>
      </c>
      <c r="CD1825" s="1" t="s">
        <v>104</v>
      </c>
      <c r="CE1825" s="1" t="s">
        <v>104</v>
      </c>
      <c r="CF1825" s="1" t="s">
        <v>104</v>
      </c>
      <c r="CG1825" s="1" t="s">
        <v>104</v>
      </c>
      <c r="CH1825" s="1" t="s">
        <v>104</v>
      </c>
      <c r="CJ1825" s="1">
        <v>0</v>
      </c>
      <c r="CK1825" s="1">
        <v>0</v>
      </c>
      <c r="CL1825" s="1">
        <v>0</v>
      </c>
      <c r="CM1825" s="1" t="s">
        <v>104</v>
      </c>
    </row>
    <row r="1826" spans="1:91" ht="14.25" customHeight="1" x14ac:dyDescent="0.3">
      <c r="A1826" s="1" t="s">
        <v>9846</v>
      </c>
      <c r="B1826" s="1" t="s">
        <v>162</v>
      </c>
      <c r="E1826" s="1" t="s">
        <v>9847</v>
      </c>
      <c r="F1826" s="1" t="s">
        <v>287</v>
      </c>
      <c r="G1826" s="1" t="s">
        <v>1826</v>
      </c>
      <c r="H1826" s="1">
        <v>1</v>
      </c>
      <c r="I1826" s="1" t="s">
        <v>128</v>
      </c>
      <c r="J1826" s="1" t="s">
        <v>1827</v>
      </c>
      <c r="L1826" s="1" t="s">
        <v>1827</v>
      </c>
      <c r="M1826" s="1" t="s">
        <v>1567</v>
      </c>
      <c r="N1826" s="1">
        <v>1</v>
      </c>
      <c r="O1826" s="1">
        <v>0</v>
      </c>
      <c r="P1826" s="1" t="s">
        <v>145</v>
      </c>
      <c r="Q1826" s="1" t="s">
        <v>4307</v>
      </c>
      <c r="R1826" s="1" t="s">
        <v>9848</v>
      </c>
      <c r="S1826" s="1" t="s">
        <v>9569</v>
      </c>
      <c r="T1826" s="1">
        <v>1</v>
      </c>
      <c r="U1826" s="1">
        <v>1</v>
      </c>
      <c r="V1826" s="1">
        <v>1</v>
      </c>
      <c r="W1826" s="1">
        <v>0</v>
      </c>
      <c r="X1826" s="1">
        <v>0</v>
      </c>
      <c r="Y1826" s="1" t="s">
        <v>104</v>
      </c>
      <c r="Z1826" s="1" t="s">
        <v>104</v>
      </c>
      <c r="AA1826" s="1" t="s">
        <v>104</v>
      </c>
      <c r="AB1826" s="1" t="s">
        <v>104</v>
      </c>
      <c r="AC1826" s="1" t="s">
        <v>104</v>
      </c>
      <c r="AD1826" s="1" t="s">
        <v>104</v>
      </c>
      <c r="AE1826" s="1" t="s">
        <v>104</v>
      </c>
      <c r="AF1826" s="1" t="s">
        <v>104</v>
      </c>
      <c r="AG1826" s="1" t="s">
        <v>104</v>
      </c>
      <c r="AH1826" s="1">
        <v>3</v>
      </c>
      <c r="AI1826" s="1" t="s">
        <v>104</v>
      </c>
      <c r="AJ1826" s="1" t="s">
        <v>104</v>
      </c>
      <c r="AK1826" s="1" t="s">
        <v>104</v>
      </c>
      <c r="AL1826" s="1" t="s">
        <v>104</v>
      </c>
      <c r="AM1826" s="1" t="s">
        <v>104</v>
      </c>
      <c r="AO1826" s="1">
        <v>3</v>
      </c>
      <c r="AQ1826" s="1" t="s">
        <v>9849</v>
      </c>
      <c r="AR1826" s="1">
        <v>0</v>
      </c>
      <c r="AS1826" s="1">
        <v>0</v>
      </c>
      <c r="AT1826" s="1">
        <v>0</v>
      </c>
      <c r="AU1826" s="1">
        <v>0</v>
      </c>
      <c r="AV1826" s="1">
        <v>0</v>
      </c>
      <c r="AW1826" s="1">
        <v>0</v>
      </c>
      <c r="AX1826" s="1">
        <v>0</v>
      </c>
      <c r="AY1826" s="1">
        <v>0</v>
      </c>
      <c r="AZ1826" s="1">
        <v>0</v>
      </c>
      <c r="BA1826" s="1">
        <v>0</v>
      </c>
      <c r="BB1826" s="1">
        <v>0</v>
      </c>
      <c r="BC1826" s="1">
        <v>0</v>
      </c>
      <c r="BD1826" s="1">
        <v>0</v>
      </c>
      <c r="BE1826" s="1">
        <v>0</v>
      </c>
      <c r="BF1826" s="1">
        <v>0</v>
      </c>
      <c r="BG1826" s="1">
        <v>0</v>
      </c>
      <c r="BH1826" s="1">
        <v>0</v>
      </c>
      <c r="BI1826" s="1">
        <v>0</v>
      </c>
      <c r="BJ1826" s="1">
        <v>0</v>
      </c>
      <c r="BK1826" s="1">
        <v>0</v>
      </c>
      <c r="BL1826" s="1">
        <v>0</v>
      </c>
      <c r="BM1826" s="1">
        <v>0</v>
      </c>
      <c r="BN1826" s="1">
        <v>0</v>
      </c>
      <c r="BO1826" s="1">
        <v>0</v>
      </c>
      <c r="BP1826" s="1">
        <v>0</v>
      </c>
      <c r="BQ1826" s="1" t="s">
        <v>104</v>
      </c>
      <c r="BR1826" s="1">
        <v>1925</v>
      </c>
      <c r="BS1826" s="1">
        <v>200</v>
      </c>
      <c r="BX1826" s="1">
        <v>0</v>
      </c>
      <c r="BY1826" s="1" t="s">
        <v>104</v>
      </c>
      <c r="BZ1826" s="1">
        <v>3</v>
      </c>
      <c r="CA1826" s="1" t="s">
        <v>104</v>
      </c>
      <c r="CB1826" s="1" t="s">
        <v>104</v>
      </c>
      <c r="CC1826" s="1" t="s">
        <v>104</v>
      </c>
      <c r="CD1826" s="1" t="s">
        <v>104</v>
      </c>
      <c r="CE1826" s="1" t="s">
        <v>104</v>
      </c>
      <c r="CF1826" s="1" t="s">
        <v>104</v>
      </c>
      <c r="CG1826" s="1" t="s">
        <v>104</v>
      </c>
      <c r="CH1826" s="1" t="s">
        <v>104</v>
      </c>
      <c r="CJ1826" s="1">
        <v>0</v>
      </c>
      <c r="CK1826" s="1">
        <v>0</v>
      </c>
      <c r="CL1826" s="1">
        <v>0</v>
      </c>
      <c r="CM1826" s="1" t="s">
        <v>104</v>
      </c>
    </row>
    <row r="1827" spans="1:91" ht="14.25" customHeight="1" x14ac:dyDescent="0.3">
      <c r="A1827" s="1" t="s">
        <v>9850</v>
      </c>
      <c r="B1827" s="1" t="s">
        <v>162</v>
      </c>
      <c r="E1827" s="1" t="s">
        <v>9851</v>
      </c>
      <c r="F1827" s="1" t="s">
        <v>287</v>
      </c>
      <c r="G1827" s="1" t="s">
        <v>9852</v>
      </c>
      <c r="H1827" s="1">
        <v>1</v>
      </c>
      <c r="I1827" s="1" t="s">
        <v>128</v>
      </c>
      <c r="J1827" s="1" t="s">
        <v>1827</v>
      </c>
      <c r="L1827" s="1" t="s">
        <v>1827</v>
      </c>
      <c r="M1827" s="1" t="s">
        <v>1567</v>
      </c>
      <c r="N1827" s="1">
        <v>1</v>
      </c>
      <c r="O1827" s="1">
        <v>0</v>
      </c>
      <c r="P1827" s="1" t="s">
        <v>145</v>
      </c>
      <c r="Q1827" s="1" t="s">
        <v>4307</v>
      </c>
      <c r="R1827" s="1" t="s">
        <v>9853</v>
      </c>
      <c r="S1827" s="1" t="s">
        <v>9569</v>
      </c>
      <c r="T1827" s="1">
        <v>1</v>
      </c>
      <c r="U1827" s="1">
        <v>1</v>
      </c>
      <c r="V1827" s="1">
        <v>1</v>
      </c>
      <c r="W1827" s="1">
        <v>0</v>
      </c>
      <c r="X1827" s="1">
        <v>0</v>
      </c>
      <c r="Y1827" s="1" t="s">
        <v>104</v>
      </c>
      <c r="Z1827" s="1" t="s">
        <v>104</v>
      </c>
      <c r="AA1827" s="1" t="s">
        <v>104</v>
      </c>
      <c r="AB1827" s="1" t="s">
        <v>104</v>
      </c>
      <c r="AC1827" s="1" t="s">
        <v>104</v>
      </c>
      <c r="AD1827" s="1" t="s">
        <v>104</v>
      </c>
      <c r="AE1827" s="1" t="s">
        <v>104</v>
      </c>
      <c r="AF1827" s="1" t="s">
        <v>104</v>
      </c>
      <c r="AG1827" s="1" t="s">
        <v>104</v>
      </c>
      <c r="AH1827" s="1">
        <v>5</v>
      </c>
      <c r="AI1827" s="1" t="s">
        <v>104</v>
      </c>
      <c r="AJ1827" s="1" t="s">
        <v>104</v>
      </c>
      <c r="AK1827" s="1" t="s">
        <v>104</v>
      </c>
      <c r="AL1827" s="1" t="s">
        <v>104</v>
      </c>
      <c r="AM1827" s="1" t="s">
        <v>104</v>
      </c>
      <c r="AO1827" s="1">
        <v>5</v>
      </c>
      <c r="AQ1827" s="1" t="s">
        <v>9854</v>
      </c>
      <c r="AR1827" s="1">
        <v>0</v>
      </c>
      <c r="AS1827" s="1">
        <v>0</v>
      </c>
      <c r="AT1827" s="1">
        <v>0</v>
      </c>
      <c r="AU1827" s="1">
        <v>0</v>
      </c>
      <c r="AV1827" s="1">
        <v>0</v>
      </c>
      <c r="AW1827" s="1">
        <v>0</v>
      </c>
      <c r="AX1827" s="1">
        <v>0</v>
      </c>
      <c r="AY1827" s="1">
        <v>0</v>
      </c>
      <c r="AZ1827" s="1">
        <v>0</v>
      </c>
      <c r="BA1827" s="1">
        <v>0</v>
      </c>
      <c r="BB1827" s="1">
        <v>0</v>
      </c>
      <c r="BC1827" s="1">
        <v>0</v>
      </c>
      <c r="BD1827" s="1">
        <v>0</v>
      </c>
      <c r="BE1827" s="1">
        <v>0</v>
      </c>
      <c r="BF1827" s="1">
        <v>0</v>
      </c>
      <c r="BG1827" s="1">
        <v>0</v>
      </c>
      <c r="BH1827" s="1">
        <v>0</v>
      </c>
      <c r="BI1827" s="1">
        <v>0</v>
      </c>
      <c r="BJ1827" s="1">
        <v>0</v>
      </c>
      <c r="BK1827" s="1">
        <v>0</v>
      </c>
      <c r="BL1827" s="1">
        <v>0</v>
      </c>
      <c r="BM1827" s="1">
        <v>0</v>
      </c>
      <c r="BN1827" s="1">
        <v>0</v>
      </c>
      <c r="BO1827" s="1">
        <v>0</v>
      </c>
      <c r="BP1827" s="1">
        <v>0</v>
      </c>
      <c r="BQ1827" s="1" t="s">
        <v>104</v>
      </c>
      <c r="BR1827" s="1">
        <v>1926</v>
      </c>
      <c r="BS1827" s="1">
        <v>400</v>
      </c>
      <c r="BX1827" s="1">
        <v>0</v>
      </c>
      <c r="BY1827" s="1" t="s">
        <v>104</v>
      </c>
      <c r="BZ1827" s="1">
        <v>5</v>
      </c>
      <c r="CA1827" s="1" t="s">
        <v>104</v>
      </c>
      <c r="CB1827" s="1" t="s">
        <v>104</v>
      </c>
      <c r="CC1827" s="1" t="s">
        <v>104</v>
      </c>
      <c r="CD1827" s="1" t="s">
        <v>104</v>
      </c>
      <c r="CE1827" s="1" t="s">
        <v>104</v>
      </c>
      <c r="CF1827" s="1" t="s">
        <v>104</v>
      </c>
      <c r="CG1827" s="1" t="s">
        <v>104</v>
      </c>
      <c r="CH1827" s="1" t="s">
        <v>104</v>
      </c>
      <c r="CJ1827" s="1">
        <v>0</v>
      </c>
      <c r="CK1827" s="1">
        <v>0</v>
      </c>
      <c r="CL1827" s="1">
        <v>0</v>
      </c>
      <c r="CM1827" s="1" t="s">
        <v>104</v>
      </c>
    </row>
    <row r="1828" spans="1:91" ht="14.25" customHeight="1" x14ac:dyDescent="0.3">
      <c r="A1828" s="1" t="s">
        <v>9855</v>
      </c>
      <c r="B1828" s="1" t="s">
        <v>216</v>
      </c>
      <c r="D1828" s="1" t="s">
        <v>47</v>
      </c>
      <c r="E1828" s="1" t="s">
        <v>9856</v>
      </c>
      <c r="F1828" s="1" t="s">
        <v>95</v>
      </c>
      <c r="G1828" s="1" t="s">
        <v>5322</v>
      </c>
      <c r="H1828" s="1">
        <v>0</v>
      </c>
      <c r="I1828" s="1" t="s">
        <v>117</v>
      </c>
      <c r="L1828" s="1" t="s">
        <v>1065</v>
      </c>
      <c r="M1828" s="1" t="s">
        <v>111</v>
      </c>
      <c r="N1828" s="1">
        <v>0</v>
      </c>
      <c r="O1828" s="1">
        <v>0</v>
      </c>
      <c r="P1828" s="1" t="s">
        <v>211</v>
      </c>
      <c r="Q1828" s="1" t="s">
        <v>184</v>
      </c>
      <c r="R1828" s="1" t="s">
        <v>9857</v>
      </c>
      <c r="S1828" s="1" t="s">
        <v>9569</v>
      </c>
      <c r="T1828" s="1">
        <v>1</v>
      </c>
      <c r="U1828" s="1">
        <v>1</v>
      </c>
      <c r="V1828" s="1">
        <v>1</v>
      </c>
      <c r="W1828" s="1">
        <v>0</v>
      </c>
      <c r="X1828" s="1">
        <v>0</v>
      </c>
      <c r="Y1828" s="1" t="s">
        <v>104</v>
      </c>
      <c r="Z1828" s="1" t="s">
        <v>104</v>
      </c>
      <c r="AA1828" s="1" t="s">
        <v>104</v>
      </c>
      <c r="AB1828" s="1" t="s">
        <v>104</v>
      </c>
      <c r="AC1828" s="1" t="s">
        <v>104</v>
      </c>
      <c r="AD1828" s="1" t="s">
        <v>104</v>
      </c>
      <c r="AE1828" s="1" t="s">
        <v>104</v>
      </c>
      <c r="AF1828" s="1" t="s">
        <v>104</v>
      </c>
      <c r="AG1828" s="1" t="s">
        <v>104</v>
      </c>
      <c r="AH1828" s="1">
        <v>1</v>
      </c>
      <c r="AI1828" s="1" t="s">
        <v>104</v>
      </c>
      <c r="AJ1828" s="1" t="s">
        <v>104</v>
      </c>
      <c r="AK1828" s="1" t="s">
        <v>104</v>
      </c>
      <c r="AL1828" s="1" t="s">
        <v>104</v>
      </c>
      <c r="AM1828" s="1" t="s">
        <v>104</v>
      </c>
      <c r="AO1828" s="1">
        <v>1</v>
      </c>
      <c r="AQ1828" s="1" t="s">
        <v>9858</v>
      </c>
      <c r="AR1828" s="1">
        <v>0</v>
      </c>
      <c r="AS1828" s="1">
        <v>0</v>
      </c>
      <c r="AT1828" s="1">
        <v>0</v>
      </c>
      <c r="AU1828" s="1">
        <v>0</v>
      </c>
      <c r="AV1828" s="1">
        <v>1</v>
      </c>
      <c r="AW1828" s="1">
        <v>0</v>
      </c>
      <c r="AX1828" s="1">
        <v>0</v>
      </c>
      <c r="AY1828" s="1">
        <v>0</v>
      </c>
      <c r="AZ1828" s="1">
        <v>0</v>
      </c>
      <c r="BA1828" s="1">
        <v>0</v>
      </c>
      <c r="BB1828" s="1">
        <v>0</v>
      </c>
      <c r="BC1828" s="1">
        <v>0</v>
      </c>
      <c r="BD1828" s="1">
        <v>0</v>
      </c>
      <c r="BE1828" s="1">
        <v>0</v>
      </c>
      <c r="BF1828" s="1">
        <v>0</v>
      </c>
      <c r="BG1828" s="1">
        <v>0</v>
      </c>
      <c r="BH1828" s="1">
        <v>0</v>
      </c>
      <c r="BI1828" s="1">
        <v>0</v>
      </c>
      <c r="BJ1828" s="1">
        <v>0</v>
      </c>
      <c r="BK1828" s="1">
        <v>0</v>
      </c>
      <c r="BL1828" s="1">
        <v>0</v>
      </c>
      <c r="BM1828" s="1">
        <v>0</v>
      </c>
      <c r="BN1828" s="1">
        <v>0</v>
      </c>
      <c r="BO1828" s="1">
        <v>0</v>
      </c>
      <c r="BP1828" s="1">
        <v>0</v>
      </c>
      <c r="BQ1828" s="1" t="s">
        <v>104</v>
      </c>
      <c r="BR1828" s="1">
        <v>1927</v>
      </c>
      <c r="BS1828" s="1" t="s">
        <v>104</v>
      </c>
      <c r="BX1828" s="1">
        <v>0</v>
      </c>
      <c r="BY1828" s="1" t="s">
        <v>104</v>
      </c>
      <c r="BZ1828" s="1">
        <v>1</v>
      </c>
      <c r="CA1828" s="1" t="s">
        <v>104</v>
      </c>
      <c r="CB1828" s="1" t="s">
        <v>104</v>
      </c>
      <c r="CC1828" s="1" t="s">
        <v>104</v>
      </c>
      <c r="CD1828" s="1" t="s">
        <v>104</v>
      </c>
      <c r="CE1828" s="1" t="s">
        <v>104</v>
      </c>
      <c r="CF1828" s="1" t="s">
        <v>104</v>
      </c>
      <c r="CG1828" s="1" t="s">
        <v>104</v>
      </c>
      <c r="CH1828" s="1" t="s">
        <v>104</v>
      </c>
      <c r="CJ1828" s="1">
        <v>0</v>
      </c>
      <c r="CK1828" s="1">
        <v>0</v>
      </c>
      <c r="CL1828" s="1">
        <v>0</v>
      </c>
      <c r="CM1828" s="1" t="s">
        <v>104</v>
      </c>
    </row>
    <row r="1829" spans="1:91" ht="14.25" customHeight="1" x14ac:dyDescent="0.3">
      <c r="A1829" s="1" t="s">
        <v>9859</v>
      </c>
      <c r="B1829" s="1" t="s">
        <v>137</v>
      </c>
      <c r="D1829" s="1" t="s">
        <v>6322</v>
      </c>
      <c r="E1829" s="1" t="s">
        <v>146</v>
      </c>
      <c r="F1829" s="1" t="s">
        <v>95</v>
      </c>
      <c r="G1829" s="1" t="s">
        <v>9860</v>
      </c>
      <c r="H1829" s="1">
        <v>1</v>
      </c>
      <c r="I1829" s="1" t="s">
        <v>705</v>
      </c>
      <c r="K1829" s="1" t="s">
        <v>9861</v>
      </c>
      <c r="M1829" s="1" t="s">
        <v>4641</v>
      </c>
      <c r="N1829" s="1">
        <v>1</v>
      </c>
      <c r="O1829" s="1">
        <v>0</v>
      </c>
      <c r="P1829" s="1" t="s">
        <v>100</v>
      </c>
      <c r="Q1829" s="1" t="s">
        <v>101</v>
      </c>
      <c r="R1829" s="1" t="s">
        <v>9862</v>
      </c>
      <c r="S1829" s="1" t="s">
        <v>9569</v>
      </c>
      <c r="T1829" s="1">
        <v>1</v>
      </c>
      <c r="U1829" s="1">
        <v>1</v>
      </c>
      <c r="V1829" s="1">
        <v>1</v>
      </c>
      <c r="W1829" s="1">
        <v>0</v>
      </c>
      <c r="X1829" s="1">
        <v>0</v>
      </c>
      <c r="Y1829" s="1" t="s">
        <v>104</v>
      </c>
      <c r="Z1829" s="1" t="s">
        <v>104</v>
      </c>
      <c r="AA1829" s="1">
        <v>2</v>
      </c>
      <c r="AB1829" s="1" t="s">
        <v>104</v>
      </c>
      <c r="AC1829" s="1" t="s">
        <v>104</v>
      </c>
      <c r="AD1829" s="1" t="s">
        <v>104</v>
      </c>
      <c r="AE1829" s="1" t="s">
        <v>104</v>
      </c>
      <c r="AF1829" s="1" t="s">
        <v>104</v>
      </c>
      <c r="AG1829" s="1" t="s">
        <v>104</v>
      </c>
      <c r="AH1829" s="1" t="s">
        <v>104</v>
      </c>
      <c r="AI1829" s="1">
        <v>2</v>
      </c>
      <c r="AJ1829" s="1">
        <v>2</v>
      </c>
      <c r="AK1829" s="1" t="s">
        <v>104</v>
      </c>
      <c r="AL1829" s="1" t="s">
        <v>104</v>
      </c>
      <c r="AM1829" s="1" t="s">
        <v>104</v>
      </c>
      <c r="AO1829" s="1">
        <v>2</v>
      </c>
      <c r="AQ1829" s="1" t="s">
        <v>9863</v>
      </c>
      <c r="AR1829" s="1">
        <v>0</v>
      </c>
      <c r="AS1829" s="1">
        <v>0</v>
      </c>
      <c r="AT1829" s="1">
        <v>0</v>
      </c>
      <c r="AU1829" s="1">
        <v>1</v>
      </c>
      <c r="AV1829" s="1">
        <v>0</v>
      </c>
      <c r="AW1829" s="1">
        <v>0</v>
      </c>
      <c r="AX1829" s="1">
        <v>0</v>
      </c>
      <c r="AY1829" s="1">
        <v>0</v>
      </c>
      <c r="AZ1829" s="1">
        <v>0</v>
      </c>
      <c r="BA1829" s="1">
        <v>0</v>
      </c>
      <c r="BB1829" s="1">
        <v>0</v>
      </c>
      <c r="BC1829" s="1">
        <v>0</v>
      </c>
      <c r="BD1829" s="1">
        <v>0</v>
      </c>
      <c r="BE1829" s="1">
        <v>0</v>
      </c>
      <c r="BF1829" s="1">
        <v>0</v>
      </c>
      <c r="BG1829" s="1">
        <v>1</v>
      </c>
      <c r="BH1829" s="1">
        <v>0</v>
      </c>
      <c r="BI1829" s="1">
        <v>0</v>
      </c>
      <c r="BJ1829" s="1">
        <v>0</v>
      </c>
      <c r="BK1829" s="1">
        <v>0</v>
      </c>
      <c r="BL1829" s="1">
        <v>0</v>
      </c>
      <c r="BM1829" s="1">
        <v>0</v>
      </c>
      <c r="BN1829" s="1">
        <v>0</v>
      </c>
      <c r="BO1829" s="1">
        <v>0</v>
      </c>
      <c r="BP1829" s="1">
        <v>1</v>
      </c>
      <c r="BQ1829" s="1" t="s">
        <v>104</v>
      </c>
      <c r="BR1829" s="1">
        <v>1928</v>
      </c>
      <c r="BS1829" s="1">
        <v>25</v>
      </c>
      <c r="BX1829" s="1">
        <v>0</v>
      </c>
      <c r="BY1829" s="1" t="s">
        <v>104</v>
      </c>
      <c r="BZ1829" s="1" t="s">
        <v>104</v>
      </c>
      <c r="CA1829" s="1" t="s">
        <v>104</v>
      </c>
      <c r="CB1829" s="1" t="s">
        <v>104</v>
      </c>
      <c r="CC1829" s="1" t="s">
        <v>104</v>
      </c>
      <c r="CD1829" s="1" t="s">
        <v>104</v>
      </c>
      <c r="CE1829" s="1" t="s">
        <v>104</v>
      </c>
      <c r="CF1829" s="1" t="s">
        <v>104</v>
      </c>
      <c r="CG1829" s="1" t="s">
        <v>104</v>
      </c>
      <c r="CH1829" s="1" t="s">
        <v>104</v>
      </c>
      <c r="CJ1829" s="1">
        <v>0</v>
      </c>
      <c r="CK1829" s="1">
        <v>0</v>
      </c>
      <c r="CL1829" s="1">
        <v>0</v>
      </c>
      <c r="CM1829" s="1" t="s">
        <v>104</v>
      </c>
    </row>
    <row r="1830" spans="1:91" ht="14.25" customHeight="1" x14ac:dyDescent="0.3">
      <c r="A1830" s="1" t="s">
        <v>9864</v>
      </c>
      <c r="B1830" s="1" t="s">
        <v>123</v>
      </c>
      <c r="C1830" s="1" t="s">
        <v>124</v>
      </c>
      <c r="D1830" s="1" t="s">
        <v>125</v>
      </c>
      <c r="E1830" s="1" t="s">
        <v>9865</v>
      </c>
      <c r="F1830" s="1" t="s">
        <v>95</v>
      </c>
      <c r="G1830" s="1" t="s">
        <v>116</v>
      </c>
      <c r="H1830" s="1">
        <v>0</v>
      </c>
      <c r="I1830" s="1" t="s">
        <v>157</v>
      </c>
      <c r="L1830" s="1" t="s">
        <v>158</v>
      </c>
      <c r="M1830" s="1" t="s">
        <v>7067</v>
      </c>
      <c r="N1830" s="1">
        <v>0</v>
      </c>
      <c r="O1830" s="1">
        <v>0</v>
      </c>
      <c r="R1830" s="1" t="s">
        <v>9866</v>
      </c>
      <c r="S1830" s="1" t="s">
        <v>9569</v>
      </c>
      <c r="T1830" s="1">
        <v>1</v>
      </c>
      <c r="U1830" s="1">
        <v>1</v>
      </c>
      <c r="V1830" s="1">
        <v>0</v>
      </c>
      <c r="W1830" s="1">
        <v>0</v>
      </c>
      <c r="X1830" s="1">
        <v>0</v>
      </c>
      <c r="Y1830" s="1">
        <v>2</v>
      </c>
      <c r="Z1830" s="1">
        <v>2</v>
      </c>
      <c r="AA1830" s="1" t="s">
        <v>104</v>
      </c>
      <c r="AB1830" s="1" t="s">
        <v>104</v>
      </c>
      <c r="AC1830" s="1" t="s">
        <v>104</v>
      </c>
      <c r="AD1830" s="1">
        <v>2</v>
      </c>
      <c r="AE1830" s="1" t="s">
        <v>104</v>
      </c>
      <c r="AF1830" s="1">
        <v>2</v>
      </c>
      <c r="AG1830" s="1" t="s">
        <v>104</v>
      </c>
      <c r="AH1830" s="1">
        <v>2</v>
      </c>
      <c r="AI1830" s="1" t="s">
        <v>104</v>
      </c>
      <c r="AJ1830" s="1" t="s">
        <v>104</v>
      </c>
      <c r="AK1830" s="1" t="s">
        <v>104</v>
      </c>
      <c r="AL1830" s="1" t="s">
        <v>104</v>
      </c>
      <c r="AM1830" s="1" t="s">
        <v>104</v>
      </c>
      <c r="AO1830" s="1">
        <v>2</v>
      </c>
      <c r="AQ1830" s="1" t="s">
        <v>9867</v>
      </c>
      <c r="AR1830" s="1">
        <v>0</v>
      </c>
      <c r="AS1830" s="1">
        <v>0</v>
      </c>
      <c r="AT1830" s="1">
        <v>0</v>
      </c>
      <c r="AU1830" s="1">
        <v>0</v>
      </c>
      <c r="AV1830" s="1">
        <v>0</v>
      </c>
      <c r="AW1830" s="1">
        <v>0</v>
      </c>
      <c r="AX1830" s="1">
        <v>0</v>
      </c>
      <c r="AY1830" s="1">
        <v>0</v>
      </c>
      <c r="AZ1830" s="1">
        <v>0</v>
      </c>
      <c r="BA1830" s="1">
        <v>0</v>
      </c>
      <c r="BB1830" s="1">
        <v>0</v>
      </c>
      <c r="BC1830" s="1">
        <v>0</v>
      </c>
      <c r="BD1830" s="1">
        <v>0</v>
      </c>
      <c r="BE1830" s="1">
        <v>0</v>
      </c>
      <c r="BF1830" s="1">
        <v>0</v>
      </c>
      <c r="BG1830" s="1">
        <v>0</v>
      </c>
      <c r="BH1830" s="1">
        <v>0</v>
      </c>
      <c r="BI1830" s="1">
        <v>0</v>
      </c>
      <c r="BJ1830" s="1">
        <v>0</v>
      </c>
      <c r="BK1830" s="1">
        <v>1</v>
      </c>
      <c r="BL1830" s="1">
        <v>0</v>
      </c>
      <c r="BM1830" s="1">
        <v>0</v>
      </c>
      <c r="BN1830" s="1">
        <v>0</v>
      </c>
      <c r="BO1830" s="1">
        <v>0</v>
      </c>
      <c r="BP1830" s="1">
        <v>0</v>
      </c>
      <c r="BQ1830" s="1" t="s">
        <v>104</v>
      </c>
      <c r="BR1830" s="1">
        <v>1929</v>
      </c>
      <c r="BS1830" s="1" t="s">
        <v>104</v>
      </c>
      <c r="BX1830" s="1">
        <v>0</v>
      </c>
      <c r="BY1830" s="1" t="s">
        <v>104</v>
      </c>
      <c r="BZ1830" s="1" t="s">
        <v>104</v>
      </c>
      <c r="CA1830" s="1">
        <v>2</v>
      </c>
      <c r="CB1830" s="1">
        <v>2</v>
      </c>
      <c r="CC1830" s="1">
        <v>2</v>
      </c>
      <c r="CD1830" s="1">
        <v>2</v>
      </c>
      <c r="CE1830" s="1" t="s">
        <v>104</v>
      </c>
      <c r="CF1830" s="1" t="s">
        <v>104</v>
      </c>
      <c r="CG1830" s="1" t="s">
        <v>104</v>
      </c>
      <c r="CH1830" s="1" t="s">
        <v>104</v>
      </c>
      <c r="CJ1830" s="1">
        <v>0</v>
      </c>
      <c r="CK1830" s="1">
        <v>0</v>
      </c>
      <c r="CL1830" s="1">
        <v>0</v>
      </c>
      <c r="CM1830" s="1" t="s">
        <v>104</v>
      </c>
    </row>
    <row r="1831" spans="1:91" ht="14.25" customHeight="1" x14ac:dyDescent="0.3">
      <c r="A1831" s="1" t="s">
        <v>9868</v>
      </c>
      <c r="B1831" s="1" t="s">
        <v>162</v>
      </c>
      <c r="E1831" s="1" t="s">
        <v>9869</v>
      </c>
      <c r="F1831" s="1" t="s">
        <v>95</v>
      </c>
      <c r="G1831" s="1" t="s">
        <v>164</v>
      </c>
      <c r="H1831" s="1">
        <v>0</v>
      </c>
      <c r="I1831" s="1" t="s">
        <v>117</v>
      </c>
      <c r="J1831" s="1" t="s">
        <v>165</v>
      </c>
      <c r="M1831" s="1" t="s">
        <v>4292</v>
      </c>
      <c r="N1831" s="1">
        <v>0</v>
      </c>
      <c r="O1831" s="1">
        <v>0</v>
      </c>
      <c r="P1831" s="1" t="s">
        <v>100</v>
      </c>
      <c r="Q1831" s="1" t="s">
        <v>101</v>
      </c>
      <c r="R1831" s="1" t="s">
        <v>9870</v>
      </c>
      <c r="S1831" s="1" t="s">
        <v>9569</v>
      </c>
      <c r="T1831" s="1">
        <v>1</v>
      </c>
      <c r="U1831" s="1">
        <v>1</v>
      </c>
      <c r="V1831" s="1">
        <v>0</v>
      </c>
      <c r="W1831" s="1">
        <v>0</v>
      </c>
      <c r="X1831" s="1">
        <v>1</v>
      </c>
      <c r="Y1831" s="1">
        <v>1</v>
      </c>
      <c r="Z1831" s="1">
        <v>1</v>
      </c>
      <c r="AA1831" s="1" t="s">
        <v>104</v>
      </c>
      <c r="AB1831" s="1" t="s">
        <v>104</v>
      </c>
      <c r="AC1831" s="1">
        <v>1</v>
      </c>
      <c r="AD1831" s="1">
        <v>1</v>
      </c>
      <c r="AE1831" s="1" t="s">
        <v>104</v>
      </c>
      <c r="AF1831" s="1">
        <v>1</v>
      </c>
      <c r="AG1831" s="1" t="s">
        <v>104</v>
      </c>
      <c r="AH1831" s="1" t="s">
        <v>104</v>
      </c>
      <c r="AI1831" s="1">
        <v>1</v>
      </c>
      <c r="AJ1831" s="1" t="s">
        <v>104</v>
      </c>
      <c r="AK1831" s="1" t="s">
        <v>104</v>
      </c>
      <c r="AL1831" s="1" t="s">
        <v>104</v>
      </c>
      <c r="AM1831" s="1" t="s">
        <v>104</v>
      </c>
      <c r="AO1831" s="1">
        <v>1</v>
      </c>
      <c r="AQ1831" s="1" t="s">
        <v>9871</v>
      </c>
      <c r="AR1831" s="1">
        <v>0</v>
      </c>
      <c r="AS1831" s="1">
        <v>0</v>
      </c>
      <c r="AT1831" s="1">
        <v>0</v>
      </c>
      <c r="AU1831" s="1">
        <v>0</v>
      </c>
      <c r="AV1831" s="1">
        <v>0</v>
      </c>
      <c r="AW1831" s="1">
        <v>0</v>
      </c>
      <c r="AX1831" s="1">
        <v>0</v>
      </c>
      <c r="AY1831" s="1">
        <v>0</v>
      </c>
      <c r="AZ1831" s="1">
        <v>0</v>
      </c>
      <c r="BA1831" s="1">
        <v>0</v>
      </c>
      <c r="BB1831" s="1">
        <v>0</v>
      </c>
      <c r="BC1831" s="1">
        <v>0</v>
      </c>
      <c r="BD1831" s="1">
        <v>0</v>
      </c>
      <c r="BE1831" s="1">
        <v>0</v>
      </c>
      <c r="BF1831" s="1">
        <v>0</v>
      </c>
      <c r="BG1831" s="1">
        <v>0</v>
      </c>
      <c r="BH1831" s="1">
        <v>0</v>
      </c>
      <c r="BI1831" s="1">
        <v>0</v>
      </c>
      <c r="BJ1831" s="1">
        <v>0</v>
      </c>
      <c r="BK1831" s="1">
        <v>0</v>
      </c>
      <c r="BL1831" s="1">
        <v>0</v>
      </c>
      <c r="BM1831" s="1">
        <v>0</v>
      </c>
      <c r="BN1831" s="1">
        <v>0</v>
      </c>
      <c r="BO1831" s="1">
        <v>0</v>
      </c>
      <c r="BP1831" s="1">
        <v>0</v>
      </c>
      <c r="BQ1831" s="1" t="s">
        <v>104</v>
      </c>
      <c r="BR1831" s="1">
        <v>1930</v>
      </c>
      <c r="BS1831" s="1" t="s">
        <v>104</v>
      </c>
      <c r="BX1831" s="1">
        <v>0</v>
      </c>
      <c r="BY1831" s="1" t="s">
        <v>104</v>
      </c>
      <c r="BZ1831" s="1" t="s">
        <v>104</v>
      </c>
      <c r="CA1831" s="1">
        <v>1</v>
      </c>
      <c r="CB1831" s="1" t="s">
        <v>104</v>
      </c>
      <c r="CC1831" s="1" t="s">
        <v>104</v>
      </c>
      <c r="CD1831" s="1" t="s">
        <v>104</v>
      </c>
      <c r="CE1831" s="1" t="s">
        <v>104</v>
      </c>
      <c r="CF1831" s="1" t="s">
        <v>104</v>
      </c>
      <c r="CG1831" s="1" t="s">
        <v>104</v>
      </c>
      <c r="CH1831" s="1">
        <v>1</v>
      </c>
      <c r="CJ1831" s="1">
        <v>0</v>
      </c>
      <c r="CK1831" s="1">
        <v>0</v>
      </c>
      <c r="CL1831" s="1">
        <v>0</v>
      </c>
      <c r="CM1831" s="1" t="s">
        <v>104</v>
      </c>
    </row>
    <row r="1832" spans="1:91" ht="14.25" customHeight="1" x14ac:dyDescent="0.3">
      <c r="A1832" s="1" t="s">
        <v>9872</v>
      </c>
      <c r="B1832" s="1" t="s">
        <v>216</v>
      </c>
      <c r="E1832" s="1" t="s">
        <v>9873</v>
      </c>
      <c r="F1832" s="1" t="s">
        <v>95</v>
      </c>
      <c r="G1832" s="1" t="s">
        <v>9874</v>
      </c>
      <c r="H1832" s="1">
        <v>0</v>
      </c>
      <c r="I1832" s="1" t="s">
        <v>117</v>
      </c>
      <c r="L1832" s="1" t="s">
        <v>9875</v>
      </c>
      <c r="M1832" s="1" t="s">
        <v>2330</v>
      </c>
      <c r="N1832" s="1">
        <v>0</v>
      </c>
      <c r="O1832" s="1">
        <v>0</v>
      </c>
      <c r="P1832" s="1" t="s">
        <v>375</v>
      </c>
      <c r="Q1832" s="1" t="s">
        <v>184</v>
      </c>
      <c r="R1832" s="1" t="s">
        <v>9876</v>
      </c>
      <c r="S1832" s="1" t="s">
        <v>9569</v>
      </c>
      <c r="T1832" s="1">
        <v>1</v>
      </c>
      <c r="U1832" s="1">
        <v>1</v>
      </c>
      <c r="V1832" s="1">
        <v>1</v>
      </c>
      <c r="W1832" s="1">
        <v>0</v>
      </c>
      <c r="X1832" s="1">
        <v>1</v>
      </c>
      <c r="Y1832" s="1">
        <v>2</v>
      </c>
      <c r="Z1832" s="1">
        <v>2</v>
      </c>
      <c r="AA1832" s="1">
        <v>2</v>
      </c>
      <c r="AB1832" s="1" t="s">
        <v>104</v>
      </c>
      <c r="AC1832" s="1" t="s">
        <v>104</v>
      </c>
      <c r="AD1832" s="1" t="s">
        <v>104</v>
      </c>
      <c r="AE1832" s="1" t="s">
        <v>104</v>
      </c>
      <c r="AF1832" s="1" t="s">
        <v>104</v>
      </c>
      <c r="AG1832" s="1" t="s">
        <v>104</v>
      </c>
      <c r="AH1832" s="1">
        <v>2</v>
      </c>
      <c r="AI1832" s="1" t="s">
        <v>104</v>
      </c>
      <c r="AJ1832" s="1">
        <v>2</v>
      </c>
      <c r="AK1832" s="1" t="s">
        <v>104</v>
      </c>
      <c r="AL1832" s="1" t="s">
        <v>104</v>
      </c>
      <c r="AM1832" s="1" t="s">
        <v>104</v>
      </c>
      <c r="AO1832" s="1">
        <v>2</v>
      </c>
      <c r="AQ1832" s="1" t="s">
        <v>9877</v>
      </c>
      <c r="AR1832" s="1">
        <v>0</v>
      </c>
      <c r="AS1832" s="1">
        <v>0</v>
      </c>
      <c r="AT1832" s="1">
        <v>0</v>
      </c>
      <c r="AU1832" s="1">
        <v>0</v>
      </c>
      <c r="AV1832" s="1">
        <v>0</v>
      </c>
      <c r="AW1832" s="1">
        <v>0</v>
      </c>
      <c r="AX1832" s="1">
        <v>0</v>
      </c>
      <c r="AY1832" s="1">
        <v>0</v>
      </c>
      <c r="AZ1832" s="1">
        <v>0</v>
      </c>
      <c r="BA1832" s="1">
        <v>0</v>
      </c>
      <c r="BB1832" s="1">
        <v>0</v>
      </c>
      <c r="BC1832" s="1">
        <v>0</v>
      </c>
      <c r="BD1832" s="1">
        <v>0</v>
      </c>
      <c r="BE1832" s="1">
        <v>0</v>
      </c>
      <c r="BF1832" s="1">
        <v>0</v>
      </c>
      <c r="BG1832" s="1">
        <v>0</v>
      </c>
      <c r="BH1832" s="1">
        <v>0</v>
      </c>
      <c r="BI1832" s="1">
        <v>0</v>
      </c>
      <c r="BJ1832" s="1">
        <v>0</v>
      </c>
      <c r="BK1832" s="1">
        <v>0</v>
      </c>
      <c r="BL1832" s="1">
        <v>0</v>
      </c>
      <c r="BM1832" s="1">
        <v>0</v>
      </c>
      <c r="BN1832" s="1">
        <v>0</v>
      </c>
      <c r="BO1832" s="1">
        <v>0</v>
      </c>
      <c r="BP1832" s="1">
        <v>0</v>
      </c>
      <c r="BQ1832" s="1" t="s">
        <v>104</v>
      </c>
      <c r="BR1832" s="1">
        <v>1931</v>
      </c>
      <c r="BS1832" s="1" t="s">
        <v>104</v>
      </c>
      <c r="BX1832" s="1">
        <v>0</v>
      </c>
      <c r="BY1832" s="1" t="s">
        <v>104</v>
      </c>
      <c r="BZ1832" s="1">
        <v>2</v>
      </c>
      <c r="CA1832" s="1">
        <v>2</v>
      </c>
      <c r="CB1832" s="1" t="s">
        <v>104</v>
      </c>
      <c r="CC1832" s="1" t="s">
        <v>104</v>
      </c>
      <c r="CD1832" s="1" t="s">
        <v>104</v>
      </c>
      <c r="CE1832" s="1">
        <v>2</v>
      </c>
      <c r="CF1832" s="1" t="s">
        <v>104</v>
      </c>
      <c r="CG1832" s="1" t="s">
        <v>104</v>
      </c>
      <c r="CH1832" s="1" t="s">
        <v>104</v>
      </c>
      <c r="CJ1832" s="1">
        <v>0</v>
      </c>
      <c r="CK1832" s="1">
        <v>0</v>
      </c>
      <c r="CL1832" s="1">
        <v>0</v>
      </c>
      <c r="CM1832" s="1" t="s">
        <v>104</v>
      </c>
    </row>
    <row r="1833" spans="1:91" ht="14.25" customHeight="1" x14ac:dyDescent="0.3">
      <c r="A1833" s="1" t="s">
        <v>9878</v>
      </c>
      <c r="B1833" s="1" t="s">
        <v>162</v>
      </c>
      <c r="E1833" s="1" t="s">
        <v>9879</v>
      </c>
      <c r="F1833" s="1" t="s">
        <v>95</v>
      </c>
      <c r="G1833" s="1" t="s">
        <v>116</v>
      </c>
      <c r="H1833" s="1">
        <v>0</v>
      </c>
      <c r="I1833" s="1" t="s">
        <v>4220</v>
      </c>
      <c r="J1833" s="1" t="s">
        <v>9880</v>
      </c>
      <c r="M1833" s="1" t="s">
        <v>111</v>
      </c>
      <c r="N1833" s="1">
        <v>0</v>
      </c>
      <c r="O1833" s="1">
        <v>0</v>
      </c>
      <c r="P1833" s="1" t="s">
        <v>100</v>
      </c>
      <c r="Q1833" s="1" t="s">
        <v>101</v>
      </c>
      <c r="R1833" s="1" t="s">
        <v>9881</v>
      </c>
      <c r="S1833" s="1" t="s">
        <v>9569</v>
      </c>
      <c r="T1833" s="1">
        <v>1</v>
      </c>
      <c r="U1833" s="1">
        <v>1</v>
      </c>
      <c r="V1833" s="1">
        <v>0</v>
      </c>
      <c r="W1833" s="1">
        <v>0</v>
      </c>
      <c r="X1833" s="1">
        <v>0</v>
      </c>
      <c r="Y1833" s="1">
        <v>1</v>
      </c>
      <c r="Z1833" s="1">
        <v>1</v>
      </c>
      <c r="AA1833" s="1" t="s">
        <v>104</v>
      </c>
      <c r="AB1833" s="1" t="s">
        <v>104</v>
      </c>
      <c r="AC1833" s="1" t="s">
        <v>104</v>
      </c>
      <c r="AD1833" s="1" t="s">
        <v>104</v>
      </c>
      <c r="AE1833" s="1" t="s">
        <v>104</v>
      </c>
      <c r="AF1833" s="1" t="s">
        <v>104</v>
      </c>
      <c r="AG1833" s="1" t="s">
        <v>104</v>
      </c>
      <c r="AH1833" s="1" t="s">
        <v>104</v>
      </c>
      <c r="AI1833" s="1" t="s">
        <v>104</v>
      </c>
      <c r="AJ1833" s="1" t="s">
        <v>104</v>
      </c>
      <c r="AK1833" s="1" t="s">
        <v>104</v>
      </c>
      <c r="AL1833" s="1">
        <v>1</v>
      </c>
      <c r="AM1833" s="1" t="s">
        <v>104</v>
      </c>
      <c r="AO1833" s="1">
        <v>1</v>
      </c>
      <c r="AQ1833" s="1" t="s">
        <v>9882</v>
      </c>
      <c r="AR1833" s="1">
        <v>0</v>
      </c>
      <c r="AS1833" s="1">
        <v>0</v>
      </c>
      <c r="AT1833" s="1">
        <v>0</v>
      </c>
      <c r="AU1833" s="1">
        <v>0</v>
      </c>
      <c r="AV1833" s="1">
        <v>0</v>
      </c>
      <c r="AW1833" s="1">
        <v>0</v>
      </c>
      <c r="AX1833" s="1">
        <v>0</v>
      </c>
      <c r="AY1833" s="1">
        <v>0</v>
      </c>
      <c r="AZ1833" s="1">
        <v>0</v>
      </c>
      <c r="BA1833" s="1">
        <v>0</v>
      </c>
      <c r="BB1833" s="1">
        <v>0</v>
      </c>
      <c r="BC1833" s="1">
        <v>0</v>
      </c>
      <c r="BD1833" s="1">
        <v>0</v>
      </c>
      <c r="BE1833" s="1">
        <v>0</v>
      </c>
      <c r="BF1833" s="1">
        <v>0</v>
      </c>
      <c r="BG1833" s="1">
        <v>0</v>
      </c>
      <c r="BH1833" s="1">
        <v>0</v>
      </c>
      <c r="BI1833" s="1">
        <v>0</v>
      </c>
      <c r="BJ1833" s="1">
        <v>0</v>
      </c>
      <c r="BK1833" s="1">
        <v>0</v>
      </c>
      <c r="BL1833" s="1">
        <v>0</v>
      </c>
      <c r="BM1833" s="1">
        <v>0</v>
      </c>
      <c r="BN1833" s="1">
        <v>0</v>
      </c>
      <c r="BO1833" s="1">
        <v>0</v>
      </c>
      <c r="BP1833" s="1">
        <v>0</v>
      </c>
      <c r="BQ1833" s="1" t="s">
        <v>104</v>
      </c>
      <c r="BR1833" s="1">
        <v>1932</v>
      </c>
      <c r="BS1833" s="1" t="s">
        <v>104</v>
      </c>
      <c r="BX1833" s="1">
        <v>0</v>
      </c>
      <c r="BY1833" s="1">
        <v>1</v>
      </c>
      <c r="BZ1833" s="1" t="s">
        <v>104</v>
      </c>
      <c r="CA1833" s="1" t="s">
        <v>104</v>
      </c>
      <c r="CB1833" s="1" t="s">
        <v>104</v>
      </c>
      <c r="CC1833" s="1" t="s">
        <v>104</v>
      </c>
      <c r="CD1833" s="1" t="s">
        <v>104</v>
      </c>
      <c r="CE1833" s="1" t="s">
        <v>104</v>
      </c>
      <c r="CF1833" s="1" t="s">
        <v>104</v>
      </c>
      <c r="CG1833" s="1" t="s">
        <v>104</v>
      </c>
      <c r="CH1833" s="1" t="s">
        <v>104</v>
      </c>
      <c r="CJ1833" s="1">
        <v>0</v>
      </c>
      <c r="CK1833" s="1">
        <v>0</v>
      </c>
      <c r="CL1833" s="1">
        <v>0</v>
      </c>
      <c r="CM1833" s="1" t="s">
        <v>104</v>
      </c>
    </row>
    <row r="1834" spans="1:91" ht="14.25" customHeight="1" x14ac:dyDescent="0.3">
      <c r="A1834" s="1" t="s">
        <v>9883</v>
      </c>
      <c r="B1834" s="1" t="s">
        <v>137</v>
      </c>
      <c r="E1834" s="1" t="s">
        <v>9884</v>
      </c>
      <c r="F1834" s="1" t="s">
        <v>95</v>
      </c>
      <c r="G1834" s="1" t="s">
        <v>116</v>
      </c>
      <c r="H1834" s="1">
        <v>0</v>
      </c>
      <c r="I1834" s="1" t="s">
        <v>157</v>
      </c>
      <c r="L1834" s="1" t="s">
        <v>158</v>
      </c>
      <c r="M1834" s="1" t="s">
        <v>4641</v>
      </c>
      <c r="N1834" s="1">
        <v>1</v>
      </c>
      <c r="O1834" s="1">
        <v>0</v>
      </c>
      <c r="R1834" s="1" t="s">
        <v>9885</v>
      </c>
      <c r="S1834" s="1" t="s">
        <v>9569</v>
      </c>
      <c r="T1834" s="1">
        <v>1</v>
      </c>
      <c r="U1834" s="1">
        <v>1</v>
      </c>
      <c r="V1834" s="1">
        <v>0</v>
      </c>
      <c r="W1834" s="1">
        <v>0</v>
      </c>
      <c r="X1834" s="1">
        <v>0</v>
      </c>
      <c r="Y1834" s="1">
        <v>1</v>
      </c>
      <c r="Z1834" s="1">
        <v>1</v>
      </c>
      <c r="AA1834" s="1" t="s">
        <v>104</v>
      </c>
      <c r="AB1834" s="1" t="s">
        <v>104</v>
      </c>
      <c r="AC1834" s="1" t="s">
        <v>104</v>
      </c>
      <c r="AD1834" s="1" t="s">
        <v>104</v>
      </c>
      <c r="AE1834" s="1" t="s">
        <v>104</v>
      </c>
      <c r="AF1834" s="1">
        <v>1</v>
      </c>
      <c r="AG1834" s="1">
        <v>1</v>
      </c>
      <c r="AH1834" s="1">
        <v>1</v>
      </c>
      <c r="AI1834" s="1" t="s">
        <v>104</v>
      </c>
      <c r="AJ1834" s="1" t="s">
        <v>104</v>
      </c>
      <c r="AK1834" s="1" t="s">
        <v>104</v>
      </c>
      <c r="AL1834" s="1">
        <v>1</v>
      </c>
      <c r="AM1834" s="1" t="s">
        <v>104</v>
      </c>
      <c r="AO1834" s="1">
        <v>1</v>
      </c>
      <c r="AQ1834" s="1" t="s">
        <v>9886</v>
      </c>
      <c r="AR1834" s="1">
        <v>0</v>
      </c>
      <c r="AS1834" s="1">
        <v>0</v>
      </c>
      <c r="AT1834" s="1">
        <v>0</v>
      </c>
      <c r="AU1834" s="1">
        <v>0</v>
      </c>
      <c r="AV1834" s="1">
        <v>0</v>
      </c>
      <c r="AW1834" s="1">
        <v>0</v>
      </c>
      <c r="AX1834" s="1">
        <v>0</v>
      </c>
      <c r="AY1834" s="1">
        <v>0</v>
      </c>
      <c r="AZ1834" s="1">
        <v>0</v>
      </c>
      <c r="BA1834" s="1">
        <v>0</v>
      </c>
      <c r="BB1834" s="1">
        <v>0</v>
      </c>
      <c r="BC1834" s="1">
        <v>0</v>
      </c>
      <c r="BD1834" s="1">
        <v>0</v>
      </c>
      <c r="BE1834" s="1">
        <v>0</v>
      </c>
      <c r="BF1834" s="1">
        <v>0</v>
      </c>
      <c r="BG1834" s="1">
        <v>0</v>
      </c>
      <c r="BH1834" s="1">
        <v>0</v>
      </c>
      <c r="BI1834" s="1">
        <v>0</v>
      </c>
      <c r="BJ1834" s="1">
        <v>0</v>
      </c>
      <c r="BK1834" s="1">
        <v>0</v>
      </c>
      <c r="BL1834" s="1">
        <v>0</v>
      </c>
      <c r="BM1834" s="1">
        <v>0</v>
      </c>
      <c r="BN1834" s="1">
        <v>0</v>
      </c>
      <c r="BO1834" s="1">
        <v>0</v>
      </c>
      <c r="BP1834" s="1">
        <v>0</v>
      </c>
      <c r="BQ1834" s="1" t="s">
        <v>104</v>
      </c>
      <c r="BR1834" s="1">
        <v>1933</v>
      </c>
      <c r="BS1834" s="1" t="s">
        <v>104</v>
      </c>
      <c r="BX1834" s="1">
        <v>0</v>
      </c>
      <c r="BY1834" s="1">
        <v>1</v>
      </c>
      <c r="BZ1834" s="1" t="s">
        <v>104</v>
      </c>
      <c r="CA1834" s="1">
        <v>1</v>
      </c>
      <c r="CB1834" s="1">
        <v>1</v>
      </c>
      <c r="CC1834" s="1" t="s">
        <v>104</v>
      </c>
      <c r="CD1834" s="1" t="s">
        <v>104</v>
      </c>
      <c r="CE1834" s="1" t="s">
        <v>104</v>
      </c>
      <c r="CF1834" s="1" t="s">
        <v>104</v>
      </c>
      <c r="CG1834" s="1" t="s">
        <v>104</v>
      </c>
      <c r="CH1834" s="1" t="s">
        <v>104</v>
      </c>
      <c r="CJ1834" s="1">
        <v>0</v>
      </c>
      <c r="CK1834" s="1">
        <v>0</v>
      </c>
      <c r="CL1834" s="1">
        <v>0</v>
      </c>
      <c r="CM1834" s="1">
        <v>1</v>
      </c>
    </row>
    <row r="1835" spans="1:91" ht="14.25" customHeight="1" x14ac:dyDescent="0.3">
      <c r="A1835" s="1" t="s">
        <v>9887</v>
      </c>
      <c r="B1835" s="1" t="s">
        <v>137</v>
      </c>
      <c r="E1835" s="1" t="s">
        <v>1170</v>
      </c>
      <c r="F1835" s="1" t="s">
        <v>95</v>
      </c>
      <c r="G1835" s="1" t="s">
        <v>2306</v>
      </c>
      <c r="H1835" s="1">
        <v>0</v>
      </c>
      <c r="I1835" s="1" t="s">
        <v>157</v>
      </c>
      <c r="L1835" s="1" t="s">
        <v>158</v>
      </c>
      <c r="M1835" s="1" t="s">
        <v>620</v>
      </c>
      <c r="N1835" s="1">
        <v>1</v>
      </c>
      <c r="O1835" s="1">
        <v>0</v>
      </c>
      <c r="R1835" s="1" t="s">
        <v>9888</v>
      </c>
      <c r="S1835" s="1" t="s">
        <v>9569</v>
      </c>
      <c r="T1835" s="1">
        <v>1</v>
      </c>
      <c r="U1835" s="1">
        <v>1</v>
      </c>
      <c r="V1835" s="1">
        <v>1</v>
      </c>
      <c r="W1835" s="1">
        <v>0</v>
      </c>
      <c r="X1835" s="1">
        <v>0</v>
      </c>
      <c r="Y1835" s="1" t="s">
        <v>104</v>
      </c>
      <c r="Z1835" s="1" t="s">
        <v>104</v>
      </c>
      <c r="AA1835" s="1" t="s">
        <v>104</v>
      </c>
      <c r="AB1835" s="1">
        <v>3</v>
      </c>
      <c r="AC1835" s="1">
        <v>3</v>
      </c>
      <c r="AD1835" s="1" t="s">
        <v>104</v>
      </c>
      <c r="AE1835" s="1" t="s">
        <v>104</v>
      </c>
      <c r="AF1835" s="1" t="s">
        <v>104</v>
      </c>
      <c r="AG1835" s="1" t="s">
        <v>104</v>
      </c>
      <c r="AH1835" s="1" t="s">
        <v>104</v>
      </c>
      <c r="AI1835" s="1" t="s">
        <v>104</v>
      </c>
      <c r="AJ1835" s="1" t="s">
        <v>104</v>
      </c>
      <c r="AK1835" s="1" t="s">
        <v>104</v>
      </c>
      <c r="AL1835" s="1" t="s">
        <v>104</v>
      </c>
      <c r="AM1835" s="1" t="s">
        <v>104</v>
      </c>
      <c r="AO1835" s="1">
        <v>3</v>
      </c>
      <c r="AQ1835" s="1" t="s">
        <v>9889</v>
      </c>
      <c r="AR1835" s="1">
        <v>0</v>
      </c>
      <c r="AS1835" s="1">
        <v>0</v>
      </c>
      <c r="AT1835" s="1">
        <v>0</v>
      </c>
      <c r="AU1835" s="1">
        <v>0</v>
      </c>
      <c r="AV1835" s="1">
        <v>0</v>
      </c>
      <c r="AW1835" s="1">
        <v>0</v>
      </c>
      <c r="AX1835" s="1">
        <v>0</v>
      </c>
      <c r="AY1835" s="1">
        <v>0</v>
      </c>
      <c r="AZ1835" s="1">
        <v>0</v>
      </c>
      <c r="BA1835" s="1">
        <v>0</v>
      </c>
      <c r="BB1835" s="1">
        <v>0</v>
      </c>
      <c r="BC1835" s="1">
        <v>0</v>
      </c>
      <c r="BD1835" s="1">
        <v>0</v>
      </c>
      <c r="BE1835" s="1">
        <v>0</v>
      </c>
      <c r="BF1835" s="1">
        <v>0</v>
      </c>
      <c r="BG1835" s="1">
        <v>0</v>
      </c>
      <c r="BH1835" s="1">
        <v>0</v>
      </c>
      <c r="BI1835" s="1">
        <v>0</v>
      </c>
      <c r="BJ1835" s="1">
        <v>0</v>
      </c>
      <c r="BK1835" s="1">
        <v>0</v>
      </c>
      <c r="BL1835" s="1">
        <v>0</v>
      </c>
      <c r="BM1835" s="1">
        <v>0</v>
      </c>
      <c r="BN1835" s="1">
        <v>0</v>
      </c>
      <c r="BO1835" s="1">
        <v>0</v>
      </c>
      <c r="BP1835" s="1">
        <v>0</v>
      </c>
      <c r="BQ1835" s="1" t="s">
        <v>104</v>
      </c>
      <c r="BR1835" s="1">
        <v>1934</v>
      </c>
      <c r="BS1835" s="1" t="s">
        <v>104</v>
      </c>
      <c r="BX1835" s="1">
        <v>0</v>
      </c>
      <c r="BY1835" s="1" t="s">
        <v>104</v>
      </c>
      <c r="BZ1835" s="1" t="s">
        <v>104</v>
      </c>
      <c r="CA1835" s="1" t="s">
        <v>104</v>
      </c>
      <c r="CB1835" s="1" t="s">
        <v>104</v>
      </c>
      <c r="CC1835" s="1" t="s">
        <v>104</v>
      </c>
      <c r="CD1835" s="1" t="s">
        <v>104</v>
      </c>
      <c r="CE1835" s="1" t="s">
        <v>104</v>
      </c>
      <c r="CF1835" s="1" t="s">
        <v>104</v>
      </c>
      <c r="CG1835" s="1" t="s">
        <v>104</v>
      </c>
      <c r="CH1835" s="1">
        <v>3</v>
      </c>
      <c r="CJ1835" s="1">
        <v>0</v>
      </c>
      <c r="CK1835" s="1">
        <v>0</v>
      </c>
      <c r="CL1835" s="1">
        <v>0</v>
      </c>
      <c r="CM1835" s="1" t="s">
        <v>104</v>
      </c>
    </row>
    <row r="1836" spans="1:91" ht="14.25" customHeight="1" x14ac:dyDescent="0.3">
      <c r="A1836" s="1" t="s">
        <v>9890</v>
      </c>
      <c r="B1836" s="1" t="s">
        <v>137</v>
      </c>
      <c r="D1836" s="1" t="s">
        <v>66</v>
      </c>
      <c r="E1836" s="1" t="s">
        <v>3789</v>
      </c>
      <c r="F1836" s="1" t="s">
        <v>287</v>
      </c>
      <c r="G1836" s="1" t="s">
        <v>116</v>
      </c>
      <c r="H1836" s="1">
        <v>0</v>
      </c>
      <c r="I1836" s="1" t="s">
        <v>128</v>
      </c>
      <c r="L1836" s="1" t="s">
        <v>9891</v>
      </c>
      <c r="M1836" s="1" t="s">
        <v>111</v>
      </c>
      <c r="N1836" s="1">
        <v>0</v>
      </c>
      <c r="O1836" s="1">
        <v>0</v>
      </c>
      <c r="P1836" s="1" t="s">
        <v>7210</v>
      </c>
      <c r="Q1836" s="1" t="s">
        <v>184</v>
      </c>
      <c r="R1836" s="1" t="s">
        <v>9892</v>
      </c>
      <c r="S1836" s="1" t="s">
        <v>9569</v>
      </c>
      <c r="T1836" s="1">
        <v>1</v>
      </c>
      <c r="U1836" s="1">
        <v>1</v>
      </c>
      <c r="V1836" s="1">
        <v>0</v>
      </c>
      <c r="W1836" s="1">
        <v>0</v>
      </c>
      <c r="X1836" s="1">
        <v>0</v>
      </c>
      <c r="Y1836" s="1" t="s">
        <v>104</v>
      </c>
      <c r="Z1836" s="1" t="s">
        <v>104</v>
      </c>
      <c r="AA1836" s="1" t="s">
        <v>104</v>
      </c>
      <c r="AB1836" s="1" t="s">
        <v>104</v>
      </c>
      <c r="AC1836" s="1" t="s">
        <v>104</v>
      </c>
      <c r="AD1836" s="1">
        <v>6</v>
      </c>
      <c r="AE1836" s="1" t="s">
        <v>104</v>
      </c>
      <c r="AF1836" s="1" t="s">
        <v>104</v>
      </c>
      <c r="AG1836" s="1" t="s">
        <v>104</v>
      </c>
      <c r="AH1836" s="1" t="s">
        <v>104</v>
      </c>
      <c r="AI1836" s="1" t="s">
        <v>104</v>
      </c>
      <c r="AJ1836" s="1" t="s">
        <v>104</v>
      </c>
      <c r="AK1836" s="1" t="s">
        <v>104</v>
      </c>
      <c r="AL1836" s="1" t="s">
        <v>104</v>
      </c>
      <c r="AM1836" s="1" t="s">
        <v>104</v>
      </c>
      <c r="AO1836" s="1">
        <v>6</v>
      </c>
      <c r="AQ1836" s="1" t="s">
        <v>9893</v>
      </c>
      <c r="AR1836" s="1">
        <v>0</v>
      </c>
      <c r="AS1836" s="1">
        <v>0</v>
      </c>
      <c r="AT1836" s="1">
        <v>0</v>
      </c>
      <c r="AU1836" s="1">
        <v>0</v>
      </c>
      <c r="AV1836" s="1">
        <v>0</v>
      </c>
      <c r="AW1836" s="1">
        <v>0</v>
      </c>
      <c r="AX1836" s="1">
        <v>0</v>
      </c>
      <c r="AY1836" s="1">
        <v>0</v>
      </c>
      <c r="AZ1836" s="1">
        <v>0</v>
      </c>
      <c r="BA1836" s="1">
        <v>0</v>
      </c>
      <c r="BB1836" s="1">
        <v>0</v>
      </c>
      <c r="BC1836" s="1">
        <v>0</v>
      </c>
      <c r="BD1836" s="1">
        <v>0</v>
      </c>
      <c r="BE1836" s="1">
        <v>0</v>
      </c>
      <c r="BF1836" s="1">
        <v>0</v>
      </c>
      <c r="BG1836" s="1">
        <v>0</v>
      </c>
      <c r="BH1836" s="1">
        <v>0</v>
      </c>
      <c r="BI1836" s="1">
        <v>0</v>
      </c>
      <c r="BJ1836" s="1">
        <v>0</v>
      </c>
      <c r="BK1836" s="1">
        <v>0</v>
      </c>
      <c r="BL1836" s="1">
        <v>0</v>
      </c>
      <c r="BM1836" s="1">
        <v>0</v>
      </c>
      <c r="BN1836" s="1">
        <v>0</v>
      </c>
      <c r="BO1836" s="1">
        <v>1</v>
      </c>
      <c r="BP1836" s="1">
        <v>0</v>
      </c>
      <c r="BQ1836" s="1" t="s">
        <v>104</v>
      </c>
      <c r="BR1836" s="1">
        <v>1935</v>
      </c>
      <c r="BS1836" s="1" t="s">
        <v>104</v>
      </c>
      <c r="BX1836" s="1">
        <v>0</v>
      </c>
      <c r="BY1836" s="1" t="s">
        <v>104</v>
      </c>
      <c r="BZ1836" s="1" t="s">
        <v>104</v>
      </c>
      <c r="CA1836" s="1" t="s">
        <v>104</v>
      </c>
      <c r="CB1836" s="1" t="s">
        <v>104</v>
      </c>
      <c r="CC1836" s="1" t="s">
        <v>104</v>
      </c>
      <c r="CD1836" s="1" t="s">
        <v>104</v>
      </c>
      <c r="CE1836" s="1" t="s">
        <v>104</v>
      </c>
      <c r="CF1836" s="1" t="s">
        <v>104</v>
      </c>
      <c r="CG1836" s="1" t="s">
        <v>104</v>
      </c>
      <c r="CH1836" s="1" t="s">
        <v>104</v>
      </c>
      <c r="CJ1836" s="1">
        <v>0</v>
      </c>
      <c r="CK1836" s="1">
        <v>0</v>
      </c>
      <c r="CL1836" s="1">
        <v>0</v>
      </c>
      <c r="CM1836" s="1" t="s">
        <v>104</v>
      </c>
    </row>
    <row r="1837" spans="1:91" ht="14.25" customHeight="1" x14ac:dyDescent="0.3">
      <c r="A1837" s="1" t="s">
        <v>9894</v>
      </c>
      <c r="B1837" s="1" t="s">
        <v>123</v>
      </c>
      <c r="C1837" s="1" t="s">
        <v>124</v>
      </c>
      <c r="D1837" s="1" t="s">
        <v>6034</v>
      </c>
      <c r="E1837" s="1" t="s">
        <v>9895</v>
      </c>
      <c r="F1837" s="1" t="s">
        <v>95</v>
      </c>
      <c r="G1837" s="1" t="s">
        <v>127</v>
      </c>
      <c r="H1837" s="1">
        <v>0</v>
      </c>
      <c r="I1837" s="1" t="s">
        <v>157</v>
      </c>
      <c r="L1837" s="1" t="s">
        <v>158</v>
      </c>
      <c r="M1837" s="1" t="s">
        <v>426</v>
      </c>
      <c r="N1837" s="1">
        <v>1</v>
      </c>
      <c r="O1837" s="1">
        <v>0</v>
      </c>
      <c r="P1837" s="1" t="s">
        <v>9896</v>
      </c>
      <c r="Q1837" s="1" t="s">
        <v>9897</v>
      </c>
      <c r="R1837" s="1" t="s">
        <v>9898</v>
      </c>
      <c r="S1837" s="1" t="s">
        <v>9569</v>
      </c>
      <c r="T1837" s="1">
        <v>1</v>
      </c>
      <c r="U1837" s="1">
        <v>1</v>
      </c>
      <c r="V1837" s="1">
        <v>0</v>
      </c>
      <c r="W1837" s="1">
        <v>0</v>
      </c>
      <c r="X1837" s="1">
        <v>1</v>
      </c>
      <c r="Y1837" s="1" t="s">
        <v>104</v>
      </c>
      <c r="Z1837" s="1" t="s">
        <v>104</v>
      </c>
      <c r="AA1837" s="1">
        <v>3</v>
      </c>
      <c r="AB1837" s="1" t="s">
        <v>104</v>
      </c>
      <c r="AC1837" s="1" t="s">
        <v>104</v>
      </c>
      <c r="AD1837" s="1" t="s">
        <v>104</v>
      </c>
      <c r="AE1837" s="1">
        <v>3</v>
      </c>
      <c r="AF1837" s="1" t="s">
        <v>104</v>
      </c>
      <c r="AG1837" s="1" t="s">
        <v>104</v>
      </c>
      <c r="AH1837" s="1" t="s">
        <v>104</v>
      </c>
      <c r="AI1837" s="1">
        <v>3</v>
      </c>
      <c r="AJ1837" s="1">
        <v>3</v>
      </c>
      <c r="AK1837" s="1" t="s">
        <v>104</v>
      </c>
      <c r="AL1837" s="1" t="s">
        <v>104</v>
      </c>
      <c r="AM1837" s="1" t="s">
        <v>104</v>
      </c>
      <c r="AO1837" s="1">
        <v>3</v>
      </c>
      <c r="AQ1837" s="1" t="s">
        <v>9899</v>
      </c>
      <c r="AR1837" s="1">
        <v>0</v>
      </c>
      <c r="AS1837" s="1">
        <v>0</v>
      </c>
      <c r="AT1837" s="1">
        <v>0</v>
      </c>
      <c r="AU1837" s="1">
        <v>0</v>
      </c>
      <c r="AV1837" s="1">
        <v>0</v>
      </c>
      <c r="AW1837" s="1">
        <v>0</v>
      </c>
      <c r="AX1837" s="1">
        <v>0</v>
      </c>
      <c r="AY1837" s="1">
        <v>0</v>
      </c>
      <c r="AZ1837" s="1">
        <v>0</v>
      </c>
      <c r="BA1837" s="1">
        <v>0</v>
      </c>
      <c r="BB1837" s="1">
        <v>1</v>
      </c>
      <c r="BC1837" s="1">
        <v>0</v>
      </c>
      <c r="BD1837" s="1">
        <v>0</v>
      </c>
      <c r="BE1837" s="1">
        <v>0</v>
      </c>
      <c r="BF1837" s="1">
        <v>0</v>
      </c>
      <c r="BG1837" s="1">
        <v>0</v>
      </c>
      <c r="BH1837" s="1">
        <v>0</v>
      </c>
      <c r="BI1837" s="1">
        <v>0</v>
      </c>
      <c r="BJ1837" s="1">
        <v>0</v>
      </c>
      <c r="BK1837" s="1">
        <v>1</v>
      </c>
      <c r="BL1837" s="1">
        <v>0</v>
      </c>
      <c r="BM1837" s="1">
        <v>0</v>
      </c>
      <c r="BN1837" s="1">
        <v>0</v>
      </c>
      <c r="BO1837" s="1">
        <v>0</v>
      </c>
      <c r="BP1837" s="1">
        <v>0</v>
      </c>
      <c r="BQ1837" s="1" t="s">
        <v>104</v>
      </c>
      <c r="BR1837" s="1">
        <v>1936</v>
      </c>
      <c r="BS1837" s="1" t="s">
        <v>104</v>
      </c>
      <c r="BX1837" s="1">
        <v>0</v>
      </c>
      <c r="BY1837" s="1" t="s">
        <v>104</v>
      </c>
      <c r="BZ1837" s="1">
        <v>3</v>
      </c>
      <c r="CA1837" s="1">
        <v>3</v>
      </c>
      <c r="CB1837" s="1" t="s">
        <v>104</v>
      </c>
      <c r="CC1837" s="1">
        <v>2</v>
      </c>
      <c r="CD1837" s="1" t="s">
        <v>104</v>
      </c>
      <c r="CE1837" s="1" t="s">
        <v>104</v>
      </c>
      <c r="CF1837" s="1" t="s">
        <v>104</v>
      </c>
      <c r="CG1837" s="1" t="s">
        <v>104</v>
      </c>
      <c r="CH1837" s="1" t="s">
        <v>104</v>
      </c>
      <c r="CJ1837" s="1">
        <v>0</v>
      </c>
      <c r="CK1837" s="1">
        <v>0</v>
      </c>
      <c r="CL1837" s="1">
        <v>0</v>
      </c>
      <c r="CM1837" s="1" t="s">
        <v>104</v>
      </c>
    </row>
    <row r="1838" spans="1:91" ht="14.25" customHeight="1" x14ac:dyDescent="0.3">
      <c r="A1838" s="1" t="s">
        <v>9900</v>
      </c>
      <c r="B1838" s="1" t="s">
        <v>137</v>
      </c>
      <c r="E1838" s="1" t="s">
        <v>4285</v>
      </c>
      <c r="F1838" s="1" t="s">
        <v>191</v>
      </c>
      <c r="G1838" s="1" t="s">
        <v>116</v>
      </c>
      <c r="H1838" s="1">
        <v>0</v>
      </c>
      <c r="I1838" s="1" t="s">
        <v>117</v>
      </c>
      <c r="L1838" s="1" t="s">
        <v>2509</v>
      </c>
      <c r="M1838" s="1" t="s">
        <v>210</v>
      </c>
      <c r="N1838" s="1">
        <v>0</v>
      </c>
      <c r="O1838" s="1">
        <v>0</v>
      </c>
      <c r="P1838" s="1" t="s">
        <v>375</v>
      </c>
      <c r="Q1838" s="1" t="s">
        <v>131</v>
      </c>
      <c r="R1838" s="1" t="s">
        <v>9901</v>
      </c>
      <c r="S1838" s="1" t="s">
        <v>9569</v>
      </c>
      <c r="T1838" s="1">
        <v>1</v>
      </c>
      <c r="U1838" s="1">
        <v>1</v>
      </c>
      <c r="V1838" s="1">
        <v>0</v>
      </c>
      <c r="W1838" s="1">
        <v>0</v>
      </c>
      <c r="X1838" s="1">
        <v>0</v>
      </c>
      <c r="Y1838" s="1" t="s">
        <v>104</v>
      </c>
      <c r="Z1838" s="1" t="s">
        <v>104</v>
      </c>
      <c r="AA1838" s="1">
        <v>2</v>
      </c>
      <c r="AB1838" s="1" t="s">
        <v>104</v>
      </c>
      <c r="AC1838" s="1" t="s">
        <v>104</v>
      </c>
      <c r="AD1838" s="1">
        <v>2</v>
      </c>
      <c r="AE1838" s="1" t="s">
        <v>104</v>
      </c>
      <c r="AF1838" s="1" t="s">
        <v>104</v>
      </c>
      <c r="AG1838" s="1" t="s">
        <v>104</v>
      </c>
      <c r="AH1838" s="1" t="s">
        <v>104</v>
      </c>
      <c r="AI1838" s="1" t="s">
        <v>104</v>
      </c>
      <c r="AJ1838" s="1">
        <v>2</v>
      </c>
      <c r="AK1838" s="1" t="s">
        <v>104</v>
      </c>
      <c r="AL1838" s="1" t="s">
        <v>104</v>
      </c>
      <c r="AM1838" s="1" t="s">
        <v>104</v>
      </c>
      <c r="AO1838" s="1">
        <v>2</v>
      </c>
      <c r="AQ1838" s="1" t="s">
        <v>9902</v>
      </c>
      <c r="AR1838" s="1">
        <v>0</v>
      </c>
      <c r="AS1838" s="1">
        <v>0</v>
      </c>
      <c r="AT1838" s="1">
        <v>0</v>
      </c>
      <c r="AU1838" s="1">
        <v>0</v>
      </c>
      <c r="AV1838" s="1">
        <v>0</v>
      </c>
      <c r="AW1838" s="1">
        <v>0</v>
      </c>
      <c r="AX1838" s="1">
        <v>0</v>
      </c>
      <c r="AY1838" s="1">
        <v>0</v>
      </c>
      <c r="AZ1838" s="1">
        <v>0</v>
      </c>
      <c r="BA1838" s="1">
        <v>0</v>
      </c>
      <c r="BB1838" s="1">
        <v>0</v>
      </c>
      <c r="BC1838" s="1">
        <v>0</v>
      </c>
      <c r="BD1838" s="1">
        <v>0</v>
      </c>
      <c r="BE1838" s="1">
        <v>0</v>
      </c>
      <c r="BF1838" s="1">
        <v>0</v>
      </c>
      <c r="BG1838" s="1">
        <v>0</v>
      </c>
      <c r="BH1838" s="1">
        <v>0</v>
      </c>
      <c r="BI1838" s="1">
        <v>0</v>
      </c>
      <c r="BJ1838" s="1">
        <v>0</v>
      </c>
      <c r="BK1838" s="1">
        <v>0</v>
      </c>
      <c r="BL1838" s="1">
        <v>0</v>
      </c>
      <c r="BM1838" s="1">
        <v>0</v>
      </c>
      <c r="BN1838" s="1">
        <v>0</v>
      </c>
      <c r="BO1838" s="1">
        <v>0</v>
      </c>
      <c r="BP1838" s="1">
        <v>0</v>
      </c>
      <c r="BQ1838" s="1" t="s">
        <v>104</v>
      </c>
      <c r="BR1838" s="1">
        <v>1937</v>
      </c>
      <c r="BS1838" s="1" t="s">
        <v>104</v>
      </c>
      <c r="BX1838" s="1">
        <v>0</v>
      </c>
      <c r="BY1838" s="1" t="s">
        <v>104</v>
      </c>
      <c r="BZ1838" s="1" t="s">
        <v>104</v>
      </c>
      <c r="CA1838" s="1" t="s">
        <v>104</v>
      </c>
      <c r="CB1838" s="1" t="s">
        <v>104</v>
      </c>
      <c r="CC1838" s="1" t="s">
        <v>104</v>
      </c>
      <c r="CD1838" s="1" t="s">
        <v>104</v>
      </c>
      <c r="CE1838" s="1" t="s">
        <v>104</v>
      </c>
      <c r="CF1838" s="1" t="s">
        <v>104</v>
      </c>
      <c r="CG1838" s="1" t="s">
        <v>104</v>
      </c>
      <c r="CH1838" s="1" t="s">
        <v>104</v>
      </c>
      <c r="CJ1838" s="1">
        <v>0</v>
      </c>
      <c r="CK1838" s="1">
        <v>0</v>
      </c>
      <c r="CL1838" s="1">
        <v>0</v>
      </c>
      <c r="CM1838" s="1" t="s">
        <v>104</v>
      </c>
    </row>
    <row r="1839" spans="1:91" ht="14.25" customHeight="1" x14ac:dyDescent="0.3">
      <c r="A1839" s="1" t="s">
        <v>9903</v>
      </c>
      <c r="B1839" s="1" t="s">
        <v>172</v>
      </c>
      <c r="D1839" s="1" t="s">
        <v>47</v>
      </c>
      <c r="E1839" s="1" t="s">
        <v>1825</v>
      </c>
      <c r="F1839" s="1" t="s">
        <v>95</v>
      </c>
      <c r="G1839" s="1" t="s">
        <v>116</v>
      </c>
      <c r="H1839" s="1">
        <v>0</v>
      </c>
      <c r="I1839" s="1" t="s">
        <v>128</v>
      </c>
      <c r="L1839" s="1" t="s">
        <v>374</v>
      </c>
      <c r="M1839" s="1" t="s">
        <v>194</v>
      </c>
      <c r="N1839" s="1">
        <v>0</v>
      </c>
      <c r="O1839" s="1">
        <v>0</v>
      </c>
      <c r="P1839" s="1" t="s">
        <v>211</v>
      </c>
      <c r="Q1839" s="1" t="s">
        <v>184</v>
      </c>
      <c r="R1839" s="1" t="s">
        <v>9904</v>
      </c>
      <c r="S1839" s="1" t="s">
        <v>9569</v>
      </c>
      <c r="T1839" s="1">
        <v>1</v>
      </c>
      <c r="U1839" s="1">
        <v>1</v>
      </c>
      <c r="V1839" s="1">
        <v>0</v>
      </c>
      <c r="W1839" s="1">
        <v>0</v>
      </c>
      <c r="X1839" s="1">
        <v>0</v>
      </c>
      <c r="Y1839" s="1" t="s">
        <v>104</v>
      </c>
      <c r="Z1839" s="1" t="s">
        <v>104</v>
      </c>
      <c r="AA1839" s="1">
        <v>3</v>
      </c>
      <c r="AB1839" s="1" t="s">
        <v>104</v>
      </c>
      <c r="AC1839" s="1" t="s">
        <v>104</v>
      </c>
      <c r="AD1839" s="1" t="s">
        <v>104</v>
      </c>
      <c r="AE1839" s="1" t="s">
        <v>104</v>
      </c>
      <c r="AF1839" s="1" t="s">
        <v>104</v>
      </c>
      <c r="AG1839" s="1" t="s">
        <v>104</v>
      </c>
      <c r="AH1839" s="1" t="s">
        <v>104</v>
      </c>
      <c r="AI1839" s="1" t="s">
        <v>104</v>
      </c>
      <c r="AJ1839" s="1">
        <v>3</v>
      </c>
      <c r="AK1839" s="1" t="s">
        <v>104</v>
      </c>
      <c r="AL1839" s="1" t="s">
        <v>104</v>
      </c>
      <c r="AM1839" s="1" t="s">
        <v>104</v>
      </c>
      <c r="AO1839" s="1">
        <v>3</v>
      </c>
      <c r="AQ1839" s="1" t="s">
        <v>9905</v>
      </c>
      <c r="AR1839" s="1">
        <v>0</v>
      </c>
      <c r="AS1839" s="1">
        <v>0</v>
      </c>
      <c r="AT1839" s="1">
        <v>0</v>
      </c>
      <c r="AU1839" s="1">
        <v>0</v>
      </c>
      <c r="AV1839" s="1">
        <v>1</v>
      </c>
      <c r="AW1839" s="1">
        <v>0</v>
      </c>
      <c r="AX1839" s="1">
        <v>0</v>
      </c>
      <c r="AY1839" s="1">
        <v>0</v>
      </c>
      <c r="AZ1839" s="1">
        <v>0</v>
      </c>
      <c r="BA1839" s="1">
        <v>0</v>
      </c>
      <c r="BB1839" s="1">
        <v>0</v>
      </c>
      <c r="BC1839" s="1">
        <v>0</v>
      </c>
      <c r="BD1839" s="1">
        <v>0</v>
      </c>
      <c r="BE1839" s="1">
        <v>0</v>
      </c>
      <c r="BF1839" s="1">
        <v>0</v>
      </c>
      <c r="BG1839" s="1">
        <v>0</v>
      </c>
      <c r="BH1839" s="1">
        <v>0</v>
      </c>
      <c r="BI1839" s="1">
        <v>0</v>
      </c>
      <c r="BJ1839" s="1">
        <v>0</v>
      </c>
      <c r="BK1839" s="1">
        <v>0</v>
      </c>
      <c r="BL1839" s="1">
        <v>0</v>
      </c>
      <c r="BM1839" s="1">
        <v>0</v>
      </c>
      <c r="BN1839" s="1">
        <v>0</v>
      </c>
      <c r="BO1839" s="1">
        <v>0</v>
      </c>
      <c r="BP1839" s="1">
        <v>0</v>
      </c>
      <c r="BQ1839" s="1" t="s">
        <v>104</v>
      </c>
      <c r="BR1839" s="1">
        <v>1938</v>
      </c>
      <c r="BS1839" s="1" t="s">
        <v>104</v>
      </c>
      <c r="BX1839" s="1">
        <v>0</v>
      </c>
      <c r="BY1839" s="1" t="s">
        <v>104</v>
      </c>
      <c r="BZ1839" s="1" t="s">
        <v>104</v>
      </c>
      <c r="CA1839" s="1" t="s">
        <v>104</v>
      </c>
      <c r="CB1839" s="1" t="s">
        <v>104</v>
      </c>
      <c r="CC1839" s="1" t="s">
        <v>104</v>
      </c>
      <c r="CD1839" s="1" t="s">
        <v>104</v>
      </c>
      <c r="CE1839" s="1" t="s">
        <v>104</v>
      </c>
      <c r="CF1839" s="1" t="s">
        <v>104</v>
      </c>
      <c r="CG1839" s="1" t="s">
        <v>104</v>
      </c>
      <c r="CH1839" s="1" t="s">
        <v>104</v>
      </c>
      <c r="CJ1839" s="1">
        <v>0</v>
      </c>
      <c r="CK1839" s="1">
        <v>0</v>
      </c>
      <c r="CL1839" s="1">
        <v>0</v>
      </c>
      <c r="CM1839" s="1" t="s">
        <v>104</v>
      </c>
    </row>
    <row r="1840" spans="1:91" ht="14.25" customHeight="1" x14ac:dyDescent="0.3">
      <c r="A1840" s="1" t="s">
        <v>9906</v>
      </c>
      <c r="B1840" s="1" t="s">
        <v>123</v>
      </c>
      <c r="D1840" s="1" t="s">
        <v>125</v>
      </c>
      <c r="E1840" s="1" t="s">
        <v>2065</v>
      </c>
      <c r="F1840" s="1" t="s">
        <v>287</v>
      </c>
      <c r="G1840" s="1" t="s">
        <v>9907</v>
      </c>
      <c r="H1840" s="1">
        <v>0</v>
      </c>
      <c r="I1840" s="1" t="s">
        <v>128</v>
      </c>
      <c r="L1840" s="1" t="s">
        <v>417</v>
      </c>
      <c r="M1840" s="1" t="s">
        <v>119</v>
      </c>
      <c r="N1840" s="1">
        <v>0</v>
      </c>
      <c r="O1840" s="1">
        <v>0</v>
      </c>
      <c r="P1840" s="1" t="s">
        <v>375</v>
      </c>
      <c r="Q1840" s="1" t="s">
        <v>131</v>
      </c>
      <c r="R1840" s="1" t="s">
        <v>9908</v>
      </c>
      <c r="S1840" s="1" t="s">
        <v>9569</v>
      </c>
      <c r="T1840" s="1">
        <v>1</v>
      </c>
      <c r="U1840" s="1">
        <v>1</v>
      </c>
      <c r="V1840" s="1">
        <v>0</v>
      </c>
      <c r="W1840" s="1">
        <v>0</v>
      </c>
      <c r="X1840" s="1">
        <v>0</v>
      </c>
      <c r="Y1840" s="1">
        <v>1</v>
      </c>
      <c r="Z1840" s="1">
        <v>1</v>
      </c>
      <c r="AA1840" s="1" t="s">
        <v>104</v>
      </c>
      <c r="AB1840" s="1" t="s">
        <v>104</v>
      </c>
      <c r="AC1840" s="1" t="s">
        <v>104</v>
      </c>
      <c r="AD1840" s="1">
        <v>1</v>
      </c>
      <c r="AE1840" s="1" t="s">
        <v>104</v>
      </c>
      <c r="AF1840" s="1" t="s">
        <v>104</v>
      </c>
      <c r="AG1840" s="1" t="s">
        <v>104</v>
      </c>
      <c r="AH1840" s="1">
        <v>1</v>
      </c>
      <c r="AI1840" s="1" t="s">
        <v>104</v>
      </c>
      <c r="AJ1840" s="1" t="s">
        <v>104</v>
      </c>
      <c r="AK1840" s="1" t="s">
        <v>104</v>
      </c>
      <c r="AL1840" s="1" t="s">
        <v>104</v>
      </c>
      <c r="AM1840" s="1" t="s">
        <v>104</v>
      </c>
      <c r="AO1840" s="1">
        <v>1</v>
      </c>
      <c r="AQ1840" s="1" t="s">
        <v>9909</v>
      </c>
      <c r="AR1840" s="1">
        <v>0</v>
      </c>
      <c r="AS1840" s="1">
        <v>0</v>
      </c>
      <c r="AT1840" s="1">
        <v>0</v>
      </c>
      <c r="AU1840" s="1">
        <v>0</v>
      </c>
      <c r="AV1840" s="1">
        <v>0</v>
      </c>
      <c r="AW1840" s="1">
        <v>0</v>
      </c>
      <c r="AX1840" s="1">
        <v>0</v>
      </c>
      <c r="AY1840" s="1">
        <v>0</v>
      </c>
      <c r="AZ1840" s="1">
        <v>0</v>
      </c>
      <c r="BA1840" s="1">
        <v>0</v>
      </c>
      <c r="BB1840" s="1">
        <v>0</v>
      </c>
      <c r="BC1840" s="1">
        <v>0</v>
      </c>
      <c r="BD1840" s="1">
        <v>0</v>
      </c>
      <c r="BE1840" s="1">
        <v>0</v>
      </c>
      <c r="BF1840" s="1">
        <v>0</v>
      </c>
      <c r="BG1840" s="1">
        <v>0</v>
      </c>
      <c r="BH1840" s="1">
        <v>0</v>
      </c>
      <c r="BI1840" s="1">
        <v>0</v>
      </c>
      <c r="BJ1840" s="1">
        <v>0</v>
      </c>
      <c r="BK1840" s="1">
        <v>1</v>
      </c>
      <c r="BL1840" s="1">
        <v>0</v>
      </c>
      <c r="BM1840" s="1">
        <v>0</v>
      </c>
      <c r="BN1840" s="1">
        <v>0</v>
      </c>
      <c r="BO1840" s="1">
        <v>0</v>
      </c>
      <c r="BP1840" s="1">
        <v>0</v>
      </c>
      <c r="BQ1840" s="1" t="s">
        <v>104</v>
      </c>
      <c r="BR1840" s="1">
        <v>1939</v>
      </c>
      <c r="BS1840" s="1" t="s">
        <v>104</v>
      </c>
      <c r="BX1840" s="1">
        <v>0</v>
      </c>
      <c r="BY1840" s="1" t="s">
        <v>104</v>
      </c>
      <c r="BZ1840" s="1" t="s">
        <v>104</v>
      </c>
      <c r="CA1840" s="1">
        <v>1</v>
      </c>
      <c r="CB1840" s="1" t="s">
        <v>104</v>
      </c>
      <c r="CC1840" s="1">
        <v>1</v>
      </c>
      <c r="CD1840" s="1">
        <v>1</v>
      </c>
      <c r="CE1840" s="1" t="s">
        <v>104</v>
      </c>
      <c r="CF1840" s="1" t="s">
        <v>104</v>
      </c>
      <c r="CG1840" s="1" t="s">
        <v>104</v>
      </c>
      <c r="CH1840" s="1" t="s">
        <v>104</v>
      </c>
      <c r="CJ1840" s="1">
        <v>0</v>
      </c>
      <c r="CK1840" s="1">
        <v>0</v>
      </c>
      <c r="CL1840" s="1">
        <v>0</v>
      </c>
      <c r="CM1840" s="1" t="s">
        <v>104</v>
      </c>
    </row>
    <row r="1841" spans="1:91" ht="14.25" customHeight="1" x14ac:dyDescent="0.3">
      <c r="A1841" s="1" t="s">
        <v>9910</v>
      </c>
      <c r="B1841" s="1" t="s">
        <v>123</v>
      </c>
      <c r="C1841" s="1" t="s">
        <v>124</v>
      </c>
      <c r="D1841" s="1" t="s">
        <v>728</v>
      </c>
      <c r="E1841" s="1" t="s">
        <v>9911</v>
      </c>
      <c r="F1841" s="1" t="s">
        <v>287</v>
      </c>
      <c r="G1841" s="1" t="s">
        <v>116</v>
      </c>
      <c r="H1841" s="1">
        <v>0</v>
      </c>
      <c r="I1841" s="1" t="s">
        <v>117</v>
      </c>
      <c r="L1841" s="1" t="s">
        <v>9912</v>
      </c>
      <c r="M1841" s="1" t="s">
        <v>7096</v>
      </c>
      <c r="N1841" s="1">
        <v>0</v>
      </c>
      <c r="O1841" s="1">
        <v>0</v>
      </c>
      <c r="P1841" s="1" t="s">
        <v>375</v>
      </c>
      <c r="Q1841" s="1" t="s">
        <v>131</v>
      </c>
      <c r="R1841" s="1" t="s">
        <v>9913</v>
      </c>
      <c r="S1841" s="1" t="s">
        <v>9569</v>
      </c>
      <c r="T1841" s="1">
        <v>1</v>
      </c>
      <c r="U1841" s="1">
        <v>1</v>
      </c>
      <c r="V1841" s="1">
        <v>0</v>
      </c>
      <c r="W1841" s="1">
        <v>0</v>
      </c>
      <c r="X1841" s="1">
        <v>0</v>
      </c>
      <c r="Y1841" s="1">
        <v>3</v>
      </c>
      <c r="Z1841" s="1">
        <v>3</v>
      </c>
      <c r="AA1841" s="1" t="s">
        <v>104</v>
      </c>
      <c r="AB1841" s="1" t="s">
        <v>104</v>
      </c>
      <c r="AC1841" s="1" t="s">
        <v>104</v>
      </c>
      <c r="AD1841" s="1">
        <v>2</v>
      </c>
      <c r="AE1841" s="1" t="s">
        <v>104</v>
      </c>
      <c r="AF1841" s="1" t="s">
        <v>104</v>
      </c>
      <c r="AG1841" s="1" t="s">
        <v>104</v>
      </c>
      <c r="AH1841" s="1">
        <v>3</v>
      </c>
      <c r="AI1841" s="1" t="s">
        <v>104</v>
      </c>
      <c r="AJ1841" s="1" t="s">
        <v>104</v>
      </c>
      <c r="AK1841" s="1" t="s">
        <v>104</v>
      </c>
      <c r="AL1841" s="1" t="s">
        <v>104</v>
      </c>
      <c r="AM1841" s="1" t="s">
        <v>104</v>
      </c>
      <c r="AO1841" s="1">
        <v>3</v>
      </c>
      <c r="AQ1841" s="1" t="s">
        <v>9914</v>
      </c>
      <c r="AR1841" s="1">
        <v>0</v>
      </c>
      <c r="AS1841" s="1">
        <v>0</v>
      </c>
      <c r="AT1841" s="1">
        <v>0</v>
      </c>
      <c r="AU1841" s="1">
        <v>0</v>
      </c>
      <c r="AV1841" s="1">
        <v>0</v>
      </c>
      <c r="AW1841" s="1">
        <v>0</v>
      </c>
      <c r="AX1841" s="1">
        <v>0</v>
      </c>
      <c r="AY1841" s="1">
        <v>0</v>
      </c>
      <c r="AZ1841" s="1">
        <v>0</v>
      </c>
      <c r="BA1841" s="1">
        <v>0</v>
      </c>
      <c r="BB1841" s="1">
        <v>0</v>
      </c>
      <c r="BC1841" s="1">
        <v>0</v>
      </c>
      <c r="BD1841" s="1">
        <v>0</v>
      </c>
      <c r="BE1841" s="1">
        <v>0</v>
      </c>
      <c r="BF1841" s="1">
        <v>0</v>
      </c>
      <c r="BG1841" s="1">
        <v>0</v>
      </c>
      <c r="BH1841" s="1">
        <v>1</v>
      </c>
      <c r="BI1841" s="1">
        <v>0</v>
      </c>
      <c r="BJ1841" s="1">
        <v>0</v>
      </c>
      <c r="BK1841" s="1">
        <v>1</v>
      </c>
      <c r="BL1841" s="1">
        <v>0</v>
      </c>
      <c r="BM1841" s="1">
        <v>0</v>
      </c>
      <c r="BN1841" s="1">
        <v>0</v>
      </c>
      <c r="BO1841" s="1">
        <v>0</v>
      </c>
      <c r="BP1841" s="1">
        <v>0</v>
      </c>
      <c r="BQ1841" s="1" t="s">
        <v>104</v>
      </c>
      <c r="BR1841" s="1">
        <v>1940</v>
      </c>
      <c r="BS1841" s="1" t="s">
        <v>104</v>
      </c>
      <c r="BX1841" s="1">
        <v>0</v>
      </c>
      <c r="BY1841" s="1" t="s">
        <v>104</v>
      </c>
      <c r="BZ1841" s="1">
        <v>3</v>
      </c>
      <c r="CA1841" s="1">
        <v>3</v>
      </c>
      <c r="CB1841" s="1" t="s">
        <v>104</v>
      </c>
      <c r="CC1841" s="1">
        <v>2</v>
      </c>
      <c r="CD1841" s="1" t="s">
        <v>104</v>
      </c>
      <c r="CE1841" s="1">
        <v>3</v>
      </c>
      <c r="CF1841" s="1" t="s">
        <v>104</v>
      </c>
      <c r="CG1841" s="1" t="s">
        <v>104</v>
      </c>
      <c r="CH1841" s="1" t="s">
        <v>104</v>
      </c>
      <c r="CJ1841" s="1">
        <v>0</v>
      </c>
      <c r="CK1841" s="1">
        <v>0</v>
      </c>
      <c r="CL1841" s="1">
        <v>0</v>
      </c>
      <c r="CM1841" s="1" t="s">
        <v>104</v>
      </c>
    </row>
    <row r="1842" spans="1:91" ht="14.25" customHeight="1" x14ac:dyDescent="0.3">
      <c r="A1842" s="1" t="s">
        <v>9915</v>
      </c>
      <c r="B1842" s="1" t="s">
        <v>137</v>
      </c>
      <c r="E1842" s="1" t="s">
        <v>9737</v>
      </c>
      <c r="F1842" s="1" t="s">
        <v>95</v>
      </c>
      <c r="G1842" s="1" t="s">
        <v>9916</v>
      </c>
      <c r="H1842" s="1">
        <v>0</v>
      </c>
      <c r="I1842" s="1" t="s">
        <v>128</v>
      </c>
      <c r="L1842" s="1" t="s">
        <v>9917</v>
      </c>
      <c r="M1842" s="1" t="s">
        <v>620</v>
      </c>
      <c r="N1842" s="1">
        <v>1</v>
      </c>
      <c r="O1842" s="1">
        <v>0</v>
      </c>
      <c r="P1842" s="1" t="s">
        <v>100</v>
      </c>
      <c r="Q1842" s="1" t="s">
        <v>101</v>
      </c>
      <c r="R1842" s="1" t="s">
        <v>9918</v>
      </c>
      <c r="S1842" s="1" t="s">
        <v>9569</v>
      </c>
      <c r="T1842" s="1">
        <v>1</v>
      </c>
      <c r="U1842" s="1">
        <v>1</v>
      </c>
      <c r="V1842" s="1">
        <v>1</v>
      </c>
      <c r="W1842" s="1">
        <v>0</v>
      </c>
      <c r="X1842" s="1">
        <v>0</v>
      </c>
      <c r="Y1842" s="1">
        <v>2</v>
      </c>
      <c r="Z1842" s="1">
        <v>2</v>
      </c>
      <c r="AA1842" s="1" t="s">
        <v>104</v>
      </c>
      <c r="AB1842" s="1" t="s">
        <v>104</v>
      </c>
      <c r="AC1842" s="1" t="s">
        <v>104</v>
      </c>
      <c r="AD1842" s="1" t="s">
        <v>104</v>
      </c>
      <c r="AE1842" s="1" t="s">
        <v>104</v>
      </c>
      <c r="AF1842" s="1" t="s">
        <v>104</v>
      </c>
      <c r="AG1842" s="1" t="s">
        <v>104</v>
      </c>
      <c r="AH1842" s="1">
        <v>2</v>
      </c>
      <c r="AI1842" s="1" t="s">
        <v>104</v>
      </c>
      <c r="AJ1842" s="1" t="s">
        <v>104</v>
      </c>
      <c r="AK1842" s="1" t="s">
        <v>104</v>
      </c>
      <c r="AL1842" s="1" t="s">
        <v>104</v>
      </c>
      <c r="AM1842" s="1" t="s">
        <v>104</v>
      </c>
      <c r="AO1842" s="1">
        <v>2</v>
      </c>
      <c r="AQ1842" s="1" t="s">
        <v>9919</v>
      </c>
      <c r="AR1842" s="1">
        <v>0</v>
      </c>
      <c r="AS1842" s="1">
        <v>0</v>
      </c>
      <c r="AT1842" s="1">
        <v>0</v>
      </c>
      <c r="AU1842" s="1">
        <v>0</v>
      </c>
      <c r="AV1842" s="1">
        <v>0</v>
      </c>
      <c r="AW1842" s="1">
        <v>0</v>
      </c>
      <c r="AX1842" s="1">
        <v>0</v>
      </c>
      <c r="AY1842" s="1">
        <v>0</v>
      </c>
      <c r="AZ1842" s="1">
        <v>0</v>
      </c>
      <c r="BA1842" s="1">
        <v>0</v>
      </c>
      <c r="BB1842" s="1">
        <v>0</v>
      </c>
      <c r="BC1842" s="1">
        <v>0</v>
      </c>
      <c r="BD1842" s="1">
        <v>0</v>
      </c>
      <c r="BE1842" s="1">
        <v>0</v>
      </c>
      <c r="BF1842" s="1">
        <v>0</v>
      </c>
      <c r="BG1842" s="1">
        <v>0</v>
      </c>
      <c r="BH1842" s="1">
        <v>0</v>
      </c>
      <c r="BI1842" s="1">
        <v>0</v>
      </c>
      <c r="BJ1842" s="1">
        <v>0</v>
      </c>
      <c r="BK1842" s="1">
        <v>0</v>
      </c>
      <c r="BL1842" s="1">
        <v>0</v>
      </c>
      <c r="BM1842" s="1">
        <v>0</v>
      </c>
      <c r="BN1842" s="1">
        <v>0</v>
      </c>
      <c r="BO1842" s="1">
        <v>0</v>
      </c>
      <c r="BP1842" s="1">
        <v>0</v>
      </c>
      <c r="BQ1842" s="1" t="s">
        <v>104</v>
      </c>
      <c r="BR1842" s="1">
        <v>1941</v>
      </c>
      <c r="BS1842" s="1" t="s">
        <v>104</v>
      </c>
      <c r="BX1842" s="1">
        <v>0</v>
      </c>
      <c r="BY1842" s="1" t="s">
        <v>104</v>
      </c>
      <c r="BZ1842" s="1" t="s">
        <v>104</v>
      </c>
      <c r="CA1842" s="1">
        <v>2</v>
      </c>
      <c r="CB1842" s="1" t="s">
        <v>104</v>
      </c>
      <c r="CC1842" s="1" t="s">
        <v>104</v>
      </c>
      <c r="CD1842" s="1">
        <v>2</v>
      </c>
      <c r="CE1842" s="1" t="s">
        <v>104</v>
      </c>
      <c r="CF1842" s="1" t="s">
        <v>104</v>
      </c>
      <c r="CG1842" s="1" t="s">
        <v>104</v>
      </c>
      <c r="CH1842" s="1" t="s">
        <v>104</v>
      </c>
      <c r="CJ1842" s="1">
        <v>0</v>
      </c>
      <c r="CK1842" s="1">
        <v>0</v>
      </c>
      <c r="CL1842" s="1">
        <v>0</v>
      </c>
      <c r="CM1842" s="1" t="s">
        <v>104</v>
      </c>
    </row>
    <row r="1843" spans="1:91" ht="14.25" customHeight="1" x14ac:dyDescent="0.3">
      <c r="A1843" s="1" t="s">
        <v>9920</v>
      </c>
      <c r="B1843" s="1" t="s">
        <v>137</v>
      </c>
      <c r="E1843" s="1" t="s">
        <v>9921</v>
      </c>
      <c r="F1843" s="1" t="s">
        <v>95</v>
      </c>
      <c r="G1843" s="1" t="s">
        <v>9922</v>
      </c>
      <c r="H1843" s="1">
        <v>0</v>
      </c>
      <c r="I1843" s="1" t="s">
        <v>128</v>
      </c>
      <c r="L1843" s="1" t="s">
        <v>9923</v>
      </c>
      <c r="M1843" s="1" t="s">
        <v>119</v>
      </c>
      <c r="N1843" s="1">
        <v>0</v>
      </c>
      <c r="O1843" s="1">
        <v>0</v>
      </c>
      <c r="P1843" s="1" t="s">
        <v>472</v>
      </c>
      <c r="Q1843" s="1" t="s">
        <v>472</v>
      </c>
      <c r="R1843" s="1" t="s">
        <v>9924</v>
      </c>
      <c r="S1843" s="1" t="s">
        <v>9569</v>
      </c>
      <c r="T1843" s="1">
        <v>1</v>
      </c>
      <c r="U1843" s="1">
        <v>1</v>
      </c>
      <c r="V1843" s="1">
        <v>1</v>
      </c>
      <c r="W1843" s="1">
        <v>0</v>
      </c>
      <c r="X1843" s="1">
        <v>0</v>
      </c>
      <c r="Y1843" s="1">
        <v>1</v>
      </c>
      <c r="Z1843" s="1">
        <v>1</v>
      </c>
      <c r="AA1843" s="1" t="s">
        <v>104</v>
      </c>
      <c r="AB1843" s="1" t="s">
        <v>104</v>
      </c>
      <c r="AC1843" s="1" t="s">
        <v>104</v>
      </c>
      <c r="AD1843" s="1" t="s">
        <v>104</v>
      </c>
      <c r="AE1843" s="1" t="s">
        <v>104</v>
      </c>
      <c r="AF1843" s="1" t="s">
        <v>104</v>
      </c>
      <c r="AG1843" s="1" t="s">
        <v>104</v>
      </c>
      <c r="AH1843" s="1">
        <v>1</v>
      </c>
      <c r="AI1843" s="1" t="s">
        <v>104</v>
      </c>
      <c r="AJ1843" s="1" t="s">
        <v>104</v>
      </c>
      <c r="AK1843" s="1" t="s">
        <v>104</v>
      </c>
      <c r="AL1843" s="1" t="s">
        <v>104</v>
      </c>
      <c r="AM1843" s="1" t="s">
        <v>104</v>
      </c>
      <c r="AO1843" s="1">
        <v>1</v>
      </c>
      <c r="AQ1843" s="1" t="s">
        <v>9925</v>
      </c>
      <c r="AR1843" s="1">
        <v>0</v>
      </c>
      <c r="AS1843" s="1">
        <v>0</v>
      </c>
      <c r="AT1843" s="1">
        <v>0</v>
      </c>
      <c r="AU1843" s="1">
        <v>0</v>
      </c>
      <c r="AV1843" s="1">
        <v>0</v>
      </c>
      <c r="AW1843" s="1">
        <v>0</v>
      </c>
      <c r="AX1843" s="1">
        <v>0</v>
      </c>
      <c r="AY1843" s="1">
        <v>0</v>
      </c>
      <c r="AZ1843" s="1">
        <v>0</v>
      </c>
      <c r="BA1843" s="1">
        <v>0</v>
      </c>
      <c r="BB1843" s="1">
        <v>0</v>
      </c>
      <c r="BC1843" s="1">
        <v>0</v>
      </c>
      <c r="BD1843" s="1">
        <v>0</v>
      </c>
      <c r="BE1843" s="1">
        <v>0</v>
      </c>
      <c r="BF1843" s="1">
        <v>0</v>
      </c>
      <c r="BG1843" s="1">
        <v>0</v>
      </c>
      <c r="BH1843" s="1">
        <v>0</v>
      </c>
      <c r="BI1843" s="1">
        <v>0</v>
      </c>
      <c r="BJ1843" s="1">
        <v>0</v>
      </c>
      <c r="BK1843" s="1">
        <v>0</v>
      </c>
      <c r="BL1843" s="1">
        <v>0</v>
      </c>
      <c r="BM1843" s="1">
        <v>0</v>
      </c>
      <c r="BN1843" s="1">
        <v>0</v>
      </c>
      <c r="BO1843" s="1">
        <v>0</v>
      </c>
      <c r="BP1843" s="1">
        <v>0</v>
      </c>
      <c r="BQ1843" s="1" t="s">
        <v>104</v>
      </c>
      <c r="BR1843" s="1">
        <v>1942</v>
      </c>
      <c r="BS1843" s="1" t="s">
        <v>104</v>
      </c>
      <c r="BX1843" s="1">
        <v>0</v>
      </c>
      <c r="BY1843" s="1" t="s">
        <v>104</v>
      </c>
      <c r="BZ1843" s="1" t="s">
        <v>104</v>
      </c>
      <c r="CA1843" s="1" t="s">
        <v>104</v>
      </c>
      <c r="CB1843" s="1" t="s">
        <v>104</v>
      </c>
      <c r="CC1843" s="1" t="s">
        <v>104</v>
      </c>
      <c r="CD1843" s="1">
        <v>1</v>
      </c>
      <c r="CE1843" s="1" t="s">
        <v>104</v>
      </c>
      <c r="CF1843" s="1" t="s">
        <v>104</v>
      </c>
      <c r="CG1843" s="1" t="s">
        <v>104</v>
      </c>
      <c r="CH1843" s="1" t="s">
        <v>104</v>
      </c>
      <c r="CJ1843" s="1">
        <v>0</v>
      </c>
      <c r="CK1843" s="1">
        <v>0</v>
      </c>
      <c r="CL1843" s="1">
        <v>0</v>
      </c>
      <c r="CM1843" s="1" t="s">
        <v>104</v>
      </c>
    </row>
    <row r="1844" spans="1:91" ht="14.25" customHeight="1" x14ac:dyDescent="0.3">
      <c r="A1844" s="1" t="s">
        <v>9926</v>
      </c>
      <c r="B1844" s="1" t="s">
        <v>137</v>
      </c>
      <c r="E1844" s="1" t="s">
        <v>9927</v>
      </c>
      <c r="F1844" s="1" t="s">
        <v>95</v>
      </c>
      <c r="G1844" s="1" t="s">
        <v>9916</v>
      </c>
      <c r="H1844" s="1">
        <v>0</v>
      </c>
      <c r="I1844" s="1" t="s">
        <v>128</v>
      </c>
      <c r="L1844" s="1" t="s">
        <v>9917</v>
      </c>
      <c r="M1844" s="1" t="s">
        <v>620</v>
      </c>
      <c r="N1844" s="1">
        <v>1</v>
      </c>
      <c r="O1844" s="1">
        <v>0</v>
      </c>
      <c r="P1844" s="1" t="s">
        <v>472</v>
      </c>
      <c r="Q1844" s="1" t="s">
        <v>472</v>
      </c>
      <c r="R1844" s="1" t="s">
        <v>9928</v>
      </c>
      <c r="S1844" s="1" t="s">
        <v>9569</v>
      </c>
      <c r="T1844" s="1">
        <v>1</v>
      </c>
      <c r="U1844" s="1">
        <v>1</v>
      </c>
      <c r="V1844" s="1">
        <v>1</v>
      </c>
      <c r="W1844" s="1">
        <v>0</v>
      </c>
      <c r="X1844" s="1">
        <v>0</v>
      </c>
      <c r="Y1844" s="1">
        <v>4</v>
      </c>
      <c r="Z1844" s="1">
        <v>4</v>
      </c>
      <c r="AA1844" s="1" t="s">
        <v>104</v>
      </c>
      <c r="AB1844" s="1" t="s">
        <v>104</v>
      </c>
      <c r="AC1844" s="1" t="s">
        <v>104</v>
      </c>
      <c r="AD1844" s="1" t="s">
        <v>104</v>
      </c>
      <c r="AE1844" s="1" t="s">
        <v>104</v>
      </c>
      <c r="AF1844" s="1" t="s">
        <v>104</v>
      </c>
      <c r="AG1844" s="1" t="s">
        <v>104</v>
      </c>
      <c r="AH1844" s="1">
        <v>4</v>
      </c>
      <c r="AI1844" s="1" t="s">
        <v>104</v>
      </c>
      <c r="AJ1844" s="1" t="s">
        <v>104</v>
      </c>
      <c r="AK1844" s="1" t="s">
        <v>104</v>
      </c>
      <c r="AL1844" s="1" t="s">
        <v>104</v>
      </c>
      <c r="AM1844" s="1" t="s">
        <v>104</v>
      </c>
      <c r="AO1844" s="1">
        <v>4</v>
      </c>
      <c r="AQ1844" s="1" t="s">
        <v>9929</v>
      </c>
      <c r="AR1844" s="1">
        <v>0</v>
      </c>
      <c r="AS1844" s="1">
        <v>0</v>
      </c>
      <c r="AT1844" s="1">
        <v>0</v>
      </c>
      <c r="AU1844" s="1">
        <v>0</v>
      </c>
      <c r="AV1844" s="1">
        <v>0</v>
      </c>
      <c r="AW1844" s="1">
        <v>0</v>
      </c>
      <c r="AX1844" s="1">
        <v>0</v>
      </c>
      <c r="AY1844" s="1">
        <v>0</v>
      </c>
      <c r="AZ1844" s="1">
        <v>0</v>
      </c>
      <c r="BA1844" s="1">
        <v>0</v>
      </c>
      <c r="BB1844" s="1">
        <v>0</v>
      </c>
      <c r="BC1844" s="1">
        <v>0</v>
      </c>
      <c r="BD1844" s="1">
        <v>0</v>
      </c>
      <c r="BE1844" s="1">
        <v>0</v>
      </c>
      <c r="BF1844" s="1">
        <v>0</v>
      </c>
      <c r="BG1844" s="1">
        <v>0</v>
      </c>
      <c r="BH1844" s="1">
        <v>0</v>
      </c>
      <c r="BI1844" s="1">
        <v>0</v>
      </c>
      <c r="BJ1844" s="1">
        <v>0</v>
      </c>
      <c r="BK1844" s="1">
        <v>0</v>
      </c>
      <c r="BL1844" s="1">
        <v>0</v>
      </c>
      <c r="BM1844" s="1">
        <v>0</v>
      </c>
      <c r="BN1844" s="1">
        <v>0</v>
      </c>
      <c r="BO1844" s="1">
        <v>0</v>
      </c>
      <c r="BP1844" s="1">
        <v>0</v>
      </c>
      <c r="BQ1844" s="1" t="s">
        <v>104</v>
      </c>
      <c r="BR1844" s="1">
        <v>1943</v>
      </c>
      <c r="BS1844" s="1" t="s">
        <v>104</v>
      </c>
      <c r="BX1844" s="1">
        <v>0</v>
      </c>
      <c r="BY1844" s="1" t="s">
        <v>104</v>
      </c>
      <c r="BZ1844" s="1" t="s">
        <v>104</v>
      </c>
      <c r="CA1844" s="1">
        <v>4</v>
      </c>
      <c r="CB1844" s="1" t="s">
        <v>104</v>
      </c>
      <c r="CC1844" s="1" t="s">
        <v>104</v>
      </c>
      <c r="CD1844" s="1">
        <v>4</v>
      </c>
      <c r="CE1844" s="1">
        <v>4</v>
      </c>
      <c r="CF1844" s="1" t="s">
        <v>104</v>
      </c>
      <c r="CG1844" s="1" t="s">
        <v>104</v>
      </c>
      <c r="CH1844" s="1" t="s">
        <v>104</v>
      </c>
      <c r="CJ1844" s="1">
        <v>0</v>
      </c>
      <c r="CK1844" s="1">
        <v>0</v>
      </c>
      <c r="CL1844" s="1">
        <v>0</v>
      </c>
      <c r="CM1844" s="1" t="s">
        <v>104</v>
      </c>
    </row>
    <row r="1845" spans="1:91" ht="14.25" customHeight="1" x14ac:dyDescent="0.3">
      <c r="A1845" s="1" t="s">
        <v>9930</v>
      </c>
      <c r="B1845" s="1" t="s">
        <v>434</v>
      </c>
      <c r="D1845" s="1" t="s">
        <v>5702</v>
      </c>
      <c r="E1845" s="1" t="s">
        <v>9931</v>
      </c>
      <c r="F1845" s="1" t="s">
        <v>95</v>
      </c>
      <c r="G1845" s="1" t="s">
        <v>116</v>
      </c>
      <c r="H1845" s="1">
        <v>0</v>
      </c>
      <c r="I1845" s="1" t="s">
        <v>117</v>
      </c>
      <c r="K1845" s="1" t="s">
        <v>6809</v>
      </c>
      <c r="M1845" s="1" t="s">
        <v>119</v>
      </c>
      <c r="N1845" s="1">
        <v>0</v>
      </c>
      <c r="O1845" s="1">
        <v>0</v>
      </c>
      <c r="P1845" s="1" t="s">
        <v>100</v>
      </c>
      <c r="Q1845" s="1" t="s">
        <v>184</v>
      </c>
      <c r="R1845" s="1" t="s">
        <v>9932</v>
      </c>
      <c r="S1845" s="1" t="s">
        <v>9569</v>
      </c>
      <c r="T1845" s="1">
        <v>1</v>
      </c>
      <c r="U1845" s="1">
        <v>1</v>
      </c>
      <c r="V1845" s="1">
        <v>0</v>
      </c>
      <c r="W1845" s="1">
        <v>0</v>
      </c>
      <c r="X1845" s="1">
        <v>0</v>
      </c>
      <c r="Y1845" s="1">
        <v>2</v>
      </c>
      <c r="Z1845" s="1">
        <v>2</v>
      </c>
      <c r="AA1845" s="1" t="s">
        <v>104</v>
      </c>
      <c r="AB1845" s="1" t="s">
        <v>104</v>
      </c>
      <c r="AC1845" s="1" t="s">
        <v>104</v>
      </c>
      <c r="AD1845" s="1" t="s">
        <v>104</v>
      </c>
      <c r="AE1845" s="1" t="s">
        <v>104</v>
      </c>
      <c r="AF1845" s="1" t="s">
        <v>104</v>
      </c>
      <c r="AG1845" s="1" t="s">
        <v>104</v>
      </c>
      <c r="AH1845" s="1">
        <v>2</v>
      </c>
      <c r="AI1845" s="1" t="s">
        <v>104</v>
      </c>
      <c r="AJ1845" s="1" t="s">
        <v>104</v>
      </c>
      <c r="AK1845" s="1" t="s">
        <v>104</v>
      </c>
      <c r="AL1845" s="1">
        <v>2</v>
      </c>
      <c r="AM1845" s="1" t="s">
        <v>104</v>
      </c>
      <c r="AO1845" s="1">
        <v>2</v>
      </c>
      <c r="AQ1845" s="1" t="s">
        <v>9933</v>
      </c>
      <c r="AR1845" s="1">
        <v>0</v>
      </c>
      <c r="AS1845" s="1">
        <v>0</v>
      </c>
      <c r="AT1845" s="1">
        <v>0</v>
      </c>
      <c r="AU1845" s="1">
        <v>0</v>
      </c>
      <c r="AV1845" s="1">
        <v>0</v>
      </c>
      <c r="AW1845" s="1">
        <v>0</v>
      </c>
      <c r="AX1845" s="1">
        <v>0</v>
      </c>
      <c r="AY1845" s="1">
        <v>0</v>
      </c>
      <c r="AZ1845" s="1">
        <v>1</v>
      </c>
      <c r="BA1845" s="1">
        <v>0</v>
      </c>
      <c r="BB1845" s="1">
        <v>0</v>
      </c>
      <c r="BC1845" s="1">
        <v>0</v>
      </c>
      <c r="BD1845" s="1">
        <v>0</v>
      </c>
      <c r="BE1845" s="1">
        <v>1</v>
      </c>
      <c r="BF1845" s="1">
        <v>0</v>
      </c>
      <c r="BG1845" s="1">
        <v>0</v>
      </c>
      <c r="BH1845" s="1">
        <v>0</v>
      </c>
      <c r="BI1845" s="1">
        <v>0</v>
      </c>
      <c r="BJ1845" s="1">
        <v>0</v>
      </c>
      <c r="BK1845" s="1">
        <v>0</v>
      </c>
      <c r="BL1845" s="1">
        <v>0</v>
      </c>
      <c r="BM1845" s="1">
        <v>0</v>
      </c>
      <c r="BN1845" s="1">
        <v>0</v>
      </c>
      <c r="BO1845" s="1">
        <v>0</v>
      </c>
      <c r="BP1845" s="1">
        <v>0</v>
      </c>
      <c r="BQ1845" s="1" t="s">
        <v>104</v>
      </c>
      <c r="BR1845" s="1">
        <v>1944</v>
      </c>
      <c r="BS1845" s="1" t="s">
        <v>104</v>
      </c>
      <c r="BX1845" s="1">
        <v>0</v>
      </c>
      <c r="BY1845" s="1">
        <v>2</v>
      </c>
      <c r="BZ1845" s="1" t="s">
        <v>104</v>
      </c>
      <c r="CA1845" s="1" t="s">
        <v>104</v>
      </c>
      <c r="CB1845" s="1" t="s">
        <v>104</v>
      </c>
      <c r="CC1845" s="1" t="s">
        <v>104</v>
      </c>
      <c r="CD1845" s="1" t="s">
        <v>104</v>
      </c>
      <c r="CE1845" s="1" t="s">
        <v>104</v>
      </c>
      <c r="CF1845" s="1" t="s">
        <v>104</v>
      </c>
      <c r="CG1845" s="1" t="s">
        <v>104</v>
      </c>
      <c r="CH1845" s="1" t="s">
        <v>104</v>
      </c>
      <c r="CJ1845" s="1">
        <v>0</v>
      </c>
      <c r="CK1845" s="1">
        <v>0</v>
      </c>
      <c r="CL1845" s="1">
        <v>0</v>
      </c>
      <c r="CM1845" s="1" t="s">
        <v>104</v>
      </c>
    </row>
    <row r="1846" spans="1:91" ht="14.25" customHeight="1" x14ac:dyDescent="0.3">
      <c r="A1846" s="1" t="s">
        <v>9934</v>
      </c>
      <c r="B1846" s="1" t="s">
        <v>137</v>
      </c>
      <c r="E1846" s="1" t="s">
        <v>9935</v>
      </c>
      <c r="F1846" s="1" t="s">
        <v>95</v>
      </c>
      <c r="G1846" s="1" t="s">
        <v>116</v>
      </c>
      <c r="H1846" s="1">
        <v>0</v>
      </c>
      <c r="I1846" s="1" t="s">
        <v>157</v>
      </c>
      <c r="L1846" s="1" t="s">
        <v>158</v>
      </c>
      <c r="M1846" s="1" t="s">
        <v>4641</v>
      </c>
      <c r="N1846" s="1">
        <v>1</v>
      </c>
      <c r="O1846" s="1">
        <v>0</v>
      </c>
      <c r="R1846" s="1" t="s">
        <v>9936</v>
      </c>
      <c r="S1846" s="1" t="s">
        <v>9569</v>
      </c>
      <c r="T1846" s="1">
        <v>1</v>
      </c>
      <c r="U1846" s="1">
        <v>1</v>
      </c>
      <c r="V1846" s="1">
        <v>0</v>
      </c>
      <c r="W1846" s="1">
        <v>0</v>
      </c>
      <c r="X1846" s="1">
        <v>0</v>
      </c>
      <c r="Y1846" s="1">
        <v>1</v>
      </c>
      <c r="Z1846" s="1">
        <v>1</v>
      </c>
      <c r="AA1846" s="1" t="s">
        <v>104</v>
      </c>
      <c r="AB1846" s="1">
        <v>1</v>
      </c>
      <c r="AC1846" s="1" t="s">
        <v>104</v>
      </c>
      <c r="AD1846" s="1" t="s">
        <v>104</v>
      </c>
      <c r="AE1846" s="1" t="s">
        <v>104</v>
      </c>
      <c r="AF1846" s="1">
        <v>1</v>
      </c>
      <c r="AG1846" s="1" t="s">
        <v>104</v>
      </c>
      <c r="AH1846" s="1" t="s">
        <v>104</v>
      </c>
      <c r="AI1846" s="1" t="s">
        <v>104</v>
      </c>
      <c r="AJ1846" s="1" t="s">
        <v>104</v>
      </c>
      <c r="AK1846" s="1" t="s">
        <v>104</v>
      </c>
      <c r="AL1846" s="1">
        <v>1</v>
      </c>
      <c r="AM1846" s="1" t="s">
        <v>104</v>
      </c>
      <c r="AO1846" s="1">
        <v>1</v>
      </c>
      <c r="AQ1846" s="1" t="s">
        <v>9937</v>
      </c>
      <c r="AR1846" s="1">
        <v>0</v>
      </c>
      <c r="AS1846" s="1">
        <v>0</v>
      </c>
      <c r="AT1846" s="1">
        <v>0</v>
      </c>
      <c r="AU1846" s="1">
        <v>0</v>
      </c>
      <c r="AV1846" s="1">
        <v>0</v>
      </c>
      <c r="AW1846" s="1">
        <v>0</v>
      </c>
      <c r="AX1846" s="1">
        <v>0</v>
      </c>
      <c r="AY1846" s="1">
        <v>0</v>
      </c>
      <c r="AZ1846" s="1">
        <v>0</v>
      </c>
      <c r="BA1846" s="1">
        <v>0</v>
      </c>
      <c r="BB1846" s="1">
        <v>0</v>
      </c>
      <c r="BC1846" s="1">
        <v>0</v>
      </c>
      <c r="BD1846" s="1">
        <v>0</v>
      </c>
      <c r="BE1846" s="1">
        <v>0</v>
      </c>
      <c r="BF1846" s="1">
        <v>0</v>
      </c>
      <c r="BG1846" s="1">
        <v>0</v>
      </c>
      <c r="BH1846" s="1">
        <v>0</v>
      </c>
      <c r="BI1846" s="1">
        <v>0</v>
      </c>
      <c r="BJ1846" s="1">
        <v>0</v>
      </c>
      <c r="BK1846" s="1">
        <v>0</v>
      </c>
      <c r="BL1846" s="1">
        <v>0</v>
      </c>
      <c r="BM1846" s="1">
        <v>0</v>
      </c>
      <c r="BN1846" s="1">
        <v>0</v>
      </c>
      <c r="BO1846" s="1">
        <v>0</v>
      </c>
      <c r="BP1846" s="1">
        <v>0</v>
      </c>
      <c r="BQ1846" s="1" t="s">
        <v>104</v>
      </c>
      <c r="BR1846" s="1">
        <v>1945</v>
      </c>
      <c r="BS1846" s="1" t="s">
        <v>104</v>
      </c>
      <c r="BX1846" s="1">
        <v>0</v>
      </c>
      <c r="BY1846" s="1" t="s">
        <v>104</v>
      </c>
      <c r="BZ1846" s="1">
        <v>1</v>
      </c>
      <c r="CA1846" s="1">
        <v>1</v>
      </c>
      <c r="CB1846" s="1" t="s">
        <v>104</v>
      </c>
      <c r="CC1846" s="1" t="s">
        <v>104</v>
      </c>
      <c r="CD1846" s="1" t="s">
        <v>104</v>
      </c>
      <c r="CE1846" s="1" t="s">
        <v>104</v>
      </c>
      <c r="CF1846" s="1" t="s">
        <v>104</v>
      </c>
      <c r="CG1846" s="1" t="s">
        <v>104</v>
      </c>
      <c r="CH1846" s="1">
        <v>1</v>
      </c>
      <c r="CJ1846" s="1">
        <v>0</v>
      </c>
      <c r="CK1846" s="1">
        <v>0</v>
      </c>
      <c r="CL1846" s="1">
        <v>0</v>
      </c>
      <c r="CM1846" s="1" t="s">
        <v>104</v>
      </c>
    </row>
    <row r="1847" spans="1:91" ht="14.25" customHeight="1" x14ac:dyDescent="0.3">
      <c r="A1847" s="1" t="s">
        <v>9938</v>
      </c>
      <c r="B1847" s="1" t="s">
        <v>507</v>
      </c>
      <c r="C1847" s="1" t="s">
        <v>508</v>
      </c>
      <c r="E1847" s="1" t="s">
        <v>9939</v>
      </c>
      <c r="F1847" s="1" t="s">
        <v>255</v>
      </c>
      <c r="G1847" s="1" t="s">
        <v>116</v>
      </c>
      <c r="H1847" s="1">
        <v>0</v>
      </c>
      <c r="I1847" s="1" t="s">
        <v>117</v>
      </c>
      <c r="L1847" s="1" t="s">
        <v>9940</v>
      </c>
      <c r="M1847" s="1" t="s">
        <v>4641</v>
      </c>
      <c r="N1847" s="1">
        <v>1</v>
      </c>
      <c r="O1847" s="1">
        <v>0</v>
      </c>
      <c r="P1847" s="1" t="s">
        <v>211</v>
      </c>
      <c r="Q1847" s="1" t="s">
        <v>184</v>
      </c>
      <c r="R1847" s="1" t="s">
        <v>9941</v>
      </c>
      <c r="S1847" s="1" t="s">
        <v>9569</v>
      </c>
      <c r="T1847" s="1">
        <v>1</v>
      </c>
      <c r="U1847" s="1">
        <v>1</v>
      </c>
      <c r="V1847" s="1">
        <v>0</v>
      </c>
      <c r="W1847" s="1">
        <v>0</v>
      </c>
      <c r="X1847" s="1">
        <v>0</v>
      </c>
      <c r="Y1847" s="1" t="s">
        <v>104</v>
      </c>
      <c r="Z1847" s="1" t="s">
        <v>104</v>
      </c>
      <c r="AA1847" s="1">
        <v>2</v>
      </c>
      <c r="AB1847" s="1" t="s">
        <v>104</v>
      </c>
      <c r="AC1847" s="1" t="s">
        <v>104</v>
      </c>
      <c r="AD1847" s="1">
        <v>2</v>
      </c>
      <c r="AE1847" s="1" t="s">
        <v>104</v>
      </c>
      <c r="AF1847" s="1" t="s">
        <v>104</v>
      </c>
      <c r="AG1847" s="1" t="s">
        <v>104</v>
      </c>
      <c r="AH1847" s="1" t="s">
        <v>104</v>
      </c>
      <c r="AI1847" s="1">
        <v>2</v>
      </c>
      <c r="AJ1847" s="1">
        <v>2</v>
      </c>
      <c r="AK1847" s="1" t="s">
        <v>104</v>
      </c>
      <c r="AL1847" s="1" t="s">
        <v>104</v>
      </c>
      <c r="AM1847" s="1" t="s">
        <v>104</v>
      </c>
      <c r="AO1847" s="1">
        <v>2</v>
      </c>
      <c r="AQ1847" s="1" t="s">
        <v>9942</v>
      </c>
      <c r="AR1847" s="1">
        <v>0</v>
      </c>
      <c r="AS1847" s="1">
        <v>0</v>
      </c>
      <c r="AT1847" s="1">
        <v>0</v>
      </c>
      <c r="AU1847" s="1">
        <v>0</v>
      </c>
      <c r="AV1847" s="1">
        <v>0</v>
      </c>
      <c r="AW1847" s="1">
        <v>0</v>
      </c>
      <c r="AX1847" s="1">
        <v>0</v>
      </c>
      <c r="AY1847" s="1">
        <v>0</v>
      </c>
      <c r="AZ1847" s="1">
        <v>0</v>
      </c>
      <c r="BA1847" s="1">
        <v>0</v>
      </c>
      <c r="BB1847" s="1">
        <v>0</v>
      </c>
      <c r="BC1847" s="1">
        <v>0</v>
      </c>
      <c r="BD1847" s="1">
        <v>0</v>
      </c>
      <c r="BE1847" s="1">
        <v>0</v>
      </c>
      <c r="BF1847" s="1">
        <v>0</v>
      </c>
      <c r="BG1847" s="1">
        <v>0</v>
      </c>
      <c r="BH1847" s="1">
        <v>0</v>
      </c>
      <c r="BI1847" s="1">
        <v>0</v>
      </c>
      <c r="BJ1847" s="1">
        <v>0</v>
      </c>
      <c r="BK1847" s="1">
        <v>0</v>
      </c>
      <c r="BL1847" s="1">
        <v>0</v>
      </c>
      <c r="BM1847" s="1">
        <v>0</v>
      </c>
      <c r="BN1847" s="1">
        <v>0</v>
      </c>
      <c r="BO1847" s="1">
        <v>0</v>
      </c>
      <c r="BP1847" s="1">
        <v>0</v>
      </c>
      <c r="BQ1847" s="1" t="s">
        <v>104</v>
      </c>
      <c r="BR1847" s="1">
        <v>1946</v>
      </c>
      <c r="BS1847" s="1" t="s">
        <v>104</v>
      </c>
      <c r="BX1847" s="1">
        <v>0</v>
      </c>
      <c r="BY1847" s="1" t="s">
        <v>104</v>
      </c>
      <c r="BZ1847" s="1" t="s">
        <v>104</v>
      </c>
      <c r="CA1847" s="1">
        <v>2</v>
      </c>
      <c r="CB1847" s="1" t="s">
        <v>104</v>
      </c>
      <c r="CC1847" s="1">
        <v>2</v>
      </c>
      <c r="CD1847" s="1" t="s">
        <v>104</v>
      </c>
      <c r="CE1847" s="1" t="s">
        <v>104</v>
      </c>
      <c r="CF1847" s="1" t="s">
        <v>104</v>
      </c>
      <c r="CG1847" s="1" t="s">
        <v>104</v>
      </c>
      <c r="CH1847" s="1" t="s">
        <v>104</v>
      </c>
      <c r="CJ1847" s="1">
        <v>0</v>
      </c>
      <c r="CK1847" s="1">
        <v>0</v>
      </c>
      <c r="CL1847" s="1">
        <v>0</v>
      </c>
      <c r="CM1847" s="1" t="s">
        <v>104</v>
      </c>
    </row>
    <row r="1848" spans="1:91" ht="14.25" customHeight="1" x14ac:dyDescent="0.3">
      <c r="A1848" s="1" t="s">
        <v>9943</v>
      </c>
      <c r="B1848" s="1" t="s">
        <v>92</v>
      </c>
      <c r="C1848" s="1" t="s">
        <v>93</v>
      </c>
      <c r="D1848" s="1" t="s">
        <v>64</v>
      </c>
      <c r="E1848" s="1" t="s">
        <v>8414</v>
      </c>
      <c r="F1848" s="1" t="s">
        <v>95</v>
      </c>
      <c r="G1848" s="1" t="s">
        <v>1974</v>
      </c>
      <c r="H1848" s="1">
        <v>0</v>
      </c>
      <c r="I1848" s="1" t="s">
        <v>117</v>
      </c>
      <c r="K1848" s="1" t="s">
        <v>9944</v>
      </c>
      <c r="M1848" s="1" t="s">
        <v>119</v>
      </c>
      <c r="N1848" s="1">
        <v>0</v>
      </c>
      <c r="O1848" s="1">
        <v>0</v>
      </c>
      <c r="P1848" s="1" t="s">
        <v>6205</v>
      </c>
      <c r="Q1848" s="1" t="s">
        <v>101</v>
      </c>
      <c r="R1848" s="1" t="s">
        <v>9945</v>
      </c>
      <c r="S1848" s="1" t="s">
        <v>9569</v>
      </c>
      <c r="T1848" s="1">
        <v>0</v>
      </c>
      <c r="U1848" s="1">
        <v>1</v>
      </c>
      <c r="V1848" s="1">
        <v>0</v>
      </c>
      <c r="W1848" s="1">
        <v>0</v>
      </c>
      <c r="X1848" s="1">
        <v>1</v>
      </c>
      <c r="Y1848" s="1" t="s">
        <v>104</v>
      </c>
      <c r="Z1848" s="1" t="s">
        <v>104</v>
      </c>
      <c r="AA1848" s="1" t="s">
        <v>104</v>
      </c>
      <c r="AB1848" s="1">
        <v>1</v>
      </c>
      <c r="AC1848" s="1" t="s">
        <v>104</v>
      </c>
      <c r="AD1848" s="1" t="s">
        <v>104</v>
      </c>
      <c r="AE1848" s="1" t="s">
        <v>104</v>
      </c>
      <c r="AF1848" s="1" t="s">
        <v>104</v>
      </c>
      <c r="AG1848" s="1" t="s">
        <v>104</v>
      </c>
      <c r="AH1848" s="1">
        <v>1</v>
      </c>
      <c r="AI1848" s="1" t="s">
        <v>104</v>
      </c>
      <c r="AJ1848" s="1" t="s">
        <v>104</v>
      </c>
      <c r="AK1848" s="1" t="s">
        <v>104</v>
      </c>
      <c r="AL1848" s="1" t="s">
        <v>104</v>
      </c>
      <c r="AM1848" s="1" t="s">
        <v>104</v>
      </c>
      <c r="AO1848" s="1">
        <v>1</v>
      </c>
      <c r="AQ1848" s="1" t="s">
        <v>9946</v>
      </c>
      <c r="AR1848" s="1">
        <v>0</v>
      </c>
      <c r="AS1848" s="1">
        <v>0</v>
      </c>
      <c r="AT1848" s="1">
        <v>0</v>
      </c>
      <c r="AU1848" s="1">
        <v>0</v>
      </c>
      <c r="AV1848" s="1">
        <v>0</v>
      </c>
      <c r="AW1848" s="1">
        <v>0</v>
      </c>
      <c r="AX1848" s="1">
        <v>0</v>
      </c>
      <c r="AY1848" s="1">
        <v>0</v>
      </c>
      <c r="AZ1848" s="1">
        <v>0</v>
      </c>
      <c r="BA1848" s="1">
        <v>0</v>
      </c>
      <c r="BB1848" s="1">
        <v>0</v>
      </c>
      <c r="BC1848" s="1">
        <v>0</v>
      </c>
      <c r="BD1848" s="1">
        <v>0</v>
      </c>
      <c r="BE1848" s="1">
        <v>0</v>
      </c>
      <c r="BF1848" s="1">
        <v>0</v>
      </c>
      <c r="BG1848" s="1">
        <v>0</v>
      </c>
      <c r="BH1848" s="1">
        <v>0</v>
      </c>
      <c r="BI1848" s="1">
        <v>0</v>
      </c>
      <c r="BJ1848" s="1">
        <v>0</v>
      </c>
      <c r="BK1848" s="1">
        <v>0</v>
      </c>
      <c r="BL1848" s="1">
        <v>0</v>
      </c>
      <c r="BM1848" s="1">
        <v>1</v>
      </c>
      <c r="BN1848" s="1">
        <v>0</v>
      </c>
      <c r="BO1848" s="1">
        <v>0</v>
      </c>
      <c r="BP1848" s="1">
        <v>0</v>
      </c>
      <c r="BQ1848" s="1" t="s">
        <v>104</v>
      </c>
      <c r="BR1848" s="1">
        <v>1947</v>
      </c>
      <c r="BS1848" s="1" t="s">
        <v>104</v>
      </c>
      <c r="BX1848" s="1">
        <v>0</v>
      </c>
      <c r="BY1848" s="1" t="s">
        <v>104</v>
      </c>
      <c r="BZ1848" s="1" t="s">
        <v>104</v>
      </c>
      <c r="CA1848" s="1" t="s">
        <v>104</v>
      </c>
      <c r="CB1848" s="1" t="s">
        <v>104</v>
      </c>
      <c r="CC1848" s="1" t="s">
        <v>104</v>
      </c>
      <c r="CD1848" s="1" t="s">
        <v>104</v>
      </c>
      <c r="CE1848" s="1" t="s">
        <v>104</v>
      </c>
      <c r="CF1848" s="1" t="s">
        <v>104</v>
      </c>
      <c r="CG1848" s="1" t="s">
        <v>104</v>
      </c>
      <c r="CH1848" s="1">
        <v>1</v>
      </c>
      <c r="CJ1848" s="1">
        <v>0</v>
      </c>
      <c r="CK1848" s="1">
        <v>0</v>
      </c>
      <c r="CL1848" s="1">
        <v>0</v>
      </c>
      <c r="CM1848" s="1" t="s">
        <v>104</v>
      </c>
    </row>
    <row r="1849" spans="1:91" ht="14.25" customHeight="1" x14ac:dyDescent="0.3">
      <c r="A1849" s="1" t="s">
        <v>9947</v>
      </c>
      <c r="B1849" s="1" t="s">
        <v>92</v>
      </c>
      <c r="C1849" s="1" t="s">
        <v>93</v>
      </c>
      <c r="D1849" s="1" t="s">
        <v>64</v>
      </c>
      <c r="E1849" s="1" t="s">
        <v>9948</v>
      </c>
      <c r="F1849" s="1" t="s">
        <v>95</v>
      </c>
      <c r="G1849" s="1" t="s">
        <v>3587</v>
      </c>
      <c r="H1849" s="1">
        <v>0</v>
      </c>
      <c r="I1849" s="1" t="s">
        <v>109</v>
      </c>
      <c r="L1849" s="1" t="s">
        <v>6465</v>
      </c>
      <c r="M1849" s="1" t="s">
        <v>111</v>
      </c>
      <c r="N1849" s="1">
        <v>0</v>
      </c>
      <c r="O1849" s="1">
        <v>0</v>
      </c>
      <c r="P1849" s="1" t="s">
        <v>9949</v>
      </c>
      <c r="Q1849" s="1" t="s">
        <v>101</v>
      </c>
      <c r="R1849" s="1" t="s">
        <v>9950</v>
      </c>
      <c r="S1849" s="1" t="s">
        <v>9569</v>
      </c>
      <c r="T1849" s="1">
        <v>1</v>
      </c>
      <c r="U1849" s="1">
        <v>1</v>
      </c>
      <c r="V1849" s="1">
        <v>1</v>
      </c>
      <c r="W1849" s="1">
        <v>0</v>
      </c>
      <c r="X1849" s="1">
        <v>0</v>
      </c>
      <c r="Y1849" s="1">
        <v>3</v>
      </c>
      <c r="Z1849" s="1">
        <v>3</v>
      </c>
      <c r="AA1849" s="1" t="s">
        <v>104</v>
      </c>
      <c r="AB1849" s="1">
        <v>3</v>
      </c>
      <c r="AC1849" s="1" t="s">
        <v>104</v>
      </c>
      <c r="AD1849" s="1" t="s">
        <v>104</v>
      </c>
      <c r="AE1849" s="1" t="s">
        <v>104</v>
      </c>
      <c r="AF1849" s="1">
        <v>3</v>
      </c>
      <c r="AG1849" s="1" t="s">
        <v>104</v>
      </c>
      <c r="AH1849" s="1">
        <v>3</v>
      </c>
      <c r="AI1849" s="1" t="s">
        <v>104</v>
      </c>
      <c r="AJ1849" s="1" t="s">
        <v>104</v>
      </c>
      <c r="AK1849" s="1" t="s">
        <v>104</v>
      </c>
      <c r="AL1849" s="1">
        <v>3</v>
      </c>
      <c r="AM1849" s="1" t="s">
        <v>104</v>
      </c>
      <c r="AO1849" s="1">
        <v>3</v>
      </c>
      <c r="AQ1849" s="1" t="s">
        <v>9951</v>
      </c>
      <c r="AR1849" s="1">
        <v>0</v>
      </c>
      <c r="AS1849" s="1">
        <v>0</v>
      </c>
      <c r="AT1849" s="1">
        <v>0</v>
      </c>
      <c r="AU1849" s="1">
        <v>0</v>
      </c>
      <c r="AV1849" s="1">
        <v>0</v>
      </c>
      <c r="AW1849" s="1">
        <v>0</v>
      </c>
      <c r="AX1849" s="1">
        <v>0</v>
      </c>
      <c r="AY1849" s="1">
        <v>0</v>
      </c>
      <c r="AZ1849" s="1">
        <v>0</v>
      </c>
      <c r="BA1849" s="1">
        <v>0</v>
      </c>
      <c r="BB1849" s="1">
        <v>0</v>
      </c>
      <c r="BC1849" s="1">
        <v>0</v>
      </c>
      <c r="BD1849" s="1">
        <v>0</v>
      </c>
      <c r="BE1849" s="1">
        <v>0</v>
      </c>
      <c r="BF1849" s="1">
        <v>0</v>
      </c>
      <c r="BG1849" s="1">
        <v>0</v>
      </c>
      <c r="BH1849" s="1">
        <v>0</v>
      </c>
      <c r="BI1849" s="1">
        <v>0</v>
      </c>
      <c r="BJ1849" s="1">
        <v>0</v>
      </c>
      <c r="BK1849" s="1">
        <v>0</v>
      </c>
      <c r="BL1849" s="1">
        <v>0</v>
      </c>
      <c r="BM1849" s="1">
        <v>1</v>
      </c>
      <c r="BN1849" s="1">
        <v>0</v>
      </c>
      <c r="BO1849" s="1">
        <v>0</v>
      </c>
      <c r="BP1849" s="1">
        <v>0</v>
      </c>
      <c r="BQ1849" s="1" t="s">
        <v>104</v>
      </c>
      <c r="BR1849" s="1">
        <v>1948</v>
      </c>
      <c r="BS1849" s="1" t="s">
        <v>104</v>
      </c>
      <c r="BX1849" s="1">
        <v>0</v>
      </c>
      <c r="BY1849" s="1" t="s">
        <v>104</v>
      </c>
      <c r="BZ1849" s="1">
        <v>3</v>
      </c>
      <c r="CA1849" s="1" t="s">
        <v>104</v>
      </c>
      <c r="CB1849" s="1" t="s">
        <v>104</v>
      </c>
      <c r="CC1849" s="1" t="s">
        <v>104</v>
      </c>
      <c r="CD1849" s="1" t="s">
        <v>104</v>
      </c>
      <c r="CE1849" s="1" t="s">
        <v>104</v>
      </c>
      <c r="CF1849" s="1" t="s">
        <v>104</v>
      </c>
      <c r="CG1849" s="1" t="s">
        <v>104</v>
      </c>
      <c r="CH1849" s="1">
        <v>3</v>
      </c>
      <c r="CJ1849" s="1">
        <v>0</v>
      </c>
      <c r="CK1849" s="1">
        <v>0</v>
      </c>
      <c r="CL1849" s="1">
        <v>0</v>
      </c>
      <c r="CM1849" s="1" t="s">
        <v>104</v>
      </c>
    </row>
    <row r="1850" spans="1:91" ht="14.25" customHeight="1" x14ac:dyDescent="0.3">
      <c r="A1850" s="1" t="s">
        <v>9952</v>
      </c>
      <c r="B1850" s="1" t="s">
        <v>92</v>
      </c>
      <c r="C1850" s="1" t="s">
        <v>523</v>
      </c>
      <c r="E1850" s="1" t="s">
        <v>4285</v>
      </c>
      <c r="F1850" s="1" t="s">
        <v>95</v>
      </c>
      <c r="G1850" s="1" t="s">
        <v>116</v>
      </c>
      <c r="H1850" s="1">
        <v>0</v>
      </c>
      <c r="I1850" s="1" t="s">
        <v>9953</v>
      </c>
      <c r="J1850" s="1" t="s">
        <v>9954</v>
      </c>
      <c r="M1850" s="1" t="s">
        <v>111</v>
      </c>
      <c r="N1850" s="1">
        <v>0</v>
      </c>
      <c r="O1850" s="1">
        <v>0</v>
      </c>
      <c r="P1850" s="1" t="s">
        <v>100</v>
      </c>
      <c r="Q1850" s="1" t="s">
        <v>101</v>
      </c>
      <c r="R1850" s="1" t="s">
        <v>9955</v>
      </c>
      <c r="S1850" s="1" t="s">
        <v>9569</v>
      </c>
      <c r="T1850" s="1">
        <v>1</v>
      </c>
      <c r="U1850" s="1">
        <v>1</v>
      </c>
      <c r="V1850" s="1">
        <v>0</v>
      </c>
      <c r="W1850" s="1">
        <v>0</v>
      </c>
      <c r="X1850" s="1">
        <v>0</v>
      </c>
      <c r="Y1850" s="1" t="s">
        <v>104</v>
      </c>
      <c r="Z1850" s="1" t="s">
        <v>104</v>
      </c>
      <c r="AA1850" s="1">
        <v>2</v>
      </c>
      <c r="AB1850" s="1" t="s">
        <v>104</v>
      </c>
      <c r="AC1850" s="1" t="s">
        <v>104</v>
      </c>
      <c r="AD1850" s="1">
        <v>2</v>
      </c>
      <c r="AE1850" s="1" t="s">
        <v>104</v>
      </c>
      <c r="AF1850" s="1" t="s">
        <v>104</v>
      </c>
      <c r="AG1850" s="1" t="s">
        <v>104</v>
      </c>
      <c r="AH1850" s="1" t="s">
        <v>104</v>
      </c>
      <c r="AI1850" s="1" t="s">
        <v>104</v>
      </c>
      <c r="AJ1850" s="1">
        <v>2</v>
      </c>
      <c r="AK1850" s="1" t="s">
        <v>104</v>
      </c>
      <c r="AL1850" s="1" t="s">
        <v>104</v>
      </c>
      <c r="AM1850" s="1" t="s">
        <v>104</v>
      </c>
      <c r="AO1850" s="1">
        <v>2</v>
      </c>
      <c r="AQ1850" s="1" t="s">
        <v>9956</v>
      </c>
      <c r="AR1850" s="1">
        <v>0</v>
      </c>
      <c r="AS1850" s="1">
        <v>0</v>
      </c>
      <c r="AT1850" s="1">
        <v>0</v>
      </c>
      <c r="AU1850" s="1">
        <v>0</v>
      </c>
      <c r="AV1850" s="1">
        <v>0</v>
      </c>
      <c r="AW1850" s="1">
        <v>0</v>
      </c>
      <c r="AX1850" s="1">
        <v>0</v>
      </c>
      <c r="AY1850" s="1">
        <v>0</v>
      </c>
      <c r="AZ1850" s="1">
        <v>0</v>
      </c>
      <c r="BA1850" s="1">
        <v>0</v>
      </c>
      <c r="BB1850" s="1">
        <v>0</v>
      </c>
      <c r="BC1850" s="1">
        <v>0</v>
      </c>
      <c r="BD1850" s="1">
        <v>0</v>
      </c>
      <c r="BE1850" s="1">
        <v>0</v>
      </c>
      <c r="BF1850" s="1">
        <v>0</v>
      </c>
      <c r="BG1850" s="1">
        <v>0</v>
      </c>
      <c r="BH1850" s="1">
        <v>0</v>
      </c>
      <c r="BI1850" s="1">
        <v>0</v>
      </c>
      <c r="BJ1850" s="1">
        <v>0</v>
      </c>
      <c r="BK1850" s="1">
        <v>0</v>
      </c>
      <c r="BL1850" s="1">
        <v>0</v>
      </c>
      <c r="BM1850" s="1">
        <v>0</v>
      </c>
      <c r="BN1850" s="1">
        <v>0</v>
      </c>
      <c r="BO1850" s="1">
        <v>0</v>
      </c>
      <c r="BP1850" s="1">
        <v>0</v>
      </c>
      <c r="BQ1850" s="1" t="s">
        <v>104</v>
      </c>
      <c r="BR1850" s="1">
        <v>1949</v>
      </c>
      <c r="BS1850" s="1" t="s">
        <v>104</v>
      </c>
      <c r="BX1850" s="1">
        <v>0</v>
      </c>
      <c r="BY1850" s="1" t="s">
        <v>104</v>
      </c>
      <c r="BZ1850" s="1" t="s">
        <v>104</v>
      </c>
      <c r="CA1850" s="1" t="s">
        <v>104</v>
      </c>
      <c r="CB1850" s="1" t="s">
        <v>104</v>
      </c>
      <c r="CC1850" s="1" t="s">
        <v>104</v>
      </c>
      <c r="CD1850" s="1" t="s">
        <v>104</v>
      </c>
      <c r="CE1850" s="1" t="s">
        <v>104</v>
      </c>
      <c r="CF1850" s="1" t="s">
        <v>104</v>
      </c>
      <c r="CG1850" s="1" t="s">
        <v>104</v>
      </c>
      <c r="CH1850" s="1" t="s">
        <v>104</v>
      </c>
      <c r="CJ1850" s="1">
        <v>0</v>
      </c>
      <c r="CK1850" s="1">
        <v>0</v>
      </c>
      <c r="CL1850" s="1">
        <v>0</v>
      </c>
      <c r="CM1850" s="1" t="s">
        <v>104</v>
      </c>
    </row>
    <row r="1851" spans="1:91" ht="14.25" customHeight="1" x14ac:dyDescent="0.3">
      <c r="A1851" s="1" t="s">
        <v>9957</v>
      </c>
      <c r="B1851" s="1" t="s">
        <v>92</v>
      </c>
      <c r="C1851" s="1" t="s">
        <v>523</v>
      </c>
      <c r="E1851" s="1" t="s">
        <v>4290</v>
      </c>
      <c r="F1851" s="1" t="s">
        <v>95</v>
      </c>
      <c r="G1851" s="1" t="s">
        <v>116</v>
      </c>
      <c r="H1851" s="1">
        <v>0</v>
      </c>
      <c r="I1851" s="1" t="s">
        <v>9953</v>
      </c>
      <c r="J1851" s="1" t="s">
        <v>9954</v>
      </c>
      <c r="M1851" s="1" t="s">
        <v>111</v>
      </c>
      <c r="N1851" s="1">
        <v>0</v>
      </c>
      <c r="O1851" s="1">
        <v>0</v>
      </c>
      <c r="P1851" s="1" t="s">
        <v>100</v>
      </c>
      <c r="Q1851" s="1" t="s">
        <v>101</v>
      </c>
      <c r="R1851" s="1" t="s">
        <v>9958</v>
      </c>
      <c r="S1851" s="1" t="s">
        <v>9569</v>
      </c>
      <c r="T1851" s="1">
        <v>1</v>
      </c>
      <c r="U1851" s="1">
        <v>1</v>
      </c>
      <c r="V1851" s="1">
        <v>0</v>
      </c>
      <c r="W1851" s="1">
        <v>0</v>
      </c>
      <c r="X1851" s="1">
        <v>0</v>
      </c>
      <c r="Y1851" s="1" t="s">
        <v>104</v>
      </c>
      <c r="Z1851" s="1" t="s">
        <v>104</v>
      </c>
      <c r="AA1851" s="1">
        <v>4</v>
      </c>
      <c r="AB1851" s="1" t="s">
        <v>104</v>
      </c>
      <c r="AC1851" s="1" t="s">
        <v>104</v>
      </c>
      <c r="AD1851" s="1">
        <v>4</v>
      </c>
      <c r="AE1851" s="1" t="s">
        <v>104</v>
      </c>
      <c r="AF1851" s="1" t="s">
        <v>104</v>
      </c>
      <c r="AG1851" s="1" t="s">
        <v>104</v>
      </c>
      <c r="AH1851" s="1" t="s">
        <v>104</v>
      </c>
      <c r="AI1851" s="1" t="s">
        <v>104</v>
      </c>
      <c r="AJ1851" s="1">
        <v>4</v>
      </c>
      <c r="AK1851" s="1" t="s">
        <v>104</v>
      </c>
      <c r="AL1851" s="1" t="s">
        <v>104</v>
      </c>
      <c r="AM1851" s="1" t="s">
        <v>104</v>
      </c>
      <c r="AO1851" s="1">
        <v>4</v>
      </c>
      <c r="AQ1851" s="1" t="s">
        <v>9959</v>
      </c>
      <c r="AR1851" s="1">
        <v>0</v>
      </c>
      <c r="AS1851" s="1">
        <v>0</v>
      </c>
      <c r="AT1851" s="1">
        <v>0</v>
      </c>
      <c r="AU1851" s="1">
        <v>0</v>
      </c>
      <c r="AV1851" s="1">
        <v>0</v>
      </c>
      <c r="AW1851" s="1">
        <v>0</v>
      </c>
      <c r="AX1851" s="1">
        <v>0</v>
      </c>
      <c r="AY1851" s="1">
        <v>0</v>
      </c>
      <c r="AZ1851" s="1">
        <v>0</v>
      </c>
      <c r="BA1851" s="1">
        <v>0</v>
      </c>
      <c r="BB1851" s="1">
        <v>0</v>
      </c>
      <c r="BC1851" s="1">
        <v>0</v>
      </c>
      <c r="BD1851" s="1">
        <v>0</v>
      </c>
      <c r="BE1851" s="1">
        <v>0</v>
      </c>
      <c r="BF1851" s="1">
        <v>0</v>
      </c>
      <c r="BG1851" s="1">
        <v>0</v>
      </c>
      <c r="BH1851" s="1">
        <v>0</v>
      </c>
      <c r="BI1851" s="1">
        <v>0</v>
      </c>
      <c r="BJ1851" s="1">
        <v>0</v>
      </c>
      <c r="BK1851" s="1">
        <v>0</v>
      </c>
      <c r="BL1851" s="1">
        <v>0</v>
      </c>
      <c r="BM1851" s="1">
        <v>0</v>
      </c>
      <c r="BN1851" s="1">
        <v>0</v>
      </c>
      <c r="BO1851" s="1">
        <v>0</v>
      </c>
      <c r="BP1851" s="1">
        <v>0</v>
      </c>
      <c r="BQ1851" s="1" t="s">
        <v>104</v>
      </c>
      <c r="BR1851" s="1">
        <v>1950</v>
      </c>
      <c r="BS1851" s="1" t="s">
        <v>104</v>
      </c>
      <c r="BX1851" s="1">
        <v>0</v>
      </c>
      <c r="BY1851" s="1" t="s">
        <v>104</v>
      </c>
      <c r="BZ1851" s="1" t="s">
        <v>104</v>
      </c>
      <c r="CA1851" s="1" t="s">
        <v>104</v>
      </c>
      <c r="CB1851" s="1" t="s">
        <v>104</v>
      </c>
      <c r="CC1851" s="1" t="s">
        <v>104</v>
      </c>
      <c r="CD1851" s="1" t="s">
        <v>104</v>
      </c>
      <c r="CE1851" s="1" t="s">
        <v>104</v>
      </c>
      <c r="CF1851" s="1" t="s">
        <v>104</v>
      </c>
      <c r="CG1851" s="1" t="s">
        <v>104</v>
      </c>
      <c r="CH1851" s="1" t="s">
        <v>104</v>
      </c>
      <c r="CJ1851" s="1">
        <v>0</v>
      </c>
      <c r="CK1851" s="1">
        <v>0</v>
      </c>
      <c r="CL1851" s="1">
        <v>0</v>
      </c>
      <c r="CM1851" s="1" t="s">
        <v>104</v>
      </c>
    </row>
    <row r="1852" spans="1:91" ht="14.25" customHeight="1" x14ac:dyDescent="0.3">
      <c r="A1852" s="1" t="s">
        <v>9960</v>
      </c>
      <c r="B1852" s="1" t="s">
        <v>137</v>
      </c>
      <c r="E1852" s="1" t="s">
        <v>9961</v>
      </c>
      <c r="F1852" s="1" t="s">
        <v>95</v>
      </c>
      <c r="G1852" s="1" t="s">
        <v>9962</v>
      </c>
      <c r="H1852" s="1">
        <v>0</v>
      </c>
      <c r="I1852" s="1" t="s">
        <v>157</v>
      </c>
      <c r="L1852" s="1" t="s">
        <v>158</v>
      </c>
      <c r="M1852" s="1" t="s">
        <v>426</v>
      </c>
      <c r="N1852" s="1">
        <v>1</v>
      </c>
      <c r="O1852" s="1">
        <v>0</v>
      </c>
      <c r="R1852" s="1" t="s">
        <v>9963</v>
      </c>
      <c r="S1852" s="1" t="s">
        <v>9569</v>
      </c>
      <c r="T1852" s="1">
        <v>1</v>
      </c>
      <c r="U1852" s="1">
        <v>1</v>
      </c>
      <c r="V1852" s="1">
        <v>1</v>
      </c>
      <c r="W1852" s="1">
        <v>0</v>
      </c>
      <c r="X1852" s="1">
        <v>1</v>
      </c>
      <c r="Y1852" s="1" t="s">
        <v>104</v>
      </c>
      <c r="Z1852" s="1" t="s">
        <v>104</v>
      </c>
      <c r="AA1852" s="1">
        <v>4</v>
      </c>
      <c r="AB1852" s="1" t="s">
        <v>104</v>
      </c>
      <c r="AC1852" s="1" t="s">
        <v>104</v>
      </c>
      <c r="AD1852" s="1" t="s">
        <v>104</v>
      </c>
      <c r="AE1852" s="1" t="s">
        <v>104</v>
      </c>
      <c r="AF1852" s="1">
        <v>4</v>
      </c>
      <c r="AG1852" s="1" t="s">
        <v>104</v>
      </c>
      <c r="AH1852" s="1">
        <v>4</v>
      </c>
      <c r="AI1852" s="1">
        <v>4</v>
      </c>
      <c r="AJ1852" s="1">
        <v>4</v>
      </c>
      <c r="AK1852" s="1" t="s">
        <v>104</v>
      </c>
      <c r="AL1852" s="1" t="s">
        <v>104</v>
      </c>
      <c r="AM1852" s="1" t="s">
        <v>104</v>
      </c>
      <c r="AO1852" s="1">
        <v>4</v>
      </c>
      <c r="AQ1852" s="1" t="s">
        <v>9964</v>
      </c>
      <c r="AR1852" s="1">
        <v>0</v>
      </c>
      <c r="AS1852" s="1">
        <v>0</v>
      </c>
      <c r="AT1852" s="1">
        <v>0</v>
      </c>
      <c r="AU1852" s="1">
        <v>0</v>
      </c>
      <c r="AV1852" s="1">
        <v>0</v>
      </c>
      <c r="AW1852" s="1">
        <v>0</v>
      </c>
      <c r="AX1852" s="1">
        <v>0</v>
      </c>
      <c r="AY1852" s="1">
        <v>0</v>
      </c>
      <c r="AZ1852" s="1">
        <v>0</v>
      </c>
      <c r="BA1852" s="1">
        <v>0</v>
      </c>
      <c r="BB1852" s="1">
        <v>0</v>
      </c>
      <c r="BC1852" s="1">
        <v>0</v>
      </c>
      <c r="BD1852" s="1">
        <v>0</v>
      </c>
      <c r="BE1852" s="1">
        <v>0</v>
      </c>
      <c r="BF1852" s="1">
        <v>0</v>
      </c>
      <c r="BG1852" s="1">
        <v>0</v>
      </c>
      <c r="BH1852" s="1">
        <v>0</v>
      </c>
      <c r="BI1852" s="1">
        <v>0</v>
      </c>
      <c r="BJ1852" s="1">
        <v>0</v>
      </c>
      <c r="BK1852" s="1">
        <v>0</v>
      </c>
      <c r="BL1852" s="1">
        <v>0</v>
      </c>
      <c r="BM1852" s="1">
        <v>0</v>
      </c>
      <c r="BN1852" s="1">
        <v>0</v>
      </c>
      <c r="BO1852" s="1">
        <v>0</v>
      </c>
      <c r="BP1852" s="1">
        <v>0</v>
      </c>
      <c r="BQ1852" s="1" t="s">
        <v>104</v>
      </c>
      <c r="BR1852" s="1">
        <v>1951</v>
      </c>
      <c r="BS1852" s="1" t="s">
        <v>104</v>
      </c>
      <c r="BX1852" s="1">
        <v>0</v>
      </c>
      <c r="BY1852" s="1" t="s">
        <v>104</v>
      </c>
      <c r="BZ1852" s="1">
        <v>4</v>
      </c>
      <c r="CA1852" s="1">
        <v>4</v>
      </c>
      <c r="CB1852" s="1" t="s">
        <v>104</v>
      </c>
      <c r="CC1852" s="1" t="s">
        <v>104</v>
      </c>
      <c r="CD1852" s="1" t="s">
        <v>104</v>
      </c>
      <c r="CE1852" s="1" t="s">
        <v>104</v>
      </c>
      <c r="CF1852" s="1" t="s">
        <v>104</v>
      </c>
      <c r="CG1852" s="1" t="s">
        <v>104</v>
      </c>
      <c r="CH1852" s="1" t="s">
        <v>104</v>
      </c>
      <c r="CJ1852" s="1">
        <v>0</v>
      </c>
      <c r="CK1852" s="1">
        <v>0</v>
      </c>
      <c r="CL1852" s="1">
        <v>0</v>
      </c>
      <c r="CM1852" s="1" t="s">
        <v>104</v>
      </c>
    </row>
    <row r="1853" spans="1:91" ht="14.25" customHeight="1" x14ac:dyDescent="0.3">
      <c r="A1853" s="1" t="s">
        <v>9965</v>
      </c>
      <c r="B1853" s="1" t="s">
        <v>216</v>
      </c>
      <c r="E1853" s="1" t="s">
        <v>9966</v>
      </c>
      <c r="F1853" s="1" t="s">
        <v>95</v>
      </c>
      <c r="G1853" s="1" t="s">
        <v>116</v>
      </c>
      <c r="H1853" s="1">
        <v>0</v>
      </c>
      <c r="I1853" s="1" t="s">
        <v>157</v>
      </c>
      <c r="L1853" s="1" t="s">
        <v>158</v>
      </c>
      <c r="M1853" s="1" t="s">
        <v>4292</v>
      </c>
      <c r="N1853" s="1">
        <v>0</v>
      </c>
      <c r="O1853" s="1">
        <v>0</v>
      </c>
      <c r="R1853" s="1" t="s">
        <v>9967</v>
      </c>
      <c r="S1853" s="1" t="s">
        <v>9569</v>
      </c>
      <c r="T1853" s="1">
        <v>1</v>
      </c>
      <c r="U1853" s="1">
        <v>1</v>
      </c>
      <c r="V1853" s="1">
        <v>0</v>
      </c>
      <c r="W1853" s="1">
        <v>0</v>
      </c>
      <c r="X1853" s="1">
        <v>0</v>
      </c>
      <c r="Y1853" s="1">
        <v>1</v>
      </c>
      <c r="Z1853" s="1">
        <v>1</v>
      </c>
      <c r="AA1853" s="1" t="s">
        <v>104</v>
      </c>
      <c r="AB1853" s="1" t="s">
        <v>104</v>
      </c>
      <c r="AC1853" s="1" t="s">
        <v>104</v>
      </c>
      <c r="AD1853" s="1" t="s">
        <v>104</v>
      </c>
      <c r="AE1853" s="1" t="s">
        <v>104</v>
      </c>
      <c r="AF1853" s="1">
        <v>1</v>
      </c>
      <c r="AG1853" s="1" t="s">
        <v>104</v>
      </c>
      <c r="AH1853" s="1" t="s">
        <v>104</v>
      </c>
      <c r="AI1853" s="1" t="s">
        <v>104</v>
      </c>
      <c r="AJ1853" s="1" t="s">
        <v>104</v>
      </c>
      <c r="AK1853" s="1" t="s">
        <v>104</v>
      </c>
      <c r="AL1853" s="1">
        <v>1</v>
      </c>
      <c r="AM1853" s="1" t="s">
        <v>104</v>
      </c>
      <c r="AO1853" s="1">
        <v>1</v>
      </c>
      <c r="AQ1853" s="1" t="s">
        <v>9968</v>
      </c>
      <c r="AR1853" s="1">
        <v>0</v>
      </c>
      <c r="AS1853" s="1">
        <v>0</v>
      </c>
      <c r="AT1853" s="1">
        <v>0</v>
      </c>
      <c r="AU1853" s="1">
        <v>0</v>
      </c>
      <c r="AV1853" s="1">
        <v>0</v>
      </c>
      <c r="AW1853" s="1">
        <v>0</v>
      </c>
      <c r="AX1853" s="1">
        <v>0</v>
      </c>
      <c r="AY1853" s="1">
        <v>0</v>
      </c>
      <c r="AZ1853" s="1">
        <v>0</v>
      </c>
      <c r="BA1853" s="1">
        <v>0</v>
      </c>
      <c r="BB1853" s="1">
        <v>0</v>
      </c>
      <c r="BC1853" s="1">
        <v>0</v>
      </c>
      <c r="BD1853" s="1">
        <v>0</v>
      </c>
      <c r="BE1853" s="1">
        <v>0</v>
      </c>
      <c r="BF1853" s="1">
        <v>0</v>
      </c>
      <c r="BG1853" s="1">
        <v>0</v>
      </c>
      <c r="BH1853" s="1">
        <v>0</v>
      </c>
      <c r="BI1853" s="1">
        <v>0</v>
      </c>
      <c r="BJ1853" s="1">
        <v>0</v>
      </c>
      <c r="BK1853" s="1">
        <v>0</v>
      </c>
      <c r="BL1853" s="1">
        <v>0</v>
      </c>
      <c r="BM1853" s="1">
        <v>0</v>
      </c>
      <c r="BN1853" s="1">
        <v>0</v>
      </c>
      <c r="BO1853" s="1">
        <v>0</v>
      </c>
      <c r="BP1853" s="1">
        <v>0</v>
      </c>
      <c r="BQ1853" s="1" t="s">
        <v>104</v>
      </c>
      <c r="BR1853" s="1">
        <v>1952</v>
      </c>
      <c r="BS1853" s="1" t="s">
        <v>104</v>
      </c>
      <c r="BX1853" s="1">
        <v>0</v>
      </c>
      <c r="BY1853" s="1">
        <v>1</v>
      </c>
      <c r="BZ1853" s="1" t="s">
        <v>104</v>
      </c>
      <c r="CA1853" s="1" t="s">
        <v>104</v>
      </c>
      <c r="CB1853" s="1" t="s">
        <v>104</v>
      </c>
      <c r="CC1853" s="1" t="s">
        <v>104</v>
      </c>
      <c r="CD1853" s="1" t="s">
        <v>104</v>
      </c>
      <c r="CE1853" s="1">
        <v>1</v>
      </c>
      <c r="CF1853" s="1" t="s">
        <v>104</v>
      </c>
      <c r="CG1853" s="1" t="s">
        <v>104</v>
      </c>
      <c r="CH1853" s="1" t="s">
        <v>104</v>
      </c>
      <c r="CJ1853" s="1">
        <v>0</v>
      </c>
      <c r="CK1853" s="1">
        <v>0</v>
      </c>
      <c r="CL1853" s="1">
        <v>0</v>
      </c>
      <c r="CM1853" s="1" t="s">
        <v>104</v>
      </c>
    </row>
    <row r="1854" spans="1:91" ht="14.25" customHeight="1" x14ac:dyDescent="0.3">
      <c r="A1854" s="1" t="s">
        <v>9969</v>
      </c>
      <c r="B1854" s="1" t="s">
        <v>172</v>
      </c>
      <c r="E1854" s="1" t="s">
        <v>9970</v>
      </c>
      <c r="F1854" s="1" t="s">
        <v>95</v>
      </c>
      <c r="G1854" s="1" t="s">
        <v>116</v>
      </c>
      <c r="H1854" s="1">
        <v>0</v>
      </c>
      <c r="I1854" s="1" t="s">
        <v>157</v>
      </c>
      <c r="L1854" s="1" t="s">
        <v>158</v>
      </c>
      <c r="M1854" s="1" t="s">
        <v>2330</v>
      </c>
      <c r="N1854" s="1">
        <v>0</v>
      </c>
      <c r="O1854" s="1">
        <v>0</v>
      </c>
      <c r="R1854" s="1" t="s">
        <v>9971</v>
      </c>
      <c r="S1854" s="1" t="s">
        <v>9569</v>
      </c>
      <c r="T1854" s="1">
        <v>1</v>
      </c>
      <c r="U1854" s="1">
        <v>1</v>
      </c>
      <c r="V1854" s="1">
        <v>0</v>
      </c>
      <c r="W1854" s="1">
        <v>0</v>
      </c>
      <c r="X1854" s="1">
        <v>0</v>
      </c>
      <c r="Y1854" s="1">
        <v>3</v>
      </c>
      <c r="Z1854" s="1">
        <v>3</v>
      </c>
      <c r="AA1854" s="1" t="s">
        <v>104</v>
      </c>
      <c r="AB1854" s="1" t="s">
        <v>104</v>
      </c>
      <c r="AC1854" s="1" t="s">
        <v>104</v>
      </c>
      <c r="AD1854" s="1">
        <v>3</v>
      </c>
      <c r="AE1854" s="1" t="s">
        <v>104</v>
      </c>
      <c r="AF1854" s="1" t="s">
        <v>104</v>
      </c>
      <c r="AG1854" s="1" t="s">
        <v>104</v>
      </c>
      <c r="AH1854" s="1">
        <v>3</v>
      </c>
      <c r="AI1854" s="1" t="s">
        <v>104</v>
      </c>
      <c r="AJ1854" s="1" t="s">
        <v>104</v>
      </c>
      <c r="AK1854" s="1" t="s">
        <v>104</v>
      </c>
      <c r="AL1854" s="1" t="s">
        <v>104</v>
      </c>
      <c r="AM1854" s="1" t="s">
        <v>104</v>
      </c>
      <c r="AO1854" s="1">
        <v>3</v>
      </c>
      <c r="AQ1854" s="1" t="s">
        <v>9972</v>
      </c>
      <c r="AR1854" s="1">
        <v>0</v>
      </c>
      <c r="AS1854" s="1">
        <v>0</v>
      </c>
      <c r="AT1854" s="1">
        <v>0</v>
      </c>
      <c r="AU1854" s="1">
        <v>0</v>
      </c>
      <c r="AV1854" s="1">
        <v>0</v>
      </c>
      <c r="AW1854" s="1">
        <v>0</v>
      </c>
      <c r="AX1854" s="1">
        <v>0</v>
      </c>
      <c r="AY1854" s="1">
        <v>0</v>
      </c>
      <c r="AZ1854" s="1">
        <v>0</v>
      </c>
      <c r="BA1854" s="1">
        <v>0</v>
      </c>
      <c r="BB1854" s="1">
        <v>0</v>
      </c>
      <c r="BC1854" s="1">
        <v>0</v>
      </c>
      <c r="BD1854" s="1">
        <v>0</v>
      </c>
      <c r="BE1854" s="1">
        <v>0</v>
      </c>
      <c r="BF1854" s="1">
        <v>0</v>
      </c>
      <c r="BG1854" s="1">
        <v>0</v>
      </c>
      <c r="BH1854" s="1">
        <v>0</v>
      </c>
      <c r="BI1854" s="1">
        <v>0</v>
      </c>
      <c r="BJ1854" s="1">
        <v>0</v>
      </c>
      <c r="BK1854" s="1">
        <v>0</v>
      </c>
      <c r="BL1854" s="1">
        <v>0</v>
      </c>
      <c r="BM1854" s="1">
        <v>0</v>
      </c>
      <c r="BN1854" s="1">
        <v>0</v>
      </c>
      <c r="BO1854" s="1">
        <v>0</v>
      </c>
      <c r="BP1854" s="1">
        <v>0</v>
      </c>
      <c r="BQ1854" s="1" t="s">
        <v>104</v>
      </c>
      <c r="BR1854" s="1">
        <v>1953</v>
      </c>
      <c r="BS1854" s="1" t="s">
        <v>104</v>
      </c>
      <c r="BX1854" s="1">
        <v>0</v>
      </c>
      <c r="BY1854" s="1" t="s">
        <v>104</v>
      </c>
      <c r="BZ1854" s="1">
        <v>3</v>
      </c>
      <c r="CA1854" s="1">
        <v>3</v>
      </c>
      <c r="CB1854" s="1">
        <v>3</v>
      </c>
      <c r="CC1854" s="1" t="s">
        <v>104</v>
      </c>
      <c r="CD1854" s="1">
        <v>3</v>
      </c>
      <c r="CE1854" s="1" t="s">
        <v>104</v>
      </c>
      <c r="CF1854" s="1" t="s">
        <v>104</v>
      </c>
      <c r="CG1854" s="1" t="s">
        <v>104</v>
      </c>
      <c r="CH1854" s="1" t="s">
        <v>104</v>
      </c>
      <c r="CJ1854" s="1">
        <v>0</v>
      </c>
      <c r="CK1854" s="1">
        <v>0</v>
      </c>
      <c r="CL1854" s="1">
        <v>0</v>
      </c>
      <c r="CM1854" s="1" t="s">
        <v>104</v>
      </c>
    </row>
    <row r="1855" spans="1:91" ht="14.25" customHeight="1" x14ac:dyDescent="0.3">
      <c r="A1855" s="1" t="s">
        <v>9973</v>
      </c>
      <c r="B1855" s="1" t="s">
        <v>123</v>
      </c>
      <c r="C1855" s="1" t="s">
        <v>124</v>
      </c>
      <c r="D1855" s="1" t="s">
        <v>9974</v>
      </c>
      <c r="E1855" s="1" t="s">
        <v>9159</v>
      </c>
      <c r="F1855" s="1" t="s">
        <v>95</v>
      </c>
      <c r="G1855" s="1" t="s">
        <v>127</v>
      </c>
      <c r="H1855" s="1">
        <v>0</v>
      </c>
      <c r="I1855" s="1" t="s">
        <v>697</v>
      </c>
      <c r="L1855" s="1" t="s">
        <v>9975</v>
      </c>
      <c r="M1855" s="1" t="s">
        <v>111</v>
      </c>
      <c r="N1855" s="1">
        <v>0</v>
      </c>
      <c r="O1855" s="1">
        <v>0</v>
      </c>
      <c r="P1855" s="1" t="s">
        <v>100</v>
      </c>
      <c r="Q1855" s="1" t="s">
        <v>184</v>
      </c>
      <c r="R1855" s="1" t="s">
        <v>9976</v>
      </c>
      <c r="S1855" s="1" t="s">
        <v>9569</v>
      </c>
      <c r="T1855" s="1">
        <v>1</v>
      </c>
      <c r="U1855" s="1">
        <v>1</v>
      </c>
      <c r="V1855" s="1">
        <v>0</v>
      </c>
      <c r="W1855" s="1">
        <v>0</v>
      </c>
      <c r="X1855" s="1">
        <v>1</v>
      </c>
      <c r="Y1855" s="1" t="s">
        <v>104</v>
      </c>
      <c r="Z1855" s="1" t="s">
        <v>104</v>
      </c>
      <c r="AA1855" s="1">
        <v>5</v>
      </c>
      <c r="AB1855" s="1" t="s">
        <v>104</v>
      </c>
      <c r="AC1855" s="1" t="s">
        <v>104</v>
      </c>
      <c r="AD1855" s="1" t="s">
        <v>104</v>
      </c>
      <c r="AE1855" s="1">
        <v>4</v>
      </c>
      <c r="AF1855" s="1" t="s">
        <v>104</v>
      </c>
      <c r="AG1855" s="1" t="s">
        <v>104</v>
      </c>
      <c r="AH1855" s="1" t="s">
        <v>104</v>
      </c>
      <c r="AI1855" s="1">
        <v>4</v>
      </c>
      <c r="AJ1855" s="1">
        <v>5</v>
      </c>
      <c r="AK1855" s="1" t="s">
        <v>104</v>
      </c>
      <c r="AL1855" s="1" t="s">
        <v>104</v>
      </c>
      <c r="AM1855" s="1" t="s">
        <v>104</v>
      </c>
      <c r="AO1855" s="1">
        <v>5</v>
      </c>
      <c r="AQ1855" s="1" t="s">
        <v>9977</v>
      </c>
      <c r="AR1855" s="1">
        <v>0</v>
      </c>
      <c r="AS1855" s="1">
        <v>0</v>
      </c>
      <c r="AT1855" s="1">
        <v>0</v>
      </c>
      <c r="AU1855" s="1">
        <v>0</v>
      </c>
      <c r="AV1855" s="1">
        <v>0</v>
      </c>
      <c r="AW1855" s="1">
        <v>0</v>
      </c>
      <c r="AX1855" s="1">
        <v>0</v>
      </c>
      <c r="AY1855" s="1">
        <v>0</v>
      </c>
      <c r="AZ1855" s="1">
        <v>0</v>
      </c>
      <c r="BA1855" s="1">
        <v>0</v>
      </c>
      <c r="BB1855" s="1">
        <v>0</v>
      </c>
      <c r="BC1855" s="1">
        <v>0</v>
      </c>
      <c r="BD1855" s="1">
        <v>0</v>
      </c>
      <c r="BE1855" s="1">
        <v>0</v>
      </c>
      <c r="BF1855" s="1">
        <v>0</v>
      </c>
      <c r="BG1855" s="1">
        <v>0</v>
      </c>
      <c r="BH1855" s="1">
        <v>0</v>
      </c>
      <c r="BI1855" s="1">
        <v>0</v>
      </c>
      <c r="BJ1855" s="1">
        <v>0</v>
      </c>
      <c r="BK1855" s="1">
        <v>1</v>
      </c>
      <c r="BL1855" s="1">
        <v>0</v>
      </c>
      <c r="BM1855" s="1">
        <v>0</v>
      </c>
      <c r="BN1855" s="1">
        <v>0</v>
      </c>
      <c r="BO1855" s="1">
        <v>0</v>
      </c>
      <c r="BP1855" s="1">
        <v>0</v>
      </c>
      <c r="BQ1855" s="1" t="s">
        <v>104</v>
      </c>
      <c r="BR1855" s="1">
        <v>1954</v>
      </c>
      <c r="BS1855" s="1" t="s">
        <v>104</v>
      </c>
      <c r="BX1855" s="1">
        <v>0</v>
      </c>
      <c r="BY1855" s="1" t="s">
        <v>104</v>
      </c>
      <c r="BZ1855" s="1" t="s">
        <v>104</v>
      </c>
      <c r="CA1855" s="1" t="s">
        <v>104</v>
      </c>
      <c r="CB1855" s="1" t="s">
        <v>104</v>
      </c>
      <c r="CC1855" s="1" t="s">
        <v>104</v>
      </c>
      <c r="CD1855" s="1" t="s">
        <v>104</v>
      </c>
      <c r="CE1855" s="1" t="s">
        <v>104</v>
      </c>
      <c r="CF1855" s="1" t="s">
        <v>104</v>
      </c>
      <c r="CG1855" s="1" t="s">
        <v>104</v>
      </c>
      <c r="CH1855" s="1" t="s">
        <v>104</v>
      </c>
      <c r="CJ1855" s="1">
        <v>0</v>
      </c>
      <c r="CK1855" s="1">
        <v>0</v>
      </c>
      <c r="CL1855" s="1">
        <v>0</v>
      </c>
      <c r="CM1855" s="1" t="s">
        <v>104</v>
      </c>
    </row>
    <row r="1856" spans="1:91" ht="14.25" customHeight="1" x14ac:dyDescent="0.3">
      <c r="A1856" s="1" t="s">
        <v>9978</v>
      </c>
      <c r="B1856" s="1" t="s">
        <v>137</v>
      </c>
      <c r="C1856" s="1" t="s">
        <v>154</v>
      </c>
      <c r="E1856" s="1" t="s">
        <v>9979</v>
      </c>
      <c r="F1856" s="1" t="s">
        <v>95</v>
      </c>
      <c r="G1856" s="1" t="s">
        <v>116</v>
      </c>
      <c r="H1856" s="1">
        <v>0</v>
      </c>
      <c r="I1856" s="1" t="s">
        <v>6262</v>
      </c>
      <c r="L1856" s="1" t="s">
        <v>5436</v>
      </c>
      <c r="M1856" s="1" t="s">
        <v>4641</v>
      </c>
      <c r="N1856" s="1">
        <v>1</v>
      </c>
      <c r="O1856" s="1">
        <v>0</v>
      </c>
      <c r="P1856" s="1" t="s">
        <v>100</v>
      </c>
      <c r="Q1856" s="1" t="s">
        <v>131</v>
      </c>
      <c r="R1856" s="1" t="s">
        <v>9980</v>
      </c>
      <c r="S1856" s="1" t="s">
        <v>9569</v>
      </c>
      <c r="T1856" s="1">
        <v>1</v>
      </c>
      <c r="U1856" s="1">
        <v>1</v>
      </c>
      <c r="V1856" s="1">
        <v>0</v>
      </c>
      <c r="W1856" s="1">
        <v>0</v>
      </c>
      <c r="X1856" s="1">
        <v>0</v>
      </c>
      <c r="Y1856" s="1">
        <v>3</v>
      </c>
      <c r="Z1856" s="1">
        <v>3</v>
      </c>
      <c r="AA1856" s="1" t="s">
        <v>104</v>
      </c>
      <c r="AB1856" s="1" t="s">
        <v>104</v>
      </c>
      <c r="AC1856" s="1" t="s">
        <v>104</v>
      </c>
      <c r="AD1856" s="1" t="s">
        <v>104</v>
      </c>
      <c r="AE1856" s="1" t="s">
        <v>104</v>
      </c>
      <c r="AF1856" s="1" t="s">
        <v>104</v>
      </c>
      <c r="AG1856" s="1" t="s">
        <v>104</v>
      </c>
      <c r="AH1856" s="1">
        <v>3</v>
      </c>
      <c r="AI1856" s="1" t="s">
        <v>104</v>
      </c>
      <c r="AJ1856" s="1" t="s">
        <v>104</v>
      </c>
      <c r="AK1856" s="1" t="s">
        <v>104</v>
      </c>
      <c r="AL1856" s="1" t="s">
        <v>104</v>
      </c>
      <c r="AM1856" s="1" t="s">
        <v>104</v>
      </c>
      <c r="AO1856" s="1">
        <v>3</v>
      </c>
      <c r="AQ1856" s="1" t="s">
        <v>9981</v>
      </c>
      <c r="AR1856" s="1">
        <v>0</v>
      </c>
      <c r="AS1856" s="1">
        <v>0</v>
      </c>
      <c r="AT1856" s="1">
        <v>0</v>
      </c>
      <c r="AU1856" s="1">
        <v>0</v>
      </c>
      <c r="AV1856" s="1">
        <v>0</v>
      </c>
      <c r="AW1856" s="1">
        <v>0</v>
      </c>
      <c r="AX1856" s="1">
        <v>0</v>
      </c>
      <c r="AY1856" s="1">
        <v>0</v>
      </c>
      <c r="AZ1856" s="1">
        <v>0</v>
      </c>
      <c r="BA1856" s="1">
        <v>0</v>
      </c>
      <c r="BB1856" s="1">
        <v>0</v>
      </c>
      <c r="BC1856" s="1">
        <v>0</v>
      </c>
      <c r="BD1856" s="1">
        <v>0</v>
      </c>
      <c r="BE1856" s="1">
        <v>0</v>
      </c>
      <c r="BF1856" s="1">
        <v>0</v>
      </c>
      <c r="BG1856" s="1">
        <v>0</v>
      </c>
      <c r="BH1856" s="1">
        <v>0</v>
      </c>
      <c r="BI1856" s="1">
        <v>0</v>
      </c>
      <c r="BJ1856" s="1">
        <v>0</v>
      </c>
      <c r="BK1856" s="1">
        <v>0</v>
      </c>
      <c r="BL1856" s="1">
        <v>0</v>
      </c>
      <c r="BM1856" s="1">
        <v>0</v>
      </c>
      <c r="BN1856" s="1">
        <v>0</v>
      </c>
      <c r="BO1856" s="1">
        <v>0</v>
      </c>
      <c r="BP1856" s="1">
        <v>0</v>
      </c>
      <c r="BQ1856" s="1" t="s">
        <v>104</v>
      </c>
      <c r="BR1856" s="1">
        <v>1955</v>
      </c>
      <c r="BS1856" s="1" t="s">
        <v>104</v>
      </c>
      <c r="BX1856" s="1">
        <v>0</v>
      </c>
      <c r="BY1856" s="1" t="s">
        <v>104</v>
      </c>
      <c r="BZ1856" s="1">
        <v>3</v>
      </c>
      <c r="CA1856" s="1" t="s">
        <v>104</v>
      </c>
      <c r="CB1856" s="1" t="s">
        <v>104</v>
      </c>
      <c r="CC1856" s="1" t="s">
        <v>104</v>
      </c>
      <c r="CD1856" s="1" t="s">
        <v>104</v>
      </c>
      <c r="CE1856" s="1" t="s">
        <v>104</v>
      </c>
      <c r="CF1856" s="1" t="s">
        <v>104</v>
      </c>
      <c r="CG1856" s="1" t="s">
        <v>104</v>
      </c>
      <c r="CH1856" s="1" t="s">
        <v>104</v>
      </c>
      <c r="CJ1856" s="1">
        <v>0</v>
      </c>
      <c r="CK1856" s="1">
        <v>0</v>
      </c>
      <c r="CL1856" s="1">
        <v>0</v>
      </c>
      <c r="CM1856" s="1" t="s">
        <v>104</v>
      </c>
    </row>
    <row r="1857" spans="1:91" ht="14.25" customHeight="1" x14ac:dyDescent="0.3">
      <c r="A1857" s="1" t="s">
        <v>9982</v>
      </c>
      <c r="B1857" s="1" t="s">
        <v>137</v>
      </c>
      <c r="E1857" s="1" t="s">
        <v>9983</v>
      </c>
      <c r="F1857" s="1" t="s">
        <v>95</v>
      </c>
      <c r="G1857" s="1" t="s">
        <v>127</v>
      </c>
      <c r="H1857" s="1">
        <v>0</v>
      </c>
      <c r="I1857" s="1" t="s">
        <v>128</v>
      </c>
      <c r="L1857" s="1" t="s">
        <v>9984</v>
      </c>
      <c r="M1857" s="1" t="s">
        <v>620</v>
      </c>
      <c r="N1857" s="1">
        <v>1</v>
      </c>
      <c r="O1857" s="1">
        <v>0</v>
      </c>
      <c r="P1857" s="1" t="s">
        <v>148</v>
      </c>
      <c r="Q1857" s="1" t="s">
        <v>149</v>
      </c>
      <c r="R1857" s="1" t="s">
        <v>9985</v>
      </c>
      <c r="S1857" s="1" t="s">
        <v>9569</v>
      </c>
      <c r="T1857" s="1">
        <v>1</v>
      </c>
      <c r="U1857" s="1">
        <v>1</v>
      </c>
      <c r="V1857" s="1">
        <v>0</v>
      </c>
      <c r="W1857" s="1">
        <v>0</v>
      </c>
      <c r="X1857" s="1">
        <v>1</v>
      </c>
      <c r="Y1857" s="1">
        <v>1</v>
      </c>
      <c r="Z1857" s="1">
        <v>1</v>
      </c>
      <c r="AA1857" s="1">
        <v>1</v>
      </c>
      <c r="AB1857" s="1" t="s">
        <v>104</v>
      </c>
      <c r="AC1857" s="1">
        <v>1</v>
      </c>
      <c r="AD1857" s="1" t="s">
        <v>104</v>
      </c>
      <c r="AE1857" s="1" t="s">
        <v>104</v>
      </c>
      <c r="AF1857" s="1" t="s">
        <v>104</v>
      </c>
      <c r="AG1857" s="1" t="s">
        <v>104</v>
      </c>
      <c r="AH1857" s="1" t="s">
        <v>104</v>
      </c>
      <c r="AI1857" s="1">
        <v>1</v>
      </c>
      <c r="AJ1857" s="1">
        <v>1</v>
      </c>
      <c r="AK1857" s="1" t="s">
        <v>104</v>
      </c>
      <c r="AL1857" s="1" t="s">
        <v>104</v>
      </c>
      <c r="AM1857" s="1" t="s">
        <v>104</v>
      </c>
      <c r="AO1857" s="1">
        <v>1</v>
      </c>
      <c r="AQ1857" s="1" t="s">
        <v>9986</v>
      </c>
      <c r="AR1857" s="1">
        <v>0</v>
      </c>
      <c r="AS1857" s="1">
        <v>0</v>
      </c>
      <c r="AT1857" s="1">
        <v>0</v>
      </c>
      <c r="AU1857" s="1">
        <v>0</v>
      </c>
      <c r="AV1857" s="1">
        <v>0</v>
      </c>
      <c r="AW1857" s="1">
        <v>0</v>
      </c>
      <c r="AX1857" s="1">
        <v>0</v>
      </c>
      <c r="AY1857" s="1">
        <v>0</v>
      </c>
      <c r="AZ1857" s="1">
        <v>0</v>
      </c>
      <c r="BA1857" s="1">
        <v>0</v>
      </c>
      <c r="BB1857" s="1">
        <v>0</v>
      </c>
      <c r="BC1857" s="1">
        <v>0</v>
      </c>
      <c r="BD1857" s="1">
        <v>0</v>
      </c>
      <c r="BE1857" s="1">
        <v>0</v>
      </c>
      <c r="BF1857" s="1">
        <v>0</v>
      </c>
      <c r="BG1857" s="1">
        <v>0</v>
      </c>
      <c r="BH1857" s="1">
        <v>0</v>
      </c>
      <c r="BI1857" s="1">
        <v>0</v>
      </c>
      <c r="BJ1857" s="1">
        <v>0</v>
      </c>
      <c r="BK1857" s="1">
        <v>0</v>
      </c>
      <c r="BL1857" s="1">
        <v>0</v>
      </c>
      <c r="BM1857" s="1">
        <v>0</v>
      </c>
      <c r="BN1857" s="1">
        <v>0</v>
      </c>
      <c r="BO1857" s="1">
        <v>0</v>
      </c>
      <c r="BP1857" s="1">
        <v>0</v>
      </c>
      <c r="BQ1857" s="1" t="s">
        <v>104</v>
      </c>
      <c r="BR1857" s="1">
        <v>1956</v>
      </c>
      <c r="BS1857" s="1" t="s">
        <v>104</v>
      </c>
      <c r="BX1857" s="1">
        <v>0</v>
      </c>
      <c r="BY1857" s="1" t="s">
        <v>104</v>
      </c>
      <c r="BZ1857" s="1" t="s">
        <v>104</v>
      </c>
      <c r="CA1857" s="1" t="s">
        <v>104</v>
      </c>
      <c r="CB1857" s="1" t="s">
        <v>104</v>
      </c>
      <c r="CC1857" s="1" t="s">
        <v>104</v>
      </c>
      <c r="CD1857" s="1">
        <v>1</v>
      </c>
      <c r="CE1857" s="1" t="s">
        <v>104</v>
      </c>
      <c r="CF1857" s="1" t="s">
        <v>104</v>
      </c>
      <c r="CG1857" s="1" t="s">
        <v>104</v>
      </c>
      <c r="CH1857" s="1">
        <v>1</v>
      </c>
      <c r="CJ1857" s="1">
        <v>0</v>
      </c>
      <c r="CK1857" s="1">
        <v>0</v>
      </c>
      <c r="CL1857" s="1">
        <v>0</v>
      </c>
      <c r="CM1857" s="1" t="s">
        <v>104</v>
      </c>
    </row>
    <row r="1858" spans="1:91" ht="14.25" customHeight="1" x14ac:dyDescent="0.3">
      <c r="A1858" s="1" t="s">
        <v>9987</v>
      </c>
      <c r="B1858" s="1" t="s">
        <v>216</v>
      </c>
      <c r="E1858" s="1" t="s">
        <v>5537</v>
      </c>
      <c r="F1858" s="1" t="s">
        <v>95</v>
      </c>
      <c r="G1858" s="1" t="s">
        <v>116</v>
      </c>
      <c r="H1858" s="1">
        <v>0</v>
      </c>
      <c r="I1858" s="1" t="s">
        <v>128</v>
      </c>
      <c r="L1858" s="1" t="s">
        <v>9988</v>
      </c>
      <c r="M1858" s="1" t="s">
        <v>119</v>
      </c>
      <c r="N1858" s="1">
        <v>0</v>
      </c>
      <c r="O1858" s="1">
        <v>0</v>
      </c>
      <c r="P1858" s="1" t="s">
        <v>5361</v>
      </c>
      <c r="Q1858" s="1" t="s">
        <v>131</v>
      </c>
      <c r="R1858" s="1" t="s">
        <v>9989</v>
      </c>
      <c r="S1858" s="1" t="s">
        <v>9569</v>
      </c>
      <c r="T1858" s="1">
        <v>1</v>
      </c>
      <c r="U1858" s="1">
        <v>1</v>
      </c>
      <c r="V1858" s="1">
        <v>0</v>
      </c>
      <c r="W1858" s="1">
        <v>0</v>
      </c>
      <c r="X1858" s="1">
        <v>0</v>
      </c>
      <c r="Y1858" s="1">
        <v>1</v>
      </c>
      <c r="Z1858" s="1">
        <v>1</v>
      </c>
      <c r="AA1858" s="1" t="s">
        <v>104</v>
      </c>
      <c r="AB1858" s="1" t="s">
        <v>104</v>
      </c>
      <c r="AC1858" s="1" t="s">
        <v>104</v>
      </c>
      <c r="AD1858" s="1" t="s">
        <v>104</v>
      </c>
      <c r="AE1858" s="1" t="s">
        <v>104</v>
      </c>
      <c r="AF1858" s="1" t="s">
        <v>104</v>
      </c>
      <c r="AG1858" s="1" t="s">
        <v>104</v>
      </c>
      <c r="AH1858" s="1" t="s">
        <v>104</v>
      </c>
      <c r="AI1858" s="1" t="s">
        <v>104</v>
      </c>
      <c r="AJ1858" s="1" t="s">
        <v>104</v>
      </c>
      <c r="AK1858" s="1" t="s">
        <v>104</v>
      </c>
      <c r="AL1858" s="1" t="s">
        <v>104</v>
      </c>
      <c r="AM1858" s="1" t="s">
        <v>104</v>
      </c>
      <c r="AO1858" s="1">
        <v>1</v>
      </c>
      <c r="AQ1858" s="1" t="s">
        <v>9990</v>
      </c>
      <c r="AR1858" s="1">
        <v>0</v>
      </c>
      <c r="AS1858" s="1">
        <v>0</v>
      </c>
      <c r="AT1858" s="1">
        <v>0</v>
      </c>
      <c r="AU1858" s="1">
        <v>0</v>
      </c>
      <c r="AV1858" s="1">
        <v>0</v>
      </c>
      <c r="AW1858" s="1">
        <v>0</v>
      </c>
      <c r="AX1858" s="1">
        <v>0</v>
      </c>
      <c r="AY1858" s="1">
        <v>0</v>
      </c>
      <c r="AZ1858" s="1">
        <v>0</v>
      </c>
      <c r="BA1858" s="1">
        <v>0</v>
      </c>
      <c r="BB1858" s="1">
        <v>0</v>
      </c>
      <c r="BC1858" s="1">
        <v>0</v>
      </c>
      <c r="BD1858" s="1">
        <v>0</v>
      </c>
      <c r="BE1858" s="1">
        <v>0</v>
      </c>
      <c r="BF1858" s="1">
        <v>0</v>
      </c>
      <c r="BG1858" s="1">
        <v>0</v>
      </c>
      <c r="BH1858" s="1">
        <v>0</v>
      </c>
      <c r="BI1858" s="1">
        <v>0</v>
      </c>
      <c r="BJ1858" s="1">
        <v>0</v>
      </c>
      <c r="BK1858" s="1">
        <v>0</v>
      </c>
      <c r="BL1858" s="1">
        <v>0</v>
      </c>
      <c r="BM1858" s="1">
        <v>0</v>
      </c>
      <c r="BN1858" s="1">
        <v>0</v>
      </c>
      <c r="BO1858" s="1">
        <v>0</v>
      </c>
      <c r="BP1858" s="1">
        <v>0</v>
      </c>
      <c r="BQ1858" s="1" t="s">
        <v>104</v>
      </c>
      <c r="BR1858" s="1">
        <v>1957</v>
      </c>
      <c r="BS1858" s="1" t="s">
        <v>104</v>
      </c>
      <c r="BX1858" s="1">
        <v>0</v>
      </c>
      <c r="BY1858" s="1" t="s">
        <v>104</v>
      </c>
      <c r="BZ1858" s="1" t="s">
        <v>104</v>
      </c>
      <c r="CA1858" s="1" t="s">
        <v>104</v>
      </c>
      <c r="CB1858" s="1" t="s">
        <v>104</v>
      </c>
      <c r="CC1858" s="1" t="s">
        <v>104</v>
      </c>
      <c r="CD1858" s="1" t="s">
        <v>104</v>
      </c>
      <c r="CE1858" s="1" t="s">
        <v>104</v>
      </c>
      <c r="CF1858" s="1" t="s">
        <v>104</v>
      </c>
      <c r="CG1858" s="1" t="s">
        <v>104</v>
      </c>
      <c r="CH1858" s="1" t="s">
        <v>104</v>
      </c>
      <c r="CJ1858" s="1">
        <v>0</v>
      </c>
      <c r="CK1858" s="1">
        <v>0</v>
      </c>
      <c r="CL1858" s="1">
        <v>0</v>
      </c>
      <c r="CM1858" s="1" t="s">
        <v>104</v>
      </c>
    </row>
    <row r="1859" spans="1:91" ht="14.25" customHeight="1" x14ac:dyDescent="0.3">
      <c r="A1859" s="1" t="s">
        <v>9991</v>
      </c>
      <c r="B1859" s="1" t="s">
        <v>216</v>
      </c>
      <c r="E1859" s="1" t="s">
        <v>9992</v>
      </c>
      <c r="F1859" s="1" t="s">
        <v>95</v>
      </c>
      <c r="G1859" s="1" t="s">
        <v>116</v>
      </c>
      <c r="H1859" s="1">
        <v>0</v>
      </c>
      <c r="I1859" s="1" t="s">
        <v>117</v>
      </c>
      <c r="L1859" s="1" t="s">
        <v>9993</v>
      </c>
      <c r="M1859" s="1" t="s">
        <v>119</v>
      </c>
      <c r="N1859" s="1">
        <v>0</v>
      </c>
      <c r="O1859" s="1">
        <v>0</v>
      </c>
      <c r="P1859" s="1" t="s">
        <v>5361</v>
      </c>
      <c r="Q1859" s="1" t="s">
        <v>131</v>
      </c>
      <c r="R1859" s="1" t="s">
        <v>9994</v>
      </c>
      <c r="S1859" s="1" t="s">
        <v>9569</v>
      </c>
      <c r="T1859" s="1">
        <v>1</v>
      </c>
      <c r="U1859" s="1">
        <v>1</v>
      </c>
      <c r="V1859" s="1">
        <v>0</v>
      </c>
      <c r="W1859" s="1">
        <v>0</v>
      </c>
      <c r="X1859" s="1">
        <v>0</v>
      </c>
      <c r="Y1859" s="1">
        <v>5</v>
      </c>
      <c r="Z1859" s="1">
        <v>5</v>
      </c>
      <c r="AA1859" s="1" t="s">
        <v>104</v>
      </c>
      <c r="AB1859" s="1" t="s">
        <v>104</v>
      </c>
      <c r="AC1859" s="1" t="s">
        <v>104</v>
      </c>
      <c r="AD1859" s="1" t="s">
        <v>104</v>
      </c>
      <c r="AE1859" s="1" t="s">
        <v>104</v>
      </c>
      <c r="AF1859" s="1" t="s">
        <v>104</v>
      </c>
      <c r="AG1859" s="1" t="s">
        <v>104</v>
      </c>
      <c r="AH1859" s="1" t="s">
        <v>104</v>
      </c>
      <c r="AI1859" s="1" t="s">
        <v>104</v>
      </c>
      <c r="AJ1859" s="1" t="s">
        <v>104</v>
      </c>
      <c r="AK1859" s="1" t="s">
        <v>104</v>
      </c>
      <c r="AL1859" s="1" t="s">
        <v>104</v>
      </c>
      <c r="AM1859" s="1" t="s">
        <v>104</v>
      </c>
      <c r="AO1859" s="1">
        <v>5</v>
      </c>
      <c r="AQ1859" s="1" t="s">
        <v>9995</v>
      </c>
      <c r="AR1859" s="1">
        <v>0</v>
      </c>
      <c r="AS1859" s="1">
        <v>0</v>
      </c>
      <c r="AT1859" s="1">
        <v>0</v>
      </c>
      <c r="AU1859" s="1">
        <v>0</v>
      </c>
      <c r="AV1859" s="1">
        <v>0</v>
      </c>
      <c r="AW1859" s="1">
        <v>0</v>
      </c>
      <c r="AX1859" s="1">
        <v>0</v>
      </c>
      <c r="AY1859" s="1">
        <v>0</v>
      </c>
      <c r="AZ1859" s="1">
        <v>0</v>
      </c>
      <c r="BA1859" s="1">
        <v>0</v>
      </c>
      <c r="BB1859" s="1">
        <v>0</v>
      </c>
      <c r="BC1859" s="1">
        <v>0</v>
      </c>
      <c r="BD1859" s="1">
        <v>0</v>
      </c>
      <c r="BE1859" s="1">
        <v>0</v>
      </c>
      <c r="BF1859" s="1">
        <v>0</v>
      </c>
      <c r="BG1859" s="1">
        <v>0</v>
      </c>
      <c r="BH1859" s="1">
        <v>0</v>
      </c>
      <c r="BI1859" s="1">
        <v>0</v>
      </c>
      <c r="BJ1859" s="1">
        <v>0</v>
      </c>
      <c r="BK1859" s="1">
        <v>0</v>
      </c>
      <c r="BL1859" s="1">
        <v>0</v>
      </c>
      <c r="BM1859" s="1">
        <v>0</v>
      </c>
      <c r="BN1859" s="1">
        <v>0</v>
      </c>
      <c r="BO1859" s="1">
        <v>0</v>
      </c>
      <c r="BP1859" s="1">
        <v>0</v>
      </c>
      <c r="BQ1859" s="1" t="s">
        <v>104</v>
      </c>
      <c r="BR1859" s="1">
        <v>1958</v>
      </c>
      <c r="BS1859" s="1" t="s">
        <v>104</v>
      </c>
      <c r="BX1859" s="1">
        <v>0</v>
      </c>
      <c r="BY1859" s="1" t="s">
        <v>104</v>
      </c>
      <c r="BZ1859" s="1" t="s">
        <v>104</v>
      </c>
      <c r="CA1859" s="1" t="s">
        <v>104</v>
      </c>
      <c r="CB1859" s="1" t="s">
        <v>104</v>
      </c>
      <c r="CC1859" s="1" t="s">
        <v>104</v>
      </c>
      <c r="CD1859" s="1" t="s">
        <v>104</v>
      </c>
      <c r="CE1859" s="1">
        <v>5</v>
      </c>
      <c r="CF1859" s="1" t="s">
        <v>104</v>
      </c>
      <c r="CG1859" s="1" t="s">
        <v>104</v>
      </c>
      <c r="CH1859" s="1" t="s">
        <v>104</v>
      </c>
      <c r="CJ1859" s="1">
        <v>0</v>
      </c>
      <c r="CK1859" s="1">
        <v>0</v>
      </c>
      <c r="CL1859" s="1">
        <v>0</v>
      </c>
      <c r="CM1859" s="1" t="s">
        <v>104</v>
      </c>
    </row>
    <row r="1860" spans="1:91" ht="14.25" customHeight="1" x14ac:dyDescent="0.3">
      <c r="A1860" s="1" t="s">
        <v>9996</v>
      </c>
      <c r="B1860" s="1" t="s">
        <v>92</v>
      </c>
      <c r="C1860" s="1" t="s">
        <v>93</v>
      </c>
      <c r="D1860" s="1" t="s">
        <v>67</v>
      </c>
      <c r="E1860" s="1" t="s">
        <v>9997</v>
      </c>
      <c r="F1860" s="1" t="s">
        <v>95</v>
      </c>
      <c r="G1860" s="1" t="s">
        <v>116</v>
      </c>
      <c r="H1860" s="1">
        <v>0</v>
      </c>
      <c r="I1860" s="1" t="s">
        <v>705</v>
      </c>
      <c r="K1860" s="1" t="s">
        <v>9998</v>
      </c>
      <c r="M1860" s="1" t="s">
        <v>9999</v>
      </c>
      <c r="N1860" s="1">
        <v>1</v>
      </c>
      <c r="O1860" s="1">
        <v>0</v>
      </c>
      <c r="P1860" s="1" t="s">
        <v>100</v>
      </c>
      <c r="Q1860" s="1" t="s">
        <v>101</v>
      </c>
      <c r="R1860" s="1" t="s">
        <v>10000</v>
      </c>
      <c r="S1860" s="1" t="s">
        <v>9569</v>
      </c>
      <c r="T1860" s="1">
        <v>1</v>
      </c>
      <c r="U1860" s="1">
        <v>1</v>
      </c>
      <c r="V1860" s="1">
        <v>0</v>
      </c>
      <c r="W1860" s="1">
        <v>0</v>
      </c>
      <c r="X1860" s="1">
        <v>0</v>
      </c>
      <c r="Y1860" s="1">
        <v>2</v>
      </c>
      <c r="Z1860" s="1">
        <v>2</v>
      </c>
      <c r="AA1860" s="1" t="s">
        <v>104</v>
      </c>
      <c r="AB1860" s="1" t="s">
        <v>104</v>
      </c>
      <c r="AC1860" s="1" t="s">
        <v>104</v>
      </c>
      <c r="AD1860" s="1" t="s">
        <v>104</v>
      </c>
      <c r="AE1860" s="1" t="s">
        <v>104</v>
      </c>
      <c r="AF1860" s="1" t="s">
        <v>104</v>
      </c>
      <c r="AG1860" s="1" t="s">
        <v>104</v>
      </c>
      <c r="AH1860" s="1">
        <v>2</v>
      </c>
      <c r="AI1860" s="1" t="s">
        <v>104</v>
      </c>
      <c r="AJ1860" s="1" t="s">
        <v>104</v>
      </c>
      <c r="AK1860" s="1" t="s">
        <v>104</v>
      </c>
      <c r="AL1860" s="1">
        <v>2</v>
      </c>
      <c r="AM1860" s="1" t="s">
        <v>104</v>
      </c>
      <c r="AO1860" s="1">
        <v>2</v>
      </c>
      <c r="AQ1860" s="1" t="s">
        <v>10001</v>
      </c>
      <c r="AR1860" s="1">
        <v>0</v>
      </c>
      <c r="AS1860" s="1">
        <v>0</v>
      </c>
      <c r="AT1860" s="1">
        <v>0</v>
      </c>
      <c r="AU1860" s="1">
        <v>0</v>
      </c>
      <c r="AV1860" s="1">
        <v>0</v>
      </c>
      <c r="AW1860" s="1">
        <v>0</v>
      </c>
      <c r="AX1860" s="1">
        <v>0</v>
      </c>
      <c r="AY1860" s="1">
        <v>0</v>
      </c>
      <c r="AZ1860" s="1">
        <v>0</v>
      </c>
      <c r="BA1860" s="1">
        <v>0</v>
      </c>
      <c r="BB1860" s="1">
        <v>0</v>
      </c>
      <c r="BC1860" s="1">
        <v>0</v>
      </c>
      <c r="BD1860" s="1">
        <v>0</v>
      </c>
      <c r="BE1860" s="1">
        <v>0</v>
      </c>
      <c r="BF1860" s="1">
        <v>0</v>
      </c>
      <c r="BG1860" s="1">
        <v>0</v>
      </c>
      <c r="BH1860" s="1">
        <v>0</v>
      </c>
      <c r="BI1860" s="1">
        <v>0</v>
      </c>
      <c r="BJ1860" s="1">
        <v>0</v>
      </c>
      <c r="BK1860" s="1">
        <v>0</v>
      </c>
      <c r="BL1860" s="1">
        <v>0</v>
      </c>
      <c r="BM1860" s="1">
        <v>0</v>
      </c>
      <c r="BN1860" s="1">
        <v>0</v>
      </c>
      <c r="BO1860" s="1">
        <v>0</v>
      </c>
      <c r="BP1860" s="1">
        <v>1</v>
      </c>
      <c r="BQ1860" s="1" t="s">
        <v>104</v>
      </c>
      <c r="BR1860" s="1">
        <v>1959</v>
      </c>
      <c r="BS1860" s="1" t="s">
        <v>104</v>
      </c>
      <c r="BX1860" s="1">
        <v>0</v>
      </c>
      <c r="BY1860" s="1" t="s">
        <v>104</v>
      </c>
      <c r="BZ1860" s="1" t="s">
        <v>104</v>
      </c>
      <c r="CA1860" s="1" t="s">
        <v>104</v>
      </c>
      <c r="CB1860" s="1" t="s">
        <v>104</v>
      </c>
      <c r="CC1860" s="1" t="s">
        <v>104</v>
      </c>
      <c r="CD1860" s="1" t="s">
        <v>104</v>
      </c>
      <c r="CE1860" s="1" t="s">
        <v>104</v>
      </c>
      <c r="CF1860" s="1" t="s">
        <v>104</v>
      </c>
      <c r="CG1860" s="1" t="s">
        <v>104</v>
      </c>
      <c r="CH1860" s="1" t="s">
        <v>104</v>
      </c>
      <c r="CJ1860" s="1">
        <v>0</v>
      </c>
      <c r="CK1860" s="1">
        <v>0</v>
      </c>
      <c r="CL1860" s="1">
        <v>0</v>
      </c>
      <c r="CM1860" s="1" t="s">
        <v>104</v>
      </c>
    </row>
    <row r="1861" spans="1:91" ht="14.25" customHeight="1" x14ac:dyDescent="0.3">
      <c r="A1861" s="1" t="s">
        <v>10002</v>
      </c>
      <c r="B1861" s="1" t="s">
        <v>172</v>
      </c>
      <c r="E1861" s="1" t="s">
        <v>10003</v>
      </c>
      <c r="F1861" s="1" t="s">
        <v>95</v>
      </c>
      <c r="G1861" s="1" t="s">
        <v>116</v>
      </c>
      <c r="H1861" s="1">
        <v>0</v>
      </c>
      <c r="I1861" s="1" t="s">
        <v>157</v>
      </c>
      <c r="L1861" s="1" t="s">
        <v>158</v>
      </c>
      <c r="M1861" s="1" t="s">
        <v>341</v>
      </c>
      <c r="N1861" s="1">
        <v>0</v>
      </c>
      <c r="O1861" s="1">
        <v>0</v>
      </c>
      <c r="P1861" s="1" t="s">
        <v>100</v>
      </c>
      <c r="Q1861" s="1" t="s">
        <v>101</v>
      </c>
      <c r="R1861" s="1" t="s">
        <v>10004</v>
      </c>
      <c r="S1861" s="1" t="s">
        <v>9569</v>
      </c>
      <c r="T1861" s="1">
        <v>1</v>
      </c>
      <c r="U1861" s="1">
        <v>1</v>
      </c>
      <c r="V1861" s="1">
        <v>0</v>
      </c>
      <c r="W1861" s="1">
        <v>0</v>
      </c>
      <c r="X1861" s="1">
        <v>0</v>
      </c>
      <c r="Y1861" s="1" t="s">
        <v>104</v>
      </c>
      <c r="Z1861" s="1" t="s">
        <v>104</v>
      </c>
      <c r="AA1861" s="1" t="s">
        <v>104</v>
      </c>
      <c r="AB1861" s="1" t="s">
        <v>104</v>
      </c>
      <c r="AC1861" s="1" t="s">
        <v>104</v>
      </c>
      <c r="AD1861" s="1" t="s">
        <v>104</v>
      </c>
      <c r="AE1861" s="1" t="s">
        <v>104</v>
      </c>
      <c r="AF1861" s="1" t="s">
        <v>104</v>
      </c>
      <c r="AG1861" s="1" t="s">
        <v>104</v>
      </c>
      <c r="AH1861" s="1" t="s">
        <v>104</v>
      </c>
      <c r="AI1861" s="1" t="s">
        <v>104</v>
      </c>
      <c r="AJ1861" s="1" t="s">
        <v>104</v>
      </c>
      <c r="AK1861" s="1" t="s">
        <v>104</v>
      </c>
      <c r="AL1861" s="1" t="s">
        <v>104</v>
      </c>
      <c r="AM1861" s="1" t="s">
        <v>104</v>
      </c>
      <c r="AO1861" s="1">
        <v>1</v>
      </c>
      <c r="AQ1861" s="1" t="s">
        <v>10005</v>
      </c>
      <c r="AR1861" s="1">
        <v>0</v>
      </c>
      <c r="AS1861" s="1">
        <v>0</v>
      </c>
      <c r="AT1861" s="1">
        <v>0</v>
      </c>
      <c r="AU1861" s="1">
        <v>0</v>
      </c>
      <c r="AV1861" s="1">
        <v>0</v>
      </c>
      <c r="AW1861" s="1">
        <v>0</v>
      </c>
      <c r="AX1861" s="1">
        <v>0</v>
      </c>
      <c r="AY1861" s="1">
        <v>0</v>
      </c>
      <c r="AZ1861" s="1">
        <v>0</v>
      </c>
      <c r="BA1861" s="1">
        <v>0</v>
      </c>
      <c r="BB1861" s="1">
        <v>0</v>
      </c>
      <c r="BC1861" s="1">
        <v>0</v>
      </c>
      <c r="BD1861" s="1">
        <v>0</v>
      </c>
      <c r="BE1861" s="1">
        <v>0</v>
      </c>
      <c r="BF1861" s="1">
        <v>0</v>
      </c>
      <c r="BG1861" s="1">
        <v>0</v>
      </c>
      <c r="BH1861" s="1">
        <v>0</v>
      </c>
      <c r="BI1861" s="1">
        <v>0</v>
      </c>
      <c r="BJ1861" s="1">
        <v>0</v>
      </c>
      <c r="BK1861" s="1">
        <v>0</v>
      </c>
      <c r="BL1861" s="1">
        <v>0</v>
      </c>
      <c r="BM1861" s="1">
        <v>0</v>
      </c>
      <c r="BN1861" s="1">
        <v>0</v>
      </c>
      <c r="BO1861" s="1">
        <v>0</v>
      </c>
      <c r="BP1861" s="1">
        <v>0</v>
      </c>
      <c r="BQ1861" s="1" t="s">
        <v>104</v>
      </c>
      <c r="BR1861" s="1">
        <v>1960</v>
      </c>
      <c r="BS1861" s="1" t="s">
        <v>104</v>
      </c>
      <c r="BX1861" s="1">
        <v>0</v>
      </c>
      <c r="BY1861" s="1" t="s">
        <v>104</v>
      </c>
      <c r="BZ1861" s="1">
        <v>1</v>
      </c>
      <c r="CA1861" s="1" t="s">
        <v>104</v>
      </c>
      <c r="CB1861" s="1" t="s">
        <v>104</v>
      </c>
      <c r="CC1861" s="1" t="s">
        <v>104</v>
      </c>
      <c r="CD1861" s="1" t="s">
        <v>104</v>
      </c>
      <c r="CE1861" s="1" t="s">
        <v>104</v>
      </c>
      <c r="CF1861" s="1" t="s">
        <v>104</v>
      </c>
      <c r="CG1861" s="1" t="s">
        <v>104</v>
      </c>
      <c r="CH1861" s="1" t="s">
        <v>104</v>
      </c>
      <c r="CJ1861" s="1">
        <v>0</v>
      </c>
      <c r="CK1861" s="1">
        <v>0</v>
      </c>
      <c r="CL1861" s="1">
        <v>0</v>
      </c>
      <c r="CM1861" s="1" t="s">
        <v>104</v>
      </c>
    </row>
    <row r="1862" spans="1:91" ht="14.25" customHeight="1" x14ac:dyDescent="0.3">
      <c r="A1862" s="1" t="s">
        <v>10006</v>
      </c>
      <c r="B1862" s="1" t="s">
        <v>162</v>
      </c>
      <c r="E1862" s="1" t="s">
        <v>10007</v>
      </c>
      <c r="F1862" s="1" t="s">
        <v>95</v>
      </c>
      <c r="G1862" s="1" t="s">
        <v>116</v>
      </c>
      <c r="H1862" s="1">
        <v>0</v>
      </c>
      <c r="I1862" s="1" t="s">
        <v>117</v>
      </c>
      <c r="L1862" s="1" t="s">
        <v>10008</v>
      </c>
      <c r="M1862" s="1" t="s">
        <v>620</v>
      </c>
      <c r="N1862" s="1">
        <v>1</v>
      </c>
      <c r="O1862" s="1">
        <v>0</v>
      </c>
      <c r="P1862" s="1" t="s">
        <v>375</v>
      </c>
      <c r="Q1862" s="1" t="s">
        <v>131</v>
      </c>
      <c r="R1862" s="1" t="s">
        <v>10009</v>
      </c>
      <c r="S1862" s="1" t="s">
        <v>9569</v>
      </c>
      <c r="T1862" s="1">
        <v>1</v>
      </c>
      <c r="U1862" s="1">
        <v>1</v>
      </c>
      <c r="V1862" s="1">
        <v>0</v>
      </c>
      <c r="W1862" s="1">
        <v>0</v>
      </c>
      <c r="X1862" s="1">
        <v>0</v>
      </c>
      <c r="Y1862" s="1">
        <v>3</v>
      </c>
      <c r="Z1862" s="1">
        <v>3</v>
      </c>
      <c r="AA1862" s="1" t="s">
        <v>104</v>
      </c>
      <c r="AB1862" s="1" t="s">
        <v>104</v>
      </c>
      <c r="AC1862" s="1">
        <v>2</v>
      </c>
      <c r="AD1862" s="1" t="s">
        <v>104</v>
      </c>
      <c r="AE1862" s="1">
        <v>2</v>
      </c>
      <c r="AF1862" s="1" t="s">
        <v>104</v>
      </c>
      <c r="AG1862" s="1">
        <v>3</v>
      </c>
      <c r="AH1862" s="1" t="s">
        <v>104</v>
      </c>
      <c r="AI1862" s="1" t="s">
        <v>104</v>
      </c>
      <c r="AJ1862" s="1" t="s">
        <v>104</v>
      </c>
      <c r="AK1862" s="1" t="s">
        <v>104</v>
      </c>
      <c r="AL1862" s="1" t="s">
        <v>104</v>
      </c>
      <c r="AM1862" s="1" t="s">
        <v>104</v>
      </c>
      <c r="AO1862" s="1">
        <v>3</v>
      </c>
      <c r="AQ1862" s="1" t="s">
        <v>10010</v>
      </c>
      <c r="AR1862" s="1">
        <v>0</v>
      </c>
      <c r="AS1862" s="1">
        <v>0</v>
      </c>
      <c r="AT1862" s="1">
        <v>0</v>
      </c>
      <c r="AU1862" s="1">
        <v>0</v>
      </c>
      <c r="AV1862" s="1">
        <v>0</v>
      </c>
      <c r="AW1862" s="1">
        <v>0</v>
      </c>
      <c r="AX1862" s="1">
        <v>0</v>
      </c>
      <c r="AY1862" s="1">
        <v>0</v>
      </c>
      <c r="AZ1862" s="1">
        <v>0</v>
      </c>
      <c r="BA1862" s="1">
        <v>0</v>
      </c>
      <c r="BB1862" s="1">
        <v>0</v>
      </c>
      <c r="BC1862" s="1">
        <v>0</v>
      </c>
      <c r="BD1862" s="1">
        <v>0</v>
      </c>
      <c r="BE1862" s="1">
        <v>0</v>
      </c>
      <c r="BF1862" s="1">
        <v>0</v>
      </c>
      <c r="BG1862" s="1">
        <v>0</v>
      </c>
      <c r="BH1862" s="1">
        <v>0</v>
      </c>
      <c r="BI1862" s="1">
        <v>0</v>
      </c>
      <c r="BJ1862" s="1">
        <v>0</v>
      </c>
      <c r="BK1862" s="1">
        <v>0</v>
      </c>
      <c r="BL1862" s="1">
        <v>0</v>
      </c>
      <c r="BM1862" s="1">
        <v>0</v>
      </c>
      <c r="BN1862" s="1">
        <v>0</v>
      </c>
      <c r="BO1862" s="1">
        <v>0</v>
      </c>
      <c r="BP1862" s="1">
        <v>0</v>
      </c>
      <c r="BQ1862" s="1" t="s">
        <v>104</v>
      </c>
      <c r="BR1862" s="1">
        <v>1961</v>
      </c>
      <c r="BS1862" s="1" t="s">
        <v>104</v>
      </c>
      <c r="BX1862" s="1">
        <v>0</v>
      </c>
      <c r="BY1862" s="1" t="s">
        <v>104</v>
      </c>
      <c r="BZ1862" s="1">
        <v>2</v>
      </c>
      <c r="CA1862" s="1" t="s">
        <v>104</v>
      </c>
      <c r="CB1862" s="1" t="s">
        <v>104</v>
      </c>
      <c r="CC1862" s="1" t="s">
        <v>104</v>
      </c>
      <c r="CD1862" s="1" t="s">
        <v>104</v>
      </c>
      <c r="CE1862" s="1" t="s">
        <v>104</v>
      </c>
      <c r="CF1862" s="1" t="s">
        <v>104</v>
      </c>
      <c r="CG1862" s="1" t="s">
        <v>104</v>
      </c>
      <c r="CH1862" s="1">
        <v>2</v>
      </c>
      <c r="CJ1862" s="1">
        <v>0</v>
      </c>
      <c r="CK1862" s="1">
        <v>0</v>
      </c>
      <c r="CL1862" s="1">
        <v>0</v>
      </c>
      <c r="CM1862" s="1">
        <v>3</v>
      </c>
    </row>
    <row r="1863" spans="1:91" ht="14.25" customHeight="1" x14ac:dyDescent="0.3">
      <c r="A1863" s="1" t="s">
        <v>10011</v>
      </c>
      <c r="B1863" s="1" t="s">
        <v>162</v>
      </c>
      <c r="E1863" s="1" t="s">
        <v>10012</v>
      </c>
      <c r="F1863" s="1" t="s">
        <v>95</v>
      </c>
      <c r="G1863" s="1" t="s">
        <v>127</v>
      </c>
      <c r="H1863" s="1">
        <v>0</v>
      </c>
      <c r="I1863" s="1" t="s">
        <v>128</v>
      </c>
      <c r="L1863" s="1" t="s">
        <v>374</v>
      </c>
      <c r="M1863" s="1" t="s">
        <v>2330</v>
      </c>
      <c r="N1863" s="1">
        <v>0</v>
      </c>
      <c r="O1863" s="1">
        <v>0</v>
      </c>
      <c r="P1863" s="1" t="s">
        <v>1058</v>
      </c>
      <c r="Q1863" s="1" t="s">
        <v>131</v>
      </c>
      <c r="R1863" s="1" t="s">
        <v>10013</v>
      </c>
      <c r="S1863" s="1" t="s">
        <v>9569</v>
      </c>
      <c r="T1863" s="1">
        <v>1</v>
      </c>
      <c r="U1863" s="1">
        <v>1</v>
      </c>
      <c r="V1863" s="1">
        <v>0</v>
      </c>
      <c r="W1863" s="1">
        <v>0</v>
      </c>
      <c r="X1863" s="1">
        <v>1</v>
      </c>
      <c r="Y1863" s="1" t="s">
        <v>104</v>
      </c>
      <c r="Z1863" s="1" t="s">
        <v>104</v>
      </c>
      <c r="AA1863" s="1">
        <v>2</v>
      </c>
      <c r="AB1863" s="1" t="s">
        <v>104</v>
      </c>
      <c r="AC1863" s="1" t="s">
        <v>104</v>
      </c>
      <c r="AD1863" s="1" t="s">
        <v>104</v>
      </c>
      <c r="AE1863" s="1">
        <v>1</v>
      </c>
      <c r="AF1863" s="1" t="s">
        <v>104</v>
      </c>
      <c r="AG1863" s="1" t="s">
        <v>104</v>
      </c>
      <c r="AH1863" s="1" t="s">
        <v>104</v>
      </c>
      <c r="AI1863" s="1">
        <v>1</v>
      </c>
      <c r="AJ1863" s="1">
        <v>2</v>
      </c>
      <c r="AK1863" s="1" t="s">
        <v>104</v>
      </c>
      <c r="AL1863" s="1" t="s">
        <v>104</v>
      </c>
      <c r="AM1863" s="1" t="s">
        <v>104</v>
      </c>
      <c r="AO1863" s="1">
        <v>2</v>
      </c>
      <c r="AQ1863" s="1" t="s">
        <v>10014</v>
      </c>
      <c r="AR1863" s="1">
        <v>0</v>
      </c>
      <c r="AS1863" s="1">
        <v>0</v>
      </c>
      <c r="AT1863" s="1">
        <v>0</v>
      </c>
      <c r="AU1863" s="1">
        <v>0</v>
      </c>
      <c r="AV1863" s="1">
        <v>0</v>
      </c>
      <c r="AW1863" s="1">
        <v>0</v>
      </c>
      <c r="AX1863" s="1">
        <v>0</v>
      </c>
      <c r="AY1863" s="1">
        <v>0</v>
      </c>
      <c r="AZ1863" s="1">
        <v>0</v>
      </c>
      <c r="BA1863" s="1">
        <v>0</v>
      </c>
      <c r="BB1863" s="1">
        <v>0</v>
      </c>
      <c r="BC1863" s="1">
        <v>0</v>
      </c>
      <c r="BD1863" s="1">
        <v>0</v>
      </c>
      <c r="BE1863" s="1">
        <v>0</v>
      </c>
      <c r="BF1863" s="1">
        <v>0</v>
      </c>
      <c r="BG1863" s="1">
        <v>0</v>
      </c>
      <c r="BH1863" s="1">
        <v>0</v>
      </c>
      <c r="BI1863" s="1">
        <v>0</v>
      </c>
      <c r="BJ1863" s="1">
        <v>0</v>
      </c>
      <c r="BK1863" s="1">
        <v>0</v>
      </c>
      <c r="BL1863" s="1">
        <v>0</v>
      </c>
      <c r="BM1863" s="1">
        <v>0</v>
      </c>
      <c r="BN1863" s="1">
        <v>0</v>
      </c>
      <c r="BO1863" s="1">
        <v>0</v>
      </c>
      <c r="BP1863" s="1">
        <v>0</v>
      </c>
      <c r="BQ1863" s="1" t="s">
        <v>104</v>
      </c>
      <c r="BR1863" s="1">
        <v>1962</v>
      </c>
      <c r="BS1863" s="1" t="s">
        <v>104</v>
      </c>
      <c r="BX1863" s="1">
        <v>0</v>
      </c>
      <c r="BY1863" s="1" t="s">
        <v>104</v>
      </c>
      <c r="BZ1863" s="1" t="s">
        <v>104</v>
      </c>
      <c r="CA1863" s="1">
        <v>2</v>
      </c>
      <c r="CB1863" s="1" t="s">
        <v>104</v>
      </c>
      <c r="CC1863" s="1" t="s">
        <v>104</v>
      </c>
      <c r="CD1863" s="1" t="s">
        <v>104</v>
      </c>
      <c r="CE1863" s="1" t="s">
        <v>104</v>
      </c>
      <c r="CF1863" s="1" t="s">
        <v>104</v>
      </c>
      <c r="CG1863" s="1" t="s">
        <v>104</v>
      </c>
      <c r="CH1863" s="1" t="s">
        <v>104</v>
      </c>
      <c r="CJ1863" s="1">
        <v>0</v>
      </c>
      <c r="CK1863" s="1">
        <v>0</v>
      </c>
      <c r="CL1863" s="1">
        <v>0</v>
      </c>
      <c r="CM1863" s="1" t="s">
        <v>104</v>
      </c>
    </row>
    <row r="1864" spans="1:91" ht="14.25" customHeight="1" x14ac:dyDescent="0.3">
      <c r="A1864" s="1" t="s">
        <v>10015</v>
      </c>
      <c r="B1864" s="1" t="s">
        <v>162</v>
      </c>
      <c r="E1864" s="1" t="s">
        <v>10016</v>
      </c>
      <c r="F1864" s="1" t="s">
        <v>95</v>
      </c>
      <c r="G1864" s="1" t="s">
        <v>127</v>
      </c>
      <c r="H1864" s="1">
        <v>0</v>
      </c>
      <c r="I1864" s="1" t="s">
        <v>128</v>
      </c>
      <c r="L1864" s="1" t="s">
        <v>374</v>
      </c>
      <c r="M1864" s="1" t="s">
        <v>2330</v>
      </c>
      <c r="N1864" s="1">
        <v>0</v>
      </c>
      <c r="O1864" s="1">
        <v>0</v>
      </c>
      <c r="P1864" s="1" t="s">
        <v>1058</v>
      </c>
      <c r="Q1864" s="1" t="s">
        <v>131</v>
      </c>
      <c r="R1864" s="1" t="s">
        <v>10017</v>
      </c>
      <c r="S1864" s="1" t="s">
        <v>9569</v>
      </c>
      <c r="T1864" s="1">
        <v>1</v>
      </c>
      <c r="U1864" s="1">
        <v>1</v>
      </c>
      <c r="V1864" s="1">
        <v>0</v>
      </c>
      <c r="W1864" s="1">
        <v>0</v>
      </c>
      <c r="X1864" s="1">
        <v>1</v>
      </c>
      <c r="Y1864" s="1" t="s">
        <v>104</v>
      </c>
      <c r="Z1864" s="1" t="s">
        <v>104</v>
      </c>
      <c r="AA1864" s="1">
        <v>4</v>
      </c>
      <c r="AB1864" s="1" t="s">
        <v>104</v>
      </c>
      <c r="AC1864" s="1" t="s">
        <v>104</v>
      </c>
      <c r="AD1864" s="1" t="s">
        <v>104</v>
      </c>
      <c r="AE1864" s="1">
        <v>3</v>
      </c>
      <c r="AF1864" s="1" t="s">
        <v>104</v>
      </c>
      <c r="AG1864" s="1" t="s">
        <v>104</v>
      </c>
      <c r="AH1864" s="1" t="s">
        <v>104</v>
      </c>
      <c r="AI1864" s="1">
        <v>3</v>
      </c>
      <c r="AJ1864" s="1">
        <v>4</v>
      </c>
      <c r="AK1864" s="1" t="s">
        <v>104</v>
      </c>
      <c r="AL1864" s="1" t="s">
        <v>104</v>
      </c>
      <c r="AM1864" s="1" t="s">
        <v>104</v>
      </c>
      <c r="AO1864" s="1">
        <v>4</v>
      </c>
      <c r="AQ1864" s="1" t="s">
        <v>10018</v>
      </c>
      <c r="AR1864" s="1">
        <v>0</v>
      </c>
      <c r="AS1864" s="1">
        <v>0</v>
      </c>
      <c r="AT1864" s="1">
        <v>0</v>
      </c>
      <c r="AU1864" s="1">
        <v>0</v>
      </c>
      <c r="AV1864" s="1">
        <v>0</v>
      </c>
      <c r="AW1864" s="1">
        <v>0</v>
      </c>
      <c r="AX1864" s="1">
        <v>0</v>
      </c>
      <c r="AY1864" s="1">
        <v>0</v>
      </c>
      <c r="AZ1864" s="1">
        <v>0</v>
      </c>
      <c r="BA1864" s="1">
        <v>0</v>
      </c>
      <c r="BB1864" s="1">
        <v>0</v>
      </c>
      <c r="BC1864" s="1">
        <v>0</v>
      </c>
      <c r="BD1864" s="1">
        <v>0</v>
      </c>
      <c r="BE1864" s="1">
        <v>0</v>
      </c>
      <c r="BF1864" s="1">
        <v>0</v>
      </c>
      <c r="BG1864" s="1">
        <v>0</v>
      </c>
      <c r="BH1864" s="1">
        <v>0</v>
      </c>
      <c r="BI1864" s="1">
        <v>0</v>
      </c>
      <c r="BJ1864" s="1">
        <v>0</v>
      </c>
      <c r="BK1864" s="1">
        <v>0</v>
      </c>
      <c r="BL1864" s="1">
        <v>0</v>
      </c>
      <c r="BM1864" s="1">
        <v>0</v>
      </c>
      <c r="BN1864" s="1">
        <v>0</v>
      </c>
      <c r="BO1864" s="1">
        <v>0</v>
      </c>
      <c r="BP1864" s="1">
        <v>0</v>
      </c>
      <c r="BQ1864" s="1" t="s">
        <v>104</v>
      </c>
      <c r="BR1864" s="1">
        <v>1963</v>
      </c>
      <c r="BS1864" s="1" t="s">
        <v>104</v>
      </c>
      <c r="BX1864" s="1">
        <v>0</v>
      </c>
      <c r="BY1864" s="1" t="s">
        <v>104</v>
      </c>
      <c r="BZ1864" s="1" t="s">
        <v>104</v>
      </c>
      <c r="CA1864" s="1">
        <v>4</v>
      </c>
      <c r="CB1864" s="1" t="s">
        <v>104</v>
      </c>
      <c r="CC1864" s="1" t="s">
        <v>104</v>
      </c>
      <c r="CD1864" s="1" t="s">
        <v>104</v>
      </c>
      <c r="CE1864" s="1" t="s">
        <v>104</v>
      </c>
      <c r="CF1864" s="1" t="s">
        <v>104</v>
      </c>
      <c r="CG1864" s="1" t="s">
        <v>104</v>
      </c>
      <c r="CH1864" s="1" t="s">
        <v>104</v>
      </c>
      <c r="CJ1864" s="1">
        <v>0</v>
      </c>
      <c r="CK1864" s="1">
        <v>0</v>
      </c>
      <c r="CL1864" s="1">
        <v>0</v>
      </c>
      <c r="CM1864" s="1" t="s">
        <v>104</v>
      </c>
    </row>
    <row r="1865" spans="1:91" ht="14.25" customHeight="1" x14ac:dyDescent="0.3">
      <c r="A1865" s="1" t="s">
        <v>10019</v>
      </c>
      <c r="B1865" s="1" t="s">
        <v>137</v>
      </c>
      <c r="D1865" s="1" t="s">
        <v>64</v>
      </c>
      <c r="E1865" s="1" t="s">
        <v>10020</v>
      </c>
      <c r="F1865" s="1" t="s">
        <v>95</v>
      </c>
      <c r="G1865" s="1" t="s">
        <v>127</v>
      </c>
      <c r="H1865" s="1">
        <v>0</v>
      </c>
      <c r="I1865" s="1" t="s">
        <v>97</v>
      </c>
      <c r="J1865" s="1" t="s">
        <v>1405</v>
      </c>
      <c r="M1865" s="1" t="s">
        <v>437</v>
      </c>
      <c r="N1865" s="1">
        <v>1</v>
      </c>
      <c r="O1865" s="1">
        <v>0</v>
      </c>
      <c r="P1865" s="1" t="s">
        <v>10021</v>
      </c>
      <c r="Q1865" s="1" t="s">
        <v>101</v>
      </c>
      <c r="R1865" s="1" t="s">
        <v>10022</v>
      </c>
      <c r="S1865" s="1" t="s">
        <v>9569</v>
      </c>
      <c r="T1865" s="1">
        <v>1</v>
      </c>
      <c r="U1865" s="1">
        <v>1</v>
      </c>
      <c r="V1865" s="1">
        <v>0</v>
      </c>
      <c r="W1865" s="1">
        <v>0</v>
      </c>
      <c r="X1865" s="1">
        <v>1</v>
      </c>
      <c r="Y1865" s="1" t="s">
        <v>104</v>
      </c>
      <c r="Z1865" s="1" t="s">
        <v>104</v>
      </c>
      <c r="AA1865" s="1" t="s">
        <v>104</v>
      </c>
      <c r="AB1865" s="1">
        <v>2</v>
      </c>
      <c r="AC1865" s="1">
        <v>2</v>
      </c>
      <c r="AD1865" s="1" t="s">
        <v>104</v>
      </c>
      <c r="AE1865" s="1" t="s">
        <v>104</v>
      </c>
      <c r="AF1865" s="1" t="s">
        <v>104</v>
      </c>
      <c r="AG1865" s="1" t="s">
        <v>104</v>
      </c>
      <c r="AH1865" s="1" t="s">
        <v>104</v>
      </c>
      <c r="AI1865" s="1" t="s">
        <v>104</v>
      </c>
      <c r="AJ1865" s="1" t="s">
        <v>104</v>
      </c>
      <c r="AK1865" s="1" t="s">
        <v>104</v>
      </c>
      <c r="AL1865" s="1" t="s">
        <v>104</v>
      </c>
      <c r="AM1865" s="1" t="s">
        <v>104</v>
      </c>
      <c r="AO1865" s="1">
        <v>2</v>
      </c>
      <c r="AQ1865" s="1" t="s">
        <v>10023</v>
      </c>
      <c r="AR1865" s="1">
        <v>0</v>
      </c>
      <c r="AS1865" s="1">
        <v>0</v>
      </c>
      <c r="AT1865" s="1">
        <v>0</v>
      </c>
      <c r="AU1865" s="1">
        <v>0</v>
      </c>
      <c r="AV1865" s="1">
        <v>0</v>
      </c>
      <c r="AW1865" s="1">
        <v>0</v>
      </c>
      <c r="AX1865" s="1">
        <v>0</v>
      </c>
      <c r="AY1865" s="1">
        <v>0</v>
      </c>
      <c r="AZ1865" s="1">
        <v>0</v>
      </c>
      <c r="BA1865" s="1">
        <v>0</v>
      </c>
      <c r="BB1865" s="1">
        <v>0</v>
      </c>
      <c r="BC1865" s="1">
        <v>0</v>
      </c>
      <c r="BD1865" s="1">
        <v>0</v>
      </c>
      <c r="BE1865" s="1">
        <v>0</v>
      </c>
      <c r="BF1865" s="1">
        <v>0</v>
      </c>
      <c r="BG1865" s="1">
        <v>0</v>
      </c>
      <c r="BH1865" s="1">
        <v>0</v>
      </c>
      <c r="BI1865" s="1">
        <v>0</v>
      </c>
      <c r="BJ1865" s="1">
        <v>0</v>
      </c>
      <c r="BK1865" s="1">
        <v>0</v>
      </c>
      <c r="BL1865" s="1">
        <v>0</v>
      </c>
      <c r="BM1865" s="1">
        <v>1</v>
      </c>
      <c r="BN1865" s="1">
        <v>0</v>
      </c>
      <c r="BO1865" s="1">
        <v>0</v>
      </c>
      <c r="BP1865" s="1">
        <v>0</v>
      </c>
      <c r="BQ1865" s="1" t="s">
        <v>104</v>
      </c>
      <c r="BR1865" s="1">
        <v>1964</v>
      </c>
      <c r="BS1865" s="1" t="s">
        <v>104</v>
      </c>
      <c r="BX1865" s="1">
        <v>0</v>
      </c>
      <c r="BY1865" s="1" t="s">
        <v>104</v>
      </c>
      <c r="BZ1865" s="1">
        <v>2</v>
      </c>
      <c r="CA1865" s="1" t="s">
        <v>104</v>
      </c>
      <c r="CB1865" s="1" t="s">
        <v>104</v>
      </c>
      <c r="CC1865" s="1" t="s">
        <v>104</v>
      </c>
      <c r="CD1865" s="1" t="s">
        <v>104</v>
      </c>
      <c r="CE1865" s="1" t="s">
        <v>104</v>
      </c>
      <c r="CF1865" s="1" t="s">
        <v>104</v>
      </c>
      <c r="CG1865" s="1" t="s">
        <v>104</v>
      </c>
      <c r="CH1865" s="1">
        <v>2</v>
      </c>
      <c r="CJ1865" s="1">
        <v>0</v>
      </c>
      <c r="CK1865" s="1">
        <v>0</v>
      </c>
      <c r="CL1865" s="1">
        <v>0</v>
      </c>
      <c r="CM1865" s="1" t="s">
        <v>104</v>
      </c>
    </row>
    <row r="1866" spans="1:91" ht="14.25" customHeight="1" x14ac:dyDescent="0.3">
      <c r="A1866" s="1" t="s">
        <v>10024</v>
      </c>
      <c r="B1866" s="1" t="s">
        <v>507</v>
      </c>
      <c r="C1866" s="1" t="s">
        <v>508</v>
      </c>
      <c r="E1866" s="1" t="s">
        <v>10025</v>
      </c>
      <c r="F1866" s="1" t="s">
        <v>255</v>
      </c>
      <c r="G1866" s="1" t="s">
        <v>237</v>
      </c>
      <c r="H1866" s="1">
        <v>0</v>
      </c>
      <c r="I1866" s="1" t="s">
        <v>117</v>
      </c>
      <c r="J1866" s="1" t="s">
        <v>10026</v>
      </c>
      <c r="M1866" s="1" t="s">
        <v>4641</v>
      </c>
      <c r="N1866" s="1">
        <v>1</v>
      </c>
      <c r="O1866" s="1">
        <v>0</v>
      </c>
      <c r="P1866" s="1" t="s">
        <v>8473</v>
      </c>
      <c r="Q1866" s="1" t="s">
        <v>8474</v>
      </c>
      <c r="R1866" s="1" t="s">
        <v>10027</v>
      </c>
      <c r="S1866" s="1" t="s">
        <v>9569</v>
      </c>
      <c r="T1866" s="1">
        <v>1</v>
      </c>
      <c r="U1866" s="1">
        <v>0</v>
      </c>
      <c r="V1866" s="1">
        <v>0</v>
      </c>
      <c r="W1866" s="1">
        <v>0</v>
      </c>
      <c r="X1866" s="1">
        <v>0</v>
      </c>
      <c r="Y1866" s="1">
        <v>2</v>
      </c>
      <c r="Z1866" s="1">
        <v>2</v>
      </c>
      <c r="AA1866" s="1">
        <v>2</v>
      </c>
      <c r="AB1866" s="1" t="s">
        <v>104</v>
      </c>
      <c r="AC1866" s="1" t="s">
        <v>104</v>
      </c>
      <c r="AD1866" s="1">
        <v>2</v>
      </c>
      <c r="AE1866" s="1" t="s">
        <v>104</v>
      </c>
      <c r="AF1866" s="1" t="s">
        <v>104</v>
      </c>
      <c r="AG1866" s="1" t="s">
        <v>104</v>
      </c>
      <c r="AH1866" s="1">
        <v>2</v>
      </c>
      <c r="AI1866" s="1" t="s">
        <v>104</v>
      </c>
      <c r="AJ1866" s="1">
        <v>2</v>
      </c>
      <c r="AK1866" s="1" t="s">
        <v>104</v>
      </c>
      <c r="AL1866" s="1" t="s">
        <v>104</v>
      </c>
      <c r="AM1866" s="1" t="s">
        <v>104</v>
      </c>
      <c r="AO1866" s="1">
        <v>2</v>
      </c>
      <c r="AQ1866" s="1" t="s">
        <v>10028</v>
      </c>
      <c r="AR1866" s="1">
        <v>0</v>
      </c>
      <c r="AS1866" s="1">
        <v>0</v>
      </c>
      <c r="AT1866" s="1">
        <v>0</v>
      </c>
      <c r="AU1866" s="1">
        <v>0</v>
      </c>
      <c r="AV1866" s="1">
        <v>0</v>
      </c>
      <c r="AW1866" s="1">
        <v>0</v>
      </c>
      <c r="AX1866" s="1">
        <v>0</v>
      </c>
      <c r="AY1866" s="1">
        <v>0</v>
      </c>
      <c r="AZ1866" s="1">
        <v>0</v>
      </c>
      <c r="BA1866" s="1">
        <v>0</v>
      </c>
      <c r="BB1866" s="1">
        <v>0</v>
      </c>
      <c r="BC1866" s="1">
        <v>0</v>
      </c>
      <c r="BD1866" s="1">
        <v>0</v>
      </c>
      <c r="BE1866" s="1">
        <v>0</v>
      </c>
      <c r="BF1866" s="1">
        <v>0</v>
      </c>
      <c r="BG1866" s="1">
        <v>0</v>
      </c>
      <c r="BH1866" s="1">
        <v>0</v>
      </c>
      <c r="BI1866" s="1">
        <v>0</v>
      </c>
      <c r="BJ1866" s="1">
        <v>0</v>
      </c>
      <c r="BK1866" s="1">
        <v>0</v>
      </c>
      <c r="BL1866" s="1">
        <v>0</v>
      </c>
      <c r="BM1866" s="1">
        <v>0</v>
      </c>
      <c r="BN1866" s="1">
        <v>0</v>
      </c>
      <c r="BO1866" s="1">
        <v>0</v>
      </c>
      <c r="BP1866" s="1">
        <v>0</v>
      </c>
      <c r="BQ1866" s="1" t="s">
        <v>104</v>
      </c>
      <c r="BR1866" s="1">
        <v>1965</v>
      </c>
      <c r="BS1866" s="1" t="s">
        <v>104</v>
      </c>
      <c r="BX1866" s="1">
        <v>0</v>
      </c>
      <c r="BY1866" s="1" t="s">
        <v>104</v>
      </c>
      <c r="BZ1866" s="1" t="s">
        <v>104</v>
      </c>
      <c r="CA1866" s="1">
        <v>2</v>
      </c>
      <c r="CB1866" s="1" t="s">
        <v>104</v>
      </c>
      <c r="CC1866" s="1">
        <v>2</v>
      </c>
      <c r="CD1866" s="1" t="s">
        <v>104</v>
      </c>
      <c r="CE1866" s="1" t="s">
        <v>104</v>
      </c>
      <c r="CF1866" s="1" t="s">
        <v>104</v>
      </c>
      <c r="CG1866" s="1" t="s">
        <v>104</v>
      </c>
      <c r="CH1866" s="1" t="s">
        <v>104</v>
      </c>
      <c r="CJ1866" s="1">
        <v>0</v>
      </c>
      <c r="CK1866" s="1">
        <v>0</v>
      </c>
      <c r="CL1866" s="1">
        <v>0</v>
      </c>
      <c r="CM1866" s="1" t="s">
        <v>104</v>
      </c>
    </row>
    <row r="1867" spans="1:91" ht="14.25" customHeight="1" x14ac:dyDescent="0.3">
      <c r="A1867" s="1" t="s">
        <v>10029</v>
      </c>
      <c r="B1867" s="1" t="s">
        <v>92</v>
      </c>
      <c r="C1867" s="1" t="s">
        <v>93</v>
      </c>
      <c r="E1867" s="1" t="s">
        <v>10030</v>
      </c>
      <c r="F1867" s="1" t="s">
        <v>95</v>
      </c>
      <c r="G1867" s="1" t="s">
        <v>10031</v>
      </c>
      <c r="H1867" s="1">
        <v>0</v>
      </c>
      <c r="I1867" s="1" t="s">
        <v>548</v>
      </c>
      <c r="J1867" s="1" t="s">
        <v>549</v>
      </c>
      <c r="M1867" s="1" t="s">
        <v>119</v>
      </c>
      <c r="N1867" s="1">
        <v>0</v>
      </c>
      <c r="O1867" s="1">
        <v>0</v>
      </c>
      <c r="P1867" s="1" t="s">
        <v>550</v>
      </c>
      <c r="Q1867" s="1" t="s">
        <v>184</v>
      </c>
      <c r="R1867" s="1" t="s">
        <v>10032</v>
      </c>
      <c r="S1867" s="1" t="s">
        <v>9569</v>
      </c>
      <c r="T1867" s="1">
        <v>1</v>
      </c>
      <c r="U1867" s="1">
        <v>1</v>
      </c>
      <c r="V1867" s="1">
        <v>1</v>
      </c>
      <c r="W1867" s="1">
        <v>0</v>
      </c>
      <c r="X1867" s="1">
        <v>0</v>
      </c>
      <c r="Y1867" s="1">
        <v>3</v>
      </c>
      <c r="Z1867" s="1">
        <v>3</v>
      </c>
      <c r="AA1867" s="1" t="s">
        <v>104</v>
      </c>
      <c r="AB1867" s="1" t="s">
        <v>104</v>
      </c>
      <c r="AC1867" s="1" t="s">
        <v>104</v>
      </c>
      <c r="AD1867" s="1" t="s">
        <v>104</v>
      </c>
      <c r="AE1867" s="1" t="s">
        <v>104</v>
      </c>
      <c r="AF1867" s="1" t="s">
        <v>104</v>
      </c>
      <c r="AG1867" s="1" t="s">
        <v>104</v>
      </c>
      <c r="AH1867" s="1">
        <v>3</v>
      </c>
      <c r="AI1867" s="1" t="s">
        <v>104</v>
      </c>
      <c r="AJ1867" s="1" t="s">
        <v>104</v>
      </c>
      <c r="AK1867" s="1" t="s">
        <v>104</v>
      </c>
      <c r="AL1867" s="1">
        <v>3</v>
      </c>
      <c r="AM1867" s="1" t="s">
        <v>104</v>
      </c>
      <c r="AO1867" s="1">
        <v>3</v>
      </c>
      <c r="AQ1867" s="1" t="s">
        <v>10033</v>
      </c>
      <c r="AR1867" s="1">
        <v>0</v>
      </c>
      <c r="AS1867" s="1">
        <v>0</v>
      </c>
      <c r="AT1867" s="1">
        <v>0</v>
      </c>
      <c r="AU1867" s="1">
        <v>0</v>
      </c>
      <c r="AV1867" s="1">
        <v>0</v>
      </c>
      <c r="AW1867" s="1">
        <v>0</v>
      </c>
      <c r="AX1867" s="1">
        <v>0</v>
      </c>
      <c r="AY1867" s="1">
        <v>0</v>
      </c>
      <c r="AZ1867" s="1">
        <v>0</v>
      </c>
      <c r="BA1867" s="1">
        <v>0</v>
      </c>
      <c r="BB1867" s="1">
        <v>0</v>
      </c>
      <c r="BC1867" s="1">
        <v>0</v>
      </c>
      <c r="BD1867" s="1">
        <v>0</v>
      </c>
      <c r="BE1867" s="1">
        <v>0</v>
      </c>
      <c r="BF1867" s="1">
        <v>0</v>
      </c>
      <c r="BG1867" s="1">
        <v>0</v>
      </c>
      <c r="BH1867" s="1">
        <v>0</v>
      </c>
      <c r="BI1867" s="1">
        <v>0</v>
      </c>
      <c r="BJ1867" s="1">
        <v>0</v>
      </c>
      <c r="BK1867" s="1">
        <v>0</v>
      </c>
      <c r="BL1867" s="1">
        <v>0</v>
      </c>
      <c r="BM1867" s="1">
        <v>0</v>
      </c>
      <c r="BN1867" s="1">
        <v>0</v>
      </c>
      <c r="BO1867" s="1">
        <v>0</v>
      </c>
      <c r="BP1867" s="1">
        <v>0</v>
      </c>
      <c r="BQ1867" s="1" t="s">
        <v>104</v>
      </c>
      <c r="BR1867" s="1">
        <v>1966</v>
      </c>
      <c r="BS1867" s="1" t="s">
        <v>104</v>
      </c>
      <c r="BX1867" s="1">
        <v>0</v>
      </c>
      <c r="BY1867" s="1">
        <v>3</v>
      </c>
      <c r="BZ1867" s="1" t="s">
        <v>104</v>
      </c>
      <c r="CA1867" s="1" t="s">
        <v>104</v>
      </c>
      <c r="CB1867" s="1" t="s">
        <v>104</v>
      </c>
      <c r="CC1867" s="1" t="s">
        <v>104</v>
      </c>
      <c r="CD1867" s="1" t="s">
        <v>104</v>
      </c>
      <c r="CE1867" s="1" t="s">
        <v>104</v>
      </c>
      <c r="CF1867" s="1" t="s">
        <v>104</v>
      </c>
      <c r="CG1867" s="1" t="s">
        <v>104</v>
      </c>
      <c r="CH1867" s="1" t="s">
        <v>104</v>
      </c>
      <c r="CJ1867" s="1">
        <v>0</v>
      </c>
      <c r="CK1867" s="1">
        <v>0</v>
      </c>
      <c r="CL1867" s="1">
        <v>0</v>
      </c>
      <c r="CM1867" s="1" t="s">
        <v>104</v>
      </c>
    </row>
    <row r="1868" spans="1:91" ht="14.25" customHeight="1" x14ac:dyDescent="0.3">
      <c r="A1868" s="1" t="s">
        <v>10034</v>
      </c>
      <c r="B1868" s="1" t="s">
        <v>92</v>
      </c>
      <c r="C1868" s="1" t="s">
        <v>93</v>
      </c>
      <c r="E1868" s="1" t="s">
        <v>3556</v>
      </c>
      <c r="F1868" s="1" t="s">
        <v>95</v>
      </c>
      <c r="G1868" s="1" t="s">
        <v>10035</v>
      </c>
      <c r="H1868" s="1">
        <v>0</v>
      </c>
      <c r="I1868" s="1" t="s">
        <v>117</v>
      </c>
      <c r="L1868" s="1" t="s">
        <v>541</v>
      </c>
      <c r="M1868" s="1" t="s">
        <v>5942</v>
      </c>
      <c r="N1868" s="1">
        <v>0</v>
      </c>
      <c r="O1868" s="1">
        <v>0</v>
      </c>
      <c r="P1868" s="1" t="s">
        <v>183</v>
      </c>
      <c r="Q1868" s="1" t="s">
        <v>184</v>
      </c>
      <c r="R1868" s="1" t="s">
        <v>10036</v>
      </c>
      <c r="S1868" s="1" t="s">
        <v>9569</v>
      </c>
      <c r="T1868" s="1">
        <v>1</v>
      </c>
      <c r="U1868" s="1">
        <v>1</v>
      </c>
      <c r="V1868" s="1">
        <v>1</v>
      </c>
      <c r="W1868" s="1">
        <v>0</v>
      </c>
      <c r="X1868" s="1">
        <v>0</v>
      </c>
      <c r="Y1868" s="1" t="s">
        <v>104</v>
      </c>
      <c r="Z1868" s="1" t="s">
        <v>104</v>
      </c>
      <c r="AA1868" s="1" t="s">
        <v>104</v>
      </c>
      <c r="AB1868" s="1">
        <v>4</v>
      </c>
      <c r="AC1868" s="1" t="s">
        <v>104</v>
      </c>
      <c r="AD1868" s="1" t="s">
        <v>104</v>
      </c>
      <c r="AE1868" s="1" t="s">
        <v>104</v>
      </c>
      <c r="AF1868" s="1" t="s">
        <v>104</v>
      </c>
      <c r="AG1868" s="1" t="s">
        <v>104</v>
      </c>
      <c r="AH1868" s="1" t="s">
        <v>104</v>
      </c>
      <c r="AI1868" s="1" t="s">
        <v>104</v>
      </c>
      <c r="AJ1868" s="1" t="s">
        <v>104</v>
      </c>
      <c r="AK1868" s="1" t="s">
        <v>104</v>
      </c>
      <c r="AL1868" s="1" t="s">
        <v>104</v>
      </c>
      <c r="AM1868" s="1" t="s">
        <v>104</v>
      </c>
      <c r="AO1868" s="1">
        <v>4</v>
      </c>
      <c r="AQ1868" s="1" t="s">
        <v>10037</v>
      </c>
      <c r="AR1868" s="1">
        <v>0</v>
      </c>
      <c r="AS1868" s="1">
        <v>0</v>
      </c>
      <c r="AT1868" s="1">
        <v>0</v>
      </c>
      <c r="AU1868" s="1">
        <v>0</v>
      </c>
      <c r="AV1868" s="1">
        <v>0</v>
      </c>
      <c r="AW1868" s="1">
        <v>0</v>
      </c>
      <c r="AX1868" s="1">
        <v>0</v>
      </c>
      <c r="AY1868" s="1">
        <v>0</v>
      </c>
      <c r="AZ1868" s="1">
        <v>0</v>
      </c>
      <c r="BA1868" s="1">
        <v>0</v>
      </c>
      <c r="BB1868" s="1">
        <v>0</v>
      </c>
      <c r="BC1868" s="1">
        <v>0</v>
      </c>
      <c r="BD1868" s="1">
        <v>0</v>
      </c>
      <c r="BE1868" s="1">
        <v>0</v>
      </c>
      <c r="BF1868" s="1">
        <v>0</v>
      </c>
      <c r="BG1868" s="1">
        <v>0</v>
      </c>
      <c r="BH1868" s="1">
        <v>0</v>
      </c>
      <c r="BI1868" s="1">
        <v>0</v>
      </c>
      <c r="BJ1868" s="1">
        <v>0</v>
      </c>
      <c r="BK1868" s="1">
        <v>0</v>
      </c>
      <c r="BL1868" s="1">
        <v>0</v>
      </c>
      <c r="BM1868" s="1">
        <v>0</v>
      </c>
      <c r="BN1868" s="1">
        <v>0</v>
      </c>
      <c r="BO1868" s="1">
        <v>0</v>
      </c>
      <c r="BP1868" s="1">
        <v>0</v>
      </c>
      <c r="BQ1868" s="1" t="s">
        <v>104</v>
      </c>
      <c r="BR1868" s="1">
        <v>1967</v>
      </c>
      <c r="BS1868" s="1" t="s">
        <v>104</v>
      </c>
      <c r="BX1868" s="1">
        <v>0</v>
      </c>
      <c r="BY1868" s="1" t="s">
        <v>104</v>
      </c>
      <c r="BZ1868" s="1">
        <v>4</v>
      </c>
      <c r="CA1868" s="1" t="s">
        <v>104</v>
      </c>
      <c r="CB1868" s="1" t="s">
        <v>104</v>
      </c>
      <c r="CC1868" s="1" t="s">
        <v>104</v>
      </c>
      <c r="CD1868" s="1" t="s">
        <v>104</v>
      </c>
      <c r="CE1868" s="1" t="s">
        <v>104</v>
      </c>
      <c r="CF1868" s="1" t="s">
        <v>104</v>
      </c>
      <c r="CG1868" s="1" t="s">
        <v>104</v>
      </c>
      <c r="CH1868" s="1">
        <v>4</v>
      </c>
      <c r="CJ1868" s="1">
        <v>0</v>
      </c>
      <c r="CK1868" s="1">
        <v>0</v>
      </c>
      <c r="CL1868" s="1">
        <v>0</v>
      </c>
      <c r="CM1868" s="1" t="s">
        <v>104</v>
      </c>
    </row>
    <row r="1869" spans="1:91" ht="14.25" customHeight="1" x14ac:dyDescent="0.3">
      <c r="A1869" s="1" t="s">
        <v>10038</v>
      </c>
      <c r="B1869" s="1" t="s">
        <v>137</v>
      </c>
      <c r="C1869" s="1" t="s">
        <v>154</v>
      </c>
      <c r="D1869" s="1" t="s">
        <v>66</v>
      </c>
      <c r="E1869" s="1" t="s">
        <v>10039</v>
      </c>
      <c r="F1869" s="1" t="s">
        <v>95</v>
      </c>
      <c r="G1869" s="1" t="s">
        <v>10040</v>
      </c>
      <c r="H1869" s="1">
        <v>0</v>
      </c>
      <c r="I1869" s="1" t="s">
        <v>157</v>
      </c>
      <c r="L1869" s="1" t="s">
        <v>158</v>
      </c>
      <c r="M1869" s="1" t="s">
        <v>111</v>
      </c>
      <c r="N1869" s="1">
        <v>0</v>
      </c>
      <c r="O1869" s="1">
        <v>0</v>
      </c>
      <c r="R1869" s="1" t="s">
        <v>10041</v>
      </c>
      <c r="S1869" s="1" t="s">
        <v>9569</v>
      </c>
      <c r="T1869" s="1">
        <v>1</v>
      </c>
      <c r="U1869" s="1">
        <v>1</v>
      </c>
      <c r="V1869" s="1">
        <v>1</v>
      </c>
      <c r="W1869" s="1">
        <v>0</v>
      </c>
      <c r="X1869" s="1">
        <v>0</v>
      </c>
      <c r="Y1869" s="1">
        <v>6</v>
      </c>
      <c r="Z1869" s="1">
        <v>6</v>
      </c>
      <c r="AA1869" s="1" t="s">
        <v>104</v>
      </c>
      <c r="AB1869" s="1" t="s">
        <v>104</v>
      </c>
      <c r="AC1869" s="1" t="s">
        <v>104</v>
      </c>
      <c r="AD1869" s="1">
        <v>6</v>
      </c>
      <c r="AE1869" s="1" t="s">
        <v>104</v>
      </c>
      <c r="AF1869" s="1">
        <v>6</v>
      </c>
      <c r="AG1869" s="1" t="s">
        <v>104</v>
      </c>
      <c r="AH1869" s="1" t="s">
        <v>104</v>
      </c>
      <c r="AI1869" s="1" t="s">
        <v>104</v>
      </c>
      <c r="AJ1869" s="1" t="s">
        <v>104</v>
      </c>
      <c r="AK1869" s="1" t="s">
        <v>104</v>
      </c>
      <c r="AL1869" s="1" t="s">
        <v>104</v>
      </c>
      <c r="AM1869" s="1" t="s">
        <v>104</v>
      </c>
      <c r="AO1869" s="1">
        <v>6</v>
      </c>
      <c r="AQ1869" s="1" t="s">
        <v>10042</v>
      </c>
      <c r="AR1869" s="1">
        <v>0</v>
      </c>
      <c r="AS1869" s="1">
        <v>0</v>
      </c>
      <c r="AT1869" s="1">
        <v>0</v>
      </c>
      <c r="AU1869" s="1">
        <v>0</v>
      </c>
      <c r="AV1869" s="1">
        <v>0</v>
      </c>
      <c r="AW1869" s="1">
        <v>0</v>
      </c>
      <c r="AX1869" s="1">
        <v>0</v>
      </c>
      <c r="AY1869" s="1">
        <v>0</v>
      </c>
      <c r="AZ1869" s="1">
        <v>0</v>
      </c>
      <c r="BA1869" s="1">
        <v>0</v>
      </c>
      <c r="BB1869" s="1">
        <v>0</v>
      </c>
      <c r="BC1869" s="1">
        <v>0</v>
      </c>
      <c r="BD1869" s="1">
        <v>0</v>
      </c>
      <c r="BE1869" s="1">
        <v>0</v>
      </c>
      <c r="BF1869" s="1">
        <v>0</v>
      </c>
      <c r="BG1869" s="1">
        <v>0</v>
      </c>
      <c r="BH1869" s="1">
        <v>0</v>
      </c>
      <c r="BI1869" s="1">
        <v>0</v>
      </c>
      <c r="BJ1869" s="1">
        <v>0</v>
      </c>
      <c r="BK1869" s="1">
        <v>0</v>
      </c>
      <c r="BL1869" s="1">
        <v>0</v>
      </c>
      <c r="BM1869" s="1">
        <v>0</v>
      </c>
      <c r="BN1869" s="1">
        <v>0</v>
      </c>
      <c r="BO1869" s="1">
        <v>1</v>
      </c>
      <c r="BP1869" s="1">
        <v>0</v>
      </c>
      <c r="BQ1869" s="1" t="s">
        <v>104</v>
      </c>
      <c r="BR1869" s="1">
        <v>1968</v>
      </c>
      <c r="BS1869" s="1" t="s">
        <v>104</v>
      </c>
      <c r="BX1869" s="1">
        <v>0</v>
      </c>
      <c r="BY1869" s="1" t="s">
        <v>104</v>
      </c>
      <c r="BZ1869" s="1" t="s">
        <v>104</v>
      </c>
      <c r="CA1869" s="1" t="s">
        <v>104</v>
      </c>
      <c r="CB1869" s="1" t="s">
        <v>104</v>
      </c>
      <c r="CC1869" s="1" t="s">
        <v>104</v>
      </c>
      <c r="CD1869" s="1" t="s">
        <v>104</v>
      </c>
      <c r="CE1869" s="1" t="s">
        <v>104</v>
      </c>
      <c r="CF1869" s="1" t="s">
        <v>104</v>
      </c>
      <c r="CG1869" s="1" t="s">
        <v>104</v>
      </c>
      <c r="CH1869" s="1" t="s">
        <v>104</v>
      </c>
      <c r="CJ1869" s="1">
        <v>0</v>
      </c>
      <c r="CK1869" s="1">
        <v>0</v>
      </c>
      <c r="CL1869" s="1">
        <v>0</v>
      </c>
      <c r="CM1869" s="1" t="s">
        <v>104</v>
      </c>
    </row>
    <row r="1870" spans="1:91" ht="14.25" customHeight="1" x14ac:dyDescent="0.3">
      <c r="A1870" s="1" t="s">
        <v>10043</v>
      </c>
      <c r="B1870" s="1" t="s">
        <v>434</v>
      </c>
      <c r="D1870" s="1" t="s">
        <v>66</v>
      </c>
      <c r="E1870" s="1" t="s">
        <v>10044</v>
      </c>
      <c r="F1870" s="1" t="s">
        <v>95</v>
      </c>
      <c r="G1870" s="1" t="s">
        <v>116</v>
      </c>
      <c r="H1870" s="1">
        <v>0</v>
      </c>
      <c r="I1870" s="1" t="s">
        <v>548</v>
      </c>
      <c r="J1870" s="1" t="s">
        <v>549</v>
      </c>
      <c r="M1870" s="1" t="s">
        <v>9573</v>
      </c>
      <c r="N1870" s="1">
        <v>0</v>
      </c>
      <c r="O1870" s="1">
        <v>0</v>
      </c>
      <c r="P1870" s="1" t="s">
        <v>6014</v>
      </c>
      <c r="Q1870" s="1" t="s">
        <v>184</v>
      </c>
      <c r="R1870" s="1" t="s">
        <v>10045</v>
      </c>
      <c r="S1870" s="1" t="s">
        <v>9569</v>
      </c>
      <c r="T1870" s="1">
        <v>1</v>
      </c>
      <c r="U1870" s="1">
        <v>1</v>
      </c>
      <c r="V1870" s="1">
        <v>0</v>
      </c>
      <c r="W1870" s="1">
        <v>0</v>
      </c>
      <c r="X1870" s="1">
        <v>0</v>
      </c>
      <c r="Y1870" s="1">
        <v>2</v>
      </c>
      <c r="Z1870" s="1">
        <v>2</v>
      </c>
      <c r="AA1870" s="1" t="s">
        <v>104</v>
      </c>
      <c r="AB1870" s="1" t="s">
        <v>104</v>
      </c>
      <c r="AC1870" s="1" t="s">
        <v>104</v>
      </c>
      <c r="AD1870" s="1">
        <v>2</v>
      </c>
      <c r="AE1870" s="1" t="s">
        <v>104</v>
      </c>
      <c r="AF1870" s="1" t="s">
        <v>104</v>
      </c>
      <c r="AG1870" s="1" t="s">
        <v>104</v>
      </c>
      <c r="AH1870" s="1" t="s">
        <v>104</v>
      </c>
      <c r="AI1870" s="1" t="s">
        <v>104</v>
      </c>
      <c r="AJ1870" s="1" t="s">
        <v>104</v>
      </c>
      <c r="AK1870" s="1" t="s">
        <v>104</v>
      </c>
      <c r="AL1870" s="1">
        <v>2</v>
      </c>
      <c r="AM1870" s="1" t="s">
        <v>104</v>
      </c>
      <c r="AO1870" s="1">
        <v>2</v>
      </c>
      <c r="AQ1870" s="1" t="s">
        <v>10046</v>
      </c>
      <c r="AR1870" s="1">
        <v>0</v>
      </c>
      <c r="AS1870" s="1">
        <v>0</v>
      </c>
      <c r="AT1870" s="1">
        <v>0</v>
      </c>
      <c r="AU1870" s="1">
        <v>0</v>
      </c>
      <c r="AV1870" s="1">
        <v>0</v>
      </c>
      <c r="AW1870" s="1">
        <v>0</v>
      </c>
      <c r="AX1870" s="1">
        <v>0</v>
      </c>
      <c r="AY1870" s="1">
        <v>0</v>
      </c>
      <c r="AZ1870" s="1">
        <v>0</v>
      </c>
      <c r="BA1870" s="1">
        <v>0</v>
      </c>
      <c r="BB1870" s="1">
        <v>0</v>
      </c>
      <c r="BC1870" s="1">
        <v>0</v>
      </c>
      <c r="BD1870" s="1">
        <v>0</v>
      </c>
      <c r="BE1870" s="1">
        <v>0</v>
      </c>
      <c r="BF1870" s="1">
        <v>0</v>
      </c>
      <c r="BG1870" s="1">
        <v>0</v>
      </c>
      <c r="BH1870" s="1">
        <v>0</v>
      </c>
      <c r="BI1870" s="1">
        <v>0</v>
      </c>
      <c r="BJ1870" s="1">
        <v>0</v>
      </c>
      <c r="BK1870" s="1">
        <v>0</v>
      </c>
      <c r="BL1870" s="1">
        <v>0</v>
      </c>
      <c r="BM1870" s="1">
        <v>0</v>
      </c>
      <c r="BN1870" s="1">
        <v>0</v>
      </c>
      <c r="BO1870" s="1">
        <v>1</v>
      </c>
      <c r="BP1870" s="1">
        <v>0</v>
      </c>
      <c r="BQ1870" s="1" t="s">
        <v>104</v>
      </c>
      <c r="BR1870" s="1">
        <v>1969</v>
      </c>
      <c r="BS1870" s="1" t="s">
        <v>104</v>
      </c>
      <c r="BX1870" s="1">
        <v>0</v>
      </c>
      <c r="BY1870" s="1">
        <v>2</v>
      </c>
      <c r="BZ1870" s="1" t="s">
        <v>104</v>
      </c>
      <c r="CA1870" s="1">
        <v>2</v>
      </c>
      <c r="CB1870" s="1" t="s">
        <v>104</v>
      </c>
      <c r="CC1870" s="1" t="s">
        <v>104</v>
      </c>
      <c r="CD1870" s="1" t="s">
        <v>104</v>
      </c>
      <c r="CE1870" s="1" t="s">
        <v>104</v>
      </c>
      <c r="CF1870" s="1" t="s">
        <v>104</v>
      </c>
      <c r="CG1870" s="1" t="s">
        <v>104</v>
      </c>
      <c r="CH1870" s="1" t="s">
        <v>104</v>
      </c>
      <c r="CJ1870" s="1">
        <v>0</v>
      </c>
      <c r="CK1870" s="1">
        <v>0</v>
      </c>
      <c r="CL1870" s="1">
        <v>0</v>
      </c>
      <c r="CM1870" s="1" t="s">
        <v>104</v>
      </c>
    </row>
    <row r="1871" spans="1:91" ht="14.25" customHeight="1" x14ac:dyDescent="0.3">
      <c r="A1871" s="1" t="s">
        <v>10047</v>
      </c>
      <c r="B1871" s="1" t="s">
        <v>216</v>
      </c>
      <c r="D1871" s="1" t="s">
        <v>2506</v>
      </c>
      <c r="E1871" s="1" t="s">
        <v>10048</v>
      </c>
      <c r="F1871" s="1" t="s">
        <v>287</v>
      </c>
      <c r="G1871" s="1" t="s">
        <v>127</v>
      </c>
      <c r="H1871" s="1">
        <v>0</v>
      </c>
      <c r="I1871" s="1" t="s">
        <v>10049</v>
      </c>
      <c r="L1871" s="1" t="s">
        <v>10050</v>
      </c>
      <c r="M1871" s="1" t="s">
        <v>2330</v>
      </c>
      <c r="N1871" s="1">
        <v>0</v>
      </c>
      <c r="O1871" s="1">
        <v>0</v>
      </c>
      <c r="P1871" s="1" t="s">
        <v>1902</v>
      </c>
      <c r="Q1871" s="1" t="s">
        <v>101</v>
      </c>
      <c r="R1871" s="1" t="s">
        <v>10051</v>
      </c>
      <c r="S1871" s="1" t="s">
        <v>9569</v>
      </c>
      <c r="T1871" s="1">
        <v>1</v>
      </c>
      <c r="U1871" s="1">
        <v>1</v>
      </c>
      <c r="V1871" s="1">
        <v>0</v>
      </c>
      <c r="W1871" s="1">
        <v>0</v>
      </c>
      <c r="X1871" s="1">
        <v>1</v>
      </c>
      <c r="Y1871" s="1" t="s">
        <v>104</v>
      </c>
      <c r="Z1871" s="1" t="s">
        <v>104</v>
      </c>
      <c r="AA1871" s="1">
        <v>4</v>
      </c>
      <c r="AB1871" s="1" t="s">
        <v>104</v>
      </c>
      <c r="AC1871" s="1" t="s">
        <v>104</v>
      </c>
      <c r="AD1871" s="1" t="s">
        <v>104</v>
      </c>
      <c r="AE1871" s="1" t="s">
        <v>104</v>
      </c>
      <c r="AF1871" s="1" t="s">
        <v>104</v>
      </c>
      <c r="AG1871" s="1" t="s">
        <v>104</v>
      </c>
      <c r="AH1871" s="1">
        <v>4</v>
      </c>
      <c r="AI1871" s="1" t="s">
        <v>104</v>
      </c>
      <c r="AJ1871" s="1">
        <v>4</v>
      </c>
      <c r="AK1871" s="1" t="s">
        <v>104</v>
      </c>
      <c r="AL1871" s="1" t="s">
        <v>104</v>
      </c>
      <c r="AM1871" s="1" t="s">
        <v>104</v>
      </c>
      <c r="AO1871" s="1">
        <v>4</v>
      </c>
      <c r="AQ1871" s="1" t="s">
        <v>10052</v>
      </c>
      <c r="AR1871" s="1">
        <v>0</v>
      </c>
      <c r="AS1871" s="1">
        <v>0</v>
      </c>
      <c r="AT1871" s="1">
        <v>0</v>
      </c>
      <c r="AU1871" s="1">
        <v>0</v>
      </c>
      <c r="AV1871" s="1">
        <v>0</v>
      </c>
      <c r="AW1871" s="1">
        <v>0</v>
      </c>
      <c r="AX1871" s="1">
        <v>0</v>
      </c>
      <c r="AY1871" s="1">
        <v>0</v>
      </c>
      <c r="AZ1871" s="1">
        <v>0</v>
      </c>
      <c r="BA1871" s="1">
        <v>0</v>
      </c>
      <c r="BB1871" s="1">
        <v>0</v>
      </c>
      <c r="BC1871" s="1">
        <v>0</v>
      </c>
      <c r="BD1871" s="1">
        <v>0</v>
      </c>
      <c r="BE1871" s="1">
        <v>0</v>
      </c>
      <c r="BF1871" s="1">
        <v>0</v>
      </c>
      <c r="BG1871" s="1">
        <v>0</v>
      </c>
      <c r="BH1871" s="1">
        <v>1</v>
      </c>
      <c r="BI1871" s="1">
        <v>0</v>
      </c>
      <c r="BJ1871" s="1">
        <v>0</v>
      </c>
      <c r="BK1871" s="1">
        <v>0</v>
      </c>
      <c r="BL1871" s="1">
        <v>0</v>
      </c>
      <c r="BM1871" s="1">
        <v>0</v>
      </c>
      <c r="BN1871" s="1">
        <v>0</v>
      </c>
      <c r="BO1871" s="1">
        <v>0</v>
      </c>
      <c r="BP1871" s="1">
        <v>0</v>
      </c>
      <c r="BQ1871" s="1" t="s">
        <v>104</v>
      </c>
      <c r="BR1871" s="1">
        <v>1970</v>
      </c>
      <c r="BS1871" s="1" t="s">
        <v>104</v>
      </c>
      <c r="BX1871" s="1">
        <v>0</v>
      </c>
      <c r="BY1871" s="1" t="s">
        <v>104</v>
      </c>
      <c r="BZ1871" s="1">
        <v>3</v>
      </c>
      <c r="CA1871" s="1">
        <v>4</v>
      </c>
      <c r="CB1871" s="1">
        <v>2</v>
      </c>
      <c r="CC1871" s="1" t="s">
        <v>104</v>
      </c>
      <c r="CD1871" s="1" t="s">
        <v>104</v>
      </c>
      <c r="CE1871" s="1">
        <v>4</v>
      </c>
      <c r="CF1871" s="1" t="s">
        <v>104</v>
      </c>
      <c r="CG1871" s="1" t="s">
        <v>104</v>
      </c>
      <c r="CH1871" s="1" t="s">
        <v>104</v>
      </c>
      <c r="CJ1871" s="1">
        <v>0</v>
      </c>
      <c r="CK1871" s="1">
        <v>0</v>
      </c>
      <c r="CL1871" s="1">
        <v>0</v>
      </c>
      <c r="CM1871" s="1" t="s">
        <v>104</v>
      </c>
    </row>
    <row r="1872" spans="1:91" ht="14.25" customHeight="1" x14ac:dyDescent="0.3">
      <c r="A1872" s="1" t="s">
        <v>10053</v>
      </c>
      <c r="B1872" s="1" t="s">
        <v>162</v>
      </c>
      <c r="E1872" s="1" t="s">
        <v>10054</v>
      </c>
      <c r="F1872" s="1" t="s">
        <v>95</v>
      </c>
      <c r="G1872" s="1" t="s">
        <v>116</v>
      </c>
      <c r="H1872" s="1">
        <v>0</v>
      </c>
      <c r="I1872" s="1" t="s">
        <v>109</v>
      </c>
      <c r="L1872" s="1" t="s">
        <v>1065</v>
      </c>
      <c r="M1872" s="1" t="s">
        <v>111</v>
      </c>
      <c r="N1872" s="1">
        <v>0</v>
      </c>
      <c r="O1872" s="1">
        <v>0</v>
      </c>
      <c r="P1872" s="1" t="s">
        <v>418</v>
      </c>
      <c r="Q1872" s="1" t="s">
        <v>184</v>
      </c>
      <c r="R1872" s="1" t="s">
        <v>10055</v>
      </c>
      <c r="S1872" s="1" t="s">
        <v>9569</v>
      </c>
      <c r="T1872" s="1">
        <v>1</v>
      </c>
      <c r="U1872" s="1">
        <v>1</v>
      </c>
      <c r="V1872" s="1">
        <v>0</v>
      </c>
      <c r="W1872" s="1">
        <v>0</v>
      </c>
      <c r="X1872" s="1">
        <v>0</v>
      </c>
      <c r="Y1872" s="1">
        <v>4</v>
      </c>
      <c r="Z1872" s="1">
        <v>4</v>
      </c>
      <c r="AA1872" s="1">
        <v>4</v>
      </c>
      <c r="AB1872" s="1" t="s">
        <v>104</v>
      </c>
      <c r="AC1872" s="1" t="s">
        <v>104</v>
      </c>
      <c r="AD1872" s="1" t="s">
        <v>104</v>
      </c>
      <c r="AE1872" s="1" t="s">
        <v>104</v>
      </c>
      <c r="AF1872" s="1" t="s">
        <v>104</v>
      </c>
      <c r="AG1872" s="1" t="s">
        <v>104</v>
      </c>
      <c r="AH1872" s="1">
        <v>4</v>
      </c>
      <c r="AI1872" s="1" t="s">
        <v>104</v>
      </c>
      <c r="AJ1872" s="1">
        <v>4</v>
      </c>
      <c r="AK1872" s="1" t="s">
        <v>104</v>
      </c>
      <c r="AL1872" s="1" t="s">
        <v>104</v>
      </c>
      <c r="AM1872" s="1" t="s">
        <v>104</v>
      </c>
      <c r="AO1872" s="1">
        <v>4</v>
      </c>
      <c r="AQ1872" s="1" t="s">
        <v>10056</v>
      </c>
      <c r="AR1872" s="1">
        <v>0</v>
      </c>
      <c r="AS1872" s="1">
        <v>0</v>
      </c>
      <c r="AT1872" s="1">
        <v>0</v>
      </c>
      <c r="AU1872" s="1">
        <v>0</v>
      </c>
      <c r="AV1872" s="1">
        <v>0</v>
      </c>
      <c r="AW1872" s="1">
        <v>0</v>
      </c>
      <c r="AX1872" s="1">
        <v>0</v>
      </c>
      <c r="AY1872" s="1">
        <v>0</v>
      </c>
      <c r="AZ1872" s="1">
        <v>0</v>
      </c>
      <c r="BA1872" s="1">
        <v>0</v>
      </c>
      <c r="BB1872" s="1">
        <v>0</v>
      </c>
      <c r="BC1872" s="1">
        <v>0</v>
      </c>
      <c r="BD1872" s="1">
        <v>0</v>
      </c>
      <c r="BE1872" s="1">
        <v>0</v>
      </c>
      <c r="BF1872" s="1">
        <v>0</v>
      </c>
      <c r="BG1872" s="1">
        <v>0</v>
      </c>
      <c r="BH1872" s="1">
        <v>0</v>
      </c>
      <c r="BI1872" s="1">
        <v>0</v>
      </c>
      <c r="BJ1872" s="1">
        <v>0</v>
      </c>
      <c r="BK1872" s="1">
        <v>0</v>
      </c>
      <c r="BL1872" s="1">
        <v>0</v>
      </c>
      <c r="BM1872" s="1">
        <v>0</v>
      </c>
      <c r="BN1872" s="1">
        <v>0</v>
      </c>
      <c r="BO1872" s="1">
        <v>0</v>
      </c>
      <c r="BP1872" s="1">
        <v>0</v>
      </c>
      <c r="BQ1872" s="1" t="s">
        <v>104</v>
      </c>
      <c r="BR1872" s="1">
        <v>1971</v>
      </c>
      <c r="BS1872" s="1" t="s">
        <v>104</v>
      </c>
      <c r="BX1872" s="1">
        <v>0</v>
      </c>
      <c r="BY1872" s="1" t="s">
        <v>104</v>
      </c>
      <c r="BZ1872" s="1" t="s">
        <v>104</v>
      </c>
      <c r="CA1872" s="1">
        <v>4</v>
      </c>
      <c r="CB1872" s="1" t="s">
        <v>104</v>
      </c>
      <c r="CC1872" s="1" t="s">
        <v>104</v>
      </c>
      <c r="CD1872" s="1" t="s">
        <v>104</v>
      </c>
      <c r="CE1872" s="1" t="s">
        <v>104</v>
      </c>
      <c r="CF1872" s="1" t="s">
        <v>104</v>
      </c>
      <c r="CG1872" s="1" t="s">
        <v>104</v>
      </c>
      <c r="CH1872" s="1" t="s">
        <v>104</v>
      </c>
      <c r="CJ1872" s="1">
        <v>0</v>
      </c>
      <c r="CK1872" s="1">
        <v>0</v>
      </c>
      <c r="CL1872" s="1">
        <v>0</v>
      </c>
      <c r="CM1872" s="1" t="s">
        <v>104</v>
      </c>
    </row>
    <row r="1873" spans="1:91" ht="14.25" customHeight="1" x14ac:dyDescent="0.3">
      <c r="A1873" s="1" t="s">
        <v>10057</v>
      </c>
      <c r="B1873" s="1" t="s">
        <v>162</v>
      </c>
      <c r="E1873" s="1" t="s">
        <v>9011</v>
      </c>
      <c r="F1873" s="1" t="s">
        <v>95</v>
      </c>
      <c r="G1873" s="1" t="s">
        <v>116</v>
      </c>
      <c r="H1873" s="1">
        <v>0</v>
      </c>
      <c r="I1873" s="1" t="s">
        <v>109</v>
      </c>
      <c r="L1873" s="1" t="s">
        <v>1065</v>
      </c>
      <c r="M1873" s="1" t="s">
        <v>111</v>
      </c>
      <c r="N1873" s="1">
        <v>0</v>
      </c>
      <c r="O1873" s="1">
        <v>0</v>
      </c>
      <c r="P1873" s="1" t="s">
        <v>418</v>
      </c>
      <c r="Q1873" s="1" t="s">
        <v>184</v>
      </c>
      <c r="R1873" s="1" t="s">
        <v>10058</v>
      </c>
      <c r="S1873" s="1" t="s">
        <v>9569</v>
      </c>
      <c r="T1873" s="1">
        <v>1</v>
      </c>
      <c r="U1873" s="1">
        <v>1</v>
      </c>
      <c r="V1873" s="1">
        <v>0</v>
      </c>
      <c r="W1873" s="1">
        <v>0</v>
      </c>
      <c r="X1873" s="1">
        <v>0</v>
      </c>
      <c r="Y1873" s="1">
        <v>8</v>
      </c>
      <c r="Z1873" s="1">
        <v>8</v>
      </c>
      <c r="AA1873" s="1">
        <v>8</v>
      </c>
      <c r="AB1873" s="1" t="s">
        <v>104</v>
      </c>
      <c r="AC1873" s="1" t="s">
        <v>104</v>
      </c>
      <c r="AD1873" s="1" t="s">
        <v>104</v>
      </c>
      <c r="AE1873" s="1" t="s">
        <v>104</v>
      </c>
      <c r="AF1873" s="1" t="s">
        <v>104</v>
      </c>
      <c r="AG1873" s="1" t="s">
        <v>104</v>
      </c>
      <c r="AH1873" s="1">
        <v>8</v>
      </c>
      <c r="AI1873" s="1" t="s">
        <v>104</v>
      </c>
      <c r="AJ1873" s="1">
        <v>8</v>
      </c>
      <c r="AK1873" s="1" t="s">
        <v>104</v>
      </c>
      <c r="AL1873" s="1" t="s">
        <v>104</v>
      </c>
      <c r="AM1873" s="1" t="s">
        <v>104</v>
      </c>
      <c r="AO1873" s="1">
        <v>8</v>
      </c>
      <c r="AQ1873" s="1" t="s">
        <v>10059</v>
      </c>
      <c r="AR1873" s="1">
        <v>0</v>
      </c>
      <c r="AS1873" s="1">
        <v>0</v>
      </c>
      <c r="AT1873" s="1">
        <v>0</v>
      </c>
      <c r="AU1873" s="1">
        <v>0</v>
      </c>
      <c r="AV1873" s="1">
        <v>0</v>
      </c>
      <c r="AW1873" s="1">
        <v>0</v>
      </c>
      <c r="AX1873" s="1">
        <v>0</v>
      </c>
      <c r="AY1873" s="1">
        <v>0</v>
      </c>
      <c r="AZ1873" s="1">
        <v>0</v>
      </c>
      <c r="BA1873" s="1">
        <v>0</v>
      </c>
      <c r="BB1873" s="1">
        <v>0</v>
      </c>
      <c r="BC1873" s="1">
        <v>0</v>
      </c>
      <c r="BD1873" s="1">
        <v>0</v>
      </c>
      <c r="BE1873" s="1">
        <v>0</v>
      </c>
      <c r="BF1873" s="1">
        <v>0</v>
      </c>
      <c r="BG1873" s="1">
        <v>0</v>
      </c>
      <c r="BH1873" s="1">
        <v>0</v>
      </c>
      <c r="BI1873" s="1">
        <v>0</v>
      </c>
      <c r="BJ1873" s="1">
        <v>0</v>
      </c>
      <c r="BK1873" s="1">
        <v>0</v>
      </c>
      <c r="BL1873" s="1">
        <v>0</v>
      </c>
      <c r="BM1873" s="1">
        <v>0</v>
      </c>
      <c r="BN1873" s="1">
        <v>0</v>
      </c>
      <c r="BO1873" s="1">
        <v>0</v>
      </c>
      <c r="BP1873" s="1">
        <v>0</v>
      </c>
      <c r="BQ1873" s="1" t="s">
        <v>104</v>
      </c>
      <c r="BR1873" s="1">
        <v>1972</v>
      </c>
      <c r="BS1873" s="1" t="s">
        <v>104</v>
      </c>
      <c r="BX1873" s="1">
        <v>0</v>
      </c>
      <c r="BY1873" s="1" t="s">
        <v>104</v>
      </c>
      <c r="BZ1873" s="1" t="s">
        <v>104</v>
      </c>
      <c r="CA1873" s="1" t="s">
        <v>104</v>
      </c>
      <c r="CB1873" s="1" t="s">
        <v>104</v>
      </c>
      <c r="CC1873" s="1" t="s">
        <v>104</v>
      </c>
      <c r="CD1873" s="1" t="s">
        <v>104</v>
      </c>
      <c r="CE1873" s="1" t="s">
        <v>104</v>
      </c>
      <c r="CF1873" s="1" t="s">
        <v>104</v>
      </c>
      <c r="CG1873" s="1" t="s">
        <v>104</v>
      </c>
      <c r="CH1873" s="1" t="s">
        <v>104</v>
      </c>
      <c r="CJ1873" s="1">
        <v>0</v>
      </c>
      <c r="CK1873" s="1">
        <v>0</v>
      </c>
      <c r="CL1873" s="1">
        <v>0</v>
      </c>
      <c r="CM1873" s="1" t="s">
        <v>104</v>
      </c>
    </row>
    <row r="1874" spans="1:91" ht="14.25" customHeight="1" x14ac:dyDescent="0.3">
      <c r="A1874" s="1" t="s">
        <v>10060</v>
      </c>
      <c r="B1874" s="1" t="s">
        <v>162</v>
      </c>
      <c r="E1874" s="1" t="s">
        <v>10061</v>
      </c>
      <c r="F1874" s="1" t="s">
        <v>95</v>
      </c>
      <c r="G1874" s="1" t="s">
        <v>116</v>
      </c>
      <c r="H1874" s="1">
        <v>0</v>
      </c>
      <c r="I1874" s="1" t="s">
        <v>109</v>
      </c>
      <c r="L1874" s="1" t="s">
        <v>1065</v>
      </c>
      <c r="M1874" s="1" t="s">
        <v>111</v>
      </c>
      <c r="N1874" s="1">
        <v>0</v>
      </c>
      <c r="O1874" s="1">
        <v>0</v>
      </c>
      <c r="P1874" s="1" t="s">
        <v>418</v>
      </c>
      <c r="Q1874" s="1" t="s">
        <v>184</v>
      </c>
      <c r="R1874" s="1" t="s">
        <v>10062</v>
      </c>
      <c r="S1874" s="1" t="s">
        <v>9569</v>
      </c>
      <c r="T1874" s="1">
        <v>1</v>
      </c>
      <c r="U1874" s="1">
        <v>1</v>
      </c>
      <c r="V1874" s="1">
        <v>0</v>
      </c>
      <c r="W1874" s="1">
        <v>0</v>
      </c>
      <c r="X1874" s="1">
        <v>0</v>
      </c>
      <c r="Y1874" s="1">
        <v>6</v>
      </c>
      <c r="Z1874" s="1">
        <v>6</v>
      </c>
      <c r="AA1874" s="1">
        <v>6</v>
      </c>
      <c r="AB1874" s="1" t="s">
        <v>104</v>
      </c>
      <c r="AC1874" s="1" t="s">
        <v>104</v>
      </c>
      <c r="AD1874" s="1" t="s">
        <v>104</v>
      </c>
      <c r="AE1874" s="1" t="s">
        <v>104</v>
      </c>
      <c r="AF1874" s="1" t="s">
        <v>104</v>
      </c>
      <c r="AG1874" s="1" t="s">
        <v>104</v>
      </c>
      <c r="AH1874" s="1">
        <v>6</v>
      </c>
      <c r="AI1874" s="1" t="s">
        <v>104</v>
      </c>
      <c r="AJ1874" s="1">
        <v>6</v>
      </c>
      <c r="AK1874" s="1" t="s">
        <v>104</v>
      </c>
      <c r="AL1874" s="1" t="s">
        <v>104</v>
      </c>
      <c r="AM1874" s="1" t="s">
        <v>104</v>
      </c>
      <c r="AO1874" s="1">
        <v>6</v>
      </c>
      <c r="AQ1874" s="1" t="s">
        <v>10063</v>
      </c>
      <c r="AR1874" s="1">
        <v>0</v>
      </c>
      <c r="AS1874" s="1">
        <v>0</v>
      </c>
      <c r="AT1874" s="1">
        <v>0</v>
      </c>
      <c r="AU1874" s="1">
        <v>0</v>
      </c>
      <c r="AV1874" s="1">
        <v>0</v>
      </c>
      <c r="AW1874" s="1">
        <v>0</v>
      </c>
      <c r="AX1874" s="1">
        <v>0</v>
      </c>
      <c r="AY1874" s="1">
        <v>0</v>
      </c>
      <c r="AZ1874" s="1">
        <v>0</v>
      </c>
      <c r="BA1874" s="1">
        <v>0</v>
      </c>
      <c r="BB1874" s="1">
        <v>0</v>
      </c>
      <c r="BC1874" s="1">
        <v>0</v>
      </c>
      <c r="BD1874" s="1">
        <v>0</v>
      </c>
      <c r="BE1874" s="1">
        <v>0</v>
      </c>
      <c r="BF1874" s="1">
        <v>0</v>
      </c>
      <c r="BG1874" s="1">
        <v>0</v>
      </c>
      <c r="BH1874" s="1">
        <v>0</v>
      </c>
      <c r="BI1874" s="1">
        <v>0</v>
      </c>
      <c r="BJ1874" s="1">
        <v>0</v>
      </c>
      <c r="BK1874" s="1">
        <v>0</v>
      </c>
      <c r="BL1874" s="1">
        <v>0</v>
      </c>
      <c r="BM1874" s="1">
        <v>0</v>
      </c>
      <c r="BN1874" s="1">
        <v>0</v>
      </c>
      <c r="BO1874" s="1">
        <v>0</v>
      </c>
      <c r="BP1874" s="1">
        <v>0</v>
      </c>
      <c r="BQ1874" s="1" t="s">
        <v>104</v>
      </c>
      <c r="BR1874" s="1">
        <v>1973</v>
      </c>
      <c r="BS1874" s="1" t="s">
        <v>104</v>
      </c>
      <c r="BX1874" s="1">
        <v>0</v>
      </c>
      <c r="BY1874" s="1" t="s">
        <v>104</v>
      </c>
      <c r="BZ1874" s="1" t="s">
        <v>104</v>
      </c>
      <c r="CA1874" s="1">
        <v>6</v>
      </c>
      <c r="CB1874" s="1" t="s">
        <v>104</v>
      </c>
      <c r="CC1874" s="1" t="s">
        <v>104</v>
      </c>
      <c r="CD1874" s="1" t="s">
        <v>104</v>
      </c>
      <c r="CE1874" s="1" t="s">
        <v>104</v>
      </c>
      <c r="CF1874" s="1" t="s">
        <v>104</v>
      </c>
      <c r="CG1874" s="1" t="s">
        <v>104</v>
      </c>
      <c r="CH1874" s="1" t="s">
        <v>104</v>
      </c>
      <c r="CJ1874" s="1">
        <v>0</v>
      </c>
      <c r="CK1874" s="1">
        <v>0</v>
      </c>
      <c r="CL1874" s="1">
        <v>0</v>
      </c>
      <c r="CM1874" s="1" t="s">
        <v>104</v>
      </c>
    </row>
    <row r="1875" spans="1:91" ht="14.25" customHeight="1" x14ac:dyDescent="0.3">
      <c r="A1875" s="1" t="s">
        <v>10064</v>
      </c>
      <c r="B1875" s="1" t="s">
        <v>137</v>
      </c>
      <c r="E1875" s="1" t="s">
        <v>10065</v>
      </c>
      <c r="F1875" s="1" t="s">
        <v>95</v>
      </c>
      <c r="G1875" s="1" t="s">
        <v>127</v>
      </c>
      <c r="H1875" s="1">
        <v>0</v>
      </c>
      <c r="I1875" s="1" t="s">
        <v>109</v>
      </c>
      <c r="L1875" s="1" t="s">
        <v>8917</v>
      </c>
      <c r="M1875" s="1" t="s">
        <v>2330</v>
      </c>
      <c r="N1875" s="1">
        <v>0</v>
      </c>
      <c r="O1875" s="1">
        <v>0</v>
      </c>
      <c r="P1875" s="1" t="s">
        <v>4583</v>
      </c>
      <c r="Q1875" s="1" t="s">
        <v>184</v>
      </c>
      <c r="R1875" s="1" t="s">
        <v>10066</v>
      </c>
      <c r="S1875" s="1" t="s">
        <v>9569</v>
      </c>
      <c r="T1875" s="1">
        <v>1</v>
      </c>
      <c r="U1875" s="1">
        <v>1</v>
      </c>
      <c r="V1875" s="1">
        <v>0</v>
      </c>
      <c r="W1875" s="1">
        <v>0</v>
      </c>
      <c r="X1875" s="1">
        <v>1</v>
      </c>
      <c r="Y1875" s="1" t="s">
        <v>104</v>
      </c>
      <c r="Z1875" s="1" t="s">
        <v>104</v>
      </c>
      <c r="AA1875" s="1" t="s">
        <v>104</v>
      </c>
      <c r="AB1875" s="1">
        <v>3</v>
      </c>
      <c r="AC1875" s="1">
        <v>3</v>
      </c>
      <c r="AD1875" s="1" t="s">
        <v>104</v>
      </c>
      <c r="AE1875" s="1" t="s">
        <v>104</v>
      </c>
      <c r="AF1875" s="1" t="s">
        <v>104</v>
      </c>
      <c r="AG1875" s="1" t="s">
        <v>104</v>
      </c>
      <c r="AH1875" s="1" t="s">
        <v>104</v>
      </c>
      <c r="AI1875" s="1" t="s">
        <v>104</v>
      </c>
      <c r="AJ1875" s="1" t="s">
        <v>104</v>
      </c>
      <c r="AK1875" s="1" t="s">
        <v>104</v>
      </c>
      <c r="AL1875" s="1" t="s">
        <v>104</v>
      </c>
      <c r="AM1875" s="1" t="s">
        <v>104</v>
      </c>
      <c r="AO1875" s="1">
        <v>3</v>
      </c>
      <c r="AQ1875" s="1" t="s">
        <v>10067</v>
      </c>
      <c r="AR1875" s="1">
        <v>0</v>
      </c>
      <c r="AS1875" s="1">
        <v>0</v>
      </c>
      <c r="AT1875" s="1">
        <v>0</v>
      </c>
      <c r="AU1875" s="1">
        <v>0</v>
      </c>
      <c r="AV1875" s="1">
        <v>0</v>
      </c>
      <c r="AW1875" s="1">
        <v>0</v>
      </c>
      <c r="AX1875" s="1">
        <v>0</v>
      </c>
      <c r="AY1875" s="1">
        <v>0</v>
      </c>
      <c r="AZ1875" s="1">
        <v>0</v>
      </c>
      <c r="BA1875" s="1">
        <v>0</v>
      </c>
      <c r="BB1875" s="1">
        <v>0</v>
      </c>
      <c r="BC1875" s="1">
        <v>0</v>
      </c>
      <c r="BD1875" s="1">
        <v>0</v>
      </c>
      <c r="BE1875" s="1">
        <v>0</v>
      </c>
      <c r="BF1875" s="1">
        <v>0</v>
      </c>
      <c r="BG1875" s="1">
        <v>0</v>
      </c>
      <c r="BH1875" s="1">
        <v>0</v>
      </c>
      <c r="BI1875" s="1">
        <v>0</v>
      </c>
      <c r="BJ1875" s="1">
        <v>0</v>
      </c>
      <c r="BK1875" s="1">
        <v>0</v>
      </c>
      <c r="BL1875" s="1">
        <v>0</v>
      </c>
      <c r="BM1875" s="1">
        <v>0</v>
      </c>
      <c r="BN1875" s="1">
        <v>0</v>
      </c>
      <c r="BO1875" s="1">
        <v>0</v>
      </c>
      <c r="BP1875" s="1">
        <v>0</v>
      </c>
      <c r="BQ1875" s="1" t="s">
        <v>104</v>
      </c>
      <c r="BR1875" s="1">
        <v>1974</v>
      </c>
      <c r="BS1875" s="1" t="s">
        <v>104</v>
      </c>
      <c r="BX1875" s="1">
        <v>0</v>
      </c>
      <c r="BY1875" s="1" t="s">
        <v>104</v>
      </c>
      <c r="BZ1875" s="1">
        <v>3</v>
      </c>
      <c r="CA1875" s="1" t="s">
        <v>104</v>
      </c>
      <c r="CB1875" s="1" t="s">
        <v>104</v>
      </c>
      <c r="CC1875" s="1" t="s">
        <v>104</v>
      </c>
      <c r="CD1875" s="1" t="s">
        <v>104</v>
      </c>
      <c r="CE1875" s="1" t="s">
        <v>104</v>
      </c>
      <c r="CF1875" s="1" t="s">
        <v>104</v>
      </c>
      <c r="CG1875" s="1" t="s">
        <v>104</v>
      </c>
      <c r="CH1875" s="1">
        <v>3</v>
      </c>
      <c r="CJ1875" s="1">
        <v>0</v>
      </c>
      <c r="CK1875" s="1">
        <v>0</v>
      </c>
      <c r="CL1875" s="1">
        <v>0</v>
      </c>
      <c r="CM1875" s="1" t="s">
        <v>104</v>
      </c>
    </row>
    <row r="1876" spans="1:91" ht="14.25" customHeight="1" x14ac:dyDescent="0.3">
      <c r="A1876" s="1" t="s">
        <v>10068</v>
      </c>
      <c r="B1876" s="1" t="s">
        <v>92</v>
      </c>
      <c r="C1876" s="1" t="s">
        <v>93</v>
      </c>
      <c r="D1876" s="1" t="s">
        <v>51</v>
      </c>
      <c r="E1876" s="1" t="s">
        <v>10069</v>
      </c>
      <c r="F1876" s="1" t="s">
        <v>95</v>
      </c>
      <c r="G1876" s="1" t="s">
        <v>10070</v>
      </c>
      <c r="H1876" s="1">
        <v>0</v>
      </c>
      <c r="I1876" s="1" t="s">
        <v>117</v>
      </c>
      <c r="K1876" s="1" t="s">
        <v>10071</v>
      </c>
      <c r="M1876" s="1" t="s">
        <v>4208</v>
      </c>
      <c r="N1876" s="1">
        <v>0</v>
      </c>
      <c r="O1876" s="1">
        <v>0</v>
      </c>
      <c r="P1876" s="1" t="s">
        <v>100</v>
      </c>
      <c r="Q1876" s="1" t="s">
        <v>101</v>
      </c>
      <c r="R1876" s="1" t="s">
        <v>10072</v>
      </c>
      <c r="S1876" s="1" t="s">
        <v>9569</v>
      </c>
      <c r="T1876" s="1">
        <v>1</v>
      </c>
      <c r="U1876" s="1">
        <v>1</v>
      </c>
      <c r="V1876" s="1">
        <v>1</v>
      </c>
      <c r="W1876" s="1">
        <v>0</v>
      </c>
      <c r="X1876" s="1">
        <v>0</v>
      </c>
      <c r="Y1876" s="1">
        <v>2</v>
      </c>
      <c r="Z1876" s="1">
        <v>2</v>
      </c>
      <c r="AA1876" s="1" t="s">
        <v>104</v>
      </c>
      <c r="AB1876" s="1">
        <v>2</v>
      </c>
      <c r="AC1876" s="1" t="s">
        <v>104</v>
      </c>
      <c r="AD1876" s="1" t="s">
        <v>104</v>
      </c>
      <c r="AE1876" s="1" t="s">
        <v>104</v>
      </c>
      <c r="AF1876" s="1" t="s">
        <v>104</v>
      </c>
      <c r="AG1876" s="1" t="s">
        <v>104</v>
      </c>
      <c r="AH1876" s="1">
        <v>2</v>
      </c>
      <c r="AI1876" s="1" t="s">
        <v>104</v>
      </c>
      <c r="AJ1876" s="1" t="s">
        <v>104</v>
      </c>
      <c r="AK1876" s="1" t="s">
        <v>104</v>
      </c>
      <c r="AL1876" s="1">
        <v>2</v>
      </c>
      <c r="AM1876" s="1" t="s">
        <v>104</v>
      </c>
      <c r="AO1876" s="1">
        <v>2</v>
      </c>
      <c r="AQ1876" s="1" t="s">
        <v>10073</v>
      </c>
      <c r="AR1876" s="1">
        <v>0</v>
      </c>
      <c r="AS1876" s="1">
        <v>0</v>
      </c>
      <c r="AT1876" s="1">
        <v>0</v>
      </c>
      <c r="AU1876" s="1">
        <v>0</v>
      </c>
      <c r="AV1876" s="1">
        <v>0</v>
      </c>
      <c r="AW1876" s="1">
        <v>0</v>
      </c>
      <c r="AX1876" s="1">
        <v>0</v>
      </c>
      <c r="AY1876" s="1">
        <v>0</v>
      </c>
      <c r="AZ1876" s="1">
        <v>1</v>
      </c>
      <c r="BA1876" s="1">
        <v>0</v>
      </c>
      <c r="BB1876" s="1">
        <v>0</v>
      </c>
      <c r="BC1876" s="1">
        <v>0</v>
      </c>
      <c r="BD1876" s="1">
        <v>0</v>
      </c>
      <c r="BE1876" s="1">
        <v>0</v>
      </c>
      <c r="BF1876" s="1">
        <v>0</v>
      </c>
      <c r="BG1876" s="1">
        <v>0</v>
      </c>
      <c r="BH1876" s="1">
        <v>0</v>
      </c>
      <c r="BI1876" s="1">
        <v>0</v>
      </c>
      <c r="BJ1876" s="1">
        <v>0</v>
      </c>
      <c r="BK1876" s="1">
        <v>0</v>
      </c>
      <c r="BL1876" s="1">
        <v>0</v>
      </c>
      <c r="BM1876" s="1">
        <v>0</v>
      </c>
      <c r="BN1876" s="1">
        <v>0</v>
      </c>
      <c r="BO1876" s="1">
        <v>0</v>
      </c>
      <c r="BP1876" s="1">
        <v>0</v>
      </c>
      <c r="BQ1876" s="1" t="s">
        <v>104</v>
      </c>
      <c r="BR1876" s="1">
        <v>1975</v>
      </c>
      <c r="BS1876" s="1" t="s">
        <v>104</v>
      </c>
      <c r="BX1876" s="1">
        <v>0</v>
      </c>
      <c r="BY1876" s="1">
        <v>2</v>
      </c>
      <c r="BZ1876" s="1" t="s">
        <v>104</v>
      </c>
      <c r="CA1876" s="1" t="s">
        <v>104</v>
      </c>
      <c r="CB1876" s="1" t="s">
        <v>104</v>
      </c>
      <c r="CC1876" s="1" t="s">
        <v>104</v>
      </c>
      <c r="CD1876" s="1" t="s">
        <v>104</v>
      </c>
      <c r="CE1876" s="1" t="s">
        <v>104</v>
      </c>
      <c r="CF1876" s="1" t="s">
        <v>104</v>
      </c>
      <c r="CG1876" s="1" t="s">
        <v>104</v>
      </c>
      <c r="CH1876" s="1">
        <v>2</v>
      </c>
      <c r="CJ1876" s="1">
        <v>0</v>
      </c>
      <c r="CK1876" s="1">
        <v>0</v>
      </c>
      <c r="CL1876" s="1">
        <v>0</v>
      </c>
      <c r="CM1876" s="1" t="s">
        <v>104</v>
      </c>
    </row>
    <row r="1877" spans="1:91" ht="14.25" customHeight="1" x14ac:dyDescent="0.3">
      <c r="A1877" s="1" t="s">
        <v>10074</v>
      </c>
      <c r="B1877" s="1" t="s">
        <v>216</v>
      </c>
      <c r="D1877" s="1" t="s">
        <v>49</v>
      </c>
      <c r="E1877" s="1" t="s">
        <v>10075</v>
      </c>
      <c r="F1877" s="1" t="s">
        <v>95</v>
      </c>
      <c r="G1877" s="1" t="s">
        <v>116</v>
      </c>
      <c r="H1877" s="1">
        <v>0</v>
      </c>
      <c r="I1877" s="1" t="s">
        <v>128</v>
      </c>
      <c r="L1877" s="1" t="s">
        <v>374</v>
      </c>
      <c r="M1877" s="1" t="s">
        <v>119</v>
      </c>
      <c r="N1877" s="1">
        <v>0</v>
      </c>
      <c r="O1877" s="1">
        <v>0</v>
      </c>
      <c r="P1877" s="1" t="s">
        <v>100</v>
      </c>
      <c r="Q1877" s="1" t="s">
        <v>184</v>
      </c>
      <c r="R1877" s="1" t="s">
        <v>10076</v>
      </c>
      <c r="S1877" s="1" t="s">
        <v>9569</v>
      </c>
      <c r="T1877" s="1">
        <v>1</v>
      </c>
      <c r="U1877" s="1">
        <v>1</v>
      </c>
      <c r="V1877" s="1">
        <v>0</v>
      </c>
      <c r="W1877" s="1">
        <v>0</v>
      </c>
      <c r="X1877" s="1">
        <v>0</v>
      </c>
      <c r="Y1877" s="1">
        <v>2</v>
      </c>
      <c r="Z1877" s="1">
        <v>2</v>
      </c>
      <c r="AA1877" s="1" t="s">
        <v>104</v>
      </c>
      <c r="AB1877" s="1" t="s">
        <v>104</v>
      </c>
      <c r="AC1877" s="1" t="s">
        <v>104</v>
      </c>
      <c r="AD1877" s="1" t="s">
        <v>104</v>
      </c>
      <c r="AE1877" s="1" t="s">
        <v>104</v>
      </c>
      <c r="AF1877" s="1" t="s">
        <v>104</v>
      </c>
      <c r="AG1877" s="1" t="s">
        <v>104</v>
      </c>
      <c r="AH1877" s="1">
        <v>2</v>
      </c>
      <c r="AI1877" s="1">
        <v>2</v>
      </c>
      <c r="AJ1877" s="1" t="s">
        <v>104</v>
      </c>
      <c r="AK1877" s="1" t="s">
        <v>104</v>
      </c>
      <c r="AL1877" s="1" t="s">
        <v>104</v>
      </c>
      <c r="AM1877" s="1" t="s">
        <v>104</v>
      </c>
      <c r="AO1877" s="1">
        <v>2</v>
      </c>
      <c r="AQ1877" s="1" t="s">
        <v>10077</v>
      </c>
      <c r="AR1877" s="1">
        <v>0</v>
      </c>
      <c r="AS1877" s="1">
        <v>0</v>
      </c>
      <c r="AT1877" s="1">
        <v>0</v>
      </c>
      <c r="AU1877" s="1">
        <v>0</v>
      </c>
      <c r="AV1877" s="1">
        <v>0</v>
      </c>
      <c r="AW1877" s="1">
        <v>0</v>
      </c>
      <c r="AX1877" s="1">
        <v>1</v>
      </c>
      <c r="AY1877" s="1">
        <v>0</v>
      </c>
      <c r="AZ1877" s="1">
        <v>0</v>
      </c>
      <c r="BA1877" s="1">
        <v>0</v>
      </c>
      <c r="BB1877" s="1">
        <v>0</v>
      </c>
      <c r="BC1877" s="1">
        <v>0</v>
      </c>
      <c r="BD1877" s="1">
        <v>0</v>
      </c>
      <c r="BE1877" s="1">
        <v>0</v>
      </c>
      <c r="BF1877" s="1">
        <v>0</v>
      </c>
      <c r="BG1877" s="1">
        <v>0</v>
      </c>
      <c r="BH1877" s="1">
        <v>0</v>
      </c>
      <c r="BI1877" s="1">
        <v>0</v>
      </c>
      <c r="BJ1877" s="1">
        <v>0</v>
      </c>
      <c r="BK1877" s="1">
        <v>0</v>
      </c>
      <c r="BL1877" s="1">
        <v>0</v>
      </c>
      <c r="BM1877" s="1">
        <v>0</v>
      </c>
      <c r="BN1877" s="1">
        <v>0</v>
      </c>
      <c r="BO1877" s="1">
        <v>0</v>
      </c>
      <c r="BP1877" s="1">
        <v>0</v>
      </c>
      <c r="BQ1877" s="1" t="s">
        <v>104</v>
      </c>
      <c r="BR1877" s="1">
        <v>1976</v>
      </c>
      <c r="BS1877" s="1" t="s">
        <v>104</v>
      </c>
      <c r="BX1877" s="1">
        <v>0</v>
      </c>
      <c r="BY1877" s="1" t="s">
        <v>104</v>
      </c>
      <c r="BZ1877" s="1">
        <v>3</v>
      </c>
      <c r="CA1877" s="1">
        <v>2</v>
      </c>
      <c r="CB1877" s="1" t="s">
        <v>104</v>
      </c>
      <c r="CC1877" s="1">
        <v>2</v>
      </c>
      <c r="CD1877" s="1" t="s">
        <v>104</v>
      </c>
      <c r="CE1877" s="1">
        <v>2</v>
      </c>
      <c r="CF1877" s="1" t="s">
        <v>104</v>
      </c>
      <c r="CG1877" s="1" t="s">
        <v>104</v>
      </c>
      <c r="CH1877" s="1" t="s">
        <v>104</v>
      </c>
      <c r="CJ1877" s="1">
        <v>0</v>
      </c>
      <c r="CK1877" s="1">
        <v>0</v>
      </c>
      <c r="CL1877" s="1">
        <v>0</v>
      </c>
      <c r="CM1877" s="1" t="s">
        <v>104</v>
      </c>
    </row>
    <row r="1878" spans="1:91" ht="14.25" customHeight="1" x14ac:dyDescent="0.3">
      <c r="A1878" s="1" t="s">
        <v>10078</v>
      </c>
      <c r="B1878" s="1" t="s">
        <v>162</v>
      </c>
      <c r="E1878" s="1" t="s">
        <v>10079</v>
      </c>
      <c r="F1878" s="1" t="s">
        <v>95</v>
      </c>
      <c r="G1878" s="1" t="s">
        <v>116</v>
      </c>
      <c r="H1878" s="1">
        <v>0</v>
      </c>
      <c r="I1878" s="1" t="s">
        <v>157</v>
      </c>
      <c r="L1878" s="1" t="s">
        <v>158</v>
      </c>
      <c r="M1878" s="1" t="s">
        <v>5119</v>
      </c>
      <c r="N1878" s="1">
        <v>0</v>
      </c>
      <c r="O1878" s="1">
        <v>0</v>
      </c>
      <c r="P1878" s="1" t="s">
        <v>9896</v>
      </c>
      <c r="Q1878" s="1" t="s">
        <v>9897</v>
      </c>
      <c r="R1878" s="1" t="s">
        <v>10080</v>
      </c>
      <c r="S1878" s="1" t="s">
        <v>9569</v>
      </c>
      <c r="T1878" s="1">
        <v>1</v>
      </c>
      <c r="U1878" s="1">
        <v>1</v>
      </c>
      <c r="V1878" s="1">
        <v>0</v>
      </c>
      <c r="W1878" s="1">
        <v>0</v>
      </c>
      <c r="X1878" s="1">
        <v>0</v>
      </c>
      <c r="Y1878" s="1">
        <v>1</v>
      </c>
      <c r="Z1878" s="1">
        <v>1</v>
      </c>
      <c r="AA1878" s="1">
        <v>1</v>
      </c>
      <c r="AB1878" s="1" t="s">
        <v>104</v>
      </c>
      <c r="AC1878" s="1" t="s">
        <v>104</v>
      </c>
      <c r="AD1878" s="1" t="s">
        <v>104</v>
      </c>
      <c r="AE1878" s="1">
        <v>1</v>
      </c>
      <c r="AF1878" s="1" t="s">
        <v>104</v>
      </c>
      <c r="AG1878" s="1" t="s">
        <v>104</v>
      </c>
      <c r="AH1878" s="1" t="s">
        <v>104</v>
      </c>
      <c r="AI1878" s="1">
        <v>1</v>
      </c>
      <c r="AJ1878" s="1">
        <v>1</v>
      </c>
      <c r="AK1878" s="1" t="s">
        <v>104</v>
      </c>
      <c r="AL1878" s="1" t="s">
        <v>104</v>
      </c>
      <c r="AM1878" s="1" t="s">
        <v>104</v>
      </c>
      <c r="AO1878" s="1">
        <v>1</v>
      </c>
      <c r="AQ1878" s="1" t="s">
        <v>10081</v>
      </c>
      <c r="AR1878" s="1">
        <v>0</v>
      </c>
      <c r="AS1878" s="1">
        <v>0</v>
      </c>
      <c r="AT1878" s="1">
        <v>0</v>
      </c>
      <c r="AU1878" s="1">
        <v>0</v>
      </c>
      <c r="AV1878" s="1">
        <v>0</v>
      </c>
      <c r="AW1878" s="1">
        <v>0</v>
      </c>
      <c r="AX1878" s="1">
        <v>0</v>
      </c>
      <c r="AY1878" s="1">
        <v>0</v>
      </c>
      <c r="AZ1878" s="1">
        <v>0</v>
      </c>
      <c r="BA1878" s="1">
        <v>0</v>
      </c>
      <c r="BB1878" s="1">
        <v>0</v>
      </c>
      <c r="BC1878" s="1">
        <v>0</v>
      </c>
      <c r="BD1878" s="1">
        <v>0</v>
      </c>
      <c r="BE1878" s="1">
        <v>0</v>
      </c>
      <c r="BF1878" s="1">
        <v>0</v>
      </c>
      <c r="BG1878" s="1">
        <v>0</v>
      </c>
      <c r="BH1878" s="1">
        <v>0</v>
      </c>
      <c r="BI1878" s="1">
        <v>0</v>
      </c>
      <c r="BJ1878" s="1">
        <v>0</v>
      </c>
      <c r="BK1878" s="1">
        <v>0</v>
      </c>
      <c r="BL1878" s="1">
        <v>0</v>
      </c>
      <c r="BM1878" s="1">
        <v>0</v>
      </c>
      <c r="BN1878" s="1">
        <v>0</v>
      </c>
      <c r="BO1878" s="1">
        <v>0</v>
      </c>
      <c r="BP1878" s="1">
        <v>0</v>
      </c>
      <c r="BQ1878" s="1" t="s">
        <v>104</v>
      </c>
      <c r="BR1878" s="1">
        <v>1977</v>
      </c>
      <c r="BS1878" s="1" t="s">
        <v>104</v>
      </c>
      <c r="BX1878" s="1">
        <v>0</v>
      </c>
      <c r="BY1878" s="1" t="s">
        <v>104</v>
      </c>
      <c r="BZ1878" s="1" t="s">
        <v>104</v>
      </c>
      <c r="CA1878" s="1">
        <v>1</v>
      </c>
      <c r="CB1878" s="1" t="s">
        <v>104</v>
      </c>
      <c r="CC1878" s="1" t="s">
        <v>104</v>
      </c>
      <c r="CD1878" s="1" t="s">
        <v>104</v>
      </c>
      <c r="CE1878" s="1" t="s">
        <v>104</v>
      </c>
      <c r="CF1878" s="1" t="s">
        <v>104</v>
      </c>
      <c r="CG1878" s="1" t="s">
        <v>104</v>
      </c>
      <c r="CH1878" s="1" t="s">
        <v>104</v>
      </c>
      <c r="CJ1878" s="1">
        <v>0</v>
      </c>
      <c r="CK1878" s="1">
        <v>0</v>
      </c>
      <c r="CL1878" s="1">
        <v>0</v>
      </c>
      <c r="CM1878" s="1" t="s">
        <v>104</v>
      </c>
    </row>
    <row r="1879" spans="1:91" ht="14.25" customHeight="1" x14ac:dyDescent="0.3">
      <c r="A1879" s="1" t="s">
        <v>10082</v>
      </c>
      <c r="B1879" s="1" t="s">
        <v>162</v>
      </c>
      <c r="E1879" s="1" t="s">
        <v>10083</v>
      </c>
      <c r="F1879" s="1" t="s">
        <v>95</v>
      </c>
      <c r="G1879" s="1" t="s">
        <v>116</v>
      </c>
      <c r="H1879" s="1">
        <v>0</v>
      </c>
      <c r="I1879" s="1" t="s">
        <v>157</v>
      </c>
      <c r="L1879" s="1" t="s">
        <v>158</v>
      </c>
      <c r="M1879" s="1" t="s">
        <v>5119</v>
      </c>
      <c r="N1879" s="1">
        <v>0</v>
      </c>
      <c r="O1879" s="1">
        <v>0</v>
      </c>
      <c r="P1879" s="1" t="s">
        <v>9896</v>
      </c>
      <c r="Q1879" s="1" t="s">
        <v>9897</v>
      </c>
      <c r="R1879" s="1" t="s">
        <v>10084</v>
      </c>
      <c r="S1879" s="1" t="s">
        <v>9569</v>
      </c>
      <c r="T1879" s="1">
        <v>1</v>
      </c>
      <c r="U1879" s="1">
        <v>1</v>
      </c>
      <c r="V1879" s="1">
        <v>0</v>
      </c>
      <c r="W1879" s="1">
        <v>0</v>
      </c>
      <c r="X1879" s="1">
        <v>0</v>
      </c>
      <c r="Y1879" s="1">
        <v>3</v>
      </c>
      <c r="Z1879" s="1">
        <v>3</v>
      </c>
      <c r="AA1879" s="1">
        <v>3</v>
      </c>
      <c r="AB1879" s="1" t="s">
        <v>104</v>
      </c>
      <c r="AC1879" s="1" t="s">
        <v>104</v>
      </c>
      <c r="AD1879" s="1" t="s">
        <v>104</v>
      </c>
      <c r="AE1879" s="1">
        <v>3</v>
      </c>
      <c r="AF1879" s="1" t="s">
        <v>104</v>
      </c>
      <c r="AG1879" s="1" t="s">
        <v>104</v>
      </c>
      <c r="AH1879" s="1" t="s">
        <v>104</v>
      </c>
      <c r="AI1879" s="1">
        <v>3</v>
      </c>
      <c r="AJ1879" s="1">
        <v>3</v>
      </c>
      <c r="AK1879" s="1" t="s">
        <v>104</v>
      </c>
      <c r="AL1879" s="1" t="s">
        <v>104</v>
      </c>
      <c r="AM1879" s="1" t="s">
        <v>104</v>
      </c>
      <c r="AO1879" s="1">
        <v>3</v>
      </c>
      <c r="AQ1879" s="1" t="s">
        <v>10085</v>
      </c>
      <c r="AR1879" s="1">
        <v>0</v>
      </c>
      <c r="AS1879" s="1">
        <v>0</v>
      </c>
      <c r="AT1879" s="1">
        <v>0</v>
      </c>
      <c r="AU1879" s="1">
        <v>0</v>
      </c>
      <c r="AV1879" s="1">
        <v>0</v>
      </c>
      <c r="AW1879" s="1">
        <v>0</v>
      </c>
      <c r="AX1879" s="1">
        <v>0</v>
      </c>
      <c r="AY1879" s="1">
        <v>0</v>
      </c>
      <c r="AZ1879" s="1">
        <v>0</v>
      </c>
      <c r="BA1879" s="1">
        <v>0</v>
      </c>
      <c r="BB1879" s="1">
        <v>0</v>
      </c>
      <c r="BC1879" s="1">
        <v>0</v>
      </c>
      <c r="BD1879" s="1">
        <v>0</v>
      </c>
      <c r="BE1879" s="1">
        <v>0</v>
      </c>
      <c r="BF1879" s="1">
        <v>0</v>
      </c>
      <c r="BG1879" s="1">
        <v>0</v>
      </c>
      <c r="BH1879" s="1">
        <v>0</v>
      </c>
      <c r="BI1879" s="1">
        <v>0</v>
      </c>
      <c r="BJ1879" s="1">
        <v>0</v>
      </c>
      <c r="BK1879" s="1">
        <v>0</v>
      </c>
      <c r="BL1879" s="1">
        <v>0</v>
      </c>
      <c r="BM1879" s="1">
        <v>0</v>
      </c>
      <c r="BN1879" s="1">
        <v>0</v>
      </c>
      <c r="BO1879" s="1">
        <v>0</v>
      </c>
      <c r="BP1879" s="1">
        <v>0</v>
      </c>
      <c r="BQ1879" s="1" t="s">
        <v>104</v>
      </c>
      <c r="BR1879" s="1">
        <v>1978</v>
      </c>
      <c r="BS1879" s="1" t="s">
        <v>104</v>
      </c>
      <c r="BX1879" s="1">
        <v>0</v>
      </c>
      <c r="BY1879" s="1" t="s">
        <v>104</v>
      </c>
      <c r="BZ1879" s="1" t="s">
        <v>104</v>
      </c>
      <c r="CA1879" s="1">
        <v>3</v>
      </c>
      <c r="CB1879" s="1" t="s">
        <v>104</v>
      </c>
      <c r="CC1879" s="1" t="s">
        <v>104</v>
      </c>
      <c r="CD1879" s="1" t="s">
        <v>104</v>
      </c>
      <c r="CE1879" s="1" t="s">
        <v>104</v>
      </c>
      <c r="CF1879" s="1" t="s">
        <v>104</v>
      </c>
      <c r="CG1879" s="1" t="s">
        <v>104</v>
      </c>
      <c r="CH1879" s="1" t="s">
        <v>104</v>
      </c>
      <c r="CJ1879" s="1">
        <v>0</v>
      </c>
      <c r="CK1879" s="1">
        <v>0</v>
      </c>
      <c r="CL1879" s="1">
        <v>0</v>
      </c>
      <c r="CM1879" s="1" t="s">
        <v>104</v>
      </c>
    </row>
    <row r="1880" spans="1:91" ht="14.25" customHeight="1" x14ac:dyDescent="0.3">
      <c r="A1880" s="1" t="s">
        <v>10086</v>
      </c>
      <c r="B1880" s="1" t="s">
        <v>162</v>
      </c>
      <c r="D1880" s="1" t="s">
        <v>57</v>
      </c>
      <c r="E1880" s="1" t="s">
        <v>10087</v>
      </c>
      <c r="F1880" s="1" t="s">
        <v>95</v>
      </c>
      <c r="G1880" s="1" t="s">
        <v>116</v>
      </c>
      <c r="H1880" s="1">
        <v>0</v>
      </c>
      <c r="I1880" s="1" t="s">
        <v>128</v>
      </c>
      <c r="L1880" s="1" t="s">
        <v>374</v>
      </c>
      <c r="M1880" s="1" t="s">
        <v>9723</v>
      </c>
      <c r="N1880" s="1">
        <v>1</v>
      </c>
      <c r="O1880" s="1">
        <v>0</v>
      </c>
      <c r="P1880" s="1" t="s">
        <v>10088</v>
      </c>
      <c r="Q1880" s="1" t="s">
        <v>10089</v>
      </c>
      <c r="R1880" s="1" t="s">
        <v>10090</v>
      </c>
      <c r="S1880" s="1" t="s">
        <v>9569</v>
      </c>
      <c r="T1880" s="1">
        <v>1</v>
      </c>
      <c r="U1880" s="1">
        <v>1</v>
      </c>
      <c r="V1880" s="1">
        <v>0</v>
      </c>
      <c r="W1880" s="1">
        <v>0</v>
      </c>
      <c r="X1880" s="1">
        <v>0</v>
      </c>
      <c r="Y1880" s="1">
        <v>1</v>
      </c>
      <c r="Z1880" s="1">
        <v>1</v>
      </c>
      <c r="AA1880" s="1" t="s">
        <v>104</v>
      </c>
      <c r="AB1880" s="1" t="s">
        <v>104</v>
      </c>
      <c r="AC1880" s="1" t="s">
        <v>104</v>
      </c>
      <c r="AD1880" s="1" t="s">
        <v>104</v>
      </c>
      <c r="AE1880" s="1" t="s">
        <v>104</v>
      </c>
      <c r="AF1880" s="1" t="s">
        <v>104</v>
      </c>
      <c r="AG1880" s="1" t="s">
        <v>104</v>
      </c>
      <c r="AH1880" s="1" t="s">
        <v>104</v>
      </c>
      <c r="AI1880" s="1" t="s">
        <v>104</v>
      </c>
      <c r="AJ1880" s="1" t="s">
        <v>104</v>
      </c>
      <c r="AK1880" s="1" t="s">
        <v>104</v>
      </c>
      <c r="AL1880" s="1">
        <v>1</v>
      </c>
      <c r="AM1880" s="1" t="s">
        <v>104</v>
      </c>
      <c r="AO1880" s="1">
        <v>1</v>
      </c>
      <c r="AQ1880" s="1" t="s">
        <v>10091</v>
      </c>
      <c r="AR1880" s="1">
        <v>0</v>
      </c>
      <c r="AS1880" s="1">
        <v>0</v>
      </c>
      <c r="AT1880" s="1">
        <v>0</v>
      </c>
      <c r="AU1880" s="1">
        <v>0</v>
      </c>
      <c r="AV1880" s="1">
        <v>0</v>
      </c>
      <c r="AW1880" s="1">
        <v>0</v>
      </c>
      <c r="AX1880" s="1">
        <v>0</v>
      </c>
      <c r="AY1880" s="1">
        <v>0</v>
      </c>
      <c r="AZ1880" s="1">
        <v>0</v>
      </c>
      <c r="BA1880" s="1">
        <v>0</v>
      </c>
      <c r="BB1880" s="1">
        <v>0</v>
      </c>
      <c r="BC1880" s="1">
        <v>0</v>
      </c>
      <c r="BD1880" s="1">
        <v>0</v>
      </c>
      <c r="BE1880" s="1">
        <v>0</v>
      </c>
      <c r="BF1880" s="1">
        <v>1</v>
      </c>
      <c r="BG1880" s="1">
        <v>0</v>
      </c>
      <c r="BH1880" s="1">
        <v>0</v>
      </c>
      <c r="BI1880" s="1">
        <v>0</v>
      </c>
      <c r="BJ1880" s="1">
        <v>0</v>
      </c>
      <c r="BK1880" s="1">
        <v>0</v>
      </c>
      <c r="BL1880" s="1">
        <v>0</v>
      </c>
      <c r="BM1880" s="1">
        <v>0</v>
      </c>
      <c r="BN1880" s="1">
        <v>0</v>
      </c>
      <c r="BO1880" s="1">
        <v>0</v>
      </c>
      <c r="BP1880" s="1">
        <v>0</v>
      </c>
      <c r="BQ1880" s="1" t="s">
        <v>104</v>
      </c>
      <c r="BR1880" s="1">
        <v>1979</v>
      </c>
      <c r="BS1880" s="1" t="s">
        <v>104</v>
      </c>
      <c r="BX1880" s="1">
        <v>0</v>
      </c>
      <c r="BY1880" s="1" t="s">
        <v>104</v>
      </c>
      <c r="BZ1880" s="1" t="s">
        <v>104</v>
      </c>
      <c r="CA1880" s="1">
        <v>1</v>
      </c>
      <c r="CB1880" s="1" t="s">
        <v>104</v>
      </c>
      <c r="CC1880" s="1" t="s">
        <v>104</v>
      </c>
      <c r="CD1880" s="1" t="s">
        <v>104</v>
      </c>
      <c r="CE1880" s="1" t="s">
        <v>104</v>
      </c>
      <c r="CF1880" s="1" t="s">
        <v>104</v>
      </c>
      <c r="CG1880" s="1" t="s">
        <v>104</v>
      </c>
      <c r="CH1880" s="1" t="s">
        <v>104</v>
      </c>
      <c r="CJ1880" s="1">
        <v>0</v>
      </c>
      <c r="CK1880" s="1">
        <v>0</v>
      </c>
      <c r="CL1880" s="1">
        <v>0</v>
      </c>
      <c r="CM1880" s="1" t="s">
        <v>104</v>
      </c>
    </row>
    <row r="1881" spans="1:91" ht="14.25" customHeight="1" x14ac:dyDescent="0.3">
      <c r="A1881" s="1" t="s">
        <v>10092</v>
      </c>
      <c r="B1881" s="1" t="s">
        <v>137</v>
      </c>
      <c r="E1881" s="1" t="s">
        <v>10093</v>
      </c>
      <c r="F1881" s="1" t="s">
        <v>95</v>
      </c>
      <c r="G1881" s="1" t="s">
        <v>237</v>
      </c>
      <c r="H1881" s="1">
        <v>0</v>
      </c>
      <c r="I1881" s="1" t="s">
        <v>128</v>
      </c>
      <c r="L1881" s="1" t="s">
        <v>2037</v>
      </c>
      <c r="M1881" s="1" t="s">
        <v>2591</v>
      </c>
      <c r="N1881" s="1">
        <v>0</v>
      </c>
      <c r="O1881" s="1">
        <v>0</v>
      </c>
      <c r="P1881" s="1" t="s">
        <v>8614</v>
      </c>
      <c r="Q1881" s="1" t="s">
        <v>184</v>
      </c>
      <c r="R1881" s="1" t="s">
        <v>10094</v>
      </c>
      <c r="S1881" s="1" t="s">
        <v>9569</v>
      </c>
      <c r="T1881" s="1">
        <v>1</v>
      </c>
      <c r="U1881" s="1">
        <v>0</v>
      </c>
      <c r="V1881" s="1">
        <v>0</v>
      </c>
      <c r="W1881" s="1">
        <v>0</v>
      </c>
      <c r="X1881" s="1">
        <v>0</v>
      </c>
      <c r="Y1881" s="1">
        <v>1</v>
      </c>
      <c r="Z1881" s="1">
        <v>1</v>
      </c>
      <c r="AA1881" s="1" t="s">
        <v>104</v>
      </c>
      <c r="AB1881" s="1" t="s">
        <v>104</v>
      </c>
      <c r="AC1881" s="1" t="s">
        <v>104</v>
      </c>
      <c r="AD1881" s="1" t="s">
        <v>104</v>
      </c>
      <c r="AE1881" s="1" t="s">
        <v>104</v>
      </c>
      <c r="AF1881" s="1" t="s">
        <v>104</v>
      </c>
      <c r="AG1881" s="1" t="s">
        <v>104</v>
      </c>
      <c r="AH1881" s="1">
        <v>1</v>
      </c>
      <c r="AI1881" s="1" t="s">
        <v>104</v>
      </c>
      <c r="AJ1881" s="1" t="s">
        <v>104</v>
      </c>
      <c r="AK1881" s="1" t="s">
        <v>104</v>
      </c>
      <c r="AL1881" s="1">
        <v>1</v>
      </c>
      <c r="AM1881" s="1" t="s">
        <v>104</v>
      </c>
      <c r="AO1881" s="1">
        <v>1</v>
      </c>
      <c r="AQ1881" s="1" t="s">
        <v>10095</v>
      </c>
      <c r="AR1881" s="1">
        <v>0</v>
      </c>
      <c r="AS1881" s="1">
        <v>0</v>
      </c>
      <c r="AT1881" s="1">
        <v>0</v>
      </c>
      <c r="AU1881" s="1">
        <v>0</v>
      </c>
      <c r="AV1881" s="1">
        <v>0</v>
      </c>
      <c r="AW1881" s="1">
        <v>0</v>
      </c>
      <c r="AX1881" s="1">
        <v>0</v>
      </c>
      <c r="AY1881" s="1">
        <v>0</v>
      </c>
      <c r="AZ1881" s="1">
        <v>0</v>
      </c>
      <c r="BA1881" s="1">
        <v>0</v>
      </c>
      <c r="BB1881" s="1">
        <v>0</v>
      </c>
      <c r="BC1881" s="1">
        <v>0</v>
      </c>
      <c r="BD1881" s="1">
        <v>0</v>
      </c>
      <c r="BE1881" s="1">
        <v>0</v>
      </c>
      <c r="BF1881" s="1">
        <v>0</v>
      </c>
      <c r="BG1881" s="1">
        <v>0</v>
      </c>
      <c r="BH1881" s="1">
        <v>0</v>
      </c>
      <c r="BI1881" s="1">
        <v>0</v>
      </c>
      <c r="BJ1881" s="1">
        <v>0</v>
      </c>
      <c r="BK1881" s="1">
        <v>0</v>
      </c>
      <c r="BL1881" s="1">
        <v>0</v>
      </c>
      <c r="BM1881" s="1">
        <v>0</v>
      </c>
      <c r="BN1881" s="1">
        <v>0</v>
      </c>
      <c r="BO1881" s="1">
        <v>0</v>
      </c>
      <c r="BP1881" s="1">
        <v>0</v>
      </c>
      <c r="BQ1881" s="1" t="s">
        <v>104</v>
      </c>
      <c r="BR1881" s="1">
        <v>1980</v>
      </c>
      <c r="BS1881" s="1" t="s">
        <v>104</v>
      </c>
      <c r="BX1881" s="1">
        <v>0</v>
      </c>
      <c r="BY1881" s="1">
        <v>1</v>
      </c>
      <c r="BZ1881" s="1" t="s">
        <v>104</v>
      </c>
      <c r="CA1881" s="1">
        <v>1</v>
      </c>
      <c r="CB1881" s="1" t="s">
        <v>104</v>
      </c>
      <c r="CC1881" s="1" t="s">
        <v>104</v>
      </c>
      <c r="CD1881" s="1">
        <v>1</v>
      </c>
      <c r="CE1881" s="1" t="s">
        <v>104</v>
      </c>
      <c r="CF1881" s="1" t="s">
        <v>104</v>
      </c>
      <c r="CG1881" s="1" t="s">
        <v>104</v>
      </c>
      <c r="CH1881" s="1" t="s">
        <v>104</v>
      </c>
      <c r="CJ1881" s="1">
        <v>0</v>
      </c>
      <c r="CK1881" s="1">
        <v>0</v>
      </c>
      <c r="CL1881" s="1">
        <v>0</v>
      </c>
      <c r="CM1881" s="1" t="s">
        <v>104</v>
      </c>
    </row>
    <row r="1882" spans="1:91" ht="14.25" customHeight="1" x14ac:dyDescent="0.3">
      <c r="A1882" s="1" t="s">
        <v>10096</v>
      </c>
      <c r="B1882" s="1" t="s">
        <v>123</v>
      </c>
      <c r="C1882" s="1" t="s">
        <v>635</v>
      </c>
      <c r="D1882" s="1" t="s">
        <v>125</v>
      </c>
      <c r="E1882" s="1" t="s">
        <v>10097</v>
      </c>
      <c r="F1882" s="1" t="s">
        <v>287</v>
      </c>
      <c r="G1882" s="1" t="s">
        <v>3758</v>
      </c>
      <c r="H1882" s="1">
        <v>1</v>
      </c>
      <c r="I1882" s="1" t="s">
        <v>3750</v>
      </c>
      <c r="K1882" s="1" t="s">
        <v>3751</v>
      </c>
      <c r="M1882" s="1" t="s">
        <v>145</v>
      </c>
      <c r="N1882" s="1">
        <v>0</v>
      </c>
      <c r="O1882" s="1">
        <v>0</v>
      </c>
      <c r="P1882" s="1" t="s">
        <v>211</v>
      </c>
      <c r="Q1882" s="1" t="s">
        <v>184</v>
      </c>
      <c r="R1882" s="1" t="s">
        <v>10098</v>
      </c>
      <c r="S1882" s="1" t="s">
        <v>9569</v>
      </c>
      <c r="T1882" s="1">
        <v>1</v>
      </c>
      <c r="U1882" s="1">
        <v>1</v>
      </c>
      <c r="V1882" s="1">
        <v>1</v>
      </c>
      <c r="W1882" s="1">
        <v>0</v>
      </c>
      <c r="X1882" s="1">
        <v>0</v>
      </c>
      <c r="Y1882" s="1">
        <v>4</v>
      </c>
      <c r="Z1882" s="1">
        <v>4</v>
      </c>
      <c r="AA1882" s="1" t="s">
        <v>104</v>
      </c>
      <c r="AB1882" s="1" t="s">
        <v>104</v>
      </c>
      <c r="AC1882" s="1" t="s">
        <v>104</v>
      </c>
      <c r="AD1882" s="1" t="s">
        <v>104</v>
      </c>
      <c r="AE1882" s="1" t="s">
        <v>104</v>
      </c>
      <c r="AF1882" s="1" t="s">
        <v>104</v>
      </c>
      <c r="AG1882" s="1" t="s">
        <v>104</v>
      </c>
      <c r="AH1882" s="1">
        <v>4</v>
      </c>
      <c r="AI1882" s="1" t="s">
        <v>104</v>
      </c>
      <c r="AJ1882" s="1" t="s">
        <v>104</v>
      </c>
      <c r="AK1882" s="1" t="s">
        <v>104</v>
      </c>
      <c r="AL1882" s="1" t="s">
        <v>104</v>
      </c>
      <c r="AM1882" s="1" t="s">
        <v>104</v>
      </c>
      <c r="AO1882" s="1">
        <v>4</v>
      </c>
      <c r="AQ1882" s="1" t="s">
        <v>10099</v>
      </c>
      <c r="AR1882" s="1">
        <v>0</v>
      </c>
      <c r="AS1882" s="1">
        <v>0</v>
      </c>
      <c r="AT1882" s="1">
        <v>0</v>
      </c>
      <c r="AU1882" s="1">
        <v>0</v>
      </c>
      <c r="AV1882" s="1">
        <v>0</v>
      </c>
      <c r="AW1882" s="1">
        <v>0</v>
      </c>
      <c r="AX1882" s="1">
        <v>0</v>
      </c>
      <c r="AY1882" s="1">
        <v>0</v>
      </c>
      <c r="AZ1882" s="1">
        <v>0</v>
      </c>
      <c r="BA1882" s="1">
        <v>0</v>
      </c>
      <c r="BB1882" s="1">
        <v>0</v>
      </c>
      <c r="BC1882" s="1">
        <v>0</v>
      </c>
      <c r="BD1882" s="1">
        <v>0</v>
      </c>
      <c r="BE1882" s="1">
        <v>0</v>
      </c>
      <c r="BF1882" s="1">
        <v>0</v>
      </c>
      <c r="BG1882" s="1">
        <v>0</v>
      </c>
      <c r="BH1882" s="1">
        <v>0</v>
      </c>
      <c r="BI1882" s="1">
        <v>0</v>
      </c>
      <c r="BJ1882" s="1">
        <v>0</v>
      </c>
      <c r="BK1882" s="1">
        <v>1</v>
      </c>
      <c r="BL1882" s="1">
        <v>0</v>
      </c>
      <c r="BM1882" s="1">
        <v>0</v>
      </c>
      <c r="BN1882" s="1">
        <v>0</v>
      </c>
      <c r="BO1882" s="1">
        <v>0</v>
      </c>
      <c r="BP1882" s="1">
        <v>0</v>
      </c>
      <c r="BQ1882" s="1" t="s">
        <v>104</v>
      </c>
      <c r="BR1882" s="1">
        <v>1981</v>
      </c>
      <c r="BS1882" s="1">
        <v>1000</v>
      </c>
      <c r="BX1882" s="1">
        <v>0</v>
      </c>
      <c r="BY1882" s="1" t="s">
        <v>104</v>
      </c>
      <c r="BZ1882" s="1" t="s">
        <v>104</v>
      </c>
      <c r="CA1882" s="1" t="s">
        <v>104</v>
      </c>
      <c r="CB1882" s="1" t="s">
        <v>104</v>
      </c>
      <c r="CC1882" s="1">
        <v>3</v>
      </c>
      <c r="CD1882" s="1">
        <v>3</v>
      </c>
      <c r="CE1882" s="1" t="s">
        <v>104</v>
      </c>
      <c r="CF1882" s="1" t="s">
        <v>104</v>
      </c>
      <c r="CG1882" s="1" t="s">
        <v>104</v>
      </c>
      <c r="CH1882" s="1" t="s">
        <v>104</v>
      </c>
      <c r="CJ1882" s="1">
        <v>0</v>
      </c>
      <c r="CK1882" s="1">
        <v>0</v>
      </c>
      <c r="CL1882" s="1">
        <v>0</v>
      </c>
      <c r="CM1882" s="1" t="s">
        <v>104</v>
      </c>
    </row>
    <row r="1883" spans="1:91" ht="14.25" customHeight="1" x14ac:dyDescent="0.3">
      <c r="A1883" s="1" t="s">
        <v>10100</v>
      </c>
      <c r="B1883" s="1" t="s">
        <v>92</v>
      </c>
      <c r="C1883" s="1" t="s">
        <v>93</v>
      </c>
      <c r="D1883" s="1" t="s">
        <v>64</v>
      </c>
      <c r="E1883" s="1" t="s">
        <v>1404</v>
      </c>
      <c r="F1883" s="1" t="s">
        <v>95</v>
      </c>
      <c r="G1883" s="1" t="s">
        <v>116</v>
      </c>
      <c r="H1883" s="1">
        <v>0</v>
      </c>
      <c r="I1883" s="1" t="s">
        <v>705</v>
      </c>
      <c r="K1883" s="1" t="s">
        <v>10101</v>
      </c>
      <c r="M1883" s="1" t="s">
        <v>4641</v>
      </c>
      <c r="N1883" s="1">
        <v>1</v>
      </c>
      <c r="O1883" s="1">
        <v>0</v>
      </c>
      <c r="P1883" s="1" t="s">
        <v>100</v>
      </c>
      <c r="Q1883" s="1" t="s">
        <v>101</v>
      </c>
      <c r="R1883" s="1" t="s">
        <v>10102</v>
      </c>
      <c r="S1883" s="1" t="s">
        <v>9569</v>
      </c>
      <c r="T1883" s="1">
        <v>1</v>
      </c>
      <c r="U1883" s="1">
        <v>1</v>
      </c>
      <c r="V1883" s="1">
        <v>0</v>
      </c>
      <c r="W1883" s="1">
        <v>0</v>
      </c>
      <c r="X1883" s="1">
        <v>0</v>
      </c>
      <c r="Y1883" s="1" t="s">
        <v>104</v>
      </c>
      <c r="Z1883" s="1" t="s">
        <v>104</v>
      </c>
      <c r="AA1883" s="1" t="s">
        <v>104</v>
      </c>
      <c r="AB1883" s="1">
        <v>1</v>
      </c>
      <c r="AC1883" s="1">
        <v>1</v>
      </c>
      <c r="AD1883" s="1" t="s">
        <v>104</v>
      </c>
      <c r="AE1883" s="1" t="s">
        <v>104</v>
      </c>
      <c r="AF1883" s="1" t="s">
        <v>104</v>
      </c>
      <c r="AG1883" s="1" t="s">
        <v>104</v>
      </c>
      <c r="AH1883" s="1" t="s">
        <v>104</v>
      </c>
      <c r="AI1883" s="1" t="s">
        <v>104</v>
      </c>
      <c r="AJ1883" s="1" t="s">
        <v>104</v>
      </c>
      <c r="AK1883" s="1" t="s">
        <v>104</v>
      </c>
      <c r="AL1883" s="1" t="s">
        <v>104</v>
      </c>
      <c r="AM1883" s="1" t="s">
        <v>104</v>
      </c>
      <c r="AO1883" s="1">
        <v>1</v>
      </c>
      <c r="AQ1883" s="1" t="s">
        <v>10103</v>
      </c>
      <c r="AR1883" s="1">
        <v>0</v>
      </c>
      <c r="AS1883" s="1">
        <v>0</v>
      </c>
      <c r="AT1883" s="1">
        <v>0</v>
      </c>
      <c r="AU1883" s="1">
        <v>0</v>
      </c>
      <c r="AV1883" s="1">
        <v>0</v>
      </c>
      <c r="AW1883" s="1">
        <v>0</v>
      </c>
      <c r="AX1883" s="1">
        <v>0</v>
      </c>
      <c r="AY1883" s="1">
        <v>0</v>
      </c>
      <c r="AZ1883" s="1">
        <v>0</v>
      </c>
      <c r="BA1883" s="1">
        <v>0</v>
      </c>
      <c r="BB1883" s="1">
        <v>0</v>
      </c>
      <c r="BC1883" s="1">
        <v>0</v>
      </c>
      <c r="BD1883" s="1">
        <v>0</v>
      </c>
      <c r="BE1883" s="1">
        <v>0</v>
      </c>
      <c r="BF1883" s="1">
        <v>0</v>
      </c>
      <c r="BG1883" s="1">
        <v>0</v>
      </c>
      <c r="BH1883" s="1">
        <v>0</v>
      </c>
      <c r="BI1883" s="1">
        <v>0</v>
      </c>
      <c r="BJ1883" s="1">
        <v>0</v>
      </c>
      <c r="BK1883" s="1">
        <v>0</v>
      </c>
      <c r="BL1883" s="1">
        <v>0</v>
      </c>
      <c r="BM1883" s="1">
        <v>1</v>
      </c>
      <c r="BN1883" s="1">
        <v>0</v>
      </c>
      <c r="BO1883" s="1">
        <v>0</v>
      </c>
      <c r="BP1883" s="1">
        <v>0</v>
      </c>
      <c r="BQ1883" s="1" t="s">
        <v>104</v>
      </c>
      <c r="BR1883" s="1">
        <v>1982</v>
      </c>
      <c r="BS1883" s="1" t="s">
        <v>104</v>
      </c>
      <c r="BU1883" s="1" t="s">
        <v>10104</v>
      </c>
      <c r="BX1883" s="1">
        <v>0</v>
      </c>
      <c r="BY1883" s="1" t="s">
        <v>104</v>
      </c>
      <c r="BZ1883" s="1">
        <v>1</v>
      </c>
      <c r="CA1883" s="1" t="s">
        <v>104</v>
      </c>
      <c r="CB1883" s="1" t="s">
        <v>104</v>
      </c>
      <c r="CC1883" s="1" t="s">
        <v>104</v>
      </c>
      <c r="CD1883" s="1" t="s">
        <v>104</v>
      </c>
      <c r="CE1883" s="1" t="s">
        <v>104</v>
      </c>
      <c r="CF1883" s="1" t="s">
        <v>104</v>
      </c>
      <c r="CG1883" s="1" t="s">
        <v>104</v>
      </c>
      <c r="CH1883" s="1">
        <v>1</v>
      </c>
      <c r="CJ1883" s="1">
        <v>0</v>
      </c>
      <c r="CK1883" s="1">
        <v>0</v>
      </c>
      <c r="CL1883" s="1">
        <v>0</v>
      </c>
      <c r="CM1883" s="1" t="s">
        <v>104</v>
      </c>
    </row>
    <row r="1884" spans="1:91" ht="14.25" customHeight="1" x14ac:dyDescent="0.3">
      <c r="A1884" s="1" t="s">
        <v>10105</v>
      </c>
      <c r="B1884" s="1" t="s">
        <v>137</v>
      </c>
      <c r="E1884" s="1" t="s">
        <v>10106</v>
      </c>
      <c r="F1884" s="1" t="s">
        <v>95</v>
      </c>
      <c r="G1884" s="1" t="s">
        <v>127</v>
      </c>
      <c r="H1884" s="1">
        <v>0</v>
      </c>
      <c r="I1884" s="1" t="s">
        <v>97</v>
      </c>
      <c r="J1884" s="1" t="s">
        <v>1405</v>
      </c>
      <c r="M1884" s="1" t="s">
        <v>437</v>
      </c>
      <c r="N1884" s="1">
        <v>1</v>
      </c>
      <c r="O1884" s="1">
        <v>0</v>
      </c>
      <c r="P1884" s="1" t="s">
        <v>5842</v>
      </c>
      <c r="Q1884" s="1" t="s">
        <v>101</v>
      </c>
      <c r="R1884" s="1" t="s">
        <v>10107</v>
      </c>
      <c r="S1884" s="1" t="s">
        <v>9569</v>
      </c>
      <c r="T1884" s="1">
        <v>1</v>
      </c>
      <c r="U1884" s="1">
        <v>1</v>
      </c>
      <c r="V1884" s="1">
        <v>0</v>
      </c>
      <c r="W1884" s="1">
        <v>0</v>
      </c>
      <c r="X1884" s="1">
        <v>1</v>
      </c>
      <c r="Y1884" s="1" t="s">
        <v>104</v>
      </c>
      <c r="Z1884" s="1" t="s">
        <v>104</v>
      </c>
      <c r="AA1884" s="1" t="s">
        <v>104</v>
      </c>
      <c r="AB1884" s="1">
        <v>3</v>
      </c>
      <c r="AC1884" s="1">
        <v>3</v>
      </c>
      <c r="AD1884" s="1" t="s">
        <v>104</v>
      </c>
      <c r="AE1884" s="1" t="s">
        <v>104</v>
      </c>
      <c r="AF1884" s="1" t="s">
        <v>104</v>
      </c>
      <c r="AG1884" s="1" t="s">
        <v>104</v>
      </c>
      <c r="AH1884" s="1">
        <v>3</v>
      </c>
      <c r="AI1884" s="1" t="s">
        <v>104</v>
      </c>
      <c r="AJ1884" s="1" t="s">
        <v>104</v>
      </c>
      <c r="AK1884" s="1" t="s">
        <v>104</v>
      </c>
      <c r="AL1884" s="1" t="s">
        <v>104</v>
      </c>
      <c r="AM1884" s="1" t="s">
        <v>104</v>
      </c>
      <c r="AO1884" s="1">
        <v>3</v>
      </c>
      <c r="AQ1884" s="1" t="s">
        <v>10108</v>
      </c>
      <c r="AR1884" s="1">
        <v>0</v>
      </c>
      <c r="AS1884" s="1">
        <v>0</v>
      </c>
      <c r="AT1884" s="1">
        <v>0</v>
      </c>
      <c r="AU1884" s="1">
        <v>0</v>
      </c>
      <c r="AV1884" s="1">
        <v>0</v>
      </c>
      <c r="AW1884" s="1">
        <v>0</v>
      </c>
      <c r="AX1884" s="1">
        <v>0</v>
      </c>
      <c r="AY1884" s="1">
        <v>0</v>
      </c>
      <c r="AZ1884" s="1">
        <v>0</v>
      </c>
      <c r="BA1884" s="1">
        <v>0</v>
      </c>
      <c r="BB1884" s="1">
        <v>0</v>
      </c>
      <c r="BC1884" s="1">
        <v>0</v>
      </c>
      <c r="BD1884" s="1">
        <v>0</v>
      </c>
      <c r="BE1884" s="1">
        <v>0</v>
      </c>
      <c r="BF1884" s="1">
        <v>0</v>
      </c>
      <c r="BG1884" s="1">
        <v>0</v>
      </c>
      <c r="BH1884" s="1">
        <v>0</v>
      </c>
      <c r="BI1884" s="1">
        <v>0</v>
      </c>
      <c r="BJ1884" s="1">
        <v>0</v>
      </c>
      <c r="BK1884" s="1">
        <v>0</v>
      </c>
      <c r="BL1884" s="1">
        <v>0</v>
      </c>
      <c r="BM1884" s="1">
        <v>0</v>
      </c>
      <c r="BN1884" s="1">
        <v>0</v>
      </c>
      <c r="BO1884" s="1">
        <v>0</v>
      </c>
      <c r="BP1884" s="1">
        <v>0</v>
      </c>
      <c r="BQ1884" s="1" t="s">
        <v>104</v>
      </c>
      <c r="BR1884" s="1">
        <v>1983</v>
      </c>
      <c r="BS1884" s="1" t="s">
        <v>104</v>
      </c>
      <c r="BU1884" s="1" t="s">
        <v>10109</v>
      </c>
      <c r="BX1884" s="1">
        <v>0</v>
      </c>
      <c r="BY1884" s="1" t="s">
        <v>104</v>
      </c>
      <c r="BZ1884" s="1">
        <v>3</v>
      </c>
      <c r="CA1884" s="1" t="s">
        <v>104</v>
      </c>
      <c r="CB1884" s="1" t="s">
        <v>104</v>
      </c>
      <c r="CC1884" s="1" t="s">
        <v>104</v>
      </c>
      <c r="CD1884" s="1" t="s">
        <v>104</v>
      </c>
      <c r="CE1884" s="1" t="s">
        <v>104</v>
      </c>
      <c r="CF1884" s="1" t="s">
        <v>104</v>
      </c>
      <c r="CG1884" s="1" t="s">
        <v>104</v>
      </c>
      <c r="CH1884" s="1">
        <v>3</v>
      </c>
      <c r="CJ1884" s="1">
        <v>0</v>
      </c>
      <c r="CK1884" s="1">
        <v>0</v>
      </c>
      <c r="CL1884" s="1">
        <v>0</v>
      </c>
      <c r="CM1884" s="1" t="s">
        <v>104</v>
      </c>
    </row>
    <row r="1885" spans="1:91" ht="14.25" customHeight="1" x14ac:dyDescent="0.3">
      <c r="A1885" s="1" t="s">
        <v>10110</v>
      </c>
      <c r="B1885" s="1" t="s">
        <v>434</v>
      </c>
      <c r="D1885" s="1" t="s">
        <v>51</v>
      </c>
      <c r="E1885" s="1" t="s">
        <v>10111</v>
      </c>
      <c r="F1885" s="1" t="s">
        <v>95</v>
      </c>
      <c r="G1885" s="1" t="s">
        <v>116</v>
      </c>
      <c r="H1885" s="1">
        <v>0</v>
      </c>
      <c r="I1885" s="1" t="s">
        <v>117</v>
      </c>
      <c r="L1885" s="1" t="s">
        <v>1065</v>
      </c>
      <c r="M1885" s="1" t="s">
        <v>119</v>
      </c>
      <c r="N1885" s="1">
        <v>0</v>
      </c>
      <c r="O1885" s="1">
        <v>0</v>
      </c>
      <c r="P1885" s="1" t="s">
        <v>100</v>
      </c>
      <c r="Q1885" s="1" t="s">
        <v>184</v>
      </c>
      <c r="R1885" s="1" t="s">
        <v>10112</v>
      </c>
      <c r="S1885" s="1" t="s">
        <v>9569</v>
      </c>
      <c r="T1885" s="1">
        <v>1</v>
      </c>
      <c r="U1885" s="1">
        <v>1</v>
      </c>
      <c r="V1885" s="1">
        <v>0</v>
      </c>
      <c r="W1885" s="1">
        <v>0</v>
      </c>
      <c r="X1885" s="1">
        <v>0</v>
      </c>
      <c r="Y1885" s="1">
        <v>1</v>
      </c>
      <c r="Z1885" s="1">
        <v>1</v>
      </c>
      <c r="AA1885" s="1" t="s">
        <v>104</v>
      </c>
      <c r="AB1885" s="1">
        <v>1</v>
      </c>
      <c r="AC1885" s="1">
        <v>1</v>
      </c>
      <c r="AD1885" s="1" t="s">
        <v>104</v>
      </c>
      <c r="AE1885" s="1" t="s">
        <v>104</v>
      </c>
      <c r="AF1885" s="1" t="s">
        <v>104</v>
      </c>
      <c r="AG1885" s="1" t="s">
        <v>104</v>
      </c>
      <c r="AH1885" s="1" t="s">
        <v>104</v>
      </c>
      <c r="AI1885" s="1" t="s">
        <v>104</v>
      </c>
      <c r="AJ1885" s="1" t="s">
        <v>104</v>
      </c>
      <c r="AK1885" s="1" t="s">
        <v>104</v>
      </c>
      <c r="AL1885" s="1">
        <v>1</v>
      </c>
      <c r="AM1885" s="1" t="s">
        <v>104</v>
      </c>
      <c r="AO1885" s="1">
        <v>1</v>
      </c>
      <c r="AQ1885" s="1" t="s">
        <v>10113</v>
      </c>
      <c r="AR1885" s="1">
        <v>0</v>
      </c>
      <c r="AS1885" s="1">
        <v>0</v>
      </c>
      <c r="AT1885" s="1">
        <v>0</v>
      </c>
      <c r="AU1885" s="1">
        <v>0</v>
      </c>
      <c r="AV1885" s="1">
        <v>0</v>
      </c>
      <c r="AW1885" s="1">
        <v>0</v>
      </c>
      <c r="AX1885" s="1">
        <v>0</v>
      </c>
      <c r="AY1885" s="1">
        <v>0</v>
      </c>
      <c r="AZ1885" s="1">
        <v>1</v>
      </c>
      <c r="BA1885" s="1">
        <v>0</v>
      </c>
      <c r="BB1885" s="1">
        <v>0</v>
      </c>
      <c r="BC1885" s="1">
        <v>0</v>
      </c>
      <c r="BD1885" s="1">
        <v>0</v>
      </c>
      <c r="BE1885" s="1">
        <v>0</v>
      </c>
      <c r="BF1885" s="1">
        <v>0</v>
      </c>
      <c r="BG1885" s="1">
        <v>0</v>
      </c>
      <c r="BH1885" s="1">
        <v>0</v>
      </c>
      <c r="BI1885" s="1">
        <v>0</v>
      </c>
      <c r="BJ1885" s="1">
        <v>0</v>
      </c>
      <c r="BK1885" s="1">
        <v>0</v>
      </c>
      <c r="BL1885" s="1">
        <v>0</v>
      </c>
      <c r="BM1885" s="1">
        <v>0</v>
      </c>
      <c r="BN1885" s="1">
        <v>0</v>
      </c>
      <c r="BO1885" s="1">
        <v>0</v>
      </c>
      <c r="BP1885" s="1">
        <v>0</v>
      </c>
      <c r="BQ1885" s="1" t="s">
        <v>104</v>
      </c>
      <c r="BR1885" s="1">
        <v>1984</v>
      </c>
      <c r="BS1885" s="1" t="s">
        <v>104</v>
      </c>
      <c r="BX1885" s="1">
        <v>0</v>
      </c>
      <c r="BY1885" s="1">
        <v>1</v>
      </c>
      <c r="BZ1885" s="1" t="s">
        <v>104</v>
      </c>
      <c r="CA1885" s="1" t="s">
        <v>104</v>
      </c>
      <c r="CB1885" s="1" t="s">
        <v>104</v>
      </c>
      <c r="CC1885" s="1" t="s">
        <v>104</v>
      </c>
      <c r="CD1885" s="1" t="s">
        <v>104</v>
      </c>
      <c r="CE1885" s="1" t="s">
        <v>104</v>
      </c>
      <c r="CF1885" s="1" t="s">
        <v>104</v>
      </c>
      <c r="CG1885" s="1" t="s">
        <v>104</v>
      </c>
      <c r="CH1885" s="1">
        <v>1</v>
      </c>
      <c r="CJ1885" s="1">
        <v>0</v>
      </c>
      <c r="CK1885" s="1">
        <v>0</v>
      </c>
      <c r="CL1885" s="1">
        <v>0</v>
      </c>
      <c r="CM1885" s="1" t="s">
        <v>104</v>
      </c>
    </row>
    <row r="1886" spans="1:91" ht="14.25" customHeight="1" x14ac:dyDescent="0.3">
      <c r="A1886" s="1" t="s">
        <v>10114</v>
      </c>
      <c r="B1886" s="1" t="s">
        <v>434</v>
      </c>
      <c r="D1886" s="1" t="s">
        <v>51</v>
      </c>
      <c r="E1886" s="1" t="s">
        <v>10115</v>
      </c>
      <c r="F1886" s="1" t="s">
        <v>95</v>
      </c>
      <c r="G1886" s="1" t="s">
        <v>116</v>
      </c>
      <c r="H1886" s="1">
        <v>0</v>
      </c>
      <c r="I1886" s="1" t="s">
        <v>776</v>
      </c>
      <c r="J1886" s="1" t="s">
        <v>5111</v>
      </c>
      <c r="M1886" s="1" t="s">
        <v>119</v>
      </c>
      <c r="N1886" s="1">
        <v>0</v>
      </c>
      <c r="O1886" s="1">
        <v>0</v>
      </c>
      <c r="P1886" s="1" t="s">
        <v>100</v>
      </c>
      <c r="Q1886" s="1" t="s">
        <v>184</v>
      </c>
      <c r="R1886" s="1" t="s">
        <v>10116</v>
      </c>
      <c r="S1886" s="1" t="s">
        <v>9569</v>
      </c>
      <c r="T1886" s="1">
        <v>1</v>
      </c>
      <c r="U1886" s="1">
        <v>1</v>
      </c>
      <c r="V1886" s="1">
        <v>0</v>
      </c>
      <c r="W1886" s="1">
        <v>0</v>
      </c>
      <c r="X1886" s="1">
        <v>0</v>
      </c>
      <c r="Y1886" s="1">
        <v>3</v>
      </c>
      <c r="Z1886" s="1">
        <v>3</v>
      </c>
      <c r="AA1886" s="1" t="s">
        <v>104</v>
      </c>
      <c r="AB1886" s="1">
        <v>3</v>
      </c>
      <c r="AC1886" s="1">
        <v>3</v>
      </c>
      <c r="AD1886" s="1" t="s">
        <v>104</v>
      </c>
      <c r="AE1886" s="1" t="s">
        <v>104</v>
      </c>
      <c r="AF1886" s="1" t="s">
        <v>104</v>
      </c>
      <c r="AG1886" s="1" t="s">
        <v>104</v>
      </c>
      <c r="AH1886" s="1" t="s">
        <v>104</v>
      </c>
      <c r="AI1886" s="1" t="s">
        <v>104</v>
      </c>
      <c r="AJ1886" s="1" t="s">
        <v>104</v>
      </c>
      <c r="AK1886" s="1" t="s">
        <v>104</v>
      </c>
      <c r="AL1886" s="1">
        <v>3</v>
      </c>
      <c r="AM1886" s="1" t="s">
        <v>104</v>
      </c>
      <c r="AO1886" s="1">
        <v>3</v>
      </c>
      <c r="AQ1886" s="1" t="s">
        <v>10117</v>
      </c>
      <c r="AR1886" s="1">
        <v>0</v>
      </c>
      <c r="AS1886" s="1">
        <v>0</v>
      </c>
      <c r="AT1886" s="1">
        <v>0</v>
      </c>
      <c r="AU1886" s="1">
        <v>0</v>
      </c>
      <c r="AV1886" s="1">
        <v>0</v>
      </c>
      <c r="AW1886" s="1">
        <v>0</v>
      </c>
      <c r="AX1886" s="1">
        <v>0</v>
      </c>
      <c r="AY1886" s="1">
        <v>0</v>
      </c>
      <c r="AZ1886" s="1">
        <v>1</v>
      </c>
      <c r="BA1886" s="1">
        <v>0</v>
      </c>
      <c r="BB1886" s="1">
        <v>0</v>
      </c>
      <c r="BC1886" s="1">
        <v>0</v>
      </c>
      <c r="BD1886" s="1">
        <v>0</v>
      </c>
      <c r="BE1886" s="1">
        <v>0</v>
      </c>
      <c r="BF1886" s="1">
        <v>0</v>
      </c>
      <c r="BG1886" s="1">
        <v>0</v>
      </c>
      <c r="BH1886" s="1">
        <v>0</v>
      </c>
      <c r="BI1886" s="1">
        <v>0</v>
      </c>
      <c r="BJ1886" s="1">
        <v>0</v>
      </c>
      <c r="BK1886" s="1">
        <v>0</v>
      </c>
      <c r="BL1886" s="1">
        <v>0</v>
      </c>
      <c r="BM1886" s="1">
        <v>0</v>
      </c>
      <c r="BN1886" s="1">
        <v>0</v>
      </c>
      <c r="BO1886" s="1">
        <v>0</v>
      </c>
      <c r="BP1886" s="1">
        <v>0</v>
      </c>
      <c r="BQ1886" s="1" t="s">
        <v>104</v>
      </c>
      <c r="BR1886" s="1">
        <v>1985</v>
      </c>
      <c r="BS1886" s="1" t="s">
        <v>104</v>
      </c>
      <c r="BX1886" s="1">
        <v>0</v>
      </c>
      <c r="BY1886" s="1">
        <v>3</v>
      </c>
      <c r="BZ1886" s="1" t="s">
        <v>104</v>
      </c>
      <c r="CA1886" s="1" t="s">
        <v>104</v>
      </c>
      <c r="CB1886" s="1" t="s">
        <v>104</v>
      </c>
      <c r="CC1886" s="1" t="s">
        <v>104</v>
      </c>
      <c r="CD1886" s="1" t="s">
        <v>104</v>
      </c>
      <c r="CE1886" s="1" t="s">
        <v>104</v>
      </c>
      <c r="CF1886" s="1" t="s">
        <v>104</v>
      </c>
      <c r="CG1886" s="1" t="s">
        <v>104</v>
      </c>
      <c r="CH1886" s="1">
        <v>3</v>
      </c>
      <c r="CJ1886" s="1">
        <v>0</v>
      </c>
      <c r="CK1886" s="1">
        <v>0</v>
      </c>
      <c r="CL1886" s="1">
        <v>0</v>
      </c>
      <c r="CM1886" s="1" t="s">
        <v>104</v>
      </c>
    </row>
    <row r="1887" spans="1:91" ht="14.25" customHeight="1" x14ac:dyDescent="0.3">
      <c r="A1887" s="1" t="s">
        <v>10118</v>
      </c>
      <c r="B1887" s="1" t="s">
        <v>137</v>
      </c>
      <c r="E1887" s="1" t="s">
        <v>7956</v>
      </c>
      <c r="F1887" s="1" t="s">
        <v>95</v>
      </c>
      <c r="G1887" s="1" t="s">
        <v>10119</v>
      </c>
      <c r="H1887" s="1">
        <v>0</v>
      </c>
      <c r="I1887" s="1" t="s">
        <v>914</v>
      </c>
      <c r="J1887" s="1" t="s">
        <v>5007</v>
      </c>
      <c r="M1887" s="1" t="s">
        <v>255</v>
      </c>
      <c r="N1887" s="1">
        <v>0</v>
      </c>
      <c r="O1887" s="1">
        <v>0</v>
      </c>
      <c r="P1887" s="1" t="s">
        <v>100</v>
      </c>
      <c r="Q1887" s="1" t="s">
        <v>184</v>
      </c>
      <c r="R1887" s="1" t="s">
        <v>10120</v>
      </c>
      <c r="S1887" s="1" t="s">
        <v>9569</v>
      </c>
      <c r="T1887" s="1">
        <v>1</v>
      </c>
      <c r="U1887" s="1">
        <v>1</v>
      </c>
      <c r="V1887" s="1">
        <v>1</v>
      </c>
      <c r="W1887" s="1">
        <v>0</v>
      </c>
      <c r="X1887" s="1">
        <v>0</v>
      </c>
      <c r="Y1887" s="1">
        <v>2</v>
      </c>
      <c r="Z1887" s="1">
        <v>2</v>
      </c>
      <c r="AA1887" s="1" t="s">
        <v>104</v>
      </c>
      <c r="AB1887" s="1" t="s">
        <v>104</v>
      </c>
      <c r="AC1887" s="1" t="s">
        <v>104</v>
      </c>
      <c r="AD1887" s="1" t="s">
        <v>104</v>
      </c>
      <c r="AE1887" s="1" t="s">
        <v>104</v>
      </c>
      <c r="AF1887" s="1" t="s">
        <v>104</v>
      </c>
      <c r="AG1887" s="1">
        <v>2</v>
      </c>
      <c r="AH1887" s="1" t="s">
        <v>104</v>
      </c>
      <c r="AI1887" s="1" t="s">
        <v>104</v>
      </c>
      <c r="AJ1887" s="1" t="s">
        <v>104</v>
      </c>
      <c r="AK1887" s="1" t="s">
        <v>104</v>
      </c>
      <c r="AL1887" s="1">
        <v>2</v>
      </c>
      <c r="AM1887" s="1" t="s">
        <v>104</v>
      </c>
      <c r="AO1887" s="1">
        <v>2</v>
      </c>
      <c r="AQ1887" s="1" t="s">
        <v>10121</v>
      </c>
      <c r="AR1887" s="1">
        <v>0</v>
      </c>
      <c r="AS1887" s="1">
        <v>0</v>
      </c>
      <c r="AT1887" s="1">
        <v>0</v>
      </c>
      <c r="AU1887" s="1">
        <v>0</v>
      </c>
      <c r="AV1887" s="1">
        <v>0</v>
      </c>
      <c r="AW1887" s="1">
        <v>0</v>
      </c>
      <c r="AX1887" s="1">
        <v>0</v>
      </c>
      <c r="AY1887" s="1">
        <v>0</v>
      </c>
      <c r="AZ1887" s="1">
        <v>0</v>
      </c>
      <c r="BA1887" s="1">
        <v>0</v>
      </c>
      <c r="BB1887" s="1">
        <v>0</v>
      </c>
      <c r="BC1887" s="1">
        <v>0</v>
      </c>
      <c r="BD1887" s="1">
        <v>0</v>
      </c>
      <c r="BE1887" s="1">
        <v>0</v>
      </c>
      <c r="BF1887" s="1">
        <v>0</v>
      </c>
      <c r="BG1887" s="1">
        <v>0</v>
      </c>
      <c r="BH1887" s="1">
        <v>0</v>
      </c>
      <c r="BI1887" s="1">
        <v>0</v>
      </c>
      <c r="BJ1887" s="1">
        <v>0</v>
      </c>
      <c r="BK1887" s="1">
        <v>0</v>
      </c>
      <c r="BL1887" s="1">
        <v>0</v>
      </c>
      <c r="BM1887" s="1">
        <v>0</v>
      </c>
      <c r="BN1887" s="1">
        <v>0</v>
      </c>
      <c r="BO1887" s="1">
        <v>0</v>
      </c>
      <c r="BP1887" s="1">
        <v>0</v>
      </c>
      <c r="BQ1887" s="1" t="s">
        <v>104</v>
      </c>
      <c r="BR1887" s="1">
        <v>1986</v>
      </c>
      <c r="BS1887" s="1" t="s">
        <v>104</v>
      </c>
      <c r="BX1887" s="1">
        <v>0</v>
      </c>
      <c r="BY1887" s="1" t="s">
        <v>104</v>
      </c>
      <c r="BZ1887" s="1" t="s">
        <v>104</v>
      </c>
      <c r="CA1887" s="1">
        <v>2</v>
      </c>
      <c r="CB1887" s="1" t="s">
        <v>104</v>
      </c>
      <c r="CC1887" s="1" t="s">
        <v>104</v>
      </c>
      <c r="CD1887" s="1" t="s">
        <v>104</v>
      </c>
      <c r="CE1887" s="1" t="s">
        <v>104</v>
      </c>
      <c r="CF1887" s="1" t="s">
        <v>104</v>
      </c>
      <c r="CG1887" s="1" t="s">
        <v>104</v>
      </c>
      <c r="CH1887" s="1" t="s">
        <v>104</v>
      </c>
      <c r="CJ1887" s="1">
        <v>0</v>
      </c>
      <c r="CK1887" s="1">
        <v>0</v>
      </c>
      <c r="CL1887" s="1">
        <v>0</v>
      </c>
      <c r="CM1887" s="1">
        <v>2</v>
      </c>
    </row>
    <row r="1888" spans="1:91" ht="14.25" customHeight="1" x14ac:dyDescent="0.3">
      <c r="A1888" s="1" t="s">
        <v>10122</v>
      </c>
      <c r="B1888" s="1" t="s">
        <v>123</v>
      </c>
      <c r="C1888" s="1" t="s">
        <v>124</v>
      </c>
      <c r="D1888" s="1" t="s">
        <v>728</v>
      </c>
      <c r="E1888" s="1" t="s">
        <v>10123</v>
      </c>
      <c r="F1888" s="1" t="s">
        <v>95</v>
      </c>
      <c r="G1888" s="1" t="s">
        <v>3635</v>
      </c>
      <c r="H1888" s="1">
        <v>0</v>
      </c>
      <c r="I1888" s="1" t="s">
        <v>117</v>
      </c>
      <c r="L1888" s="1" t="s">
        <v>417</v>
      </c>
      <c r="M1888" s="1" t="s">
        <v>10124</v>
      </c>
      <c r="N1888" s="1">
        <v>0</v>
      </c>
      <c r="O1888" s="1">
        <v>0</v>
      </c>
      <c r="P1888" s="1" t="s">
        <v>211</v>
      </c>
      <c r="Q1888" s="1" t="s">
        <v>184</v>
      </c>
      <c r="R1888" s="1" t="s">
        <v>10125</v>
      </c>
      <c r="S1888" s="1" t="s">
        <v>9569</v>
      </c>
      <c r="T1888" s="1">
        <v>1</v>
      </c>
      <c r="U1888" s="1">
        <v>0</v>
      </c>
      <c r="V1888" s="1">
        <v>1</v>
      </c>
      <c r="W1888" s="1">
        <v>0</v>
      </c>
      <c r="X1888" s="1">
        <v>0</v>
      </c>
      <c r="Y1888" s="1">
        <v>4</v>
      </c>
      <c r="Z1888" s="1">
        <v>4</v>
      </c>
      <c r="AA1888" s="1" t="s">
        <v>104</v>
      </c>
      <c r="AB1888" s="1" t="s">
        <v>104</v>
      </c>
      <c r="AC1888" s="1" t="s">
        <v>104</v>
      </c>
      <c r="AD1888" s="1">
        <v>3</v>
      </c>
      <c r="AE1888" s="1" t="s">
        <v>104</v>
      </c>
      <c r="AF1888" s="1" t="s">
        <v>104</v>
      </c>
      <c r="AG1888" s="1" t="s">
        <v>104</v>
      </c>
      <c r="AH1888" s="1">
        <v>4</v>
      </c>
      <c r="AI1888" s="1" t="s">
        <v>104</v>
      </c>
      <c r="AJ1888" s="1" t="s">
        <v>104</v>
      </c>
      <c r="AK1888" s="1" t="s">
        <v>104</v>
      </c>
      <c r="AL1888" s="1" t="s">
        <v>104</v>
      </c>
      <c r="AM1888" s="1" t="s">
        <v>104</v>
      </c>
      <c r="AO1888" s="1">
        <v>4</v>
      </c>
      <c r="AQ1888" s="1" t="s">
        <v>10126</v>
      </c>
      <c r="AR1888" s="1">
        <v>0</v>
      </c>
      <c r="AS1888" s="1">
        <v>0</v>
      </c>
      <c r="AT1888" s="1">
        <v>0</v>
      </c>
      <c r="AU1888" s="1">
        <v>0</v>
      </c>
      <c r="AV1888" s="1">
        <v>0</v>
      </c>
      <c r="AW1888" s="1">
        <v>0</v>
      </c>
      <c r="AX1888" s="1">
        <v>0</v>
      </c>
      <c r="AY1888" s="1">
        <v>0</v>
      </c>
      <c r="AZ1888" s="1">
        <v>0</v>
      </c>
      <c r="BA1888" s="1">
        <v>0</v>
      </c>
      <c r="BB1888" s="1">
        <v>0</v>
      </c>
      <c r="BC1888" s="1">
        <v>0</v>
      </c>
      <c r="BD1888" s="1">
        <v>0</v>
      </c>
      <c r="BE1888" s="1">
        <v>0</v>
      </c>
      <c r="BF1888" s="1">
        <v>0</v>
      </c>
      <c r="BG1888" s="1">
        <v>0</v>
      </c>
      <c r="BH1888" s="1">
        <v>1</v>
      </c>
      <c r="BI1888" s="1">
        <v>0</v>
      </c>
      <c r="BJ1888" s="1">
        <v>0</v>
      </c>
      <c r="BK1888" s="1">
        <v>1</v>
      </c>
      <c r="BL1888" s="1">
        <v>0</v>
      </c>
      <c r="BM1888" s="1">
        <v>0</v>
      </c>
      <c r="BN1888" s="1">
        <v>0</v>
      </c>
      <c r="BO1888" s="1">
        <v>0</v>
      </c>
      <c r="BP1888" s="1">
        <v>0</v>
      </c>
      <c r="BQ1888" s="1" t="s">
        <v>104</v>
      </c>
      <c r="BR1888" s="1">
        <v>1987</v>
      </c>
      <c r="BS1888" s="1" t="s">
        <v>104</v>
      </c>
      <c r="BX1888" s="1">
        <v>0</v>
      </c>
      <c r="BY1888" s="1" t="s">
        <v>104</v>
      </c>
      <c r="BZ1888" s="1" t="s">
        <v>104</v>
      </c>
      <c r="CA1888" s="1">
        <v>4</v>
      </c>
      <c r="CB1888" s="1" t="s">
        <v>104</v>
      </c>
      <c r="CC1888" s="1">
        <v>3</v>
      </c>
      <c r="CD1888" s="1" t="s">
        <v>104</v>
      </c>
      <c r="CE1888" s="1" t="s">
        <v>104</v>
      </c>
      <c r="CF1888" s="1" t="s">
        <v>104</v>
      </c>
      <c r="CG1888" s="1" t="s">
        <v>104</v>
      </c>
      <c r="CH1888" s="1" t="s">
        <v>104</v>
      </c>
      <c r="CJ1888" s="1">
        <v>0</v>
      </c>
      <c r="CK1888" s="1">
        <v>0</v>
      </c>
      <c r="CL1888" s="1">
        <v>0</v>
      </c>
      <c r="CM1888" s="1" t="s">
        <v>104</v>
      </c>
    </row>
    <row r="1889" spans="1:91" ht="14.25" customHeight="1" x14ac:dyDescent="0.3">
      <c r="A1889" s="1" t="s">
        <v>10127</v>
      </c>
      <c r="B1889" s="1" t="s">
        <v>507</v>
      </c>
      <c r="C1889" s="1" t="s">
        <v>65</v>
      </c>
      <c r="D1889" s="1" t="s">
        <v>6436</v>
      </c>
      <c r="E1889" s="1" t="s">
        <v>10128</v>
      </c>
      <c r="F1889" s="1" t="s">
        <v>95</v>
      </c>
      <c r="G1889" s="1" t="s">
        <v>116</v>
      </c>
      <c r="H1889" s="1">
        <v>0</v>
      </c>
      <c r="I1889" s="1" t="s">
        <v>117</v>
      </c>
      <c r="K1889" s="1" t="s">
        <v>1640</v>
      </c>
      <c r="M1889" s="1" t="s">
        <v>111</v>
      </c>
      <c r="N1889" s="1">
        <v>0</v>
      </c>
      <c r="O1889" s="1">
        <v>0</v>
      </c>
      <c r="P1889" s="1" t="s">
        <v>100</v>
      </c>
      <c r="Q1889" s="1" t="s">
        <v>101</v>
      </c>
      <c r="R1889" s="1" t="s">
        <v>10129</v>
      </c>
      <c r="S1889" s="1" t="s">
        <v>9569</v>
      </c>
      <c r="T1889" s="1">
        <v>1</v>
      </c>
      <c r="U1889" s="1">
        <v>1</v>
      </c>
      <c r="V1889" s="1">
        <v>0</v>
      </c>
      <c r="W1889" s="1">
        <v>0</v>
      </c>
      <c r="X1889" s="1">
        <v>0</v>
      </c>
      <c r="Y1889" s="1">
        <v>2</v>
      </c>
      <c r="Z1889" s="1">
        <v>2</v>
      </c>
      <c r="AA1889" s="1" t="s">
        <v>104</v>
      </c>
      <c r="AB1889" s="1" t="s">
        <v>104</v>
      </c>
      <c r="AC1889" s="1" t="s">
        <v>104</v>
      </c>
      <c r="AD1889" s="1" t="s">
        <v>104</v>
      </c>
      <c r="AE1889" s="1" t="s">
        <v>104</v>
      </c>
      <c r="AF1889" s="1" t="s">
        <v>104</v>
      </c>
      <c r="AG1889" s="1" t="s">
        <v>104</v>
      </c>
      <c r="AH1889" s="1">
        <v>2</v>
      </c>
      <c r="AI1889" s="1" t="s">
        <v>104</v>
      </c>
      <c r="AJ1889" s="1" t="s">
        <v>104</v>
      </c>
      <c r="AK1889" s="1" t="s">
        <v>104</v>
      </c>
      <c r="AL1889" s="1" t="s">
        <v>104</v>
      </c>
      <c r="AM1889" s="1" t="s">
        <v>104</v>
      </c>
      <c r="AO1889" s="1">
        <v>2</v>
      </c>
      <c r="AQ1889" s="1" t="s">
        <v>10130</v>
      </c>
      <c r="AR1889" s="1">
        <v>0</v>
      </c>
      <c r="AS1889" s="1">
        <v>0</v>
      </c>
      <c r="AT1889" s="1">
        <v>0</v>
      </c>
      <c r="AU1889" s="1">
        <v>0</v>
      </c>
      <c r="AV1889" s="1">
        <v>0</v>
      </c>
      <c r="AW1889" s="1">
        <v>1</v>
      </c>
      <c r="AX1889" s="1">
        <v>0</v>
      </c>
      <c r="AY1889" s="1">
        <v>0</v>
      </c>
      <c r="AZ1889" s="1">
        <v>0</v>
      </c>
      <c r="BA1889" s="1">
        <v>0</v>
      </c>
      <c r="BB1889" s="1">
        <v>0</v>
      </c>
      <c r="BC1889" s="1">
        <v>0</v>
      </c>
      <c r="BD1889" s="1">
        <v>0</v>
      </c>
      <c r="BE1889" s="1">
        <v>0</v>
      </c>
      <c r="BF1889" s="1">
        <v>0</v>
      </c>
      <c r="BG1889" s="1">
        <v>0</v>
      </c>
      <c r="BH1889" s="1">
        <v>0</v>
      </c>
      <c r="BI1889" s="1">
        <v>0</v>
      </c>
      <c r="BJ1889" s="1">
        <v>0</v>
      </c>
      <c r="BK1889" s="1">
        <v>0</v>
      </c>
      <c r="BL1889" s="1">
        <v>0</v>
      </c>
      <c r="BM1889" s="1">
        <v>0</v>
      </c>
      <c r="BN1889" s="1">
        <v>1</v>
      </c>
      <c r="BO1889" s="1">
        <v>0</v>
      </c>
      <c r="BP1889" s="1">
        <v>0</v>
      </c>
      <c r="BQ1889" s="1" t="s">
        <v>104</v>
      </c>
      <c r="BR1889" s="1">
        <v>1988</v>
      </c>
      <c r="BS1889" s="1" t="s">
        <v>104</v>
      </c>
      <c r="BX1889" s="1">
        <v>0</v>
      </c>
      <c r="BY1889" s="1" t="s">
        <v>104</v>
      </c>
      <c r="BZ1889" s="1" t="s">
        <v>104</v>
      </c>
      <c r="CA1889" s="1">
        <v>2</v>
      </c>
      <c r="CB1889" s="1" t="s">
        <v>104</v>
      </c>
      <c r="CC1889" s="1">
        <v>2</v>
      </c>
      <c r="CD1889" s="1" t="s">
        <v>104</v>
      </c>
      <c r="CE1889" s="1">
        <v>2</v>
      </c>
      <c r="CF1889" s="1" t="s">
        <v>104</v>
      </c>
      <c r="CG1889" s="1" t="s">
        <v>104</v>
      </c>
      <c r="CH1889" s="1" t="s">
        <v>104</v>
      </c>
      <c r="CJ1889" s="1">
        <v>0</v>
      </c>
      <c r="CK1889" s="1">
        <v>0</v>
      </c>
      <c r="CL1889" s="1">
        <v>0</v>
      </c>
      <c r="CM1889" s="1" t="s">
        <v>104</v>
      </c>
    </row>
    <row r="1890" spans="1:91" ht="14.25" customHeight="1" x14ac:dyDescent="0.3">
      <c r="A1890" s="1" t="s">
        <v>10131</v>
      </c>
      <c r="B1890" s="1" t="s">
        <v>434</v>
      </c>
      <c r="D1890" s="1" t="s">
        <v>61</v>
      </c>
      <c r="E1890" s="1" t="s">
        <v>10132</v>
      </c>
      <c r="F1890" s="1" t="s">
        <v>95</v>
      </c>
      <c r="G1890" s="1" t="s">
        <v>116</v>
      </c>
      <c r="H1890" s="1">
        <v>0</v>
      </c>
      <c r="I1890" s="1" t="s">
        <v>10133</v>
      </c>
      <c r="J1890" s="1" t="s">
        <v>5007</v>
      </c>
      <c r="M1890" s="1" t="s">
        <v>111</v>
      </c>
      <c r="N1890" s="1">
        <v>0</v>
      </c>
      <c r="O1890" s="1">
        <v>0</v>
      </c>
      <c r="P1890" s="1" t="s">
        <v>10134</v>
      </c>
      <c r="Q1890" s="1" t="s">
        <v>9897</v>
      </c>
      <c r="R1890" s="1" t="s">
        <v>10135</v>
      </c>
      <c r="S1890" s="1" t="s">
        <v>9569</v>
      </c>
      <c r="T1890" s="1">
        <v>1</v>
      </c>
      <c r="U1890" s="1">
        <v>1</v>
      </c>
      <c r="V1890" s="1">
        <v>0</v>
      </c>
      <c r="W1890" s="1">
        <v>0</v>
      </c>
      <c r="X1890" s="1">
        <v>0</v>
      </c>
      <c r="Y1890" s="1">
        <v>4</v>
      </c>
      <c r="Z1890" s="1">
        <v>4</v>
      </c>
      <c r="AA1890" s="1" t="s">
        <v>104</v>
      </c>
      <c r="AB1890" s="1" t="s">
        <v>104</v>
      </c>
      <c r="AC1890" s="1" t="s">
        <v>104</v>
      </c>
      <c r="AD1890" s="1" t="s">
        <v>104</v>
      </c>
      <c r="AE1890" s="1" t="s">
        <v>104</v>
      </c>
      <c r="AF1890" s="1">
        <v>4</v>
      </c>
      <c r="AG1890" s="1" t="s">
        <v>104</v>
      </c>
      <c r="AH1890" s="1">
        <v>4</v>
      </c>
      <c r="AI1890" s="1" t="s">
        <v>104</v>
      </c>
      <c r="AJ1890" s="1" t="s">
        <v>104</v>
      </c>
      <c r="AK1890" s="1" t="s">
        <v>104</v>
      </c>
      <c r="AL1890" s="1" t="s">
        <v>104</v>
      </c>
      <c r="AM1890" s="1" t="s">
        <v>104</v>
      </c>
      <c r="AO1890" s="1">
        <v>4</v>
      </c>
      <c r="AQ1890" s="1" t="s">
        <v>10136</v>
      </c>
      <c r="AR1890" s="1">
        <v>0</v>
      </c>
      <c r="AS1890" s="1">
        <v>0</v>
      </c>
      <c r="AT1890" s="1">
        <v>0</v>
      </c>
      <c r="AU1890" s="1">
        <v>0</v>
      </c>
      <c r="AV1890" s="1">
        <v>0</v>
      </c>
      <c r="AW1890" s="1">
        <v>0</v>
      </c>
      <c r="AX1890" s="1">
        <v>0</v>
      </c>
      <c r="AY1890" s="1">
        <v>0</v>
      </c>
      <c r="AZ1890" s="1">
        <v>0</v>
      </c>
      <c r="BA1890" s="1">
        <v>0</v>
      </c>
      <c r="BB1890" s="1">
        <v>0</v>
      </c>
      <c r="BC1890" s="1">
        <v>0</v>
      </c>
      <c r="BD1890" s="1">
        <v>0</v>
      </c>
      <c r="BE1890" s="1">
        <v>0</v>
      </c>
      <c r="BF1890" s="1">
        <v>0</v>
      </c>
      <c r="BG1890" s="1">
        <v>0</v>
      </c>
      <c r="BH1890" s="1">
        <v>0</v>
      </c>
      <c r="BI1890" s="1">
        <v>0</v>
      </c>
      <c r="BJ1890" s="1">
        <v>1</v>
      </c>
      <c r="BK1890" s="1">
        <v>0</v>
      </c>
      <c r="BL1890" s="1">
        <v>0</v>
      </c>
      <c r="BM1890" s="1">
        <v>0</v>
      </c>
      <c r="BN1890" s="1">
        <v>0</v>
      </c>
      <c r="BO1890" s="1">
        <v>0</v>
      </c>
      <c r="BP1890" s="1">
        <v>0</v>
      </c>
      <c r="BQ1890" s="1" t="s">
        <v>104</v>
      </c>
      <c r="BR1890" s="1">
        <v>1989</v>
      </c>
      <c r="BS1890" s="1" t="s">
        <v>104</v>
      </c>
      <c r="BX1890" s="1">
        <v>0</v>
      </c>
      <c r="BY1890" s="1" t="s">
        <v>104</v>
      </c>
      <c r="BZ1890" s="1" t="s">
        <v>104</v>
      </c>
      <c r="CA1890" s="1">
        <v>4</v>
      </c>
      <c r="CB1890" s="1" t="s">
        <v>104</v>
      </c>
      <c r="CC1890" s="1" t="s">
        <v>104</v>
      </c>
      <c r="CD1890" s="1">
        <v>4</v>
      </c>
      <c r="CE1890" s="1" t="s">
        <v>104</v>
      </c>
      <c r="CF1890" s="1" t="s">
        <v>104</v>
      </c>
      <c r="CG1890" s="1" t="s">
        <v>104</v>
      </c>
      <c r="CH1890" s="1" t="s">
        <v>104</v>
      </c>
      <c r="CJ1890" s="1">
        <v>0</v>
      </c>
      <c r="CK1890" s="1">
        <v>0</v>
      </c>
      <c r="CL1890" s="1">
        <v>0</v>
      </c>
      <c r="CM1890" s="1" t="s">
        <v>104</v>
      </c>
    </row>
    <row r="1891" spans="1:91" ht="14.25" customHeight="1" x14ac:dyDescent="0.3">
      <c r="A1891" s="1" t="s">
        <v>10137</v>
      </c>
      <c r="B1891" s="1" t="s">
        <v>137</v>
      </c>
      <c r="D1891" s="1" t="s">
        <v>6864</v>
      </c>
      <c r="E1891" s="1" t="s">
        <v>146</v>
      </c>
      <c r="F1891" s="1" t="s">
        <v>95</v>
      </c>
      <c r="G1891" s="1" t="s">
        <v>6865</v>
      </c>
      <c r="H1891" s="1">
        <v>1</v>
      </c>
      <c r="I1891" s="1" t="s">
        <v>705</v>
      </c>
      <c r="K1891" s="1" t="s">
        <v>9861</v>
      </c>
      <c r="M1891" s="1" t="s">
        <v>4641</v>
      </c>
      <c r="N1891" s="1">
        <v>1</v>
      </c>
      <c r="O1891" s="1">
        <v>0</v>
      </c>
      <c r="P1891" s="1" t="s">
        <v>100</v>
      </c>
      <c r="Q1891" s="1" t="s">
        <v>101</v>
      </c>
      <c r="R1891" s="1" t="s">
        <v>10138</v>
      </c>
      <c r="S1891" s="1" t="s">
        <v>9569</v>
      </c>
      <c r="T1891" s="1">
        <v>1</v>
      </c>
      <c r="U1891" s="1">
        <v>1</v>
      </c>
      <c r="V1891" s="1">
        <v>1</v>
      </c>
      <c r="W1891" s="1">
        <v>0</v>
      </c>
      <c r="X1891" s="1">
        <v>0</v>
      </c>
      <c r="Y1891" s="1" t="s">
        <v>104</v>
      </c>
      <c r="Z1891" s="1" t="s">
        <v>104</v>
      </c>
      <c r="AA1891" s="1">
        <v>2</v>
      </c>
      <c r="AB1891" s="1" t="s">
        <v>104</v>
      </c>
      <c r="AC1891" s="1" t="s">
        <v>104</v>
      </c>
      <c r="AD1891" s="1" t="s">
        <v>104</v>
      </c>
      <c r="AE1891" s="1" t="s">
        <v>104</v>
      </c>
      <c r="AF1891" s="1" t="s">
        <v>104</v>
      </c>
      <c r="AG1891" s="1" t="s">
        <v>104</v>
      </c>
      <c r="AH1891" s="1" t="s">
        <v>104</v>
      </c>
      <c r="AI1891" s="1">
        <v>2</v>
      </c>
      <c r="AJ1891" s="1">
        <v>2</v>
      </c>
      <c r="AK1891" s="1" t="s">
        <v>104</v>
      </c>
      <c r="AL1891" s="1" t="s">
        <v>104</v>
      </c>
      <c r="AM1891" s="1" t="s">
        <v>104</v>
      </c>
      <c r="AO1891" s="1">
        <v>2</v>
      </c>
      <c r="AQ1891" s="1" t="s">
        <v>10139</v>
      </c>
      <c r="AR1891" s="1">
        <v>0</v>
      </c>
      <c r="AS1891" s="1">
        <v>0</v>
      </c>
      <c r="AT1891" s="1">
        <v>0</v>
      </c>
      <c r="AU1891" s="1">
        <v>1</v>
      </c>
      <c r="AV1891" s="1">
        <v>0</v>
      </c>
      <c r="AW1891" s="1">
        <v>0</v>
      </c>
      <c r="AX1891" s="1">
        <v>0</v>
      </c>
      <c r="AY1891" s="1">
        <v>0</v>
      </c>
      <c r="AZ1891" s="1">
        <v>0</v>
      </c>
      <c r="BA1891" s="1">
        <v>0</v>
      </c>
      <c r="BB1891" s="1">
        <v>0</v>
      </c>
      <c r="BC1891" s="1">
        <v>1</v>
      </c>
      <c r="BD1891" s="1">
        <v>0</v>
      </c>
      <c r="BE1891" s="1">
        <v>0</v>
      </c>
      <c r="BF1891" s="1">
        <v>0</v>
      </c>
      <c r="BG1891" s="1">
        <v>0</v>
      </c>
      <c r="BH1891" s="1">
        <v>0</v>
      </c>
      <c r="BI1891" s="1">
        <v>0</v>
      </c>
      <c r="BJ1891" s="1">
        <v>0</v>
      </c>
      <c r="BK1891" s="1">
        <v>0</v>
      </c>
      <c r="BL1891" s="1">
        <v>0</v>
      </c>
      <c r="BM1891" s="1">
        <v>0</v>
      </c>
      <c r="BN1891" s="1">
        <v>0</v>
      </c>
      <c r="BO1891" s="1">
        <v>0</v>
      </c>
      <c r="BP1891" s="1">
        <v>1</v>
      </c>
      <c r="BQ1891" s="1" t="s">
        <v>104</v>
      </c>
      <c r="BR1891" s="1">
        <v>1990</v>
      </c>
      <c r="BS1891" s="1">
        <v>25</v>
      </c>
      <c r="BX1891" s="1">
        <v>0</v>
      </c>
      <c r="BY1891" s="1" t="s">
        <v>104</v>
      </c>
      <c r="BZ1891" s="1" t="s">
        <v>104</v>
      </c>
      <c r="CA1891" s="1" t="s">
        <v>104</v>
      </c>
      <c r="CB1891" s="1" t="s">
        <v>104</v>
      </c>
      <c r="CC1891" s="1" t="s">
        <v>104</v>
      </c>
      <c r="CD1891" s="1" t="s">
        <v>104</v>
      </c>
      <c r="CE1891" s="1" t="s">
        <v>104</v>
      </c>
      <c r="CF1891" s="1" t="s">
        <v>104</v>
      </c>
      <c r="CG1891" s="1" t="s">
        <v>104</v>
      </c>
      <c r="CH1891" s="1" t="s">
        <v>104</v>
      </c>
      <c r="CJ1891" s="1">
        <v>0</v>
      </c>
      <c r="CK1891" s="1">
        <v>0</v>
      </c>
      <c r="CL1891" s="1">
        <v>0</v>
      </c>
      <c r="CM1891" s="1" t="s">
        <v>104</v>
      </c>
    </row>
    <row r="1892" spans="1:91" ht="14.25" customHeight="1" x14ac:dyDescent="0.3">
      <c r="A1892" s="1" t="s">
        <v>10140</v>
      </c>
      <c r="B1892" s="1" t="s">
        <v>216</v>
      </c>
      <c r="E1892" s="1" t="s">
        <v>10141</v>
      </c>
      <c r="F1892" s="1" t="s">
        <v>95</v>
      </c>
      <c r="G1892" s="1" t="s">
        <v>116</v>
      </c>
      <c r="H1892" s="1">
        <v>0</v>
      </c>
      <c r="I1892" s="1" t="s">
        <v>109</v>
      </c>
      <c r="L1892" s="1" t="s">
        <v>10142</v>
      </c>
      <c r="M1892" s="1" t="s">
        <v>5978</v>
      </c>
      <c r="N1892" s="1">
        <v>1</v>
      </c>
      <c r="O1892" s="1">
        <v>0</v>
      </c>
      <c r="P1892" s="1" t="s">
        <v>100</v>
      </c>
      <c r="Q1892" s="1" t="s">
        <v>184</v>
      </c>
      <c r="R1892" s="1" t="s">
        <v>10143</v>
      </c>
      <c r="S1892" s="1" t="s">
        <v>9569</v>
      </c>
      <c r="T1892" s="1">
        <v>1</v>
      </c>
      <c r="U1892" s="1">
        <v>1</v>
      </c>
      <c r="V1892" s="1">
        <v>0</v>
      </c>
      <c r="W1892" s="1">
        <v>0</v>
      </c>
      <c r="X1892" s="1">
        <v>0</v>
      </c>
      <c r="Y1892" s="1">
        <v>3</v>
      </c>
      <c r="Z1892" s="1">
        <v>3</v>
      </c>
      <c r="AA1892" s="1">
        <v>2</v>
      </c>
      <c r="AB1892" s="1" t="s">
        <v>104</v>
      </c>
      <c r="AC1892" s="1" t="s">
        <v>104</v>
      </c>
      <c r="AD1892" s="1" t="s">
        <v>104</v>
      </c>
      <c r="AE1892" s="1" t="s">
        <v>104</v>
      </c>
      <c r="AF1892" s="1" t="s">
        <v>104</v>
      </c>
      <c r="AG1892" s="1" t="s">
        <v>104</v>
      </c>
      <c r="AH1892" s="1">
        <v>3</v>
      </c>
      <c r="AI1892" s="1" t="s">
        <v>104</v>
      </c>
      <c r="AJ1892" s="1">
        <v>2</v>
      </c>
      <c r="AK1892" s="1" t="s">
        <v>104</v>
      </c>
      <c r="AL1892" s="1" t="s">
        <v>104</v>
      </c>
      <c r="AM1892" s="1" t="s">
        <v>104</v>
      </c>
      <c r="AO1892" s="1">
        <v>3</v>
      </c>
      <c r="AQ1892" s="1" t="s">
        <v>10144</v>
      </c>
      <c r="AR1892" s="1">
        <v>0</v>
      </c>
      <c r="AS1892" s="1">
        <v>0</v>
      </c>
      <c r="AT1892" s="1">
        <v>0</v>
      </c>
      <c r="AU1892" s="1">
        <v>0</v>
      </c>
      <c r="AV1892" s="1">
        <v>0</v>
      </c>
      <c r="AW1892" s="1">
        <v>0</v>
      </c>
      <c r="AX1892" s="1">
        <v>0</v>
      </c>
      <c r="AY1892" s="1">
        <v>0</v>
      </c>
      <c r="AZ1892" s="1">
        <v>0</v>
      </c>
      <c r="BA1892" s="1">
        <v>0</v>
      </c>
      <c r="BB1892" s="1">
        <v>0</v>
      </c>
      <c r="BC1892" s="1">
        <v>0</v>
      </c>
      <c r="BD1892" s="1">
        <v>0</v>
      </c>
      <c r="BE1892" s="1">
        <v>0</v>
      </c>
      <c r="BF1892" s="1">
        <v>0</v>
      </c>
      <c r="BG1892" s="1">
        <v>0</v>
      </c>
      <c r="BH1892" s="1">
        <v>0</v>
      </c>
      <c r="BI1892" s="1">
        <v>0</v>
      </c>
      <c r="BJ1892" s="1">
        <v>0</v>
      </c>
      <c r="BK1892" s="1">
        <v>0</v>
      </c>
      <c r="BL1892" s="1">
        <v>0</v>
      </c>
      <c r="BM1892" s="1">
        <v>0</v>
      </c>
      <c r="BN1892" s="1">
        <v>0</v>
      </c>
      <c r="BO1892" s="1">
        <v>0</v>
      </c>
      <c r="BP1892" s="1">
        <v>0</v>
      </c>
      <c r="BQ1892" s="1" t="s">
        <v>104</v>
      </c>
      <c r="BR1892" s="1">
        <v>1991</v>
      </c>
      <c r="BS1892" s="1" t="s">
        <v>104</v>
      </c>
      <c r="BX1892" s="1">
        <v>0</v>
      </c>
      <c r="BY1892" s="1" t="s">
        <v>104</v>
      </c>
      <c r="BZ1892" s="1" t="s">
        <v>104</v>
      </c>
      <c r="CA1892" s="1" t="s">
        <v>104</v>
      </c>
      <c r="CB1892" s="1" t="s">
        <v>104</v>
      </c>
      <c r="CC1892" s="1">
        <v>2</v>
      </c>
      <c r="CD1892" s="1" t="s">
        <v>104</v>
      </c>
      <c r="CE1892" s="1">
        <v>3</v>
      </c>
      <c r="CF1892" s="1" t="s">
        <v>104</v>
      </c>
      <c r="CG1892" s="1" t="s">
        <v>104</v>
      </c>
      <c r="CH1892" s="1" t="s">
        <v>104</v>
      </c>
      <c r="CJ1892" s="1">
        <v>0</v>
      </c>
      <c r="CK1892" s="1">
        <v>0</v>
      </c>
      <c r="CL1892" s="1">
        <v>0</v>
      </c>
      <c r="CM1892" s="1" t="s">
        <v>104</v>
      </c>
    </row>
    <row r="1893" spans="1:91" ht="14.25" customHeight="1" x14ac:dyDescent="0.3">
      <c r="A1893" s="1" t="s">
        <v>10145</v>
      </c>
      <c r="B1893" s="1" t="s">
        <v>216</v>
      </c>
      <c r="E1893" s="1" t="s">
        <v>10146</v>
      </c>
      <c r="F1893" s="1" t="s">
        <v>95</v>
      </c>
      <c r="G1893" s="1" t="s">
        <v>116</v>
      </c>
      <c r="H1893" s="1">
        <v>0</v>
      </c>
      <c r="I1893" s="1" t="s">
        <v>157</v>
      </c>
      <c r="L1893" s="1" t="s">
        <v>158</v>
      </c>
      <c r="M1893" s="1" t="s">
        <v>426</v>
      </c>
      <c r="N1893" s="1">
        <v>1</v>
      </c>
      <c r="O1893" s="1">
        <v>0</v>
      </c>
      <c r="R1893" s="1" t="s">
        <v>10147</v>
      </c>
      <c r="S1893" s="1" t="s">
        <v>9569</v>
      </c>
      <c r="T1893" s="1">
        <v>1</v>
      </c>
      <c r="U1893" s="1">
        <v>1</v>
      </c>
      <c r="V1893" s="1">
        <v>0</v>
      </c>
      <c r="W1893" s="1">
        <v>0</v>
      </c>
      <c r="X1893" s="1">
        <v>0</v>
      </c>
      <c r="Y1893" s="1">
        <v>5</v>
      </c>
      <c r="Z1893" s="1">
        <v>5</v>
      </c>
      <c r="AA1893" s="1" t="s">
        <v>104</v>
      </c>
      <c r="AB1893" s="1" t="s">
        <v>104</v>
      </c>
      <c r="AC1893" s="1" t="s">
        <v>104</v>
      </c>
      <c r="AD1893" s="1" t="s">
        <v>104</v>
      </c>
      <c r="AE1893" s="1" t="s">
        <v>104</v>
      </c>
      <c r="AF1893" s="1" t="s">
        <v>104</v>
      </c>
      <c r="AG1893" s="1" t="s">
        <v>104</v>
      </c>
      <c r="AH1893" s="1" t="s">
        <v>104</v>
      </c>
      <c r="AI1893" s="1" t="s">
        <v>104</v>
      </c>
      <c r="AJ1893" s="1" t="s">
        <v>104</v>
      </c>
      <c r="AK1893" s="1" t="s">
        <v>104</v>
      </c>
      <c r="AL1893" s="1">
        <v>5</v>
      </c>
      <c r="AM1893" s="1" t="s">
        <v>104</v>
      </c>
      <c r="AO1893" s="1">
        <v>5</v>
      </c>
      <c r="AQ1893" s="1" t="s">
        <v>10148</v>
      </c>
      <c r="AR1893" s="1">
        <v>0</v>
      </c>
      <c r="AS1893" s="1">
        <v>0</v>
      </c>
      <c r="AT1893" s="1">
        <v>0</v>
      </c>
      <c r="AU1893" s="1">
        <v>0</v>
      </c>
      <c r="AV1893" s="1">
        <v>0</v>
      </c>
      <c r="AW1893" s="1">
        <v>0</v>
      </c>
      <c r="AX1893" s="1">
        <v>0</v>
      </c>
      <c r="AY1893" s="1">
        <v>0</v>
      </c>
      <c r="AZ1893" s="1">
        <v>0</v>
      </c>
      <c r="BA1893" s="1">
        <v>0</v>
      </c>
      <c r="BB1893" s="1">
        <v>0</v>
      </c>
      <c r="BC1893" s="1">
        <v>0</v>
      </c>
      <c r="BD1893" s="1">
        <v>0</v>
      </c>
      <c r="BE1893" s="1">
        <v>0</v>
      </c>
      <c r="BF1893" s="1">
        <v>0</v>
      </c>
      <c r="BG1893" s="1">
        <v>0</v>
      </c>
      <c r="BH1893" s="1">
        <v>0</v>
      </c>
      <c r="BI1893" s="1">
        <v>0</v>
      </c>
      <c r="BJ1893" s="1">
        <v>0</v>
      </c>
      <c r="BK1893" s="1">
        <v>0</v>
      </c>
      <c r="BL1893" s="1">
        <v>0</v>
      </c>
      <c r="BM1893" s="1">
        <v>0</v>
      </c>
      <c r="BN1893" s="1">
        <v>0</v>
      </c>
      <c r="BO1893" s="1">
        <v>0</v>
      </c>
      <c r="BP1893" s="1">
        <v>0</v>
      </c>
      <c r="BQ1893" s="1" t="s">
        <v>104</v>
      </c>
      <c r="BR1893" s="1">
        <v>1992</v>
      </c>
      <c r="BS1893" s="1" t="s">
        <v>104</v>
      </c>
      <c r="BX1893" s="1">
        <v>0</v>
      </c>
      <c r="BY1893" s="1" t="s">
        <v>104</v>
      </c>
      <c r="BZ1893" s="1" t="s">
        <v>104</v>
      </c>
      <c r="CA1893" s="1" t="s">
        <v>104</v>
      </c>
      <c r="CB1893" s="1" t="s">
        <v>104</v>
      </c>
      <c r="CC1893" s="1" t="s">
        <v>104</v>
      </c>
      <c r="CD1893" s="1" t="s">
        <v>104</v>
      </c>
      <c r="CE1893" s="1">
        <v>5</v>
      </c>
      <c r="CF1893" s="1" t="s">
        <v>104</v>
      </c>
      <c r="CG1893" s="1" t="s">
        <v>104</v>
      </c>
      <c r="CH1893" s="1" t="s">
        <v>104</v>
      </c>
      <c r="CJ1893" s="1">
        <v>0</v>
      </c>
      <c r="CK1893" s="1">
        <v>0</v>
      </c>
      <c r="CL1893" s="1">
        <v>0</v>
      </c>
      <c r="CM1893" s="1" t="s">
        <v>104</v>
      </c>
    </row>
    <row r="1894" spans="1:91" ht="14.25" customHeight="1" x14ac:dyDescent="0.3">
      <c r="A1894" s="1" t="s">
        <v>10149</v>
      </c>
      <c r="B1894" s="1" t="s">
        <v>216</v>
      </c>
      <c r="E1894" s="1" t="s">
        <v>10150</v>
      </c>
      <c r="F1894" s="1" t="s">
        <v>95</v>
      </c>
      <c r="G1894" s="1" t="s">
        <v>116</v>
      </c>
      <c r="H1894" s="1">
        <v>0</v>
      </c>
      <c r="I1894" s="1" t="s">
        <v>109</v>
      </c>
      <c r="K1894" s="1" t="s">
        <v>10151</v>
      </c>
      <c r="M1894" s="1" t="s">
        <v>2313</v>
      </c>
      <c r="N1894" s="1">
        <v>0</v>
      </c>
      <c r="O1894" s="1">
        <v>0</v>
      </c>
      <c r="P1894" s="1" t="s">
        <v>183</v>
      </c>
      <c r="Q1894" s="1" t="s">
        <v>184</v>
      </c>
      <c r="R1894" s="1" t="s">
        <v>10152</v>
      </c>
      <c r="S1894" s="1" t="s">
        <v>9569</v>
      </c>
      <c r="T1894" s="1">
        <v>1</v>
      </c>
      <c r="U1894" s="1">
        <v>1</v>
      </c>
      <c r="V1894" s="1">
        <v>0</v>
      </c>
      <c r="W1894" s="1">
        <v>0</v>
      </c>
      <c r="X1894" s="1">
        <v>0</v>
      </c>
      <c r="Y1894" s="1">
        <v>4</v>
      </c>
      <c r="Z1894" s="1">
        <v>4</v>
      </c>
      <c r="AA1894" s="1">
        <v>5</v>
      </c>
      <c r="AB1894" s="1" t="s">
        <v>104</v>
      </c>
      <c r="AC1894" s="1" t="s">
        <v>104</v>
      </c>
      <c r="AD1894" s="1">
        <v>4</v>
      </c>
      <c r="AE1894" s="1" t="s">
        <v>104</v>
      </c>
      <c r="AF1894" s="1" t="s">
        <v>104</v>
      </c>
      <c r="AG1894" s="1" t="s">
        <v>104</v>
      </c>
      <c r="AH1894" s="1">
        <v>4</v>
      </c>
      <c r="AI1894" s="1" t="s">
        <v>104</v>
      </c>
      <c r="AJ1894" s="1">
        <v>5</v>
      </c>
      <c r="AK1894" s="1" t="s">
        <v>104</v>
      </c>
      <c r="AL1894" s="1" t="s">
        <v>104</v>
      </c>
      <c r="AM1894" s="1" t="s">
        <v>104</v>
      </c>
      <c r="AO1894" s="1">
        <v>4</v>
      </c>
      <c r="AQ1894" s="1" t="s">
        <v>10153</v>
      </c>
      <c r="AR1894" s="1">
        <v>0</v>
      </c>
      <c r="AS1894" s="1">
        <v>0</v>
      </c>
      <c r="AT1894" s="1">
        <v>0</v>
      </c>
      <c r="AU1894" s="1">
        <v>0</v>
      </c>
      <c r="AV1894" s="1">
        <v>0</v>
      </c>
      <c r="AW1894" s="1">
        <v>0</v>
      </c>
      <c r="AX1894" s="1">
        <v>0</v>
      </c>
      <c r="AY1894" s="1">
        <v>0</v>
      </c>
      <c r="AZ1894" s="1">
        <v>0</v>
      </c>
      <c r="BA1894" s="1">
        <v>0</v>
      </c>
      <c r="BB1894" s="1">
        <v>0</v>
      </c>
      <c r="BC1894" s="1">
        <v>0</v>
      </c>
      <c r="BD1894" s="1">
        <v>0</v>
      </c>
      <c r="BE1894" s="1">
        <v>0</v>
      </c>
      <c r="BF1894" s="1">
        <v>0</v>
      </c>
      <c r="BG1894" s="1">
        <v>0</v>
      </c>
      <c r="BH1894" s="1">
        <v>0</v>
      </c>
      <c r="BI1894" s="1">
        <v>0</v>
      </c>
      <c r="BJ1894" s="1">
        <v>0</v>
      </c>
      <c r="BK1894" s="1">
        <v>0</v>
      </c>
      <c r="BL1894" s="1">
        <v>0</v>
      </c>
      <c r="BM1894" s="1">
        <v>0</v>
      </c>
      <c r="BN1894" s="1">
        <v>0</v>
      </c>
      <c r="BO1894" s="1">
        <v>0</v>
      </c>
      <c r="BP1894" s="1">
        <v>0</v>
      </c>
      <c r="BQ1894" s="1" t="s">
        <v>104</v>
      </c>
      <c r="BR1894" s="1">
        <v>1993</v>
      </c>
      <c r="BS1894" s="1" t="s">
        <v>104</v>
      </c>
      <c r="BX1894" s="1">
        <v>0</v>
      </c>
      <c r="BY1894" s="1" t="s">
        <v>104</v>
      </c>
      <c r="BZ1894" s="1" t="s">
        <v>104</v>
      </c>
      <c r="CA1894" s="1">
        <v>4</v>
      </c>
      <c r="CB1894" s="1" t="s">
        <v>104</v>
      </c>
      <c r="CC1894" s="1" t="s">
        <v>104</v>
      </c>
      <c r="CD1894" s="1" t="s">
        <v>104</v>
      </c>
      <c r="CE1894" s="1" t="s">
        <v>104</v>
      </c>
      <c r="CF1894" s="1" t="s">
        <v>104</v>
      </c>
      <c r="CG1894" s="1" t="s">
        <v>104</v>
      </c>
      <c r="CH1894" s="1" t="s">
        <v>104</v>
      </c>
      <c r="CJ1894" s="1">
        <v>0</v>
      </c>
      <c r="CK1894" s="1">
        <v>0</v>
      </c>
      <c r="CL1894" s="1">
        <v>0</v>
      </c>
      <c r="CM1894" s="1" t="s">
        <v>104</v>
      </c>
    </row>
    <row r="1895" spans="1:91" ht="14.25" customHeight="1" x14ac:dyDescent="0.3">
      <c r="A1895" s="1" t="s">
        <v>10154</v>
      </c>
      <c r="B1895" s="1" t="s">
        <v>507</v>
      </c>
      <c r="C1895" s="1" t="s">
        <v>720</v>
      </c>
      <c r="D1895" s="1" t="s">
        <v>125</v>
      </c>
      <c r="E1895" s="1" t="s">
        <v>9722</v>
      </c>
      <c r="F1895" s="1" t="s">
        <v>95</v>
      </c>
      <c r="G1895" s="1" t="s">
        <v>116</v>
      </c>
      <c r="H1895" s="1">
        <v>0</v>
      </c>
      <c r="I1895" s="1" t="s">
        <v>117</v>
      </c>
      <c r="K1895" s="1" t="s">
        <v>10155</v>
      </c>
      <c r="M1895" s="1" t="s">
        <v>111</v>
      </c>
      <c r="N1895" s="1">
        <v>0</v>
      </c>
      <c r="O1895" s="1">
        <v>0</v>
      </c>
      <c r="P1895" s="1" t="s">
        <v>145</v>
      </c>
      <c r="Q1895" s="1" t="s">
        <v>101</v>
      </c>
      <c r="R1895" s="1" t="s">
        <v>10156</v>
      </c>
      <c r="S1895" s="1" t="s">
        <v>9569</v>
      </c>
      <c r="T1895" s="1">
        <v>1</v>
      </c>
      <c r="U1895" s="1">
        <v>1</v>
      </c>
      <c r="V1895" s="1">
        <v>0</v>
      </c>
      <c r="W1895" s="1">
        <v>0</v>
      </c>
      <c r="X1895" s="1">
        <v>0</v>
      </c>
      <c r="Y1895" s="1">
        <v>3</v>
      </c>
      <c r="Z1895" s="1">
        <v>3</v>
      </c>
      <c r="AA1895" s="1" t="s">
        <v>104</v>
      </c>
      <c r="AB1895" s="1" t="s">
        <v>104</v>
      </c>
      <c r="AC1895" s="1" t="s">
        <v>104</v>
      </c>
      <c r="AD1895" s="1">
        <v>3</v>
      </c>
      <c r="AE1895" s="1" t="s">
        <v>104</v>
      </c>
      <c r="AF1895" s="1" t="s">
        <v>104</v>
      </c>
      <c r="AG1895" s="1" t="s">
        <v>104</v>
      </c>
      <c r="AH1895" s="1" t="s">
        <v>104</v>
      </c>
      <c r="AI1895" s="1" t="s">
        <v>104</v>
      </c>
      <c r="AJ1895" s="1" t="s">
        <v>104</v>
      </c>
      <c r="AK1895" s="1" t="s">
        <v>104</v>
      </c>
      <c r="AL1895" s="1" t="s">
        <v>104</v>
      </c>
      <c r="AM1895" s="1" t="s">
        <v>104</v>
      </c>
      <c r="AO1895" s="1">
        <v>3</v>
      </c>
      <c r="AQ1895" s="1" t="s">
        <v>10157</v>
      </c>
      <c r="AR1895" s="1">
        <v>0</v>
      </c>
      <c r="AS1895" s="1">
        <v>0</v>
      </c>
      <c r="AT1895" s="1">
        <v>0</v>
      </c>
      <c r="AU1895" s="1">
        <v>0</v>
      </c>
      <c r="AV1895" s="1">
        <v>0</v>
      </c>
      <c r="AW1895" s="1">
        <v>0</v>
      </c>
      <c r="AX1895" s="1">
        <v>0</v>
      </c>
      <c r="AY1895" s="1">
        <v>0</v>
      </c>
      <c r="AZ1895" s="1">
        <v>0</v>
      </c>
      <c r="BA1895" s="1">
        <v>0</v>
      </c>
      <c r="BB1895" s="1">
        <v>0</v>
      </c>
      <c r="BC1895" s="1">
        <v>0</v>
      </c>
      <c r="BD1895" s="1">
        <v>0</v>
      </c>
      <c r="BE1895" s="1">
        <v>0</v>
      </c>
      <c r="BF1895" s="1">
        <v>0</v>
      </c>
      <c r="BG1895" s="1">
        <v>0</v>
      </c>
      <c r="BH1895" s="1">
        <v>0</v>
      </c>
      <c r="BI1895" s="1">
        <v>0</v>
      </c>
      <c r="BJ1895" s="1">
        <v>0</v>
      </c>
      <c r="BK1895" s="1">
        <v>1</v>
      </c>
      <c r="BL1895" s="1">
        <v>0</v>
      </c>
      <c r="BM1895" s="1">
        <v>0</v>
      </c>
      <c r="BN1895" s="1">
        <v>0</v>
      </c>
      <c r="BO1895" s="1">
        <v>0</v>
      </c>
      <c r="BP1895" s="1">
        <v>0</v>
      </c>
      <c r="BQ1895" s="1" t="s">
        <v>104</v>
      </c>
      <c r="BR1895" s="1">
        <v>1994</v>
      </c>
      <c r="BS1895" s="1" t="s">
        <v>104</v>
      </c>
      <c r="BX1895" s="1">
        <v>0</v>
      </c>
      <c r="BY1895" s="1" t="s">
        <v>104</v>
      </c>
      <c r="BZ1895" s="1" t="s">
        <v>104</v>
      </c>
      <c r="CA1895" s="1">
        <v>3</v>
      </c>
      <c r="CB1895" s="1" t="s">
        <v>104</v>
      </c>
      <c r="CC1895" s="1" t="s">
        <v>104</v>
      </c>
      <c r="CD1895" s="1" t="s">
        <v>104</v>
      </c>
      <c r="CE1895" s="1" t="s">
        <v>104</v>
      </c>
      <c r="CF1895" s="1" t="s">
        <v>104</v>
      </c>
      <c r="CG1895" s="1" t="s">
        <v>104</v>
      </c>
      <c r="CH1895" s="1" t="s">
        <v>104</v>
      </c>
      <c r="CJ1895" s="1">
        <v>0</v>
      </c>
      <c r="CK1895" s="1">
        <v>0</v>
      </c>
      <c r="CL1895" s="1">
        <v>0</v>
      </c>
      <c r="CM1895" s="1" t="s">
        <v>104</v>
      </c>
    </row>
    <row r="1896" spans="1:91" ht="14.25" customHeight="1" x14ac:dyDescent="0.3">
      <c r="A1896" s="1" t="s">
        <v>10158</v>
      </c>
      <c r="B1896" s="1" t="s">
        <v>162</v>
      </c>
      <c r="D1896" s="1" t="s">
        <v>67</v>
      </c>
      <c r="E1896" s="1" t="s">
        <v>10159</v>
      </c>
      <c r="F1896" s="1" t="s">
        <v>1502</v>
      </c>
      <c r="G1896" s="1" t="s">
        <v>237</v>
      </c>
      <c r="H1896" s="1">
        <v>0</v>
      </c>
      <c r="I1896" s="1" t="s">
        <v>157</v>
      </c>
      <c r="L1896" s="1" t="s">
        <v>158</v>
      </c>
      <c r="M1896" s="1" t="s">
        <v>10160</v>
      </c>
      <c r="N1896" s="1">
        <v>0</v>
      </c>
      <c r="O1896" s="1">
        <v>0</v>
      </c>
      <c r="R1896" s="1" t="s">
        <v>10161</v>
      </c>
      <c r="S1896" s="1" t="s">
        <v>9569</v>
      </c>
      <c r="T1896" s="1">
        <v>1</v>
      </c>
      <c r="U1896" s="1">
        <v>0</v>
      </c>
      <c r="V1896" s="1">
        <v>0</v>
      </c>
      <c r="W1896" s="1">
        <v>0</v>
      </c>
      <c r="X1896" s="1">
        <v>0</v>
      </c>
      <c r="Y1896" s="1">
        <v>1</v>
      </c>
      <c r="Z1896" s="1">
        <v>1</v>
      </c>
      <c r="AA1896" s="1" t="s">
        <v>104</v>
      </c>
      <c r="AB1896" s="1">
        <v>1</v>
      </c>
      <c r="AC1896" s="1" t="s">
        <v>104</v>
      </c>
      <c r="AD1896" s="1" t="s">
        <v>104</v>
      </c>
      <c r="AE1896" s="1" t="s">
        <v>104</v>
      </c>
      <c r="AF1896" s="1" t="s">
        <v>104</v>
      </c>
      <c r="AG1896" s="1" t="s">
        <v>104</v>
      </c>
      <c r="AH1896" s="1">
        <v>1</v>
      </c>
      <c r="AI1896" s="1" t="s">
        <v>104</v>
      </c>
      <c r="AJ1896" s="1" t="s">
        <v>104</v>
      </c>
      <c r="AK1896" s="1" t="s">
        <v>104</v>
      </c>
      <c r="AL1896" s="1">
        <v>1</v>
      </c>
      <c r="AM1896" s="1" t="s">
        <v>104</v>
      </c>
      <c r="AO1896" s="1">
        <v>1</v>
      </c>
      <c r="AQ1896" s="1" t="s">
        <v>10162</v>
      </c>
      <c r="AR1896" s="1">
        <v>0</v>
      </c>
      <c r="AS1896" s="1">
        <v>0</v>
      </c>
      <c r="AT1896" s="1">
        <v>0</v>
      </c>
      <c r="AU1896" s="1">
        <v>0</v>
      </c>
      <c r="AV1896" s="1">
        <v>0</v>
      </c>
      <c r="AW1896" s="1">
        <v>0</v>
      </c>
      <c r="AX1896" s="1">
        <v>0</v>
      </c>
      <c r="AY1896" s="1">
        <v>0</v>
      </c>
      <c r="AZ1896" s="1">
        <v>0</v>
      </c>
      <c r="BA1896" s="1">
        <v>0</v>
      </c>
      <c r="BB1896" s="1">
        <v>0</v>
      </c>
      <c r="BC1896" s="1">
        <v>0</v>
      </c>
      <c r="BD1896" s="1">
        <v>0</v>
      </c>
      <c r="BE1896" s="1">
        <v>0</v>
      </c>
      <c r="BF1896" s="1">
        <v>0</v>
      </c>
      <c r="BG1896" s="1">
        <v>0</v>
      </c>
      <c r="BH1896" s="1">
        <v>0</v>
      </c>
      <c r="BI1896" s="1">
        <v>0</v>
      </c>
      <c r="BJ1896" s="1">
        <v>0</v>
      </c>
      <c r="BK1896" s="1">
        <v>0</v>
      </c>
      <c r="BL1896" s="1">
        <v>0</v>
      </c>
      <c r="BM1896" s="1">
        <v>0</v>
      </c>
      <c r="BN1896" s="1">
        <v>0</v>
      </c>
      <c r="BO1896" s="1">
        <v>0</v>
      </c>
      <c r="BP1896" s="1">
        <v>1</v>
      </c>
      <c r="BQ1896" s="1" t="s">
        <v>104</v>
      </c>
      <c r="BR1896" s="1">
        <v>1995</v>
      </c>
      <c r="BS1896" s="1" t="s">
        <v>104</v>
      </c>
      <c r="BX1896" s="1">
        <v>0</v>
      </c>
      <c r="BY1896" s="1">
        <v>1</v>
      </c>
      <c r="BZ1896" s="1">
        <v>1</v>
      </c>
      <c r="CA1896" s="1" t="s">
        <v>104</v>
      </c>
      <c r="CB1896" s="1" t="s">
        <v>104</v>
      </c>
      <c r="CC1896" s="1" t="s">
        <v>104</v>
      </c>
      <c r="CD1896" s="1" t="s">
        <v>104</v>
      </c>
      <c r="CE1896" s="1" t="s">
        <v>104</v>
      </c>
      <c r="CF1896" s="1" t="s">
        <v>104</v>
      </c>
      <c r="CG1896" s="1" t="s">
        <v>104</v>
      </c>
      <c r="CH1896" s="1">
        <v>1</v>
      </c>
      <c r="CJ1896" s="1">
        <v>0</v>
      </c>
      <c r="CK1896" s="1">
        <v>0</v>
      </c>
      <c r="CL1896" s="1">
        <v>0</v>
      </c>
      <c r="CM1896" s="1" t="s">
        <v>104</v>
      </c>
    </row>
    <row r="1897" spans="1:91" ht="14.25" customHeight="1" x14ac:dyDescent="0.3">
      <c r="A1897" s="1" t="s">
        <v>10163</v>
      </c>
      <c r="B1897" s="1" t="s">
        <v>92</v>
      </c>
      <c r="C1897" s="1" t="s">
        <v>903</v>
      </c>
      <c r="E1897" s="1" t="s">
        <v>10164</v>
      </c>
      <c r="F1897" s="1" t="s">
        <v>95</v>
      </c>
      <c r="G1897" s="1" t="s">
        <v>3722</v>
      </c>
      <c r="H1897" s="1">
        <v>0</v>
      </c>
      <c r="I1897" s="1" t="s">
        <v>705</v>
      </c>
      <c r="K1897" s="1" t="s">
        <v>10165</v>
      </c>
      <c r="M1897" s="1" t="s">
        <v>10166</v>
      </c>
      <c r="N1897" s="1">
        <v>0</v>
      </c>
      <c r="O1897" s="1">
        <v>0</v>
      </c>
      <c r="P1897" s="1" t="s">
        <v>100</v>
      </c>
      <c r="Q1897" s="1" t="s">
        <v>184</v>
      </c>
      <c r="R1897" s="1" t="s">
        <v>10167</v>
      </c>
      <c r="S1897" s="1" t="s">
        <v>9569</v>
      </c>
      <c r="T1897" s="1">
        <v>1</v>
      </c>
      <c r="U1897" s="1">
        <v>1</v>
      </c>
      <c r="V1897" s="1">
        <v>1</v>
      </c>
      <c r="W1897" s="1">
        <v>0</v>
      </c>
      <c r="X1897" s="1">
        <v>1</v>
      </c>
      <c r="Y1897" s="1">
        <v>2</v>
      </c>
      <c r="Z1897" s="1">
        <v>2</v>
      </c>
      <c r="AA1897" s="1" t="s">
        <v>104</v>
      </c>
      <c r="AB1897" s="1">
        <v>2</v>
      </c>
      <c r="AC1897" s="1" t="s">
        <v>104</v>
      </c>
      <c r="AD1897" s="1">
        <v>2</v>
      </c>
      <c r="AE1897" s="1" t="s">
        <v>104</v>
      </c>
      <c r="AF1897" s="1" t="s">
        <v>104</v>
      </c>
      <c r="AG1897" s="1">
        <v>2</v>
      </c>
      <c r="AH1897" s="1">
        <v>2</v>
      </c>
      <c r="AI1897" s="1" t="s">
        <v>104</v>
      </c>
      <c r="AJ1897" s="1" t="s">
        <v>104</v>
      </c>
      <c r="AK1897" s="1" t="s">
        <v>104</v>
      </c>
      <c r="AL1897" s="1" t="s">
        <v>104</v>
      </c>
      <c r="AM1897" s="1" t="s">
        <v>104</v>
      </c>
      <c r="AO1897" s="1">
        <v>2</v>
      </c>
      <c r="AQ1897" s="1" t="s">
        <v>10168</v>
      </c>
      <c r="AR1897" s="1">
        <v>0</v>
      </c>
      <c r="AS1897" s="1">
        <v>0</v>
      </c>
      <c r="AT1897" s="1">
        <v>0</v>
      </c>
      <c r="AU1897" s="1">
        <v>0</v>
      </c>
      <c r="AV1897" s="1">
        <v>0</v>
      </c>
      <c r="AW1897" s="1">
        <v>0</v>
      </c>
      <c r="AX1897" s="1">
        <v>0</v>
      </c>
      <c r="AY1897" s="1">
        <v>0</v>
      </c>
      <c r="AZ1897" s="1">
        <v>0</v>
      </c>
      <c r="BA1897" s="1">
        <v>0</v>
      </c>
      <c r="BB1897" s="1">
        <v>0</v>
      </c>
      <c r="BC1897" s="1">
        <v>0</v>
      </c>
      <c r="BD1897" s="1">
        <v>0</v>
      </c>
      <c r="BE1897" s="1">
        <v>0</v>
      </c>
      <c r="BF1897" s="1">
        <v>0</v>
      </c>
      <c r="BG1897" s="1">
        <v>0</v>
      </c>
      <c r="BH1897" s="1">
        <v>0</v>
      </c>
      <c r="BI1897" s="1">
        <v>0</v>
      </c>
      <c r="BJ1897" s="1">
        <v>0</v>
      </c>
      <c r="BK1897" s="1">
        <v>0</v>
      </c>
      <c r="BL1897" s="1">
        <v>0</v>
      </c>
      <c r="BM1897" s="1">
        <v>0</v>
      </c>
      <c r="BN1897" s="1">
        <v>0</v>
      </c>
      <c r="BO1897" s="1">
        <v>0</v>
      </c>
      <c r="BP1897" s="1">
        <v>0</v>
      </c>
      <c r="BQ1897" s="1" t="s">
        <v>104</v>
      </c>
      <c r="BR1897" s="1">
        <v>1996</v>
      </c>
      <c r="BS1897" s="1" t="s">
        <v>104</v>
      </c>
      <c r="BX1897" s="1">
        <v>0</v>
      </c>
      <c r="BY1897" s="1" t="s">
        <v>104</v>
      </c>
      <c r="BZ1897" s="1" t="s">
        <v>104</v>
      </c>
      <c r="CA1897" s="1" t="s">
        <v>104</v>
      </c>
      <c r="CB1897" s="1" t="s">
        <v>104</v>
      </c>
      <c r="CC1897" s="1" t="s">
        <v>104</v>
      </c>
      <c r="CD1897" s="1" t="s">
        <v>104</v>
      </c>
      <c r="CE1897" s="1" t="s">
        <v>104</v>
      </c>
      <c r="CF1897" s="1" t="s">
        <v>104</v>
      </c>
      <c r="CG1897" s="1" t="s">
        <v>104</v>
      </c>
      <c r="CH1897" s="1">
        <v>2</v>
      </c>
      <c r="CJ1897" s="1">
        <v>0</v>
      </c>
      <c r="CK1897" s="1">
        <v>0</v>
      </c>
      <c r="CL1897" s="1">
        <v>0</v>
      </c>
      <c r="CM1897" s="1">
        <v>2</v>
      </c>
    </row>
    <row r="1898" spans="1:91" ht="14.25" customHeight="1" x14ac:dyDescent="0.3">
      <c r="A1898" s="1" t="s">
        <v>10169</v>
      </c>
      <c r="B1898" s="1" t="s">
        <v>92</v>
      </c>
      <c r="C1898" s="1" t="s">
        <v>903</v>
      </c>
      <c r="E1898" s="1" t="s">
        <v>10170</v>
      </c>
      <c r="F1898" s="1" t="s">
        <v>95</v>
      </c>
      <c r="G1898" s="1" t="s">
        <v>3722</v>
      </c>
      <c r="H1898" s="1">
        <v>0</v>
      </c>
      <c r="I1898" s="1" t="s">
        <v>705</v>
      </c>
      <c r="K1898" s="1" t="s">
        <v>10165</v>
      </c>
      <c r="M1898" s="1" t="s">
        <v>10166</v>
      </c>
      <c r="N1898" s="1">
        <v>0</v>
      </c>
      <c r="O1898" s="1">
        <v>0</v>
      </c>
      <c r="P1898" s="1" t="s">
        <v>100</v>
      </c>
      <c r="Q1898" s="1" t="s">
        <v>184</v>
      </c>
      <c r="R1898" s="1" t="s">
        <v>10171</v>
      </c>
      <c r="S1898" s="1" t="s">
        <v>9569</v>
      </c>
      <c r="T1898" s="1">
        <v>1</v>
      </c>
      <c r="U1898" s="1">
        <v>1</v>
      </c>
      <c r="V1898" s="1">
        <v>1</v>
      </c>
      <c r="W1898" s="1">
        <v>0</v>
      </c>
      <c r="X1898" s="1">
        <v>1</v>
      </c>
      <c r="Y1898" s="1">
        <v>6</v>
      </c>
      <c r="Z1898" s="1">
        <v>6</v>
      </c>
      <c r="AA1898" s="1" t="s">
        <v>104</v>
      </c>
      <c r="AB1898" s="1">
        <v>6</v>
      </c>
      <c r="AC1898" s="1" t="s">
        <v>104</v>
      </c>
      <c r="AD1898" s="1">
        <v>6</v>
      </c>
      <c r="AE1898" s="1" t="s">
        <v>104</v>
      </c>
      <c r="AF1898" s="1" t="s">
        <v>104</v>
      </c>
      <c r="AG1898" s="1">
        <v>6</v>
      </c>
      <c r="AH1898" s="1">
        <v>6</v>
      </c>
      <c r="AI1898" s="1" t="s">
        <v>104</v>
      </c>
      <c r="AJ1898" s="1" t="s">
        <v>104</v>
      </c>
      <c r="AK1898" s="1" t="s">
        <v>104</v>
      </c>
      <c r="AL1898" s="1" t="s">
        <v>104</v>
      </c>
      <c r="AM1898" s="1" t="s">
        <v>104</v>
      </c>
      <c r="AO1898" s="1">
        <v>6</v>
      </c>
      <c r="AP1898" s="1" t="s">
        <v>10172</v>
      </c>
      <c r="AQ1898" s="1" t="s">
        <v>10173</v>
      </c>
      <c r="AR1898" s="1">
        <v>0</v>
      </c>
      <c r="AS1898" s="1">
        <v>0</v>
      </c>
      <c r="AT1898" s="1">
        <v>0</v>
      </c>
      <c r="AU1898" s="1">
        <v>0</v>
      </c>
      <c r="AV1898" s="1">
        <v>0</v>
      </c>
      <c r="AW1898" s="1">
        <v>0</v>
      </c>
      <c r="AX1898" s="1">
        <v>0</v>
      </c>
      <c r="AY1898" s="1">
        <v>0</v>
      </c>
      <c r="AZ1898" s="1">
        <v>0</v>
      </c>
      <c r="BA1898" s="1">
        <v>0</v>
      </c>
      <c r="BB1898" s="1">
        <v>0</v>
      </c>
      <c r="BC1898" s="1">
        <v>0</v>
      </c>
      <c r="BD1898" s="1">
        <v>0</v>
      </c>
      <c r="BE1898" s="1">
        <v>0</v>
      </c>
      <c r="BF1898" s="1">
        <v>0</v>
      </c>
      <c r="BG1898" s="1">
        <v>0</v>
      </c>
      <c r="BH1898" s="1">
        <v>0</v>
      </c>
      <c r="BI1898" s="1">
        <v>0</v>
      </c>
      <c r="BJ1898" s="1">
        <v>0</v>
      </c>
      <c r="BK1898" s="1">
        <v>0</v>
      </c>
      <c r="BL1898" s="1">
        <v>0</v>
      </c>
      <c r="BM1898" s="1">
        <v>0</v>
      </c>
      <c r="BN1898" s="1">
        <v>0</v>
      </c>
      <c r="BO1898" s="1">
        <v>0</v>
      </c>
      <c r="BP1898" s="1">
        <v>0</v>
      </c>
      <c r="BQ1898" s="1" t="s">
        <v>104</v>
      </c>
      <c r="BR1898" s="1">
        <v>1997</v>
      </c>
      <c r="BS1898" s="1" t="s">
        <v>104</v>
      </c>
      <c r="BX1898" s="1">
        <v>0</v>
      </c>
      <c r="BY1898" s="1" t="s">
        <v>104</v>
      </c>
      <c r="BZ1898" s="1" t="s">
        <v>104</v>
      </c>
      <c r="CA1898" s="1" t="s">
        <v>104</v>
      </c>
      <c r="CB1898" s="1" t="s">
        <v>104</v>
      </c>
      <c r="CC1898" s="1" t="s">
        <v>104</v>
      </c>
      <c r="CD1898" s="1" t="s">
        <v>104</v>
      </c>
      <c r="CE1898" s="1" t="s">
        <v>104</v>
      </c>
      <c r="CF1898" s="1" t="s">
        <v>104</v>
      </c>
      <c r="CG1898" s="1" t="s">
        <v>104</v>
      </c>
      <c r="CH1898" s="1">
        <v>6</v>
      </c>
      <c r="CJ1898" s="1">
        <v>0</v>
      </c>
      <c r="CK1898" s="1">
        <v>0</v>
      </c>
      <c r="CL1898" s="1">
        <v>0</v>
      </c>
      <c r="CM1898" s="1">
        <v>6</v>
      </c>
    </row>
    <row r="1899" spans="1:91" ht="14.25" customHeight="1" x14ac:dyDescent="0.3">
      <c r="A1899" s="1" t="s">
        <v>10174</v>
      </c>
      <c r="B1899" s="1" t="s">
        <v>92</v>
      </c>
      <c r="C1899" s="1" t="s">
        <v>903</v>
      </c>
      <c r="E1899" s="1" t="s">
        <v>10175</v>
      </c>
      <c r="F1899" s="1" t="s">
        <v>95</v>
      </c>
      <c r="G1899" s="1" t="s">
        <v>3722</v>
      </c>
      <c r="H1899" s="1">
        <v>0</v>
      </c>
      <c r="I1899" s="1" t="s">
        <v>705</v>
      </c>
      <c r="K1899" s="1" t="s">
        <v>10165</v>
      </c>
      <c r="M1899" s="1" t="s">
        <v>10166</v>
      </c>
      <c r="N1899" s="1">
        <v>0</v>
      </c>
      <c r="O1899" s="1">
        <v>0</v>
      </c>
      <c r="P1899" s="1" t="s">
        <v>100</v>
      </c>
      <c r="Q1899" s="1" t="s">
        <v>184</v>
      </c>
      <c r="R1899" s="1" t="s">
        <v>10176</v>
      </c>
      <c r="S1899" s="1" t="s">
        <v>9569</v>
      </c>
      <c r="T1899" s="1">
        <v>1</v>
      </c>
      <c r="U1899" s="1">
        <v>1</v>
      </c>
      <c r="V1899" s="1">
        <v>1</v>
      </c>
      <c r="W1899" s="1">
        <v>0</v>
      </c>
      <c r="X1899" s="1">
        <v>1</v>
      </c>
      <c r="Y1899" s="1">
        <v>5</v>
      </c>
      <c r="Z1899" s="1">
        <v>5</v>
      </c>
      <c r="AA1899" s="1" t="s">
        <v>104</v>
      </c>
      <c r="AB1899" s="1">
        <v>5</v>
      </c>
      <c r="AC1899" s="1" t="s">
        <v>104</v>
      </c>
      <c r="AD1899" s="1">
        <v>5</v>
      </c>
      <c r="AE1899" s="1" t="s">
        <v>104</v>
      </c>
      <c r="AF1899" s="1" t="s">
        <v>104</v>
      </c>
      <c r="AG1899" s="1">
        <v>5</v>
      </c>
      <c r="AH1899" s="1">
        <v>5</v>
      </c>
      <c r="AI1899" s="1" t="s">
        <v>104</v>
      </c>
      <c r="AJ1899" s="1" t="s">
        <v>104</v>
      </c>
      <c r="AK1899" s="1" t="s">
        <v>104</v>
      </c>
      <c r="AL1899" s="1" t="s">
        <v>104</v>
      </c>
      <c r="AM1899" s="1" t="s">
        <v>104</v>
      </c>
      <c r="AO1899" s="1">
        <v>5</v>
      </c>
      <c r="AQ1899" s="1" t="s">
        <v>10177</v>
      </c>
      <c r="AR1899" s="1">
        <v>0</v>
      </c>
      <c r="AS1899" s="1">
        <v>0</v>
      </c>
      <c r="AT1899" s="1">
        <v>0</v>
      </c>
      <c r="AU1899" s="1">
        <v>0</v>
      </c>
      <c r="AV1899" s="1">
        <v>0</v>
      </c>
      <c r="AW1899" s="1">
        <v>0</v>
      </c>
      <c r="AX1899" s="1">
        <v>0</v>
      </c>
      <c r="AY1899" s="1">
        <v>0</v>
      </c>
      <c r="AZ1899" s="1">
        <v>0</v>
      </c>
      <c r="BA1899" s="1">
        <v>0</v>
      </c>
      <c r="BB1899" s="1">
        <v>0</v>
      </c>
      <c r="BC1899" s="1">
        <v>0</v>
      </c>
      <c r="BD1899" s="1">
        <v>0</v>
      </c>
      <c r="BE1899" s="1">
        <v>0</v>
      </c>
      <c r="BF1899" s="1">
        <v>0</v>
      </c>
      <c r="BG1899" s="1">
        <v>0</v>
      </c>
      <c r="BH1899" s="1">
        <v>0</v>
      </c>
      <c r="BI1899" s="1">
        <v>0</v>
      </c>
      <c r="BJ1899" s="1">
        <v>0</v>
      </c>
      <c r="BK1899" s="1">
        <v>0</v>
      </c>
      <c r="BL1899" s="1">
        <v>0</v>
      </c>
      <c r="BM1899" s="1">
        <v>0</v>
      </c>
      <c r="BN1899" s="1">
        <v>0</v>
      </c>
      <c r="BO1899" s="1">
        <v>0</v>
      </c>
      <c r="BP1899" s="1">
        <v>0</v>
      </c>
      <c r="BQ1899" s="1" t="s">
        <v>104</v>
      </c>
      <c r="BR1899" s="1">
        <v>1998</v>
      </c>
      <c r="BS1899" s="1" t="s">
        <v>104</v>
      </c>
      <c r="BX1899" s="1">
        <v>0</v>
      </c>
      <c r="BY1899" s="1" t="s">
        <v>104</v>
      </c>
      <c r="BZ1899" s="1" t="s">
        <v>104</v>
      </c>
      <c r="CA1899" s="1" t="s">
        <v>104</v>
      </c>
      <c r="CB1899" s="1" t="s">
        <v>104</v>
      </c>
      <c r="CC1899" s="1" t="s">
        <v>104</v>
      </c>
      <c r="CD1899" s="1" t="s">
        <v>104</v>
      </c>
      <c r="CE1899" s="1" t="s">
        <v>104</v>
      </c>
      <c r="CF1899" s="1" t="s">
        <v>104</v>
      </c>
      <c r="CG1899" s="1" t="s">
        <v>104</v>
      </c>
      <c r="CH1899" s="1">
        <v>5</v>
      </c>
      <c r="CJ1899" s="1">
        <v>0</v>
      </c>
      <c r="CK1899" s="1">
        <v>0</v>
      </c>
      <c r="CL1899" s="1">
        <v>0</v>
      </c>
      <c r="CM1899" s="1">
        <v>5</v>
      </c>
    </row>
    <row r="1900" spans="1:91" ht="14.25" customHeight="1" x14ac:dyDescent="0.3">
      <c r="A1900" s="1" t="s">
        <v>10178</v>
      </c>
      <c r="B1900" s="1" t="s">
        <v>137</v>
      </c>
      <c r="E1900" s="1" t="s">
        <v>6906</v>
      </c>
      <c r="F1900" s="1" t="s">
        <v>95</v>
      </c>
      <c r="G1900" s="1" t="s">
        <v>237</v>
      </c>
      <c r="H1900" s="1">
        <v>0</v>
      </c>
      <c r="I1900" s="1" t="s">
        <v>157</v>
      </c>
      <c r="L1900" s="1" t="s">
        <v>158</v>
      </c>
      <c r="M1900" s="1" t="s">
        <v>4641</v>
      </c>
      <c r="N1900" s="1">
        <v>1</v>
      </c>
      <c r="O1900" s="1">
        <v>0</v>
      </c>
      <c r="R1900" s="1" t="s">
        <v>10179</v>
      </c>
      <c r="S1900" s="1" t="s">
        <v>9569</v>
      </c>
      <c r="T1900" s="1">
        <v>1</v>
      </c>
      <c r="U1900" s="1">
        <v>0</v>
      </c>
      <c r="V1900" s="1">
        <v>0</v>
      </c>
      <c r="W1900" s="1">
        <v>0</v>
      </c>
      <c r="X1900" s="1">
        <v>0</v>
      </c>
      <c r="Y1900" s="1" t="s">
        <v>104</v>
      </c>
      <c r="Z1900" s="1" t="s">
        <v>104</v>
      </c>
      <c r="AA1900" s="1" t="s">
        <v>104</v>
      </c>
      <c r="AB1900" s="1" t="s">
        <v>104</v>
      </c>
      <c r="AC1900" s="1" t="s">
        <v>104</v>
      </c>
      <c r="AD1900" s="1" t="s">
        <v>104</v>
      </c>
      <c r="AE1900" s="1">
        <v>2</v>
      </c>
      <c r="AF1900" s="1" t="s">
        <v>104</v>
      </c>
      <c r="AG1900" s="1" t="s">
        <v>104</v>
      </c>
      <c r="AH1900" s="1" t="s">
        <v>104</v>
      </c>
      <c r="AI1900" s="1" t="s">
        <v>104</v>
      </c>
      <c r="AJ1900" s="1" t="s">
        <v>104</v>
      </c>
      <c r="AK1900" s="1">
        <v>2</v>
      </c>
      <c r="AL1900" s="1" t="s">
        <v>104</v>
      </c>
      <c r="AM1900" s="1" t="s">
        <v>104</v>
      </c>
      <c r="AO1900" s="1">
        <v>2</v>
      </c>
      <c r="AQ1900" s="1" t="s">
        <v>10180</v>
      </c>
      <c r="AR1900" s="1">
        <v>0</v>
      </c>
      <c r="AS1900" s="1">
        <v>0</v>
      </c>
      <c r="AT1900" s="1">
        <v>0</v>
      </c>
      <c r="AU1900" s="1">
        <v>0</v>
      </c>
      <c r="AV1900" s="1">
        <v>0</v>
      </c>
      <c r="AW1900" s="1">
        <v>0</v>
      </c>
      <c r="AX1900" s="1">
        <v>0</v>
      </c>
      <c r="AY1900" s="1">
        <v>0</v>
      </c>
      <c r="AZ1900" s="1">
        <v>0</v>
      </c>
      <c r="BA1900" s="1">
        <v>0</v>
      </c>
      <c r="BB1900" s="1">
        <v>0</v>
      </c>
      <c r="BC1900" s="1">
        <v>0</v>
      </c>
      <c r="BD1900" s="1">
        <v>0</v>
      </c>
      <c r="BE1900" s="1">
        <v>0</v>
      </c>
      <c r="BF1900" s="1">
        <v>0</v>
      </c>
      <c r="BG1900" s="1">
        <v>0</v>
      </c>
      <c r="BH1900" s="1">
        <v>0</v>
      </c>
      <c r="BI1900" s="1">
        <v>0</v>
      </c>
      <c r="BJ1900" s="1">
        <v>0</v>
      </c>
      <c r="BK1900" s="1">
        <v>0</v>
      </c>
      <c r="BL1900" s="1">
        <v>0</v>
      </c>
      <c r="BM1900" s="1">
        <v>0</v>
      </c>
      <c r="BN1900" s="1">
        <v>0</v>
      </c>
      <c r="BO1900" s="1">
        <v>0</v>
      </c>
      <c r="BP1900" s="1">
        <v>0</v>
      </c>
      <c r="BQ1900" s="1" t="s">
        <v>104</v>
      </c>
      <c r="BR1900" s="1">
        <v>1999</v>
      </c>
      <c r="BS1900" s="1" t="s">
        <v>104</v>
      </c>
      <c r="BX1900" s="1">
        <v>0</v>
      </c>
      <c r="BY1900" s="1" t="s">
        <v>104</v>
      </c>
      <c r="BZ1900" s="1" t="s">
        <v>104</v>
      </c>
      <c r="CA1900" s="1" t="s">
        <v>104</v>
      </c>
      <c r="CB1900" s="1" t="s">
        <v>104</v>
      </c>
      <c r="CC1900" s="1" t="s">
        <v>104</v>
      </c>
      <c r="CD1900" s="1" t="s">
        <v>104</v>
      </c>
      <c r="CE1900" s="1" t="s">
        <v>104</v>
      </c>
      <c r="CF1900" s="1" t="s">
        <v>104</v>
      </c>
      <c r="CG1900" s="1" t="s">
        <v>104</v>
      </c>
      <c r="CH1900" s="1" t="s">
        <v>104</v>
      </c>
      <c r="CJ1900" s="1">
        <v>0</v>
      </c>
      <c r="CK1900" s="1">
        <v>0</v>
      </c>
      <c r="CL1900" s="1">
        <v>0</v>
      </c>
      <c r="CM1900" s="1" t="s">
        <v>104</v>
      </c>
    </row>
    <row r="1901" spans="1:91" ht="14.25" customHeight="1" x14ac:dyDescent="0.3">
      <c r="A1901" s="1" t="s">
        <v>10181</v>
      </c>
      <c r="B1901" s="1" t="s">
        <v>507</v>
      </c>
      <c r="C1901" s="1" t="s">
        <v>508</v>
      </c>
      <c r="E1901" s="1" t="s">
        <v>8732</v>
      </c>
      <c r="F1901" s="1" t="s">
        <v>95</v>
      </c>
      <c r="G1901" s="1" t="s">
        <v>116</v>
      </c>
      <c r="H1901" s="1">
        <v>0</v>
      </c>
      <c r="I1901" s="1" t="s">
        <v>128</v>
      </c>
      <c r="L1901" s="1" t="s">
        <v>6004</v>
      </c>
      <c r="M1901" s="1" t="s">
        <v>6174</v>
      </c>
      <c r="N1901" s="1">
        <v>1</v>
      </c>
      <c r="O1901" s="1">
        <v>0</v>
      </c>
      <c r="R1901" s="1" t="s">
        <v>10182</v>
      </c>
      <c r="S1901" s="1" t="s">
        <v>10183</v>
      </c>
      <c r="T1901" s="1">
        <v>1</v>
      </c>
      <c r="U1901" s="1">
        <v>1</v>
      </c>
      <c r="V1901" s="1">
        <v>0</v>
      </c>
      <c r="W1901" s="1">
        <v>0</v>
      </c>
      <c r="X1901" s="1">
        <v>0</v>
      </c>
      <c r="Y1901" s="1">
        <v>2</v>
      </c>
      <c r="Z1901" s="1">
        <v>2</v>
      </c>
      <c r="AA1901" s="1">
        <v>2</v>
      </c>
      <c r="AB1901" s="1" t="s">
        <v>104</v>
      </c>
      <c r="AC1901" s="1" t="s">
        <v>104</v>
      </c>
      <c r="AD1901" s="1" t="s">
        <v>104</v>
      </c>
      <c r="AE1901" s="1" t="s">
        <v>104</v>
      </c>
      <c r="AF1901" s="1" t="s">
        <v>104</v>
      </c>
      <c r="AG1901" s="1" t="s">
        <v>104</v>
      </c>
      <c r="AH1901" s="1" t="s">
        <v>104</v>
      </c>
      <c r="AI1901" s="1" t="s">
        <v>104</v>
      </c>
      <c r="AJ1901" s="1">
        <v>2</v>
      </c>
      <c r="AK1901" s="1" t="s">
        <v>104</v>
      </c>
      <c r="AL1901" s="1" t="s">
        <v>104</v>
      </c>
      <c r="AM1901" s="1" t="s">
        <v>104</v>
      </c>
      <c r="AN1901" s="1" t="s">
        <v>10184</v>
      </c>
      <c r="AO1901" s="1">
        <v>2</v>
      </c>
      <c r="AR1901" s="1">
        <v>0</v>
      </c>
      <c r="AS1901" s="1">
        <v>0</v>
      </c>
      <c r="AT1901" s="1">
        <v>0</v>
      </c>
      <c r="AU1901" s="1">
        <v>0</v>
      </c>
      <c r="AV1901" s="1">
        <v>0</v>
      </c>
      <c r="AW1901" s="1">
        <v>0</v>
      </c>
      <c r="AX1901" s="1">
        <v>0</v>
      </c>
      <c r="AY1901" s="1">
        <v>0</v>
      </c>
      <c r="AZ1901" s="1">
        <v>0</v>
      </c>
      <c r="BA1901" s="1">
        <v>0</v>
      </c>
      <c r="BB1901" s="1">
        <v>0</v>
      </c>
      <c r="BC1901" s="1">
        <v>0</v>
      </c>
      <c r="BD1901" s="1">
        <v>0</v>
      </c>
      <c r="BE1901" s="1">
        <v>0</v>
      </c>
      <c r="BF1901" s="1">
        <v>0</v>
      </c>
      <c r="BG1901" s="1">
        <v>0</v>
      </c>
      <c r="BH1901" s="1">
        <v>0</v>
      </c>
      <c r="BI1901" s="1">
        <v>0</v>
      </c>
      <c r="BJ1901" s="1">
        <v>0</v>
      </c>
      <c r="BK1901" s="1">
        <v>0</v>
      </c>
      <c r="BL1901" s="1">
        <v>0</v>
      </c>
      <c r="BM1901" s="1">
        <v>0</v>
      </c>
      <c r="BN1901" s="1">
        <v>0</v>
      </c>
      <c r="BO1901" s="1">
        <v>0</v>
      </c>
      <c r="BP1901" s="1">
        <v>0</v>
      </c>
      <c r="BQ1901" s="1" t="s">
        <v>104</v>
      </c>
      <c r="BR1901" s="1">
        <v>2000</v>
      </c>
      <c r="BS1901" s="1" t="s">
        <v>104</v>
      </c>
      <c r="BX1901" s="1">
        <v>0</v>
      </c>
      <c r="BY1901" s="1" t="s">
        <v>104</v>
      </c>
      <c r="BZ1901" s="1" t="s">
        <v>104</v>
      </c>
      <c r="CA1901" s="1" t="s">
        <v>104</v>
      </c>
      <c r="CB1901" s="1" t="s">
        <v>104</v>
      </c>
      <c r="CC1901" s="1" t="s">
        <v>104</v>
      </c>
      <c r="CD1901" s="1" t="s">
        <v>104</v>
      </c>
      <c r="CE1901" s="1" t="s">
        <v>104</v>
      </c>
      <c r="CF1901" s="1" t="s">
        <v>104</v>
      </c>
      <c r="CG1901" s="1" t="s">
        <v>104</v>
      </c>
      <c r="CH1901" s="1" t="s">
        <v>104</v>
      </c>
      <c r="CJ1901" s="1">
        <v>0</v>
      </c>
      <c r="CK1901" s="1">
        <v>0</v>
      </c>
      <c r="CL1901" s="1">
        <v>0</v>
      </c>
      <c r="CM1901" s="1" t="s">
        <v>104</v>
      </c>
    </row>
    <row r="1902" spans="1:91" ht="14.25" customHeight="1" x14ac:dyDescent="0.3">
      <c r="A1902" s="1" t="s">
        <v>10185</v>
      </c>
      <c r="B1902" s="1" t="s">
        <v>216</v>
      </c>
      <c r="D1902" s="1" t="s">
        <v>54</v>
      </c>
      <c r="E1902" s="1" t="s">
        <v>10186</v>
      </c>
      <c r="F1902" s="1" t="s">
        <v>95</v>
      </c>
      <c r="G1902" s="1" t="s">
        <v>10187</v>
      </c>
      <c r="H1902" s="1">
        <v>1</v>
      </c>
      <c r="I1902" s="1" t="s">
        <v>97</v>
      </c>
      <c r="L1902" s="1" t="s">
        <v>417</v>
      </c>
      <c r="M1902" s="1" t="s">
        <v>119</v>
      </c>
      <c r="N1902" s="1">
        <v>0</v>
      </c>
      <c r="O1902" s="1">
        <v>0</v>
      </c>
      <c r="P1902" s="1" t="s">
        <v>100</v>
      </c>
      <c r="Q1902" s="1" t="s">
        <v>184</v>
      </c>
      <c r="R1902" s="1" t="s">
        <v>10188</v>
      </c>
      <c r="S1902" s="1" t="s">
        <v>10189</v>
      </c>
      <c r="T1902" s="1">
        <v>1</v>
      </c>
      <c r="U1902" s="1">
        <v>0</v>
      </c>
      <c r="V1902" s="1">
        <v>0</v>
      </c>
      <c r="W1902" s="1">
        <v>0</v>
      </c>
      <c r="X1902" s="1">
        <v>0</v>
      </c>
      <c r="Y1902" s="1">
        <v>2</v>
      </c>
      <c r="Z1902" s="1">
        <v>2</v>
      </c>
      <c r="AA1902" s="1" t="s">
        <v>104</v>
      </c>
      <c r="AB1902" s="1" t="s">
        <v>104</v>
      </c>
      <c r="AC1902" s="1" t="s">
        <v>104</v>
      </c>
      <c r="AD1902" s="1" t="s">
        <v>104</v>
      </c>
      <c r="AE1902" s="1" t="s">
        <v>104</v>
      </c>
      <c r="AF1902" s="1" t="s">
        <v>104</v>
      </c>
      <c r="AG1902" s="1" t="s">
        <v>104</v>
      </c>
      <c r="AH1902" s="1">
        <v>2</v>
      </c>
      <c r="AI1902" s="1">
        <v>2</v>
      </c>
      <c r="AJ1902" s="1" t="s">
        <v>104</v>
      </c>
      <c r="AK1902" s="1">
        <v>2</v>
      </c>
      <c r="AL1902" s="1" t="s">
        <v>104</v>
      </c>
      <c r="AM1902" s="1" t="s">
        <v>104</v>
      </c>
      <c r="AO1902" s="1">
        <v>2</v>
      </c>
      <c r="AR1902" s="1">
        <v>0</v>
      </c>
      <c r="AS1902" s="1">
        <v>0</v>
      </c>
      <c r="AT1902" s="1">
        <v>0</v>
      </c>
      <c r="AU1902" s="1">
        <v>0</v>
      </c>
      <c r="AV1902" s="1">
        <v>0</v>
      </c>
      <c r="AW1902" s="1">
        <v>0</v>
      </c>
      <c r="AX1902" s="1">
        <v>0</v>
      </c>
      <c r="AY1902" s="1">
        <v>0</v>
      </c>
      <c r="AZ1902" s="1">
        <v>0</v>
      </c>
      <c r="BA1902" s="1">
        <v>0</v>
      </c>
      <c r="BB1902" s="1">
        <v>0</v>
      </c>
      <c r="BC1902" s="1">
        <v>1</v>
      </c>
      <c r="BD1902" s="1">
        <v>0</v>
      </c>
      <c r="BE1902" s="1">
        <v>0</v>
      </c>
      <c r="BF1902" s="1">
        <v>0</v>
      </c>
      <c r="BG1902" s="1">
        <v>0</v>
      </c>
      <c r="BH1902" s="1">
        <v>0</v>
      </c>
      <c r="BI1902" s="1">
        <v>0</v>
      </c>
      <c r="BJ1902" s="1">
        <v>0</v>
      </c>
      <c r="BK1902" s="1">
        <v>0</v>
      </c>
      <c r="BL1902" s="1">
        <v>0</v>
      </c>
      <c r="BM1902" s="1">
        <v>0</v>
      </c>
      <c r="BN1902" s="1">
        <v>0</v>
      </c>
      <c r="BO1902" s="1">
        <v>0</v>
      </c>
      <c r="BP1902" s="1">
        <v>0</v>
      </c>
      <c r="BQ1902" s="1" t="s">
        <v>104</v>
      </c>
      <c r="BR1902" s="1">
        <v>2001</v>
      </c>
      <c r="BS1902" s="1">
        <v>100</v>
      </c>
      <c r="BX1902" s="1">
        <v>0</v>
      </c>
      <c r="BY1902" s="1" t="s">
        <v>104</v>
      </c>
      <c r="BZ1902" s="1" t="s">
        <v>104</v>
      </c>
      <c r="CA1902" s="1" t="s">
        <v>104</v>
      </c>
      <c r="CB1902" s="1" t="s">
        <v>104</v>
      </c>
      <c r="CC1902" s="1" t="s">
        <v>104</v>
      </c>
      <c r="CD1902" s="1" t="s">
        <v>104</v>
      </c>
      <c r="CE1902" s="1" t="s">
        <v>104</v>
      </c>
      <c r="CF1902" s="1" t="s">
        <v>104</v>
      </c>
      <c r="CG1902" s="1" t="s">
        <v>104</v>
      </c>
      <c r="CH1902" s="1" t="s">
        <v>104</v>
      </c>
      <c r="CJ1902" s="1">
        <v>0</v>
      </c>
      <c r="CK1902" s="1">
        <v>0</v>
      </c>
      <c r="CL1902" s="1">
        <v>0</v>
      </c>
      <c r="CM1902" s="1" t="s">
        <v>104</v>
      </c>
    </row>
    <row r="1903" spans="1:91" ht="14.25" customHeight="1" x14ac:dyDescent="0.3">
      <c r="A1903" s="1" t="s">
        <v>10190</v>
      </c>
      <c r="B1903" s="1" t="s">
        <v>216</v>
      </c>
      <c r="D1903" s="1" t="s">
        <v>3767</v>
      </c>
      <c r="E1903" s="1" t="s">
        <v>6573</v>
      </c>
      <c r="F1903" s="1" t="s">
        <v>95</v>
      </c>
      <c r="G1903" s="1" t="s">
        <v>10191</v>
      </c>
      <c r="H1903" s="1">
        <v>0</v>
      </c>
      <c r="I1903" s="1" t="s">
        <v>109</v>
      </c>
      <c r="K1903" s="1" t="s">
        <v>1148</v>
      </c>
      <c r="M1903" s="1" t="s">
        <v>119</v>
      </c>
      <c r="N1903" s="1">
        <v>0</v>
      </c>
      <c r="O1903" s="1">
        <v>0</v>
      </c>
      <c r="P1903" s="1" t="s">
        <v>2051</v>
      </c>
      <c r="Q1903" s="1" t="s">
        <v>184</v>
      </c>
      <c r="R1903" s="1" t="s">
        <v>10192</v>
      </c>
      <c r="S1903" s="1" t="s">
        <v>10189</v>
      </c>
      <c r="T1903" s="1">
        <v>1</v>
      </c>
      <c r="U1903" s="1">
        <v>0</v>
      </c>
      <c r="V1903" s="1">
        <v>1</v>
      </c>
      <c r="W1903" s="1">
        <v>0</v>
      </c>
      <c r="X1903" s="1">
        <v>0</v>
      </c>
      <c r="Y1903" s="1">
        <v>5</v>
      </c>
      <c r="Z1903" s="1">
        <v>5</v>
      </c>
      <c r="AA1903" s="1" t="s">
        <v>104</v>
      </c>
      <c r="AB1903" s="1" t="s">
        <v>104</v>
      </c>
      <c r="AC1903" s="1" t="s">
        <v>104</v>
      </c>
      <c r="AD1903" s="1" t="s">
        <v>104</v>
      </c>
      <c r="AE1903" s="1" t="s">
        <v>104</v>
      </c>
      <c r="AF1903" s="1" t="s">
        <v>104</v>
      </c>
      <c r="AG1903" s="1" t="s">
        <v>104</v>
      </c>
      <c r="AH1903" s="1">
        <v>5</v>
      </c>
      <c r="AI1903" s="1" t="s">
        <v>104</v>
      </c>
      <c r="AJ1903" s="1" t="s">
        <v>104</v>
      </c>
      <c r="AK1903" s="1" t="s">
        <v>104</v>
      </c>
      <c r="AL1903" s="1" t="s">
        <v>104</v>
      </c>
      <c r="AM1903" s="1" t="s">
        <v>104</v>
      </c>
      <c r="AO1903" s="1">
        <v>5</v>
      </c>
      <c r="AR1903" s="1">
        <v>0</v>
      </c>
      <c r="AS1903" s="1">
        <v>0</v>
      </c>
      <c r="AT1903" s="1">
        <v>0</v>
      </c>
      <c r="AU1903" s="1">
        <v>0</v>
      </c>
      <c r="AV1903" s="1">
        <v>0</v>
      </c>
      <c r="AW1903" s="1">
        <v>0</v>
      </c>
      <c r="AX1903" s="1">
        <v>0</v>
      </c>
      <c r="AY1903" s="1">
        <v>0</v>
      </c>
      <c r="AZ1903" s="1">
        <v>0</v>
      </c>
      <c r="BA1903" s="1">
        <v>0</v>
      </c>
      <c r="BB1903" s="1">
        <v>0</v>
      </c>
      <c r="BC1903" s="1">
        <v>1</v>
      </c>
      <c r="BD1903" s="1">
        <v>0</v>
      </c>
      <c r="BE1903" s="1">
        <v>0</v>
      </c>
      <c r="BF1903" s="1">
        <v>0</v>
      </c>
      <c r="BG1903" s="1">
        <v>0</v>
      </c>
      <c r="BH1903" s="1">
        <v>0</v>
      </c>
      <c r="BI1903" s="1">
        <v>0</v>
      </c>
      <c r="BJ1903" s="1">
        <v>0</v>
      </c>
      <c r="BK1903" s="1">
        <v>0</v>
      </c>
      <c r="BL1903" s="1">
        <v>1</v>
      </c>
      <c r="BM1903" s="1">
        <v>0</v>
      </c>
      <c r="BN1903" s="1">
        <v>0</v>
      </c>
      <c r="BO1903" s="1">
        <v>0</v>
      </c>
      <c r="BP1903" s="1">
        <v>0</v>
      </c>
      <c r="BQ1903" s="1" t="s">
        <v>104</v>
      </c>
      <c r="BR1903" s="1">
        <v>2002</v>
      </c>
      <c r="BS1903" s="1" t="s">
        <v>104</v>
      </c>
      <c r="BX1903" s="1">
        <v>0</v>
      </c>
      <c r="BY1903" s="1" t="s">
        <v>104</v>
      </c>
      <c r="BZ1903" s="1" t="s">
        <v>104</v>
      </c>
      <c r="CA1903" s="1" t="s">
        <v>104</v>
      </c>
      <c r="CB1903" s="1" t="s">
        <v>104</v>
      </c>
      <c r="CC1903" s="1" t="s">
        <v>104</v>
      </c>
      <c r="CD1903" s="1" t="s">
        <v>104</v>
      </c>
      <c r="CE1903" s="1" t="s">
        <v>104</v>
      </c>
      <c r="CF1903" s="1" t="s">
        <v>104</v>
      </c>
      <c r="CG1903" s="1" t="s">
        <v>104</v>
      </c>
      <c r="CH1903" s="1" t="s">
        <v>104</v>
      </c>
      <c r="CJ1903" s="1">
        <v>0</v>
      </c>
      <c r="CK1903" s="1">
        <v>0</v>
      </c>
      <c r="CL1903" s="1">
        <v>0</v>
      </c>
      <c r="CM1903" s="1" t="s">
        <v>104</v>
      </c>
    </row>
    <row r="1904" spans="1:91" ht="14.25" customHeight="1" x14ac:dyDescent="0.3">
      <c r="A1904" s="1" t="s">
        <v>10193</v>
      </c>
      <c r="B1904" s="1" t="s">
        <v>137</v>
      </c>
      <c r="D1904" s="1" t="s">
        <v>43</v>
      </c>
      <c r="E1904" s="1" t="s">
        <v>2305</v>
      </c>
      <c r="F1904" s="1" t="s">
        <v>95</v>
      </c>
      <c r="G1904" s="1" t="s">
        <v>127</v>
      </c>
      <c r="H1904" s="1">
        <v>0</v>
      </c>
      <c r="I1904" s="1" t="s">
        <v>10194</v>
      </c>
      <c r="L1904" s="1" t="s">
        <v>7404</v>
      </c>
      <c r="M1904" s="1" t="s">
        <v>2330</v>
      </c>
      <c r="N1904" s="1">
        <v>0</v>
      </c>
      <c r="O1904" s="1">
        <v>0</v>
      </c>
      <c r="P1904" s="1" t="s">
        <v>375</v>
      </c>
      <c r="Q1904" s="1" t="s">
        <v>184</v>
      </c>
      <c r="R1904" s="1" t="s">
        <v>10195</v>
      </c>
      <c r="S1904" s="1" t="s">
        <v>10196</v>
      </c>
      <c r="T1904" s="1">
        <v>1</v>
      </c>
      <c r="U1904" s="1">
        <v>1</v>
      </c>
      <c r="V1904" s="1">
        <v>0</v>
      </c>
      <c r="W1904" s="1">
        <v>0</v>
      </c>
      <c r="X1904" s="1">
        <v>1</v>
      </c>
      <c r="Y1904" s="1" t="s">
        <v>104</v>
      </c>
      <c r="Z1904" s="1" t="s">
        <v>104</v>
      </c>
      <c r="AA1904" s="1" t="s">
        <v>104</v>
      </c>
      <c r="AB1904" s="1">
        <v>1</v>
      </c>
      <c r="AC1904" s="1">
        <v>1</v>
      </c>
      <c r="AD1904" s="1" t="s">
        <v>104</v>
      </c>
      <c r="AE1904" s="1" t="s">
        <v>104</v>
      </c>
      <c r="AF1904" s="1" t="s">
        <v>104</v>
      </c>
      <c r="AG1904" s="1" t="s">
        <v>104</v>
      </c>
      <c r="AH1904" s="1" t="s">
        <v>104</v>
      </c>
      <c r="AI1904" s="1" t="s">
        <v>104</v>
      </c>
      <c r="AJ1904" s="1" t="s">
        <v>104</v>
      </c>
      <c r="AK1904" s="1" t="s">
        <v>104</v>
      </c>
      <c r="AL1904" s="1" t="s">
        <v>104</v>
      </c>
      <c r="AM1904" s="1" t="s">
        <v>104</v>
      </c>
      <c r="AO1904" s="1">
        <v>1</v>
      </c>
      <c r="AR1904" s="1">
        <v>1</v>
      </c>
      <c r="AS1904" s="1">
        <v>0</v>
      </c>
      <c r="AT1904" s="1">
        <v>0</v>
      </c>
      <c r="AU1904" s="1">
        <v>0</v>
      </c>
      <c r="AV1904" s="1">
        <v>0</v>
      </c>
      <c r="AW1904" s="1">
        <v>0</v>
      </c>
      <c r="AX1904" s="1">
        <v>0</v>
      </c>
      <c r="AY1904" s="1">
        <v>0</v>
      </c>
      <c r="AZ1904" s="1">
        <v>0</v>
      </c>
      <c r="BA1904" s="1">
        <v>0</v>
      </c>
      <c r="BB1904" s="1">
        <v>0</v>
      </c>
      <c r="BC1904" s="1">
        <v>0</v>
      </c>
      <c r="BD1904" s="1">
        <v>0</v>
      </c>
      <c r="BE1904" s="1">
        <v>0</v>
      </c>
      <c r="BF1904" s="1">
        <v>0</v>
      </c>
      <c r="BG1904" s="1">
        <v>0</v>
      </c>
      <c r="BH1904" s="1">
        <v>0</v>
      </c>
      <c r="BI1904" s="1">
        <v>0</v>
      </c>
      <c r="BJ1904" s="1">
        <v>0</v>
      </c>
      <c r="BK1904" s="1">
        <v>0</v>
      </c>
      <c r="BL1904" s="1">
        <v>0</v>
      </c>
      <c r="BM1904" s="1">
        <v>0</v>
      </c>
      <c r="BN1904" s="1">
        <v>0</v>
      </c>
      <c r="BO1904" s="1">
        <v>0</v>
      </c>
      <c r="BP1904" s="1">
        <v>0</v>
      </c>
      <c r="BQ1904" s="1" t="s">
        <v>104</v>
      </c>
      <c r="BR1904" s="1">
        <v>2003</v>
      </c>
      <c r="BS1904" s="1" t="s">
        <v>104</v>
      </c>
      <c r="BX1904" s="1">
        <v>0</v>
      </c>
      <c r="BY1904" s="1" t="s">
        <v>104</v>
      </c>
      <c r="BZ1904" s="1" t="s">
        <v>104</v>
      </c>
      <c r="CA1904" s="1" t="s">
        <v>104</v>
      </c>
      <c r="CB1904" s="1" t="s">
        <v>104</v>
      </c>
      <c r="CC1904" s="1" t="s">
        <v>104</v>
      </c>
      <c r="CD1904" s="1" t="s">
        <v>104</v>
      </c>
      <c r="CE1904" s="1" t="s">
        <v>104</v>
      </c>
      <c r="CF1904" s="1" t="s">
        <v>104</v>
      </c>
      <c r="CG1904" s="1" t="s">
        <v>104</v>
      </c>
      <c r="CH1904" s="1">
        <v>1</v>
      </c>
      <c r="CJ1904" s="1">
        <v>0</v>
      </c>
      <c r="CK1904" s="1">
        <v>0</v>
      </c>
      <c r="CL1904" s="1">
        <v>0</v>
      </c>
      <c r="CM1904" s="1" t="s">
        <v>104</v>
      </c>
    </row>
    <row r="1905" spans="1:91" ht="14.25" customHeight="1" x14ac:dyDescent="0.3">
      <c r="A1905" s="1" t="s">
        <v>10197</v>
      </c>
      <c r="B1905" s="1" t="s">
        <v>123</v>
      </c>
      <c r="C1905" s="1" t="s">
        <v>124</v>
      </c>
      <c r="D1905" s="1" t="s">
        <v>10198</v>
      </c>
      <c r="E1905" s="1" t="s">
        <v>10199</v>
      </c>
      <c r="F1905" s="1" t="s">
        <v>95</v>
      </c>
      <c r="G1905" s="1" t="s">
        <v>10200</v>
      </c>
      <c r="H1905" s="1">
        <v>0</v>
      </c>
      <c r="I1905" s="1" t="s">
        <v>117</v>
      </c>
      <c r="L1905" s="1" t="s">
        <v>1065</v>
      </c>
      <c r="M1905" s="1" t="s">
        <v>111</v>
      </c>
      <c r="N1905" s="1">
        <v>0</v>
      </c>
      <c r="O1905" s="1">
        <v>0</v>
      </c>
      <c r="P1905" s="1" t="s">
        <v>211</v>
      </c>
      <c r="Q1905" s="1" t="s">
        <v>184</v>
      </c>
      <c r="R1905" s="1" t="s">
        <v>10201</v>
      </c>
      <c r="S1905" s="1" t="s">
        <v>10196</v>
      </c>
      <c r="T1905" s="1">
        <v>1</v>
      </c>
      <c r="U1905" s="1">
        <v>1</v>
      </c>
      <c r="V1905" s="1">
        <v>1</v>
      </c>
      <c r="W1905" s="1">
        <v>0</v>
      </c>
      <c r="X1905" s="1">
        <v>0</v>
      </c>
      <c r="Y1905" s="1">
        <v>2</v>
      </c>
      <c r="Z1905" s="1">
        <v>2</v>
      </c>
      <c r="AA1905" s="1" t="s">
        <v>104</v>
      </c>
      <c r="AB1905" s="1" t="s">
        <v>104</v>
      </c>
      <c r="AC1905" s="1" t="s">
        <v>104</v>
      </c>
      <c r="AD1905" s="1">
        <v>2</v>
      </c>
      <c r="AE1905" s="1" t="s">
        <v>104</v>
      </c>
      <c r="AF1905" s="1" t="s">
        <v>104</v>
      </c>
      <c r="AG1905" s="1" t="s">
        <v>104</v>
      </c>
      <c r="AH1905" s="1">
        <v>2</v>
      </c>
      <c r="AI1905" s="1" t="s">
        <v>104</v>
      </c>
      <c r="AJ1905" s="1" t="s">
        <v>104</v>
      </c>
      <c r="AK1905" s="1" t="s">
        <v>104</v>
      </c>
      <c r="AL1905" s="1">
        <v>2</v>
      </c>
      <c r="AM1905" s="1" t="s">
        <v>104</v>
      </c>
      <c r="AO1905" s="1">
        <v>2</v>
      </c>
      <c r="AR1905" s="1">
        <v>0</v>
      </c>
      <c r="AS1905" s="1">
        <v>0</v>
      </c>
      <c r="AT1905" s="1">
        <v>0</v>
      </c>
      <c r="AU1905" s="1">
        <v>0</v>
      </c>
      <c r="AV1905" s="1">
        <v>1</v>
      </c>
      <c r="AW1905" s="1">
        <v>0</v>
      </c>
      <c r="AX1905" s="1">
        <v>0</v>
      </c>
      <c r="AY1905" s="1">
        <v>0</v>
      </c>
      <c r="AZ1905" s="1">
        <v>0</v>
      </c>
      <c r="BA1905" s="1">
        <v>0</v>
      </c>
      <c r="BB1905" s="1">
        <v>0</v>
      </c>
      <c r="BC1905" s="1">
        <v>0</v>
      </c>
      <c r="BD1905" s="1">
        <v>0</v>
      </c>
      <c r="BE1905" s="1">
        <v>0</v>
      </c>
      <c r="BF1905" s="1">
        <v>0</v>
      </c>
      <c r="BG1905" s="1">
        <v>0</v>
      </c>
      <c r="BH1905" s="1">
        <v>0</v>
      </c>
      <c r="BI1905" s="1">
        <v>0</v>
      </c>
      <c r="BJ1905" s="1">
        <v>0</v>
      </c>
      <c r="BK1905" s="1">
        <v>1</v>
      </c>
      <c r="BL1905" s="1">
        <v>0</v>
      </c>
      <c r="BM1905" s="1">
        <v>0</v>
      </c>
      <c r="BN1905" s="1">
        <v>0</v>
      </c>
      <c r="BO1905" s="1">
        <v>0</v>
      </c>
      <c r="BP1905" s="1">
        <v>0</v>
      </c>
      <c r="BQ1905" s="1" t="s">
        <v>104</v>
      </c>
      <c r="BR1905" s="1">
        <v>2004</v>
      </c>
      <c r="BS1905" s="1" t="s">
        <v>104</v>
      </c>
      <c r="BX1905" s="1">
        <v>1</v>
      </c>
      <c r="BY1905" s="1">
        <v>2</v>
      </c>
      <c r="BZ1905" s="1" t="s">
        <v>104</v>
      </c>
      <c r="CA1905" s="1" t="s">
        <v>104</v>
      </c>
      <c r="CB1905" s="1" t="s">
        <v>104</v>
      </c>
      <c r="CC1905" s="1" t="s">
        <v>104</v>
      </c>
      <c r="CD1905" s="1" t="s">
        <v>104</v>
      </c>
      <c r="CE1905" s="1" t="s">
        <v>104</v>
      </c>
      <c r="CF1905" s="1" t="s">
        <v>104</v>
      </c>
      <c r="CG1905" s="1" t="s">
        <v>104</v>
      </c>
      <c r="CH1905" s="1" t="s">
        <v>104</v>
      </c>
      <c r="CJ1905" s="1">
        <v>0</v>
      </c>
      <c r="CK1905" s="1">
        <v>0</v>
      </c>
      <c r="CL1905" s="1">
        <v>0</v>
      </c>
      <c r="CM1905" s="1" t="s">
        <v>104</v>
      </c>
    </row>
    <row r="1906" spans="1:91" ht="14.25" customHeight="1" x14ac:dyDescent="0.3">
      <c r="A1906" s="1" t="s">
        <v>10202</v>
      </c>
      <c r="B1906" s="1" t="s">
        <v>162</v>
      </c>
      <c r="E1906" s="1" t="s">
        <v>10203</v>
      </c>
      <c r="F1906" s="1" t="s">
        <v>95</v>
      </c>
      <c r="G1906" s="1" t="s">
        <v>116</v>
      </c>
      <c r="H1906" s="1">
        <v>0</v>
      </c>
      <c r="I1906" s="1" t="s">
        <v>157</v>
      </c>
      <c r="L1906" s="1" t="s">
        <v>158</v>
      </c>
      <c r="M1906" s="1" t="s">
        <v>10204</v>
      </c>
      <c r="N1906" s="1">
        <v>0</v>
      </c>
      <c r="O1906" s="1">
        <v>0</v>
      </c>
      <c r="R1906" s="1" t="s">
        <v>10205</v>
      </c>
      <c r="S1906" s="1" t="s">
        <v>10196</v>
      </c>
      <c r="T1906" s="1">
        <v>1</v>
      </c>
      <c r="U1906" s="1">
        <v>1</v>
      </c>
      <c r="V1906" s="1">
        <v>0</v>
      </c>
      <c r="W1906" s="1">
        <v>0</v>
      </c>
      <c r="X1906" s="1">
        <v>0</v>
      </c>
      <c r="Y1906" s="1" t="s">
        <v>104</v>
      </c>
      <c r="Z1906" s="1" t="s">
        <v>104</v>
      </c>
      <c r="AA1906" s="1" t="s">
        <v>104</v>
      </c>
      <c r="AB1906" s="1" t="s">
        <v>104</v>
      </c>
      <c r="AC1906" s="1" t="s">
        <v>104</v>
      </c>
      <c r="AD1906" s="1" t="s">
        <v>104</v>
      </c>
      <c r="AE1906" s="1" t="s">
        <v>104</v>
      </c>
      <c r="AF1906" s="1" t="s">
        <v>104</v>
      </c>
      <c r="AG1906" s="1" t="s">
        <v>104</v>
      </c>
      <c r="AH1906" s="1" t="s">
        <v>104</v>
      </c>
      <c r="AI1906" s="1" t="s">
        <v>104</v>
      </c>
      <c r="AJ1906" s="1" t="s">
        <v>104</v>
      </c>
      <c r="AK1906" s="1" t="s">
        <v>104</v>
      </c>
      <c r="AL1906" s="1" t="s">
        <v>104</v>
      </c>
      <c r="AM1906" s="1" t="s">
        <v>104</v>
      </c>
      <c r="AO1906" s="1">
        <v>3</v>
      </c>
      <c r="AR1906" s="1">
        <v>0</v>
      </c>
      <c r="AS1906" s="1">
        <v>0</v>
      </c>
      <c r="AT1906" s="1">
        <v>0</v>
      </c>
      <c r="AU1906" s="1">
        <v>0</v>
      </c>
      <c r="AV1906" s="1">
        <v>0</v>
      </c>
      <c r="AW1906" s="1">
        <v>0</v>
      </c>
      <c r="AX1906" s="1">
        <v>0</v>
      </c>
      <c r="AY1906" s="1">
        <v>0</v>
      </c>
      <c r="AZ1906" s="1">
        <v>0</v>
      </c>
      <c r="BA1906" s="1">
        <v>0</v>
      </c>
      <c r="BB1906" s="1">
        <v>0</v>
      </c>
      <c r="BC1906" s="1">
        <v>0</v>
      </c>
      <c r="BD1906" s="1">
        <v>0</v>
      </c>
      <c r="BE1906" s="1">
        <v>0</v>
      </c>
      <c r="BF1906" s="1">
        <v>0</v>
      </c>
      <c r="BG1906" s="1">
        <v>0</v>
      </c>
      <c r="BH1906" s="1">
        <v>0</v>
      </c>
      <c r="BI1906" s="1">
        <v>0</v>
      </c>
      <c r="BJ1906" s="1">
        <v>0</v>
      </c>
      <c r="BK1906" s="1">
        <v>0</v>
      </c>
      <c r="BL1906" s="1">
        <v>0</v>
      </c>
      <c r="BM1906" s="1">
        <v>0</v>
      </c>
      <c r="BN1906" s="1">
        <v>0</v>
      </c>
      <c r="BO1906" s="1">
        <v>0</v>
      </c>
      <c r="BP1906" s="1">
        <v>0</v>
      </c>
      <c r="BQ1906" s="1" t="s">
        <v>104</v>
      </c>
      <c r="BR1906" s="1">
        <v>2005</v>
      </c>
      <c r="BS1906" s="1" t="s">
        <v>104</v>
      </c>
      <c r="BX1906" s="1">
        <v>0</v>
      </c>
      <c r="BY1906" s="1">
        <v>3</v>
      </c>
      <c r="BZ1906" s="1" t="s">
        <v>104</v>
      </c>
      <c r="CA1906" s="1" t="s">
        <v>104</v>
      </c>
      <c r="CB1906" s="1" t="s">
        <v>104</v>
      </c>
      <c r="CC1906" s="1" t="s">
        <v>104</v>
      </c>
      <c r="CD1906" s="1" t="s">
        <v>104</v>
      </c>
      <c r="CE1906" s="1" t="s">
        <v>104</v>
      </c>
      <c r="CF1906" s="1" t="s">
        <v>104</v>
      </c>
      <c r="CG1906" s="1" t="s">
        <v>104</v>
      </c>
      <c r="CH1906" s="1" t="s">
        <v>104</v>
      </c>
      <c r="CJ1906" s="1">
        <v>0</v>
      </c>
      <c r="CK1906" s="1">
        <v>0</v>
      </c>
      <c r="CL1906" s="1">
        <v>0</v>
      </c>
      <c r="CM1906" s="1" t="s">
        <v>104</v>
      </c>
    </row>
    <row r="1907" spans="1:91" ht="14.25" customHeight="1" x14ac:dyDescent="0.3">
      <c r="A1907" s="1" t="s">
        <v>10206</v>
      </c>
      <c r="B1907" s="1" t="s">
        <v>137</v>
      </c>
      <c r="D1907" s="1" t="s">
        <v>10207</v>
      </c>
      <c r="E1907" s="1" t="s">
        <v>4219</v>
      </c>
      <c r="F1907" s="1" t="s">
        <v>1502</v>
      </c>
      <c r="G1907" s="1" t="s">
        <v>237</v>
      </c>
      <c r="H1907" s="1">
        <v>0</v>
      </c>
      <c r="I1907" s="1" t="s">
        <v>157</v>
      </c>
      <c r="L1907" s="1" t="s">
        <v>158</v>
      </c>
      <c r="M1907" s="1" t="s">
        <v>6977</v>
      </c>
      <c r="N1907" s="1">
        <v>0</v>
      </c>
      <c r="O1907" s="1">
        <v>0</v>
      </c>
      <c r="R1907" s="1" t="s">
        <v>10208</v>
      </c>
      <c r="S1907" s="1" t="s">
        <v>10196</v>
      </c>
      <c r="T1907" s="1">
        <v>1</v>
      </c>
      <c r="U1907" s="1">
        <v>0</v>
      </c>
      <c r="V1907" s="1">
        <v>0</v>
      </c>
      <c r="W1907" s="1">
        <v>0</v>
      </c>
      <c r="X1907" s="1">
        <v>0</v>
      </c>
      <c r="Y1907" s="1">
        <v>4</v>
      </c>
      <c r="Z1907" s="1">
        <v>4</v>
      </c>
      <c r="AA1907" s="1" t="s">
        <v>104</v>
      </c>
      <c r="AB1907" s="1" t="s">
        <v>104</v>
      </c>
      <c r="AC1907" s="1" t="s">
        <v>104</v>
      </c>
      <c r="AD1907" s="1" t="s">
        <v>104</v>
      </c>
      <c r="AE1907" s="1" t="s">
        <v>104</v>
      </c>
      <c r="AF1907" s="1" t="s">
        <v>104</v>
      </c>
      <c r="AG1907" s="1" t="s">
        <v>104</v>
      </c>
      <c r="AH1907" s="1" t="s">
        <v>104</v>
      </c>
      <c r="AI1907" s="1" t="s">
        <v>104</v>
      </c>
      <c r="AJ1907" s="1" t="s">
        <v>104</v>
      </c>
      <c r="AK1907" s="1" t="s">
        <v>104</v>
      </c>
      <c r="AL1907" s="1" t="s">
        <v>104</v>
      </c>
      <c r="AM1907" s="1" t="s">
        <v>104</v>
      </c>
      <c r="AO1907" s="1">
        <v>4</v>
      </c>
      <c r="AR1907" s="1">
        <v>1</v>
      </c>
      <c r="AS1907" s="1">
        <v>0</v>
      </c>
      <c r="AT1907" s="1">
        <v>0</v>
      </c>
      <c r="AU1907" s="1">
        <v>1</v>
      </c>
      <c r="AV1907" s="1">
        <v>0</v>
      </c>
      <c r="AW1907" s="1">
        <v>0</v>
      </c>
      <c r="AX1907" s="1">
        <v>0</v>
      </c>
      <c r="AY1907" s="1">
        <v>0</v>
      </c>
      <c r="AZ1907" s="1">
        <v>0</v>
      </c>
      <c r="BA1907" s="1">
        <v>1</v>
      </c>
      <c r="BB1907" s="1">
        <v>0</v>
      </c>
      <c r="BC1907" s="1">
        <v>0</v>
      </c>
      <c r="BD1907" s="1">
        <v>0</v>
      </c>
      <c r="BE1907" s="1">
        <v>1</v>
      </c>
      <c r="BF1907" s="1">
        <v>0</v>
      </c>
      <c r="BG1907" s="1">
        <v>0</v>
      </c>
      <c r="BH1907" s="1">
        <v>0</v>
      </c>
      <c r="BI1907" s="1">
        <v>0</v>
      </c>
      <c r="BJ1907" s="1">
        <v>0</v>
      </c>
      <c r="BK1907" s="1">
        <v>0</v>
      </c>
      <c r="BL1907" s="1">
        <v>0</v>
      </c>
      <c r="BM1907" s="1">
        <v>0</v>
      </c>
      <c r="BN1907" s="1">
        <v>0</v>
      </c>
      <c r="BO1907" s="1">
        <v>0</v>
      </c>
      <c r="BP1907" s="1">
        <v>0</v>
      </c>
      <c r="BQ1907" s="1" t="s">
        <v>104</v>
      </c>
      <c r="BR1907" s="1">
        <v>2006</v>
      </c>
      <c r="BS1907" s="1" t="s">
        <v>104</v>
      </c>
      <c r="BX1907" s="1">
        <v>0</v>
      </c>
      <c r="BY1907" s="1" t="s">
        <v>104</v>
      </c>
      <c r="BZ1907" s="1" t="s">
        <v>104</v>
      </c>
      <c r="CA1907" s="1" t="s">
        <v>104</v>
      </c>
      <c r="CB1907" s="1" t="s">
        <v>104</v>
      </c>
      <c r="CC1907" s="1" t="s">
        <v>104</v>
      </c>
      <c r="CD1907" s="1" t="s">
        <v>104</v>
      </c>
      <c r="CE1907" s="1" t="s">
        <v>104</v>
      </c>
      <c r="CF1907" s="1" t="s">
        <v>104</v>
      </c>
      <c r="CG1907" s="1" t="s">
        <v>104</v>
      </c>
      <c r="CH1907" s="1" t="s">
        <v>104</v>
      </c>
      <c r="CJ1907" s="1">
        <v>0</v>
      </c>
      <c r="CK1907" s="1">
        <v>0</v>
      </c>
      <c r="CL1907" s="1">
        <v>0</v>
      </c>
      <c r="CM1907" s="1" t="s">
        <v>104</v>
      </c>
    </row>
    <row r="1908" spans="1:91" ht="14.25" customHeight="1" x14ac:dyDescent="0.3">
      <c r="A1908" s="1" t="s">
        <v>10209</v>
      </c>
      <c r="B1908" s="1" t="s">
        <v>434</v>
      </c>
      <c r="E1908" s="1" t="s">
        <v>9851</v>
      </c>
      <c r="F1908" s="1" t="s">
        <v>287</v>
      </c>
      <c r="G1908" s="1" t="s">
        <v>10210</v>
      </c>
      <c r="H1908" s="1">
        <v>0</v>
      </c>
      <c r="I1908" s="1" t="s">
        <v>128</v>
      </c>
      <c r="L1908" s="1" t="s">
        <v>2104</v>
      </c>
      <c r="M1908" s="1" t="s">
        <v>10211</v>
      </c>
      <c r="N1908" s="1">
        <v>0</v>
      </c>
      <c r="O1908" s="1">
        <v>0</v>
      </c>
      <c r="P1908" s="1" t="s">
        <v>375</v>
      </c>
      <c r="Q1908" s="1" t="s">
        <v>184</v>
      </c>
      <c r="R1908" s="1" t="s">
        <v>10212</v>
      </c>
      <c r="S1908" s="1" t="s">
        <v>10196</v>
      </c>
      <c r="T1908" s="1">
        <v>1</v>
      </c>
      <c r="U1908" s="1">
        <v>1</v>
      </c>
      <c r="V1908" s="1">
        <v>1</v>
      </c>
      <c r="W1908" s="1">
        <v>0</v>
      </c>
      <c r="X1908" s="1">
        <v>1</v>
      </c>
      <c r="Y1908" s="1" t="s">
        <v>104</v>
      </c>
      <c r="Z1908" s="1" t="s">
        <v>104</v>
      </c>
      <c r="AA1908" s="1" t="s">
        <v>104</v>
      </c>
      <c r="AB1908" s="1" t="s">
        <v>104</v>
      </c>
      <c r="AC1908" s="1" t="s">
        <v>104</v>
      </c>
      <c r="AD1908" s="1" t="s">
        <v>104</v>
      </c>
      <c r="AE1908" s="1" t="s">
        <v>104</v>
      </c>
      <c r="AF1908" s="1" t="s">
        <v>104</v>
      </c>
      <c r="AG1908" s="1" t="s">
        <v>104</v>
      </c>
      <c r="AH1908" s="1">
        <v>5</v>
      </c>
      <c r="AI1908" s="1" t="s">
        <v>104</v>
      </c>
      <c r="AJ1908" s="1" t="s">
        <v>104</v>
      </c>
      <c r="AK1908" s="1" t="s">
        <v>104</v>
      </c>
      <c r="AL1908" s="1" t="s">
        <v>104</v>
      </c>
      <c r="AM1908" s="1" t="s">
        <v>104</v>
      </c>
      <c r="AO1908" s="1">
        <v>5</v>
      </c>
      <c r="AR1908" s="1">
        <v>0</v>
      </c>
      <c r="AS1908" s="1">
        <v>0</v>
      </c>
      <c r="AT1908" s="1">
        <v>0</v>
      </c>
      <c r="AU1908" s="1">
        <v>0</v>
      </c>
      <c r="AV1908" s="1">
        <v>0</v>
      </c>
      <c r="AW1908" s="1">
        <v>0</v>
      </c>
      <c r="AX1908" s="1">
        <v>0</v>
      </c>
      <c r="AY1908" s="1">
        <v>0</v>
      </c>
      <c r="AZ1908" s="1">
        <v>0</v>
      </c>
      <c r="BA1908" s="1">
        <v>0</v>
      </c>
      <c r="BB1908" s="1">
        <v>0</v>
      </c>
      <c r="BC1908" s="1">
        <v>0</v>
      </c>
      <c r="BD1908" s="1">
        <v>0</v>
      </c>
      <c r="BE1908" s="1">
        <v>0</v>
      </c>
      <c r="BF1908" s="1">
        <v>0</v>
      </c>
      <c r="BG1908" s="1">
        <v>0</v>
      </c>
      <c r="BH1908" s="1">
        <v>0</v>
      </c>
      <c r="BI1908" s="1">
        <v>0</v>
      </c>
      <c r="BJ1908" s="1">
        <v>0</v>
      </c>
      <c r="BK1908" s="1">
        <v>0</v>
      </c>
      <c r="BL1908" s="1">
        <v>0</v>
      </c>
      <c r="BM1908" s="1">
        <v>0</v>
      </c>
      <c r="BN1908" s="1">
        <v>0</v>
      </c>
      <c r="BO1908" s="1">
        <v>0</v>
      </c>
      <c r="BP1908" s="1">
        <v>0</v>
      </c>
      <c r="BQ1908" s="1" t="s">
        <v>104</v>
      </c>
      <c r="BR1908" s="1">
        <v>2007</v>
      </c>
      <c r="BS1908" s="1" t="s">
        <v>104</v>
      </c>
      <c r="BX1908" s="1">
        <v>0</v>
      </c>
      <c r="BY1908" s="1" t="s">
        <v>104</v>
      </c>
      <c r="BZ1908" s="1">
        <v>5</v>
      </c>
      <c r="CA1908" s="1" t="s">
        <v>104</v>
      </c>
      <c r="CB1908" s="1" t="s">
        <v>104</v>
      </c>
      <c r="CC1908" s="1" t="s">
        <v>104</v>
      </c>
      <c r="CD1908" s="1" t="s">
        <v>104</v>
      </c>
      <c r="CE1908" s="1" t="s">
        <v>104</v>
      </c>
      <c r="CF1908" s="1" t="s">
        <v>104</v>
      </c>
      <c r="CG1908" s="1" t="s">
        <v>104</v>
      </c>
      <c r="CH1908" s="1" t="s">
        <v>104</v>
      </c>
      <c r="CJ1908" s="1">
        <v>0</v>
      </c>
      <c r="CK1908" s="1">
        <v>0</v>
      </c>
      <c r="CL1908" s="1">
        <v>0</v>
      </c>
      <c r="CM1908" s="1" t="s">
        <v>104</v>
      </c>
    </row>
    <row r="1909" spans="1:91" ht="14.25" customHeight="1" x14ac:dyDescent="0.3">
      <c r="A1909" s="1" t="s">
        <v>10213</v>
      </c>
      <c r="B1909" s="1" t="s">
        <v>137</v>
      </c>
      <c r="E1909" s="1" t="s">
        <v>3700</v>
      </c>
      <c r="F1909" s="1" t="s">
        <v>95</v>
      </c>
      <c r="G1909" s="1" t="s">
        <v>127</v>
      </c>
      <c r="H1909" s="1">
        <v>0</v>
      </c>
      <c r="I1909" s="1" t="s">
        <v>8599</v>
      </c>
      <c r="L1909" s="1" t="s">
        <v>10214</v>
      </c>
      <c r="M1909" s="1" t="s">
        <v>620</v>
      </c>
      <c r="N1909" s="1">
        <v>1</v>
      </c>
      <c r="O1909" s="1">
        <v>0</v>
      </c>
      <c r="R1909" s="1" t="s">
        <v>10215</v>
      </c>
      <c r="S1909" s="1" t="s">
        <v>10196</v>
      </c>
      <c r="T1909" s="1">
        <v>1</v>
      </c>
      <c r="U1909" s="1">
        <v>1</v>
      </c>
      <c r="V1909" s="1">
        <v>0</v>
      </c>
      <c r="W1909" s="1">
        <v>0</v>
      </c>
      <c r="X1909" s="1">
        <v>1</v>
      </c>
      <c r="Y1909" s="1" t="s">
        <v>104</v>
      </c>
      <c r="Z1909" s="1" t="s">
        <v>104</v>
      </c>
      <c r="AA1909" s="1" t="s">
        <v>104</v>
      </c>
      <c r="AB1909" s="1">
        <v>4</v>
      </c>
      <c r="AC1909" s="1">
        <v>4</v>
      </c>
      <c r="AD1909" s="1" t="s">
        <v>104</v>
      </c>
      <c r="AE1909" s="1" t="s">
        <v>104</v>
      </c>
      <c r="AF1909" s="1" t="s">
        <v>104</v>
      </c>
      <c r="AG1909" s="1" t="s">
        <v>104</v>
      </c>
      <c r="AH1909" s="1" t="s">
        <v>104</v>
      </c>
      <c r="AI1909" s="1" t="s">
        <v>104</v>
      </c>
      <c r="AJ1909" s="1" t="s">
        <v>104</v>
      </c>
      <c r="AK1909" s="1" t="s">
        <v>104</v>
      </c>
      <c r="AL1909" s="1" t="s">
        <v>104</v>
      </c>
      <c r="AM1909" s="1" t="s">
        <v>104</v>
      </c>
      <c r="AO1909" s="1">
        <v>4</v>
      </c>
      <c r="AR1909" s="1">
        <v>0</v>
      </c>
      <c r="AS1909" s="1">
        <v>0</v>
      </c>
      <c r="AT1909" s="1">
        <v>0</v>
      </c>
      <c r="AU1909" s="1">
        <v>0</v>
      </c>
      <c r="AV1909" s="1">
        <v>0</v>
      </c>
      <c r="AW1909" s="1">
        <v>0</v>
      </c>
      <c r="AX1909" s="1">
        <v>0</v>
      </c>
      <c r="AY1909" s="1">
        <v>0</v>
      </c>
      <c r="AZ1909" s="1">
        <v>0</v>
      </c>
      <c r="BA1909" s="1">
        <v>0</v>
      </c>
      <c r="BB1909" s="1">
        <v>0</v>
      </c>
      <c r="BC1909" s="1">
        <v>0</v>
      </c>
      <c r="BD1909" s="1">
        <v>0</v>
      </c>
      <c r="BE1909" s="1">
        <v>0</v>
      </c>
      <c r="BF1909" s="1">
        <v>0</v>
      </c>
      <c r="BG1909" s="1">
        <v>0</v>
      </c>
      <c r="BH1909" s="1">
        <v>0</v>
      </c>
      <c r="BI1909" s="1">
        <v>0</v>
      </c>
      <c r="BJ1909" s="1">
        <v>0</v>
      </c>
      <c r="BK1909" s="1">
        <v>0</v>
      </c>
      <c r="BL1909" s="1">
        <v>0</v>
      </c>
      <c r="BM1909" s="1">
        <v>0</v>
      </c>
      <c r="BN1909" s="1">
        <v>0</v>
      </c>
      <c r="BO1909" s="1">
        <v>0</v>
      </c>
      <c r="BP1909" s="1">
        <v>0</v>
      </c>
      <c r="BQ1909" s="1" t="s">
        <v>104</v>
      </c>
      <c r="BR1909" s="1">
        <v>2008</v>
      </c>
      <c r="BS1909" s="1" t="s">
        <v>104</v>
      </c>
      <c r="BX1909" s="1">
        <v>0</v>
      </c>
      <c r="BY1909" s="1" t="s">
        <v>104</v>
      </c>
      <c r="BZ1909" s="1" t="s">
        <v>104</v>
      </c>
      <c r="CA1909" s="1" t="s">
        <v>104</v>
      </c>
      <c r="CB1909" s="1" t="s">
        <v>104</v>
      </c>
      <c r="CC1909" s="1" t="s">
        <v>104</v>
      </c>
      <c r="CD1909" s="1" t="s">
        <v>104</v>
      </c>
      <c r="CE1909" s="1" t="s">
        <v>104</v>
      </c>
      <c r="CF1909" s="1" t="s">
        <v>104</v>
      </c>
      <c r="CG1909" s="1" t="s">
        <v>104</v>
      </c>
      <c r="CH1909" s="1">
        <v>4</v>
      </c>
      <c r="CJ1909" s="1">
        <v>0</v>
      </c>
      <c r="CK1909" s="1">
        <v>0</v>
      </c>
      <c r="CL1909" s="1">
        <v>0</v>
      </c>
      <c r="CM1909" s="1" t="s">
        <v>104</v>
      </c>
    </row>
    <row r="1910" spans="1:91" ht="14.25" customHeight="1" x14ac:dyDescent="0.3">
      <c r="A1910" s="1" t="s">
        <v>10216</v>
      </c>
      <c r="B1910" s="1" t="s">
        <v>123</v>
      </c>
      <c r="E1910" s="1" t="s">
        <v>1839</v>
      </c>
      <c r="F1910" s="1" t="s">
        <v>4199</v>
      </c>
      <c r="G1910" s="1" t="s">
        <v>127</v>
      </c>
      <c r="H1910" s="1">
        <v>0</v>
      </c>
      <c r="I1910" s="1" t="s">
        <v>8381</v>
      </c>
      <c r="K1910" s="1" t="s">
        <v>10217</v>
      </c>
      <c r="M1910" s="1" t="s">
        <v>2330</v>
      </c>
      <c r="N1910" s="1">
        <v>0</v>
      </c>
      <c r="O1910" s="1">
        <v>0</v>
      </c>
      <c r="R1910" s="1" t="s">
        <v>10218</v>
      </c>
      <c r="S1910" s="1" t="s">
        <v>10196</v>
      </c>
      <c r="T1910" s="1">
        <v>1</v>
      </c>
      <c r="U1910" s="1">
        <v>1</v>
      </c>
      <c r="V1910" s="1">
        <v>0</v>
      </c>
      <c r="W1910" s="1">
        <v>0</v>
      </c>
      <c r="X1910" s="1">
        <v>1</v>
      </c>
      <c r="Y1910" s="1" t="s">
        <v>104</v>
      </c>
      <c r="Z1910" s="1" t="s">
        <v>104</v>
      </c>
      <c r="AA1910" s="1" t="s">
        <v>104</v>
      </c>
      <c r="AB1910" s="1">
        <v>1</v>
      </c>
      <c r="AC1910" s="1" t="s">
        <v>104</v>
      </c>
      <c r="AD1910" s="1" t="s">
        <v>104</v>
      </c>
      <c r="AE1910" s="1" t="s">
        <v>104</v>
      </c>
      <c r="AF1910" s="1" t="s">
        <v>104</v>
      </c>
      <c r="AG1910" s="1" t="s">
        <v>104</v>
      </c>
      <c r="AH1910" s="1" t="s">
        <v>104</v>
      </c>
      <c r="AI1910" s="1" t="s">
        <v>104</v>
      </c>
      <c r="AJ1910" s="1" t="s">
        <v>104</v>
      </c>
      <c r="AK1910" s="1" t="s">
        <v>104</v>
      </c>
      <c r="AL1910" s="1" t="s">
        <v>104</v>
      </c>
      <c r="AM1910" s="1" t="s">
        <v>104</v>
      </c>
      <c r="AO1910" s="1">
        <v>1</v>
      </c>
      <c r="AR1910" s="1">
        <v>0</v>
      </c>
      <c r="AS1910" s="1">
        <v>0</v>
      </c>
      <c r="AT1910" s="1">
        <v>0</v>
      </c>
      <c r="AU1910" s="1">
        <v>0</v>
      </c>
      <c r="AV1910" s="1">
        <v>0</v>
      </c>
      <c r="AW1910" s="1">
        <v>0</v>
      </c>
      <c r="AX1910" s="1">
        <v>0</v>
      </c>
      <c r="AY1910" s="1">
        <v>0</v>
      </c>
      <c r="AZ1910" s="1">
        <v>0</v>
      </c>
      <c r="BA1910" s="1">
        <v>0</v>
      </c>
      <c r="BB1910" s="1">
        <v>0</v>
      </c>
      <c r="BC1910" s="1">
        <v>0</v>
      </c>
      <c r="BD1910" s="1">
        <v>0</v>
      </c>
      <c r="BE1910" s="1">
        <v>0</v>
      </c>
      <c r="BF1910" s="1">
        <v>0</v>
      </c>
      <c r="BG1910" s="1">
        <v>0</v>
      </c>
      <c r="BH1910" s="1">
        <v>0</v>
      </c>
      <c r="BI1910" s="1">
        <v>0</v>
      </c>
      <c r="BJ1910" s="1">
        <v>0</v>
      </c>
      <c r="BK1910" s="1">
        <v>0</v>
      </c>
      <c r="BL1910" s="1">
        <v>0</v>
      </c>
      <c r="BM1910" s="1">
        <v>0</v>
      </c>
      <c r="BN1910" s="1">
        <v>0</v>
      </c>
      <c r="BO1910" s="1">
        <v>0</v>
      </c>
      <c r="BP1910" s="1">
        <v>0</v>
      </c>
      <c r="BQ1910" s="1" t="s">
        <v>104</v>
      </c>
      <c r="BR1910" s="1">
        <v>2009</v>
      </c>
      <c r="BS1910" s="1" t="s">
        <v>104</v>
      </c>
      <c r="BX1910" s="1">
        <v>0</v>
      </c>
      <c r="BY1910" s="1" t="s">
        <v>104</v>
      </c>
      <c r="BZ1910" s="1">
        <v>1</v>
      </c>
      <c r="CA1910" s="1" t="s">
        <v>104</v>
      </c>
      <c r="CB1910" s="1" t="s">
        <v>104</v>
      </c>
      <c r="CC1910" s="1" t="s">
        <v>104</v>
      </c>
      <c r="CD1910" s="1" t="s">
        <v>104</v>
      </c>
      <c r="CE1910" s="1" t="s">
        <v>104</v>
      </c>
      <c r="CF1910" s="1" t="s">
        <v>104</v>
      </c>
      <c r="CG1910" s="1" t="s">
        <v>104</v>
      </c>
      <c r="CH1910" s="1">
        <v>1</v>
      </c>
      <c r="CJ1910" s="1">
        <v>0</v>
      </c>
      <c r="CK1910" s="1">
        <v>0</v>
      </c>
      <c r="CL1910" s="1">
        <v>0</v>
      </c>
      <c r="CM1910" s="1" t="s">
        <v>104</v>
      </c>
    </row>
    <row r="1911" spans="1:91" ht="14.25" customHeight="1" x14ac:dyDescent="0.3">
      <c r="A1911" s="1" t="s">
        <v>10219</v>
      </c>
      <c r="B1911" s="1" t="s">
        <v>137</v>
      </c>
      <c r="D1911" s="1" t="s">
        <v>145</v>
      </c>
      <c r="E1911" s="1" t="s">
        <v>4512</v>
      </c>
      <c r="F1911" s="1" t="s">
        <v>95</v>
      </c>
      <c r="G1911" s="1" t="s">
        <v>127</v>
      </c>
      <c r="H1911" s="1">
        <v>0</v>
      </c>
      <c r="I1911" s="1" t="s">
        <v>128</v>
      </c>
      <c r="L1911" s="1" t="s">
        <v>10220</v>
      </c>
      <c r="M1911" s="1" t="s">
        <v>2330</v>
      </c>
      <c r="N1911" s="1">
        <v>0</v>
      </c>
      <c r="O1911" s="1">
        <v>0</v>
      </c>
      <c r="P1911" s="1" t="s">
        <v>10221</v>
      </c>
      <c r="Q1911" s="1" t="s">
        <v>472</v>
      </c>
      <c r="R1911" s="1" t="s">
        <v>10222</v>
      </c>
      <c r="S1911" s="1" t="s">
        <v>10196</v>
      </c>
      <c r="T1911" s="1">
        <v>1</v>
      </c>
      <c r="U1911" s="1">
        <v>1</v>
      </c>
      <c r="V1911" s="1">
        <v>0</v>
      </c>
      <c r="W1911" s="1">
        <v>0</v>
      </c>
      <c r="X1911" s="1">
        <v>1</v>
      </c>
      <c r="Y1911" s="1" t="s">
        <v>104</v>
      </c>
      <c r="Z1911" s="1" t="s">
        <v>104</v>
      </c>
      <c r="AA1911" s="1">
        <v>4</v>
      </c>
      <c r="AB1911" s="1" t="s">
        <v>104</v>
      </c>
      <c r="AC1911" s="1" t="s">
        <v>104</v>
      </c>
      <c r="AD1911" s="1" t="s">
        <v>104</v>
      </c>
      <c r="AE1911" s="1" t="s">
        <v>104</v>
      </c>
      <c r="AF1911" s="1" t="s">
        <v>104</v>
      </c>
      <c r="AG1911" s="1" t="s">
        <v>104</v>
      </c>
      <c r="AH1911" s="1" t="s">
        <v>104</v>
      </c>
      <c r="AI1911" s="1" t="s">
        <v>104</v>
      </c>
      <c r="AJ1911" s="1">
        <v>4</v>
      </c>
      <c r="AK1911" s="1" t="s">
        <v>104</v>
      </c>
      <c r="AL1911" s="1" t="s">
        <v>104</v>
      </c>
      <c r="AM1911" s="1" t="s">
        <v>104</v>
      </c>
      <c r="AO1911" s="1">
        <v>4</v>
      </c>
      <c r="AR1911" s="1">
        <v>0</v>
      </c>
      <c r="AS1911" s="1">
        <v>0</v>
      </c>
      <c r="AT1911" s="1">
        <v>0</v>
      </c>
      <c r="AU1911" s="1">
        <v>0</v>
      </c>
      <c r="AV1911" s="1">
        <v>0</v>
      </c>
      <c r="AW1911" s="1">
        <v>0</v>
      </c>
      <c r="AX1911" s="1">
        <v>0</v>
      </c>
      <c r="AY1911" s="1">
        <v>0</v>
      </c>
      <c r="AZ1911" s="1">
        <v>0</v>
      </c>
      <c r="BA1911" s="1">
        <v>0</v>
      </c>
      <c r="BB1911" s="1">
        <v>0</v>
      </c>
      <c r="BC1911" s="1">
        <v>0</v>
      </c>
      <c r="BD1911" s="1">
        <v>0</v>
      </c>
      <c r="BE1911" s="1">
        <v>0</v>
      </c>
      <c r="BF1911" s="1">
        <v>0</v>
      </c>
      <c r="BG1911" s="1">
        <v>0</v>
      </c>
      <c r="BH1911" s="1">
        <v>0</v>
      </c>
      <c r="BI1911" s="1">
        <v>0</v>
      </c>
      <c r="BJ1911" s="1">
        <v>0</v>
      </c>
      <c r="BK1911" s="1">
        <v>0</v>
      </c>
      <c r="BL1911" s="1">
        <v>0</v>
      </c>
      <c r="BM1911" s="1">
        <v>0</v>
      </c>
      <c r="BN1911" s="1">
        <v>0</v>
      </c>
      <c r="BO1911" s="1">
        <v>0</v>
      </c>
      <c r="BP1911" s="1">
        <v>0</v>
      </c>
      <c r="BQ1911" s="1" t="s">
        <v>104</v>
      </c>
      <c r="BR1911" s="1">
        <v>2010</v>
      </c>
      <c r="BS1911" s="1" t="s">
        <v>104</v>
      </c>
      <c r="BX1911" s="1">
        <v>0</v>
      </c>
      <c r="BY1911" s="1" t="s">
        <v>104</v>
      </c>
      <c r="BZ1911" s="1" t="s">
        <v>104</v>
      </c>
      <c r="CA1911" s="1" t="s">
        <v>104</v>
      </c>
      <c r="CB1911" s="1" t="s">
        <v>104</v>
      </c>
      <c r="CC1911" s="1" t="s">
        <v>104</v>
      </c>
      <c r="CD1911" s="1" t="s">
        <v>104</v>
      </c>
      <c r="CE1911" s="1" t="s">
        <v>104</v>
      </c>
      <c r="CF1911" s="1" t="s">
        <v>104</v>
      </c>
      <c r="CG1911" s="1" t="s">
        <v>104</v>
      </c>
      <c r="CH1911" s="1" t="s">
        <v>104</v>
      </c>
      <c r="CJ1911" s="1">
        <v>0</v>
      </c>
      <c r="CK1911" s="1">
        <v>0</v>
      </c>
      <c r="CL1911" s="1">
        <v>0</v>
      </c>
      <c r="CM1911" s="1" t="s">
        <v>104</v>
      </c>
    </row>
    <row r="1912" spans="1:91" ht="14.25" customHeight="1" x14ac:dyDescent="0.3">
      <c r="A1912" s="1" t="s">
        <v>10223</v>
      </c>
      <c r="B1912" s="1" t="s">
        <v>216</v>
      </c>
      <c r="D1912" s="1" t="s">
        <v>54</v>
      </c>
      <c r="E1912" s="1" t="s">
        <v>8100</v>
      </c>
      <c r="F1912" s="1" t="s">
        <v>95</v>
      </c>
      <c r="G1912" s="1" t="s">
        <v>10224</v>
      </c>
      <c r="H1912" s="1">
        <v>0</v>
      </c>
      <c r="I1912" s="1" t="s">
        <v>157</v>
      </c>
      <c r="J1912" s="1" t="s">
        <v>5922</v>
      </c>
      <c r="M1912" s="1" t="s">
        <v>4641</v>
      </c>
      <c r="N1912" s="1">
        <v>1</v>
      </c>
      <c r="O1912" s="1">
        <v>0</v>
      </c>
      <c r="P1912" s="1" t="s">
        <v>183</v>
      </c>
      <c r="Q1912" s="1" t="s">
        <v>184</v>
      </c>
      <c r="R1912" s="1" t="s">
        <v>10225</v>
      </c>
      <c r="S1912" s="1" t="s">
        <v>10226</v>
      </c>
      <c r="T1912" s="1">
        <v>1</v>
      </c>
      <c r="U1912" s="1">
        <v>1</v>
      </c>
      <c r="V1912" s="1">
        <v>1</v>
      </c>
      <c r="W1912" s="1">
        <v>0</v>
      </c>
      <c r="X1912" s="1">
        <v>0</v>
      </c>
      <c r="Y1912" s="1">
        <v>3</v>
      </c>
      <c r="Z1912" s="1">
        <v>3</v>
      </c>
      <c r="AA1912" s="1">
        <v>3</v>
      </c>
      <c r="AB1912" s="1" t="s">
        <v>104</v>
      </c>
      <c r="AC1912" s="1" t="s">
        <v>104</v>
      </c>
      <c r="AD1912" s="1" t="s">
        <v>104</v>
      </c>
      <c r="AE1912" s="1" t="s">
        <v>104</v>
      </c>
      <c r="AF1912" s="1" t="s">
        <v>104</v>
      </c>
      <c r="AG1912" s="1" t="s">
        <v>104</v>
      </c>
      <c r="AH1912" s="1">
        <v>3</v>
      </c>
      <c r="AI1912" s="1" t="s">
        <v>104</v>
      </c>
      <c r="AJ1912" s="1">
        <v>3</v>
      </c>
      <c r="AK1912" s="1" t="s">
        <v>104</v>
      </c>
      <c r="AL1912" s="1" t="s">
        <v>104</v>
      </c>
      <c r="AM1912" s="1" t="s">
        <v>104</v>
      </c>
      <c r="AO1912" s="1">
        <v>3</v>
      </c>
      <c r="AR1912" s="1">
        <v>0</v>
      </c>
      <c r="AS1912" s="1">
        <v>0</v>
      </c>
      <c r="AT1912" s="1">
        <v>0</v>
      </c>
      <c r="AU1912" s="1">
        <v>0</v>
      </c>
      <c r="AV1912" s="1">
        <v>0</v>
      </c>
      <c r="AW1912" s="1">
        <v>0</v>
      </c>
      <c r="AX1912" s="1">
        <v>0</v>
      </c>
      <c r="AY1912" s="1">
        <v>0</v>
      </c>
      <c r="AZ1912" s="1">
        <v>0</v>
      </c>
      <c r="BA1912" s="1">
        <v>0</v>
      </c>
      <c r="BB1912" s="1">
        <v>0</v>
      </c>
      <c r="BC1912" s="1">
        <v>1</v>
      </c>
      <c r="BD1912" s="1">
        <v>0</v>
      </c>
      <c r="BE1912" s="1">
        <v>0</v>
      </c>
      <c r="BF1912" s="1">
        <v>0</v>
      </c>
      <c r="BG1912" s="1">
        <v>0</v>
      </c>
      <c r="BH1912" s="1">
        <v>0</v>
      </c>
      <c r="BI1912" s="1">
        <v>0</v>
      </c>
      <c r="BJ1912" s="1">
        <v>0</v>
      </c>
      <c r="BK1912" s="1">
        <v>0</v>
      </c>
      <c r="BL1912" s="1">
        <v>0</v>
      </c>
      <c r="BM1912" s="1">
        <v>0</v>
      </c>
      <c r="BN1912" s="1">
        <v>0</v>
      </c>
      <c r="BO1912" s="1">
        <v>0</v>
      </c>
      <c r="BP1912" s="1">
        <v>0</v>
      </c>
      <c r="BQ1912" s="1" t="s">
        <v>104</v>
      </c>
      <c r="BR1912" s="1">
        <v>2011</v>
      </c>
      <c r="BS1912" s="1" t="s">
        <v>104</v>
      </c>
      <c r="BX1912" s="1">
        <v>0</v>
      </c>
      <c r="BY1912" s="1" t="s">
        <v>104</v>
      </c>
      <c r="BZ1912" s="1" t="s">
        <v>104</v>
      </c>
      <c r="CA1912" s="1" t="s">
        <v>104</v>
      </c>
      <c r="CB1912" s="1" t="s">
        <v>104</v>
      </c>
      <c r="CC1912" s="1" t="s">
        <v>104</v>
      </c>
      <c r="CD1912" s="1" t="s">
        <v>104</v>
      </c>
      <c r="CE1912" s="1" t="s">
        <v>104</v>
      </c>
      <c r="CF1912" s="1" t="s">
        <v>104</v>
      </c>
      <c r="CG1912" s="1" t="s">
        <v>104</v>
      </c>
      <c r="CH1912" s="1" t="s">
        <v>104</v>
      </c>
      <c r="CJ1912" s="1">
        <v>0</v>
      </c>
      <c r="CK1912" s="1">
        <v>0</v>
      </c>
      <c r="CL1912" s="1">
        <v>0</v>
      </c>
      <c r="CM1912" s="1" t="s">
        <v>104</v>
      </c>
    </row>
    <row r="1913" spans="1:91" ht="14.25" customHeight="1" x14ac:dyDescent="0.3">
      <c r="A1913" s="1" t="s">
        <v>10227</v>
      </c>
      <c r="B1913" s="1" t="s">
        <v>507</v>
      </c>
      <c r="C1913" s="1" t="s">
        <v>508</v>
      </c>
      <c r="E1913" s="1" t="s">
        <v>10228</v>
      </c>
      <c r="F1913" s="1" t="s">
        <v>95</v>
      </c>
      <c r="G1913" s="1" t="s">
        <v>116</v>
      </c>
      <c r="H1913" s="1">
        <v>0</v>
      </c>
      <c r="I1913" s="1" t="s">
        <v>128</v>
      </c>
      <c r="L1913" s="1" t="s">
        <v>374</v>
      </c>
      <c r="M1913" s="1" t="s">
        <v>426</v>
      </c>
      <c r="N1913" s="1">
        <v>1</v>
      </c>
      <c r="O1913" s="1">
        <v>0</v>
      </c>
      <c r="P1913" s="1" t="s">
        <v>276</v>
      </c>
      <c r="Q1913" s="1" t="s">
        <v>184</v>
      </c>
      <c r="R1913" s="1" t="s">
        <v>10229</v>
      </c>
      <c r="S1913" s="1" t="s">
        <v>10226</v>
      </c>
      <c r="T1913" s="1">
        <v>1</v>
      </c>
      <c r="U1913" s="1">
        <v>1</v>
      </c>
      <c r="V1913" s="1">
        <v>0</v>
      </c>
      <c r="W1913" s="1">
        <v>0</v>
      </c>
      <c r="X1913" s="1">
        <v>0</v>
      </c>
      <c r="Y1913" s="1">
        <v>3</v>
      </c>
      <c r="Z1913" s="1">
        <v>3</v>
      </c>
      <c r="AA1913" s="1" t="s">
        <v>104</v>
      </c>
      <c r="AB1913" s="1" t="s">
        <v>104</v>
      </c>
      <c r="AC1913" s="1" t="s">
        <v>104</v>
      </c>
      <c r="AD1913" s="1">
        <v>3</v>
      </c>
      <c r="AE1913" s="1" t="s">
        <v>104</v>
      </c>
      <c r="AF1913" s="1" t="s">
        <v>104</v>
      </c>
      <c r="AG1913" s="1" t="s">
        <v>104</v>
      </c>
      <c r="AH1913" s="1">
        <v>3</v>
      </c>
      <c r="AI1913" s="1">
        <v>3</v>
      </c>
      <c r="AJ1913" s="1" t="s">
        <v>104</v>
      </c>
      <c r="AK1913" s="1">
        <v>3</v>
      </c>
      <c r="AL1913" s="1" t="s">
        <v>104</v>
      </c>
      <c r="AM1913" s="1" t="s">
        <v>104</v>
      </c>
      <c r="AO1913" s="1">
        <v>3</v>
      </c>
      <c r="AR1913" s="1">
        <v>0</v>
      </c>
      <c r="AS1913" s="1">
        <v>0</v>
      </c>
      <c r="AT1913" s="1">
        <v>0</v>
      </c>
      <c r="AU1913" s="1">
        <v>0</v>
      </c>
      <c r="AV1913" s="1">
        <v>0</v>
      </c>
      <c r="AW1913" s="1">
        <v>0</v>
      </c>
      <c r="AX1913" s="1">
        <v>0</v>
      </c>
      <c r="AY1913" s="1">
        <v>0</v>
      </c>
      <c r="AZ1913" s="1">
        <v>0</v>
      </c>
      <c r="BA1913" s="1">
        <v>0</v>
      </c>
      <c r="BB1913" s="1">
        <v>0</v>
      </c>
      <c r="BC1913" s="1">
        <v>0</v>
      </c>
      <c r="BD1913" s="1">
        <v>0</v>
      </c>
      <c r="BE1913" s="1">
        <v>0</v>
      </c>
      <c r="BF1913" s="1">
        <v>0</v>
      </c>
      <c r="BG1913" s="1">
        <v>0</v>
      </c>
      <c r="BH1913" s="1">
        <v>0</v>
      </c>
      <c r="BI1913" s="1">
        <v>0</v>
      </c>
      <c r="BJ1913" s="1">
        <v>0</v>
      </c>
      <c r="BK1913" s="1">
        <v>0</v>
      </c>
      <c r="BL1913" s="1">
        <v>0</v>
      </c>
      <c r="BM1913" s="1">
        <v>0</v>
      </c>
      <c r="BN1913" s="1">
        <v>0</v>
      </c>
      <c r="BO1913" s="1">
        <v>0</v>
      </c>
      <c r="BP1913" s="1">
        <v>0</v>
      </c>
      <c r="BQ1913" s="1" t="s">
        <v>104</v>
      </c>
      <c r="BR1913" s="1">
        <v>2012</v>
      </c>
      <c r="BS1913" s="1" t="s">
        <v>104</v>
      </c>
      <c r="BX1913" s="1">
        <v>0</v>
      </c>
      <c r="BY1913" s="1" t="s">
        <v>104</v>
      </c>
      <c r="BZ1913" s="1" t="s">
        <v>104</v>
      </c>
      <c r="CA1913" s="1">
        <v>3</v>
      </c>
      <c r="CB1913" s="1" t="s">
        <v>104</v>
      </c>
      <c r="CC1913" s="1">
        <v>3</v>
      </c>
      <c r="CD1913" s="1" t="s">
        <v>104</v>
      </c>
      <c r="CE1913" s="1" t="s">
        <v>104</v>
      </c>
      <c r="CF1913" s="1" t="s">
        <v>104</v>
      </c>
      <c r="CG1913" s="1" t="s">
        <v>104</v>
      </c>
      <c r="CH1913" s="1" t="s">
        <v>104</v>
      </c>
      <c r="CJ1913" s="1">
        <v>0</v>
      </c>
      <c r="CK1913" s="1">
        <v>0</v>
      </c>
      <c r="CL1913" s="1">
        <v>0</v>
      </c>
      <c r="CM1913" s="1" t="s">
        <v>104</v>
      </c>
    </row>
    <row r="1914" spans="1:91" ht="14.25" customHeight="1" x14ac:dyDescent="0.3">
      <c r="A1914" s="1" t="s">
        <v>10230</v>
      </c>
      <c r="B1914" s="1" t="s">
        <v>137</v>
      </c>
      <c r="E1914" s="1" t="s">
        <v>10231</v>
      </c>
      <c r="F1914" s="1" t="s">
        <v>95</v>
      </c>
      <c r="G1914" s="1" t="s">
        <v>10232</v>
      </c>
      <c r="H1914" s="1">
        <v>0</v>
      </c>
      <c r="I1914" s="1" t="s">
        <v>117</v>
      </c>
      <c r="L1914" s="1" t="s">
        <v>10233</v>
      </c>
      <c r="M1914" s="1" t="s">
        <v>201</v>
      </c>
      <c r="N1914" s="1">
        <v>0</v>
      </c>
      <c r="O1914" s="1">
        <v>0</v>
      </c>
      <c r="P1914" s="1" t="s">
        <v>211</v>
      </c>
      <c r="Q1914" s="1" t="s">
        <v>101</v>
      </c>
      <c r="R1914" s="1" t="s">
        <v>10234</v>
      </c>
      <c r="S1914" s="1" t="s">
        <v>10226</v>
      </c>
      <c r="T1914" s="1">
        <v>1</v>
      </c>
      <c r="U1914" s="1">
        <v>1</v>
      </c>
      <c r="V1914" s="1">
        <v>1</v>
      </c>
      <c r="W1914" s="1">
        <v>0</v>
      </c>
      <c r="X1914" s="1">
        <v>1</v>
      </c>
      <c r="Y1914" s="1">
        <v>3</v>
      </c>
      <c r="Z1914" s="1">
        <v>3</v>
      </c>
      <c r="AA1914" s="1">
        <v>3</v>
      </c>
      <c r="AB1914" s="1">
        <v>2</v>
      </c>
      <c r="AC1914" s="1">
        <v>4</v>
      </c>
      <c r="AD1914" s="1" t="s">
        <v>104</v>
      </c>
      <c r="AE1914" s="1" t="s">
        <v>104</v>
      </c>
      <c r="AF1914" s="1" t="s">
        <v>104</v>
      </c>
      <c r="AG1914" s="1" t="s">
        <v>104</v>
      </c>
      <c r="AH1914" s="1">
        <v>2</v>
      </c>
      <c r="AI1914" s="1" t="s">
        <v>104</v>
      </c>
      <c r="AJ1914" s="1">
        <v>3</v>
      </c>
      <c r="AK1914" s="1" t="s">
        <v>104</v>
      </c>
      <c r="AL1914" s="1" t="s">
        <v>104</v>
      </c>
      <c r="AM1914" s="1" t="s">
        <v>104</v>
      </c>
      <c r="AO1914" s="1">
        <v>3</v>
      </c>
      <c r="AR1914" s="1">
        <v>0</v>
      </c>
      <c r="AS1914" s="1">
        <v>0</v>
      </c>
      <c r="AT1914" s="1">
        <v>0</v>
      </c>
      <c r="AU1914" s="1">
        <v>0</v>
      </c>
      <c r="AV1914" s="1">
        <v>0</v>
      </c>
      <c r="AW1914" s="1">
        <v>0</v>
      </c>
      <c r="AX1914" s="1">
        <v>0</v>
      </c>
      <c r="AY1914" s="1">
        <v>0</v>
      </c>
      <c r="AZ1914" s="1">
        <v>0</v>
      </c>
      <c r="BA1914" s="1">
        <v>0</v>
      </c>
      <c r="BB1914" s="1">
        <v>0</v>
      </c>
      <c r="BC1914" s="1">
        <v>0</v>
      </c>
      <c r="BD1914" s="1">
        <v>0</v>
      </c>
      <c r="BE1914" s="1">
        <v>0</v>
      </c>
      <c r="BF1914" s="1">
        <v>0</v>
      </c>
      <c r="BG1914" s="1">
        <v>0</v>
      </c>
      <c r="BH1914" s="1">
        <v>0</v>
      </c>
      <c r="BI1914" s="1">
        <v>0</v>
      </c>
      <c r="BJ1914" s="1">
        <v>0</v>
      </c>
      <c r="BK1914" s="1">
        <v>0</v>
      </c>
      <c r="BL1914" s="1">
        <v>0</v>
      </c>
      <c r="BM1914" s="1">
        <v>0</v>
      </c>
      <c r="BN1914" s="1">
        <v>0</v>
      </c>
      <c r="BO1914" s="1">
        <v>0</v>
      </c>
      <c r="BP1914" s="1">
        <v>0</v>
      </c>
      <c r="BQ1914" s="1" t="s">
        <v>104</v>
      </c>
      <c r="BR1914" s="1">
        <v>2013</v>
      </c>
      <c r="BS1914" s="1" t="s">
        <v>104</v>
      </c>
      <c r="BX1914" s="1">
        <v>0</v>
      </c>
      <c r="BY1914" s="1" t="s">
        <v>104</v>
      </c>
      <c r="BZ1914" s="1" t="s">
        <v>104</v>
      </c>
      <c r="CA1914" s="1" t="s">
        <v>104</v>
      </c>
      <c r="CB1914" s="1" t="s">
        <v>104</v>
      </c>
      <c r="CC1914" s="1" t="s">
        <v>104</v>
      </c>
      <c r="CD1914" s="1" t="s">
        <v>104</v>
      </c>
      <c r="CE1914" s="1" t="s">
        <v>104</v>
      </c>
      <c r="CF1914" s="1" t="s">
        <v>104</v>
      </c>
      <c r="CG1914" s="1" t="s">
        <v>104</v>
      </c>
      <c r="CH1914" s="1">
        <v>2</v>
      </c>
      <c r="CJ1914" s="1">
        <v>0</v>
      </c>
      <c r="CK1914" s="1">
        <v>0</v>
      </c>
      <c r="CL1914" s="1">
        <v>0</v>
      </c>
      <c r="CM1914" s="1" t="s">
        <v>104</v>
      </c>
    </row>
    <row r="1915" spans="1:91" ht="14.25" customHeight="1" x14ac:dyDescent="0.3">
      <c r="A1915" s="1" t="s">
        <v>10235</v>
      </c>
      <c r="B1915" s="1" t="s">
        <v>162</v>
      </c>
      <c r="E1915" s="1" t="s">
        <v>8920</v>
      </c>
      <c r="F1915" s="1" t="s">
        <v>287</v>
      </c>
      <c r="G1915" s="1" t="s">
        <v>10236</v>
      </c>
      <c r="H1915" s="1">
        <v>0</v>
      </c>
      <c r="I1915" s="1" t="s">
        <v>128</v>
      </c>
      <c r="L1915" s="1" t="s">
        <v>10237</v>
      </c>
      <c r="M1915" s="1" t="s">
        <v>298</v>
      </c>
      <c r="N1915" s="1">
        <v>0</v>
      </c>
      <c r="O1915" s="1">
        <v>0</v>
      </c>
      <c r="P1915" s="1" t="s">
        <v>100</v>
      </c>
      <c r="Q1915" s="1" t="s">
        <v>101</v>
      </c>
      <c r="R1915" s="1" t="s">
        <v>10238</v>
      </c>
      <c r="S1915" s="1" t="s">
        <v>10226</v>
      </c>
      <c r="T1915" s="1">
        <v>1</v>
      </c>
      <c r="U1915" s="1">
        <v>1</v>
      </c>
      <c r="V1915" s="1">
        <v>1</v>
      </c>
      <c r="W1915" s="1">
        <v>0</v>
      </c>
      <c r="X1915" s="1">
        <v>0</v>
      </c>
      <c r="Y1915" s="1">
        <v>6</v>
      </c>
      <c r="Z1915" s="1">
        <v>6</v>
      </c>
      <c r="AA1915" s="1">
        <v>6</v>
      </c>
      <c r="AB1915" s="1" t="s">
        <v>104</v>
      </c>
      <c r="AC1915" s="1" t="s">
        <v>104</v>
      </c>
      <c r="AD1915" s="1" t="s">
        <v>104</v>
      </c>
      <c r="AE1915" s="1" t="s">
        <v>104</v>
      </c>
      <c r="AF1915" s="1" t="s">
        <v>104</v>
      </c>
      <c r="AG1915" s="1" t="s">
        <v>104</v>
      </c>
      <c r="AH1915" s="1">
        <v>6</v>
      </c>
      <c r="AI1915" s="1" t="s">
        <v>104</v>
      </c>
      <c r="AJ1915" s="1">
        <v>6</v>
      </c>
      <c r="AK1915" s="1" t="s">
        <v>104</v>
      </c>
      <c r="AL1915" s="1" t="s">
        <v>104</v>
      </c>
      <c r="AM1915" s="1" t="s">
        <v>104</v>
      </c>
      <c r="AO1915" s="1">
        <v>6</v>
      </c>
      <c r="AR1915" s="1">
        <v>0</v>
      </c>
      <c r="AS1915" s="1">
        <v>0</v>
      </c>
      <c r="AT1915" s="1">
        <v>0</v>
      </c>
      <c r="AU1915" s="1">
        <v>0</v>
      </c>
      <c r="AV1915" s="1">
        <v>0</v>
      </c>
      <c r="AW1915" s="1">
        <v>0</v>
      </c>
      <c r="AX1915" s="1">
        <v>0</v>
      </c>
      <c r="AY1915" s="1">
        <v>0</v>
      </c>
      <c r="AZ1915" s="1">
        <v>0</v>
      </c>
      <c r="BA1915" s="1">
        <v>0</v>
      </c>
      <c r="BB1915" s="1">
        <v>0</v>
      </c>
      <c r="BC1915" s="1">
        <v>0</v>
      </c>
      <c r="BD1915" s="1">
        <v>0</v>
      </c>
      <c r="BE1915" s="1">
        <v>0</v>
      </c>
      <c r="BF1915" s="1">
        <v>0</v>
      </c>
      <c r="BG1915" s="1">
        <v>0</v>
      </c>
      <c r="BH1915" s="1">
        <v>0</v>
      </c>
      <c r="BI1915" s="1">
        <v>0</v>
      </c>
      <c r="BJ1915" s="1">
        <v>0</v>
      </c>
      <c r="BK1915" s="1">
        <v>0</v>
      </c>
      <c r="BL1915" s="1">
        <v>0</v>
      </c>
      <c r="BM1915" s="1">
        <v>0</v>
      </c>
      <c r="BN1915" s="1">
        <v>0</v>
      </c>
      <c r="BO1915" s="1">
        <v>0</v>
      </c>
      <c r="BP1915" s="1">
        <v>0</v>
      </c>
      <c r="BQ1915" s="1" t="s">
        <v>104</v>
      </c>
      <c r="BR1915" s="1">
        <v>2014</v>
      </c>
      <c r="BS1915" s="1" t="s">
        <v>104</v>
      </c>
      <c r="BX1915" s="1">
        <v>0</v>
      </c>
      <c r="BY1915" s="1" t="s">
        <v>104</v>
      </c>
      <c r="BZ1915" s="1" t="s">
        <v>104</v>
      </c>
      <c r="CA1915" s="1" t="s">
        <v>104</v>
      </c>
      <c r="CB1915" s="1" t="s">
        <v>104</v>
      </c>
      <c r="CC1915" s="1" t="s">
        <v>104</v>
      </c>
      <c r="CD1915" s="1" t="s">
        <v>104</v>
      </c>
      <c r="CE1915" s="1" t="s">
        <v>104</v>
      </c>
      <c r="CF1915" s="1" t="s">
        <v>104</v>
      </c>
      <c r="CG1915" s="1" t="s">
        <v>104</v>
      </c>
      <c r="CH1915" s="1" t="s">
        <v>104</v>
      </c>
      <c r="CJ1915" s="1">
        <v>0</v>
      </c>
      <c r="CK1915" s="1">
        <v>0</v>
      </c>
      <c r="CL1915" s="1">
        <v>0</v>
      </c>
      <c r="CM1915" s="1" t="s">
        <v>104</v>
      </c>
    </row>
    <row r="1916" spans="1:91" ht="14.25" customHeight="1" x14ac:dyDescent="0.3">
      <c r="A1916" s="1" t="s">
        <v>10239</v>
      </c>
      <c r="B1916" s="1" t="s">
        <v>137</v>
      </c>
      <c r="D1916" s="1" t="s">
        <v>51</v>
      </c>
      <c r="E1916" s="1" t="s">
        <v>10240</v>
      </c>
      <c r="F1916" s="1" t="s">
        <v>95</v>
      </c>
      <c r="G1916" s="1" t="s">
        <v>10241</v>
      </c>
      <c r="H1916" s="1">
        <v>0</v>
      </c>
      <c r="I1916" s="1" t="s">
        <v>157</v>
      </c>
      <c r="L1916" s="1" t="s">
        <v>158</v>
      </c>
      <c r="M1916" s="1" t="s">
        <v>10242</v>
      </c>
      <c r="N1916" s="1">
        <v>0</v>
      </c>
      <c r="O1916" s="1">
        <v>0</v>
      </c>
      <c r="R1916" s="1" t="s">
        <v>10243</v>
      </c>
      <c r="S1916" s="1" t="s">
        <v>10226</v>
      </c>
      <c r="T1916" s="1">
        <v>1</v>
      </c>
      <c r="U1916" s="1">
        <v>1</v>
      </c>
      <c r="V1916" s="1">
        <v>1</v>
      </c>
      <c r="W1916" s="1">
        <v>0</v>
      </c>
      <c r="X1916" s="1">
        <v>1</v>
      </c>
      <c r="Y1916" s="1" t="s">
        <v>104</v>
      </c>
      <c r="Z1916" s="1" t="s">
        <v>104</v>
      </c>
      <c r="AA1916" s="1">
        <v>2</v>
      </c>
      <c r="AB1916" s="1">
        <v>2</v>
      </c>
      <c r="AC1916" s="1">
        <v>2</v>
      </c>
      <c r="AD1916" s="1" t="s">
        <v>104</v>
      </c>
      <c r="AE1916" s="1">
        <v>2</v>
      </c>
      <c r="AF1916" s="1">
        <v>2</v>
      </c>
      <c r="AG1916" s="1" t="s">
        <v>104</v>
      </c>
      <c r="AH1916" s="1">
        <v>2</v>
      </c>
      <c r="AI1916" s="1" t="s">
        <v>104</v>
      </c>
      <c r="AJ1916" s="1">
        <v>2</v>
      </c>
      <c r="AK1916" s="1">
        <v>2</v>
      </c>
      <c r="AL1916" s="1" t="s">
        <v>104</v>
      </c>
      <c r="AM1916" s="1" t="s">
        <v>104</v>
      </c>
      <c r="AO1916" s="1">
        <v>2</v>
      </c>
      <c r="AR1916" s="1">
        <v>0</v>
      </c>
      <c r="AS1916" s="1">
        <v>0</v>
      </c>
      <c r="AT1916" s="1">
        <v>0</v>
      </c>
      <c r="AU1916" s="1">
        <v>0</v>
      </c>
      <c r="AV1916" s="1">
        <v>0</v>
      </c>
      <c r="AW1916" s="1">
        <v>0</v>
      </c>
      <c r="AX1916" s="1">
        <v>0</v>
      </c>
      <c r="AY1916" s="1">
        <v>0</v>
      </c>
      <c r="AZ1916" s="1">
        <v>1</v>
      </c>
      <c r="BA1916" s="1">
        <v>0</v>
      </c>
      <c r="BB1916" s="1">
        <v>0</v>
      </c>
      <c r="BC1916" s="1">
        <v>0</v>
      </c>
      <c r="BD1916" s="1">
        <v>0</v>
      </c>
      <c r="BE1916" s="1">
        <v>0</v>
      </c>
      <c r="BF1916" s="1">
        <v>0</v>
      </c>
      <c r="BG1916" s="1">
        <v>0</v>
      </c>
      <c r="BH1916" s="1">
        <v>0</v>
      </c>
      <c r="BI1916" s="1">
        <v>0</v>
      </c>
      <c r="BJ1916" s="1">
        <v>0</v>
      </c>
      <c r="BK1916" s="1">
        <v>0</v>
      </c>
      <c r="BL1916" s="1">
        <v>0</v>
      </c>
      <c r="BM1916" s="1">
        <v>0</v>
      </c>
      <c r="BN1916" s="1">
        <v>0</v>
      </c>
      <c r="BO1916" s="1">
        <v>0</v>
      </c>
      <c r="BP1916" s="1">
        <v>0</v>
      </c>
      <c r="BQ1916" s="1" t="s">
        <v>104</v>
      </c>
      <c r="BR1916" s="1">
        <v>2015</v>
      </c>
      <c r="BS1916" s="1" t="s">
        <v>104</v>
      </c>
      <c r="BX1916" s="1">
        <v>0</v>
      </c>
      <c r="BY1916" s="1">
        <v>2</v>
      </c>
      <c r="BZ1916" s="1" t="s">
        <v>104</v>
      </c>
      <c r="CA1916" s="1">
        <v>2</v>
      </c>
      <c r="CB1916" s="1" t="s">
        <v>104</v>
      </c>
      <c r="CC1916" s="1" t="s">
        <v>104</v>
      </c>
      <c r="CD1916" s="1" t="s">
        <v>104</v>
      </c>
      <c r="CE1916" s="1" t="s">
        <v>104</v>
      </c>
      <c r="CF1916" s="1" t="s">
        <v>104</v>
      </c>
      <c r="CG1916" s="1" t="s">
        <v>104</v>
      </c>
      <c r="CH1916" s="1">
        <v>2</v>
      </c>
      <c r="CJ1916" s="1">
        <v>0</v>
      </c>
      <c r="CK1916" s="1">
        <v>0</v>
      </c>
      <c r="CL1916" s="1">
        <v>0</v>
      </c>
      <c r="CM1916" s="1" t="s">
        <v>104</v>
      </c>
    </row>
    <row r="1917" spans="1:91" ht="14.25" customHeight="1" x14ac:dyDescent="0.3">
      <c r="A1917" s="1" t="s">
        <v>10244</v>
      </c>
      <c r="B1917" s="1" t="s">
        <v>434</v>
      </c>
      <c r="D1917" s="1" t="s">
        <v>46</v>
      </c>
      <c r="E1917" s="1" t="s">
        <v>10245</v>
      </c>
      <c r="F1917" s="1" t="s">
        <v>95</v>
      </c>
      <c r="G1917" s="1" t="s">
        <v>116</v>
      </c>
      <c r="H1917" s="1">
        <v>0</v>
      </c>
      <c r="I1917" s="1" t="s">
        <v>117</v>
      </c>
      <c r="J1917" s="1" t="s">
        <v>10246</v>
      </c>
      <c r="M1917" s="1" t="s">
        <v>4313</v>
      </c>
      <c r="N1917" s="1">
        <v>0</v>
      </c>
      <c r="O1917" s="1">
        <v>0</v>
      </c>
      <c r="P1917" s="1" t="s">
        <v>5842</v>
      </c>
      <c r="Q1917" s="1" t="s">
        <v>145</v>
      </c>
      <c r="R1917" s="1" t="s">
        <v>10247</v>
      </c>
      <c r="S1917" s="1" t="s">
        <v>10226</v>
      </c>
      <c r="T1917" s="1">
        <v>1</v>
      </c>
      <c r="U1917" s="1">
        <v>1</v>
      </c>
      <c r="V1917" s="1">
        <v>0</v>
      </c>
      <c r="W1917" s="1">
        <v>0</v>
      </c>
      <c r="X1917" s="1">
        <v>0</v>
      </c>
      <c r="Y1917" s="1">
        <v>2</v>
      </c>
      <c r="Z1917" s="1">
        <v>2</v>
      </c>
      <c r="AA1917" s="1" t="s">
        <v>104</v>
      </c>
      <c r="AB1917" s="1">
        <v>2</v>
      </c>
      <c r="AC1917" s="1">
        <v>2</v>
      </c>
      <c r="AD1917" s="1" t="s">
        <v>104</v>
      </c>
      <c r="AE1917" s="1" t="s">
        <v>104</v>
      </c>
      <c r="AF1917" s="1" t="s">
        <v>104</v>
      </c>
      <c r="AG1917" s="1" t="s">
        <v>104</v>
      </c>
      <c r="AH1917" s="1">
        <v>2</v>
      </c>
      <c r="AI1917" s="1" t="s">
        <v>104</v>
      </c>
      <c r="AJ1917" s="1" t="s">
        <v>104</v>
      </c>
      <c r="AK1917" s="1" t="s">
        <v>104</v>
      </c>
      <c r="AL1917" s="1">
        <v>2</v>
      </c>
      <c r="AM1917" s="1" t="s">
        <v>104</v>
      </c>
      <c r="AO1917" s="1">
        <v>2</v>
      </c>
      <c r="AR1917" s="1">
        <v>0</v>
      </c>
      <c r="AS1917" s="1">
        <v>0</v>
      </c>
      <c r="AT1917" s="1">
        <v>0</v>
      </c>
      <c r="AU1917" s="1">
        <v>1</v>
      </c>
      <c r="AV1917" s="1">
        <v>0</v>
      </c>
      <c r="AW1917" s="1">
        <v>0</v>
      </c>
      <c r="AX1917" s="1">
        <v>0</v>
      </c>
      <c r="AY1917" s="1">
        <v>0</v>
      </c>
      <c r="AZ1917" s="1">
        <v>0</v>
      </c>
      <c r="BA1917" s="1">
        <v>0</v>
      </c>
      <c r="BB1917" s="1">
        <v>0</v>
      </c>
      <c r="BC1917" s="1">
        <v>0</v>
      </c>
      <c r="BD1917" s="1">
        <v>0</v>
      </c>
      <c r="BE1917" s="1">
        <v>0</v>
      </c>
      <c r="BF1917" s="1">
        <v>0</v>
      </c>
      <c r="BG1917" s="1">
        <v>0</v>
      </c>
      <c r="BH1917" s="1">
        <v>0</v>
      </c>
      <c r="BI1917" s="1">
        <v>0</v>
      </c>
      <c r="BJ1917" s="1">
        <v>0</v>
      </c>
      <c r="BK1917" s="1">
        <v>0</v>
      </c>
      <c r="BL1917" s="1">
        <v>0</v>
      </c>
      <c r="BM1917" s="1">
        <v>0</v>
      </c>
      <c r="BN1917" s="1">
        <v>0</v>
      </c>
      <c r="BO1917" s="1">
        <v>0</v>
      </c>
      <c r="BP1917" s="1">
        <v>0</v>
      </c>
      <c r="BQ1917" s="1" t="s">
        <v>104</v>
      </c>
      <c r="BR1917" s="1">
        <v>2016</v>
      </c>
      <c r="BS1917" s="1" t="s">
        <v>104</v>
      </c>
      <c r="BX1917" s="1">
        <v>0</v>
      </c>
      <c r="BY1917" s="1" t="s">
        <v>104</v>
      </c>
      <c r="BZ1917" s="1" t="s">
        <v>104</v>
      </c>
      <c r="CA1917" s="1" t="s">
        <v>104</v>
      </c>
      <c r="CB1917" s="1" t="s">
        <v>104</v>
      </c>
      <c r="CC1917" s="1" t="s">
        <v>104</v>
      </c>
      <c r="CD1917" s="1" t="s">
        <v>104</v>
      </c>
      <c r="CE1917" s="1" t="s">
        <v>104</v>
      </c>
      <c r="CF1917" s="1" t="s">
        <v>104</v>
      </c>
      <c r="CG1917" s="1" t="s">
        <v>104</v>
      </c>
      <c r="CH1917" s="1">
        <v>2</v>
      </c>
      <c r="CJ1917" s="1">
        <v>0</v>
      </c>
      <c r="CK1917" s="1">
        <v>0</v>
      </c>
      <c r="CL1917" s="1">
        <v>0</v>
      </c>
      <c r="CM1917" s="1" t="s">
        <v>104</v>
      </c>
    </row>
    <row r="1918" spans="1:91" ht="14.25" customHeight="1" x14ac:dyDescent="0.3">
      <c r="A1918" s="1" t="s">
        <v>10248</v>
      </c>
      <c r="B1918" s="1" t="s">
        <v>137</v>
      </c>
      <c r="D1918" s="1" t="s">
        <v>51</v>
      </c>
      <c r="E1918" s="1" t="s">
        <v>9081</v>
      </c>
      <c r="F1918" s="1" t="s">
        <v>95</v>
      </c>
      <c r="G1918" s="1" t="s">
        <v>127</v>
      </c>
      <c r="H1918" s="1">
        <v>0</v>
      </c>
      <c r="I1918" s="1" t="s">
        <v>128</v>
      </c>
      <c r="L1918" s="1" t="s">
        <v>10249</v>
      </c>
      <c r="M1918" s="1" t="s">
        <v>2425</v>
      </c>
      <c r="N1918" s="1">
        <v>0</v>
      </c>
      <c r="O1918" s="1">
        <v>0</v>
      </c>
      <c r="P1918" s="1" t="s">
        <v>148</v>
      </c>
      <c r="Q1918" s="1" t="s">
        <v>149</v>
      </c>
      <c r="R1918" s="1" t="s">
        <v>10250</v>
      </c>
      <c r="S1918" s="1" t="s">
        <v>10226</v>
      </c>
      <c r="T1918" s="1">
        <v>1</v>
      </c>
      <c r="U1918" s="1">
        <v>1</v>
      </c>
      <c r="V1918" s="1">
        <v>0</v>
      </c>
      <c r="W1918" s="1">
        <v>0</v>
      </c>
      <c r="X1918" s="1">
        <v>1</v>
      </c>
      <c r="Y1918" s="1" t="s">
        <v>104</v>
      </c>
      <c r="Z1918" s="1" t="s">
        <v>104</v>
      </c>
      <c r="AA1918" s="1">
        <v>2</v>
      </c>
      <c r="AB1918" s="1">
        <v>2</v>
      </c>
      <c r="AC1918" s="1" t="s">
        <v>104</v>
      </c>
      <c r="AD1918" s="1" t="s">
        <v>104</v>
      </c>
      <c r="AE1918" s="1" t="s">
        <v>104</v>
      </c>
      <c r="AF1918" s="1" t="s">
        <v>104</v>
      </c>
      <c r="AG1918" s="1" t="s">
        <v>104</v>
      </c>
      <c r="AH1918" s="1" t="s">
        <v>104</v>
      </c>
      <c r="AI1918" s="1" t="s">
        <v>104</v>
      </c>
      <c r="AJ1918" s="1">
        <v>2</v>
      </c>
      <c r="AK1918" s="1" t="s">
        <v>104</v>
      </c>
      <c r="AL1918" s="1" t="s">
        <v>104</v>
      </c>
      <c r="AM1918" s="1" t="s">
        <v>104</v>
      </c>
      <c r="AO1918" s="1">
        <v>2</v>
      </c>
      <c r="AR1918" s="1">
        <v>0</v>
      </c>
      <c r="AS1918" s="1">
        <v>0</v>
      </c>
      <c r="AT1918" s="1">
        <v>0</v>
      </c>
      <c r="AU1918" s="1">
        <v>0</v>
      </c>
      <c r="AV1918" s="1">
        <v>0</v>
      </c>
      <c r="AW1918" s="1">
        <v>0</v>
      </c>
      <c r="AX1918" s="1">
        <v>0</v>
      </c>
      <c r="AY1918" s="1">
        <v>0</v>
      </c>
      <c r="AZ1918" s="1">
        <v>1</v>
      </c>
      <c r="BA1918" s="1">
        <v>0</v>
      </c>
      <c r="BB1918" s="1">
        <v>0</v>
      </c>
      <c r="BC1918" s="1">
        <v>0</v>
      </c>
      <c r="BD1918" s="1">
        <v>0</v>
      </c>
      <c r="BE1918" s="1">
        <v>0</v>
      </c>
      <c r="BF1918" s="1">
        <v>0</v>
      </c>
      <c r="BG1918" s="1">
        <v>0</v>
      </c>
      <c r="BH1918" s="1">
        <v>0</v>
      </c>
      <c r="BI1918" s="1">
        <v>0</v>
      </c>
      <c r="BJ1918" s="1">
        <v>0</v>
      </c>
      <c r="BK1918" s="1">
        <v>0</v>
      </c>
      <c r="BL1918" s="1">
        <v>0</v>
      </c>
      <c r="BM1918" s="1">
        <v>0</v>
      </c>
      <c r="BN1918" s="1">
        <v>0</v>
      </c>
      <c r="BO1918" s="1">
        <v>0</v>
      </c>
      <c r="BP1918" s="1">
        <v>0</v>
      </c>
      <c r="BQ1918" s="1" t="s">
        <v>104</v>
      </c>
      <c r="BR1918" s="1">
        <v>2017</v>
      </c>
      <c r="BS1918" s="1" t="s">
        <v>104</v>
      </c>
      <c r="BX1918" s="1">
        <v>0</v>
      </c>
      <c r="BY1918" s="1" t="s">
        <v>104</v>
      </c>
      <c r="BZ1918" s="1" t="s">
        <v>104</v>
      </c>
      <c r="CA1918" s="1" t="s">
        <v>104</v>
      </c>
      <c r="CB1918" s="1" t="s">
        <v>104</v>
      </c>
      <c r="CC1918" s="1" t="s">
        <v>104</v>
      </c>
      <c r="CD1918" s="1" t="s">
        <v>104</v>
      </c>
      <c r="CE1918" s="1" t="s">
        <v>104</v>
      </c>
      <c r="CF1918" s="1" t="s">
        <v>104</v>
      </c>
      <c r="CG1918" s="1" t="s">
        <v>104</v>
      </c>
      <c r="CH1918" s="1">
        <v>2</v>
      </c>
      <c r="CJ1918" s="1">
        <v>0</v>
      </c>
      <c r="CK1918" s="1">
        <v>0</v>
      </c>
      <c r="CL1918" s="1">
        <v>0</v>
      </c>
      <c r="CM1918" s="1" t="s">
        <v>104</v>
      </c>
    </row>
    <row r="1919" spans="1:91" ht="14.25" customHeight="1" x14ac:dyDescent="0.3">
      <c r="A1919" s="1" t="s">
        <v>10251</v>
      </c>
      <c r="B1919" s="1" t="s">
        <v>137</v>
      </c>
      <c r="C1919" s="1" t="s">
        <v>154</v>
      </c>
      <c r="E1919" s="1" t="s">
        <v>10252</v>
      </c>
      <c r="F1919" s="1" t="s">
        <v>95</v>
      </c>
      <c r="G1919" s="1" t="s">
        <v>116</v>
      </c>
      <c r="H1919" s="1">
        <v>0</v>
      </c>
      <c r="I1919" s="1" t="s">
        <v>128</v>
      </c>
      <c r="L1919" s="1" t="s">
        <v>10253</v>
      </c>
      <c r="M1919" s="1" t="s">
        <v>4992</v>
      </c>
      <c r="N1919" s="1">
        <v>1</v>
      </c>
      <c r="O1919" s="1">
        <v>0</v>
      </c>
      <c r="P1919" s="1" t="s">
        <v>131</v>
      </c>
      <c r="Q1919" s="1" t="s">
        <v>131</v>
      </c>
      <c r="R1919" s="1" t="s">
        <v>10254</v>
      </c>
      <c r="S1919" s="1" t="s">
        <v>10226</v>
      </c>
      <c r="T1919" s="1">
        <v>1</v>
      </c>
      <c r="U1919" s="1">
        <v>1</v>
      </c>
      <c r="V1919" s="1">
        <v>0</v>
      </c>
      <c r="W1919" s="1">
        <v>0</v>
      </c>
      <c r="X1919" s="1">
        <v>0</v>
      </c>
      <c r="Y1919" s="1">
        <v>2</v>
      </c>
      <c r="Z1919" s="1">
        <v>2</v>
      </c>
      <c r="AA1919" s="1" t="s">
        <v>104</v>
      </c>
      <c r="AB1919" s="1" t="s">
        <v>104</v>
      </c>
      <c r="AC1919" s="1" t="s">
        <v>104</v>
      </c>
      <c r="AD1919" s="1">
        <v>2</v>
      </c>
      <c r="AE1919" s="1" t="s">
        <v>104</v>
      </c>
      <c r="AF1919" s="1">
        <v>2</v>
      </c>
      <c r="AG1919" s="1" t="s">
        <v>104</v>
      </c>
      <c r="AH1919" s="1">
        <v>2</v>
      </c>
      <c r="AI1919" s="1">
        <v>2</v>
      </c>
      <c r="AJ1919" s="1" t="s">
        <v>104</v>
      </c>
      <c r="AK1919" s="1" t="s">
        <v>104</v>
      </c>
      <c r="AL1919" s="1" t="s">
        <v>104</v>
      </c>
      <c r="AM1919" s="1" t="s">
        <v>104</v>
      </c>
      <c r="AO1919" s="1">
        <v>2</v>
      </c>
      <c r="AR1919" s="1">
        <v>0</v>
      </c>
      <c r="AS1919" s="1">
        <v>0</v>
      </c>
      <c r="AT1919" s="1">
        <v>0</v>
      </c>
      <c r="AU1919" s="1">
        <v>0</v>
      </c>
      <c r="AV1919" s="1">
        <v>0</v>
      </c>
      <c r="AW1919" s="1">
        <v>0</v>
      </c>
      <c r="AX1919" s="1">
        <v>0</v>
      </c>
      <c r="AY1919" s="1">
        <v>0</v>
      </c>
      <c r="AZ1919" s="1">
        <v>0</v>
      </c>
      <c r="BA1919" s="1">
        <v>0</v>
      </c>
      <c r="BB1919" s="1">
        <v>0</v>
      </c>
      <c r="BC1919" s="1">
        <v>0</v>
      </c>
      <c r="BD1919" s="1">
        <v>0</v>
      </c>
      <c r="BE1919" s="1">
        <v>0</v>
      </c>
      <c r="BF1919" s="1">
        <v>0</v>
      </c>
      <c r="BG1919" s="1">
        <v>0</v>
      </c>
      <c r="BH1919" s="1">
        <v>0</v>
      </c>
      <c r="BI1919" s="1">
        <v>0</v>
      </c>
      <c r="BJ1919" s="1">
        <v>0</v>
      </c>
      <c r="BK1919" s="1">
        <v>0</v>
      </c>
      <c r="BL1919" s="1">
        <v>0</v>
      </c>
      <c r="BM1919" s="1">
        <v>0</v>
      </c>
      <c r="BN1919" s="1">
        <v>0</v>
      </c>
      <c r="BO1919" s="1">
        <v>0</v>
      </c>
      <c r="BP1919" s="1">
        <v>0</v>
      </c>
      <c r="BQ1919" s="1" t="s">
        <v>104</v>
      </c>
      <c r="BR1919" s="1">
        <v>2018</v>
      </c>
      <c r="BS1919" s="1" t="s">
        <v>104</v>
      </c>
      <c r="BX1919" s="1">
        <v>0</v>
      </c>
      <c r="BY1919" s="1" t="s">
        <v>104</v>
      </c>
      <c r="BZ1919" s="1" t="s">
        <v>104</v>
      </c>
      <c r="CA1919" s="1">
        <v>2</v>
      </c>
      <c r="CB1919" s="1" t="s">
        <v>104</v>
      </c>
      <c r="CC1919" s="1" t="s">
        <v>104</v>
      </c>
      <c r="CD1919" s="1" t="s">
        <v>104</v>
      </c>
      <c r="CE1919" s="1" t="s">
        <v>104</v>
      </c>
      <c r="CF1919" s="1" t="s">
        <v>104</v>
      </c>
      <c r="CG1919" s="1" t="s">
        <v>104</v>
      </c>
      <c r="CH1919" s="1" t="s">
        <v>104</v>
      </c>
      <c r="CJ1919" s="1">
        <v>0</v>
      </c>
      <c r="CK1919" s="1">
        <v>0</v>
      </c>
      <c r="CL1919" s="1">
        <v>0</v>
      </c>
      <c r="CM1919" s="1" t="s">
        <v>104</v>
      </c>
    </row>
    <row r="1920" spans="1:91" ht="14.25" customHeight="1" x14ac:dyDescent="0.3">
      <c r="A1920" s="1" t="s">
        <v>10255</v>
      </c>
      <c r="B1920" s="1" t="s">
        <v>137</v>
      </c>
      <c r="E1920" s="1" t="s">
        <v>10256</v>
      </c>
      <c r="F1920" s="1" t="s">
        <v>95</v>
      </c>
      <c r="G1920" s="1" t="s">
        <v>116</v>
      </c>
      <c r="H1920" s="1">
        <v>0</v>
      </c>
      <c r="I1920" s="1" t="s">
        <v>109</v>
      </c>
      <c r="J1920" s="1" t="s">
        <v>8972</v>
      </c>
      <c r="M1920" s="1" t="s">
        <v>111</v>
      </c>
      <c r="N1920" s="1">
        <v>0</v>
      </c>
      <c r="O1920" s="1">
        <v>0</v>
      </c>
      <c r="P1920" s="1" t="s">
        <v>100</v>
      </c>
      <c r="Q1920" s="1" t="s">
        <v>101</v>
      </c>
      <c r="R1920" s="1" t="s">
        <v>10257</v>
      </c>
      <c r="S1920" s="1" t="s">
        <v>10226</v>
      </c>
      <c r="T1920" s="1">
        <v>1</v>
      </c>
      <c r="U1920" s="1">
        <v>1</v>
      </c>
      <c r="V1920" s="1">
        <v>0</v>
      </c>
      <c r="W1920" s="1">
        <v>0</v>
      </c>
      <c r="X1920" s="1">
        <v>0</v>
      </c>
      <c r="Y1920" s="1">
        <v>5</v>
      </c>
      <c r="Z1920" s="1">
        <v>5</v>
      </c>
      <c r="AA1920" s="1" t="s">
        <v>104</v>
      </c>
      <c r="AB1920" s="1">
        <v>5</v>
      </c>
      <c r="AC1920" s="1" t="s">
        <v>104</v>
      </c>
      <c r="AD1920" s="1" t="s">
        <v>104</v>
      </c>
      <c r="AE1920" s="1" t="s">
        <v>104</v>
      </c>
      <c r="AF1920" s="1" t="s">
        <v>104</v>
      </c>
      <c r="AG1920" s="1" t="s">
        <v>104</v>
      </c>
      <c r="AH1920" s="1">
        <v>5</v>
      </c>
      <c r="AI1920" s="1" t="s">
        <v>104</v>
      </c>
      <c r="AJ1920" s="1" t="s">
        <v>104</v>
      </c>
      <c r="AK1920" s="1" t="s">
        <v>104</v>
      </c>
      <c r="AL1920" s="1" t="s">
        <v>104</v>
      </c>
      <c r="AM1920" s="1" t="s">
        <v>104</v>
      </c>
      <c r="AO1920" s="1">
        <v>5</v>
      </c>
      <c r="AR1920" s="1">
        <v>0</v>
      </c>
      <c r="AS1920" s="1">
        <v>0</v>
      </c>
      <c r="AT1920" s="1">
        <v>0</v>
      </c>
      <c r="AU1920" s="1">
        <v>0</v>
      </c>
      <c r="AV1920" s="1">
        <v>0</v>
      </c>
      <c r="AW1920" s="1">
        <v>0</v>
      </c>
      <c r="AX1920" s="1">
        <v>0</v>
      </c>
      <c r="AY1920" s="1">
        <v>0</v>
      </c>
      <c r="AZ1920" s="1">
        <v>0</v>
      </c>
      <c r="BA1920" s="1">
        <v>0</v>
      </c>
      <c r="BB1920" s="1">
        <v>0</v>
      </c>
      <c r="BC1920" s="1">
        <v>0</v>
      </c>
      <c r="BD1920" s="1">
        <v>0</v>
      </c>
      <c r="BE1920" s="1">
        <v>0</v>
      </c>
      <c r="BF1920" s="1">
        <v>0</v>
      </c>
      <c r="BG1920" s="1">
        <v>0</v>
      </c>
      <c r="BH1920" s="1">
        <v>0</v>
      </c>
      <c r="BI1920" s="1">
        <v>0</v>
      </c>
      <c r="BJ1920" s="1">
        <v>0</v>
      </c>
      <c r="BK1920" s="1">
        <v>0</v>
      </c>
      <c r="BL1920" s="1">
        <v>0</v>
      </c>
      <c r="BM1920" s="1">
        <v>0</v>
      </c>
      <c r="BN1920" s="1">
        <v>0</v>
      </c>
      <c r="BO1920" s="1">
        <v>0</v>
      </c>
      <c r="BP1920" s="1">
        <v>0</v>
      </c>
      <c r="BQ1920" s="1" t="s">
        <v>104</v>
      </c>
      <c r="BR1920" s="1">
        <v>2019</v>
      </c>
      <c r="BS1920" s="1" t="s">
        <v>104</v>
      </c>
      <c r="BT1920" s="1" t="s">
        <v>10258</v>
      </c>
      <c r="BX1920" s="1">
        <v>0</v>
      </c>
      <c r="BY1920" s="1" t="s">
        <v>104</v>
      </c>
      <c r="BZ1920" s="1" t="s">
        <v>104</v>
      </c>
      <c r="CA1920" s="1" t="s">
        <v>104</v>
      </c>
      <c r="CB1920" s="1" t="s">
        <v>104</v>
      </c>
      <c r="CC1920" s="1" t="s">
        <v>104</v>
      </c>
      <c r="CD1920" s="1" t="s">
        <v>104</v>
      </c>
      <c r="CE1920" s="1" t="s">
        <v>104</v>
      </c>
      <c r="CF1920" s="1" t="s">
        <v>104</v>
      </c>
      <c r="CG1920" s="1" t="s">
        <v>104</v>
      </c>
      <c r="CH1920" s="1">
        <v>5</v>
      </c>
      <c r="CJ1920" s="1">
        <v>0</v>
      </c>
      <c r="CK1920" s="1">
        <v>0</v>
      </c>
      <c r="CL1920" s="1">
        <v>0</v>
      </c>
      <c r="CM1920" s="1" t="s">
        <v>104</v>
      </c>
    </row>
    <row r="1921" spans="1:91" ht="14.25" customHeight="1" x14ac:dyDescent="0.3">
      <c r="A1921" s="1" t="s">
        <v>10259</v>
      </c>
      <c r="B1921" s="1" t="s">
        <v>434</v>
      </c>
      <c r="D1921" s="1" t="s">
        <v>145</v>
      </c>
      <c r="E1921" s="1" t="s">
        <v>5840</v>
      </c>
      <c r="F1921" s="1" t="s">
        <v>95</v>
      </c>
      <c r="G1921" s="1" t="s">
        <v>116</v>
      </c>
      <c r="H1921" s="1">
        <v>0</v>
      </c>
      <c r="I1921" s="1" t="s">
        <v>109</v>
      </c>
      <c r="K1921" s="1" t="s">
        <v>10260</v>
      </c>
      <c r="M1921" s="1" t="s">
        <v>10261</v>
      </c>
      <c r="N1921" s="1">
        <v>0</v>
      </c>
      <c r="O1921" s="1">
        <v>0</v>
      </c>
      <c r="P1921" s="1" t="s">
        <v>8473</v>
      </c>
      <c r="Q1921" s="1" t="s">
        <v>8474</v>
      </c>
      <c r="R1921" s="1" t="s">
        <v>10262</v>
      </c>
      <c r="S1921" s="1" t="s">
        <v>10263</v>
      </c>
      <c r="T1921" s="1">
        <v>1</v>
      </c>
      <c r="U1921" s="1">
        <v>1</v>
      </c>
      <c r="V1921" s="1">
        <v>0</v>
      </c>
      <c r="W1921" s="1">
        <v>0</v>
      </c>
      <c r="X1921" s="1">
        <v>0</v>
      </c>
      <c r="Y1921" s="1">
        <v>5</v>
      </c>
      <c r="Z1921" s="1">
        <v>5</v>
      </c>
      <c r="AA1921" s="1" t="s">
        <v>104</v>
      </c>
      <c r="AB1921" s="1" t="s">
        <v>104</v>
      </c>
      <c r="AC1921" s="1" t="s">
        <v>104</v>
      </c>
      <c r="AD1921" s="1" t="s">
        <v>104</v>
      </c>
      <c r="AE1921" s="1" t="s">
        <v>104</v>
      </c>
      <c r="AF1921" s="1" t="s">
        <v>104</v>
      </c>
      <c r="AG1921" s="1" t="s">
        <v>104</v>
      </c>
      <c r="AH1921" s="1" t="s">
        <v>104</v>
      </c>
      <c r="AI1921" s="1" t="s">
        <v>104</v>
      </c>
      <c r="AJ1921" s="1" t="s">
        <v>104</v>
      </c>
      <c r="AK1921" s="1" t="s">
        <v>104</v>
      </c>
      <c r="AL1921" s="1">
        <v>5</v>
      </c>
      <c r="AM1921" s="1" t="s">
        <v>104</v>
      </c>
      <c r="AO1921" s="1">
        <v>5</v>
      </c>
      <c r="AR1921" s="1">
        <v>0</v>
      </c>
      <c r="AS1921" s="1">
        <v>0</v>
      </c>
      <c r="AT1921" s="1">
        <v>0</v>
      </c>
      <c r="AU1921" s="1">
        <v>0</v>
      </c>
      <c r="AV1921" s="1">
        <v>0</v>
      </c>
      <c r="AW1921" s="1">
        <v>0</v>
      </c>
      <c r="AX1921" s="1">
        <v>0</v>
      </c>
      <c r="AY1921" s="1">
        <v>0</v>
      </c>
      <c r="AZ1921" s="1">
        <v>0</v>
      </c>
      <c r="BA1921" s="1">
        <v>0</v>
      </c>
      <c r="BB1921" s="1">
        <v>0</v>
      </c>
      <c r="BC1921" s="1">
        <v>0</v>
      </c>
      <c r="BD1921" s="1">
        <v>0</v>
      </c>
      <c r="BE1921" s="1">
        <v>0</v>
      </c>
      <c r="BF1921" s="1">
        <v>0</v>
      </c>
      <c r="BG1921" s="1">
        <v>0</v>
      </c>
      <c r="BH1921" s="1">
        <v>0</v>
      </c>
      <c r="BI1921" s="1">
        <v>0</v>
      </c>
      <c r="BJ1921" s="1">
        <v>0</v>
      </c>
      <c r="BK1921" s="1">
        <v>0</v>
      </c>
      <c r="BL1921" s="1">
        <v>0</v>
      </c>
      <c r="BM1921" s="1">
        <v>0</v>
      </c>
      <c r="BN1921" s="1">
        <v>0</v>
      </c>
      <c r="BO1921" s="1">
        <v>0</v>
      </c>
      <c r="BP1921" s="1">
        <v>0</v>
      </c>
      <c r="BQ1921" s="1" t="s">
        <v>104</v>
      </c>
      <c r="BR1921" s="1">
        <v>2020</v>
      </c>
      <c r="BS1921" s="1" t="s">
        <v>104</v>
      </c>
      <c r="BX1921" s="1">
        <v>0</v>
      </c>
      <c r="BY1921" s="1" t="s">
        <v>104</v>
      </c>
      <c r="BZ1921" s="1" t="s">
        <v>104</v>
      </c>
      <c r="CA1921" s="1" t="s">
        <v>104</v>
      </c>
      <c r="CB1921" s="1" t="s">
        <v>104</v>
      </c>
      <c r="CC1921" s="1" t="s">
        <v>104</v>
      </c>
      <c r="CD1921" s="1" t="s">
        <v>104</v>
      </c>
      <c r="CE1921" s="1" t="s">
        <v>104</v>
      </c>
      <c r="CF1921" s="1" t="s">
        <v>104</v>
      </c>
      <c r="CG1921" s="1" t="s">
        <v>104</v>
      </c>
      <c r="CH1921" s="1" t="s">
        <v>104</v>
      </c>
      <c r="CJ1921" s="1">
        <v>0</v>
      </c>
      <c r="CK1921" s="1">
        <v>0</v>
      </c>
      <c r="CL1921" s="1">
        <v>0</v>
      </c>
      <c r="CM1921" s="1" t="s">
        <v>104</v>
      </c>
    </row>
    <row r="1922" spans="1:91" ht="14.25" customHeight="1" x14ac:dyDescent="0.3">
      <c r="A1922" s="1" t="s">
        <v>10264</v>
      </c>
      <c r="B1922" s="1" t="s">
        <v>216</v>
      </c>
      <c r="E1922" s="1" t="s">
        <v>10265</v>
      </c>
      <c r="F1922" s="1" t="s">
        <v>95</v>
      </c>
      <c r="G1922" s="1" t="s">
        <v>116</v>
      </c>
      <c r="H1922" s="1">
        <v>0</v>
      </c>
      <c r="I1922" s="1" t="s">
        <v>117</v>
      </c>
      <c r="L1922" s="1" t="s">
        <v>6465</v>
      </c>
      <c r="M1922" s="1" t="s">
        <v>111</v>
      </c>
      <c r="N1922" s="1">
        <v>0</v>
      </c>
      <c r="O1922" s="1">
        <v>0</v>
      </c>
      <c r="P1922" s="1" t="s">
        <v>5957</v>
      </c>
      <c r="Q1922" s="1" t="s">
        <v>9311</v>
      </c>
      <c r="R1922" s="1" t="s">
        <v>10266</v>
      </c>
      <c r="S1922" s="1" t="s">
        <v>10263</v>
      </c>
      <c r="T1922" s="1">
        <v>1</v>
      </c>
      <c r="U1922" s="1">
        <v>1</v>
      </c>
      <c r="V1922" s="1">
        <v>0</v>
      </c>
      <c r="W1922" s="1">
        <v>0</v>
      </c>
      <c r="X1922" s="1">
        <v>0</v>
      </c>
      <c r="Y1922" s="1">
        <v>4</v>
      </c>
      <c r="Z1922" s="1">
        <v>4</v>
      </c>
      <c r="AA1922" s="1" t="s">
        <v>104</v>
      </c>
      <c r="AB1922" s="1" t="s">
        <v>104</v>
      </c>
      <c r="AC1922" s="1">
        <v>3</v>
      </c>
      <c r="AD1922" s="1" t="s">
        <v>104</v>
      </c>
      <c r="AE1922" s="1" t="s">
        <v>104</v>
      </c>
      <c r="AF1922" s="1" t="s">
        <v>104</v>
      </c>
      <c r="AG1922" s="1" t="s">
        <v>104</v>
      </c>
      <c r="AH1922" s="1">
        <v>4</v>
      </c>
      <c r="AI1922" s="1">
        <v>3</v>
      </c>
      <c r="AJ1922" s="1" t="s">
        <v>104</v>
      </c>
      <c r="AK1922" s="1">
        <v>3</v>
      </c>
      <c r="AL1922" s="1">
        <v>3</v>
      </c>
      <c r="AM1922" s="1" t="s">
        <v>104</v>
      </c>
      <c r="AO1922" s="1">
        <v>4</v>
      </c>
      <c r="AR1922" s="1">
        <v>0</v>
      </c>
      <c r="AS1922" s="1">
        <v>0</v>
      </c>
      <c r="AT1922" s="1">
        <v>0</v>
      </c>
      <c r="AU1922" s="1">
        <v>0</v>
      </c>
      <c r="AV1922" s="1">
        <v>0</v>
      </c>
      <c r="AW1922" s="1">
        <v>0</v>
      </c>
      <c r="AX1922" s="1">
        <v>0</v>
      </c>
      <c r="AY1922" s="1">
        <v>0</v>
      </c>
      <c r="AZ1922" s="1">
        <v>0</v>
      </c>
      <c r="BA1922" s="1">
        <v>0</v>
      </c>
      <c r="BB1922" s="1">
        <v>0</v>
      </c>
      <c r="BC1922" s="1">
        <v>0</v>
      </c>
      <c r="BD1922" s="1">
        <v>0</v>
      </c>
      <c r="BE1922" s="1">
        <v>0</v>
      </c>
      <c r="BF1922" s="1">
        <v>0</v>
      </c>
      <c r="BG1922" s="1">
        <v>0</v>
      </c>
      <c r="BH1922" s="1">
        <v>0</v>
      </c>
      <c r="BI1922" s="1">
        <v>0</v>
      </c>
      <c r="BJ1922" s="1">
        <v>0</v>
      </c>
      <c r="BK1922" s="1">
        <v>0</v>
      </c>
      <c r="BL1922" s="1">
        <v>0</v>
      </c>
      <c r="BM1922" s="1">
        <v>0</v>
      </c>
      <c r="BN1922" s="1">
        <v>0</v>
      </c>
      <c r="BO1922" s="1">
        <v>0</v>
      </c>
      <c r="BP1922" s="1">
        <v>0</v>
      </c>
      <c r="BQ1922" s="1" t="s">
        <v>104</v>
      </c>
      <c r="BR1922" s="1">
        <v>2021</v>
      </c>
      <c r="BS1922" s="1" t="s">
        <v>104</v>
      </c>
      <c r="BX1922" s="1">
        <v>0</v>
      </c>
      <c r="BY1922" s="1" t="s">
        <v>104</v>
      </c>
      <c r="BZ1922" s="1">
        <v>4</v>
      </c>
      <c r="CA1922" s="1" t="s">
        <v>104</v>
      </c>
      <c r="CB1922" s="1" t="s">
        <v>104</v>
      </c>
      <c r="CC1922" s="1" t="s">
        <v>104</v>
      </c>
      <c r="CD1922" s="1" t="s">
        <v>104</v>
      </c>
      <c r="CE1922" s="1" t="s">
        <v>104</v>
      </c>
      <c r="CF1922" s="1" t="s">
        <v>104</v>
      </c>
      <c r="CG1922" s="1" t="s">
        <v>104</v>
      </c>
      <c r="CH1922" s="1">
        <v>3</v>
      </c>
      <c r="CJ1922" s="1">
        <v>0</v>
      </c>
      <c r="CK1922" s="1">
        <v>0</v>
      </c>
      <c r="CL1922" s="1">
        <v>0</v>
      </c>
      <c r="CM1922" s="1" t="s">
        <v>104</v>
      </c>
    </row>
    <row r="1923" spans="1:91" ht="14.25" customHeight="1" x14ac:dyDescent="0.3">
      <c r="A1923" s="1" t="s">
        <v>10267</v>
      </c>
      <c r="B1923" s="1" t="s">
        <v>162</v>
      </c>
      <c r="D1923" s="1" t="s">
        <v>44</v>
      </c>
      <c r="E1923" s="1" t="s">
        <v>10268</v>
      </c>
      <c r="F1923" s="1" t="s">
        <v>95</v>
      </c>
      <c r="G1923" s="1" t="s">
        <v>116</v>
      </c>
      <c r="H1923" s="1">
        <v>0</v>
      </c>
      <c r="I1923" s="1" t="s">
        <v>97</v>
      </c>
      <c r="J1923" s="1" t="s">
        <v>10269</v>
      </c>
      <c r="M1923" s="1" t="s">
        <v>6174</v>
      </c>
      <c r="N1923" s="1">
        <v>1</v>
      </c>
      <c r="O1923" s="1">
        <v>0</v>
      </c>
      <c r="P1923" s="1" t="s">
        <v>8473</v>
      </c>
      <c r="Q1923" s="1" t="s">
        <v>8474</v>
      </c>
      <c r="R1923" s="1" t="s">
        <v>10270</v>
      </c>
      <c r="S1923" s="1" t="s">
        <v>10263</v>
      </c>
      <c r="T1923" s="1">
        <v>1</v>
      </c>
      <c r="U1923" s="1">
        <v>1</v>
      </c>
      <c r="V1923" s="1">
        <v>0</v>
      </c>
      <c r="W1923" s="1">
        <v>0</v>
      </c>
      <c r="X1923" s="1">
        <v>0</v>
      </c>
      <c r="Y1923" s="1">
        <v>5</v>
      </c>
      <c r="Z1923" s="1">
        <v>5</v>
      </c>
      <c r="AA1923" s="1" t="s">
        <v>104</v>
      </c>
      <c r="AB1923" s="1">
        <v>4</v>
      </c>
      <c r="AC1923" s="1" t="s">
        <v>104</v>
      </c>
      <c r="AD1923" s="1" t="s">
        <v>104</v>
      </c>
      <c r="AE1923" s="1" t="s">
        <v>104</v>
      </c>
      <c r="AF1923" s="1" t="s">
        <v>104</v>
      </c>
      <c r="AG1923" s="1">
        <v>4</v>
      </c>
      <c r="AH1923" s="1" t="s">
        <v>104</v>
      </c>
      <c r="AI1923" s="1" t="s">
        <v>104</v>
      </c>
      <c r="AJ1923" s="1" t="s">
        <v>104</v>
      </c>
      <c r="AK1923" s="1" t="s">
        <v>104</v>
      </c>
      <c r="AL1923" s="1" t="s">
        <v>104</v>
      </c>
      <c r="AM1923" s="1" t="s">
        <v>104</v>
      </c>
      <c r="AO1923" s="1">
        <v>5</v>
      </c>
      <c r="AR1923" s="1">
        <v>0</v>
      </c>
      <c r="AS1923" s="1">
        <v>1</v>
      </c>
      <c r="AT1923" s="1">
        <v>0</v>
      </c>
      <c r="AU1923" s="1">
        <v>0</v>
      </c>
      <c r="AV1923" s="1">
        <v>0</v>
      </c>
      <c r="AW1923" s="1">
        <v>0</v>
      </c>
      <c r="AX1923" s="1">
        <v>0</v>
      </c>
      <c r="AY1923" s="1">
        <v>0</v>
      </c>
      <c r="AZ1923" s="1">
        <v>0</v>
      </c>
      <c r="BA1923" s="1">
        <v>0</v>
      </c>
      <c r="BB1923" s="1">
        <v>0</v>
      </c>
      <c r="BC1923" s="1">
        <v>0</v>
      </c>
      <c r="BD1923" s="1">
        <v>0</v>
      </c>
      <c r="BE1923" s="1">
        <v>0</v>
      </c>
      <c r="BF1923" s="1">
        <v>0</v>
      </c>
      <c r="BG1923" s="1">
        <v>0</v>
      </c>
      <c r="BH1923" s="1">
        <v>0</v>
      </c>
      <c r="BI1923" s="1">
        <v>0</v>
      </c>
      <c r="BJ1923" s="1">
        <v>0</v>
      </c>
      <c r="BK1923" s="1">
        <v>0</v>
      </c>
      <c r="BL1923" s="1">
        <v>0</v>
      </c>
      <c r="BM1923" s="1">
        <v>0</v>
      </c>
      <c r="BN1923" s="1">
        <v>0</v>
      </c>
      <c r="BO1923" s="1">
        <v>0</v>
      </c>
      <c r="BP1923" s="1">
        <v>0</v>
      </c>
      <c r="BQ1923" s="1" t="s">
        <v>104</v>
      </c>
      <c r="BR1923" s="1">
        <v>2022</v>
      </c>
      <c r="BS1923" s="1" t="s">
        <v>104</v>
      </c>
      <c r="BX1923" s="1">
        <v>0</v>
      </c>
      <c r="BY1923" s="1" t="s">
        <v>104</v>
      </c>
      <c r="BZ1923" s="1" t="s">
        <v>104</v>
      </c>
      <c r="CA1923" s="1" t="s">
        <v>104</v>
      </c>
      <c r="CB1923" s="1" t="s">
        <v>104</v>
      </c>
      <c r="CC1923" s="1" t="s">
        <v>104</v>
      </c>
      <c r="CD1923" s="1" t="s">
        <v>104</v>
      </c>
      <c r="CE1923" s="1" t="s">
        <v>104</v>
      </c>
      <c r="CF1923" s="1" t="s">
        <v>104</v>
      </c>
      <c r="CG1923" s="1" t="s">
        <v>104</v>
      </c>
      <c r="CH1923" s="1">
        <v>4</v>
      </c>
      <c r="CJ1923" s="1">
        <v>0</v>
      </c>
      <c r="CK1923" s="1">
        <v>0</v>
      </c>
      <c r="CL1923" s="1">
        <v>0</v>
      </c>
      <c r="CM1923" s="1">
        <v>4</v>
      </c>
    </row>
    <row r="1924" spans="1:91" ht="14.25" customHeight="1" x14ac:dyDescent="0.3">
      <c r="A1924" s="1" t="s">
        <v>10271</v>
      </c>
      <c r="B1924" s="1" t="s">
        <v>137</v>
      </c>
      <c r="D1924" s="1" t="s">
        <v>44</v>
      </c>
      <c r="E1924" s="1" t="s">
        <v>8758</v>
      </c>
      <c r="F1924" s="1" t="s">
        <v>95</v>
      </c>
      <c r="G1924" s="1" t="s">
        <v>116</v>
      </c>
      <c r="H1924" s="1">
        <v>0</v>
      </c>
      <c r="I1924" s="1" t="s">
        <v>4126</v>
      </c>
      <c r="J1924" s="1" t="s">
        <v>3489</v>
      </c>
      <c r="M1924" s="1" t="s">
        <v>620</v>
      </c>
      <c r="N1924" s="1">
        <v>1</v>
      </c>
      <c r="O1924" s="1">
        <v>0</v>
      </c>
      <c r="P1924" s="1" t="s">
        <v>100</v>
      </c>
      <c r="Q1924" s="1" t="s">
        <v>101</v>
      </c>
      <c r="R1924" s="1" t="s">
        <v>10272</v>
      </c>
      <c r="S1924" s="1" t="s">
        <v>10263</v>
      </c>
      <c r="T1924" s="1">
        <v>1</v>
      </c>
      <c r="U1924" s="1">
        <v>1</v>
      </c>
      <c r="V1924" s="1">
        <v>0</v>
      </c>
      <c r="W1924" s="1">
        <v>0</v>
      </c>
      <c r="X1924" s="1">
        <v>0</v>
      </c>
      <c r="Y1924" s="1">
        <v>4</v>
      </c>
      <c r="Z1924" s="1">
        <v>4</v>
      </c>
      <c r="AA1924" s="1" t="s">
        <v>104</v>
      </c>
      <c r="AB1924" s="1" t="s">
        <v>104</v>
      </c>
      <c r="AC1924" s="1" t="s">
        <v>104</v>
      </c>
      <c r="AD1924" s="1">
        <v>4</v>
      </c>
      <c r="AE1924" s="1" t="s">
        <v>104</v>
      </c>
      <c r="AF1924" s="1" t="s">
        <v>104</v>
      </c>
      <c r="AG1924" s="1" t="s">
        <v>104</v>
      </c>
      <c r="AH1924" s="1" t="s">
        <v>104</v>
      </c>
      <c r="AI1924" s="1" t="s">
        <v>104</v>
      </c>
      <c r="AJ1924" s="1" t="s">
        <v>104</v>
      </c>
      <c r="AK1924" s="1" t="s">
        <v>104</v>
      </c>
      <c r="AL1924" s="1" t="s">
        <v>104</v>
      </c>
      <c r="AM1924" s="1" t="s">
        <v>104</v>
      </c>
      <c r="AO1924" s="1">
        <v>4</v>
      </c>
      <c r="AR1924" s="1">
        <v>0</v>
      </c>
      <c r="AS1924" s="1">
        <v>1</v>
      </c>
      <c r="AT1924" s="1">
        <v>0</v>
      </c>
      <c r="AU1924" s="1">
        <v>0</v>
      </c>
      <c r="AV1924" s="1">
        <v>0</v>
      </c>
      <c r="AW1924" s="1">
        <v>0</v>
      </c>
      <c r="AX1924" s="1">
        <v>0</v>
      </c>
      <c r="AY1924" s="1">
        <v>0</v>
      </c>
      <c r="AZ1924" s="1">
        <v>0</v>
      </c>
      <c r="BA1924" s="1">
        <v>0</v>
      </c>
      <c r="BB1924" s="1">
        <v>0</v>
      </c>
      <c r="BC1924" s="1">
        <v>0</v>
      </c>
      <c r="BD1924" s="1">
        <v>0</v>
      </c>
      <c r="BE1924" s="1">
        <v>0</v>
      </c>
      <c r="BF1924" s="1">
        <v>0</v>
      </c>
      <c r="BG1924" s="1">
        <v>0</v>
      </c>
      <c r="BH1924" s="1">
        <v>0</v>
      </c>
      <c r="BI1924" s="1">
        <v>0</v>
      </c>
      <c r="BJ1924" s="1">
        <v>0</v>
      </c>
      <c r="BK1924" s="1">
        <v>0</v>
      </c>
      <c r="BL1924" s="1">
        <v>0</v>
      </c>
      <c r="BM1924" s="1">
        <v>0</v>
      </c>
      <c r="BN1924" s="1">
        <v>0</v>
      </c>
      <c r="BO1924" s="1">
        <v>0</v>
      </c>
      <c r="BP1924" s="1">
        <v>0</v>
      </c>
      <c r="BQ1924" s="1" t="s">
        <v>104</v>
      </c>
      <c r="BR1924" s="1">
        <v>2023</v>
      </c>
      <c r="BS1924" s="1" t="s">
        <v>104</v>
      </c>
      <c r="BX1924" s="1">
        <v>0</v>
      </c>
      <c r="BY1924" s="1" t="s">
        <v>104</v>
      </c>
      <c r="BZ1924" s="1" t="s">
        <v>104</v>
      </c>
      <c r="CA1924" s="1" t="s">
        <v>104</v>
      </c>
      <c r="CB1924" s="1" t="s">
        <v>104</v>
      </c>
      <c r="CC1924" s="1" t="s">
        <v>104</v>
      </c>
      <c r="CD1924" s="1" t="s">
        <v>104</v>
      </c>
      <c r="CE1924" s="1" t="s">
        <v>104</v>
      </c>
      <c r="CF1924" s="1" t="s">
        <v>104</v>
      </c>
      <c r="CG1924" s="1" t="s">
        <v>104</v>
      </c>
      <c r="CH1924" s="1" t="s">
        <v>104</v>
      </c>
      <c r="CJ1924" s="1">
        <v>0</v>
      </c>
      <c r="CK1924" s="1">
        <v>0</v>
      </c>
      <c r="CL1924" s="1">
        <v>0</v>
      </c>
      <c r="CM1924" s="1" t="s">
        <v>104</v>
      </c>
    </row>
    <row r="1925" spans="1:91" ht="14.25" customHeight="1" x14ac:dyDescent="0.3">
      <c r="A1925" s="1" t="s">
        <v>10273</v>
      </c>
      <c r="B1925" s="1" t="s">
        <v>92</v>
      </c>
      <c r="C1925" s="1" t="s">
        <v>93</v>
      </c>
      <c r="E1925" s="1" t="s">
        <v>1688</v>
      </c>
      <c r="F1925" s="1" t="s">
        <v>95</v>
      </c>
      <c r="G1925" s="1" t="s">
        <v>10274</v>
      </c>
      <c r="H1925" s="1">
        <v>1</v>
      </c>
      <c r="I1925" s="1" t="s">
        <v>97</v>
      </c>
      <c r="K1925" s="1" t="s">
        <v>10275</v>
      </c>
      <c r="M1925" s="1" t="s">
        <v>119</v>
      </c>
      <c r="N1925" s="1">
        <v>0</v>
      </c>
      <c r="O1925" s="1">
        <v>0</v>
      </c>
      <c r="P1925" s="1" t="s">
        <v>9432</v>
      </c>
      <c r="Q1925" s="1" t="s">
        <v>101</v>
      </c>
      <c r="R1925" s="1" t="s">
        <v>10276</v>
      </c>
      <c r="S1925" s="1" t="s">
        <v>10263</v>
      </c>
      <c r="T1925" s="1">
        <v>1</v>
      </c>
      <c r="U1925" s="1">
        <v>1</v>
      </c>
      <c r="V1925" s="1">
        <v>1</v>
      </c>
      <c r="W1925" s="1">
        <v>0</v>
      </c>
      <c r="X1925" s="1">
        <v>0</v>
      </c>
      <c r="Y1925" s="1">
        <v>8</v>
      </c>
      <c r="Z1925" s="1">
        <v>8</v>
      </c>
      <c r="AA1925" s="1" t="s">
        <v>104</v>
      </c>
      <c r="AB1925" s="1" t="s">
        <v>104</v>
      </c>
      <c r="AC1925" s="1" t="s">
        <v>104</v>
      </c>
      <c r="AD1925" s="1" t="s">
        <v>104</v>
      </c>
      <c r="AE1925" s="1" t="s">
        <v>104</v>
      </c>
      <c r="AF1925" s="1" t="s">
        <v>104</v>
      </c>
      <c r="AG1925" s="1" t="s">
        <v>104</v>
      </c>
      <c r="AH1925" s="1" t="s">
        <v>104</v>
      </c>
      <c r="AI1925" s="1" t="s">
        <v>104</v>
      </c>
      <c r="AJ1925" s="1" t="s">
        <v>104</v>
      </c>
      <c r="AK1925" s="1" t="s">
        <v>104</v>
      </c>
      <c r="AL1925" s="1" t="s">
        <v>104</v>
      </c>
      <c r="AM1925" s="1" t="s">
        <v>104</v>
      </c>
      <c r="AO1925" s="1">
        <v>8</v>
      </c>
      <c r="AR1925" s="1">
        <v>0</v>
      </c>
      <c r="AS1925" s="1">
        <v>0</v>
      </c>
      <c r="AT1925" s="1">
        <v>0</v>
      </c>
      <c r="AU1925" s="1">
        <v>0</v>
      </c>
      <c r="AV1925" s="1">
        <v>0</v>
      </c>
      <c r="AW1925" s="1">
        <v>0</v>
      </c>
      <c r="AX1925" s="1">
        <v>0</v>
      </c>
      <c r="AY1925" s="1">
        <v>0</v>
      </c>
      <c r="AZ1925" s="1">
        <v>0</v>
      </c>
      <c r="BA1925" s="1">
        <v>0</v>
      </c>
      <c r="BB1925" s="1">
        <v>0</v>
      </c>
      <c r="BC1925" s="1">
        <v>0</v>
      </c>
      <c r="BD1925" s="1">
        <v>0</v>
      </c>
      <c r="BE1925" s="1">
        <v>0</v>
      </c>
      <c r="BF1925" s="1">
        <v>0</v>
      </c>
      <c r="BG1925" s="1">
        <v>0</v>
      </c>
      <c r="BH1925" s="1">
        <v>0</v>
      </c>
      <c r="BI1925" s="1">
        <v>0</v>
      </c>
      <c r="BJ1925" s="1">
        <v>0</v>
      </c>
      <c r="BK1925" s="1">
        <v>0</v>
      </c>
      <c r="BL1925" s="1">
        <v>0</v>
      </c>
      <c r="BM1925" s="1">
        <v>0</v>
      </c>
      <c r="BN1925" s="1">
        <v>0</v>
      </c>
      <c r="BO1925" s="1">
        <v>0</v>
      </c>
      <c r="BP1925" s="1">
        <v>0</v>
      </c>
      <c r="BQ1925" s="1" t="s">
        <v>104</v>
      </c>
      <c r="BR1925" s="1">
        <v>2024</v>
      </c>
      <c r="BS1925" s="1">
        <v>1</v>
      </c>
      <c r="BX1925" s="1">
        <v>0</v>
      </c>
      <c r="BY1925" s="1" t="s">
        <v>104</v>
      </c>
      <c r="BZ1925" s="1" t="s">
        <v>104</v>
      </c>
      <c r="CA1925" s="1" t="s">
        <v>104</v>
      </c>
      <c r="CB1925" s="1" t="s">
        <v>104</v>
      </c>
      <c r="CC1925" s="1" t="s">
        <v>104</v>
      </c>
      <c r="CD1925" s="1" t="s">
        <v>104</v>
      </c>
      <c r="CE1925" s="1" t="s">
        <v>104</v>
      </c>
      <c r="CF1925" s="1" t="s">
        <v>104</v>
      </c>
      <c r="CG1925" s="1" t="s">
        <v>104</v>
      </c>
      <c r="CH1925" s="1" t="s">
        <v>104</v>
      </c>
      <c r="CJ1925" s="1">
        <v>0</v>
      </c>
      <c r="CK1925" s="1">
        <v>0</v>
      </c>
      <c r="CL1925" s="1">
        <v>0</v>
      </c>
      <c r="CM1925" s="1" t="s">
        <v>104</v>
      </c>
    </row>
    <row r="1926" spans="1:91" ht="14.25" customHeight="1" x14ac:dyDescent="0.3">
      <c r="A1926" s="1" t="s">
        <v>10277</v>
      </c>
      <c r="B1926" s="1" t="s">
        <v>137</v>
      </c>
      <c r="E1926" s="1" t="s">
        <v>10278</v>
      </c>
      <c r="F1926" s="1" t="s">
        <v>95</v>
      </c>
      <c r="G1926" s="1" t="s">
        <v>116</v>
      </c>
      <c r="H1926" s="1">
        <v>0</v>
      </c>
      <c r="I1926" s="1" t="s">
        <v>128</v>
      </c>
      <c r="L1926" s="1" t="s">
        <v>10279</v>
      </c>
      <c r="M1926" s="1" t="s">
        <v>5644</v>
      </c>
      <c r="N1926" s="1">
        <v>1</v>
      </c>
      <c r="O1926" s="1">
        <v>0</v>
      </c>
      <c r="P1926" s="1" t="s">
        <v>8473</v>
      </c>
      <c r="Q1926" s="1" t="s">
        <v>8474</v>
      </c>
      <c r="R1926" s="1" t="s">
        <v>10280</v>
      </c>
      <c r="S1926" s="1" t="s">
        <v>10263</v>
      </c>
      <c r="T1926" s="1">
        <v>1</v>
      </c>
      <c r="U1926" s="1">
        <v>1</v>
      </c>
      <c r="V1926" s="1">
        <v>0</v>
      </c>
      <c r="W1926" s="1">
        <v>0</v>
      </c>
      <c r="X1926" s="1">
        <v>0</v>
      </c>
      <c r="Y1926" s="1">
        <v>2</v>
      </c>
      <c r="Z1926" s="1">
        <v>2</v>
      </c>
      <c r="AA1926" s="1" t="s">
        <v>104</v>
      </c>
      <c r="AB1926" s="1" t="s">
        <v>104</v>
      </c>
      <c r="AC1926" s="1" t="s">
        <v>104</v>
      </c>
      <c r="AD1926" s="1" t="s">
        <v>104</v>
      </c>
      <c r="AE1926" s="1" t="s">
        <v>104</v>
      </c>
      <c r="AF1926" s="1" t="s">
        <v>104</v>
      </c>
      <c r="AG1926" s="1" t="s">
        <v>104</v>
      </c>
      <c r="AH1926" s="1" t="s">
        <v>104</v>
      </c>
      <c r="AI1926" s="1" t="s">
        <v>104</v>
      </c>
      <c r="AJ1926" s="1" t="s">
        <v>104</v>
      </c>
      <c r="AK1926" s="1" t="s">
        <v>104</v>
      </c>
      <c r="AL1926" s="1">
        <v>2</v>
      </c>
      <c r="AM1926" s="1" t="s">
        <v>104</v>
      </c>
      <c r="AO1926" s="1">
        <v>2</v>
      </c>
      <c r="AR1926" s="1">
        <v>0</v>
      </c>
      <c r="AS1926" s="1">
        <v>0</v>
      </c>
      <c r="AT1926" s="1">
        <v>0</v>
      </c>
      <c r="AU1926" s="1">
        <v>0</v>
      </c>
      <c r="AV1926" s="1">
        <v>0</v>
      </c>
      <c r="AW1926" s="1">
        <v>0</v>
      </c>
      <c r="AX1926" s="1">
        <v>0</v>
      </c>
      <c r="AY1926" s="1">
        <v>0</v>
      </c>
      <c r="AZ1926" s="1">
        <v>0</v>
      </c>
      <c r="BA1926" s="1">
        <v>0</v>
      </c>
      <c r="BB1926" s="1">
        <v>0</v>
      </c>
      <c r="BC1926" s="1">
        <v>0</v>
      </c>
      <c r="BD1926" s="1">
        <v>0</v>
      </c>
      <c r="BE1926" s="1">
        <v>0</v>
      </c>
      <c r="BF1926" s="1">
        <v>0</v>
      </c>
      <c r="BG1926" s="1">
        <v>0</v>
      </c>
      <c r="BH1926" s="1">
        <v>0</v>
      </c>
      <c r="BI1926" s="1">
        <v>0</v>
      </c>
      <c r="BJ1926" s="1">
        <v>0</v>
      </c>
      <c r="BK1926" s="1">
        <v>0</v>
      </c>
      <c r="BL1926" s="1">
        <v>0</v>
      </c>
      <c r="BM1926" s="1">
        <v>0</v>
      </c>
      <c r="BN1926" s="1">
        <v>0</v>
      </c>
      <c r="BO1926" s="1">
        <v>0</v>
      </c>
      <c r="BP1926" s="1">
        <v>0</v>
      </c>
      <c r="BQ1926" s="1" t="s">
        <v>104</v>
      </c>
      <c r="BR1926" s="1">
        <v>2025</v>
      </c>
      <c r="BS1926" s="1" t="s">
        <v>104</v>
      </c>
      <c r="BX1926" s="1">
        <v>0</v>
      </c>
      <c r="BY1926" s="1" t="s">
        <v>104</v>
      </c>
      <c r="BZ1926" s="1" t="s">
        <v>104</v>
      </c>
      <c r="CA1926" s="1" t="s">
        <v>104</v>
      </c>
      <c r="CB1926" s="1" t="s">
        <v>104</v>
      </c>
      <c r="CC1926" s="1" t="s">
        <v>104</v>
      </c>
      <c r="CD1926" s="1" t="s">
        <v>104</v>
      </c>
      <c r="CE1926" s="1" t="s">
        <v>104</v>
      </c>
      <c r="CF1926" s="1" t="s">
        <v>104</v>
      </c>
      <c r="CG1926" s="1" t="s">
        <v>104</v>
      </c>
      <c r="CH1926" s="1" t="s">
        <v>104</v>
      </c>
      <c r="CJ1926" s="1">
        <v>0</v>
      </c>
      <c r="CK1926" s="1">
        <v>0</v>
      </c>
      <c r="CL1926" s="1">
        <v>0</v>
      </c>
      <c r="CM1926" s="1" t="s">
        <v>104</v>
      </c>
    </row>
    <row r="1927" spans="1:91" ht="14.25" customHeight="1" x14ac:dyDescent="0.3">
      <c r="A1927" s="1" t="s">
        <v>10281</v>
      </c>
      <c r="B1927" s="1" t="s">
        <v>137</v>
      </c>
      <c r="E1927" s="1" t="s">
        <v>10282</v>
      </c>
      <c r="F1927" s="1" t="s">
        <v>95</v>
      </c>
      <c r="G1927" s="1" t="s">
        <v>116</v>
      </c>
      <c r="H1927" s="1">
        <v>0</v>
      </c>
      <c r="I1927" s="1" t="s">
        <v>128</v>
      </c>
      <c r="L1927" s="1" t="s">
        <v>374</v>
      </c>
      <c r="M1927" s="1" t="s">
        <v>4292</v>
      </c>
      <c r="N1927" s="1">
        <v>0</v>
      </c>
      <c r="O1927" s="1">
        <v>0</v>
      </c>
      <c r="R1927" s="1" t="s">
        <v>10283</v>
      </c>
      <c r="S1927" s="1" t="s">
        <v>10226</v>
      </c>
      <c r="T1927" s="1">
        <v>1</v>
      </c>
      <c r="U1927" s="1">
        <v>1</v>
      </c>
      <c r="V1927" s="1">
        <v>0</v>
      </c>
      <c r="W1927" s="1">
        <v>0</v>
      </c>
      <c r="X1927" s="1">
        <v>0</v>
      </c>
      <c r="Y1927" s="1">
        <v>1</v>
      </c>
      <c r="Z1927" s="1">
        <v>1</v>
      </c>
      <c r="AA1927" s="1" t="s">
        <v>104</v>
      </c>
      <c r="AB1927" s="1" t="s">
        <v>104</v>
      </c>
      <c r="AC1927" s="1" t="s">
        <v>104</v>
      </c>
      <c r="AD1927" s="1" t="s">
        <v>104</v>
      </c>
      <c r="AE1927" s="1" t="s">
        <v>104</v>
      </c>
      <c r="AF1927" s="1">
        <v>1</v>
      </c>
      <c r="AG1927" s="1" t="s">
        <v>104</v>
      </c>
      <c r="AH1927" s="1">
        <v>1</v>
      </c>
      <c r="AI1927" s="1" t="s">
        <v>104</v>
      </c>
      <c r="AJ1927" s="1" t="s">
        <v>104</v>
      </c>
      <c r="AK1927" s="1" t="s">
        <v>104</v>
      </c>
      <c r="AL1927" s="1" t="s">
        <v>104</v>
      </c>
      <c r="AM1927" s="1" t="s">
        <v>104</v>
      </c>
      <c r="AO1927" s="1">
        <v>1</v>
      </c>
      <c r="AR1927" s="1">
        <v>0</v>
      </c>
      <c r="AS1927" s="1">
        <v>0</v>
      </c>
      <c r="AT1927" s="1">
        <v>0</v>
      </c>
      <c r="AU1927" s="1">
        <v>0</v>
      </c>
      <c r="AV1927" s="1">
        <v>0</v>
      </c>
      <c r="AW1927" s="1">
        <v>0</v>
      </c>
      <c r="AX1927" s="1">
        <v>0</v>
      </c>
      <c r="AY1927" s="1">
        <v>0</v>
      </c>
      <c r="AZ1927" s="1">
        <v>0</v>
      </c>
      <c r="BA1927" s="1">
        <v>0</v>
      </c>
      <c r="BB1927" s="1">
        <v>0</v>
      </c>
      <c r="BC1927" s="1">
        <v>0</v>
      </c>
      <c r="BD1927" s="1">
        <v>0</v>
      </c>
      <c r="BE1927" s="1">
        <v>0</v>
      </c>
      <c r="BF1927" s="1">
        <v>0</v>
      </c>
      <c r="BG1927" s="1">
        <v>0</v>
      </c>
      <c r="BH1927" s="1">
        <v>0</v>
      </c>
      <c r="BI1927" s="1">
        <v>0</v>
      </c>
      <c r="BJ1927" s="1">
        <v>0</v>
      </c>
      <c r="BK1927" s="1">
        <v>0</v>
      </c>
      <c r="BL1927" s="1">
        <v>0</v>
      </c>
      <c r="BM1927" s="1">
        <v>0</v>
      </c>
      <c r="BN1927" s="1">
        <v>0</v>
      </c>
      <c r="BO1927" s="1">
        <v>0</v>
      </c>
      <c r="BP1927" s="1">
        <v>0</v>
      </c>
      <c r="BQ1927" s="1" t="s">
        <v>104</v>
      </c>
      <c r="BR1927" s="1">
        <v>2026</v>
      </c>
      <c r="BS1927" s="1" t="s">
        <v>104</v>
      </c>
      <c r="BX1927" s="1">
        <v>0</v>
      </c>
      <c r="BY1927" s="1">
        <v>1</v>
      </c>
      <c r="BZ1927" s="1" t="s">
        <v>104</v>
      </c>
      <c r="CA1927" s="1" t="s">
        <v>104</v>
      </c>
      <c r="CB1927" s="1" t="s">
        <v>104</v>
      </c>
      <c r="CC1927" s="1" t="s">
        <v>104</v>
      </c>
      <c r="CD1927" s="1" t="s">
        <v>104</v>
      </c>
      <c r="CE1927" s="1" t="s">
        <v>104</v>
      </c>
      <c r="CF1927" s="1" t="s">
        <v>104</v>
      </c>
      <c r="CG1927" s="1" t="s">
        <v>104</v>
      </c>
      <c r="CH1927" s="1" t="s">
        <v>104</v>
      </c>
      <c r="CJ1927" s="1">
        <v>0</v>
      </c>
      <c r="CK1927" s="1">
        <v>0</v>
      </c>
      <c r="CL1927" s="1">
        <v>0</v>
      </c>
      <c r="CM1927" s="1" t="s">
        <v>104</v>
      </c>
    </row>
    <row r="1928" spans="1:91" ht="14.25" customHeight="1" x14ac:dyDescent="0.3">
      <c r="A1928" s="1" t="s">
        <v>10284</v>
      </c>
      <c r="B1928" s="1" t="s">
        <v>92</v>
      </c>
      <c r="C1928" s="1" t="s">
        <v>93</v>
      </c>
      <c r="E1928" s="1" t="s">
        <v>10285</v>
      </c>
      <c r="F1928" s="1" t="s">
        <v>95</v>
      </c>
      <c r="G1928" s="1" t="s">
        <v>10286</v>
      </c>
      <c r="H1928" s="1">
        <v>0</v>
      </c>
      <c r="I1928" s="1" t="s">
        <v>117</v>
      </c>
      <c r="L1928" s="1" t="s">
        <v>10287</v>
      </c>
      <c r="M1928" s="1" t="s">
        <v>10288</v>
      </c>
      <c r="N1928" s="1">
        <v>1</v>
      </c>
      <c r="O1928" s="1">
        <v>0</v>
      </c>
      <c r="R1928" s="1" t="s">
        <v>10289</v>
      </c>
      <c r="S1928" s="1" t="s">
        <v>10226</v>
      </c>
      <c r="T1928" s="1">
        <v>1</v>
      </c>
      <c r="U1928" s="1">
        <v>1</v>
      </c>
      <c r="V1928" s="1">
        <v>1</v>
      </c>
      <c r="W1928" s="1">
        <v>0</v>
      </c>
      <c r="X1928" s="1">
        <v>0</v>
      </c>
      <c r="Y1928" s="1">
        <v>2</v>
      </c>
      <c r="Z1928" s="1">
        <v>2</v>
      </c>
      <c r="AA1928" s="1" t="s">
        <v>104</v>
      </c>
      <c r="AB1928" s="1">
        <v>2</v>
      </c>
      <c r="AC1928" s="1" t="s">
        <v>104</v>
      </c>
      <c r="AD1928" s="1" t="s">
        <v>104</v>
      </c>
      <c r="AE1928" s="1" t="s">
        <v>104</v>
      </c>
      <c r="AF1928" s="1" t="s">
        <v>104</v>
      </c>
      <c r="AG1928" s="1" t="s">
        <v>104</v>
      </c>
      <c r="AH1928" s="1">
        <v>2</v>
      </c>
      <c r="AI1928" s="1" t="s">
        <v>104</v>
      </c>
      <c r="AJ1928" s="1" t="s">
        <v>104</v>
      </c>
      <c r="AK1928" s="1" t="s">
        <v>104</v>
      </c>
      <c r="AL1928" s="1" t="s">
        <v>104</v>
      </c>
      <c r="AM1928" s="1" t="s">
        <v>104</v>
      </c>
      <c r="AO1928" s="1">
        <v>2</v>
      </c>
      <c r="AR1928" s="1">
        <v>0</v>
      </c>
      <c r="AS1928" s="1">
        <v>0</v>
      </c>
      <c r="AT1928" s="1">
        <v>0</v>
      </c>
      <c r="AU1928" s="1">
        <v>0</v>
      </c>
      <c r="AV1928" s="1">
        <v>0</v>
      </c>
      <c r="AW1928" s="1">
        <v>0</v>
      </c>
      <c r="AX1928" s="1">
        <v>0</v>
      </c>
      <c r="AY1928" s="1">
        <v>0</v>
      </c>
      <c r="AZ1928" s="1">
        <v>0</v>
      </c>
      <c r="BA1928" s="1">
        <v>0</v>
      </c>
      <c r="BB1928" s="1">
        <v>0</v>
      </c>
      <c r="BC1928" s="1">
        <v>0</v>
      </c>
      <c r="BD1928" s="1">
        <v>0</v>
      </c>
      <c r="BE1928" s="1">
        <v>0</v>
      </c>
      <c r="BF1928" s="1">
        <v>0</v>
      </c>
      <c r="BG1928" s="1">
        <v>0</v>
      </c>
      <c r="BH1928" s="1">
        <v>0</v>
      </c>
      <c r="BI1928" s="1">
        <v>0</v>
      </c>
      <c r="BJ1928" s="1">
        <v>0</v>
      </c>
      <c r="BK1928" s="1">
        <v>0</v>
      </c>
      <c r="BL1928" s="1">
        <v>0</v>
      </c>
      <c r="BM1928" s="1">
        <v>0</v>
      </c>
      <c r="BN1928" s="1">
        <v>0</v>
      </c>
      <c r="BO1928" s="1">
        <v>0</v>
      </c>
      <c r="BP1928" s="1">
        <v>0</v>
      </c>
      <c r="BQ1928" s="1" t="s">
        <v>104</v>
      </c>
      <c r="BR1928" s="1">
        <v>2027</v>
      </c>
      <c r="BS1928" s="1" t="s">
        <v>104</v>
      </c>
      <c r="BX1928" s="1">
        <v>0</v>
      </c>
      <c r="BY1928" s="1" t="s">
        <v>104</v>
      </c>
      <c r="BZ1928" s="1" t="s">
        <v>104</v>
      </c>
      <c r="CA1928" s="1" t="s">
        <v>104</v>
      </c>
      <c r="CB1928" s="1" t="s">
        <v>104</v>
      </c>
      <c r="CC1928" s="1" t="s">
        <v>104</v>
      </c>
      <c r="CD1928" s="1" t="s">
        <v>104</v>
      </c>
      <c r="CE1928" s="1" t="s">
        <v>104</v>
      </c>
      <c r="CF1928" s="1" t="s">
        <v>104</v>
      </c>
      <c r="CG1928" s="1" t="s">
        <v>104</v>
      </c>
      <c r="CH1928" s="1">
        <v>2</v>
      </c>
      <c r="CJ1928" s="1">
        <v>0</v>
      </c>
      <c r="CK1928" s="1">
        <v>0</v>
      </c>
      <c r="CL1928" s="1">
        <v>0</v>
      </c>
      <c r="CM1928" s="1" t="s">
        <v>104</v>
      </c>
    </row>
    <row r="1929" spans="1:91" ht="14.25" customHeight="1" x14ac:dyDescent="0.3">
      <c r="A1929" s="1" t="s">
        <v>10290</v>
      </c>
      <c r="B1929" s="1" t="s">
        <v>137</v>
      </c>
      <c r="E1929" s="1" t="s">
        <v>9821</v>
      </c>
      <c r="F1929" s="1" t="s">
        <v>95</v>
      </c>
      <c r="G1929" s="1" t="s">
        <v>10291</v>
      </c>
      <c r="H1929" s="1">
        <v>0</v>
      </c>
      <c r="I1929" s="1" t="s">
        <v>128</v>
      </c>
      <c r="L1929" s="1" t="s">
        <v>10292</v>
      </c>
      <c r="M1929" s="1" t="s">
        <v>111</v>
      </c>
      <c r="N1929" s="1">
        <v>0</v>
      </c>
      <c r="O1929" s="1">
        <v>0</v>
      </c>
      <c r="P1929" s="1" t="s">
        <v>10293</v>
      </c>
      <c r="Q1929" s="1" t="s">
        <v>184</v>
      </c>
      <c r="R1929" s="1" t="s">
        <v>10294</v>
      </c>
      <c r="S1929" s="1" t="s">
        <v>10226</v>
      </c>
      <c r="T1929" s="1">
        <v>1</v>
      </c>
      <c r="U1929" s="1">
        <v>1</v>
      </c>
      <c r="V1929" s="1">
        <v>1</v>
      </c>
      <c r="W1929" s="1">
        <v>0</v>
      </c>
      <c r="X1929" s="1">
        <v>1</v>
      </c>
      <c r="Y1929" s="1">
        <v>1</v>
      </c>
      <c r="Z1929" s="1">
        <v>1</v>
      </c>
      <c r="AA1929" s="1" t="s">
        <v>104</v>
      </c>
      <c r="AB1929" s="1">
        <v>1</v>
      </c>
      <c r="AC1929" s="1" t="s">
        <v>104</v>
      </c>
      <c r="AD1929" s="1" t="s">
        <v>104</v>
      </c>
      <c r="AE1929" s="1" t="s">
        <v>104</v>
      </c>
      <c r="AF1929" s="1" t="s">
        <v>104</v>
      </c>
      <c r="AG1929" s="1" t="s">
        <v>104</v>
      </c>
      <c r="AH1929" s="1">
        <v>1</v>
      </c>
      <c r="AI1929" s="1" t="s">
        <v>104</v>
      </c>
      <c r="AJ1929" s="1" t="s">
        <v>104</v>
      </c>
      <c r="AK1929" s="1" t="s">
        <v>104</v>
      </c>
      <c r="AL1929" s="1" t="s">
        <v>104</v>
      </c>
      <c r="AM1929" s="1" t="s">
        <v>104</v>
      </c>
      <c r="AO1929" s="1">
        <v>1</v>
      </c>
      <c r="AR1929" s="1">
        <v>0</v>
      </c>
      <c r="AS1929" s="1">
        <v>0</v>
      </c>
      <c r="AT1929" s="1">
        <v>0</v>
      </c>
      <c r="AU1929" s="1">
        <v>0</v>
      </c>
      <c r="AV1929" s="1">
        <v>0</v>
      </c>
      <c r="AW1929" s="1">
        <v>0</v>
      </c>
      <c r="AX1929" s="1">
        <v>0</v>
      </c>
      <c r="AY1929" s="1">
        <v>0</v>
      </c>
      <c r="AZ1929" s="1">
        <v>0</v>
      </c>
      <c r="BA1929" s="1">
        <v>0</v>
      </c>
      <c r="BB1929" s="1">
        <v>0</v>
      </c>
      <c r="BC1929" s="1">
        <v>0</v>
      </c>
      <c r="BD1929" s="1">
        <v>0</v>
      </c>
      <c r="BE1929" s="1">
        <v>0</v>
      </c>
      <c r="BF1929" s="1">
        <v>0</v>
      </c>
      <c r="BG1929" s="1">
        <v>0</v>
      </c>
      <c r="BH1929" s="1">
        <v>0</v>
      </c>
      <c r="BI1929" s="1">
        <v>0</v>
      </c>
      <c r="BJ1929" s="1">
        <v>0</v>
      </c>
      <c r="BK1929" s="1">
        <v>0</v>
      </c>
      <c r="BL1929" s="1">
        <v>0</v>
      </c>
      <c r="BM1929" s="1">
        <v>0</v>
      </c>
      <c r="BN1929" s="1">
        <v>0</v>
      </c>
      <c r="BO1929" s="1">
        <v>0</v>
      </c>
      <c r="BP1929" s="1">
        <v>0</v>
      </c>
      <c r="BQ1929" s="1" t="s">
        <v>104</v>
      </c>
      <c r="BR1929" s="1">
        <v>2028</v>
      </c>
      <c r="BS1929" s="1" t="s">
        <v>104</v>
      </c>
      <c r="BX1929" s="1">
        <v>0</v>
      </c>
      <c r="BY1929" s="1" t="s">
        <v>104</v>
      </c>
      <c r="BZ1929" s="1">
        <v>1</v>
      </c>
      <c r="CA1929" s="1" t="s">
        <v>104</v>
      </c>
      <c r="CB1929" s="1" t="s">
        <v>104</v>
      </c>
      <c r="CC1929" s="1" t="s">
        <v>104</v>
      </c>
      <c r="CD1929" s="1" t="s">
        <v>104</v>
      </c>
      <c r="CE1929" s="1" t="s">
        <v>104</v>
      </c>
      <c r="CF1929" s="1" t="s">
        <v>104</v>
      </c>
      <c r="CG1929" s="1" t="s">
        <v>104</v>
      </c>
      <c r="CH1929" s="1">
        <v>1</v>
      </c>
      <c r="CJ1929" s="1">
        <v>0</v>
      </c>
      <c r="CK1929" s="1">
        <v>0</v>
      </c>
      <c r="CL1929" s="1">
        <v>0</v>
      </c>
      <c r="CM1929" s="1" t="s">
        <v>104</v>
      </c>
    </row>
    <row r="1930" spans="1:91" ht="14.25" customHeight="1" x14ac:dyDescent="0.3">
      <c r="A1930" s="1" t="s">
        <v>10295</v>
      </c>
      <c r="B1930" s="1" t="s">
        <v>137</v>
      </c>
      <c r="E1930" s="1" t="s">
        <v>10296</v>
      </c>
      <c r="F1930" s="1" t="s">
        <v>95</v>
      </c>
      <c r="G1930" s="1" t="s">
        <v>10297</v>
      </c>
      <c r="H1930" s="1">
        <v>0</v>
      </c>
      <c r="I1930" s="1" t="s">
        <v>117</v>
      </c>
      <c r="L1930" s="1" t="s">
        <v>10298</v>
      </c>
      <c r="M1930" s="1" t="s">
        <v>2330</v>
      </c>
      <c r="N1930" s="1">
        <v>0</v>
      </c>
      <c r="O1930" s="1">
        <v>0</v>
      </c>
      <c r="P1930" s="1" t="s">
        <v>10299</v>
      </c>
      <c r="Q1930" s="1" t="s">
        <v>131</v>
      </c>
      <c r="R1930" s="1" t="s">
        <v>10300</v>
      </c>
      <c r="S1930" s="1" t="s">
        <v>10226</v>
      </c>
      <c r="T1930" s="1">
        <v>1</v>
      </c>
      <c r="U1930" s="1">
        <v>1</v>
      </c>
      <c r="V1930" s="1">
        <v>1</v>
      </c>
      <c r="W1930" s="1">
        <v>0</v>
      </c>
      <c r="X1930" s="1">
        <v>1</v>
      </c>
      <c r="Y1930" s="1">
        <v>2</v>
      </c>
      <c r="Z1930" s="1">
        <v>2</v>
      </c>
      <c r="AA1930" s="1" t="s">
        <v>104</v>
      </c>
      <c r="AB1930" s="1">
        <v>2</v>
      </c>
      <c r="AC1930" s="1">
        <v>2</v>
      </c>
      <c r="AD1930" s="1" t="s">
        <v>104</v>
      </c>
      <c r="AE1930" s="1" t="s">
        <v>104</v>
      </c>
      <c r="AF1930" s="1">
        <v>2</v>
      </c>
      <c r="AG1930" s="1" t="s">
        <v>104</v>
      </c>
      <c r="AH1930" s="1">
        <v>2</v>
      </c>
      <c r="AI1930" s="1" t="s">
        <v>104</v>
      </c>
      <c r="AJ1930" s="1" t="s">
        <v>104</v>
      </c>
      <c r="AK1930" s="1" t="s">
        <v>104</v>
      </c>
      <c r="AL1930" s="1" t="s">
        <v>104</v>
      </c>
      <c r="AM1930" s="1" t="s">
        <v>104</v>
      </c>
      <c r="AO1930" s="1">
        <v>2</v>
      </c>
      <c r="AR1930" s="1">
        <v>0</v>
      </c>
      <c r="AS1930" s="1">
        <v>0</v>
      </c>
      <c r="AT1930" s="1">
        <v>0</v>
      </c>
      <c r="AU1930" s="1">
        <v>0</v>
      </c>
      <c r="AV1930" s="1">
        <v>0</v>
      </c>
      <c r="AW1930" s="1">
        <v>0</v>
      </c>
      <c r="AX1930" s="1">
        <v>0</v>
      </c>
      <c r="AY1930" s="1">
        <v>0</v>
      </c>
      <c r="AZ1930" s="1">
        <v>0</v>
      </c>
      <c r="BA1930" s="1">
        <v>0</v>
      </c>
      <c r="BB1930" s="1">
        <v>0</v>
      </c>
      <c r="BC1930" s="1">
        <v>0</v>
      </c>
      <c r="BD1930" s="1">
        <v>0</v>
      </c>
      <c r="BE1930" s="1">
        <v>0</v>
      </c>
      <c r="BF1930" s="1">
        <v>0</v>
      </c>
      <c r="BG1930" s="1">
        <v>0</v>
      </c>
      <c r="BH1930" s="1">
        <v>0</v>
      </c>
      <c r="BI1930" s="1">
        <v>0</v>
      </c>
      <c r="BJ1930" s="1">
        <v>0</v>
      </c>
      <c r="BK1930" s="1">
        <v>0</v>
      </c>
      <c r="BL1930" s="1">
        <v>0</v>
      </c>
      <c r="BM1930" s="1">
        <v>0</v>
      </c>
      <c r="BN1930" s="1">
        <v>0</v>
      </c>
      <c r="BO1930" s="1">
        <v>0</v>
      </c>
      <c r="BP1930" s="1">
        <v>0</v>
      </c>
      <c r="BQ1930" s="1" t="s">
        <v>104</v>
      </c>
      <c r="BR1930" s="1">
        <v>2029</v>
      </c>
      <c r="BS1930" s="1" t="s">
        <v>104</v>
      </c>
      <c r="BX1930" s="1">
        <v>0</v>
      </c>
      <c r="BY1930" s="1">
        <v>2</v>
      </c>
      <c r="BZ1930" s="1">
        <v>2</v>
      </c>
      <c r="CA1930" s="1" t="s">
        <v>104</v>
      </c>
      <c r="CB1930" s="1" t="s">
        <v>104</v>
      </c>
      <c r="CC1930" s="1" t="s">
        <v>104</v>
      </c>
      <c r="CD1930" s="1" t="s">
        <v>104</v>
      </c>
      <c r="CE1930" s="1" t="s">
        <v>104</v>
      </c>
      <c r="CF1930" s="1" t="s">
        <v>104</v>
      </c>
      <c r="CG1930" s="1" t="s">
        <v>104</v>
      </c>
      <c r="CH1930" s="1">
        <v>2</v>
      </c>
      <c r="CJ1930" s="1">
        <v>0</v>
      </c>
      <c r="CK1930" s="1">
        <v>0</v>
      </c>
      <c r="CL1930" s="1">
        <v>0</v>
      </c>
      <c r="CM1930" s="1" t="s">
        <v>104</v>
      </c>
    </row>
    <row r="1931" spans="1:91" ht="14.25" customHeight="1" x14ac:dyDescent="0.3">
      <c r="A1931" s="1" t="s">
        <v>10301</v>
      </c>
      <c r="B1931" s="1" t="s">
        <v>137</v>
      </c>
      <c r="E1931" s="1" t="s">
        <v>10302</v>
      </c>
      <c r="F1931" s="1" t="s">
        <v>95</v>
      </c>
      <c r="G1931" s="1" t="s">
        <v>10303</v>
      </c>
      <c r="H1931" s="1">
        <v>0</v>
      </c>
      <c r="I1931" s="1" t="s">
        <v>117</v>
      </c>
      <c r="L1931" s="1" t="s">
        <v>10304</v>
      </c>
      <c r="M1931" s="1" t="s">
        <v>201</v>
      </c>
      <c r="N1931" s="1">
        <v>0</v>
      </c>
      <c r="O1931" s="1">
        <v>0</v>
      </c>
      <c r="P1931" s="1" t="s">
        <v>10299</v>
      </c>
      <c r="Q1931" s="1" t="s">
        <v>131</v>
      </c>
      <c r="R1931" s="1" t="s">
        <v>10305</v>
      </c>
      <c r="S1931" s="1" t="s">
        <v>10226</v>
      </c>
      <c r="T1931" s="1">
        <v>1</v>
      </c>
      <c r="U1931" s="1">
        <v>1</v>
      </c>
      <c r="V1931" s="1">
        <v>1</v>
      </c>
      <c r="W1931" s="1">
        <v>0</v>
      </c>
      <c r="X1931" s="1">
        <v>1</v>
      </c>
      <c r="Y1931" s="1">
        <v>3</v>
      </c>
      <c r="Z1931" s="1">
        <v>3</v>
      </c>
      <c r="AA1931" s="1" t="s">
        <v>104</v>
      </c>
      <c r="AB1931" s="1">
        <v>3</v>
      </c>
      <c r="AC1931" s="1">
        <v>3</v>
      </c>
      <c r="AD1931" s="1" t="s">
        <v>104</v>
      </c>
      <c r="AE1931" s="1" t="s">
        <v>104</v>
      </c>
      <c r="AF1931" s="1">
        <v>4</v>
      </c>
      <c r="AG1931" s="1" t="s">
        <v>104</v>
      </c>
      <c r="AH1931" s="1">
        <v>3</v>
      </c>
      <c r="AI1931" s="1" t="s">
        <v>104</v>
      </c>
      <c r="AJ1931" s="1" t="s">
        <v>104</v>
      </c>
      <c r="AK1931" s="1" t="s">
        <v>104</v>
      </c>
      <c r="AL1931" s="1" t="s">
        <v>104</v>
      </c>
      <c r="AM1931" s="1" t="s">
        <v>104</v>
      </c>
      <c r="AO1931" s="1">
        <v>3</v>
      </c>
      <c r="AR1931" s="1">
        <v>0</v>
      </c>
      <c r="AS1931" s="1">
        <v>0</v>
      </c>
      <c r="AT1931" s="1">
        <v>0</v>
      </c>
      <c r="AU1931" s="1">
        <v>0</v>
      </c>
      <c r="AV1931" s="1">
        <v>0</v>
      </c>
      <c r="AW1931" s="1">
        <v>0</v>
      </c>
      <c r="AX1931" s="1">
        <v>0</v>
      </c>
      <c r="AY1931" s="1">
        <v>0</v>
      </c>
      <c r="AZ1931" s="1">
        <v>0</v>
      </c>
      <c r="BA1931" s="1">
        <v>0</v>
      </c>
      <c r="BB1931" s="1">
        <v>0</v>
      </c>
      <c r="BC1931" s="1">
        <v>0</v>
      </c>
      <c r="BD1931" s="1">
        <v>0</v>
      </c>
      <c r="BE1931" s="1">
        <v>0</v>
      </c>
      <c r="BF1931" s="1">
        <v>0</v>
      </c>
      <c r="BG1931" s="1">
        <v>0</v>
      </c>
      <c r="BH1931" s="1">
        <v>0</v>
      </c>
      <c r="BI1931" s="1">
        <v>0</v>
      </c>
      <c r="BJ1931" s="1">
        <v>0</v>
      </c>
      <c r="BK1931" s="1">
        <v>0</v>
      </c>
      <c r="BL1931" s="1">
        <v>0</v>
      </c>
      <c r="BM1931" s="1">
        <v>0</v>
      </c>
      <c r="BN1931" s="1">
        <v>0</v>
      </c>
      <c r="BO1931" s="1">
        <v>0</v>
      </c>
      <c r="BP1931" s="1">
        <v>0</v>
      </c>
      <c r="BQ1931" s="1" t="s">
        <v>104</v>
      </c>
      <c r="BR1931" s="1">
        <v>2030</v>
      </c>
      <c r="BS1931" s="1" t="s">
        <v>104</v>
      </c>
      <c r="BX1931" s="1">
        <v>0</v>
      </c>
      <c r="BY1931" s="1">
        <v>4</v>
      </c>
      <c r="BZ1931" s="1">
        <v>3</v>
      </c>
      <c r="CA1931" s="1" t="s">
        <v>104</v>
      </c>
      <c r="CB1931" s="1" t="s">
        <v>104</v>
      </c>
      <c r="CC1931" s="1" t="s">
        <v>104</v>
      </c>
      <c r="CD1931" s="1" t="s">
        <v>104</v>
      </c>
      <c r="CE1931" s="1" t="s">
        <v>104</v>
      </c>
      <c r="CF1931" s="1" t="s">
        <v>104</v>
      </c>
      <c r="CG1931" s="1" t="s">
        <v>104</v>
      </c>
      <c r="CH1931" s="1">
        <v>3</v>
      </c>
      <c r="CJ1931" s="1">
        <v>0</v>
      </c>
      <c r="CK1931" s="1">
        <v>0</v>
      </c>
      <c r="CL1931" s="1">
        <v>0</v>
      </c>
      <c r="CM1931" s="1" t="s">
        <v>104</v>
      </c>
    </row>
    <row r="1932" spans="1:91" ht="14.25" customHeight="1" x14ac:dyDescent="0.3">
      <c r="A1932" s="1" t="s">
        <v>10306</v>
      </c>
      <c r="B1932" s="1" t="s">
        <v>137</v>
      </c>
      <c r="E1932" s="1" t="s">
        <v>10307</v>
      </c>
      <c r="F1932" s="1" t="s">
        <v>95</v>
      </c>
      <c r="G1932" s="1" t="s">
        <v>10308</v>
      </c>
      <c r="H1932" s="1">
        <v>0</v>
      </c>
      <c r="I1932" s="1" t="s">
        <v>128</v>
      </c>
      <c r="L1932" s="1" t="s">
        <v>10309</v>
      </c>
      <c r="M1932" s="1" t="s">
        <v>4081</v>
      </c>
      <c r="N1932" s="1">
        <v>0</v>
      </c>
      <c r="O1932" s="1">
        <v>0</v>
      </c>
      <c r="P1932" s="1" t="s">
        <v>375</v>
      </c>
      <c r="Q1932" s="1" t="s">
        <v>131</v>
      </c>
      <c r="R1932" s="1" t="s">
        <v>10310</v>
      </c>
      <c r="S1932" s="1" t="s">
        <v>10226</v>
      </c>
      <c r="T1932" s="1">
        <v>1</v>
      </c>
      <c r="U1932" s="1">
        <v>1</v>
      </c>
      <c r="V1932" s="1">
        <v>1</v>
      </c>
      <c r="W1932" s="1">
        <v>0</v>
      </c>
      <c r="X1932" s="1">
        <v>1</v>
      </c>
      <c r="Y1932" s="1">
        <v>3</v>
      </c>
      <c r="Z1932" s="1">
        <v>3</v>
      </c>
      <c r="AA1932" s="1">
        <v>3</v>
      </c>
      <c r="AB1932" s="1">
        <v>3</v>
      </c>
      <c r="AC1932" s="1" t="s">
        <v>104</v>
      </c>
      <c r="AD1932" s="1" t="s">
        <v>104</v>
      </c>
      <c r="AE1932" s="1" t="s">
        <v>104</v>
      </c>
      <c r="AF1932" s="1">
        <v>3</v>
      </c>
      <c r="AG1932" s="1">
        <v>3</v>
      </c>
      <c r="AH1932" s="1" t="s">
        <v>104</v>
      </c>
      <c r="AI1932" s="1" t="s">
        <v>104</v>
      </c>
      <c r="AJ1932" s="1">
        <v>3</v>
      </c>
      <c r="AK1932" s="1" t="s">
        <v>104</v>
      </c>
      <c r="AL1932" s="1">
        <v>3</v>
      </c>
      <c r="AM1932" s="1" t="s">
        <v>104</v>
      </c>
      <c r="AO1932" s="1">
        <v>3</v>
      </c>
      <c r="AR1932" s="1">
        <v>0</v>
      </c>
      <c r="AS1932" s="1">
        <v>0</v>
      </c>
      <c r="AT1932" s="1">
        <v>0</v>
      </c>
      <c r="AU1932" s="1">
        <v>0</v>
      </c>
      <c r="AV1932" s="1">
        <v>0</v>
      </c>
      <c r="AW1932" s="1">
        <v>0</v>
      </c>
      <c r="AX1932" s="1">
        <v>0</v>
      </c>
      <c r="AY1932" s="1">
        <v>0</v>
      </c>
      <c r="AZ1932" s="1">
        <v>0</v>
      </c>
      <c r="BA1932" s="1">
        <v>0</v>
      </c>
      <c r="BB1932" s="1">
        <v>0</v>
      </c>
      <c r="BC1932" s="1">
        <v>0</v>
      </c>
      <c r="BD1932" s="1">
        <v>0</v>
      </c>
      <c r="BE1932" s="1">
        <v>0</v>
      </c>
      <c r="BF1932" s="1">
        <v>0</v>
      </c>
      <c r="BG1932" s="1">
        <v>0</v>
      </c>
      <c r="BH1932" s="1">
        <v>0</v>
      </c>
      <c r="BI1932" s="1">
        <v>0</v>
      </c>
      <c r="BJ1932" s="1">
        <v>0</v>
      </c>
      <c r="BK1932" s="1">
        <v>0</v>
      </c>
      <c r="BL1932" s="1">
        <v>0</v>
      </c>
      <c r="BM1932" s="1">
        <v>0</v>
      </c>
      <c r="BN1932" s="1">
        <v>0</v>
      </c>
      <c r="BO1932" s="1">
        <v>0</v>
      </c>
      <c r="BP1932" s="1">
        <v>0</v>
      </c>
      <c r="BQ1932" s="1" t="s">
        <v>104</v>
      </c>
      <c r="BR1932" s="1">
        <v>2031</v>
      </c>
      <c r="BS1932" s="1" t="s">
        <v>104</v>
      </c>
      <c r="BX1932" s="1">
        <v>0</v>
      </c>
      <c r="BY1932" s="1">
        <v>3</v>
      </c>
      <c r="BZ1932" s="1">
        <v>3</v>
      </c>
      <c r="CA1932" s="1">
        <v>3</v>
      </c>
      <c r="CB1932" s="1" t="s">
        <v>104</v>
      </c>
      <c r="CC1932" s="1" t="s">
        <v>104</v>
      </c>
      <c r="CD1932" s="1" t="s">
        <v>104</v>
      </c>
      <c r="CE1932" s="1" t="s">
        <v>104</v>
      </c>
      <c r="CF1932" s="1" t="s">
        <v>104</v>
      </c>
      <c r="CG1932" s="1" t="s">
        <v>104</v>
      </c>
      <c r="CH1932" s="1">
        <v>3</v>
      </c>
      <c r="CJ1932" s="1">
        <v>0</v>
      </c>
      <c r="CK1932" s="1">
        <v>0</v>
      </c>
      <c r="CL1932" s="1">
        <v>0</v>
      </c>
      <c r="CM1932" s="1">
        <v>3</v>
      </c>
    </row>
    <row r="1933" spans="1:91" ht="14.25" customHeight="1" x14ac:dyDescent="0.3">
      <c r="A1933" s="1" t="s">
        <v>10311</v>
      </c>
      <c r="B1933" s="1" t="s">
        <v>216</v>
      </c>
      <c r="D1933" s="1" t="s">
        <v>53</v>
      </c>
      <c r="E1933" s="1" t="s">
        <v>10312</v>
      </c>
      <c r="F1933" s="1" t="s">
        <v>95</v>
      </c>
      <c r="G1933" s="1" t="s">
        <v>127</v>
      </c>
      <c r="H1933" s="1">
        <v>0</v>
      </c>
      <c r="I1933" s="1" t="s">
        <v>697</v>
      </c>
      <c r="J1933" s="1" t="s">
        <v>5922</v>
      </c>
      <c r="M1933" s="1" t="s">
        <v>111</v>
      </c>
      <c r="N1933" s="1">
        <v>0</v>
      </c>
      <c r="O1933" s="1">
        <v>0</v>
      </c>
      <c r="P1933" s="1" t="s">
        <v>375</v>
      </c>
      <c r="Q1933" s="1" t="s">
        <v>131</v>
      </c>
      <c r="R1933" s="1" t="s">
        <v>10313</v>
      </c>
      <c r="S1933" s="1" t="s">
        <v>10226</v>
      </c>
      <c r="T1933" s="1">
        <v>1</v>
      </c>
      <c r="U1933" s="1">
        <v>1</v>
      </c>
      <c r="V1933" s="1">
        <v>0</v>
      </c>
      <c r="W1933" s="1">
        <v>0</v>
      </c>
      <c r="X1933" s="1">
        <v>1</v>
      </c>
      <c r="Y1933" s="1">
        <v>2</v>
      </c>
      <c r="Z1933" s="1">
        <v>2</v>
      </c>
      <c r="AA1933" s="1">
        <v>2</v>
      </c>
      <c r="AB1933" s="1" t="s">
        <v>104</v>
      </c>
      <c r="AC1933" s="1" t="s">
        <v>104</v>
      </c>
      <c r="AD1933" s="1" t="s">
        <v>104</v>
      </c>
      <c r="AE1933" s="1" t="s">
        <v>104</v>
      </c>
      <c r="AF1933" s="1" t="s">
        <v>104</v>
      </c>
      <c r="AG1933" s="1" t="s">
        <v>104</v>
      </c>
      <c r="AH1933" s="1" t="s">
        <v>104</v>
      </c>
      <c r="AI1933" s="1" t="s">
        <v>104</v>
      </c>
      <c r="AJ1933" s="1">
        <v>2</v>
      </c>
      <c r="AK1933" s="1" t="s">
        <v>104</v>
      </c>
      <c r="AL1933" s="1" t="s">
        <v>104</v>
      </c>
      <c r="AM1933" s="1" t="s">
        <v>104</v>
      </c>
      <c r="AO1933" s="1">
        <v>2</v>
      </c>
      <c r="AR1933" s="1">
        <v>0</v>
      </c>
      <c r="AS1933" s="1">
        <v>0</v>
      </c>
      <c r="AT1933" s="1">
        <v>0</v>
      </c>
      <c r="AU1933" s="1">
        <v>0</v>
      </c>
      <c r="AV1933" s="1">
        <v>0</v>
      </c>
      <c r="AW1933" s="1">
        <v>0</v>
      </c>
      <c r="AX1933" s="1">
        <v>0</v>
      </c>
      <c r="AY1933" s="1">
        <v>0</v>
      </c>
      <c r="AZ1933" s="1">
        <v>0</v>
      </c>
      <c r="BA1933" s="1">
        <v>0</v>
      </c>
      <c r="BB1933" s="1">
        <v>1</v>
      </c>
      <c r="BC1933" s="1">
        <v>0</v>
      </c>
      <c r="BD1933" s="1">
        <v>0</v>
      </c>
      <c r="BE1933" s="1">
        <v>0</v>
      </c>
      <c r="BF1933" s="1">
        <v>0</v>
      </c>
      <c r="BG1933" s="1">
        <v>0</v>
      </c>
      <c r="BH1933" s="1">
        <v>0</v>
      </c>
      <c r="BI1933" s="1">
        <v>0</v>
      </c>
      <c r="BJ1933" s="1">
        <v>0</v>
      </c>
      <c r="BK1933" s="1">
        <v>0</v>
      </c>
      <c r="BL1933" s="1">
        <v>0</v>
      </c>
      <c r="BM1933" s="1">
        <v>0</v>
      </c>
      <c r="BN1933" s="1">
        <v>0</v>
      </c>
      <c r="BO1933" s="1">
        <v>0</v>
      </c>
      <c r="BP1933" s="1">
        <v>0</v>
      </c>
      <c r="BQ1933" s="1" t="s">
        <v>104</v>
      </c>
      <c r="BR1933" s="1">
        <v>2032</v>
      </c>
      <c r="BS1933" s="1" t="s">
        <v>104</v>
      </c>
      <c r="BX1933" s="1">
        <v>0</v>
      </c>
      <c r="BY1933" s="1" t="s">
        <v>104</v>
      </c>
      <c r="BZ1933" s="1" t="s">
        <v>104</v>
      </c>
      <c r="CA1933" s="1">
        <v>2</v>
      </c>
      <c r="CB1933" s="1" t="s">
        <v>104</v>
      </c>
      <c r="CC1933" s="1">
        <v>2</v>
      </c>
      <c r="CD1933" s="1" t="s">
        <v>104</v>
      </c>
      <c r="CE1933" s="1" t="s">
        <v>104</v>
      </c>
      <c r="CF1933" s="1" t="s">
        <v>104</v>
      </c>
      <c r="CG1933" s="1" t="s">
        <v>104</v>
      </c>
      <c r="CH1933" s="1" t="s">
        <v>104</v>
      </c>
      <c r="CJ1933" s="1">
        <v>0</v>
      </c>
      <c r="CK1933" s="1">
        <v>0</v>
      </c>
      <c r="CL1933" s="1">
        <v>0</v>
      </c>
      <c r="CM1933" s="1" t="s">
        <v>104</v>
      </c>
    </row>
    <row r="1934" spans="1:91" ht="14.25" customHeight="1" x14ac:dyDescent="0.3">
      <c r="A1934" s="1" t="s">
        <v>10314</v>
      </c>
      <c r="B1934" s="1" t="s">
        <v>137</v>
      </c>
      <c r="C1934" s="1" t="s">
        <v>154</v>
      </c>
      <c r="E1934" s="1" t="s">
        <v>10315</v>
      </c>
      <c r="F1934" s="1" t="s">
        <v>95</v>
      </c>
      <c r="G1934" s="1" t="s">
        <v>127</v>
      </c>
      <c r="H1934" s="1">
        <v>0</v>
      </c>
      <c r="I1934" s="1" t="s">
        <v>117</v>
      </c>
      <c r="L1934" s="1" t="s">
        <v>10316</v>
      </c>
      <c r="M1934" s="1" t="s">
        <v>4641</v>
      </c>
      <c r="N1934" s="1">
        <v>1</v>
      </c>
      <c r="O1934" s="1">
        <v>0</v>
      </c>
      <c r="P1934" s="1" t="s">
        <v>10317</v>
      </c>
      <c r="Q1934" s="1" t="s">
        <v>131</v>
      </c>
      <c r="R1934" s="1" t="s">
        <v>10318</v>
      </c>
      <c r="S1934" s="1" t="s">
        <v>10226</v>
      </c>
      <c r="T1934" s="1">
        <v>1</v>
      </c>
      <c r="U1934" s="1">
        <v>1</v>
      </c>
      <c r="V1934" s="1">
        <v>0</v>
      </c>
      <c r="W1934" s="1">
        <v>0</v>
      </c>
      <c r="X1934" s="1">
        <v>1</v>
      </c>
      <c r="Y1934" s="1">
        <v>5</v>
      </c>
      <c r="Z1934" s="1">
        <v>5</v>
      </c>
      <c r="AA1934" s="1">
        <v>4</v>
      </c>
      <c r="AB1934" s="1" t="s">
        <v>104</v>
      </c>
      <c r="AC1934" s="1" t="s">
        <v>104</v>
      </c>
      <c r="AD1934" s="1" t="s">
        <v>104</v>
      </c>
      <c r="AE1934" s="1" t="s">
        <v>104</v>
      </c>
      <c r="AF1934" s="1" t="s">
        <v>104</v>
      </c>
      <c r="AG1934" s="1" t="s">
        <v>104</v>
      </c>
      <c r="AH1934" s="1" t="s">
        <v>104</v>
      </c>
      <c r="AI1934" s="1" t="s">
        <v>104</v>
      </c>
      <c r="AJ1934" s="1">
        <v>4</v>
      </c>
      <c r="AK1934" s="1" t="s">
        <v>104</v>
      </c>
      <c r="AL1934" s="1" t="s">
        <v>104</v>
      </c>
      <c r="AM1934" s="1" t="s">
        <v>104</v>
      </c>
      <c r="AO1934" s="1">
        <v>5</v>
      </c>
      <c r="AR1934" s="1">
        <v>0</v>
      </c>
      <c r="AS1934" s="1">
        <v>0</v>
      </c>
      <c r="AT1934" s="1">
        <v>0</v>
      </c>
      <c r="AU1934" s="1">
        <v>0</v>
      </c>
      <c r="AV1934" s="1">
        <v>0</v>
      </c>
      <c r="AW1934" s="1">
        <v>0</v>
      </c>
      <c r="AX1934" s="1">
        <v>0</v>
      </c>
      <c r="AY1934" s="1">
        <v>0</v>
      </c>
      <c r="AZ1934" s="1">
        <v>0</v>
      </c>
      <c r="BA1934" s="1">
        <v>0</v>
      </c>
      <c r="BB1934" s="1">
        <v>0</v>
      </c>
      <c r="BC1934" s="1">
        <v>0</v>
      </c>
      <c r="BD1934" s="1">
        <v>0</v>
      </c>
      <c r="BE1934" s="1">
        <v>0</v>
      </c>
      <c r="BF1934" s="1">
        <v>0</v>
      </c>
      <c r="BG1934" s="1">
        <v>0</v>
      </c>
      <c r="BH1934" s="1">
        <v>0</v>
      </c>
      <c r="BI1934" s="1">
        <v>0</v>
      </c>
      <c r="BJ1934" s="1">
        <v>0</v>
      </c>
      <c r="BK1934" s="1">
        <v>0</v>
      </c>
      <c r="BL1934" s="1">
        <v>0</v>
      </c>
      <c r="BM1934" s="1">
        <v>0</v>
      </c>
      <c r="BN1934" s="1">
        <v>0</v>
      </c>
      <c r="BO1934" s="1">
        <v>0</v>
      </c>
      <c r="BP1934" s="1">
        <v>0</v>
      </c>
      <c r="BQ1934" s="1" t="s">
        <v>104</v>
      </c>
      <c r="BR1934" s="1">
        <v>2033</v>
      </c>
      <c r="BS1934" s="1" t="s">
        <v>104</v>
      </c>
      <c r="BX1934" s="1">
        <v>0</v>
      </c>
      <c r="BY1934" s="1" t="s">
        <v>104</v>
      </c>
      <c r="BZ1934" s="1" t="s">
        <v>104</v>
      </c>
      <c r="CA1934" s="1" t="s">
        <v>104</v>
      </c>
      <c r="CB1934" s="1" t="s">
        <v>104</v>
      </c>
      <c r="CC1934" s="1" t="s">
        <v>104</v>
      </c>
      <c r="CD1934" s="1" t="s">
        <v>104</v>
      </c>
      <c r="CE1934" s="1" t="s">
        <v>104</v>
      </c>
      <c r="CF1934" s="1" t="s">
        <v>104</v>
      </c>
      <c r="CG1934" s="1" t="s">
        <v>104</v>
      </c>
      <c r="CH1934" s="1" t="s">
        <v>104</v>
      </c>
      <c r="CJ1934" s="1">
        <v>0</v>
      </c>
      <c r="CK1934" s="1">
        <v>0</v>
      </c>
      <c r="CL1934" s="1">
        <v>0</v>
      </c>
      <c r="CM1934" s="1" t="s">
        <v>104</v>
      </c>
    </row>
    <row r="1935" spans="1:91" ht="14.25" customHeight="1" x14ac:dyDescent="0.3">
      <c r="A1935" s="1" t="s">
        <v>10319</v>
      </c>
      <c r="B1935" s="1" t="s">
        <v>162</v>
      </c>
      <c r="E1935" s="1" t="s">
        <v>10320</v>
      </c>
      <c r="F1935" s="1" t="s">
        <v>95</v>
      </c>
      <c r="G1935" s="1" t="s">
        <v>116</v>
      </c>
      <c r="H1935" s="1">
        <v>0</v>
      </c>
      <c r="I1935" s="1" t="s">
        <v>109</v>
      </c>
      <c r="L1935" s="1" t="s">
        <v>1065</v>
      </c>
      <c r="M1935" s="1" t="s">
        <v>4344</v>
      </c>
      <c r="N1935" s="1">
        <v>0</v>
      </c>
      <c r="O1935" s="1">
        <v>0</v>
      </c>
      <c r="P1935" s="1" t="s">
        <v>211</v>
      </c>
      <c r="Q1935" s="1" t="s">
        <v>184</v>
      </c>
      <c r="R1935" s="1" t="s">
        <v>10321</v>
      </c>
      <c r="S1935" s="1" t="s">
        <v>10226</v>
      </c>
      <c r="T1935" s="1">
        <v>1</v>
      </c>
      <c r="U1935" s="1">
        <v>1</v>
      </c>
      <c r="V1935" s="1">
        <v>0</v>
      </c>
      <c r="W1935" s="1">
        <v>0</v>
      </c>
      <c r="X1935" s="1">
        <v>0</v>
      </c>
      <c r="Y1935" s="1">
        <v>5</v>
      </c>
      <c r="Z1935" s="1">
        <v>5</v>
      </c>
      <c r="AA1935" s="1">
        <v>5</v>
      </c>
      <c r="AB1935" s="1" t="s">
        <v>104</v>
      </c>
      <c r="AC1935" s="1" t="s">
        <v>104</v>
      </c>
      <c r="AD1935" s="1" t="s">
        <v>104</v>
      </c>
      <c r="AE1935" s="1" t="s">
        <v>104</v>
      </c>
      <c r="AF1935" s="1" t="s">
        <v>104</v>
      </c>
      <c r="AG1935" s="1" t="s">
        <v>104</v>
      </c>
      <c r="AH1935" s="1">
        <v>5</v>
      </c>
      <c r="AI1935" s="1" t="s">
        <v>104</v>
      </c>
      <c r="AJ1935" s="1">
        <v>5</v>
      </c>
      <c r="AK1935" s="1" t="s">
        <v>104</v>
      </c>
      <c r="AL1935" s="1" t="s">
        <v>104</v>
      </c>
      <c r="AM1935" s="1" t="s">
        <v>104</v>
      </c>
      <c r="AO1935" s="1">
        <v>5</v>
      </c>
      <c r="AR1935" s="1">
        <v>0</v>
      </c>
      <c r="AS1935" s="1">
        <v>0</v>
      </c>
      <c r="AT1935" s="1">
        <v>0</v>
      </c>
      <c r="AU1935" s="1">
        <v>0</v>
      </c>
      <c r="AV1935" s="1">
        <v>0</v>
      </c>
      <c r="AW1935" s="1">
        <v>0</v>
      </c>
      <c r="AX1935" s="1">
        <v>0</v>
      </c>
      <c r="AY1935" s="1">
        <v>0</v>
      </c>
      <c r="AZ1935" s="1">
        <v>0</v>
      </c>
      <c r="BA1935" s="1">
        <v>0</v>
      </c>
      <c r="BB1935" s="1">
        <v>0</v>
      </c>
      <c r="BC1935" s="1">
        <v>0</v>
      </c>
      <c r="BD1935" s="1">
        <v>0</v>
      </c>
      <c r="BE1935" s="1">
        <v>0</v>
      </c>
      <c r="BF1935" s="1">
        <v>0</v>
      </c>
      <c r="BG1935" s="1">
        <v>0</v>
      </c>
      <c r="BH1935" s="1">
        <v>0</v>
      </c>
      <c r="BI1935" s="1">
        <v>0</v>
      </c>
      <c r="BJ1935" s="1">
        <v>0</v>
      </c>
      <c r="BK1935" s="1">
        <v>0</v>
      </c>
      <c r="BL1935" s="1">
        <v>0</v>
      </c>
      <c r="BM1935" s="1">
        <v>0</v>
      </c>
      <c r="BN1935" s="1">
        <v>0</v>
      </c>
      <c r="BO1935" s="1">
        <v>0</v>
      </c>
      <c r="BP1935" s="1">
        <v>0</v>
      </c>
      <c r="BQ1935" s="1" t="s">
        <v>104</v>
      </c>
      <c r="BR1935" s="1">
        <v>2034</v>
      </c>
      <c r="BS1935" s="1" t="s">
        <v>104</v>
      </c>
      <c r="BX1935" s="1">
        <v>0</v>
      </c>
      <c r="BY1935" s="1" t="s">
        <v>104</v>
      </c>
      <c r="BZ1935" s="1" t="s">
        <v>104</v>
      </c>
      <c r="CA1935" s="1">
        <v>5</v>
      </c>
      <c r="CB1935" s="1" t="s">
        <v>104</v>
      </c>
      <c r="CC1935" s="1" t="s">
        <v>104</v>
      </c>
      <c r="CD1935" s="1" t="s">
        <v>104</v>
      </c>
      <c r="CE1935" s="1" t="s">
        <v>104</v>
      </c>
      <c r="CF1935" s="1" t="s">
        <v>104</v>
      </c>
      <c r="CG1935" s="1" t="s">
        <v>104</v>
      </c>
      <c r="CH1935" s="1" t="s">
        <v>104</v>
      </c>
      <c r="CJ1935" s="1">
        <v>0</v>
      </c>
      <c r="CK1935" s="1">
        <v>0</v>
      </c>
      <c r="CL1935" s="1">
        <v>0</v>
      </c>
      <c r="CM1935" s="1" t="s">
        <v>104</v>
      </c>
    </row>
    <row r="1936" spans="1:91" ht="14.25" customHeight="1" x14ac:dyDescent="0.3">
      <c r="A1936" s="1" t="s">
        <v>10322</v>
      </c>
      <c r="B1936" s="1" t="s">
        <v>92</v>
      </c>
      <c r="C1936" s="1" t="s">
        <v>93</v>
      </c>
      <c r="E1936" s="1" t="s">
        <v>10323</v>
      </c>
      <c r="F1936" s="1" t="s">
        <v>95</v>
      </c>
      <c r="G1936" s="1" t="s">
        <v>4946</v>
      </c>
      <c r="H1936" s="1">
        <v>0</v>
      </c>
      <c r="I1936" s="1" t="s">
        <v>109</v>
      </c>
      <c r="J1936" s="1" t="s">
        <v>10324</v>
      </c>
      <c r="M1936" s="1" t="s">
        <v>426</v>
      </c>
      <c r="N1936" s="1">
        <v>1</v>
      </c>
      <c r="O1936" s="1">
        <v>0</v>
      </c>
      <c r="P1936" s="1" t="s">
        <v>100</v>
      </c>
      <c r="Q1936" s="1" t="s">
        <v>101</v>
      </c>
      <c r="R1936" s="1" t="s">
        <v>10325</v>
      </c>
      <c r="S1936" s="1" t="s">
        <v>10226</v>
      </c>
      <c r="T1936" s="1">
        <v>1</v>
      </c>
      <c r="U1936" s="1">
        <v>1</v>
      </c>
      <c r="V1936" s="1">
        <v>1</v>
      </c>
      <c r="W1936" s="1">
        <v>0</v>
      </c>
      <c r="X1936" s="1">
        <v>0</v>
      </c>
      <c r="Y1936" s="1">
        <v>3</v>
      </c>
      <c r="Z1936" s="1">
        <v>3</v>
      </c>
      <c r="AA1936" s="1" t="s">
        <v>104</v>
      </c>
      <c r="AB1936" s="1" t="s">
        <v>104</v>
      </c>
      <c r="AC1936" s="1" t="s">
        <v>104</v>
      </c>
      <c r="AD1936" s="1" t="s">
        <v>104</v>
      </c>
      <c r="AE1936" s="1" t="s">
        <v>104</v>
      </c>
      <c r="AF1936" s="1" t="s">
        <v>104</v>
      </c>
      <c r="AG1936" s="1">
        <v>3</v>
      </c>
      <c r="AH1936" s="1">
        <v>3</v>
      </c>
      <c r="AI1936" s="1" t="s">
        <v>104</v>
      </c>
      <c r="AJ1936" s="1" t="s">
        <v>104</v>
      </c>
      <c r="AK1936" s="1" t="s">
        <v>104</v>
      </c>
      <c r="AL1936" s="1">
        <v>3</v>
      </c>
      <c r="AM1936" s="1" t="s">
        <v>104</v>
      </c>
      <c r="AO1936" s="1">
        <v>3</v>
      </c>
      <c r="AR1936" s="1">
        <v>0</v>
      </c>
      <c r="AS1936" s="1">
        <v>0</v>
      </c>
      <c r="AT1936" s="1">
        <v>0</v>
      </c>
      <c r="AU1936" s="1">
        <v>0</v>
      </c>
      <c r="AV1936" s="1">
        <v>0</v>
      </c>
      <c r="AW1936" s="1">
        <v>0</v>
      </c>
      <c r="AX1936" s="1">
        <v>0</v>
      </c>
      <c r="AY1936" s="1">
        <v>0</v>
      </c>
      <c r="AZ1936" s="1">
        <v>0</v>
      </c>
      <c r="BA1936" s="1">
        <v>0</v>
      </c>
      <c r="BB1936" s="1">
        <v>0</v>
      </c>
      <c r="BC1936" s="1">
        <v>0</v>
      </c>
      <c r="BD1936" s="1">
        <v>0</v>
      </c>
      <c r="BE1936" s="1">
        <v>0</v>
      </c>
      <c r="BF1936" s="1">
        <v>0</v>
      </c>
      <c r="BG1936" s="1">
        <v>0</v>
      </c>
      <c r="BH1936" s="1">
        <v>0</v>
      </c>
      <c r="BI1936" s="1">
        <v>0</v>
      </c>
      <c r="BJ1936" s="1">
        <v>0</v>
      </c>
      <c r="BK1936" s="1">
        <v>0</v>
      </c>
      <c r="BL1936" s="1">
        <v>0</v>
      </c>
      <c r="BM1936" s="1">
        <v>0</v>
      </c>
      <c r="BN1936" s="1">
        <v>0</v>
      </c>
      <c r="BO1936" s="1">
        <v>0</v>
      </c>
      <c r="BP1936" s="1">
        <v>0</v>
      </c>
      <c r="BQ1936" s="1" t="s">
        <v>104</v>
      </c>
      <c r="BR1936" s="1">
        <v>2035</v>
      </c>
      <c r="BS1936" s="1" t="s">
        <v>104</v>
      </c>
      <c r="BX1936" s="1">
        <v>0</v>
      </c>
      <c r="BY1936" s="1" t="s">
        <v>104</v>
      </c>
      <c r="BZ1936" s="1" t="s">
        <v>104</v>
      </c>
      <c r="CA1936" s="1" t="s">
        <v>104</v>
      </c>
      <c r="CB1936" s="1" t="s">
        <v>104</v>
      </c>
      <c r="CC1936" s="1" t="s">
        <v>104</v>
      </c>
      <c r="CD1936" s="1" t="s">
        <v>104</v>
      </c>
      <c r="CE1936" s="1" t="s">
        <v>104</v>
      </c>
      <c r="CF1936" s="1" t="s">
        <v>104</v>
      </c>
      <c r="CG1936" s="1" t="s">
        <v>104</v>
      </c>
      <c r="CH1936" s="1" t="s">
        <v>104</v>
      </c>
      <c r="CJ1936" s="1">
        <v>0</v>
      </c>
      <c r="CK1936" s="1">
        <v>0</v>
      </c>
      <c r="CL1936" s="1">
        <v>0</v>
      </c>
      <c r="CM1936" s="1">
        <v>3</v>
      </c>
    </row>
    <row r="1937" spans="1:91" ht="14.25" customHeight="1" x14ac:dyDescent="0.3">
      <c r="A1937" s="1" t="s">
        <v>10326</v>
      </c>
      <c r="B1937" s="1" t="s">
        <v>216</v>
      </c>
      <c r="D1937" s="1" t="s">
        <v>10327</v>
      </c>
      <c r="E1937" s="1" t="s">
        <v>10328</v>
      </c>
      <c r="F1937" s="1" t="s">
        <v>95</v>
      </c>
      <c r="G1937" s="1" t="s">
        <v>116</v>
      </c>
      <c r="H1937" s="1">
        <v>0</v>
      </c>
      <c r="I1937" s="1" t="s">
        <v>128</v>
      </c>
      <c r="L1937" s="1" t="s">
        <v>129</v>
      </c>
      <c r="M1937" s="1" t="s">
        <v>9708</v>
      </c>
      <c r="N1937" s="1">
        <v>0</v>
      </c>
      <c r="O1937" s="1">
        <v>0</v>
      </c>
      <c r="P1937" s="1" t="s">
        <v>6205</v>
      </c>
      <c r="Q1937" s="1" t="s">
        <v>184</v>
      </c>
      <c r="R1937" s="1" t="s">
        <v>10329</v>
      </c>
      <c r="S1937" s="1" t="s">
        <v>10330</v>
      </c>
      <c r="T1937" s="1">
        <v>1</v>
      </c>
      <c r="U1937" s="1">
        <v>1</v>
      </c>
      <c r="V1937" s="1">
        <v>0</v>
      </c>
      <c r="W1937" s="1">
        <v>0</v>
      </c>
      <c r="X1937" s="1">
        <v>0</v>
      </c>
      <c r="Y1937" s="1" t="s">
        <v>104</v>
      </c>
      <c r="Z1937" s="1" t="s">
        <v>104</v>
      </c>
      <c r="AA1937" s="1">
        <v>4</v>
      </c>
      <c r="AB1937" s="1" t="s">
        <v>104</v>
      </c>
      <c r="AC1937" s="1" t="s">
        <v>104</v>
      </c>
      <c r="AD1937" s="1" t="s">
        <v>104</v>
      </c>
      <c r="AE1937" s="1" t="s">
        <v>104</v>
      </c>
      <c r="AF1937" s="1" t="s">
        <v>104</v>
      </c>
      <c r="AG1937" s="1" t="s">
        <v>104</v>
      </c>
      <c r="AH1937" s="1">
        <v>5</v>
      </c>
      <c r="AI1937" s="1" t="s">
        <v>104</v>
      </c>
      <c r="AJ1937" s="1">
        <v>4</v>
      </c>
      <c r="AK1937" s="1" t="s">
        <v>104</v>
      </c>
      <c r="AL1937" s="1" t="s">
        <v>104</v>
      </c>
      <c r="AM1937" s="1" t="s">
        <v>104</v>
      </c>
      <c r="AO1937" s="1">
        <v>4</v>
      </c>
      <c r="AR1937" s="1">
        <v>0</v>
      </c>
      <c r="AS1937" s="1">
        <v>0</v>
      </c>
      <c r="AT1937" s="1">
        <v>0</v>
      </c>
      <c r="AU1937" s="1">
        <v>0</v>
      </c>
      <c r="AV1937" s="1">
        <v>1</v>
      </c>
      <c r="AW1937" s="1">
        <v>0</v>
      </c>
      <c r="AX1937" s="1">
        <v>1</v>
      </c>
      <c r="AY1937" s="1">
        <v>0</v>
      </c>
      <c r="AZ1937" s="1">
        <v>0</v>
      </c>
      <c r="BA1937" s="1">
        <v>0</v>
      </c>
      <c r="BB1937" s="1">
        <v>0</v>
      </c>
      <c r="BC1937" s="1">
        <v>0</v>
      </c>
      <c r="BD1937" s="1">
        <v>0</v>
      </c>
      <c r="BE1937" s="1">
        <v>0</v>
      </c>
      <c r="BF1937" s="1">
        <v>0</v>
      </c>
      <c r="BG1937" s="1">
        <v>0</v>
      </c>
      <c r="BH1937" s="1">
        <v>0</v>
      </c>
      <c r="BI1937" s="1">
        <v>0</v>
      </c>
      <c r="BJ1937" s="1">
        <v>0</v>
      </c>
      <c r="BK1937" s="1">
        <v>0</v>
      </c>
      <c r="BL1937" s="1">
        <v>0</v>
      </c>
      <c r="BM1937" s="1">
        <v>0</v>
      </c>
      <c r="BN1937" s="1">
        <v>0</v>
      </c>
      <c r="BO1937" s="1">
        <v>0</v>
      </c>
      <c r="BP1937" s="1">
        <v>0</v>
      </c>
      <c r="BQ1937" s="1" t="s">
        <v>104</v>
      </c>
      <c r="BR1937" s="1">
        <v>2036</v>
      </c>
      <c r="BS1937" s="1" t="s">
        <v>104</v>
      </c>
      <c r="BX1937" s="1">
        <v>0</v>
      </c>
      <c r="BY1937" s="1" t="s">
        <v>104</v>
      </c>
      <c r="BZ1937" s="1">
        <v>5</v>
      </c>
      <c r="CA1937" s="1" t="s">
        <v>104</v>
      </c>
      <c r="CB1937" s="1" t="s">
        <v>104</v>
      </c>
      <c r="CC1937" s="1" t="s">
        <v>104</v>
      </c>
      <c r="CD1937" s="1" t="s">
        <v>104</v>
      </c>
      <c r="CE1937" s="1" t="s">
        <v>104</v>
      </c>
      <c r="CF1937" s="1" t="s">
        <v>104</v>
      </c>
      <c r="CG1937" s="1" t="s">
        <v>104</v>
      </c>
      <c r="CH1937" s="1" t="s">
        <v>104</v>
      </c>
      <c r="CJ1937" s="1">
        <v>0</v>
      </c>
      <c r="CK1937" s="1">
        <v>0</v>
      </c>
      <c r="CL1937" s="1">
        <v>0</v>
      </c>
      <c r="CM1937" s="1" t="s">
        <v>104</v>
      </c>
    </row>
    <row r="1938" spans="1:91" ht="14.25" customHeight="1" x14ac:dyDescent="0.3">
      <c r="A1938" s="1" t="s">
        <v>10331</v>
      </c>
      <c r="B1938" s="1" t="s">
        <v>123</v>
      </c>
      <c r="C1938" s="1" t="s">
        <v>124</v>
      </c>
      <c r="D1938" s="1" t="s">
        <v>125</v>
      </c>
      <c r="E1938" s="1" t="s">
        <v>10332</v>
      </c>
      <c r="F1938" s="1" t="s">
        <v>95</v>
      </c>
      <c r="G1938" s="1" t="s">
        <v>10333</v>
      </c>
      <c r="H1938" s="1">
        <v>0</v>
      </c>
      <c r="I1938" s="1" t="s">
        <v>109</v>
      </c>
      <c r="L1938" s="1" t="s">
        <v>1065</v>
      </c>
      <c r="M1938" s="1" t="s">
        <v>111</v>
      </c>
      <c r="N1938" s="1">
        <v>0</v>
      </c>
      <c r="O1938" s="1">
        <v>0</v>
      </c>
      <c r="P1938" s="1" t="s">
        <v>211</v>
      </c>
      <c r="Q1938" s="1" t="s">
        <v>184</v>
      </c>
      <c r="R1938" s="1" t="s">
        <v>10334</v>
      </c>
      <c r="S1938" s="1" t="s">
        <v>10335</v>
      </c>
      <c r="T1938" s="1">
        <v>1</v>
      </c>
      <c r="U1938" s="1">
        <v>1</v>
      </c>
      <c r="V1938" s="1">
        <v>1</v>
      </c>
      <c r="W1938" s="1">
        <v>0</v>
      </c>
      <c r="X1938" s="1">
        <v>0</v>
      </c>
      <c r="Y1938" s="1">
        <v>3</v>
      </c>
      <c r="Z1938" s="1">
        <v>3</v>
      </c>
      <c r="AA1938" s="1" t="s">
        <v>104</v>
      </c>
      <c r="AB1938" s="1">
        <v>2</v>
      </c>
      <c r="AC1938" s="1" t="s">
        <v>104</v>
      </c>
      <c r="AD1938" s="1" t="s">
        <v>104</v>
      </c>
      <c r="AE1938" s="1" t="s">
        <v>104</v>
      </c>
      <c r="AF1938" s="1" t="s">
        <v>104</v>
      </c>
      <c r="AG1938" s="1" t="s">
        <v>104</v>
      </c>
      <c r="AH1938" s="1">
        <v>2</v>
      </c>
      <c r="AI1938" s="1" t="s">
        <v>104</v>
      </c>
      <c r="AJ1938" s="1" t="s">
        <v>104</v>
      </c>
      <c r="AK1938" s="1" t="s">
        <v>104</v>
      </c>
      <c r="AL1938" s="1" t="s">
        <v>104</v>
      </c>
      <c r="AM1938" s="1" t="s">
        <v>104</v>
      </c>
      <c r="AO1938" s="1">
        <v>3</v>
      </c>
      <c r="AR1938" s="1">
        <v>0</v>
      </c>
      <c r="AS1938" s="1">
        <v>0</v>
      </c>
      <c r="AT1938" s="1">
        <v>0</v>
      </c>
      <c r="AU1938" s="1">
        <v>0</v>
      </c>
      <c r="AV1938" s="1">
        <v>0</v>
      </c>
      <c r="AW1938" s="1">
        <v>0</v>
      </c>
      <c r="AX1938" s="1">
        <v>0</v>
      </c>
      <c r="AY1938" s="1">
        <v>0</v>
      </c>
      <c r="AZ1938" s="1">
        <v>0</v>
      </c>
      <c r="BA1938" s="1">
        <v>0</v>
      </c>
      <c r="BB1938" s="1">
        <v>0</v>
      </c>
      <c r="BC1938" s="1">
        <v>0</v>
      </c>
      <c r="BD1938" s="1">
        <v>0</v>
      </c>
      <c r="BE1938" s="1">
        <v>0</v>
      </c>
      <c r="BF1938" s="1">
        <v>0</v>
      </c>
      <c r="BG1938" s="1">
        <v>0</v>
      </c>
      <c r="BH1938" s="1">
        <v>0</v>
      </c>
      <c r="BI1938" s="1">
        <v>0</v>
      </c>
      <c r="BJ1938" s="1">
        <v>0</v>
      </c>
      <c r="BK1938" s="1">
        <v>1</v>
      </c>
      <c r="BL1938" s="1">
        <v>0</v>
      </c>
      <c r="BM1938" s="1">
        <v>0</v>
      </c>
      <c r="BN1938" s="1">
        <v>0</v>
      </c>
      <c r="BO1938" s="1">
        <v>0</v>
      </c>
      <c r="BP1938" s="1">
        <v>0</v>
      </c>
      <c r="BQ1938" s="1" t="s">
        <v>104</v>
      </c>
      <c r="BR1938" s="1">
        <v>2037</v>
      </c>
      <c r="BS1938" s="1" t="s">
        <v>104</v>
      </c>
      <c r="BX1938" s="1">
        <v>0</v>
      </c>
      <c r="BY1938" s="1" t="s">
        <v>104</v>
      </c>
      <c r="BZ1938" s="1">
        <v>2</v>
      </c>
      <c r="CA1938" s="1" t="s">
        <v>104</v>
      </c>
      <c r="CB1938" s="1" t="s">
        <v>104</v>
      </c>
      <c r="CC1938" s="1" t="s">
        <v>104</v>
      </c>
      <c r="CD1938" s="1" t="s">
        <v>104</v>
      </c>
      <c r="CE1938" s="1" t="s">
        <v>104</v>
      </c>
      <c r="CF1938" s="1" t="s">
        <v>104</v>
      </c>
      <c r="CG1938" s="1" t="s">
        <v>104</v>
      </c>
      <c r="CH1938" s="1">
        <v>2</v>
      </c>
      <c r="CJ1938" s="1">
        <v>0</v>
      </c>
      <c r="CK1938" s="1">
        <v>0</v>
      </c>
      <c r="CL1938" s="1">
        <v>0</v>
      </c>
      <c r="CM1938" s="1" t="s">
        <v>104</v>
      </c>
    </row>
    <row r="1939" spans="1:91" ht="14.25" customHeight="1" x14ac:dyDescent="0.3">
      <c r="A1939" s="1" t="s">
        <v>10336</v>
      </c>
      <c r="B1939" s="1" t="s">
        <v>137</v>
      </c>
      <c r="E1939" s="1" t="s">
        <v>10337</v>
      </c>
      <c r="F1939" s="1" t="s">
        <v>255</v>
      </c>
      <c r="G1939" s="1" t="s">
        <v>116</v>
      </c>
      <c r="H1939" s="1">
        <v>0</v>
      </c>
      <c r="I1939" s="1" t="s">
        <v>109</v>
      </c>
      <c r="L1939" s="1" t="s">
        <v>1065</v>
      </c>
      <c r="M1939" s="1" t="s">
        <v>111</v>
      </c>
      <c r="N1939" s="1">
        <v>0</v>
      </c>
      <c r="O1939" s="1">
        <v>0</v>
      </c>
      <c r="P1939" s="1" t="s">
        <v>183</v>
      </c>
      <c r="Q1939" s="1" t="s">
        <v>184</v>
      </c>
      <c r="R1939" s="1" t="s">
        <v>10338</v>
      </c>
      <c r="S1939" s="1" t="s">
        <v>10335</v>
      </c>
      <c r="T1939" s="1">
        <v>1</v>
      </c>
      <c r="U1939" s="1">
        <v>1</v>
      </c>
      <c r="V1939" s="1">
        <v>0</v>
      </c>
      <c r="W1939" s="1">
        <v>0</v>
      </c>
      <c r="X1939" s="1">
        <v>0</v>
      </c>
      <c r="Y1939" s="1">
        <v>3</v>
      </c>
      <c r="Z1939" s="1">
        <v>3</v>
      </c>
      <c r="AA1939" s="1" t="s">
        <v>104</v>
      </c>
      <c r="AB1939" s="1" t="s">
        <v>104</v>
      </c>
      <c r="AC1939" s="1">
        <v>1</v>
      </c>
      <c r="AD1939" s="1" t="s">
        <v>104</v>
      </c>
      <c r="AE1939" s="1" t="s">
        <v>104</v>
      </c>
      <c r="AF1939" s="1" t="s">
        <v>104</v>
      </c>
      <c r="AG1939" s="1" t="s">
        <v>104</v>
      </c>
      <c r="AH1939" s="1">
        <v>3</v>
      </c>
      <c r="AI1939" s="1" t="s">
        <v>104</v>
      </c>
      <c r="AJ1939" s="1" t="s">
        <v>104</v>
      </c>
      <c r="AK1939" s="1" t="s">
        <v>104</v>
      </c>
      <c r="AL1939" s="1">
        <v>2</v>
      </c>
      <c r="AM1939" s="1" t="s">
        <v>104</v>
      </c>
      <c r="AO1939" s="1">
        <v>3</v>
      </c>
      <c r="AR1939" s="1">
        <v>0</v>
      </c>
      <c r="AS1939" s="1">
        <v>0</v>
      </c>
      <c r="AT1939" s="1">
        <v>0</v>
      </c>
      <c r="AU1939" s="1">
        <v>0</v>
      </c>
      <c r="AV1939" s="1">
        <v>0</v>
      </c>
      <c r="AW1939" s="1">
        <v>0</v>
      </c>
      <c r="AX1939" s="1">
        <v>0</v>
      </c>
      <c r="AY1939" s="1">
        <v>0</v>
      </c>
      <c r="AZ1939" s="1">
        <v>0</v>
      </c>
      <c r="BA1939" s="1">
        <v>0</v>
      </c>
      <c r="BB1939" s="1">
        <v>0</v>
      </c>
      <c r="BC1939" s="1">
        <v>0</v>
      </c>
      <c r="BD1939" s="1">
        <v>0</v>
      </c>
      <c r="BE1939" s="1">
        <v>0</v>
      </c>
      <c r="BF1939" s="1">
        <v>0</v>
      </c>
      <c r="BG1939" s="1">
        <v>0</v>
      </c>
      <c r="BH1939" s="1">
        <v>0</v>
      </c>
      <c r="BI1939" s="1">
        <v>0</v>
      </c>
      <c r="BJ1939" s="1">
        <v>0</v>
      </c>
      <c r="BK1939" s="1">
        <v>0</v>
      </c>
      <c r="BL1939" s="1">
        <v>0</v>
      </c>
      <c r="BM1939" s="1">
        <v>0</v>
      </c>
      <c r="BN1939" s="1">
        <v>0</v>
      </c>
      <c r="BO1939" s="1">
        <v>0</v>
      </c>
      <c r="BP1939" s="1">
        <v>0</v>
      </c>
      <c r="BQ1939" s="1" t="s">
        <v>104</v>
      </c>
      <c r="BR1939" s="1">
        <v>2038</v>
      </c>
      <c r="BS1939" s="1" t="s">
        <v>104</v>
      </c>
      <c r="BX1939" s="1">
        <v>0</v>
      </c>
      <c r="BY1939" s="1" t="s">
        <v>104</v>
      </c>
      <c r="BZ1939" s="1">
        <v>3</v>
      </c>
      <c r="CA1939" s="1" t="s">
        <v>104</v>
      </c>
      <c r="CB1939" s="1" t="s">
        <v>104</v>
      </c>
      <c r="CC1939" s="1" t="s">
        <v>104</v>
      </c>
      <c r="CD1939" s="1" t="s">
        <v>104</v>
      </c>
      <c r="CE1939" s="1" t="s">
        <v>104</v>
      </c>
      <c r="CF1939" s="1" t="s">
        <v>104</v>
      </c>
      <c r="CG1939" s="1" t="s">
        <v>104</v>
      </c>
      <c r="CH1939" s="1">
        <v>1</v>
      </c>
      <c r="CJ1939" s="1">
        <v>0</v>
      </c>
      <c r="CK1939" s="1">
        <v>0</v>
      </c>
      <c r="CL1939" s="1">
        <v>0</v>
      </c>
      <c r="CM1939" s="1" t="s">
        <v>104</v>
      </c>
    </row>
    <row r="1940" spans="1:91" ht="14.25" customHeight="1" x14ac:dyDescent="0.3">
      <c r="A1940" s="1" t="s">
        <v>10339</v>
      </c>
      <c r="B1940" s="1" t="s">
        <v>434</v>
      </c>
      <c r="D1940" s="1" t="s">
        <v>66</v>
      </c>
      <c r="E1940" s="1" t="s">
        <v>10340</v>
      </c>
      <c r="F1940" s="1" t="s">
        <v>95</v>
      </c>
      <c r="G1940" s="1" t="s">
        <v>10341</v>
      </c>
      <c r="H1940" s="1">
        <v>0</v>
      </c>
      <c r="I1940" s="1" t="s">
        <v>117</v>
      </c>
      <c r="L1940" s="1" t="s">
        <v>1180</v>
      </c>
      <c r="M1940" s="1" t="s">
        <v>119</v>
      </c>
      <c r="N1940" s="1">
        <v>0</v>
      </c>
      <c r="O1940" s="1">
        <v>0</v>
      </c>
      <c r="P1940" s="1" t="s">
        <v>145</v>
      </c>
      <c r="Q1940" s="1" t="s">
        <v>145</v>
      </c>
      <c r="R1940" s="1" t="s">
        <v>10342</v>
      </c>
      <c r="S1940" s="1" t="s">
        <v>10335</v>
      </c>
      <c r="T1940" s="1">
        <v>1</v>
      </c>
      <c r="U1940" s="1">
        <v>1</v>
      </c>
      <c r="V1940" s="1">
        <v>1</v>
      </c>
      <c r="W1940" s="1">
        <v>0</v>
      </c>
      <c r="X1940" s="1">
        <v>0</v>
      </c>
      <c r="Y1940" s="1">
        <v>5</v>
      </c>
      <c r="Z1940" s="1">
        <v>5</v>
      </c>
      <c r="AA1940" s="1" t="s">
        <v>104</v>
      </c>
      <c r="AB1940" s="1" t="s">
        <v>104</v>
      </c>
      <c r="AC1940" s="1" t="s">
        <v>104</v>
      </c>
      <c r="AD1940" s="1" t="s">
        <v>104</v>
      </c>
      <c r="AE1940" s="1" t="s">
        <v>104</v>
      </c>
      <c r="AF1940" s="1" t="s">
        <v>104</v>
      </c>
      <c r="AG1940" s="1" t="s">
        <v>104</v>
      </c>
      <c r="AH1940" s="1">
        <v>6</v>
      </c>
      <c r="AI1940" s="1" t="s">
        <v>104</v>
      </c>
      <c r="AJ1940" s="1" t="s">
        <v>104</v>
      </c>
      <c r="AK1940" s="1" t="s">
        <v>104</v>
      </c>
      <c r="AL1940" s="1">
        <v>4</v>
      </c>
      <c r="AM1940" s="1" t="s">
        <v>104</v>
      </c>
      <c r="AO1940" s="1">
        <v>5</v>
      </c>
      <c r="AR1940" s="1">
        <v>0</v>
      </c>
      <c r="AS1940" s="1">
        <v>0</v>
      </c>
      <c r="AT1940" s="1">
        <v>0</v>
      </c>
      <c r="AU1940" s="1">
        <v>0</v>
      </c>
      <c r="AV1940" s="1">
        <v>0</v>
      </c>
      <c r="AW1940" s="1">
        <v>0</v>
      </c>
      <c r="AX1940" s="1">
        <v>0</v>
      </c>
      <c r="AY1940" s="1">
        <v>0</v>
      </c>
      <c r="AZ1940" s="1">
        <v>0</v>
      </c>
      <c r="BA1940" s="1">
        <v>0</v>
      </c>
      <c r="BB1940" s="1">
        <v>0</v>
      </c>
      <c r="BC1940" s="1">
        <v>0</v>
      </c>
      <c r="BD1940" s="1">
        <v>0</v>
      </c>
      <c r="BE1940" s="1">
        <v>0</v>
      </c>
      <c r="BF1940" s="1">
        <v>0</v>
      </c>
      <c r="BG1940" s="1">
        <v>0</v>
      </c>
      <c r="BH1940" s="1">
        <v>0</v>
      </c>
      <c r="BI1940" s="1">
        <v>0</v>
      </c>
      <c r="BJ1940" s="1">
        <v>0</v>
      </c>
      <c r="BK1940" s="1">
        <v>0</v>
      </c>
      <c r="BL1940" s="1">
        <v>0</v>
      </c>
      <c r="BM1940" s="1">
        <v>0</v>
      </c>
      <c r="BN1940" s="1">
        <v>0</v>
      </c>
      <c r="BO1940" s="1">
        <v>1</v>
      </c>
      <c r="BP1940" s="1">
        <v>0</v>
      </c>
      <c r="BQ1940" s="1" t="s">
        <v>104</v>
      </c>
      <c r="BR1940" s="1">
        <v>2039</v>
      </c>
      <c r="BS1940" s="1" t="s">
        <v>104</v>
      </c>
      <c r="BX1940" s="1">
        <v>0</v>
      </c>
      <c r="BY1940" s="1">
        <v>3</v>
      </c>
      <c r="BZ1940" s="1" t="s">
        <v>104</v>
      </c>
      <c r="CA1940" s="1" t="s">
        <v>104</v>
      </c>
      <c r="CB1940" s="1" t="s">
        <v>104</v>
      </c>
      <c r="CC1940" s="1" t="s">
        <v>104</v>
      </c>
      <c r="CD1940" s="1" t="s">
        <v>104</v>
      </c>
      <c r="CE1940" s="1" t="s">
        <v>104</v>
      </c>
      <c r="CF1940" s="1" t="s">
        <v>104</v>
      </c>
      <c r="CG1940" s="1" t="s">
        <v>104</v>
      </c>
      <c r="CH1940" s="1" t="s">
        <v>104</v>
      </c>
      <c r="CJ1940" s="1">
        <v>0</v>
      </c>
      <c r="CK1940" s="1">
        <v>0</v>
      </c>
      <c r="CL1940" s="1">
        <v>0</v>
      </c>
      <c r="CM1940" s="1" t="s">
        <v>104</v>
      </c>
    </row>
    <row r="1941" spans="1:91" ht="14.25" customHeight="1" x14ac:dyDescent="0.3">
      <c r="A1941" s="1" t="s">
        <v>10343</v>
      </c>
      <c r="B1941" s="1" t="s">
        <v>216</v>
      </c>
      <c r="E1941" s="1" t="s">
        <v>10344</v>
      </c>
      <c r="F1941" s="1" t="s">
        <v>255</v>
      </c>
      <c r="G1941" s="1" t="s">
        <v>116</v>
      </c>
      <c r="H1941" s="1">
        <v>0</v>
      </c>
      <c r="I1941" s="1" t="s">
        <v>117</v>
      </c>
      <c r="L1941" s="1" t="s">
        <v>1065</v>
      </c>
      <c r="M1941" s="1" t="s">
        <v>111</v>
      </c>
      <c r="N1941" s="1">
        <v>0</v>
      </c>
      <c r="O1941" s="1">
        <v>0</v>
      </c>
      <c r="P1941" s="1" t="s">
        <v>2051</v>
      </c>
      <c r="Q1941" s="1" t="s">
        <v>184</v>
      </c>
      <c r="R1941" s="1" t="s">
        <v>10345</v>
      </c>
      <c r="S1941" s="1" t="s">
        <v>10335</v>
      </c>
      <c r="T1941" s="1">
        <v>1</v>
      </c>
      <c r="U1941" s="1">
        <v>1</v>
      </c>
      <c r="V1941" s="1">
        <v>0</v>
      </c>
      <c r="W1941" s="1">
        <v>0</v>
      </c>
      <c r="X1941" s="1">
        <v>0</v>
      </c>
      <c r="Y1941" s="1">
        <v>3</v>
      </c>
      <c r="Z1941" s="1">
        <v>3</v>
      </c>
      <c r="AA1941" s="1" t="s">
        <v>104</v>
      </c>
      <c r="AB1941" s="1">
        <v>3</v>
      </c>
      <c r="AC1941" s="1" t="s">
        <v>104</v>
      </c>
      <c r="AD1941" s="1" t="s">
        <v>104</v>
      </c>
      <c r="AE1941" s="1" t="s">
        <v>104</v>
      </c>
      <c r="AF1941" s="1" t="s">
        <v>104</v>
      </c>
      <c r="AG1941" s="1">
        <v>3</v>
      </c>
      <c r="AH1941" s="1">
        <v>3</v>
      </c>
      <c r="AI1941" s="1" t="s">
        <v>104</v>
      </c>
      <c r="AJ1941" s="1" t="s">
        <v>104</v>
      </c>
      <c r="AK1941" s="1" t="s">
        <v>104</v>
      </c>
      <c r="AL1941" s="1">
        <v>3</v>
      </c>
      <c r="AM1941" s="1" t="s">
        <v>104</v>
      </c>
      <c r="AO1941" s="1">
        <v>3</v>
      </c>
      <c r="AR1941" s="1">
        <v>0</v>
      </c>
      <c r="AS1941" s="1">
        <v>0</v>
      </c>
      <c r="AT1941" s="1">
        <v>0</v>
      </c>
      <c r="AU1941" s="1">
        <v>0</v>
      </c>
      <c r="AV1941" s="1">
        <v>0</v>
      </c>
      <c r="AW1941" s="1">
        <v>0</v>
      </c>
      <c r="AX1941" s="1">
        <v>0</v>
      </c>
      <c r="AY1941" s="1">
        <v>0</v>
      </c>
      <c r="AZ1941" s="1">
        <v>0</v>
      </c>
      <c r="BA1941" s="1">
        <v>0</v>
      </c>
      <c r="BB1941" s="1">
        <v>0</v>
      </c>
      <c r="BC1941" s="1">
        <v>0</v>
      </c>
      <c r="BD1941" s="1">
        <v>0</v>
      </c>
      <c r="BE1941" s="1">
        <v>0</v>
      </c>
      <c r="BF1941" s="1">
        <v>0</v>
      </c>
      <c r="BG1941" s="1">
        <v>0</v>
      </c>
      <c r="BH1941" s="1">
        <v>0</v>
      </c>
      <c r="BI1941" s="1">
        <v>0</v>
      </c>
      <c r="BJ1941" s="1">
        <v>0</v>
      </c>
      <c r="BK1941" s="1">
        <v>0</v>
      </c>
      <c r="BL1941" s="1">
        <v>0</v>
      </c>
      <c r="BM1941" s="1">
        <v>0</v>
      </c>
      <c r="BN1941" s="1">
        <v>0</v>
      </c>
      <c r="BO1941" s="1">
        <v>0</v>
      </c>
      <c r="BP1941" s="1">
        <v>0</v>
      </c>
      <c r="BQ1941" s="1" t="s">
        <v>104</v>
      </c>
      <c r="BR1941" s="1">
        <v>2040</v>
      </c>
      <c r="BS1941" s="1" t="s">
        <v>104</v>
      </c>
      <c r="BX1941" s="1">
        <v>0</v>
      </c>
      <c r="BY1941" s="1" t="s">
        <v>104</v>
      </c>
      <c r="BZ1941" s="1" t="s">
        <v>104</v>
      </c>
      <c r="CA1941" s="1" t="s">
        <v>104</v>
      </c>
      <c r="CB1941" s="1" t="s">
        <v>104</v>
      </c>
      <c r="CC1941" s="1" t="s">
        <v>104</v>
      </c>
      <c r="CD1941" s="1" t="s">
        <v>104</v>
      </c>
      <c r="CE1941" s="1" t="s">
        <v>104</v>
      </c>
      <c r="CF1941" s="1" t="s">
        <v>104</v>
      </c>
      <c r="CG1941" s="1" t="s">
        <v>104</v>
      </c>
      <c r="CH1941" s="1">
        <v>3</v>
      </c>
      <c r="CJ1941" s="1">
        <v>0</v>
      </c>
      <c r="CK1941" s="1">
        <v>0</v>
      </c>
      <c r="CL1941" s="1">
        <v>0</v>
      </c>
      <c r="CM1941" s="1">
        <v>3</v>
      </c>
    </row>
    <row r="1942" spans="1:91" ht="14.25" customHeight="1" x14ac:dyDescent="0.3">
      <c r="A1942" s="1" t="s">
        <v>10346</v>
      </c>
      <c r="B1942" s="1" t="s">
        <v>137</v>
      </c>
      <c r="E1942" s="1" t="s">
        <v>10347</v>
      </c>
      <c r="F1942" s="1" t="s">
        <v>95</v>
      </c>
      <c r="G1942" s="1" t="s">
        <v>10348</v>
      </c>
      <c r="H1942" s="1">
        <v>0</v>
      </c>
      <c r="L1942" s="1" t="s">
        <v>374</v>
      </c>
      <c r="M1942" s="1" t="s">
        <v>2330</v>
      </c>
      <c r="N1942" s="1">
        <v>0</v>
      </c>
      <c r="O1942" s="1">
        <v>0</v>
      </c>
      <c r="P1942" s="1" t="s">
        <v>1058</v>
      </c>
      <c r="Q1942" s="1" t="s">
        <v>131</v>
      </c>
      <c r="R1942" s="1" t="s">
        <v>10349</v>
      </c>
      <c r="S1942" s="1" t="s">
        <v>10335</v>
      </c>
      <c r="T1942" s="1">
        <v>1</v>
      </c>
      <c r="U1942" s="1">
        <v>1</v>
      </c>
      <c r="V1942" s="1">
        <v>1</v>
      </c>
      <c r="W1942" s="1">
        <v>0</v>
      </c>
      <c r="X1942" s="1">
        <v>0</v>
      </c>
      <c r="Y1942" s="1">
        <v>2</v>
      </c>
      <c r="Z1942" s="1">
        <v>2</v>
      </c>
      <c r="AA1942" s="1">
        <v>2</v>
      </c>
      <c r="AB1942" s="1">
        <v>2</v>
      </c>
      <c r="AC1942" s="1">
        <v>1</v>
      </c>
      <c r="AD1942" s="1" t="s">
        <v>104</v>
      </c>
      <c r="AE1942" s="1" t="s">
        <v>104</v>
      </c>
      <c r="AF1942" s="1" t="s">
        <v>104</v>
      </c>
      <c r="AG1942" s="1" t="s">
        <v>104</v>
      </c>
      <c r="AH1942" s="1" t="s">
        <v>104</v>
      </c>
      <c r="AI1942" s="1" t="s">
        <v>104</v>
      </c>
      <c r="AJ1942" s="1">
        <v>2</v>
      </c>
      <c r="AK1942" s="1" t="s">
        <v>104</v>
      </c>
      <c r="AL1942" s="1">
        <v>2</v>
      </c>
      <c r="AM1942" s="1" t="s">
        <v>104</v>
      </c>
      <c r="AO1942" s="1">
        <v>2</v>
      </c>
      <c r="AR1942" s="1">
        <v>0</v>
      </c>
      <c r="AS1942" s="1">
        <v>0</v>
      </c>
      <c r="AT1942" s="1">
        <v>0</v>
      </c>
      <c r="AU1942" s="1">
        <v>0</v>
      </c>
      <c r="AV1942" s="1">
        <v>0</v>
      </c>
      <c r="AW1942" s="1">
        <v>0</v>
      </c>
      <c r="AX1942" s="1">
        <v>0</v>
      </c>
      <c r="AY1942" s="1">
        <v>0</v>
      </c>
      <c r="AZ1942" s="1">
        <v>0</v>
      </c>
      <c r="BA1942" s="1">
        <v>0</v>
      </c>
      <c r="BB1942" s="1">
        <v>0</v>
      </c>
      <c r="BC1942" s="1">
        <v>0</v>
      </c>
      <c r="BD1942" s="1">
        <v>0</v>
      </c>
      <c r="BE1942" s="1">
        <v>0</v>
      </c>
      <c r="BF1942" s="1">
        <v>0</v>
      </c>
      <c r="BG1942" s="1">
        <v>0</v>
      </c>
      <c r="BH1942" s="1">
        <v>0</v>
      </c>
      <c r="BI1942" s="1">
        <v>0</v>
      </c>
      <c r="BJ1942" s="1">
        <v>0</v>
      </c>
      <c r="BK1942" s="1">
        <v>0</v>
      </c>
      <c r="BL1942" s="1">
        <v>0</v>
      </c>
      <c r="BM1942" s="1">
        <v>0</v>
      </c>
      <c r="BN1942" s="1">
        <v>0</v>
      </c>
      <c r="BO1942" s="1">
        <v>0</v>
      </c>
      <c r="BP1942" s="1">
        <v>0</v>
      </c>
      <c r="BQ1942" s="1" t="s">
        <v>104</v>
      </c>
      <c r="BR1942" s="1">
        <v>2041</v>
      </c>
      <c r="BS1942" s="1" t="s">
        <v>104</v>
      </c>
      <c r="BX1942" s="1">
        <v>0</v>
      </c>
      <c r="BY1942" s="1">
        <v>1</v>
      </c>
      <c r="BZ1942" s="1" t="s">
        <v>104</v>
      </c>
      <c r="CA1942" s="1" t="s">
        <v>104</v>
      </c>
      <c r="CB1942" s="1" t="s">
        <v>104</v>
      </c>
      <c r="CC1942" s="1" t="s">
        <v>104</v>
      </c>
      <c r="CD1942" s="1" t="s">
        <v>104</v>
      </c>
      <c r="CE1942" s="1" t="s">
        <v>104</v>
      </c>
      <c r="CF1942" s="1" t="s">
        <v>104</v>
      </c>
      <c r="CG1942" s="1" t="s">
        <v>104</v>
      </c>
      <c r="CH1942" s="1">
        <v>1</v>
      </c>
      <c r="CJ1942" s="1">
        <v>0</v>
      </c>
      <c r="CK1942" s="1">
        <v>0</v>
      </c>
      <c r="CL1942" s="1">
        <v>0</v>
      </c>
      <c r="CM1942" s="1" t="s">
        <v>104</v>
      </c>
    </row>
    <row r="1943" spans="1:91" ht="14.25" customHeight="1" x14ac:dyDescent="0.3">
      <c r="A1943" s="1" t="s">
        <v>10350</v>
      </c>
      <c r="B1943" s="1" t="s">
        <v>137</v>
      </c>
      <c r="E1943" s="1" t="s">
        <v>10351</v>
      </c>
      <c r="F1943" s="1" t="s">
        <v>95</v>
      </c>
      <c r="G1943" s="1" t="s">
        <v>10352</v>
      </c>
      <c r="H1943" s="1">
        <v>0</v>
      </c>
      <c r="I1943" s="1" t="s">
        <v>117</v>
      </c>
      <c r="L1943" s="1" t="s">
        <v>10353</v>
      </c>
      <c r="M1943" s="1" t="s">
        <v>4641</v>
      </c>
      <c r="N1943" s="1">
        <v>1</v>
      </c>
      <c r="O1943" s="1">
        <v>0</v>
      </c>
      <c r="P1943" s="1" t="s">
        <v>183</v>
      </c>
      <c r="Q1943" s="1" t="s">
        <v>184</v>
      </c>
      <c r="R1943" s="1" t="s">
        <v>10354</v>
      </c>
      <c r="S1943" s="1" t="s">
        <v>10335</v>
      </c>
      <c r="T1943" s="1">
        <v>1</v>
      </c>
      <c r="U1943" s="1">
        <v>1</v>
      </c>
      <c r="V1943" s="1">
        <v>1</v>
      </c>
      <c r="W1943" s="1">
        <v>0</v>
      </c>
      <c r="X1943" s="1">
        <v>0</v>
      </c>
      <c r="Y1943" s="1">
        <v>2</v>
      </c>
      <c r="Z1943" s="1">
        <v>2</v>
      </c>
      <c r="AA1943" s="1" t="s">
        <v>104</v>
      </c>
      <c r="AB1943" s="1">
        <v>3</v>
      </c>
      <c r="AC1943" s="1" t="s">
        <v>104</v>
      </c>
      <c r="AD1943" s="1" t="s">
        <v>104</v>
      </c>
      <c r="AE1943" s="1" t="s">
        <v>104</v>
      </c>
      <c r="AF1943" s="1" t="s">
        <v>104</v>
      </c>
      <c r="AG1943" s="1" t="s">
        <v>104</v>
      </c>
      <c r="AH1943" s="1">
        <v>2</v>
      </c>
      <c r="AI1943" s="1" t="s">
        <v>104</v>
      </c>
      <c r="AJ1943" s="1" t="s">
        <v>104</v>
      </c>
      <c r="AK1943" s="1" t="s">
        <v>104</v>
      </c>
      <c r="AL1943" s="1">
        <v>3</v>
      </c>
      <c r="AM1943" s="1" t="s">
        <v>104</v>
      </c>
      <c r="AO1943" s="1">
        <v>2</v>
      </c>
      <c r="AR1943" s="1">
        <v>0</v>
      </c>
      <c r="AS1943" s="1">
        <v>0</v>
      </c>
      <c r="AT1943" s="1">
        <v>0</v>
      </c>
      <c r="AU1943" s="1">
        <v>0</v>
      </c>
      <c r="AV1943" s="1">
        <v>0</v>
      </c>
      <c r="AW1943" s="1">
        <v>0</v>
      </c>
      <c r="AX1943" s="1">
        <v>0</v>
      </c>
      <c r="AY1943" s="1">
        <v>0</v>
      </c>
      <c r="AZ1943" s="1">
        <v>0</v>
      </c>
      <c r="BA1943" s="1">
        <v>0</v>
      </c>
      <c r="BB1943" s="1">
        <v>0</v>
      </c>
      <c r="BC1943" s="1">
        <v>0</v>
      </c>
      <c r="BD1943" s="1">
        <v>0</v>
      </c>
      <c r="BE1943" s="1">
        <v>0</v>
      </c>
      <c r="BF1943" s="1">
        <v>0</v>
      </c>
      <c r="BG1943" s="1">
        <v>0</v>
      </c>
      <c r="BH1943" s="1">
        <v>0</v>
      </c>
      <c r="BI1943" s="1">
        <v>0</v>
      </c>
      <c r="BJ1943" s="1">
        <v>0</v>
      </c>
      <c r="BK1943" s="1">
        <v>0</v>
      </c>
      <c r="BL1943" s="1">
        <v>0</v>
      </c>
      <c r="BM1943" s="1">
        <v>0</v>
      </c>
      <c r="BN1943" s="1">
        <v>0</v>
      </c>
      <c r="BO1943" s="1">
        <v>0</v>
      </c>
      <c r="BP1943" s="1">
        <v>0</v>
      </c>
      <c r="BQ1943" s="1" t="s">
        <v>104</v>
      </c>
      <c r="BR1943" s="1">
        <v>2042</v>
      </c>
      <c r="BS1943" s="1" t="s">
        <v>104</v>
      </c>
      <c r="BX1943" s="1">
        <v>0</v>
      </c>
      <c r="BY1943" s="1">
        <v>2</v>
      </c>
      <c r="BZ1943" s="1" t="s">
        <v>104</v>
      </c>
      <c r="CA1943" s="1" t="s">
        <v>104</v>
      </c>
      <c r="CB1943" s="1" t="s">
        <v>104</v>
      </c>
      <c r="CC1943" s="1" t="s">
        <v>104</v>
      </c>
      <c r="CD1943" s="1" t="s">
        <v>104</v>
      </c>
      <c r="CE1943" s="1" t="s">
        <v>104</v>
      </c>
      <c r="CF1943" s="1" t="s">
        <v>104</v>
      </c>
      <c r="CG1943" s="1" t="s">
        <v>104</v>
      </c>
      <c r="CH1943" s="1">
        <v>3</v>
      </c>
      <c r="CJ1943" s="1">
        <v>0</v>
      </c>
      <c r="CK1943" s="1">
        <v>0</v>
      </c>
      <c r="CL1943" s="1">
        <v>0</v>
      </c>
      <c r="CM1943" s="1" t="s">
        <v>104</v>
      </c>
    </row>
    <row r="1944" spans="1:91" ht="14.25" customHeight="1" x14ac:dyDescent="0.3">
      <c r="A1944" s="1" t="s">
        <v>10355</v>
      </c>
      <c r="B1944" s="1" t="s">
        <v>172</v>
      </c>
      <c r="E1944" s="1" t="s">
        <v>10356</v>
      </c>
      <c r="F1944" s="1" t="s">
        <v>95</v>
      </c>
      <c r="G1944" s="1" t="s">
        <v>10357</v>
      </c>
      <c r="H1944" s="1">
        <v>0</v>
      </c>
      <c r="I1944" s="1" t="s">
        <v>7145</v>
      </c>
      <c r="L1944" s="1" t="s">
        <v>541</v>
      </c>
      <c r="M1944" s="1" t="s">
        <v>111</v>
      </c>
      <c r="N1944" s="1">
        <v>0</v>
      </c>
      <c r="O1944" s="1">
        <v>0</v>
      </c>
      <c r="P1944" s="1" t="s">
        <v>211</v>
      </c>
      <c r="Q1944" s="1" t="s">
        <v>184</v>
      </c>
      <c r="R1944" s="1" t="s">
        <v>10358</v>
      </c>
      <c r="S1944" s="1" t="s">
        <v>10335</v>
      </c>
      <c r="T1944" s="1">
        <v>1</v>
      </c>
      <c r="U1944" s="1">
        <v>1</v>
      </c>
      <c r="V1944" s="1">
        <v>1</v>
      </c>
      <c r="W1944" s="1">
        <v>0</v>
      </c>
      <c r="X1944" s="1">
        <v>0</v>
      </c>
      <c r="Y1944" s="1">
        <v>2</v>
      </c>
      <c r="Z1944" s="1">
        <v>2</v>
      </c>
      <c r="AA1944" s="1">
        <v>2</v>
      </c>
      <c r="AB1944" s="1">
        <v>1</v>
      </c>
      <c r="AC1944" s="1" t="s">
        <v>104</v>
      </c>
      <c r="AD1944" s="1">
        <v>1</v>
      </c>
      <c r="AE1944" s="1" t="s">
        <v>104</v>
      </c>
      <c r="AF1944" s="1" t="s">
        <v>104</v>
      </c>
      <c r="AG1944" s="1" t="s">
        <v>104</v>
      </c>
      <c r="AH1944" s="1">
        <v>1</v>
      </c>
      <c r="AI1944" s="1" t="s">
        <v>104</v>
      </c>
      <c r="AJ1944" s="1">
        <v>2</v>
      </c>
      <c r="AK1944" s="1" t="s">
        <v>104</v>
      </c>
      <c r="AL1944" s="1" t="s">
        <v>104</v>
      </c>
      <c r="AM1944" s="1" t="s">
        <v>104</v>
      </c>
      <c r="AO1944" s="1">
        <v>2</v>
      </c>
      <c r="AR1944" s="1">
        <v>0</v>
      </c>
      <c r="AS1944" s="1">
        <v>0</v>
      </c>
      <c r="AT1944" s="1">
        <v>0</v>
      </c>
      <c r="AU1944" s="1">
        <v>0</v>
      </c>
      <c r="AV1944" s="1">
        <v>0</v>
      </c>
      <c r="AW1944" s="1">
        <v>0</v>
      </c>
      <c r="AX1944" s="1">
        <v>0</v>
      </c>
      <c r="AY1944" s="1">
        <v>0</v>
      </c>
      <c r="AZ1944" s="1">
        <v>0</v>
      </c>
      <c r="BA1944" s="1">
        <v>0</v>
      </c>
      <c r="BB1944" s="1">
        <v>0</v>
      </c>
      <c r="BC1944" s="1">
        <v>0</v>
      </c>
      <c r="BD1944" s="1">
        <v>0</v>
      </c>
      <c r="BE1944" s="1">
        <v>0</v>
      </c>
      <c r="BF1944" s="1">
        <v>0</v>
      </c>
      <c r="BG1944" s="1">
        <v>0</v>
      </c>
      <c r="BH1944" s="1">
        <v>0</v>
      </c>
      <c r="BI1944" s="1">
        <v>0</v>
      </c>
      <c r="BJ1944" s="1">
        <v>0</v>
      </c>
      <c r="BK1944" s="1">
        <v>0</v>
      </c>
      <c r="BL1944" s="1">
        <v>0</v>
      </c>
      <c r="BM1944" s="1">
        <v>0</v>
      </c>
      <c r="BN1944" s="1">
        <v>0</v>
      </c>
      <c r="BO1944" s="1">
        <v>0</v>
      </c>
      <c r="BP1944" s="1">
        <v>0</v>
      </c>
      <c r="BQ1944" s="1" t="s">
        <v>104</v>
      </c>
      <c r="BR1944" s="1">
        <v>2043</v>
      </c>
      <c r="BS1944" s="1" t="s">
        <v>104</v>
      </c>
      <c r="BX1944" s="1">
        <v>0</v>
      </c>
      <c r="BY1944" s="1" t="s">
        <v>104</v>
      </c>
      <c r="BZ1944" s="1">
        <v>1</v>
      </c>
      <c r="CA1944" s="1" t="s">
        <v>104</v>
      </c>
      <c r="CB1944" s="1" t="s">
        <v>104</v>
      </c>
      <c r="CC1944" s="1" t="s">
        <v>104</v>
      </c>
      <c r="CD1944" s="1" t="s">
        <v>104</v>
      </c>
      <c r="CE1944" s="1" t="s">
        <v>104</v>
      </c>
      <c r="CF1944" s="1" t="s">
        <v>104</v>
      </c>
      <c r="CG1944" s="1" t="s">
        <v>104</v>
      </c>
      <c r="CH1944" s="1">
        <v>1</v>
      </c>
      <c r="CJ1944" s="1">
        <v>0</v>
      </c>
      <c r="CK1944" s="1">
        <v>0</v>
      </c>
      <c r="CL1944" s="1">
        <v>0</v>
      </c>
      <c r="CM1944" s="1" t="s">
        <v>104</v>
      </c>
    </row>
    <row r="1945" spans="1:91" ht="14.25" customHeight="1" x14ac:dyDescent="0.3">
      <c r="A1945" s="1" t="s">
        <v>10359</v>
      </c>
      <c r="B1945" s="1" t="s">
        <v>137</v>
      </c>
      <c r="E1945" s="1" t="s">
        <v>10360</v>
      </c>
      <c r="F1945" s="1" t="s">
        <v>95</v>
      </c>
      <c r="G1945" s="1" t="s">
        <v>116</v>
      </c>
      <c r="H1945" s="1">
        <v>0</v>
      </c>
      <c r="I1945" s="1" t="s">
        <v>157</v>
      </c>
      <c r="L1945" s="1" t="s">
        <v>158</v>
      </c>
      <c r="M1945" s="1" t="s">
        <v>4292</v>
      </c>
      <c r="N1945" s="1">
        <v>0</v>
      </c>
      <c r="O1945" s="1">
        <v>0</v>
      </c>
      <c r="R1945" s="1" t="s">
        <v>10361</v>
      </c>
      <c r="S1945" s="1" t="s">
        <v>10226</v>
      </c>
      <c r="T1945" s="1">
        <v>1</v>
      </c>
      <c r="U1945" s="1">
        <v>1</v>
      </c>
      <c r="V1945" s="1">
        <v>0</v>
      </c>
      <c r="W1945" s="1">
        <v>0</v>
      </c>
      <c r="X1945" s="1">
        <v>0</v>
      </c>
      <c r="Y1945" s="1">
        <v>2</v>
      </c>
      <c r="Z1945" s="1">
        <v>2</v>
      </c>
      <c r="AA1945" s="1">
        <v>2</v>
      </c>
      <c r="AB1945" s="1">
        <v>2</v>
      </c>
      <c r="AC1945" s="1" t="s">
        <v>104</v>
      </c>
      <c r="AD1945" s="1" t="s">
        <v>104</v>
      </c>
      <c r="AE1945" s="1" t="s">
        <v>104</v>
      </c>
      <c r="AF1945" s="1" t="s">
        <v>104</v>
      </c>
      <c r="AG1945" s="1" t="s">
        <v>104</v>
      </c>
      <c r="AH1945" s="1" t="s">
        <v>104</v>
      </c>
      <c r="AI1945" s="1" t="s">
        <v>104</v>
      </c>
      <c r="AJ1945" s="1">
        <v>2</v>
      </c>
      <c r="AK1945" s="1" t="s">
        <v>104</v>
      </c>
      <c r="AL1945" s="1" t="s">
        <v>104</v>
      </c>
      <c r="AM1945" s="1" t="s">
        <v>104</v>
      </c>
      <c r="AO1945" s="1">
        <v>2</v>
      </c>
      <c r="AR1945" s="1">
        <v>0</v>
      </c>
      <c r="AS1945" s="1">
        <v>0</v>
      </c>
      <c r="AT1945" s="1">
        <v>0</v>
      </c>
      <c r="AU1945" s="1">
        <v>0</v>
      </c>
      <c r="AV1945" s="1">
        <v>0</v>
      </c>
      <c r="AW1945" s="1">
        <v>0</v>
      </c>
      <c r="AX1945" s="1">
        <v>0</v>
      </c>
      <c r="AY1945" s="1">
        <v>0</v>
      </c>
      <c r="AZ1945" s="1">
        <v>0</v>
      </c>
      <c r="BA1945" s="1">
        <v>0</v>
      </c>
      <c r="BB1945" s="1">
        <v>0</v>
      </c>
      <c r="BC1945" s="1">
        <v>0</v>
      </c>
      <c r="BD1945" s="1">
        <v>0</v>
      </c>
      <c r="BE1945" s="1">
        <v>0</v>
      </c>
      <c r="BF1945" s="1">
        <v>0</v>
      </c>
      <c r="BG1945" s="1">
        <v>0</v>
      </c>
      <c r="BH1945" s="1">
        <v>0</v>
      </c>
      <c r="BI1945" s="1">
        <v>0</v>
      </c>
      <c r="BJ1945" s="1">
        <v>0</v>
      </c>
      <c r="BK1945" s="1">
        <v>0</v>
      </c>
      <c r="BL1945" s="1">
        <v>0</v>
      </c>
      <c r="BM1945" s="1">
        <v>0</v>
      </c>
      <c r="BN1945" s="1">
        <v>0</v>
      </c>
      <c r="BO1945" s="1">
        <v>0</v>
      </c>
      <c r="BP1945" s="1">
        <v>0</v>
      </c>
      <c r="BQ1945" s="1" t="s">
        <v>104</v>
      </c>
      <c r="BR1945" s="1">
        <v>2044</v>
      </c>
      <c r="BS1945" s="1" t="s">
        <v>104</v>
      </c>
      <c r="BX1945" s="1">
        <v>0</v>
      </c>
      <c r="BY1945" s="1" t="s">
        <v>104</v>
      </c>
      <c r="BZ1945" s="1">
        <v>2</v>
      </c>
      <c r="CA1945" s="1">
        <v>2</v>
      </c>
      <c r="CB1945" s="1" t="s">
        <v>104</v>
      </c>
      <c r="CC1945" s="1" t="s">
        <v>104</v>
      </c>
      <c r="CD1945" s="1" t="s">
        <v>104</v>
      </c>
      <c r="CE1945" s="1" t="s">
        <v>104</v>
      </c>
      <c r="CF1945" s="1" t="s">
        <v>104</v>
      </c>
      <c r="CG1945" s="1" t="s">
        <v>104</v>
      </c>
      <c r="CH1945" s="1">
        <v>2</v>
      </c>
      <c r="CJ1945" s="1">
        <v>0</v>
      </c>
      <c r="CK1945" s="1">
        <v>0</v>
      </c>
      <c r="CL1945" s="1">
        <v>0</v>
      </c>
      <c r="CM1945" s="1" t="s">
        <v>104</v>
      </c>
    </row>
    <row r="1946" spans="1:91" ht="14.25" customHeight="1" x14ac:dyDescent="0.3">
      <c r="A1946" s="1" t="s">
        <v>10362</v>
      </c>
      <c r="B1946" s="1" t="s">
        <v>137</v>
      </c>
      <c r="D1946" s="1" t="s">
        <v>47</v>
      </c>
      <c r="E1946" s="1" t="s">
        <v>10363</v>
      </c>
      <c r="F1946" s="1" t="s">
        <v>95</v>
      </c>
      <c r="G1946" s="1" t="s">
        <v>127</v>
      </c>
      <c r="H1946" s="1">
        <v>0</v>
      </c>
      <c r="I1946" s="1" t="s">
        <v>117</v>
      </c>
      <c r="L1946" s="1" t="s">
        <v>1065</v>
      </c>
      <c r="M1946" s="1" t="s">
        <v>298</v>
      </c>
      <c r="N1946" s="1">
        <v>0</v>
      </c>
      <c r="O1946" s="1">
        <v>0</v>
      </c>
      <c r="P1946" s="1" t="s">
        <v>183</v>
      </c>
      <c r="Q1946" s="1" t="s">
        <v>184</v>
      </c>
      <c r="R1946" s="1" t="s">
        <v>10364</v>
      </c>
      <c r="S1946" s="1" t="s">
        <v>10226</v>
      </c>
      <c r="T1946" s="1">
        <v>1</v>
      </c>
      <c r="U1946" s="1">
        <v>1</v>
      </c>
      <c r="V1946" s="1">
        <v>0</v>
      </c>
      <c r="W1946" s="1">
        <v>0</v>
      </c>
      <c r="X1946" s="1">
        <v>1</v>
      </c>
      <c r="Y1946" s="1" t="s">
        <v>104</v>
      </c>
      <c r="Z1946" s="1" t="s">
        <v>104</v>
      </c>
      <c r="AA1946" s="1">
        <v>4</v>
      </c>
      <c r="AB1946" s="1" t="s">
        <v>104</v>
      </c>
      <c r="AC1946" s="1" t="s">
        <v>104</v>
      </c>
      <c r="AD1946" s="1" t="s">
        <v>104</v>
      </c>
      <c r="AE1946" s="1" t="s">
        <v>104</v>
      </c>
      <c r="AF1946" s="1" t="s">
        <v>104</v>
      </c>
      <c r="AG1946" s="1" t="s">
        <v>104</v>
      </c>
      <c r="AH1946" s="1" t="s">
        <v>104</v>
      </c>
      <c r="AI1946" s="1">
        <v>4</v>
      </c>
      <c r="AJ1946" s="1">
        <v>4</v>
      </c>
      <c r="AK1946" s="1">
        <v>4</v>
      </c>
      <c r="AL1946" s="1" t="s">
        <v>104</v>
      </c>
      <c r="AM1946" s="1" t="s">
        <v>104</v>
      </c>
      <c r="AO1946" s="1">
        <v>4</v>
      </c>
      <c r="AR1946" s="1">
        <v>0</v>
      </c>
      <c r="AS1946" s="1">
        <v>0</v>
      </c>
      <c r="AT1946" s="1">
        <v>0</v>
      </c>
      <c r="AU1946" s="1">
        <v>0</v>
      </c>
      <c r="AV1946" s="1">
        <v>1</v>
      </c>
      <c r="AW1946" s="1">
        <v>0</v>
      </c>
      <c r="AX1946" s="1">
        <v>0</v>
      </c>
      <c r="AY1946" s="1">
        <v>0</v>
      </c>
      <c r="AZ1946" s="1">
        <v>0</v>
      </c>
      <c r="BA1946" s="1">
        <v>0</v>
      </c>
      <c r="BB1946" s="1">
        <v>0</v>
      </c>
      <c r="BC1946" s="1">
        <v>0</v>
      </c>
      <c r="BD1946" s="1">
        <v>0</v>
      </c>
      <c r="BE1946" s="1">
        <v>0</v>
      </c>
      <c r="BF1946" s="1">
        <v>0</v>
      </c>
      <c r="BG1946" s="1">
        <v>0</v>
      </c>
      <c r="BH1946" s="1">
        <v>0</v>
      </c>
      <c r="BI1946" s="1">
        <v>0</v>
      </c>
      <c r="BJ1946" s="1">
        <v>0</v>
      </c>
      <c r="BK1946" s="1">
        <v>0</v>
      </c>
      <c r="BL1946" s="1">
        <v>0</v>
      </c>
      <c r="BM1946" s="1">
        <v>0</v>
      </c>
      <c r="BN1946" s="1">
        <v>0</v>
      </c>
      <c r="BO1946" s="1">
        <v>0</v>
      </c>
      <c r="BP1946" s="1">
        <v>0</v>
      </c>
      <c r="BQ1946" s="1" t="s">
        <v>104</v>
      </c>
      <c r="BR1946" s="1">
        <v>2045</v>
      </c>
      <c r="BS1946" s="1" t="s">
        <v>104</v>
      </c>
      <c r="BX1946" s="1">
        <v>0</v>
      </c>
      <c r="BY1946" s="1" t="s">
        <v>104</v>
      </c>
      <c r="BZ1946" s="1" t="s">
        <v>104</v>
      </c>
      <c r="CA1946" s="1" t="s">
        <v>104</v>
      </c>
      <c r="CB1946" s="1" t="s">
        <v>104</v>
      </c>
      <c r="CC1946" s="1" t="s">
        <v>104</v>
      </c>
      <c r="CD1946" s="1" t="s">
        <v>104</v>
      </c>
      <c r="CE1946" s="1" t="s">
        <v>104</v>
      </c>
      <c r="CF1946" s="1" t="s">
        <v>104</v>
      </c>
      <c r="CG1946" s="1" t="s">
        <v>104</v>
      </c>
      <c r="CH1946" s="1" t="s">
        <v>104</v>
      </c>
      <c r="CJ1946" s="1">
        <v>0</v>
      </c>
      <c r="CK1946" s="1">
        <v>0</v>
      </c>
      <c r="CL1946" s="1">
        <v>0</v>
      </c>
      <c r="CM1946" s="1" t="s">
        <v>104</v>
      </c>
    </row>
    <row r="1947" spans="1:91" ht="14.25" customHeight="1" x14ac:dyDescent="0.3">
      <c r="A1947" s="1" t="s">
        <v>10365</v>
      </c>
      <c r="B1947" s="1" t="s">
        <v>92</v>
      </c>
      <c r="C1947" s="1" t="s">
        <v>903</v>
      </c>
      <c r="E1947" s="1" t="s">
        <v>10366</v>
      </c>
      <c r="F1947" s="1" t="s">
        <v>255</v>
      </c>
      <c r="G1947" s="1" t="s">
        <v>10367</v>
      </c>
      <c r="H1947" s="1">
        <v>0</v>
      </c>
      <c r="I1947" s="1" t="s">
        <v>117</v>
      </c>
      <c r="K1947" s="1" t="s">
        <v>10368</v>
      </c>
      <c r="M1947" s="1" t="s">
        <v>111</v>
      </c>
      <c r="N1947" s="1">
        <v>0</v>
      </c>
      <c r="O1947" s="1">
        <v>0</v>
      </c>
      <c r="P1947" s="1" t="s">
        <v>100</v>
      </c>
      <c r="Q1947" s="1" t="s">
        <v>101</v>
      </c>
      <c r="R1947" s="1" t="s">
        <v>10369</v>
      </c>
      <c r="S1947" s="1" t="s">
        <v>10226</v>
      </c>
      <c r="T1947" s="1">
        <v>1</v>
      </c>
      <c r="U1947" s="1">
        <v>1</v>
      </c>
      <c r="V1947" s="1">
        <v>1</v>
      </c>
      <c r="W1947" s="1">
        <v>0</v>
      </c>
      <c r="X1947" s="1">
        <v>0</v>
      </c>
      <c r="Y1947" s="1">
        <v>3</v>
      </c>
      <c r="Z1947" s="1">
        <v>3</v>
      </c>
      <c r="AA1947" s="1" t="s">
        <v>104</v>
      </c>
      <c r="AB1947" s="1">
        <v>3</v>
      </c>
      <c r="AC1947" s="1" t="s">
        <v>104</v>
      </c>
      <c r="AD1947" s="1" t="s">
        <v>104</v>
      </c>
      <c r="AE1947" s="1" t="s">
        <v>104</v>
      </c>
      <c r="AF1947" s="1" t="s">
        <v>104</v>
      </c>
      <c r="AG1947" s="1">
        <v>3</v>
      </c>
      <c r="AH1947" s="1">
        <v>3</v>
      </c>
      <c r="AI1947" s="1" t="s">
        <v>104</v>
      </c>
      <c r="AJ1947" s="1" t="s">
        <v>104</v>
      </c>
      <c r="AK1947" s="1" t="s">
        <v>104</v>
      </c>
      <c r="AL1947" s="1" t="s">
        <v>104</v>
      </c>
      <c r="AM1947" s="1" t="s">
        <v>104</v>
      </c>
      <c r="AO1947" s="1">
        <v>3</v>
      </c>
      <c r="AR1947" s="1">
        <v>0</v>
      </c>
      <c r="AS1947" s="1">
        <v>0</v>
      </c>
      <c r="AT1947" s="1">
        <v>0</v>
      </c>
      <c r="AU1947" s="1">
        <v>0</v>
      </c>
      <c r="AV1947" s="1">
        <v>0</v>
      </c>
      <c r="AW1947" s="1">
        <v>0</v>
      </c>
      <c r="AX1947" s="1">
        <v>0</v>
      </c>
      <c r="AY1947" s="1">
        <v>0</v>
      </c>
      <c r="AZ1947" s="1">
        <v>0</v>
      </c>
      <c r="BA1947" s="1">
        <v>0</v>
      </c>
      <c r="BB1947" s="1">
        <v>0</v>
      </c>
      <c r="BC1947" s="1">
        <v>0</v>
      </c>
      <c r="BD1947" s="1">
        <v>0</v>
      </c>
      <c r="BE1947" s="1">
        <v>0</v>
      </c>
      <c r="BF1947" s="1">
        <v>0</v>
      </c>
      <c r="BG1947" s="1">
        <v>0</v>
      </c>
      <c r="BH1947" s="1">
        <v>0</v>
      </c>
      <c r="BI1947" s="1">
        <v>0</v>
      </c>
      <c r="BJ1947" s="1">
        <v>0</v>
      </c>
      <c r="BK1947" s="1">
        <v>0</v>
      </c>
      <c r="BL1947" s="1">
        <v>0</v>
      </c>
      <c r="BM1947" s="1">
        <v>0</v>
      </c>
      <c r="BN1947" s="1">
        <v>0</v>
      </c>
      <c r="BO1947" s="1">
        <v>0</v>
      </c>
      <c r="BP1947" s="1">
        <v>0</v>
      </c>
      <c r="BQ1947" s="1" t="s">
        <v>104</v>
      </c>
      <c r="BR1947" s="1">
        <v>2046</v>
      </c>
      <c r="BS1947" s="1" t="s">
        <v>104</v>
      </c>
      <c r="BX1947" s="1">
        <v>0</v>
      </c>
      <c r="BY1947" s="1" t="s">
        <v>104</v>
      </c>
      <c r="BZ1947" s="1" t="s">
        <v>104</v>
      </c>
      <c r="CA1947" s="1">
        <v>3</v>
      </c>
      <c r="CB1947" s="1" t="s">
        <v>104</v>
      </c>
      <c r="CC1947" s="1" t="s">
        <v>104</v>
      </c>
      <c r="CD1947" s="1" t="s">
        <v>104</v>
      </c>
      <c r="CE1947" s="1" t="s">
        <v>104</v>
      </c>
      <c r="CF1947" s="1" t="s">
        <v>104</v>
      </c>
      <c r="CG1947" s="1" t="s">
        <v>104</v>
      </c>
      <c r="CH1947" s="1">
        <v>3</v>
      </c>
      <c r="CJ1947" s="1">
        <v>0</v>
      </c>
      <c r="CK1947" s="1">
        <v>0</v>
      </c>
      <c r="CL1947" s="1">
        <v>0</v>
      </c>
      <c r="CM1947" s="1">
        <v>3</v>
      </c>
    </row>
    <row r="1948" spans="1:91" ht="14.25" customHeight="1" x14ac:dyDescent="0.3">
      <c r="A1948" s="1" t="s">
        <v>10370</v>
      </c>
      <c r="B1948" s="1" t="s">
        <v>137</v>
      </c>
      <c r="E1948" s="1" t="s">
        <v>10371</v>
      </c>
      <c r="F1948" s="1" t="s">
        <v>95</v>
      </c>
      <c r="G1948" s="1" t="s">
        <v>116</v>
      </c>
      <c r="H1948" s="1">
        <v>0</v>
      </c>
      <c r="I1948" s="1" t="s">
        <v>117</v>
      </c>
      <c r="L1948" s="1" t="s">
        <v>10372</v>
      </c>
      <c r="M1948" s="1" t="s">
        <v>191</v>
      </c>
      <c r="N1948" s="1">
        <v>0</v>
      </c>
      <c r="O1948" s="1">
        <v>0</v>
      </c>
      <c r="P1948" s="1" t="s">
        <v>100</v>
      </c>
      <c r="Q1948" s="1" t="s">
        <v>101</v>
      </c>
      <c r="R1948" s="1" t="s">
        <v>10373</v>
      </c>
      <c r="S1948" s="1" t="s">
        <v>10226</v>
      </c>
      <c r="T1948" s="1">
        <v>1</v>
      </c>
      <c r="U1948" s="1">
        <v>1</v>
      </c>
      <c r="V1948" s="1">
        <v>0</v>
      </c>
      <c r="W1948" s="1">
        <v>0</v>
      </c>
      <c r="X1948" s="1">
        <v>0</v>
      </c>
      <c r="Y1948" s="1" t="s">
        <v>104</v>
      </c>
      <c r="Z1948" s="1" t="s">
        <v>104</v>
      </c>
      <c r="AA1948" s="1">
        <v>3</v>
      </c>
      <c r="AB1948" s="1">
        <v>3</v>
      </c>
      <c r="AC1948" s="1" t="s">
        <v>104</v>
      </c>
      <c r="AD1948" s="1" t="s">
        <v>104</v>
      </c>
      <c r="AE1948" s="1" t="s">
        <v>104</v>
      </c>
      <c r="AF1948" s="1" t="s">
        <v>104</v>
      </c>
      <c r="AG1948" s="1" t="s">
        <v>104</v>
      </c>
      <c r="AH1948" s="1">
        <v>3</v>
      </c>
      <c r="AI1948" s="1" t="s">
        <v>104</v>
      </c>
      <c r="AJ1948" s="1">
        <v>3</v>
      </c>
      <c r="AK1948" s="1" t="s">
        <v>104</v>
      </c>
      <c r="AL1948" s="1" t="s">
        <v>104</v>
      </c>
      <c r="AM1948" s="1" t="s">
        <v>104</v>
      </c>
      <c r="AO1948" s="1">
        <v>3</v>
      </c>
      <c r="AR1948" s="1">
        <v>0</v>
      </c>
      <c r="AS1948" s="1">
        <v>0</v>
      </c>
      <c r="AT1948" s="1">
        <v>0</v>
      </c>
      <c r="AU1948" s="1">
        <v>0</v>
      </c>
      <c r="AV1948" s="1">
        <v>0</v>
      </c>
      <c r="AW1948" s="1">
        <v>0</v>
      </c>
      <c r="AX1948" s="1">
        <v>0</v>
      </c>
      <c r="AY1948" s="1">
        <v>0</v>
      </c>
      <c r="AZ1948" s="1">
        <v>0</v>
      </c>
      <c r="BA1948" s="1">
        <v>0</v>
      </c>
      <c r="BB1948" s="1">
        <v>0</v>
      </c>
      <c r="BC1948" s="1">
        <v>0</v>
      </c>
      <c r="BD1948" s="1">
        <v>0</v>
      </c>
      <c r="BE1948" s="1">
        <v>0</v>
      </c>
      <c r="BF1948" s="1">
        <v>0</v>
      </c>
      <c r="BG1948" s="1">
        <v>0</v>
      </c>
      <c r="BH1948" s="1">
        <v>0</v>
      </c>
      <c r="BI1948" s="1">
        <v>0</v>
      </c>
      <c r="BJ1948" s="1">
        <v>0</v>
      </c>
      <c r="BK1948" s="1">
        <v>0</v>
      </c>
      <c r="BL1948" s="1">
        <v>0</v>
      </c>
      <c r="BM1948" s="1">
        <v>0</v>
      </c>
      <c r="BN1948" s="1">
        <v>0</v>
      </c>
      <c r="BO1948" s="1">
        <v>0</v>
      </c>
      <c r="BP1948" s="1">
        <v>0</v>
      </c>
      <c r="BQ1948" s="1" t="s">
        <v>104</v>
      </c>
      <c r="BR1948" s="1">
        <v>2047</v>
      </c>
      <c r="BS1948" s="1" t="s">
        <v>104</v>
      </c>
      <c r="BX1948" s="1">
        <v>0</v>
      </c>
      <c r="BY1948" s="1" t="s">
        <v>104</v>
      </c>
      <c r="BZ1948" s="1">
        <v>3</v>
      </c>
      <c r="CA1948" s="1">
        <v>3</v>
      </c>
      <c r="CB1948" s="1" t="s">
        <v>104</v>
      </c>
      <c r="CC1948" s="1" t="s">
        <v>104</v>
      </c>
      <c r="CD1948" s="1" t="s">
        <v>104</v>
      </c>
      <c r="CE1948" s="1" t="s">
        <v>104</v>
      </c>
      <c r="CF1948" s="1" t="s">
        <v>104</v>
      </c>
      <c r="CG1948" s="1" t="s">
        <v>104</v>
      </c>
      <c r="CH1948" s="1">
        <v>3</v>
      </c>
      <c r="CJ1948" s="1">
        <v>0</v>
      </c>
      <c r="CK1948" s="1">
        <v>0</v>
      </c>
      <c r="CL1948" s="1">
        <v>0</v>
      </c>
      <c r="CM1948" s="1" t="s">
        <v>104</v>
      </c>
    </row>
    <row r="1949" spans="1:91" ht="14.25" customHeight="1" x14ac:dyDescent="0.3">
      <c r="A1949" s="1" t="s">
        <v>10374</v>
      </c>
      <c r="B1949" s="1" t="s">
        <v>434</v>
      </c>
      <c r="D1949" s="1" t="s">
        <v>10375</v>
      </c>
      <c r="E1949" s="1" t="s">
        <v>10376</v>
      </c>
      <c r="F1949" s="1" t="s">
        <v>95</v>
      </c>
      <c r="G1949" s="1" t="s">
        <v>116</v>
      </c>
      <c r="H1949" s="1">
        <v>0</v>
      </c>
      <c r="I1949" s="1" t="s">
        <v>128</v>
      </c>
      <c r="L1949" s="1" t="s">
        <v>374</v>
      </c>
      <c r="M1949" s="1" t="s">
        <v>111</v>
      </c>
      <c r="N1949" s="1">
        <v>0</v>
      </c>
      <c r="O1949" s="1">
        <v>0</v>
      </c>
      <c r="P1949" s="1" t="s">
        <v>7210</v>
      </c>
      <c r="Q1949" s="1" t="s">
        <v>101</v>
      </c>
      <c r="R1949" s="1" t="s">
        <v>10377</v>
      </c>
      <c r="S1949" s="1" t="s">
        <v>10226</v>
      </c>
      <c r="T1949" s="1">
        <v>1</v>
      </c>
      <c r="U1949" s="1">
        <v>1</v>
      </c>
      <c r="V1949" s="1">
        <v>0</v>
      </c>
      <c r="W1949" s="1">
        <v>0</v>
      </c>
      <c r="X1949" s="1">
        <v>0</v>
      </c>
      <c r="Y1949" s="1">
        <v>3</v>
      </c>
      <c r="Z1949" s="1">
        <v>3</v>
      </c>
      <c r="AA1949" s="1">
        <v>3</v>
      </c>
      <c r="AB1949" s="1" t="s">
        <v>104</v>
      </c>
      <c r="AC1949" s="1" t="s">
        <v>104</v>
      </c>
      <c r="AD1949" s="1" t="s">
        <v>104</v>
      </c>
      <c r="AE1949" s="1" t="s">
        <v>104</v>
      </c>
      <c r="AF1949" s="1" t="s">
        <v>104</v>
      </c>
      <c r="AG1949" s="1" t="s">
        <v>104</v>
      </c>
      <c r="AH1949" s="1">
        <v>3</v>
      </c>
      <c r="AI1949" s="1" t="s">
        <v>104</v>
      </c>
      <c r="AJ1949" s="1">
        <v>3</v>
      </c>
      <c r="AK1949" s="1" t="s">
        <v>104</v>
      </c>
      <c r="AL1949" s="1">
        <v>3</v>
      </c>
      <c r="AM1949" s="1" t="s">
        <v>104</v>
      </c>
      <c r="AO1949" s="1">
        <v>3</v>
      </c>
      <c r="AR1949" s="1">
        <v>1</v>
      </c>
      <c r="AS1949" s="1">
        <v>0</v>
      </c>
      <c r="AT1949" s="1">
        <v>0</v>
      </c>
      <c r="AU1949" s="1">
        <v>0</v>
      </c>
      <c r="AV1949" s="1">
        <v>0</v>
      </c>
      <c r="AW1949" s="1">
        <v>0</v>
      </c>
      <c r="AX1949" s="1">
        <v>0</v>
      </c>
      <c r="AY1949" s="1">
        <v>0</v>
      </c>
      <c r="AZ1949" s="1">
        <v>0</v>
      </c>
      <c r="BA1949" s="1">
        <v>0</v>
      </c>
      <c r="BB1949" s="1">
        <v>0</v>
      </c>
      <c r="BC1949" s="1">
        <v>0</v>
      </c>
      <c r="BD1949" s="1">
        <v>0</v>
      </c>
      <c r="BE1949" s="1">
        <v>1</v>
      </c>
      <c r="BF1949" s="1">
        <v>0</v>
      </c>
      <c r="BG1949" s="1">
        <v>0</v>
      </c>
      <c r="BH1949" s="1">
        <v>0</v>
      </c>
      <c r="BI1949" s="1">
        <v>0</v>
      </c>
      <c r="BJ1949" s="1">
        <v>0</v>
      </c>
      <c r="BK1949" s="1">
        <v>0</v>
      </c>
      <c r="BL1949" s="1">
        <v>0</v>
      </c>
      <c r="BM1949" s="1">
        <v>0</v>
      </c>
      <c r="BN1949" s="1">
        <v>0</v>
      </c>
      <c r="BO1949" s="1">
        <v>0</v>
      </c>
      <c r="BP1949" s="1">
        <v>0</v>
      </c>
      <c r="BQ1949" s="1" t="s">
        <v>104</v>
      </c>
      <c r="BR1949" s="1">
        <v>2048</v>
      </c>
      <c r="BS1949" s="1" t="s">
        <v>104</v>
      </c>
      <c r="BX1949" s="1">
        <v>0</v>
      </c>
      <c r="BY1949" s="1">
        <v>3</v>
      </c>
      <c r="BZ1949" s="1">
        <v>3</v>
      </c>
      <c r="CA1949" s="1" t="s">
        <v>104</v>
      </c>
      <c r="CB1949" s="1" t="s">
        <v>104</v>
      </c>
      <c r="CC1949" s="1" t="s">
        <v>104</v>
      </c>
      <c r="CD1949" s="1" t="s">
        <v>104</v>
      </c>
      <c r="CE1949" s="1" t="s">
        <v>104</v>
      </c>
      <c r="CF1949" s="1" t="s">
        <v>104</v>
      </c>
      <c r="CG1949" s="1" t="s">
        <v>104</v>
      </c>
      <c r="CH1949" s="1" t="s">
        <v>104</v>
      </c>
      <c r="CJ1949" s="1">
        <v>0</v>
      </c>
      <c r="CK1949" s="1">
        <v>0</v>
      </c>
      <c r="CL1949" s="1">
        <v>0</v>
      </c>
      <c r="CM1949" s="1" t="s">
        <v>104</v>
      </c>
    </row>
    <row r="1950" spans="1:91" ht="14.25" customHeight="1" x14ac:dyDescent="0.3">
      <c r="A1950" s="1" t="s">
        <v>10378</v>
      </c>
      <c r="B1950" s="1" t="s">
        <v>162</v>
      </c>
      <c r="E1950" s="1" t="s">
        <v>10379</v>
      </c>
      <c r="F1950" s="1" t="s">
        <v>95</v>
      </c>
      <c r="G1950" s="1" t="s">
        <v>116</v>
      </c>
      <c r="H1950" s="1">
        <v>0</v>
      </c>
      <c r="I1950" s="1" t="s">
        <v>109</v>
      </c>
      <c r="L1950" s="1" t="s">
        <v>10380</v>
      </c>
      <c r="M1950" s="1" t="s">
        <v>111</v>
      </c>
      <c r="N1950" s="1">
        <v>0</v>
      </c>
      <c r="O1950" s="1">
        <v>0</v>
      </c>
      <c r="P1950" s="1" t="s">
        <v>211</v>
      </c>
      <c r="Q1950" s="1" t="s">
        <v>184</v>
      </c>
      <c r="R1950" s="1" t="s">
        <v>10381</v>
      </c>
      <c r="S1950" s="1" t="s">
        <v>10382</v>
      </c>
      <c r="T1950" s="1">
        <v>1</v>
      </c>
      <c r="U1950" s="1">
        <v>1</v>
      </c>
      <c r="V1950" s="1">
        <v>0</v>
      </c>
      <c r="W1950" s="1">
        <v>0</v>
      </c>
      <c r="X1950" s="1">
        <v>0</v>
      </c>
      <c r="Y1950" s="1">
        <v>2</v>
      </c>
      <c r="Z1950" s="1">
        <v>2</v>
      </c>
      <c r="AA1950" s="1" t="s">
        <v>104</v>
      </c>
      <c r="AB1950" s="1" t="s">
        <v>104</v>
      </c>
      <c r="AC1950" s="1" t="s">
        <v>104</v>
      </c>
      <c r="AD1950" s="1">
        <v>3</v>
      </c>
      <c r="AE1950" s="1" t="s">
        <v>104</v>
      </c>
      <c r="AF1950" s="1" t="s">
        <v>104</v>
      </c>
      <c r="AG1950" s="1" t="s">
        <v>104</v>
      </c>
      <c r="AH1950" s="1">
        <v>2</v>
      </c>
      <c r="AI1950" s="1">
        <v>3</v>
      </c>
      <c r="AJ1950" s="1" t="s">
        <v>104</v>
      </c>
      <c r="AK1950" s="1">
        <v>2</v>
      </c>
      <c r="AL1950" s="1" t="s">
        <v>104</v>
      </c>
      <c r="AM1950" s="1" t="s">
        <v>104</v>
      </c>
      <c r="AO1950" s="1">
        <v>2</v>
      </c>
      <c r="AR1950" s="1">
        <v>0</v>
      </c>
      <c r="AS1950" s="1">
        <v>0</v>
      </c>
      <c r="AT1950" s="1">
        <v>0</v>
      </c>
      <c r="AU1950" s="1">
        <v>0</v>
      </c>
      <c r="AV1950" s="1">
        <v>0</v>
      </c>
      <c r="AW1950" s="1">
        <v>0</v>
      </c>
      <c r="AX1950" s="1">
        <v>0</v>
      </c>
      <c r="AY1950" s="1">
        <v>0</v>
      </c>
      <c r="AZ1950" s="1">
        <v>0</v>
      </c>
      <c r="BA1950" s="1">
        <v>0</v>
      </c>
      <c r="BB1950" s="1">
        <v>0</v>
      </c>
      <c r="BC1950" s="1">
        <v>0</v>
      </c>
      <c r="BD1950" s="1">
        <v>0</v>
      </c>
      <c r="BE1950" s="1">
        <v>0</v>
      </c>
      <c r="BF1950" s="1">
        <v>0</v>
      </c>
      <c r="BG1950" s="1">
        <v>0</v>
      </c>
      <c r="BH1950" s="1">
        <v>0</v>
      </c>
      <c r="BI1950" s="1">
        <v>0</v>
      </c>
      <c r="BJ1950" s="1">
        <v>0</v>
      </c>
      <c r="BK1950" s="1">
        <v>0</v>
      </c>
      <c r="BL1950" s="1">
        <v>0</v>
      </c>
      <c r="BM1950" s="1">
        <v>0</v>
      </c>
      <c r="BN1950" s="1">
        <v>0</v>
      </c>
      <c r="BO1950" s="1">
        <v>0</v>
      </c>
      <c r="BP1950" s="1">
        <v>0</v>
      </c>
      <c r="BQ1950" s="1" t="s">
        <v>104</v>
      </c>
      <c r="BR1950" s="1">
        <v>2051</v>
      </c>
      <c r="BS1950" s="1" t="s">
        <v>104</v>
      </c>
      <c r="BX1950" s="1">
        <v>0</v>
      </c>
      <c r="BY1950" s="1" t="s">
        <v>104</v>
      </c>
      <c r="BZ1950" s="1" t="s">
        <v>104</v>
      </c>
      <c r="CA1950" s="1" t="s">
        <v>104</v>
      </c>
      <c r="CB1950" s="1" t="s">
        <v>104</v>
      </c>
      <c r="CC1950" s="1" t="s">
        <v>104</v>
      </c>
      <c r="CD1950" s="1" t="s">
        <v>104</v>
      </c>
      <c r="CE1950" s="1" t="s">
        <v>104</v>
      </c>
      <c r="CF1950" s="1" t="s">
        <v>104</v>
      </c>
      <c r="CG1950" s="1" t="s">
        <v>104</v>
      </c>
      <c r="CH1950" s="1" t="s">
        <v>104</v>
      </c>
      <c r="CJ1950" s="1">
        <v>0</v>
      </c>
      <c r="CK1950" s="1">
        <v>0</v>
      </c>
      <c r="CL1950" s="1">
        <v>0</v>
      </c>
      <c r="CM1950" s="1" t="s">
        <v>104</v>
      </c>
    </row>
    <row r="1951" spans="1:91" ht="14.25" customHeight="1" x14ac:dyDescent="0.3">
      <c r="A1951" s="1" t="s">
        <v>10383</v>
      </c>
      <c r="B1951" s="1" t="s">
        <v>92</v>
      </c>
      <c r="C1951" s="1" t="s">
        <v>93</v>
      </c>
      <c r="E1951" s="1" t="s">
        <v>10384</v>
      </c>
      <c r="F1951" s="1" t="s">
        <v>95</v>
      </c>
      <c r="G1951" s="1" t="s">
        <v>10385</v>
      </c>
      <c r="H1951" s="1">
        <v>0</v>
      </c>
      <c r="I1951" s="1" t="s">
        <v>128</v>
      </c>
      <c r="K1951" s="1" t="s">
        <v>10386</v>
      </c>
      <c r="M1951" s="1" t="s">
        <v>4292</v>
      </c>
      <c r="N1951" s="1">
        <v>0</v>
      </c>
      <c r="O1951" s="1">
        <v>0</v>
      </c>
      <c r="P1951" s="1" t="s">
        <v>183</v>
      </c>
      <c r="Q1951" s="1" t="s">
        <v>101</v>
      </c>
      <c r="R1951" s="1" t="s">
        <v>10387</v>
      </c>
      <c r="S1951" s="1" t="s">
        <v>10382</v>
      </c>
      <c r="T1951" s="1">
        <v>1</v>
      </c>
      <c r="U1951" s="1">
        <v>1</v>
      </c>
      <c r="V1951" s="1">
        <v>1</v>
      </c>
      <c r="W1951" s="1">
        <v>0</v>
      </c>
      <c r="X1951" s="1">
        <v>0</v>
      </c>
      <c r="Y1951" s="1">
        <v>5</v>
      </c>
      <c r="Z1951" s="1">
        <v>5</v>
      </c>
      <c r="AA1951" s="1" t="s">
        <v>104</v>
      </c>
      <c r="AB1951" s="1" t="s">
        <v>104</v>
      </c>
      <c r="AC1951" s="1" t="s">
        <v>104</v>
      </c>
      <c r="AD1951" s="1" t="s">
        <v>104</v>
      </c>
      <c r="AE1951" s="1" t="s">
        <v>104</v>
      </c>
      <c r="AF1951" s="1">
        <v>4</v>
      </c>
      <c r="AG1951" s="1" t="s">
        <v>104</v>
      </c>
      <c r="AH1951" s="1">
        <v>5</v>
      </c>
      <c r="AI1951" s="1" t="s">
        <v>104</v>
      </c>
      <c r="AJ1951" s="1" t="s">
        <v>104</v>
      </c>
      <c r="AK1951" s="1" t="s">
        <v>104</v>
      </c>
      <c r="AL1951" s="1" t="s">
        <v>104</v>
      </c>
      <c r="AM1951" s="1" t="s">
        <v>104</v>
      </c>
      <c r="AO1951" s="1">
        <v>5</v>
      </c>
      <c r="AR1951" s="1">
        <v>0</v>
      </c>
      <c r="AS1951" s="1">
        <v>0</v>
      </c>
      <c r="AT1951" s="1">
        <v>0</v>
      </c>
      <c r="AU1951" s="1">
        <v>0</v>
      </c>
      <c r="AV1951" s="1">
        <v>0</v>
      </c>
      <c r="AW1951" s="1">
        <v>0</v>
      </c>
      <c r="AX1951" s="1">
        <v>0</v>
      </c>
      <c r="AY1951" s="1">
        <v>0</v>
      </c>
      <c r="AZ1951" s="1">
        <v>0</v>
      </c>
      <c r="BA1951" s="1">
        <v>0</v>
      </c>
      <c r="BB1951" s="1">
        <v>0</v>
      </c>
      <c r="BC1951" s="1">
        <v>0</v>
      </c>
      <c r="BD1951" s="1">
        <v>0</v>
      </c>
      <c r="BE1951" s="1">
        <v>0</v>
      </c>
      <c r="BF1951" s="1">
        <v>0</v>
      </c>
      <c r="BG1951" s="1">
        <v>0</v>
      </c>
      <c r="BH1951" s="1">
        <v>0</v>
      </c>
      <c r="BI1951" s="1">
        <v>0</v>
      </c>
      <c r="BJ1951" s="1">
        <v>0</v>
      </c>
      <c r="BK1951" s="1">
        <v>0</v>
      </c>
      <c r="BL1951" s="1">
        <v>0</v>
      </c>
      <c r="BM1951" s="1">
        <v>0</v>
      </c>
      <c r="BN1951" s="1">
        <v>0</v>
      </c>
      <c r="BO1951" s="1">
        <v>0</v>
      </c>
      <c r="BP1951" s="1">
        <v>0</v>
      </c>
      <c r="BQ1951" s="1" t="s">
        <v>104</v>
      </c>
      <c r="BR1951" s="1">
        <v>2052</v>
      </c>
      <c r="BS1951" s="1" t="s">
        <v>104</v>
      </c>
      <c r="BX1951" s="1">
        <v>0</v>
      </c>
      <c r="BY1951" s="1" t="s">
        <v>104</v>
      </c>
      <c r="BZ1951" s="1" t="s">
        <v>104</v>
      </c>
      <c r="CA1951" s="1" t="s">
        <v>104</v>
      </c>
      <c r="CB1951" s="1" t="s">
        <v>104</v>
      </c>
      <c r="CC1951" s="1" t="s">
        <v>104</v>
      </c>
      <c r="CD1951" s="1" t="s">
        <v>104</v>
      </c>
      <c r="CE1951" s="1" t="s">
        <v>104</v>
      </c>
      <c r="CF1951" s="1" t="s">
        <v>104</v>
      </c>
      <c r="CG1951" s="1" t="s">
        <v>104</v>
      </c>
      <c r="CH1951" s="1" t="s">
        <v>104</v>
      </c>
      <c r="CJ1951" s="1">
        <v>0</v>
      </c>
      <c r="CK1951" s="1">
        <v>0</v>
      </c>
      <c r="CL1951" s="1">
        <v>0</v>
      </c>
      <c r="CM1951" s="1" t="s">
        <v>104</v>
      </c>
    </row>
    <row r="1952" spans="1:91" ht="14.25" customHeight="1" x14ac:dyDescent="0.3">
      <c r="A1952" s="1" t="s">
        <v>10388</v>
      </c>
      <c r="B1952" s="1" t="s">
        <v>216</v>
      </c>
      <c r="E1952" s="1" t="s">
        <v>10389</v>
      </c>
      <c r="F1952" s="1" t="s">
        <v>95</v>
      </c>
      <c r="G1952" s="1" t="s">
        <v>10390</v>
      </c>
      <c r="H1952" s="1">
        <v>0</v>
      </c>
      <c r="I1952" s="1" t="s">
        <v>109</v>
      </c>
      <c r="L1952" s="1" t="s">
        <v>10391</v>
      </c>
      <c r="M1952" s="1" t="s">
        <v>111</v>
      </c>
      <c r="N1952" s="1">
        <v>0</v>
      </c>
      <c r="O1952" s="1">
        <v>0</v>
      </c>
      <c r="P1952" s="1" t="s">
        <v>211</v>
      </c>
      <c r="Q1952" s="1" t="s">
        <v>184</v>
      </c>
      <c r="R1952" s="1" t="s">
        <v>10392</v>
      </c>
      <c r="S1952" s="1" t="s">
        <v>10382</v>
      </c>
      <c r="T1952" s="1">
        <v>1</v>
      </c>
      <c r="U1952" s="1">
        <v>1</v>
      </c>
      <c r="V1952" s="1">
        <v>0</v>
      </c>
      <c r="W1952" s="1">
        <v>0</v>
      </c>
      <c r="X1952" s="1">
        <v>0</v>
      </c>
      <c r="Y1952" s="1">
        <v>5</v>
      </c>
      <c r="Z1952" s="1">
        <v>5</v>
      </c>
      <c r="AA1952" s="1" t="s">
        <v>104</v>
      </c>
      <c r="AB1952" s="1" t="s">
        <v>104</v>
      </c>
      <c r="AC1952" s="1" t="s">
        <v>104</v>
      </c>
      <c r="AD1952" s="1" t="s">
        <v>104</v>
      </c>
      <c r="AE1952" s="1" t="s">
        <v>104</v>
      </c>
      <c r="AF1952" s="1" t="s">
        <v>104</v>
      </c>
      <c r="AG1952" s="1" t="s">
        <v>104</v>
      </c>
      <c r="AH1952" s="1">
        <v>5</v>
      </c>
      <c r="AI1952" s="1" t="s">
        <v>104</v>
      </c>
      <c r="AJ1952" s="1" t="s">
        <v>104</v>
      </c>
      <c r="AK1952" s="1" t="s">
        <v>104</v>
      </c>
      <c r="AL1952" s="1" t="s">
        <v>104</v>
      </c>
      <c r="AM1952" s="1" t="s">
        <v>104</v>
      </c>
      <c r="AO1952" s="1">
        <v>5</v>
      </c>
      <c r="AR1952" s="1">
        <v>0</v>
      </c>
      <c r="AS1952" s="1">
        <v>0</v>
      </c>
      <c r="AT1952" s="1">
        <v>0</v>
      </c>
      <c r="AU1952" s="1">
        <v>0</v>
      </c>
      <c r="AV1952" s="1">
        <v>0</v>
      </c>
      <c r="AW1952" s="1">
        <v>0</v>
      </c>
      <c r="AX1952" s="1">
        <v>0</v>
      </c>
      <c r="AY1952" s="1">
        <v>0</v>
      </c>
      <c r="AZ1952" s="1">
        <v>0</v>
      </c>
      <c r="BA1952" s="1">
        <v>0</v>
      </c>
      <c r="BB1952" s="1">
        <v>0</v>
      </c>
      <c r="BC1952" s="1">
        <v>0</v>
      </c>
      <c r="BD1952" s="1">
        <v>0</v>
      </c>
      <c r="BE1952" s="1">
        <v>0</v>
      </c>
      <c r="BF1952" s="1">
        <v>0</v>
      </c>
      <c r="BG1952" s="1">
        <v>0</v>
      </c>
      <c r="BH1952" s="1">
        <v>0</v>
      </c>
      <c r="BI1952" s="1">
        <v>0</v>
      </c>
      <c r="BJ1952" s="1">
        <v>0</v>
      </c>
      <c r="BK1952" s="1">
        <v>0</v>
      </c>
      <c r="BL1952" s="1">
        <v>0</v>
      </c>
      <c r="BM1952" s="1">
        <v>0</v>
      </c>
      <c r="BN1952" s="1">
        <v>0</v>
      </c>
      <c r="BO1952" s="1">
        <v>0</v>
      </c>
      <c r="BP1952" s="1">
        <v>0</v>
      </c>
      <c r="BQ1952" s="1" t="s">
        <v>104</v>
      </c>
      <c r="BR1952" s="1">
        <v>2053</v>
      </c>
      <c r="BS1952" s="1" t="s">
        <v>104</v>
      </c>
      <c r="BX1952" s="1">
        <v>0</v>
      </c>
      <c r="BY1952" s="1" t="s">
        <v>104</v>
      </c>
      <c r="BZ1952" s="1">
        <v>5</v>
      </c>
      <c r="CA1952" s="1" t="s">
        <v>104</v>
      </c>
      <c r="CB1952" s="1" t="s">
        <v>104</v>
      </c>
      <c r="CC1952" s="1" t="s">
        <v>104</v>
      </c>
      <c r="CD1952" s="1" t="s">
        <v>104</v>
      </c>
      <c r="CE1952" s="1" t="s">
        <v>104</v>
      </c>
      <c r="CF1952" s="1" t="s">
        <v>104</v>
      </c>
      <c r="CG1952" s="1" t="s">
        <v>104</v>
      </c>
      <c r="CH1952" s="1" t="s">
        <v>104</v>
      </c>
      <c r="CJ1952" s="1">
        <v>0</v>
      </c>
      <c r="CK1952" s="1">
        <v>0</v>
      </c>
      <c r="CL1952" s="1">
        <v>0</v>
      </c>
      <c r="CM1952" s="1" t="s">
        <v>104</v>
      </c>
    </row>
    <row r="1953" spans="1:91" ht="14.25" customHeight="1" x14ac:dyDescent="0.3">
      <c r="A1953" s="1" t="s">
        <v>10393</v>
      </c>
      <c r="B1953" s="1" t="s">
        <v>216</v>
      </c>
      <c r="E1953" s="1" t="s">
        <v>10394</v>
      </c>
      <c r="F1953" s="1" t="s">
        <v>95</v>
      </c>
      <c r="G1953" s="1" t="s">
        <v>10395</v>
      </c>
      <c r="H1953" s="1">
        <v>1</v>
      </c>
      <c r="I1953" s="1" t="s">
        <v>128</v>
      </c>
      <c r="L1953" s="1" t="s">
        <v>10396</v>
      </c>
      <c r="M1953" s="1" t="s">
        <v>4292</v>
      </c>
      <c r="N1953" s="1">
        <v>0</v>
      </c>
      <c r="O1953" s="1">
        <v>0</v>
      </c>
      <c r="P1953" s="1" t="s">
        <v>375</v>
      </c>
      <c r="Q1953" s="1" t="s">
        <v>131</v>
      </c>
      <c r="R1953" s="1" t="s">
        <v>10397</v>
      </c>
      <c r="S1953" s="1" t="s">
        <v>10382</v>
      </c>
      <c r="T1953" s="1">
        <v>1</v>
      </c>
      <c r="U1953" s="1">
        <v>1</v>
      </c>
      <c r="V1953" s="1">
        <v>0</v>
      </c>
      <c r="W1953" s="1">
        <v>0</v>
      </c>
      <c r="X1953" s="1">
        <v>0</v>
      </c>
      <c r="Y1953" s="1">
        <v>5</v>
      </c>
      <c r="Z1953" s="1">
        <v>5</v>
      </c>
      <c r="AA1953" s="1">
        <v>5</v>
      </c>
      <c r="AB1953" s="1">
        <v>5</v>
      </c>
      <c r="AC1953" s="1" t="s">
        <v>104</v>
      </c>
      <c r="AD1953" s="1">
        <v>5</v>
      </c>
      <c r="AE1953" s="1" t="s">
        <v>104</v>
      </c>
      <c r="AF1953" s="1" t="s">
        <v>104</v>
      </c>
      <c r="AG1953" s="1" t="s">
        <v>104</v>
      </c>
      <c r="AH1953" s="1">
        <v>5</v>
      </c>
      <c r="AI1953" s="1">
        <v>5</v>
      </c>
      <c r="AJ1953" s="1">
        <v>5</v>
      </c>
      <c r="AK1953" s="1" t="s">
        <v>104</v>
      </c>
      <c r="AL1953" s="1">
        <v>5</v>
      </c>
      <c r="AM1953" s="1" t="s">
        <v>104</v>
      </c>
      <c r="AO1953" s="1">
        <v>5</v>
      </c>
      <c r="AR1953" s="1">
        <v>0</v>
      </c>
      <c r="AS1953" s="1">
        <v>0</v>
      </c>
      <c r="AT1953" s="1">
        <v>0</v>
      </c>
      <c r="AU1953" s="1">
        <v>0</v>
      </c>
      <c r="AV1953" s="1">
        <v>0</v>
      </c>
      <c r="AW1953" s="1">
        <v>0</v>
      </c>
      <c r="AX1953" s="1">
        <v>0</v>
      </c>
      <c r="AY1953" s="1">
        <v>0</v>
      </c>
      <c r="AZ1953" s="1">
        <v>0</v>
      </c>
      <c r="BA1953" s="1">
        <v>0</v>
      </c>
      <c r="BB1953" s="1">
        <v>0</v>
      </c>
      <c r="BC1953" s="1">
        <v>0</v>
      </c>
      <c r="BD1953" s="1">
        <v>0</v>
      </c>
      <c r="BE1953" s="1">
        <v>0</v>
      </c>
      <c r="BF1953" s="1">
        <v>0</v>
      </c>
      <c r="BG1953" s="1">
        <v>0</v>
      </c>
      <c r="BH1953" s="1">
        <v>0</v>
      </c>
      <c r="BI1953" s="1">
        <v>0</v>
      </c>
      <c r="BJ1953" s="1">
        <v>0</v>
      </c>
      <c r="BK1953" s="1">
        <v>0</v>
      </c>
      <c r="BL1953" s="1">
        <v>0</v>
      </c>
      <c r="BM1953" s="1">
        <v>0</v>
      </c>
      <c r="BN1953" s="1">
        <v>0</v>
      </c>
      <c r="BO1953" s="1">
        <v>0</v>
      </c>
      <c r="BP1953" s="1">
        <v>0</v>
      </c>
      <c r="BQ1953" s="1" t="s">
        <v>104</v>
      </c>
      <c r="BR1953" s="1">
        <v>2055</v>
      </c>
      <c r="BS1953" s="1">
        <v>50</v>
      </c>
      <c r="BX1953" s="1">
        <v>0</v>
      </c>
      <c r="BY1953" s="1" t="s">
        <v>104</v>
      </c>
      <c r="BZ1953" s="1">
        <v>5</v>
      </c>
      <c r="CA1953" s="1" t="s">
        <v>104</v>
      </c>
      <c r="CB1953" s="1" t="s">
        <v>104</v>
      </c>
      <c r="CC1953" s="1" t="s">
        <v>104</v>
      </c>
      <c r="CD1953" s="1" t="s">
        <v>104</v>
      </c>
      <c r="CE1953" s="1" t="s">
        <v>104</v>
      </c>
      <c r="CF1953" s="1" t="s">
        <v>104</v>
      </c>
      <c r="CG1953" s="1" t="s">
        <v>104</v>
      </c>
      <c r="CH1953" s="1">
        <v>5</v>
      </c>
      <c r="CJ1953" s="1">
        <v>0</v>
      </c>
      <c r="CK1953" s="1">
        <v>0</v>
      </c>
      <c r="CL1953" s="1">
        <v>0</v>
      </c>
      <c r="CM1953" s="1" t="s">
        <v>104</v>
      </c>
    </row>
    <row r="1954" spans="1:91" ht="14.25" customHeight="1" x14ac:dyDescent="0.3">
      <c r="A1954" s="1" t="s">
        <v>10398</v>
      </c>
      <c r="B1954" s="1" t="s">
        <v>434</v>
      </c>
      <c r="E1954" s="1" t="s">
        <v>1864</v>
      </c>
      <c r="F1954" s="1" t="s">
        <v>95</v>
      </c>
      <c r="G1954" s="1" t="s">
        <v>116</v>
      </c>
      <c r="H1954" s="1">
        <v>0</v>
      </c>
      <c r="I1954" s="1" t="s">
        <v>128</v>
      </c>
      <c r="L1954" s="1" t="s">
        <v>10399</v>
      </c>
      <c r="M1954" s="1" t="s">
        <v>4400</v>
      </c>
      <c r="N1954" s="1">
        <v>1</v>
      </c>
      <c r="O1954" s="1">
        <v>0</v>
      </c>
      <c r="P1954" s="1" t="s">
        <v>100</v>
      </c>
      <c r="Q1954" s="1" t="s">
        <v>101</v>
      </c>
      <c r="R1954" s="1" t="s">
        <v>10400</v>
      </c>
      <c r="S1954" s="1" t="s">
        <v>10382</v>
      </c>
      <c r="T1954" s="1">
        <v>1</v>
      </c>
      <c r="U1954" s="1">
        <v>1</v>
      </c>
      <c r="V1954" s="1">
        <v>0</v>
      </c>
      <c r="W1954" s="1">
        <v>0</v>
      </c>
      <c r="X1954" s="1">
        <v>0</v>
      </c>
      <c r="Y1954" s="1">
        <v>6</v>
      </c>
      <c r="Z1954" s="1">
        <v>6</v>
      </c>
      <c r="AA1954" s="1" t="s">
        <v>104</v>
      </c>
      <c r="AB1954" s="1" t="s">
        <v>104</v>
      </c>
      <c r="AC1954" s="1" t="s">
        <v>104</v>
      </c>
      <c r="AD1954" s="1" t="s">
        <v>104</v>
      </c>
      <c r="AE1954" s="1" t="s">
        <v>104</v>
      </c>
      <c r="AF1954" s="1" t="s">
        <v>104</v>
      </c>
      <c r="AG1954" s="1" t="s">
        <v>104</v>
      </c>
      <c r="AH1954" s="1">
        <v>6</v>
      </c>
      <c r="AI1954" s="1" t="s">
        <v>104</v>
      </c>
      <c r="AJ1954" s="1" t="s">
        <v>104</v>
      </c>
      <c r="AK1954" s="1" t="s">
        <v>104</v>
      </c>
      <c r="AL1954" s="1" t="s">
        <v>104</v>
      </c>
      <c r="AM1954" s="1" t="s">
        <v>104</v>
      </c>
      <c r="AO1954" s="1">
        <v>6</v>
      </c>
      <c r="AR1954" s="1">
        <v>0</v>
      </c>
      <c r="AS1954" s="1">
        <v>0</v>
      </c>
      <c r="AT1954" s="1">
        <v>0</v>
      </c>
      <c r="AU1954" s="1">
        <v>0</v>
      </c>
      <c r="AV1954" s="1">
        <v>0</v>
      </c>
      <c r="AW1954" s="1">
        <v>0</v>
      </c>
      <c r="AX1954" s="1">
        <v>0</v>
      </c>
      <c r="AY1954" s="1">
        <v>0</v>
      </c>
      <c r="AZ1954" s="1">
        <v>0</v>
      </c>
      <c r="BA1954" s="1">
        <v>0</v>
      </c>
      <c r="BB1954" s="1">
        <v>0</v>
      </c>
      <c r="BC1954" s="1">
        <v>0</v>
      </c>
      <c r="BD1954" s="1">
        <v>0</v>
      </c>
      <c r="BE1954" s="1">
        <v>0</v>
      </c>
      <c r="BF1954" s="1">
        <v>0</v>
      </c>
      <c r="BG1954" s="1">
        <v>0</v>
      </c>
      <c r="BH1954" s="1">
        <v>0</v>
      </c>
      <c r="BI1954" s="1">
        <v>0</v>
      </c>
      <c r="BJ1954" s="1">
        <v>0</v>
      </c>
      <c r="BK1954" s="1">
        <v>0</v>
      </c>
      <c r="BL1954" s="1">
        <v>0</v>
      </c>
      <c r="BM1954" s="1">
        <v>0</v>
      </c>
      <c r="BN1954" s="1">
        <v>0</v>
      </c>
      <c r="BO1954" s="1">
        <v>0</v>
      </c>
      <c r="BP1954" s="1">
        <v>0</v>
      </c>
      <c r="BQ1954" s="1" t="s">
        <v>104</v>
      </c>
      <c r="BR1954" s="1">
        <v>2056</v>
      </c>
      <c r="BS1954" s="1" t="s">
        <v>104</v>
      </c>
      <c r="BX1954" s="1">
        <v>0</v>
      </c>
      <c r="BY1954" s="1" t="s">
        <v>104</v>
      </c>
      <c r="BZ1954" s="1" t="s">
        <v>104</v>
      </c>
      <c r="CA1954" s="1" t="s">
        <v>104</v>
      </c>
      <c r="CB1954" s="1" t="s">
        <v>104</v>
      </c>
      <c r="CC1954" s="1" t="s">
        <v>104</v>
      </c>
      <c r="CD1954" s="1" t="s">
        <v>104</v>
      </c>
      <c r="CE1954" s="1" t="s">
        <v>104</v>
      </c>
      <c r="CF1954" s="1" t="s">
        <v>104</v>
      </c>
      <c r="CG1954" s="1" t="s">
        <v>104</v>
      </c>
      <c r="CH1954" s="1" t="s">
        <v>104</v>
      </c>
      <c r="CJ1954" s="1">
        <v>0</v>
      </c>
      <c r="CK1954" s="1">
        <v>0</v>
      </c>
      <c r="CL1954" s="1">
        <v>0</v>
      </c>
      <c r="CM1954" s="1" t="s">
        <v>104</v>
      </c>
    </row>
    <row r="1955" spans="1:91" ht="14.25" customHeight="1" x14ac:dyDescent="0.3">
      <c r="A1955" s="1" t="s">
        <v>10401</v>
      </c>
      <c r="B1955" s="1" t="s">
        <v>92</v>
      </c>
      <c r="C1955" s="1" t="s">
        <v>93</v>
      </c>
      <c r="E1955" s="1" t="s">
        <v>10402</v>
      </c>
      <c r="F1955" s="1" t="s">
        <v>191</v>
      </c>
      <c r="G1955" s="1" t="s">
        <v>10403</v>
      </c>
      <c r="H1955" s="1">
        <v>0</v>
      </c>
      <c r="I1955" s="1" t="s">
        <v>10404</v>
      </c>
      <c r="K1955" s="1" t="s">
        <v>10405</v>
      </c>
      <c r="M1955" s="1" t="s">
        <v>341</v>
      </c>
      <c r="N1955" s="1">
        <v>0</v>
      </c>
      <c r="O1955" s="1">
        <v>0</v>
      </c>
      <c r="P1955" s="1" t="s">
        <v>100</v>
      </c>
      <c r="Q1955" s="1" t="s">
        <v>101</v>
      </c>
      <c r="R1955" s="1" t="s">
        <v>10406</v>
      </c>
      <c r="S1955" s="1" t="s">
        <v>10407</v>
      </c>
      <c r="T1955" s="1">
        <v>1</v>
      </c>
      <c r="U1955" s="1">
        <v>1</v>
      </c>
      <c r="V1955" s="1">
        <v>1</v>
      </c>
      <c r="W1955" s="1">
        <v>0</v>
      </c>
      <c r="X1955" s="1">
        <v>0</v>
      </c>
      <c r="Y1955" s="1">
        <v>4</v>
      </c>
      <c r="Z1955" s="1">
        <v>4</v>
      </c>
      <c r="AA1955" s="1" t="s">
        <v>104</v>
      </c>
      <c r="AB1955" s="1" t="s">
        <v>104</v>
      </c>
      <c r="AC1955" s="1" t="s">
        <v>104</v>
      </c>
      <c r="AD1955" s="1" t="s">
        <v>104</v>
      </c>
      <c r="AE1955" s="1" t="s">
        <v>104</v>
      </c>
      <c r="AF1955" s="1" t="s">
        <v>104</v>
      </c>
      <c r="AG1955" s="1">
        <v>4</v>
      </c>
      <c r="AH1955" s="1">
        <v>4</v>
      </c>
      <c r="AI1955" s="1" t="s">
        <v>104</v>
      </c>
      <c r="AJ1955" s="1" t="s">
        <v>104</v>
      </c>
      <c r="AK1955" s="1" t="s">
        <v>104</v>
      </c>
      <c r="AL1955" s="1" t="s">
        <v>104</v>
      </c>
      <c r="AM1955" s="1" t="s">
        <v>104</v>
      </c>
      <c r="AO1955" s="1">
        <v>4</v>
      </c>
      <c r="AR1955" s="1">
        <v>0</v>
      </c>
      <c r="AS1955" s="1">
        <v>0</v>
      </c>
      <c r="AT1955" s="1">
        <v>0</v>
      </c>
      <c r="AU1955" s="1">
        <v>0</v>
      </c>
      <c r="AV1955" s="1">
        <v>0</v>
      </c>
      <c r="AW1955" s="1">
        <v>0</v>
      </c>
      <c r="AX1955" s="1">
        <v>0</v>
      </c>
      <c r="AY1955" s="1">
        <v>0</v>
      </c>
      <c r="AZ1955" s="1">
        <v>0</v>
      </c>
      <c r="BA1955" s="1">
        <v>0</v>
      </c>
      <c r="BB1955" s="1">
        <v>0</v>
      </c>
      <c r="BC1955" s="1">
        <v>0</v>
      </c>
      <c r="BD1955" s="1">
        <v>0</v>
      </c>
      <c r="BE1955" s="1">
        <v>0</v>
      </c>
      <c r="BF1955" s="1">
        <v>0</v>
      </c>
      <c r="BG1955" s="1">
        <v>0</v>
      </c>
      <c r="BH1955" s="1">
        <v>0</v>
      </c>
      <c r="BI1955" s="1">
        <v>0</v>
      </c>
      <c r="BJ1955" s="1">
        <v>0</v>
      </c>
      <c r="BK1955" s="1">
        <v>0</v>
      </c>
      <c r="BL1955" s="1">
        <v>0</v>
      </c>
      <c r="BM1955" s="1">
        <v>0</v>
      </c>
      <c r="BN1955" s="1">
        <v>0</v>
      </c>
      <c r="BO1955" s="1">
        <v>0</v>
      </c>
      <c r="BP1955" s="1">
        <v>0</v>
      </c>
      <c r="BQ1955" s="1" t="s">
        <v>104</v>
      </c>
      <c r="BR1955" s="1">
        <v>2057</v>
      </c>
      <c r="BS1955" s="1" t="s">
        <v>104</v>
      </c>
      <c r="BX1955" s="1">
        <v>0</v>
      </c>
      <c r="BY1955" s="1" t="s">
        <v>104</v>
      </c>
      <c r="BZ1955" s="1" t="s">
        <v>104</v>
      </c>
      <c r="CA1955" s="1" t="s">
        <v>104</v>
      </c>
      <c r="CB1955" s="1" t="s">
        <v>104</v>
      </c>
      <c r="CC1955" s="1" t="s">
        <v>104</v>
      </c>
      <c r="CD1955" s="1" t="s">
        <v>104</v>
      </c>
      <c r="CE1955" s="1" t="s">
        <v>104</v>
      </c>
      <c r="CF1955" s="1" t="s">
        <v>104</v>
      </c>
      <c r="CG1955" s="1" t="s">
        <v>104</v>
      </c>
      <c r="CH1955" s="1" t="s">
        <v>104</v>
      </c>
      <c r="CJ1955" s="1">
        <v>0</v>
      </c>
      <c r="CK1955" s="1">
        <v>0</v>
      </c>
      <c r="CL1955" s="1">
        <v>0</v>
      </c>
      <c r="CM1955" s="1">
        <v>4</v>
      </c>
    </row>
    <row r="1956" spans="1:91" ht="14.25" customHeight="1" x14ac:dyDescent="0.3">
      <c r="A1956" s="1" t="s">
        <v>10408</v>
      </c>
      <c r="B1956" s="1" t="s">
        <v>137</v>
      </c>
      <c r="D1956" s="1" t="s">
        <v>56</v>
      </c>
      <c r="E1956" s="1" t="s">
        <v>10409</v>
      </c>
      <c r="F1956" s="1" t="s">
        <v>95</v>
      </c>
      <c r="G1956" s="1" t="s">
        <v>10410</v>
      </c>
      <c r="H1956" s="1">
        <v>0</v>
      </c>
      <c r="I1956" s="1" t="s">
        <v>157</v>
      </c>
      <c r="L1956" s="1" t="s">
        <v>10411</v>
      </c>
      <c r="M1956" s="1" t="s">
        <v>2330</v>
      </c>
      <c r="N1956" s="1">
        <v>0</v>
      </c>
      <c r="O1956" s="1">
        <v>0</v>
      </c>
      <c r="P1956" s="1" t="s">
        <v>10412</v>
      </c>
      <c r="Q1956" s="1" t="s">
        <v>10413</v>
      </c>
      <c r="R1956" s="1" t="s">
        <v>10414</v>
      </c>
      <c r="S1956" s="1" t="s">
        <v>10407</v>
      </c>
      <c r="T1956" s="1">
        <v>1</v>
      </c>
      <c r="U1956" s="1">
        <v>1</v>
      </c>
      <c r="V1956" s="1">
        <v>1</v>
      </c>
      <c r="W1956" s="1">
        <v>0</v>
      </c>
      <c r="X1956" s="1">
        <v>1</v>
      </c>
      <c r="Y1956" s="1">
        <v>4</v>
      </c>
      <c r="Z1956" s="1">
        <v>4</v>
      </c>
      <c r="AA1956" s="1">
        <v>4</v>
      </c>
      <c r="AB1956" s="1" t="s">
        <v>104</v>
      </c>
      <c r="AC1956" s="1" t="s">
        <v>104</v>
      </c>
      <c r="AD1956" s="1" t="s">
        <v>104</v>
      </c>
      <c r="AE1956" s="1" t="s">
        <v>104</v>
      </c>
      <c r="AF1956" s="1" t="s">
        <v>104</v>
      </c>
      <c r="AG1956" s="1">
        <v>4</v>
      </c>
      <c r="AH1956" s="1">
        <v>4</v>
      </c>
      <c r="AI1956" s="1" t="s">
        <v>104</v>
      </c>
      <c r="AJ1956" s="1">
        <v>4</v>
      </c>
      <c r="AK1956" s="1" t="s">
        <v>104</v>
      </c>
      <c r="AL1956" s="1">
        <v>4</v>
      </c>
      <c r="AM1956" s="1" t="s">
        <v>104</v>
      </c>
      <c r="AO1956" s="1">
        <v>4</v>
      </c>
      <c r="AR1956" s="1">
        <v>0</v>
      </c>
      <c r="AS1956" s="1">
        <v>0</v>
      </c>
      <c r="AT1956" s="1">
        <v>0</v>
      </c>
      <c r="AU1956" s="1">
        <v>0</v>
      </c>
      <c r="AV1956" s="1">
        <v>0</v>
      </c>
      <c r="AW1956" s="1">
        <v>0</v>
      </c>
      <c r="AX1956" s="1">
        <v>0</v>
      </c>
      <c r="AY1956" s="1">
        <v>0</v>
      </c>
      <c r="AZ1956" s="1">
        <v>0</v>
      </c>
      <c r="BA1956" s="1">
        <v>0</v>
      </c>
      <c r="BB1956" s="1">
        <v>0</v>
      </c>
      <c r="BC1956" s="1">
        <v>0</v>
      </c>
      <c r="BD1956" s="1">
        <v>0</v>
      </c>
      <c r="BE1956" s="1">
        <v>1</v>
      </c>
      <c r="BF1956" s="1">
        <v>0</v>
      </c>
      <c r="BG1956" s="1">
        <v>0</v>
      </c>
      <c r="BH1956" s="1">
        <v>0</v>
      </c>
      <c r="BI1956" s="1">
        <v>0</v>
      </c>
      <c r="BJ1956" s="1">
        <v>0</v>
      </c>
      <c r="BK1956" s="1">
        <v>0</v>
      </c>
      <c r="BL1956" s="1">
        <v>0</v>
      </c>
      <c r="BM1956" s="1">
        <v>0</v>
      </c>
      <c r="BN1956" s="1">
        <v>0</v>
      </c>
      <c r="BO1956" s="1">
        <v>0</v>
      </c>
      <c r="BP1956" s="1">
        <v>0</v>
      </c>
      <c r="BQ1956" s="1" t="s">
        <v>104</v>
      </c>
      <c r="BR1956" s="1">
        <v>2058</v>
      </c>
      <c r="BS1956" s="1" t="s">
        <v>104</v>
      </c>
      <c r="BX1956" s="1">
        <v>0</v>
      </c>
      <c r="BY1956" s="1">
        <v>4</v>
      </c>
      <c r="BZ1956" s="1">
        <v>4</v>
      </c>
      <c r="CA1956" s="1" t="s">
        <v>104</v>
      </c>
      <c r="CB1956" s="1" t="s">
        <v>104</v>
      </c>
      <c r="CC1956" s="1" t="s">
        <v>104</v>
      </c>
      <c r="CD1956" s="1" t="s">
        <v>104</v>
      </c>
      <c r="CE1956" s="1" t="s">
        <v>104</v>
      </c>
      <c r="CF1956" s="1" t="s">
        <v>104</v>
      </c>
      <c r="CG1956" s="1" t="s">
        <v>104</v>
      </c>
      <c r="CH1956" s="1" t="s">
        <v>104</v>
      </c>
      <c r="CJ1956" s="1">
        <v>0</v>
      </c>
      <c r="CK1956" s="1">
        <v>0</v>
      </c>
      <c r="CL1956" s="1">
        <v>0</v>
      </c>
      <c r="CM1956" s="1">
        <v>4</v>
      </c>
    </row>
    <row r="1957" spans="1:91" ht="14.25" customHeight="1" x14ac:dyDescent="0.3">
      <c r="A1957" s="1" t="s">
        <v>10415</v>
      </c>
      <c r="B1957" s="1" t="s">
        <v>137</v>
      </c>
      <c r="D1957" s="1" t="s">
        <v>46</v>
      </c>
      <c r="E1957" s="1" t="s">
        <v>10409</v>
      </c>
      <c r="F1957" s="1" t="s">
        <v>95</v>
      </c>
      <c r="G1957" s="1" t="s">
        <v>10416</v>
      </c>
      <c r="H1957" s="1">
        <v>0</v>
      </c>
      <c r="I1957" s="1" t="s">
        <v>157</v>
      </c>
      <c r="L1957" s="1" t="s">
        <v>10411</v>
      </c>
      <c r="M1957" s="1" t="s">
        <v>2330</v>
      </c>
      <c r="N1957" s="1">
        <v>0</v>
      </c>
      <c r="O1957" s="1">
        <v>0</v>
      </c>
      <c r="P1957" s="1" t="s">
        <v>10412</v>
      </c>
      <c r="Q1957" s="1" t="s">
        <v>10413</v>
      </c>
      <c r="R1957" s="1" t="s">
        <v>10417</v>
      </c>
      <c r="S1957" s="1" t="s">
        <v>10407</v>
      </c>
      <c r="T1957" s="1">
        <v>1</v>
      </c>
      <c r="U1957" s="1">
        <v>1</v>
      </c>
      <c r="V1957" s="1">
        <v>1</v>
      </c>
      <c r="W1957" s="1">
        <v>0</v>
      </c>
      <c r="X1957" s="1">
        <v>1</v>
      </c>
      <c r="Y1957" s="1">
        <v>4</v>
      </c>
      <c r="Z1957" s="1">
        <v>4</v>
      </c>
      <c r="AA1957" s="1">
        <v>4</v>
      </c>
      <c r="AB1957" s="1" t="s">
        <v>104</v>
      </c>
      <c r="AC1957" s="1" t="s">
        <v>104</v>
      </c>
      <c r="AD1957" s="1" t="s">
        <v>104</v>
      </c>
      <c r="AE1957" s="1" t="s">
        <v>104</v>
      </c>
      <c r="AF1957" s="1" t="s">
        <v>104</v>
      </c>
      <c r="AG1957" s="1">
        <v>4</v>
      </c>
      <c r="AH1957" s="1">
        <v>4</v>
      </c>
      <c r="AI1957" s="1" t="s">
        <v>104</v>
      </c>
      <c r="AJ1957" s="1">
        <v>4</v>
      </c>
      <c r="AK1957" s="1" t="s">
        <v>104</v>
      </c>
      <c r="AL1957" s="1">
        <v>4</v>
      </c>
      <c r="AM1957" s="1" t="s">
        <v>104</v>
      </c>
      <c r="AO1957" s="1">
        <v>4</v>
      </c>
      <c r="AR1957" s="1">
        <v>0</v>
      </c>
      <c r="AS1957" s="1">
        <v>0</v>
      </c>
      <c r="AT1957" s="1">
        <v>0</v>
      </c>
      <c r="AU1957" s="1">
        <v>1</v>
      </c>
      <c r="AV1957" s="1">
        <v>0</v>
      </c>
      <c r="AW1957" s="1">
        <v>0</v>
      </c>
      <c r="AX1957" s="1">
        <v>0</v>
      </c>
      <c r="AY1957" s="1">
        <v>0</v>
      </c>
      <c r="AZ1957" s="1">
        <v>0</v>
      </c>
      <c r="BA1957" s="1">
        <v>0</v>
      </c>
      <c r="BB1957" s="1">
        <v>0</v>
      </c>
      <c r="BC1957" s="1">
        <v>0</v>
      </c>
      <c r="BD1957" s="1">
        <v>0</v>
      </c>
      <c r="BE1957" s="1">
        <v>0</v>
      </c>
      <c r="BF1957" s="1">
        <v>0</v>
      </c>
      <c r="BG1957" s="1">
        <v>0</v>
      </c>
      <c r="BH1957" s="1">
        <v>0</v>
      </c>
      <c r="BI1957" s="1">
        <v>0</v>
      </c>
      <c r="BJ1957" s="1">
        <v>0</v>
      </c>
      <c r="BK1957" s="1">
        <v>0</v>
      </c>
      <c r="BL1957" s="1">
        <v>0</v>
      </c>
      <c r="BM1957" s="1">
        <v>0</v>
      </c>
      <c r="BN1957" s="1">
        <v>0</v>
      </c>
      <c r="BO1957" s="1">
        <v>0</v>
      </c>
      <c r="BP1957" s="1">
        <v>0</v>
      </c>
      <c r="BQ1957" s="1" t="s">
        <v>104</v>
      </c>
      <c r="BR1957" s="1">
        <v>2059</v>
      </c>
      <c r="BS1957" s="1" t="s">
        <v>104</v>
      </c>
      <c r="BX1957" s="1">
        <v>0</v>
      </c>
      <c r="BY1957" s="1">
        <v>4</v>
      </c>
      <c r="BZ1957" s="1">
        <v>4</v>
      </c>
      <c r="CA1957" s="1" t="s">
        <v>104</v>
      </c>
      <c r="CB1957" s="1" t="s">
        <v>104</v>
      </c>
      <c r="CC1957" s="1" t="s">
        <v>104</v>
      </c>
      <c r="CD1957" s="1" t="s">
        <v>104</v>
      </c>
      <c r="CE1957" s="1" t="s">
        <v>104</v>
      </c>
      <c r="CF1957" s="1" t="s">
        <v>104</v>
      </c>
      <c r="CG1957" s="1" t="s">
        <v>104</v>
      </c>
      <c r="CH1957" s="1" t="s">
        <v>104</v>
      </c>
      <c r="CJ1957" s="1">
        <v>0</v>
      </c>
      <c r="CK1957" s="1">
        <v>0</v>
      </c>
      <c r="CL1957" s="1">
        <v>0</v>
      </c>
      <c r="CM1957" s="1">
        <v>4</v>
      </c>
    </row>
    <row r="1958" spans="1:91" ht="14.25" customHeight="1" x14ac:dyDescent="0.3">
      <c r="A1958" s="1" t="s">
        <v>10418</v>
      </c>
      <c r="B1958" s="1" t="s">
        <v>137</v>
      </c>
      <c r="E1958" s="1" t="s">
        <v>10419</v>
      </c>
      <c r="F1958" s="1" t="s">
        <v>95</v>
      </c>
      <c r="G1958" s="1" t="s">
        <v>913</v>
      </c>
      <c r="H1958" s="1">
        <v>0</v>
      </c>
      <c r="I1958" s="1" t="s">
        <v>117</v>
      </c>
      <c r="L1958" s="1" t="s">
        <v>541</v>
      </c>
      <c r="M1958" s="1" t="s">
        <v>111</v>
      </c>
      <c r="N1958" s="1">
        <v>0</v>
      </c>
      <c r="O1958" s="1">
        <v>0</v>
      </c>
      <c r="P1958" s="1" t="s">
        <v>1058</v>
      </c>
      <c r="Q1958" s="1" t="s">
        <v>131</v>
      </c>
      <c r="R1958" s="1" t="s">
        <v>10420</v>
      </c>
      <c r="S1958" s="1" t="s">
        <v>10407</v>
      </c>
      <c r="T1958" s="1">
        <v>1</v>
      </c>
      <c r="U1958" s="1">
        <v>1</v>
      </c>
      <c r="V1958" s="1">
        <v>1</v>
      </c>
      <c r="W1958" s="1">
        <v>0</v>
      </c>
      <c r="X1958" s="1">
        <v>0</v>
      </c>
      <c r="Y1958" s="1" t="s">
        <v>104</v>
      </c>
      <c r="Z1958" s="1" t="s">
        <v>104</v>
      </c>
      <c r="AA1958" s="1" t="s">
        <v>104</v>
      </c>
      <c r="AB1958" s="1" t="s">
        <v>104</v>
      </c>
      <c r="AC1958" s="1">
        <v>2</v>
      </c>
      <c r="AD1958" s="1" t="s">
        <v>104</v>
      </c>
      <c r="AE1958" s="1">
        <v>2</v>
      </c>
      <c r="AF1958" s="1" t="s">
        <v>104</v>
      </c>
      <c r="AG1958" s="1" t="s">
        <v>104</v>
      </c>
      <c r="AH1958" s="1" t="s">
        <v>104</v>
      </c>
      <c r="AI1958" s="1" t="s">
        <v>104</v>
      </c>
      <c r="AJ1958" s="1" t="s">
        <v>104</v>
      </c>
      <c r="AK1958" s="1">
        <v>2</v>
      </c>
      <c r="AL1958" s="1">
        <v>2</v>
      </c>
      <c r="AM1958" s="1" t="s">
        <v>104</v>
      </c>
      <c r="AO1958" s="1">
        <v>2</v>
      </c>
      <c r="AR1958" s="1">
        <v>0</v>
      </c>
      <c r="AS1958" s="1">
        <v>0</v>
      </c>
      <c r="AT1958" s="1">
        <v>0</v>
      </c>
      <c r="AU1958" s="1">
        <v>0</v>
      </c>
      <c r="AV1958" s="1">
        <v>0</v>
      </c>
      <c r="AW1958" s="1">
        <v>0</v>
      </c>
      <c r="AX1958" s="1">
        <v>0</v>
      </c>
      <c r="AY1958" s="1">
        <v>0</v>
      </c>
      <c r="AZ1958" s="1">
        <v>0</v>
      </c>
      <c r="BA1958" s="1">
        <v>0</v>
      </c>
      <c r="BB1958" s="1">
        <v>0</v>
      </c>
      <c r="BC1958" s="1">
        <v>0</v>
      </c>
      <c r="BD1958" s="1">
        <v>0</v>
      </c>
      <c r="BE1958" s="1">
        <v>0</v>
      </c>
      <c r="BF1958" s="1">
        <v>0</v>
      </c>
      <c r="BG1958" s="1">
        <v>0</v>
      </c>
      <c r="BH1958" s="1">
        <v>0</v>
      </c>
      <c r="BI1958" s="1">
        <v>0</v>
      </c>
      <c r="BJ1958" s="1">
        <v>0</v>
      </c>
      <c r="BK1958" s="1">
        <v>0</v>
      </c>
      <c r="BL1958" s="1">
        <v>0</v>
      </c>
      <c r="BM1958" s="1">
        <v>0</v>
      </c>
      <c r="BN1958" s="1">
        <v>0</v>
      </c>
      <c r="BO1958" s="1">
        <v>0</v>
      </c>
      <c r="BP1958" s="1">
        <v>0</v>
      </c>
      <c r="BQ1958" s="1" t="s">
        <v>104</v>
      </c>
      <c r="BR1958" s="1">
        <v>2060</v>
      </c>
      <c r="BS1958" s="1" t="s">
        <v>104</v>
      </c>
      <c r="BX1958" s="1">
        <v>0</v>
      </c>
      <c r="BY1958" s="1">
        <v>2</v>
      </c>
      <c r="BZ1958" s="1" t="s">
        <v>104</v>
      </c>
      <c r="CA1958" s="1" t="s">
        <v>104</v>
      </c>
      <c r="CB1958" s="1" t="s">
        <v>104</v>
      </c>
      <c r="CC1958" s="1" t="s">
        <v>104</v>
      </c>
      <c r="CD1958" s="1" t="s">
        <v>104</v>
      </c>
      <c r="CE1958" s="1" t="s">
        <v>104</v>
      </c>
      <c r="CF1958" s="1" t="s">
        <v>104</v>
      </c>
      <c r="CG1958" s="1" t="s">
        <v>104</v>
      </c>
      <c r="CH1958" s="1">
        <v>2</v>
      </c>
      <c r="CJ1958" s="1">
        <v>0</v>
      </c>
      <c r="CK1958" s="1">
        <v>0</v>
      </c>
      <c r="CL1958" s="1">
        <v>0</v>
      </c>
      <c r="CM1958" s="1" t="s">
        <v>104</v>
      </c>
    </row>
    <row r="1959" spans="1:91" ht="14.25" customHeight="1" x14ac:dyDescent="0.3">
      <c r="A1959" s="1" t="s">
        <v>10421</v>
      </c>
      <c r="B1959" s="1" t="s">
        <v>137</v>
      </c>
      <c r="E1959" s="1" t="s">
        <v>5495</v>
      </c>
      <c r="F1959" s="1" t="s">
        <v>95</v>
      </c>
      <c r="G1959" s="1" t="s">
        <v>913</v>
      </c>
      <c r="H1959" s="1">
        <v>0</v>
      </c>
      <c r="I1959" s="1" t="s">
        <v>117</v>
      </c>
      <c r="L1959" s="1" t="s">
        <v>10422</v>
      </c>
      <c r="M1959" s="1" t="s">
        <v>111</v>
      </c>
      <c r="N1959" s="1">
        <v>0</v>
      </c>
      <c r="O1959" s="1">
        <v>0</v>
      </c>
      <c r="P1959" s="1" t="s">
        <v>1058</v>
      </c>
      <c r="Q1959" s="1" t="s">
        <v>9311</v>
      </c>
      <c r="R1959" s="1" t="s">
        <v>10423</v>
      </c>
      <c r="S1959" s="1" t="s">
        <v>10407</v>
      </c>
      <c r="T1959" s="1">
        <v>1</v>
      </c>
      <c r="U1959" s="1">
        <v>1</v>
      </c>
      <c r="V1959" s="1">
        <v>1</v>
      </c>
      <c r="W1959" s="1">
        <v>0</v>
      </c>
      <c r="X1959" s="1">
        <v>0</v>
      </c>
      <c r="Y1959" s="1">
        <v>3</v>
      </c>
      <c r="Z1959" s="1">
        <v>3</v>
      </c>
      <c r="AA1959" s="1" t="s">
        <v>104</v>
      </c>
      <c r="AB1959" s="1" t="s">
        <v>104</v>
      </c>
      <c r="AC1959" s="1" t="s">
        <v>104</v>
      </c>
      <c r="AD1959" s="1" t="s">
        <v>104</v>
      </c>
      <c r="AE1959" s="1" t="s">
        <v>104</v>
      </c>
      <c r="AF1959" s="1" t="s">
        <v>104</v>
      </c>
      <c r="AG1959" s="1">
        <v>3</v>
      </c>
      <c r="AH1959" s="1" t="s">
        <v>104</v>
      </c>
      <c r="AI1959" s="1" t="s">
        <v>104</v>
      </c>
      <c r="AJ1959" s="1" t="s">
        <v>104</v>
      </c>
      <c r="AK1959" s="1" t="s">
        <v>104</v>
      </c>
      <c r="AL1959" s="1" t="s">
        <v>104</v>
      </c>
      <c r="AM1959" s="1" t="s">
        <v>104</v>
      </c>
      <c r="AO1959" s="1">
        <v>3</v>
      </c>
      <c r="AR1959" s="1">
        <v>0</v>
      </c>
      <c r="AS1959" s="1">
        <v>0</v>
      </c>
      <c r="AT1959" s="1">
        <v>0</v>
      </c>
      <c r="AU1959" s="1">
        <v>0</v>
      </c>
      <c r="AV1959" s="1">
        <v>0</v>
      </c>
      <c r="AW1959" s="1">
        <v>0</v>
      </c>
      <c r="AX1959" s="1">
        <v>0</v>
      </c>
      <c r="AY1959" s="1">
        <v>0</v>
      </c>
      <c r="AZ1959" s="1">
        <v>0</v>
      </c>
      <c r="BA1959" s="1">
        <v>0</v>
      </c>
      <c r="BB1959" s="1">
        <v>0</v>
      </c>
      <c r="BC1959" s="1">
        <v>0</v>
      </c>
      <c r="BD1959" s="1">
        <v>0</v>
      </c>
      <c r="BE1959" s="1">
        <v>0</v>
      </c>
      <c r="BF1959" s="1">
        <v>0</v>
      </c>
      <c r="BG1959" s="1">
        <v>0</v>
      </c>
      <c r="BH1959" s="1">
        <v>0</v>
      </c>
      <c r="BI1959" s="1">
        <v>0</v>
      </c>
      <c r="BJ1959" s="1">
        <v>0</v>
      </c>
      <c r="BK1959" s="1">
        <v>0</v>
      </c>
      <c r="BL1959" s="1">
        <v>0</v>
      </c>
      <c r="BM1959" s="1">
        <v>0</v>
      </c>
      <c r="BN1959" s="1">
        <v>0</v>
      </c>
      <c r="BO1959" s="1">
        <v>0</v>
      </c>
      <c r="BP1959" s="1">
        <v>0</v>
      </c>
      <c r="BQ1959" s="1" t="s">
        <v>104</v>
      </c>
      <c r="BR1959" s="1">
        <v>2061</v>
      </c>
      <c r="BS1959" s="1" t="s">
        <v>104</v>
      </c>
      <c r="BX1959" s="1">
        <v>0</v>
      </c>
      <c r="BY1959" s="1" t="s">
        <v>104</v>
      </c>
      <c r="BZ1959" s="1" t="s">
        <v>104</v>
      </c>
      <c r="CA1959" s="1" t="s">
        <v>104</v>
      </c>
      <c r="CB1959" s="1" t="s">
        <v>104</v>
      </c>
      <c r="CC1959" s="1" t="s">
        <v>104</v>
      </c>
      <c r="CD1959" s="1" t="s">
        <v>104</v>
      </c>
      <c r="CE1959" s="1" t="s">
        <v>104</v>
      </c>
      <c r="CF1959" s="1" t="s">
        <v>104</v>
      </c>
      <c r="CG1959" s="1" t="s">
        <v>104</v>
      </c>
      <c r="CH1959" s="1" t="s">
        <v>104</v>
      </c>
      <c r="CJ1959" s="1">
        <v>0</v>
      </c>
      <c r="CK1959" s="1">
        <v>0</v>
      </c>
      <c r="CL1959" s="1">
        <v>0</v>
      </c>
      <c r="CM1959" s="1">
        <v>3</v>
      </c>
    </row>
    <row r="1960" spans="1:91" ht="14.25" customHeight="1" x14ac:dyDescent="0.3">
      <c r="A1960" s="1" t="s">
        <v>10424</v>
      </c>
      <c r="B1960" s="1" t="s">
        <v>137</v>
      </c>
      <c r="E1960" s="1" t="s">
        <v>7183</v>
      </c>
      <c r="F1960" s="1" t="s">
        <v>95</v>
      </c>
      <c r="G1960" s="1" t="s">
        <v>10425</v>
      </c>
      <c r="H1960" s="1">
        <v>0</v>
      </c>
      <c r="I1960" s="1" t="s">
        <v>157</v>
      </c>
      <c r="L1960" s="1" t="s">
        <v>10411</v>
      </c>
      <c r="M1960" s="1" t="s">
        <v>2330</v>
      </c>
      <c r="N1960" s="1">
        <v>0</v>
      </c>
      <c r="O1960" s="1">
        <v>0</v>
      </c>
      <c r="R1960" s="1" t="s">
        <v>10426</v>
      </c>
      <c r="S1960" s="1" t="s">
        <v>10407</v>
      </c>
      <c r="T1960" s="1">
        <v>1</v>
      </c>
      <c r="U1960" s="1">
        <v>1</v>
      </c>
      <c r="V1960" s="1">
        <v>1</v>
      </c>
      <c r="W1960" s="1">
        <v>0</v>
      </c>
      <c r="X1960" s="1">
        <v>0</v>
      </c>
      <c r="Y1960" s="1">
        <v>4</v>
      </c>
      <c r="Z1960" s="1">
        <v>4</v>
      </c>
      <c r="AA1960" s="1" t="s">
        <v>104</v>
      </c>
      <c r="AB1960" s="1" t="s">
        <v>104</v>
      </c>
      <c r="AC1960" s="1" t="s">
        <v>104</v>
      </c>
      <c r="AD1960" s="1" t="s">
        <v>104</v>
      </c>
      <c r="AE1960" s="1" t="s">
        <v>104</v>
      </c>
      <c r="AF1960" s="1" t="s">
        <v>104</v>
      </c>
      <c r="AG1960" s="1" t="s">
        <v>104</v>
      </c>
      <c r="AH1960" s="1">
        <v>4</v>
      </c>
      <c r="AI1960" s="1" t="s">
        <v>104</v>
      </c>
      <c r="AJ1960" s="1" t="s">
        <v>104</v>
      </c>
      <c r="AK1960" s="1" t="s">
        <v>104</v>
      </c>
      <c r="AL1960" s="1" t="s">
        <v>104</v>
      </c>
      <c r="AM1960" s="1" t="s">
        <v>104</v>
      </c>
      <c r="AO1960" s="1">
        <v>4</v>
      </c>
      <c r="AR1960" s="1">
        <v>0</v>
      </c>
      <c r="AS1960" s="1">
        <v>0</v>
      </c>
      <c r="AT1960" s="1">
        <v>0</v>
      </c>
      <c r="AU1960" s="1">
        <v>0</v>
      </c>
      <c r="AV1960" s="1">
        <v>0</v>
      </c>
      <c r="AW1960" s="1">
        <v>0</v>
      </c>
      <c r="AX1960" s="1">
        <v>0</v>
      </c>
      <c r="AY1960" s="1">
        <v>0</v>
      </c>
      <c r="AZ1960" s="1">
        <v>0</v>
      </c>
      <c r="BA1960" s="1">
        <v>0</v>
      </c>
      <c r="BB1960" s="1">
        <v>0</v>
      </c>
      <c r="BC1960" s="1">
        <v>0</v>
      </c>
      <c r="BD1960" s="1">
        <v>0</v>
      </c>
      <c r="BE1960" s="1">
        <v>0</v>
      </c>
      <c r="BF1960" s="1">
        <v>0</v>
      </c>
      <c r="BG1960" s="1">
        <v>0</v>
      </c>
      <c r="BH1960" s="1">
        <v>0</v>
      </c>
      <c r="BI1960" s="1">
        <v>0</v>
      </c>
      <c r="BJ1960" s="1">
        <v>0</v>
      </c>
      <c r="BK1960" s="1">
        <v>0</v>
      </c>
      <c r="BL1960" s="1">
        <v>0</v>
      </c>
      <c r="BM1960" s="1">
        <v>0</v>
      </c>
      <c r="BN1960" s="1">
        <v>0</v>
      </c>
      <c r="BO1960" s="1">
        <v>0</v>
      </c>
      <c r="BP1960" s="1">
        <v>0</v>
      </c>
      <c r="BQ1960" s="1" t="s">
        <v>104</v>
      </c>
      <c r="BR1960" s="1">
        <v>2062</v>
      </c>
      <c r="BS1960" s="1" t="s">
        <v>104</v>
      </c>
      <c r="BX1960" s="1">
        <v>0</v>
      </c>
      <c r="BY1960" s="1" t="s">
        <v>104</v>
      </c>
      <c r="BZ1960" s="1" t="s">
        <v>104</v>
      </c>
      <c r="CA1960" s="1" t="s">
        <v>104</v>
      </c>
      <c r="CB1960" s="1" t="s">
        <v>104</v>
      </c>
      <c r="CC1960" s="1" t="s">
        <v>104</v>
      </c>
      <c r="CD1960" s="1" t="s">
        <v>104</v>
      </c>
      <c r="CE1960" s="1" t="s">
        <v>104</v>
      </c>
      <c r="CF1960" s="1" t="s">
        <v>104</v>
      </c>
      <c r="CG1960" s="1" t="s">
        <v>104</v>
      </c>
      <c r="CH1960" s="1" t="s">
        <v>104</v>
      </c>
      <c r="CJ1960" s="1">
        <v>0</v>
      </c>
      <c r="CK1960" s="1">
        <v>0</v>
      </c>
      <c r="CL1960" s="1">
        <v>0</v>
      </c>
      <c r="CM1960" s="1" t="s">
        <v>104</v>
      </c>
    </row>
    <row r="1961" spans="1:91" ht="14.25" customHeight="1" x14ac:dyDescent="0.3">
      <c r="A1961" s="1" t="s">
        <v>10427</v>
      </c>
      <c r="B1961" s="1" t="s">
        <v>137</v>
      </c>
      <c r="E1961" s="1" t="s">
        <v>10428</v>
      </c>
      <c r="F1961" s="1" t="s">
        <v>95</v>
      </c>
      <c r="G1961" s="1" t="s">
        <v>10429</v>
      </c>
      <c r="H1961" s="1">
        <v>0</v>
      </c>
      <c r="I1961" s="1" t="s">
        <v>157</v>
      </c>
      <c r="L1961" s="1" t="s">
        <v>158</v>
      </c>
      <c r="M1961" s="1" t="s">
        <v>111</v>
      </c>
      <c r="N1961" s="1">
        <v>0</v>
      </c>
      <c r="O1961" s="1">
        <v>0</v>
      </c>
      <c r="R1961" s="1" t="s">
        <v>10430</v>
      </c>
      <c r="S1961" s="1" t="s">
        <v>10407</v>
      </c>
      <c r="T1961" s="1">
        <v>1</v>
      </c>
      <c r="U1961" s="1">
        <v>1</v>
      </c>
      <c r="V1961" s="1">
        <v>1</v>
      </c>
      <c r="W1961" s="1">
        <v>0</v>
      </c>
      <c r="X1961" s="1">
        <v>0</v>
      </c>
      <c r="Y1961" s="1" t="s">
        <v>104</v>
      </c>
      <c r="Z1961" s="1" t="s">
        <v>104</v>
      </c>
      <c r="AA1961" s="1">
        <v>3</v>
      </c>
      <c r="AB1961" s="1" t="s">
        <v>104</v>
      </c>
      <c r="AC1961" s="1">
        <v>3</v>
      </c>
      <c r="AD1961" s="1" t="s">
        <v>104</v>
      </c>
      <c r="AE1961" s="1">
        <v>3</v>
      </c>
      <c r="AF1961" s="1" t="s">
        <v>104</v>
      </c>
      <c r="AG1961" s="1" t="s">
        <v>104</v>
      </c>
      <c r="AH1961" s="1" t="s">
        <v>104</v>
      </c>
      <c r="AI1961" s="1" t="s">
        <v>104</v>
      </c>
      <c r="AJ1961" s="1">
        <v>3</v>
      </c>
      <c r="AK1961" s="1">
        <v>3</v>
      </c>
      <c r="AL1961" s="1">
        <v>3</v>
      </c>
      <c r="AM1961" s="1" t="s">
        <v>104</v>
      </c>
      <c r="AO1961" s="1">
        <v>3</v>
      </c>
      <c r="AR1961" s="1">
        <v>0</v>
      </c>
      <c r="AS1961" s="1">
        <v>0</v>
      </c>
      <c r="AT1961" s="1">
        <v>0</v>
      </c>
      <c r="AU1961" s="1">
        <v>0</v>
      </c>
      <c r="AV1961" s="1">
        <v>0</v>
      </c>
      <c r="AW1961" s="1">
        <v>0</v>
      </c>
      <c r="AX1961" s="1">
        <v>0</v>
      </c>
      <c r="AY1961" s="1">
        <v>0</v>
      </c>
      <c r="AZ1961" s="1">
        <v>0</v>
      </c>
      <c r="BA1961" s="1">
        <v>0</v>
      </c>
      <c r="BB1961" s="1">
        <v>0</v>
      </c>
      <c r="BC1961" s="1">
        <v>0</v>
      </c>
      <c r="BD1961" s="1">
        <v>0</v>
      </c>
      <c r="BE1961" s="1">
        <v>0</v>
      </c>
      <c r="BF1961" s="1">
        <v>0</v>
      </c>
      <c r="BG1961" s="1">
        <v>0</v>
      </c>
      <c r="BH1961" s="1">
        <v>0</v>
      </c>
      <c r="BI1961" s="1">
        <v>0</v>
      </c>
      <c r="BJ1961" s="1">
        <v>0</v>
      </c>
      <c r="BK1961" s="1">
        <v>0</v>
      </c>
      <c r="BL1961" s="1">
        <v>0</v>
      </c>
      <c r="BM1961" s="1">
        <v>0</v>
      </c>
      <c r="BN1961" s="1">
        <v>0</v>
      </c>
      <c r="BO1961" s="1">
        <v>0</v>
      </c>
      <c r="BP1961" s="1">
        <v>0</v>
      </c>
      <c r="BQ1961" s="1" t="s">
        <v>104</v>
      </c>
      <c r="BR1961" s="1">
        <v>2063</v>
      </c>
      <c r="BS1961" s="1" t="s">
        <v>104</v>
      </c>
      <c r="BX1961" s="1">
        <v>0</v>
      </c>
      <c r="BY1961" s="1">
        <v>3</v>
      </c>
      <c r="BZ1961" s="1" t="s">
        <v>104</v>
      </c>
      <c r="CA1961" s="1" t="s">
        <v>104</v>
      </c>
      <c r="CB1961" s="1" t="s">
        <v>104</v>
      </c>
      <c r="CC1961" s="1" t="s">
        <v>104</v>
      </c>
      <c r="CD1961" s="1" t="s">
        <v>104</v>
      </c>
      <c r="CE1961" s="1" t="s">
        <v>104</v>
      </c>
      <c r="CF1961" s="1" t="s">
        <v>104</v>
      </c>
      <c r="CG1961" s="1" t="s">
        <v>104</v>
      </c>
      <c r="CH1961" s="1">
        <v>3</v>
      </c>
      <c r="CJ1961" s="1">
        <v>0</v>
      </c>
      <c r="CK1961" s="1">
        <v>0</v>
      </c>
      <c r="CL1961" s="1">
        <v>0</v>
      </c>
      <c r="CM1961" s="1" t="s">
        <v>104</v>
      </c>
    </row>
    <row r="1962" spans="1:91" ht="14.25" customHeight="1" x14ac:dyDescent="0.3">
      <c r="A1962" s="1" t="s">
        <v>10431</v>
      </c>
      <c r="B1962" s="1" t="s">
        <v>162</v>
      </c>
      <c r="E1962" s="1" t="s">
        <v>10432</v>
      </c>
      <c r="F1962" s="1" t="s">
        <v>95</v>
      </c>
      <c r="G1962" s="1" t="s">
        <v>127</v>
      </c>
      <c r="H1962" s="1">
        <v>0</v>
      </c>
      <c r="I1962" s="1" t="s">
        <v>117</v>
      </c>
      <c r="L1962" s="1" t="s">
        <v>541</v>
      </c>
      <c r="M1962" s="1" t="s">
        <v>111</v>
      </c>
      <c r="N1962" s="1">
        <v>0</v>
      </c>
      <c r="O1962" s="1">
        <v>0</v>
      </c>
      <c r="P1962" s="1" t="s">
        <v>1058</v>
      </c>
      <c r="Q1962" s="1" t="s">
        <v>131</v>
      </c>
      <c r="R1962" s="1" t="s">
        <v>10433</v>
      </c>
      <c r="S1962" s="1" t="s">
        <v>10434</v>
      </c>
      <c r="T1962" s="1">
        <v>1</v>
      </c>
      <c r="U1962" s="1">
        <v>1</v>
      </c>
      <c r="V1962" s="1">
        <v>0</v>
      </c>
      <c r="W1962" s="1">
        <v>0</v>
      </c>
      <c r="X1962" s="1">
        <v>1</v>
      </c>
      <c r="Y1962" s="1" t="s">
        <v>104</v>
      </c>
      <c r="Z1962" s="1" t="s">
        <v>104</v>
      </c>
      <c r="AA1962" s="1">
        <v>3</v>
      </c>
      <c r="AB1962" s="1" t="s">
        <v>104</v>
      </c>
      <c r="AC1962" s="1" t="s">
        <v>104</v>
      </c>
      <c r="AD1962" s="1" t="s">
        <v>104</v>
      </c>
      <c r="AE1962" s="1">
        <v>3</v>
      </c>
      <c r="AF1962" s="1" t="s">
        <v>104</v>
      </c>
      <c r="AG1962" s="1" t="s">
        <v>104</v>
      </c>
      <c r="AH1962" s="1" t="s">
        <v>104</v>
      </c>
      <c r="AI1962" s="1">
        <v>3</v>
      </c>
      <c r="AJ1962" s="1">
        <v>3</v>
      </c>
      <c r="AK1962" s="1" t="s">
        <v>104</v>
      </c>
      <c r="AL1962" s="1" t="s">
        <v>104</v>
      </c>
      <c r="AM1962" s="1" t="s">
        <v>104</v>
      </c>
      <c r="AO1962" s="1">
        <v>3</v>
      </c>
      <c r="AR1962" s="1">
        <v>0</v>
      </c>
      <c r="AS1962" s="1">
        <v>0</v>
      </c>
      <c r="AT1962" s="1">
        <v>0</v>
      </c>
      <c r="AU1962" s="1">
        <v>0</v>
      </c>
      <c r="AV1962" s="1">
        <v>0</v>
      </c>
      <c r="AW1962" s="1">
        <v>0</v>
      </c>
      <c r="AX1962" s="1">
        <v>0</v>
      </c>
      <c r="AY1962" s="1">
        <v>0</v>
      </c>
      <c r="AZ1962" s="1">
        <v>0</v>
      </c>
      <c r="BA1962" s="1">
        <v>0</v>
      </c>
      <c r="BB1962" s="1">
        <v>0</v>
      </c>
      <c r="BC1962" s="1">
        <v>0</v>
      </c>
      <c r="BD1962" s="1">
        <v>0</v>
      </c>
      <c r="BE1962" s="1">
        <v>0</v>
      </c>
      <c r="BF1962" s="1">
        <v>0</v>
      </c>
      <c r="BG1962" s="1">
        <v>0</v>
      </c>
      <c r="BH1962" s="1">
        <v>0</v>
      </c>
      <c r="BI1962" s="1">
        <v>0</v>
      </c>
      <c r="BJ1962" s="1">
        <v>0</v>
      </c>
      <c r="BK1962" s="1">
        <v>0</v>
      </c>
      <c r="BL1962" s="1">
        <v>0</v>
      </c>
      <c r="BM1962" s="1">
        <v>0</v>
      </c>
      <c r="BN1962" s="1">
        <v>0</v>
      </c>
      <c r="BO1962" s="1">
        <v>0</v>
      </c>
      <c r="BP1962" s="1">
        <v>0</v>
      </c>
      <c r="BQ1962" s="1" t="s">
        <v>104</v>
      </c>
      <c r="BR1962" s="1">
        <v>2064</v>
      </c>
      <c r="BS1962" s="1" t="s">
        <v>104</v>
      </c>
      <c r="BX1962" s="1">
        <v>0</v>
      </c>
      <c r="BY1962" s="1" t="s">
        <v>104</v>
      </c>
      <c r="BZ1962" s="1" t="s">
        <v>104</v>
      </c>
      <c r="CA1962" s="1" t="s">
        <v>104</v>
      </c>
      <c r="CB1962" s="1" t="s">
        <v>104</v>
      </c>
      <c r="CC1962" s="1" t="s">
        <v>104</v>
      </c>
      <c r="CD1962" s="1" t="s">
        <v>104</v>
      </c>
      <c r="CE1962" s="1" t="s">
        <v>104</v>
      </c>
      <c r="CF1962" s="1" t="s">
        <v>104</v>
      </c>
      <c r="CG1962" s="1" t="s">
        <v>104</v>
      </c>
      <c r="CH1962" s="1" t="s">
        <v>104</v>
      </c>
      <c r="CJ1962" s="1">
        <v>0</v>
      </c>
      <c r="CK1962" s="1">
        <v>0</v>
      </c>
      <c r="CL1962" s="1">
        <v>0</v>
      </c>
      <c r="CM1962" s="1" t="s">
        <v>104</v>
      </c>
    </row>
    <row r="1963" spans="1:91" ht="14.25" customHeight="1" x14ac:dyDescent="0.3">
      <c r="A1963" s="1" t="s">
        <v>10435</v>
      </c>
      <c r="B1963" s="1" t="s">
        <v>92</v>
      </c>
      <c r="C1963" s="1" t="s">
        <v>93</v>
      </c>
      <c r="E1963" s="1" t="s">
        <v>10436</v>
      </c>
      <c r="F1963" s="1" t="s">
        <v>95</v>
      </c>
      <c r="G1963" s="1" t="s">
        <v>116</v>
      </c>
      <c r="H1963" s="1">
        <v>0</v>
      </c>
      <c r="I1963" s="1" t="s">
        <v>157</v>
      </c>
      <c r="L1963" s="1" t="s">
        <v>158</v>
      </c>
      <c r="M1963" s="1" t="s">
        <v>2330</v>
      </c>
      <c r="N1963" s="1">
        <v>0</v>
      </c>
      <c r="O1963" s="1">
        <v>0</v>
      </c>
      <c r="R1963" s="1" t="s">
        <v>10437</v>
      </c>
      <c r="S1963" s="1" t="s">
        <v>10434</v>
      </c>
      <c r="T1963" s="1">
        <v>1</v>
      </c>
      <c r="U1963" s="1">
        <v>1</v>
      </c>
      <c r="V1963" s="1">
        <v>0</v>
      </c>
      <c r="W1963" s="1">
        <v>0</v>
      </c>
      <c r="X1963" s="1">
        <v>0</v>
      </c>
      <c r="Y1963" s="1">
        <v>2</v>
      </c>
      <c r="Z1963" s="1">
        <v>2</v>
      </c>
      <c r="AA1963" s="1" t="s">
        <v>104</v>
      </c>
      <c r="AB1963" s="1" t="s">
        <v>104</v>
      </c>
      <c r="AC1963" s="1" t="s">
        <v>104</v>
      </c>
      <c r="AD1963" s="1" t="s">
        <v>104</v>
      </c>
      <c r="AE1963" s="1">
        <v>2</v>
      </c>
      <c r="AF1963" s="1" t="s">
        <v>104</v>
      </c>
      <c r="AG1963" s="1">
        <v>2</v>
      </c>
      <c r="AH1963" s="1" t="s">
        <v>104</v>
      </c>
      <c r="AI1963" s="1" t="s">
        <v>104</v>
      </c>
      <c r="AJ1963" s="1" t="s">
        <v>104</v>
      </c>
      <c r="AK1963" s="1">
        <v>2</v>
      </c>
      <c r="AL1963" s="1">
        <v>1</v>
      </c>
      <c r="AM1963" s="1" t="s">
        <v>104</v>
      </c>
      <c r="AO1963" s="1">
        <v>2</v>
      </c>
      <c r="AR1963" s="1">
        <v>0</v>
      </c>
      <c r="AS1963" s="1">
        <v>0</v>
      </c>
      <c r="AT1963" s="1">
        <v>0</v>
      </c>
      <c r="AU1963" s="1">
        <v>0</v>
      </c>
      <c r="AV1963" s="1">
        <v>0</v>
      </c>
      <c r="AW1963" s="1">
        <v>0</v>
      </c>
      <c r="AX1963" s="1">
        <v>0</v>
      </c>
      <c r="AY1963" s="1">
        <v>0</v>
      </c>
      <c r="AZ1963" s="1">
        <v>0</v>
      </c>
      <c r="BA1963" s="1">
        <v>0</v>
      </c>
      <c r="BB1963" s="1">
        <v>0</v>
      </c>
      <c r="BC1963" s="1">
        <v>0</v>
      </c>
      <c r="BD1963" s="1">
        <v>0</v>
      </c>
      <c r="BE1963" s="1">
        <v>0</v>
      </c>
      <c r="BF1963" s="1">
        <v>0</v>
      </c>
      <c r="BG1963" s="1">
        <v>0</v>
      </c>
      <c r="BH1963" s="1">
        <v>0</v>
      </c>
      <c r="BI1963" s="1">
        <v>0</v>
      </c>
      <c r="BJ1963" s="1">
        <v>0</v>
      </c>
      <c r="BK1963" s="1">
        <v>0</v>
      </c>
      <c r="BL1963" s="1">
        <v>0</v>
      </c>
      <c r="BM1963" s="1">
        <v>0</v>
      </c>
      <c r="BN1963" s="1">
        <v>0</v>
      </c>
      <c r="BO1963" s="1">
        <v>0</v>
      </c>
      <c r="BP1963" s="1">
        <v>0</v>
      </c>
      <c r="BQ1963" s="1" t="s">
        <v>104</v>
      </c>
      <c r="BR1963" s="1">
        <v>2065</v>
      </c>
      <c r="BS1963" s="1" t="s">
        <v>104</v>
      </c>
      <c r="BX1963" s="1">
        <v>0</v>
      </c>
      <c r="BY1963" s="1" t="s">
        <v>104</v>
      </c>
      <c r="BZ1963" s="1" t="s">
        <v>104</v>
      </c>
      <c r="CA1963" s="1" t="s">
        <v>104</v>
      </c>
      <c r="CB1963" s="1" t="s">
        <v>104</v>
      </c>
      <c r="CC1963" s="1" t="s">
        <v>104</v>
      </c>
      <c r="CD1963" s="1" t="s">
        <v>104</v>
      </c>
      <c r="CE1963" s="1" t="s">
        <v>104</v>
      </c>
      <c r="CF1963" s="1" t="s">
        <v>104</v>
      </c>
      <c r="CG1963" s="1" t="s">
        <v>104</v>
      </c>
      <c r="CH1963" s="1" t="s">
        <v>104</v>
      </c>
      <c r="CJ1963" s="1">
        <v>0</v>
      </c>
      <c r="CK1963" s="1">
        <v>0</v>
      </c>
      <c r="CL1963" s="1">
        <v>0</v>
      </c>
      <c r="CM1963" s="1">
        <v>2</v>
      </c>
    </row>
    <row r="1964" spans="1:91" ht="14.25" customHeight="1" x14ac:dyDescent="0.3">
      <c r="A1964" s="1" t="s">
        <v>10438</v>
      </c>
      <c r="B1964" s="1" t="s">
        <v>507</v>
      </c>
      <c r="C1964" s="1" t="s">
        <v>1767</v>
      </c>
      <c r="E1964" s="1" t="s">
        <v>10439</v>
      </c>
      <c r="F1964" s="1" t="s">
        <v>4934</v>
      </c>
      <c r="G1964" s="1" t="s">
        <v>116</v>
      </c>
      <c r="H1964" s="1">
        <v>0</v>
      </c>
      <c r="I1964" s="1" t="s">
        <v>4220</v>
      </c>
      <c r="K1964" s="1" t="s">
        <v>10440</v>
      </c>
      <c r="M1964" s="1" t="s">
        <v>119</v>
      </c>
      <c r="N1964" s="1">
        <v>0</v>
      </c>
      <c r="O1964" s="1">
        <v>0</v>
      </c>
      <c r="P1964" s="1" t="s">
        <v>211</v>
      </c>
      <c r="Q1964" s="1" t="s">
        <v>184</v>
      </c>
      <c r="R1964" s="1" t="s">
        <v>10441</v>
      </c>
      <c r="S1964" s="1" t="s">
        <v>10434</v>
      </c>
      <c r="T1964" s="1">
        <v>1</v>
      </c>
      <c r="U1964" s="1">
        <v>1</v>
      </c>
      <c r="V1964" s="1">
        <v>0</v>
      </c>
      <c r="W1964" s="1">
        <v>0</v>
      </c>
      <c r="X1964" s="1">
        <v>0</v>
      </c>
      <c r="Y1964" s="1">
        <v>1</v>
      </c>
      <c r="Z1964" s="1">
        <v>1</v>
      </c>
      <c r="AA1964" s="1" t="s">
        <v>104</v>
      </c>
      <c r="AB1964" s="1" t="s">
        <v>104</v>
      </c>
      <c r="AC1964" s="1" t="s">
        <v>104</v>
      </c>
      <c r="AD1964" s="1">
        <v>1</v>
      </c>
      <c r="AE1964" s="1" t="s">
        <v>104</v>
      </c>
      <c r="AF1964" s="1" t="s">
        <v>104</v>
      </c>
      <c r="AG1964" s="1" t="s">
        <v>104</v>
      </c>
      <c r="AH1964" s="1">
        <v>1</v>
      </c>
      <c r="AI1964" s="1" t="s">
        <v>104</v>
      </c>
      <c r="AJ1964" s="1" t="s">
        <v>104</v>
      </c>
      <c r="AK1964" s="1">
        <v>1</v>
      </c>
      <c r="AL1964" s="1">
        <v>1</v>
      </c>
      <c r="AM1964" s="1" t="s">
        <v>104</v>
      </c>
      <c r="AO1964" s="1">
        <v>1</v>
      </c>
      <c r="AR1964" s="1">
        <v>0</v>
      </c>
      <c r="AS1964" s="1">
        <v>0</v>
      </c>
      <c r="AT1964" s="1">
        <v>0</v>
      </c>
      <c r="AU1964" s="1">
        <v>0</v>
      </c>
      <c r="AV1964" s="1">
        <v>0</v>
      </c>
      <c r="AW1964" s="1">
        <v>0</v>
      </c>
      <c r="AX1964" s="1">
        <v>0</v>
      </c>
      <c r="AY1964" s="1">
        <v>0</v>
      </c>
      <c r="AZ1964" s="1">
        <v>0</v>
      </c>
      <c r="BA1964" s="1">
        <v>0</v>
      </c>
      <c r="BB1964" s="1">
        <v>0</v>
      </c>
      <c r="BC1964" s="1">
        <v>0</v>
      </c>
      <c r="BD1964" s="1">
        <v>0</v>
      </c>
      <c r="BE1964" s="1">
        <v>0</v>
      </c>
      <c r="BF1964" s="1">
        <v>0</v>
      </c>
      <c r="BG1964" s="1">
        <v>0</v>
      </c>
      <c r="BH1964" s="1">
        <v>0</v>
      </c>
      <c r="BI1964" s="1">
        <v>0</v>
      </c>
      <c r="BJ1964" s="1">
        <v>0</v>
      </c>
      <c r="BK1964" s="1">
        <v>0</v>
      </c>
      <c r="BL1964" s="1">
        <v>0</v>
      </c>
      <c r="BM1964" s="1">
        <v>0</v>
      </c>
      <c r="BN1964" s="1">
        <v>0</v>
      </c>
      <c r="BO1964" s="1">
        <v>0</v>
      </c>
      <c r="BP1964" s="1">
        <v>0</v>
      </c>
      <c r="BQ1964" s="1" t="s">
        <v>104</v>
      </c>
      <c r="BR1964" s="1">
        <v>2066</v>
      </c>
      <c r="BS1964" s="1" t="s">
        <v>104</v>
      </c>
      <c r="BX1964" s="1">
        <v>0</v>
      </c>
      <c r="BY1964" s="1" t="s">
        <v>104</v>
      </c>
      <c r="BZ1964" s="1">
        <v>1</v>
      </c>
      <c r="CA1964" s="1" t="s">
        <v>104</v>
      </c>
      <c r="CB1964" s="1" t="s">
        <v>104</v>
      </c>
      <c r="CC1964" s="1" t="s">
        <v>104</v>
      </c>
      <c r="CD1964" s="1" t="s">
        <v>104</v>
      </c>
      <c r="CE1964" s="1" t="s">
        <v>104</v>
      </c>
      <c r="CF1964" s="1" t="s">
        <v>104</v>
      </c>
      <c r="CG1964" s="1" t="s">
        <v>104</v>
      </c>
      <c r="CH1964" s="1" t="s">
        <v>104</v>
      </c>
      <c r="CJ1964" s="1">
        <v>0</v>
      </c>
      <c r="CK1964" s="1">
        <v>0</v>
      </c>
      <c r="CL1964" s="1">
        <v>0</v>
      </c>
      <c r="CM1964" s="1" t="s">
        <v>104</v>
      </c>
    </row>
    <row r="1965" spans="1:91" ht="14.25" customHeight="1" x14ac:dyDescent="0.3">
      <c r="A1965" s="1" t="s">
        <v>10442</v>
      </c>
      <c r="B1965" s="1" t="s">
        <v>137</v>
      </c>
      <c r="E1965" s="1" t="s">
        <v>10443</v>
      </c>
      <c r="F1965" s="1" t="s">
        <v>4934</v>
      </c>
      <c r="G1965" s="1" t="s">
        <v>116</v>
      </c>
      <c r="H1965" s="1">
        <v>0</v>
      </c>
      <c r="I1965" s="1" t="s">
        <v>157</v>
      </c>
      <c r="L1965" s="1" t="s">
        <v>158</v>
      </c>
      <c r="M1965" s="1" t="s">
        <v>255</v>
      </c>
      <c r="N1965" s="1">
        <v>0</v>
      </c>
      <c r="O1965" s="1">
        <v>0</v>
      </c>
      <c r="R1965" s="1" t="s">
        <v>10444</v>
      </c>
      <c r="S1965" s="1" t="s">
        <v>10434</v>
      </c>
      <c r="T1965" s="1">
        <v>1</v>
      </c>
      <c r="U1965" s="1">
        <v>1</v>
      </c>
      <c r="V1965" s="1">
        <v>0</v>
      </c>
      <c r="W1965" s="1">
        <v>0</v>
      </c>
      <c r="X1965" s="1">
        <v>0</v>
      </c>
      <c r="Y1965" s="1">
        <v>6</v>
      </c>
      <c r="Z1965" s="1">
        <v>6</v>
      </c>
      <c r="AA1965" s="1">
        <v>6</v>
      </c>
      <c r="AB1965" s="1" t="s">
        <v>104</v>
      </c>
      <c r="AC1965" s="1" t="s">
        <v>104</v>
      </c>
      <c r="AD1965" s="1" t="s">
        <v>104</v>
      </c>
      <c r="AE1965" s="1">
        <v>4</v>
      </c>
      <c r="AF1965" s="1" t="s">
        <v>104</v>
      </c>
      <c r="AG1965" s="1" t="s">
        <v>104</v>
      </c>
      <c r="AH1965" s="1" t="s">
        <v>104</v>
      </c>
      <c r="AI1965" s="1">
        <v>5</v>
      </c>
      <c r="AJ1965" s="1">
        <v>6</v>
      </c>
      <c r="AK1965" s="1">
        <v>4</v>
      </c>
      <c r="AL1965" s="1">
        <v>5</v>
      </c>
      <c r="AM1965" s="1" t="s">
        <v>104</v>
      </c>
      <c r="AO1965" s="1">
        <v>6</v>
      </c>
      <c r="AR1965" s="1">
        <v>0</v>
      </c>
      <c r="AS1965" s="1">
        <v>0</v>
      </c>
      <c r="AT1965" s="1">
        <v>0</v>
      </c>
      <c r="AU1965" s="1">
        <v>0</v>
      </c>
      <c r="AV1965" s="1">
        <v>0</v>
      </c>
      <c r="AW1965" s="1">
        <v>0</v>
      </c>
      <c r="AX1965" s="1">
        <v>0</v>
      </c>
      <c r="AY1965" s="1">
        <v>0</v>
      </c>
      <c r="AZ1965" s="1">
        <v>0</v>
      </c>
      <c r="BA1965" s="1">
        <v>0</v>
      </c>
      <c r="BB1965" s="1">
        <v>0</v>
      </c>
      <c r="BC1965" s="1">
        <v>0</v>
      </c>
      <c r="BD1965" s="1">
        <v>0</v>
      </c>
      <c r="BE1965" s="1">
        <v>0</v>
      </c>
      <c r="BF1965" s="1">
        <v>0</v>
      </c>
      <c r="BG1965" s="1">
        <v>0</v>
      </c>
      <c r="BH1965" s="1">
        <v>0</v>
      </c>
      <c r="BI1965" s="1">
        <v>0</v>
      </c>
      <c r="BJ1965" s="1">
        <v>0</v>
      </c>
      <c r="BK1965" s="1">
        <v>0</v>
      </c>
      <c r="BL1965" s="1">
        <v>0</v>
      </c>
      <c r="BM1965" s="1">
        <v>0</v>
      </c>
      <c r="BN1965" s="1">
        <v>0</v>
      </c>
      <c r="BO1965" s="1">
        <v>0</v>
      </c>
      <c r="BP1965" s="1">
        <v>0</v>
      </c>
      <c r="BQ1965" s="1" t="s">
        <v>104</v>
      </c>
      <c r="BR1965" s="1">
        <v>2067</v>
      </c>
      <c r="BS1965" s="1" t="s">
        <v>104</v>
      </c>
      <c r="BX1965" s="1">
        <v>0</v>
      </c>
      <c r="BY1965" s="1">
        <v>4</v>
      </c>
      <c r="BZ1965" s="1" t="s">
        <v>104</v>
      </c>
      <c r="CA1965" s="1" t="s">
        <v>104</v>
      </c>
      <c r="CB1965" s="1" t="s">
        <v>104</v>
      </c>
      <c r="CC1965" s="1" t="s">
        <v>104</v>
      </c>
      <c r="CD1965" s="1" t="s">
        <v>104</v>
      </c>
      <c r="CE1965" s="1" t="s">
        <v>104</v>
      </c>
      <c r="CF1965" s="1" t="s">
        <v>104</v>
      </c>
      <c r="CG1965" s="1" t="s">
        <v>104</v>
      </c>
      <c r="CH1965" s="1" t="s">
        <v>104</v>
      </c>
      <c r="CJ1965" s="1">
        <v>0</v>
      </c>
      <c r="CK1965" s="1">
        <v>0</v>
      </c>
      <c r="CL1965" s="1">
        <v>0</v>
      </c>
      <c r="CM1965" s="1" t="s">
        <v>104</v>
      </c>
    </row>
    <row r="1966" spans="1:91" ht="14.25" customHeight="1" x14ac:dyDescent="0.3">
      <c r="A1966" s="1" t="s">
        <v>10445</v>
      </c>
      <c r="B1966" s="1" t="s">
        <v>434</v>
      </c>
      <c r="D1966" s="1" t="s">
        <v>56</v>
      </c>
      <c r="E1966" s="1" t="s">
        <v>10446</v>
      </c>
      <c r="F1966" s="1" t="s">
        <v>95</v>
      </c>
      <c r="G1966" s="1" t="s">
        <v>116</v>
      </c>
      <c r="H1966" s="1">
        <v>0</v>
      </c>
      <c r="I1966" s="1" t="s">
        <v>128</v>
      </c>
      <c r="L1966" s="1" t="s">
        <v>2037</v>
      </c>
      <c r="M1966" s="1" t="s">
        <v>4332</v>
      </c>
      <c r="N1966" s="1">
        <v>0</v>
      </c>
      <c r="O1966" s="1">
        <v>0</v>
      </c>
      <c r="P1966" s="1" t="s">
        <v>100</v>
      </c>
      <c r="Q1966" s="1" t="s">
        <v>6424</v>
      </c>
      <c r="R1966" s="1" t="s">
        <v>10447</v>
      </c>
      <c r="S1966" s="1" t="s">
        <v>10434</v>
      </c>
      <c r="T1966" s="1">
        <v>1</v>
      </c>
      <c r="U1966" s="1">
        <v>1</v>
      </c>
      <c r="V1966" s="1">
        <v>0</v>
      </c>
      <c r="W1966" s="1">
        <v>0</v>
      </c>
      <c r="X1966" s="1">
        <v>0</v>
      </c>
      <c r="Y1966" s="1">
        <v>2</v>
      </c>
      <c r="Z1966" s="1">
        <v>2</v>
      </c>
      <c r="AA1966" s="1" t="s">
        <v>104</v>
      </c>
      <c r="AB1966" s="1">
        <v>2</v>
      </c>
      <c r="AC1966" s="1" t="s">
        <v>104</v>
      </c>
      <c r="AD1966" s="1" t="s">
        <v>104</v>
      </c>
      <c r="AE1966" s="1" t="s">
        <v>104</v>
      </c>
      <c r="AF1966" s="1">
        <v>2</v>
      </c>
      <c r="AG1966" s="1" t="s">
        <v>104</v>
      </c>
      <c r="AH1966" s="1" t="s">
        <v>104</v>
      </c>
      <c r="AI1966" s="1" t="s">
        <v>104</v>
      </c>
      <c r="AJ1966" s="1" t="s">
        <v>104</v>
      </c>
      <c r="AK1966" s="1" t="s">
        <v>104</v>
      </c>
      <c r="AL1966" s="1">
        <v>2</v>
      </c>
      <c r="AM1966" s="1" t="s">
        <v>104</v>
      </c>
      <c r="AO1966" s="1">
        <v>2</v>
      </c>
      <c r="AR1966" s="1">
        <v>0</v>
      </c>
      <c r="AS1966" s="1">
        <v>0</v>
      </c>
      <c r="AT1966" s="1">
        <v>0</v>
      </c>
      <c r="AU1966" s="1">
        <v>0</v>
      </c>
      <c r="AV1966" s="1">
        <v>0</v>
      </c>
      <c r="AW1966" s="1">
        <v>0</v>
      </c>
      <c r="AX1966" s="1">
        <v>0</v>
      </c>
      <c r="AY1966" s="1">
        <v>0</v>
      </c>
      <c r="AZ1966" s="1">
        <v>0</v>
      </c>
      <c r="BA1966" s="1">
        <v>0</v>
      </c>
      <c r="BB1966" s="1">
        <v>0</v>
      </c>
      <c r="BC1966" s="1">
        <v>0</v>
      </c>
      <c r="BD1966" s="1">
        <v>0</v>
      </c>
      <c r="BE1966" s="1">
        <v>1</v>
      </c>
      <c r="BF1966" s="1">
        <v>0</v>
      </c>
      <c r="BG1966" s="1">
        <v>0</v>
      </c>
      <c r="BH1966" s="1">
        <v>0</v>
      </c>
      <c r="BI1966" s="1">
        <v>0</v>
      </c>
      <c r="BJ1966" s="1">
        <v>0</v>
      </c>
      <c r="BK1966" s="1">
        <v>0</v>
      </c>
      <c r="BL1966" s="1">
        <v>0</v>
      </c>
      <c r="BM1966" s="1">
        <v>0</v>
      </c>
      <c r="BN1966" s="1">
        <v>0</v>
      </c>
      <c r="BO1966" s="1">
        <v>0</v>
      </c>
      <c r="BP1966" s="1">
        <v>0</v>
      </c>
      <c r="BQ1966" s="1" t="s">
        <v>104</v>
      </c>
      <c r="BR1966" s="1">
        <v>2068</v>
      </c>
      <c r="BS1966" s="1" t="s">
        <v>104</v>
      </c>
      <c r="BX1966" s="1">
        <v>0</v>
      </c>
      <c r="BY1966" s="1">
        <v>2</v>
      </c>
      <c r="BZ1966" s="1" t="s">
        <v>104</v>
      </c>
      <c r="CA1966" s="1" t="s">
        <v>104</v>
      </c>
      <c r="CB1966" s="1" t="s">
        <v>104</v>
      </c>
      <c r="CC1966" s="1" t="s">
        <v>104</v>
      </c>
      <c r="CD1966" s="1" t="s">
        <v>104</v>
      </c>
      <c r="CE1966" s="1" t="s">
        <v>104</v>
      </c>
      <c r="CF1966" s="1" t="s">
        <v>104</v>
      </c>
      <c r="CG1966" s="1" t="s">
        <v>104</v>
      </c>
      <c r="CH1966" s="1">
        <v>2</v>
      </c>
      <c r="CJ1966" s="1">
        <v>0</v>
      </c>
      <c r="CK1966" s="1">
        <v>0</v>
      </c>
      <c r="CL1966" s="1">
        <v>0</v>
      </c>
      <c r="CM1966" s="1" t="s">
        <v>104</v>
      </c>
    </row>
    <row r="1967" spans="1:91" ht="14.25" customHeight="1" x14ac:dyDescent="0.3">
      <c r="A1967" s="1" t="s">
        <v>10448</v>
      </c>
      <c r="B1967" s="1" t="s">
        <v>92</v>
      </c>
      <c r="C1967" s="1" t="s">
        <v>93</v>
      </c>
      <c r="D1967" s="1" t="s">
        <v>57</v>
      </c>
      <c r="E1967" s="1" t="s">
        <v>10449</v>
      </c>
      <c r="F1967" s="1" t="s">
        <v>95</v>
      </c>
      <c r="G1967" s="1" t="s">
        <v>116</v>
      </c>
      <c r="H1967" s="1">
        <v>0</v>
      </c>
      <c r="I1967" s="1" t="s">
        <v>705</v>
      </c>
      <c r="K1967" s="1" t="s">
        <v>10450</v>
      </c>
      <c r="M1967" s="1" t="s">
        <v>2330</v>
      </c>
      <c r="N1967" s="1">
        <v>0</v>
      </c>
      <c r="O1967" s="1">
        <v>0</v>
      </c>
      <c r="R1967" s="1" t="s">
        <v>10451</v>
      </c>
      <c r="S1967" s="1" t="s">
        <v>10434</v>
      </c>
      <c r="T1967" s="1">
        <v>1</v>
      </c>
      <c r="U1967" s="1">
        <v>1</v>
      </c>
      <c r="V1967" s="1">
        <v>0</v>
      </c>
      <c r="W1967" s="1">
        <v>0</v>
      </c>
      <c r="X1967" s="1">
        <v>0</v>
      </c>
      <c r="Y1967" s="1">
        <v>2</v>
      </c>
      <c r="Z1967" s="1">
        <v>2</v>
      </c>
      <c r="AA1967" s="1">
        <v>2</v>
      </c>
      <c r="AB1967" s="1" t="s">
        <v>104</v>
      </c>
      <c r="AC1967" s="1" t="s">
        <v>104</v>
      </c>
      <c r="AD1967" s="1">
        <v>2</v>
      </c>
      <c r="AE1967" s="1" t="s">
        <v>104</v>
      </c>
      <c r="AF1967" s="1" t="s">
        <v>104</v>
      </c>
      <c r="AG1967" s="1" t="s">
        <v>104</v>
      </c>
      <c r="AH1967" s="1" t="s">
        <v>104</v>
      </c>
      <c r="AI1967" s="1">
        <v>2</v>
      </c>
      <c r="AJ1967" s="1">
        <v>2</v>
      </c>
      <c r="AK1967" s="1" t="s">
        <v>104</v>
      </c>
      <c r="AL1967" s="1">
        <v>2</v>
      </c>
      <c r="AM1967" s="1" t="s">
        <v>104</v>
      </c>
      <c r="AO1967" s="1">
        <v>2</v>
      </c>
      <c r="AR1967" s="1">
        <v>0</v>
      </c>
      <c r="AS1967" s="1">
        <v>0</v>
      </c>
      <c r="AT1967" s="1">
        <v>0</v>
      </c>
      <c r="AU1967" s="1">
        <v>0</v>
      </c>
      <c r="AV1967" s="1">
        <v>0</v>
      </c>
      <c r="AW1967" s="1">
        <v>0</v>
      </c>
      <c r="AX1967" s="1">
        <v>0</v>
      </c>
      <c r="AY1967" s="1">
        <v>0</v>
      </c>
      <c r="AZ1967" s="1">
        <v>0</v>
      </c>
      <c r="BA1967" s="1">
        <v>0</v>
      </c>
      <c r="BB1967" s="1">
        <v>0</v>
      </c>
      <c r="BC1967" s="1">
        <v>0</v>
      </c>
      <c r="BD1967" s="1">
        <v>0</v>
      </c>
      <c r="BE1967" s="1">
        <v>0</v>
      </c>
      <c r="BF1967" s="1">
        <v>1</v>
      </c>
      <c r="BG1967" s="1">
        <v>0</v>
      </c>
      <c r="BH1967" s="1">
        <v>0</v>
      </c>
      <c r="BI1967" s="1">
        <v>0</v>
      </c>
      <c r="BJ1967" s="1">
        <v>0</v>
      </c>
      <c r="BK1967" s="1">
        <v>0</v>
      </c>
      <c r="BL1967" s="1">
        <v>0</v>
      </c>
      <c r="BM1967" s="1">
        <v>0</v>
      </c>
      <c r="BN1967" s="1">
        <v>0</v>
      </c>
      <c r="BO1967" s="1">
        <v>0</v>
      </c>
      <c r="BP1967" s="1">
        <v>0</v>
      </c>
      <c r="BQ1967" s="1" t="s">
        <v>104</v>
      </c>
      <c r="BR1967" s="1">
        <v>2069</v>
      </c>
      <c r="BS1967" s="1" t="s">
        <v>104</v>
      </c>
      <c r="BX1967" s="1">
        <v>0</v>
      </c>
      <c r="BY1967" s="1">
        <v>2</v>
      </c>
      <c r="BZ1967" s="1" t="s">
        <v>104</v>
      </c>
      <c r="CA1967" s="1" t="s">
        <v>104</v>
      </c>
      <c r="CB1967" s="1" t="s">
        <v>104</v>
      </c>
      <c r="CC1967" s="1" t="s">
        <v>104</v>
      </c>
      <c r="CD1967" s="1" t="s">
        <v>104</v>
      </c>
      <c r="CE1967" s="1" t="s">
        <v>104</v>
      </c>
      <c r="CF1967" s="1" t="s">
        <v>104</v>
      </c>
      <c r="CG1967" s="1" t="s">
        <v>104</v>
      </c>
      <c r="CH1967" s="1" t="s">
        <v>104</v>
      </c>
      <c r="CJ1967" s="1">
        <v>0</v>
      </c>
      <c r="CK1967" s="1">
        <v>0</v>
      </c>
      <c r="CL1967" s="1">
        <v>0</v>
      </c>
      <c r="CM1967" s="1" t="s">
        <v>104</v>
      </c>
    </row>
    <row r="1968" spans="1:91" ht="14.25" customHeight="1" x14ac:dyDescent="0.3">
      <c r="A1968" s="1" t="s">
        <v>10452</v>
      </c>
      <c r="B1968" s="1" t="s">
        <v>216</v>
      </c>
      <c r="D1968" s="1" t="s">
        <v>54</v>
      </c>
      <c r="E1968" s="1" t="s">
        <v>10453</v>
      </c>
      <c r="F1968" s="1" t="s">
        <v>95</v>
      </c>
      <c r="G1968" s="1" t="s">
        <v>127</v>
      </c>
      <c r="H1968" s="1">
        <v>0</v>
      </c>
      <c r="I1968" s="1" t="s">
        <v>128</v>
      </c>
      <c r="L1968" s="1" t="s">
        <v>479</v>
      </c>
      <c r="M1968" s="1" t="s">
        <v>111</v>
      </c>
      <c r="N1968" s="1">
        <v>0</v>
      </c>
      <c r="O1968" s="1">
        <v>0</v>
      </c>
      <c r="P1968" s="1" t="s">
        <v>100</v>
      </c>
      <c r="Q1968" s="1" t="s">
        <v>101</v>
      </c>
      <c r="R1968" s="1" t="s">
        <v>10454</v>
      </c>
      <c r="S1968" s="1" t="s">
        <v>10434</v>
      </c>
      <c r="T1968" s="1">
        <v>1</v>
      </c>
      <c r="U1968" s="1">
        <v>1</v>
      </c>
      <c r="V1968" s="1">
        <v>0</v>
      </c>
      <c r="W1968" s="1">
        <v>0</v>
      </c>
      <c r="X1968" s="1">
        <v>1</v>
      </c>
      <c r="Y1968" s="1" t="s">
        <v>104</v>
      </c>
      <c r="Z1968" s="1" t="s">
        <v>104</v>
      </c>
      <c r="AA1968" s="1">
        <v>3</v>
      </c>
      <c r="AB1968" s="1" t="s">
        <v>104</v>
      </c>
      <c r="AC1968" s="1" t="s">
        <v>104</v>
      </c>
      <c r="AD1968" s="1" t="s">
        <v>104</v>
      </c>
      <c r="AE1968" s="1" t="s">
        <v>104</v>
      </c>
      <c r="AF1968" s="1" t="s">
        <v>104</v>
      </c>
      <c r="AG1968" s="1" t="s">
        <v>104</v>
      </c>
      <c r="AH1968" s="1">
        <v>3</v>
      </c>
      <c r="AI1968" s="1">
        <v>3</v>
      </c>
      <c r="AJ1968" s="1">
        <v>3</v>
      </c>
      <c r="AK1968" s="1">
        <v>2</v>
      </c>
      <c r="AL1968" s="1" t="s">
        <v>104</v>
      </c>
      <c r="AM1968" s="1" t="s">
        <v>104</v>
      </c>
      <c r="AO1968" s="1">
        <v>3</v>
      </c>
      <c r="AR1968" s="1">
        <v>0</v>
      </c>
      <c r="AS1968" s="1">
        <v>0</v>
      </c>
      <c r="AT1968" s="1">
        <v>0</v>
      </c>
      <c r="AU1968" s="1">
        <v>0</v>
      </c>
      <c r="AV1968" s="1">
        <v>0</v>
      </c>
      <c r="AW1968" s="1">
        <v>0</v>
      </c>
      <c r="AX1968" s="1">
        <v>0</v>
      </c>
      <c r="AY1968" s="1">
        <v>0</v>
      </c>
      <c r="AZ1968" s="1">
        <v>0</v>
      </c>
      <c r="BA1968" s="1">
        <v>0</v>
      </c>
      <c r="BB1968" s="1">
        <v>0</v>
      </c>
      <c r="BC1968" s="1">
        <v>1</v>
      </c>
      <c r="BD1968" s="1">
        <v>0</v>
      </c>
      <c r="BE1968" s="1">
        <v>0</v>
      </c>
      <c r="BF1968" s="1">
        <v>0</v>
      </c>
      <c r="BG1968" s="1">
        <v>0</v>
      </c>
      <c r="BH1968" s="1">
        <v>0</v>
      </c>
      <c r="BI1968" s="1">
        <v>0</v>
      </c>
      <c r="BJ1968" s="1">
        <v>0</v>
      </c>
      <c r="BK1968" s="1">
        <v>0</v>
      </c>
      <c r="BL1968" s="1">
        <v>0</v>
      </c>
      <c r="BM1968" s="1">
        <v>0</v>
      </c>
      <c r="BN1968" s="1">
        <v>0</v>
      </c>
      <c r="BO1968" s="1">
        <v>0</v>
      </c>
      <c r="BP1968" s="1">
        <v>0</v>
      </c>
      <c r="BQ1968" s="1" t="s">
        <v>104</v>
      </c>
      <c r="BR1968" s="1">
        <v>2070</v>
      </c>
      <c r="BS1968" s="1" t="s">
        <v>104</v>
      </c>
      <c r="BX1968" s="1">
        <v>0</v>
      </c>
      <c r="BY1968" s="1">
        <v>2</v>
      </c>
      <c r="BZ1968" s="1" t="s">
        <v>104</v>
      </c>
      <c r="CA1968" s="1" t="s">
        <v>104</v>
      </c>
      <c r="CB1968" s="1" t="s">
        <v>104</v>
      </c>
      <c r="CC1968" s="1" t="s">
        <v>104</v>
      </c>
      <c r="CD1968" s="1" t="s">
        <v>104</v>
      </c>
      <c r="CE1968" s="1" t="s">
        <v>104</v>
      </c>
      <c r="CF1968" s="1" t="s">
        <v>104</v>
      </c>
      <c r="CG1968" s="1" t="s">
        <v>104</v>
      </c>
      <c r="CH1968" s="1" t="s">
        <v>104</v>
      </c>
      <c r="CJ1968" s="1">
        <v>0</v>
      </c>
      <c r="CK1968" s="1">
        <v>0</v>
      </c>
      <c r="CL1968" s="1">
        <v>0</v>
      </c>
      <c r="CM1968" s="1" t="s">
        <v>104</v>
      </c>
    </row>
    <row r="1969" spans="1:91" ht="14.25" customHeight="1" x14ac:dyDescent="0.3">
      <c r="A1969" s="1" t="s">
        <v>10455</v>
      </c>
      <c r="B1969" s="1" t="s">
        <v>137</v>
      </c>
      <c r="E1969" s="1" t="s">
        <v>10456</v>
      </c>
      <c r="F1969" s="1" t="s">
        <v>95</v>
      </c>
      <c r="G1969" s="1" t="s">
        <v>10457</v>
      </c>
      <c r="H1969" s="1">
        <v>0</v>
      </c>
      <c r="I1969" s="1" t="s">
        <v>157</v>
      </c>
      <c r="M1969" s="1" t="s">
        <v>4292</v>
      </c>
      <c r="N1969" s="1">
        <v>0</v>
      </c>
      <c r="O1969" s="1">
        <v>0</v>
      </c>
      <c r="R1969" s="1" t="s">
        <v>10458</v>
      </c>
      <c r="S1969" s="1" t="s">
        <v>10434</v>
      </c>
      <c r="T1969" s="1">
        <v>1</v>
      </c>
      <c r="U1969" s="1">
        <v>1</v>
      </c>
      <c r="V1969" s="1">
        <v>1</v>
      </c>
      <c r="W1969" s="1">
        <v>0</v>
      </c>
      <c r="X1969" s="1">
        <v>0</v>
      </c>
      <c r="Y1969" s="1">
        <v>5</v>
      </c>
      <c r="Z1969" s="1">
        <v>5</v>
      </c>
      <c r="AA1969" s="1" t="s">
        <v>104</v>
      </c>
      <c r="AB1969" s="1" t="s">
        <v>104</v>
      </c>
      <c r="AC1969" s="1" t="s">
        <v>104</v>
      </c>
      <c r="AD1969" s="1" t="s">
        <v>104</v>
      </c>
      <c r="AE1969" s="1" t="s">
        <v>104</v>
      </c>
      <c r="AF1969" s="1">
        <v>4</v>
      </c>
      <c r="AG1969" s="1" t="s">
        <v>104</v>
      </c>
      <c r="AH1969" s="1">
        <v>5</v>
      </c>
      <c r="AI1969" s="1" t="s">
        <v>104</v>
      </c>
      <c r="AJ1969" s="1" t="s">
        <v>104</v>
      </c>
      <c r="AK1969" s="1" t="s">
        <v>104</v>
      </c>
      <c r="AL1969" s="1">
        <v>4</v>
      </c>
      <c r="AM1969" s="1" t="s">
        <v>104</v>
      </c>
      <c r="AO1969" s="1">
        <v>5</v>
      </c>
      <c r="AR1969" s="1">
        <v>0</v>
      </c>
      <c r="AS1969" s="1">
        <v>0</v>
      </c>
      <c r="AT1969" s="1">
        <v>0</v>
      </c>
      <c r="AU1969" s="1">
        <v>0</v>
      </c>
      <c r="AV1969" s="1">
        <v>0</v>
      </c>
      <c r="AW1969" s="1">
        <v>0</v>
      </c>
      <c r="AX1969" s="1">
        <v>0</v>
      </c>
      <c r="AY1969" s="1">
        <v>0</v>
      </c>
      <c r="AZ1969" s="1">
        <v>0</v>
      </c>
      <c r="BA1969" s="1">
        <v>0</v>
      </c>
      <c r="BB1969" s="1">
        <v>0</v>
      </c>
      <c r="BC1969" s="1">
        <v>0</v>
      </c>
      <c r="BD1969" s="1">
        <v>0</v>
      </c>
      <c r="BE1969" s="1">
        <v>0</v>
      </c>
      <c r="BF1969" s="1">
        <v>0</v>
      </c>
      <c r="BG1969" s="1">
        <v>0</v>
      </c>
      <c r="BH1969" s="1">
        <v>0</v>
      </c>
      <c r="BI1969" s="1">
        <v>0</v>
      </c>
      <c r="BJ1969" s="1">
        <v>0</v>
      </c>
      <c r="BK1969" s="1">
        <v>0</v>
      </c>
      <c r="BL1969" s="1">
        <v>0</v>
      </c>
      <c r="BM1969" s="1">
        <v>0</v>
      </c>
      <c r="BN1969" s="1">
        <v>0</v>
      </c>
      <c r="BO1969" s="1">
        <v>0</v>
      </c>
      <c r="BP1969" s="1">
        <v>0</v>
      </c>
      <c r="BQ1969" s="1" t="s">
        <v>104</v>
      </c>
      <c r="BR1969" s="1">
        <v>2071</v>
      </c>
      <c r="BS1969" s="1" t="s">
        <v>104</v>
      </c>
      <c r="BX1969" s="1">
        <v>0</v>
      </c>
      <c r="BY1969" s="1" t="s">
        <v>104</v>
      </c>
      <c r="BZ1969" s="1" t="s">
        <v>104</v>
      </c>
      <c r="CA1969" s="1" t="s">
        <v>104</v>
      </c>
      <c r="CB1969" s="1" t="s">
        <v>104</v>
      </c>
      <c r="CC1969" s="1" t="s">
        <v>104</v>
      </c>
      <c r="CD1969" s="1" t="s">
        <v>104</v>
      </c>
      <c r="CE1969" s="1" t="s">
        <v>104</v>
      </c>
      <c r="CF1969" s="1" t="s">
        <v>104</v>
      </c>
      <c r="CG1969" s="1" t="s">
        <v>104</v>
      </c>
      <c r="CH1969" s="1" t="s">
        <v>104</v>
      </c>
      <c r="CJ1969" s="1">
        <v>0</v>
      </c>
      <c r="CK1969" s="1">
        <v>0</v>
      </c>
      <c r="CL1969" s="1">
        <v>0</v>
      </c>
      <c r="CM1969" s="1" t="s">
        <v>104</v>
      </c>
    </row>
    <row r="1970" spans="1:91" ht="14.25" customHeight="1" x14ac:dyDescent="0.3">
      <c r="A1970" s="1" t="s">
        <v>10459</v>
      </c>
      <c r="B1970" s="1" t="s">
        <v>507</v>
      </c>
      <c r="D1970" s="1" t="s">
        <v>10460</v>
      </c>
      <c r="E1970" s="1" t="s">
        <v>10461</v>
      </c>
      <c r="F1970" s="1" t="s">
        <v>95</v>
      </c>
      <c r="G1970" s="1" t="s">
        <v>10462</v>
      </c>
      <c r="H1970" s="1">
        <v>0</v>
      </c>
      <c r="I1970" s="1" t="s">
        <v>128</v>
      </c>
      <c r="L1970" s="1" t="s">
        <v>2037</v>
      </c>
      <c r="M1970" s="1" t="s">
        <v>111</v>
      </c>
      <c r="N1970" s="1">
        <v>0</v>
      </c>
      <c r="O1970" s="1">
        <v>0</v>
      </c>
      <c r="P1970" s="1" t="s">
        <v>100</v>
      </c>
      <c r="Q1970" s="1" t="s">
        <v>184</v>
      </c>
      <c r="R1970" s="1" t="s">
        <v>10463</v>
      </c>
      <c r="S1970" s="1" t="s">
        <v>10434</v>
      </c>
      <c r="T1970" s="1">
        <v>1</v>
      </c>
      <c r="U1970" s="1">
        <v>1</v>
      </c>
      <c r="V1970" s="1">
        <v>1</v>
      </c>
      <c r="W1970" s="1">
        <v>0</v>
      </c>
      <c r="X1970" s="1">
        <v>0</v>
      </c>
      <c r="Y1970" s="1">
        <v>2</v>
      </c>
      <c r="Z1970" s="1">
        <v>2</v>
      </c>
      <c r="AA1970" s="1" t="s">
        <v>104</v>
      </c>
      <c r="AB1970" s="1" t="s">
        <v>104</v>
      </c>
      <c r="AC1970" s="1" t="s">
        <v>104</v>
      </c>
      <c r="AD1970" s="1">
        <v>2</v>
      </c>
      <c r="AE1970" s="1" t="s">
        <v>104</v>
      </c>
      <c r="AF1970" s="1" t="s">
        <v>104</v>
      </c>
      <c r="AG1970" s="1" t="s">
        <v>104</v>
      </c>
      <c r="AH1970" s="1">
        <v>2</v>
      </c>
      <c r="AI1970" s="1" t="s">
        <v>104</v>
      </c>
      <c r="AJ1970" s="1" t="s">
        <v>104</v>
      </c>
      <c r="AK1970" s="1">
        <v>2</v>
      </c>
      <c r="AL1970" s="1">
        <v>2</v>
      </c>
      <c r="AM1970" s="1" t="s">
        <v>104</v>
      </c>
      <c r="AO1970" s="1">
        <v>2</v>
      </c>
      <c r="AR1970" s="1">
        <v>0</v>
      </c>
      <c r="AS1970" s="1">
        <v>0</v>
      </c>
      <c r="AT1970" s="1">
        <v>0</v>
      </c>
      <c r="AU1970" s="1">
        <v>1</v>
      </c>
      <c r="AV1970" s="1">
        <v>0</v>
      </c>
      <c r="AW1970" s="1">
        <v>0</v>
      </c>
      <c r="AX1970" s="1">
        <v>0</v>
      </c>
      <c r="AY1970" s="1">
        <v>0</v>
      </c>
      <c r="AZ1970" s="1">
        <v>0</v>
      </c>
      <c r="BA1970" s="1">
        <v>0</v>
      </c>
      <c r="BB1970" s="1">
        <v>0</v>
      </c>
      <c r="BC1970" s="1">
        <v>0</v>
      </c>
      <c r="BD1970" s="1">
        <v>0</v>
      </c>
      <c r="BE1970" s="1">
        <v>0</v>
      </c>
      <c r="BF1970" s="1">
        <v>0</v>
      </c>
      <c r="BG1970" s="1">
        <v>0</v>
      </c>
      <c r="BH1970" s="1">
        <v>0</v>
      </c>
      <c r="BI1970" s="1">
        <v>0</v>
      </c>
      <c r="BJ1970" s="1">
        <v>0</v>
      </c>
      <c r="BK1970" s="1">
        <v>0</v>
      </c>
      <c r="BL1970" s="1">
        <v>0</v>
      </c>
      <c r="BM1970" s="1">
        <v>0</v>
      </c>
      <c r="BN1970" s="1">
        <v>1</v>
      </c>
      <c r="BO1970" s="1">
        <v>0</v>
      </c>
      <c r="BP1970" s="1">
        <v>0</v>
      </c>
      <c r="BQ1970" s="1" t="s">
        <v>104</v>
      </c>
      <c r="BR1970" s="1">
        <v>2072</v>
      </c>
      <c r="BS1970" s="1" t="s">
        <v>104</v>
      </c>
      <c r="BX1970" s="1">
        <v>0</v>
      </c>
      <c r="BY1970" s="1" t="s">
        <v>104</v>
      </c>
      <c r="BZ1970" s="1" t="s">
        <v>104</v>
      </c>
      <c r="CA1970" s="1" t="s">
        <v>104</v>
      </c>
      <c r="CB1970" s="1" t="s">
        <v>104</v>
      </c>
      <c r="CC1970" s="1" t="s">
        <v>104</v>
      </c>
      <c r="CD1970" s="1" t="s">
        <v>104</v>
      </c>
      <c r="CE1970" s="1" t="s">
        <v>104</v>
      </c>
      <c r="CF1970" s="1" t="s">
        <v>104</v>
      </c>
      <c r="CG1970" s="1" t="s">
        <v>104</v>
      </c>
      <c r="CH1970" s="1" t="s">
        <v>104</v>
      </c>
      <c r="CJ1970" s="1">
        <v>0</v>
      </c>
      <c r="CK1970" s="1">
        <v>0</v>
      </c>
      <c r="CL1970" s="1">
        <v>0</v>
      </c>
      <c r="CM1970" s="1" t="s">
        <v>104</v>
      </c>
    </row>
    <row r="1971" spans="1:91" ht="14.25" customHeight="1" x14ac:dyDescent="0.3">
      <c r="A1971" s="1" t="s">
        <v>10464</v>
      </c>
      <c r="B1971" s="1" t="s">
        <v>137</v>
      </c>
      <c r="E1971" s="1" t="s">
        <v>10465</v>
      </c>
      <c r="F1971" s="1" t="s">
        <v>4934</v>
      </c>
      <c r="G1971" s="1" t="s">
        <v>237</v>
      </c>
      <c r="H1971" s="1">
        <v>0</v>
      </c>
      <c r="I1971" s="1" t="s">
        <v>157</v>
      </c>
      <c r="L1971" s="1" t="s">
        <v>158</v>
      </c>
      <c r="M1971" s="1" t="s">
        <v>255</v>
      </c>
      <c r="N1971" s="1">
        <v>0</v>
      </c>
      <c r="O1971" s="1">
        <v>0</v>
      </c>
      <c r="R1971" s="1" t="s">
        <v>10466</v>
      </c>
      <c r="S1971" s="1" t="s">
        <v>10467</v>
      </c>
      <c r="T1971" s="1">
        <v>1</v>
      </c>
      <c r="U1971" s="1">
        <v>0</v>
      </c>
      <c r="V1971" s="1">
        <v>0</v>
      </c>
      <c r="W1971" s="1">
        <v>0</v>
      </c>
      <c r="X1971" s="1">
        <v>0</v>
      </c>
      <c r="Y1971" s="1" t="s">
        <v>104</v>
      </c>
      <c r="Z1971" s="1" t="s">
        <v>104</v>
      </c>
      <c r="AA1971" s="1" t="s">
        <v>104</v>
      </c>
      <c r="AB1971" s="1">
        <v>1</v>
      </c>
      <c r="AC1971" s="1">
        <v>1</v>
      </c>
      <c r="AD1971" s="1" t="s">
        <v>104</v>
      </c>
      <c r="AE1971" s="1" t="s">
        <v>104</v>
      </c>
      <c r="AF1971" s="1" t="s">
        <v>104</v>
      </c>
      <c r="AG1971" s="1" t="s">
        <v>104</v>
      </c>
      <c r="AH1971" s="1">
        <v>1</v>
      </c>
      <c r="AI1971" s="1" t="s">
        <v>104</v>
      </c>
      <c r="AJ1971" s="1" t="s">
        <v>104</v>
      </c>
      <c r="AK1971" s="1" t="s">
        <v>104</v>
      </c>
      <c r="AL1971" s="1" t="s">
        <v>104</v>
      </c>
      <c r="AM1971" s="1" t="s">
        <v>104</v>
      </c>
      <c r="AO1971" s="1">
        <v>1</v>
      </c>
      <c r="AR1971" s="1">
        <v>0</v>
      </c>
      <c r="AS1971" s="1">
        <v>0</v>
      </c>
      <c r="AT1971" s="1">
        <v>0</v>
      </c>
      <c r="AU1971" s="1">
        <v>0</v>
      </c>
      <c r="AV1971" s="1">
        <v>0</v>
      </c>
      <c r="AW1971" s="1">
        <v>0</v>
      </c>
      <c r="AX1971" s="1">
        <v>0</v>
      </c>
      <c r="AY1971" s="1">
        <v>0</v>
      </c>
      <c r="AZ1971" s="1">
        <v>0</v>
      </c>
      <c r="BA1971" s="1">
        <v>0</v>
      </c>
      <c r="BB1971" s="1">
        <v>0</v>
      </c>
      <c r="BC1971" s="1">
        <v>0</v>
      </c>
      <c r="BD1971" s="1">
        <v>0</v>
      </c>
      <c r="BE1971" s="1">
        <v>0</v>
      </c>
      <c r="BF1971" s="1">
        <v>0</v>
      </c>
      <c r="BG1971" s="1">
        <v>0</v>
      </c>
      <c r="BH1971" s="1">
        <v>0</v>
      </c>
      <c r="BI1971" s="1">
        <v>0</v>
      </c>
      <c r="BJ1971" s="1">
        <v>0</v>
      </c>
      <c r="BK1971" s="1">
        <v>0</v>
      </c>
      <c r="BL1971" s="1">
        <v>0</v>
      </c>
      <c r="BM1971" s="1">
        <v>0</v>
      </c>
      <c r="BN1971" s="1">
        <v>0</v>
      </c>
      <c r="BO1971" s="1">
        <v>0</v>
      </c>
      <c r="BP1971" s="1">
        <v>0</v>
      </c>
      <c r="BQ1971" s="1" t="s">
        <v>104</v>
      </c>
      <c r="BR1971" s="1">
        <v>2074</v>
      </c>
      <c r="BS1971" s="1" t="s">
        <v>104</v>
      </c>
      <c r="BX1971" s="1">
        <v>0</v>
      </c>
      <c r="BY1971" s="1">
        <v>1</v>
      </c>
      <c r="BZ1971" s="1">
        <v>1</v>
      </c>
      <c r="CA1971" s="1" t="s">
        <v>104</v>
      </c>
      <c r="CB1971" s="1" t="s">
        <v>104</v>
      </c>
      <c r="CC1971" s="1" t="s">
        <v>104</v>
      </c>
      <c r="CD1971" s="1" t="s">
        <v>104</v>
      </c>
      <c r="CE1971" s="1" t="s">
        <v>104</v>
      </c>
      <c r="CF1971" s="1" t="s">
        <v>104</v>
      </c>
      <c r="CG1971" s="1" t="s">
        <v>104</v>
      </c>
      <c r="CH1971" s="1">
        <v>1</v>
      </c>
      <c r="CJ1971" s="1">
        <v>0</v>
      </c>
      <c r="CK1971" s="1">
        <v>0</v>
      </c>
      <c r="CL1971" s="1">
        <v>0</v>
      </c>
      <c r="CM1971" s="1" t="s">
        <v>104</v>
      </c>
    </row>
    <row r="1972" spans="1:91" ht="14.25" customHeight="1" x14ac:dyDescent="0.3">
      <c r="A1972" s="1" t="s">
        <v>10468</v>
      </c>
      <c r="B1972" s="1" t="s">
        <v>137</v>
      </c>
      <c r="E1972" s="1" t="s">
        <v>10469</v>
      </c>
      <c r="F1972" s="1" t="s">
        <v>287</v>
      </c>
      <c r="G1972" s="1" t="s">
        <v>10470</v>
      </c>
      <c r="H1972" s="1">
        <v>0</v>
      </c>
      <c r="I1972" s="1" t="s">
        <v>117</v>
      </c>
      <c r="K1972" s="1" t="s">
        <v>10471</v>
      </c>
      <c r="M1972" s="1" t="s">
        <v>5062</v>
      </c>
      <c r="N1972" s="1">
        <v>1</v>
      </c>
      <c r="O1972" s="1">
        <v>0</v>
      </c>
      <c r="P1972" s="1" t="s">
        <v>100</v>
      </c>
      <c r="Q1972" s="1" t="s">
        <v>101</v>
      </c>
      <c r="R1972" s="1" t="s">
        <v>10472</v>
      </c>
      <c r="S1972" s="1" t="s">
        <v>10467</v>
      </c>
      <c r="T1972" s="1">
        <v>1</v>
      </c>
      <c r="U1972" s="1">
        <v>1</v>
      </c>
      <c r="V1972" s="1">
        <v>1</v>
      </c>
      <c r="W1972" s="1">
        <v>0</v>
      </c>
      <c r="X1972" s="1">
        <v>1</v>
      </c>
      <c r="Y1972" s="1" t="s">
        <v>104</v>
      </c>
      <c r="Z1972" s="1" t="s">
        <v>104</v>
      </c>
      <c r="AA1972" s="1" t="s">
        <v>104</v>
      </c>
      <c r="AB1972" s="1">
        <v>3</v>
      </c>
      <c r="AC1972" s="1">
        <v>2</v>
      </c>
      <c r="AD1972" s="1" t="s">
        <v>104</v>
      </c>
      <c r="AE1972" s="1" t="s">
        <v>104</v>
      </c>
      <c r="AF1972" s="1" t="s">
        <v>104</v>
      </c>
      <c r="AG1972" s="1" t="s">
        <v>104</v>
      </c>
      <c r="AH1972" s="1">
        <v>3</v>
      </c>
      <c r="AI1972" s="1" t="s">
        <v>104</v>
      </c>
      <c r="AJ1972" s="1" t="s">
        <v>104</v>
      </c>
      <c r="AK1972" s="1" t="s">
        <v>104</v>
      </c>
      <c r="AL1972" s="1" t="s">
        <v>104</v>
      </c>
      <c r="AM1972" s="1" t="s">
        <v>104</v>
      </c>
      <c r="AO1972" s="1">
        <v>3</v>
      </c>
      <c r="AR1972" s="1">
        <v>0</v>
      </c>
      <c r="AS1972" s="1">
        <v>0</v>
      </c>
      <c r="AT1972" s="1">
        <v>0</v>
      </c>
      <c r="AU1972" s="1">
        <v>0</v>
      </c>
      <c r="AV1972" s="1">
        <v>0</v>
      </c>
      <c r="AW1972" s="1">
        <v>0</v>
      </c>
      <c r="AX1972" s="1">
        <v>0</v>
      </c>
      <c r="AY1972" s="1">
        <v>0</v>
      </c>
      <c r="AZ1972" s="1">
        <v>0</v>
      </c>
      <c r="BA1972" s="1">
        <v>0</v>
      </c>
      <c r="BB1972" s="1">
        <v>0</v>
      </c>
      <c r="BC1972" s="1">
        <v>0</v>
      </c>
      <c r="BD1972" s="1">
        <v>0</v>
      </c>
      <c r="BE1972" s="1">
        <v>0</v>
      </c>
      <c r="BF1972" s="1">
        <v>0</v>
      </c>
      <c r="BG1972" s="1">
        <v>0</v>
      </c>
      <c r="BH1972" s="1">
        <v>0</v>
      </c>
      <c r="BI1972" s="1">
        <v>0</v>
      </c>
      <c r="BJ1972" s="1">
        <v>0</v>
      </c>
      <c r="BK1972" s="1">
        <v>0</v>
      </c>
      <c r="BL1972" s="1">
        <v>0</v>
      </c>
      <c r="BM1972" s="1">
        <v>0</v>
      </c>
      <c r="BN1972" s="1">
        <v>0</v>
      </c>
      <c r="BO1972" s="1">
        <v>0</v>
      </c>
      <c r="BP1972" s="1">
        <v>0</v>
      </c>
      <c r="BQ1972" s="1" t="s">
        <v>104</v>
      </c>
      <c r="BR1972" s="1">
        <v>2075</v>
      </c>
      <c r="BS1972" s="1" t="s">
        <v>104</v>
      </c>
      <c r="BX1972" s="1">
        <v>0</v>
      </c>
      <c r="BY1972" s="1" t="s">
        <v>104</v>
      </c>
      <c r="BZ1972" s="1">
        <v>3</v>
      </c>
      <c r="CA1972" s="1" t="s">
        <v>104</v>
      </c>
      <c r="CB1972" s="1" t="s">
        <v>104</v>
      </c>
      <c r="CC1972" s="1" t="s">
        <v>104</v>
      </c>
      <c r="CD1972" s="1" t="s">
        <v>104</v>
      </c>
      <c r="CE1972" s="1" t="s">
        <v>104</v>
      </c>
      <c r="CF1972" s="1" t="s">
        <v>104</v>
      </c>
      <c r="CG1972" s="1" t="s">
        <v>104</v>
      </c>
      <c r="CH1972" s="1">
        <v>2</v>
      </c>
      <c r="CJ1972" s="1">
        <v>0</v>
      </c>
      <c r="CK1972" s="1">
        <v>0</v>
      </c>
      <c r="CL1972" s="1">
        <v>0</v>
      </c>
      <c r="CM1972" s="1" t="s">
        <v>104</v>
      </c>
    </row>
    <row r="1973" spans="1:91" ht="14.25" customHeight="1" x14ac:dyDescent="0.3">
      <c r="A1973" s="1" t="s">
        <v>10473</v>
      </c>
      <c r="B1973" s="1" t="s">
        <v>162</v>
      </c>
      <c r="E1973" s="1" t="s">
        <v>10474</v>
      </c>
      <c r="F1973" s="1" t="s">
        <v>95</v>
      </c>
      <c r="G1973" s="1" t="s">
        <v>10475</v>
      </c>
      <c r="H1973" s="1">
        <v>0</v>
      </c>
      <c r="I1973" s="1" t="s">
        <v>697</v>
      </c>
      <c r="J1973" s="1" t="s">
        <v>8015</v>
      </c>
      <c r="M1973" s="1" t="s">
        <v>4641</v>
      </c>
      <c r="N1973" s="1">
        <v>1</v>
      </c>
      <c r="O1973" s="1">
        <v>0</v>
      </c>
      <c r="P1973" s="1" t="s">
        <v>100</v>
      </c>
      <c r="Q1973" s="1" t="s">
        <v>101</v>
      </c>
      <c r="R1973" s="1" t="s">
        <v>10476</v>
      </c>
      <c r="S1973" s="1" t="s">
        <v>10467</v>
      </c>
      <c r="T1973" s="1">
        <v>1</v>
      </c>
      <c r="U1973" s="1">
        <v>1</v>
      </c>
      <c r="V1973" s="1">
        <v>1</v>
      </c>
      <c r="W1973" s="1">
        <v>0</v>
      </c>
      <c r="X1973" s="1">
        <v>1</v>
      </c>
      <c r="Y1973" s="1">
        <v>5</v>
      </c>
      <c r="Z1973" s="1">
        <v>5</v>
      </c>
      <c r="AA1973" s="1">
        <v>4</v>
      </c>
      <c r="AB1973" s="1">
        <v>4</v>
      </c>
      <c r="AC1973" s="1" t="s">
        <v>104</v>
      </c>
      <c r="AD1973" s="1" t="s">
        <v>104</v>
      </c>
      <c r="AE1973" s="1" t="s">
        <v>104</v>
      </c>
      <c r="AF1973" s="1" t="s">
        <v>104</v>
      </c>
      <c r="AG1973" s="1" t="s">
        <v>104</v>
      </c>
      <c r="AH1973" s="1">
        <v>4</v>
      </c>
      <c r="AI1973" s="1" t="s">
        <v>104</v>
      </c>
      <c r="AJ1973" s="1">
        <v>4</v>
      </c>
      <c r="AK1973" s="1" t="s">
        <v>104</v>
      </c>
      <c r="AL1973" s="1" t="s">
        <v>104</v>
      </c>
      <c r="AM1973" s="1" t="s">
        <v>104</v>
      </c>
      <c r="AO1973" s="1">
        <v>5</v>
      </c>
      <c r="AR1973" s="1">
        <v>0</v>
      </c>
      <c r="AS1973" s="1">
        <v>0</v>
      </c>
      <c r="AT1973" s="1">
        <v>0</v>
      </c>
      <c r="AU1973" s="1">
        <v>0</v>
      </c>
      <c r="AV1973" s="1">
        <v>0</v>
      </c>
      <c r="AW1973" s="1">
        <v>0</v>
      </c>
      <c r="AX1973" s="1">
        <v>0</v>
      </c>
      <c r="AY1973" s="1">
        <v>0</v>
      </c>
      <c r="AZ1973" s="1">
        <v>0</v>
      </c>
      <c r="BA1973" s="1">
        <v>0</v>
      </c>
      <c r="BB1973" s="1">
        <v>0</v>
      </c>
      <c r="BC1973" s="1">
        <v>0</v>
      </c>
      <c r="BD1973" s="1">
        <v>0</v>
      </c>
      <c r="BE1973" s="1">
        <v>0</v>
      </c>
      <c r="BF1973" s="1">
        <v>0</v>
      </c>
      <c r="BG1973" s="1">
        <v>0</v>
      </c>
      <c r="BH1973" s="1">
        <v>0</v>
      </c>
      <c r="BI1973" s="1">
        <v>0</v>
      </c>
      <c r="BJ1973" s="1">
        <v>0</v>
      </c>
      <c r="BK1973" s="1">
        <v>0</v>
      </c>
      <c r="BL1973" s="1">
        <v>0</v>
      </c>
      <c r="BM1973" s="1">
        <v>0</v>
      </c>
      <c r="BN1973" s="1">
        <v>0</v>
      </c>
      <c r="BO1973" s="1">
        <v>0</v>
      </c>
      <c r="BP1973" s="1">
        <v>0</v>
      </c>
      <c r="BQ1973" s="1" t="s">
        <v>104</v>
      </c>
      <c r="BR1973" s="1">
        <v>2076</v>
      </c>
      <c r="BS1973" s="1" t="s">
        <v>104</v>
      </c>
      <c r="BX1973" s="1">
        <v>0</v>
      </c>
      <c r="BY1973" s="1" t="s">
        <v>104</v>
      </c>
      <c r="BZ1973" s="1">
        <v>4</v>
      </c>
      <c r="CA1973" s="1" t="s">
        <v>104</v>
      </c>
      <c r="CB1973" s="1" t="s">
        <v>104</v>
      </c>
      <c r="CC1973" s="1" t="s">
        <v>104</v>
      </c>
      <c r="CD1973" s="1" t="s">
        <v>104</v>
      </c>
      <c r="CE1973" s="1" t="s">
        <v>104</v>
      </c>
      <c r="CF1973" s="1" t="s">
        <v>104</v>
      </c>
      <c r="CG1973" s="1" t="s">
        <v>104</v>
      </c>
      <c r="CH1973" s="1">
        <v>4</v>
      </c>
      <c r="CJ1973" s="1">
        <v>0</v>
      </c>
      <c r="CK1973" s="1">
        <v>0</v>
      </c>
      <c r="CL1973" s="1">
        <v>0</v>
      </c>
      <c r="CM1973" s="1" t="s">
        <v>104</v>
      </c>
    </row>
    <row r="1974" spans="1:91" ht="14.25" customHeight="1" x14ac:dyDescent="0.3">
      <c r="A1974" s="1" t="s">
        <v>10477</v>
      </c>
      <c r="B1974" s="1" t="s">
        <v>137</v>
      </c>
      <c r="E1974" s="1" t="s">
        <v>10478</v>
      </c>
      <c r="F1974" s="1" t="s">
        <v>318</v>
      </c>
      <c r="G1974" s="1" t="s">
        <v>10479</v>
      </c>
      <c r="H1974" s="1">
        <v>0</v>
      </c>
      <c r="I1974" s="1" t="s">
        <v>10480</v>
      </c>
      <c r="K1974" s="1" t="s">
        <v>10481</v>
      </c>
      <c r="M1974" s="1" t="s">
        <v>119</v>
      </c>
      <c r="N1974" s="1">
        <v>0</v>
      </c>
      <c r="O1974" s="1">
        <v>0</v>
      </c>
      <c r="P1974" s="1" t="s">
        <v>100</v>
      </c>
      <c r="Q1974" s="1" t="s">
        <v>101</v>
      </c>
      <c r="R1974" s="1" t="s">
        <v>10482</v>
      </c>
      <c r="S1974" s="1" t="s">
        <v>10467</v>
      </c>
      <c r="T1974" s="1">
        <v>1</v>
      </c>
      <c r="U1974" s="1">
        <v>1</v>
      </c>
      <c r="V1974" s="1">
        <v>1</v>
      </c>
      <c r="W1974" s="1">
        <v>0</v>
      </c>
      <c r="X1974" s="1">
        <v>1</v>
      </c>
      <c r="Y1974" s="1">
        <v>6</v>
      </c>
      <c r="Z1974" s="1">
        <v>6</v>
      </c>
      <c r="AA1974" s="1">
        <v>6</v>
      </c>
      <c r="AB1974" s="1">
        <v>5</v>
      </c>
      <c r="AC1974" s="1" t="s">
        <v>104</v>
      </c>
      <c r="AD1974" s="1" t="s">
        <v>104</v>
      </c>
      <c r="AE1974" s="1" t="s">
        <v>104</v>
      </c>
      <c r="AF1974" s="1" t="s">
        <v>104</v>
      </c>
      <c r="AG1974" s="1" t="s">
        <v>104</v>
      </c>
      <c r="AH1974" s="1" t="s">
        <v>104</v>
      </c>
      <c r="AI1974" s="1" t="s">
        <v>104</v>
      </c>
      <c r="AJ1974" s="1">
        <v>6</v>
      </c>
      <c r="AK1974" s="1" t="s">
        <v>104</v>
      </c>
      <c r="AL1974" s="1" t="s">
        <v>104</v>
      </c>
      <c r="AM1974" s="1" t="s">
        <v>104</v>
      </c>
      <c r="AO1974" s="1">
        <v>6</v>
      </c>
      <c r="AR1974" s="1">
        <v>0</v>
      </c>
      <c r="AS1974" s="1">
        <v>0</v>
      </c>
      <c r="AT1974" s="1">
        <v>0</v>
      </c>
      <c r="AU1974" s="1">
        <v>0</v>
      </c>
      <c r="AV1974" s="1">
        <v>0</v>
      </c>
      <c r="AW1974" s="1">
        <v>0</v>
      </c>
      <c r="AX1974" s="1">
        <v>0</v>
      </c>
      <c r="AY1974" s="1">
        <v>0</v>
      </c>
      <c r="AZ1974" s="1">
        <v>0</v>
      </c>
      <c r="BA1974" s="1">
        <v>0</v>
      </c>
      <c r="BB1974" s="1">
        <v>0</v>
      </c>
      <c r="BC1974" s="1">
        <v>0</v>
      </c>
      <c r="BD1974" s="1">
        <v>0</v>
      </c>
      <c r="BE1974" s="1">
        <v>0</v>
      </c>
      <c r="BF1974" s="1">
        <v>0</v>
      </c>
      <c r="BG1974" s="1">
        <v>0</v>
      </c>
      <c r="BH1974" s="1">
        <v>0</v>
      </c>
      <c r="BI1974" s="1">
        <v>0</v>
      </c>
      <c r="BJ1974" s="1">
        <v>0</v>
      </c>
      <c r="BK1974" s="1">
        <v>0</v>
      </c>
      <c r="BL1974" s="1">
        <v>0</v>
      </c>
      <c r="BM1974" s="1">
        <v>0</v>
      </c>
      <c r="BN1974" s="1">
        <v>0</v>
      </c>
      <c r="BO1974" s="1">
        <v>0</v>
      </c>
      <c r="BP1974" s="1">
        <v>0</v>
      </c>
      <c r="BQ1974" s="1" t="s">
        <v>104</v>
      </c>
      <c r="BR1974" s="1">
        <v>2078</v>
      </c>
      <c r="BS1974" s="1" t="s">
        <v>104</v>
      </c>
      <c r="BX1974" s="1">
        <v>0</v>
      </c>
      <c r="BY1974" s="1" t="s">
        <v>104</v>
      </c>
      <c r="BZ1974" s="1" t="s">
        <v>104</v>
      </c>
      <c r="CA1974" s="1" t="s">
        <v>104</v>
      </c>
      <c r="CB1974" s="1" t="s">
        <v>104</v>
      </c>
      <c r="CC1974" s="1" t="s">
        <v>104</v>
      </c>
      <c r="CD1974" s="1" t="s">
        <v>104</v>
      </c>
      <c r="CE1974" s="1" t="s">
        <v>104</v>
      </c>
      <c r="CF1974" s="1" t="s">
        <v>104</v>
      </c>
      <c r="CG1974" s="1" t="s">
        <v>104</v>
      </c>
      <c r="CH1974" s="1">
        <v>5</v>
      </c>
      <c r="CJ1974" s="1">
        <v>0</v>
      </c>
      <c r="CK1974" s="1">
        <v>0</v>
      </c>
      <c r="CL1974" s="1">
        <v>0</v>
      </c>
      <c r="CM1974" s="1" t="s">
        <v>104</v>
      </c>
    </row>
    <row r="1975" spans="1:91" ht="14.25" customHeight="1" x14ac:dyDescent="0.3">
      <c r="A1975" s="1" t="s">
        <v>10483</v>
      </c>
      <c r="B1975" s="1" t="s">
        <v>92</v>
      </c>
      <c r="C1975" s="1" t="s">
        <v>93</v>
      </c>
      <c r="E1975" s="1" t="s">
        <v>10484</v>
      </c>
      <c r="F1975" s="1" t="s">
        <v>273</v>
      </c>
      <c r="G1975" s="1" t="s">
        <v>10485</v>
      </c>
      <c r="H1975" s="1">
        <v>1</v>
      </c>
      <c r="I1975" s="1" t="s">
        <v>117</v>
      </c>
      <c r="K1975" s="1" t="s">
        <v>10486</v>
      </c>
      <c r="M1975" s="1" t="s">
        <v>194</v>
      </c>
      <c r="N1975" s="1">
        <v>0</v>
      </c>
      <c r="O1975" s="1">
        <v>0</v>
      </c>
      <c r="P1975" s="1" t="s">
        <v>100</v>
      </c>
      <c r="Q1975" s="1" t="s">
        <v>101</v>
      </c>
      <c r="R1975" s="1" t="s">
        <v>10487</v>
      </c>
      <c r="S1975" s="1" t="s">
        <v>10467</v>
      </c>
      <c r="T1975" s="1">
        <v>1</v>
      </c>
      <c r="U1975" s="1">
        <v>1</v>
      </c>
      <c r="V1975" s="1">
        <v>1</v>
      </c>
      <c r="W1975" s="1">
        <v>0</v>
      </c>
      <c r="X1975" s="1">
        <v>0</v>
      </c>
      <c r="Y1975" s="1">
        <v>7</v>
      </c>
      <c r="Z1975" s="1">
        <v>7</v>
      </c>
      <c r="AA1975" s="1">
        <v>7</v>
      </c>
      <c r="AB1975" s="1">
        <v>7</v>
      </c>
      <c r="AC1975" s="1" t="s">
        <v>104</v>
      </c>
      <c r="AD1975" s="1" t="s">
        <v>104</v>
      </c>
      <c r="AE1975" s="1" t="s">
        <v>104</v>
      </c>
      <c r="AF1975" s="1" t="s">
        <v>104</v>
      </c>
      <c r="AG1975" s="1">
        <v>6</v>
      </c>
      <c r="AH1975" s="1">
        <v>7</v>
      </c>
      <c r="AI1975" s="1" t="s">
        <v>104</v>
      </c>
      <c r="AJ1975" s="1">
        <v>7</v>
      </c>
      <c r="AK1975" s="1" t="s">
        <v>104</v>
      </c>
      <c r="AL1975" s="1" t="s">
        <v>104</v>
      </c>
      <c r="AM1975" s="1" t="s">
        <v>104</v>
      </c>
      <c r="AO1975" s="1">
        <v>7</v>
      </c>
      <c r="AR1975" s="1">
        <v>0</v>
      </c>
      <c r="AS1975" s="1">
        <v>0</v>
      </c>
      <c r="AT1975" s="1">
        <v>0</v>
      </c>
      <c r="AU1975" s="1">
        <v>0</v>
      </c>
      <c r="AV1975" s="1">
        <v>0</v>
      </c>
      <c r="AW1975" s="1">
        <v>0</v>
      </c>
      <c r="AX1975" s="1">
        <v>0</v>
      </c>
      <c r="AY1975" s="1">
        <v>0</v>
      </c>
      <c r="AZ1975" s="1">
        <v>0</v>
      </c>
      <c r="BA1975" s="1">
        <v>0</v>
      </c>
      <c r="BB1975" s="1">
        <v>0</v>
      </c>
      <c r="BC1975" s="1">
        <v>0</v>
      </c>
      <c r="BD1975" s="1">
        <v>0</v>
      </c>
      <c r="BE1975" s="1">
        <v>0</v>
      </c>
      <c r="BF1975" s="1">
        <v>0</v>
      </c>
      <c r="BG1975" s="1">
        <v>0</v>
      </c>
      <c r="BH1975" s="1">
        <v>0</v>
      </c>
      <c r="BI1975" s="1">
        <v>0</v>
      </c>
      <c r="BJ1975" s="1">
        <v>0</v>
      </c>
      <c r="BK1975" s="1">
        <v>0</v>
      </c>
      <c r="BL1975" s="1">
        <v>0</v>
      </c>
      <c r="BM1975" s="1">
        <v>0</v>
      </c>
      <c r="BN1975" s="1">
        <v>0</v>
      </c>
      <c r="BO1975" s="1">
        <v>0</v>
      </c>
      <c r="BP1975" s="1">
        <v>0</v>
      </c>
      <c r="BQ1975" s="1" t="s">
        <v>104</v>
      </c>
      <c r="BR1975" s="1">
        <v>2079</v>
      </c>
      <c r="BS1975" s="1">
        <v>500</v>
      </c>
      <c r="BX1975" s="1">
        <v>0</v>
      </c>
      <c r="BY1975" s="1" t="s">
        <v>104</v>
      </c>
      <c r="BZ1975" s="1">
        <v>7</v>
      </c>
      <c r="CA1975" s="1" t="s">
        <v>104</v>
      </c>
      <c r="CB1975" s="1" t="s">
        <v>104</v>
      </c>
      <c r="CC1975" s="1" t="s">
        <v>104</v>
      </c>
      <c r="CD1975" s="1" t="s">
        <v>104</v>
      </c>
      <c r="CE1975" s="1" t="s">
        <v>104</v>
      </c>
      <c r="CF1975" s="1" t="s">
        <v>104</v>
      </c>
      <c r="CG1975" s="1" t="s">
        <v>104</v>
      </c>
      <c r="CH1975" s="1" t="s">
        <v>104</v>
      </c>
      <c r="CJ1975" s="1">
        <v>0</v>
      </c>
      <c r="CK1975" s="1">
        <v>0</v>
      </c>
      <c r="CL1975" s="1">
        <v>0</v>
      </c>
      <c r="CM1975" s="1">
        <v>6</v>
      </c>
    </row>
    <row r="1976" spans="1:91" ht="14.25" customHeight="1" x14ac:dyDescent="0.3">
      <c r="A1976" s="1" t="s">
        <v>10488</v>
      </c>
      <c r="B1976" s="1" t="s">
        <v>137</v>
      </c>
      <c r="E1976" s="1" t="s">
        <v>10489</v>
      </c>
      <c r="F1976" s="1" t="s">
        <v>4934</v>
      </c>
      <c r="G1976" s="1" t="s">
        <v>237</v>
      </c>
      <c r="H1976" s="1">
        <v>0</v>
      </c>
      <c r="I1976" s="1" t="s">
        <v>157</v>
      </c>
      <c r="L1976" s="1" t="s">
        <v>158</v>
      </c>
      <c r="M1976" s="1" t="s">
        <v>255</v>
      </c>
      <c r="N1976" s="1">
        <v>0</v>
      </c>
      <c r="O1976" s="1">
        <v>0</v>
      </c>
      <c r="R1976" s="1" t="s">
        <v>10490</v>
      </c>
      <c r="S1976" s="1" t="s">
        <v>10467</v>
      </c>
      <c r="T1976" s="1">
        <v>1</v>
      </c>
      <c r="U1976" s="1">
        <v>0</v>
      </c>
      <c r="V1976" s="1">
        <v>0</v>
      </c>
      <c r="W1976" s="1">
        <v>0</v>
      </c>
      <c r="X1976" s="1">
        <v>0</v>
      </c>
      <c r="Y1976" s="1">
        <v>2</v>
      </c>
      <c r="Z1976" s="1">
        <v>2</v>
      </c>
      <c r="AA1976" s="1" t="s">
        <v>104</v>
      </c>
      <c r="AB1976" s="1">
        <v>3</v>
      </c>
      <c r="AC1976" s="1">
        <v>2</v>
      </c>
      <c r="AD1976" s="1">
        <v>3</v>
      </c>
      <c r="AE1976" s="1" t="s">
        <v>104</v>
      </c>
      <c r="AF1976" s="1" t="s">
        <v>104</v>
      </c>
      <c r="AG1976" s="1" t="s">
        <v>104</v>
      </c>
      <c r="AH1976" s="1">
        <v>2</v>
      </c>
      <c r="AI1976" s="1">
        <v>3</v>
      </c>
      <c r="AJ1976" s="1" t="s">
        <v>104</v>
      </c>
      <c r="AK1976" s="1" t="s">
        <v>104</v>
      </c>
      <c r="AL1976" s="1">
        <v>2</v>
      </c>
      <c r="AM1976" s="1" t="s">
        <v>104</v>
      </c>
      <c r="AO1976" s="1">
        <v>2</v>
      </c>
      <c r="AR1976" s="1">
        <v>0</v>
      </c>
      <c r="AS1976" s="1">
        <v>0</v>
      </c>
      <c r="AT1976" s="1">
        <v>0</v>
      </c>
      <c r="AU1976" s="1">
        <v>0</v>
      </c>
      <c r="AV1976" s="1">
        <v>0</v>
      </c>
      <c r="AW1976" s="1">
        <v>0</v>
      </c>
      <c r="AX1976" s="1">
        <v>0</v>
      </c>
      <c r="AY1976" s="1">
        <v>0</v>
      </c>
      <c r="AZ1976" s="1">
        <v>0</v>
      </c>
      <c r="BA1976" s="1">
        <v>0</v>
      </c>
      <c r="BB1976" s="1">
        <v>0</v>
      </c>
      <c r="BC1976" s="1">
        <v>0</v>
      </c>
      <c r="BD1976" s="1">
        <v>0</v>
      </c>
      <c r="BE1976" s="1">
        <v>0</v>
      </c>
      <c r="BF1976" s="1">
        <v>0</v>
      </c>
      <c r="BG1976" s="1">
        <v>0</v>
      </c>
      <c r="BH1976" s="1">
        <v>0</v>
      </c>
      <c r="BI1976" s="1">
        <v>0</v>
      </c>
      <c r="BJ1976" s="1">
        <v>0</v>
      </c>
      <c r="BK1976" s="1">
        <v>0</v>
      </c>
      <c r="BL1976" s="1">
        <v>0</v>
      </c>
      <c r="BM1976" s="1">
        <v>0</v>
      </c>
      <c r="BN1976" s="1">
        <v>0</v>
      </c>
      <c r="BO1976" s="1">
        <v>0</v>
      </c>
      <c r="BP1976" s="1">
        <v>0</v>
      </c>
      <c r="BQ1976" s="1" t="s">
        <v>104</v>
      </c>
      <c r="BR1976" s="1">
        <v>2080</v>
      </c>
      <c r="BS1976" s="1" t="s">
        <v>104</v>
      </c>
      <c r="BX1976" s="1">
        <v>0</v>
      </c>
      <c r="BY1976" s="1" t="s">
        <v>104</v>
      </c>
      <c r="BZ1976" s="1">
        <v>2</v>
      </c>
      <c r="CA1976" s="1" t="s">
        <v>104</v>
      </c>
      <c r="CB1976" s="1" t="s">
        <v>104</v>
      </c>
      <c r="CC1976" s="1" t="s">
        <v>104</v>
      </c>
      <c r="CD1976" s="1" t="s">
        <v>104</v>
      </c>
      <c r="CE1976" s="1" t="s">
        <v>104</v>
      </c>
      <c r="CF1976" s="1" t="s">
        <v>104</v>
      </c>
      <c r="CG1976" s="1" t="s">
        <v>104</v>
      </c>
      <c r="CH1976" s="1">
        <v>2</v>
      </c>
      <c r="CJ1976" s="1">
        <v>0</v>
      </c>
      <c r="CK1976" s="1">
        <v>0</v>
      </c>
      <c r="CL1976" s="1">
        <v>0</v>
      </c>
      <c r="CM1976" s="1" t="s">
        <v>104</v>
      </c>
    </row>
    <row r="1977" spans="1:91" ht="14.25" customHeight="1" x14ac:dyDescent="0.3">
      <c r="A1977" s="1" t="s">
        <v>10491</v>
      </c>
      <c r="B1977" s="1" t="s">
        <v>172</v>
      </c>
      <c r="E1977" s="1" t="s">
        <v>10492</v>
      </c>
      <c r="F1977" s="1" t="s">
        <v>10493</v>
      </c>
      <c r="G1977" s="1" t="s">
        <v>127</v>
      </c>
      <c r="H1977" s="1">
        <v>0</v>
      </c>
      <c r="I1977" s="1" t="s">
        <v>157</v>
      </c>
      <c r="L1977" s="1" t="s">
        <v>158</v>
      </c>
      <c r="M1977" s="1" t="s">
        <v>2638</v>
      </c>
      <c r="N1977" s="1">
        <v>0</v>
      </c>
      <c r="O1977" s="1">
        <v>0</v>
      </c>
      <c r="R1977" s="1" t="s">
        <v>10494</v>
      </c>
      <c r="S1977" s="1" t="s">
        <v>10467</v>
      </c>
      <c r="T1977" s="1">
        <v>1</v>
      </c>
      <c r="U1977" s="1">
        <v>1</v>
      </c>
      <c r="V1977" s="1">
        <v>0</v>
      </c>
      <c r="W1977" s="1">
        <v>0</v>
      </c>
      <c r="X1977" s="1">
        <v>1</v>
      </c>
      <c r="Y1977" s="1" t="s">
        <v>104</v>
      </c>
      <c r="Z1977" s="1" t="s">
        <v>104</v>
      </c>
      <c r="AA1977" s="1" t="s">
        <v>104</v>
      </c>
      <c r="AB1977" s="1">
        <v>2</v>
      </c>
      <c r="AC1977" s="1">
        <v>2</v>
      </c>
      <c r="AD1977" s="1" t="s">
        <v>104</v>
      </c>
      <c r="AE1977" s="1" t="s">
        <v>104</v>
      </c>
      <c r="AF1977" s="1" t="s">
        <v>104</v>
      </c>
      <c r="AG1977" s="1" t="s">
        <v>104</v>
      </c>
      <c r="AH1977" s="1" t="s">
        <v>104</v>
      </c>
      <c r="AI1977" s="1" t="s">
        <v>104</v>
      </c>
      <c r="AJ1977" s="1" t="s">
        <v>104</v>
      </c>
      <c r="AK1977" s="1" t="s">
        <v>104</v>
      </c>
      <c r="AL1977" s="1" t="s">
        <v>104</v>
      </c>
      <c r="AM1977" s="1" t="s">
        <v>104</v>
      </c>
      <c r="AO1977" s="1">
        <v>2</v>
      </c>
      <c r="AR1977" s="1">
        <v>0</v>
      </c>
      <c r="AS1977" s="1">
        <v>0</v>
      </c>
      <c r="AT1977" s="1">
        <v>0</v>
      </c>
      <c r="AU1977" s="1">
        <v>0</v>
      </c>
      <c r="AV1977" s="1">
        <v>0</v>
      </c>
      <c r="AW1977" s="1">
        <v>0</v>
      </c>
      <c r="AX1977" s="1">
        <v>0</v>
      </c>
      <c r="AY1977" s="1">
        <v>0</v>
      </c>
      <c r="AZ1977" s="1">
        <v>0</v>
      </c>
      <c r="BA1977" s="1">
        <v>0</v>
      </c>
      <c r="BB1977" s="1">
        <v>0</v>
      </c>
      <c r="BC1977" s="1">
        <v>0</v>
      </c>
      <c r="BD1977" s="1">
        <v>0</v>
      </c>
      <c r="BE1977" s="1">
        <v>0</v>
      </c>
      <c r="BF1977" s="1">
        <v>0</v>
      </c>
      <c r="BG1977" s="1">
        <v>0</v>
      </c>
      <c r="BH1977" s="1">
        <v>0</v>
      </c>
      <c r="BI1977" s="1">
        <v>0</v>
      </c>
      <c r="BJ1977" s="1">
        <v>0</v>
      </c>
      <c r="BK1977" s="1">
        <v>0</v>
      </c>
      <c r="BL1977" s="1">
        <v>0</v>
      </c>
      <c r="BM1977" s="1">
        <v>0</v>
      </c>
      <c r="BN1977" s="1">
        <v>0</v>
      </c>
      <c r="BO1977" s="1">
        <v>0</v>
      </c>
      <c r="BP1977" s="1">
        <v>0</v>
      </c>
      <c r="BQ1977" s="1" t="s">
        <v>104</v>
      </c>
      <c r="BR1977" s="1">
        <v>2081</v>
      </c>
      <c r="BS1977" s="1" t="s">
        <v>104</v>
      </c>
      <c r="BX1977" s="1">
        <v>0</v>
      </c>
      <c r="BY1977" s="1">
        <v>2</v>
      </c>
      <c r="BZ1977" s="1">
        <v>2</v>
      </c>
      <c r="CA1977" s="1" t="s">
        <v>104</v>
      </c>
      <c r="CB1977" s="1" t="s">
        <v>104</v>
      </c>
      <c r="CC1977" s="1" t="s">
        <v>104</v>
      </c>
      <c r="CD1977" s="1" t="s">
        <v>104</v>
      </c>
      <c r="CE1977" s="1" t="s">
        <v>104</v>
      </c>
      <c r="CF1977" s="1" t="s">
        <v>104</v>
      </c>
      <c r="CG1977" s="1" t="s">
        <v>104</v>
      </c>
      <c r="CH1977" s="1">
        <v>2</v>
      </c>
      <c r="CJ1977" s="1">
        <v>0</v>
      </c>
      <c r="CK1977" s="1">
        <v>0</v>
      </c>
      <c r="CL1977" s="1">
        <v>0</v>
      </c>
      <c r="CM1977" s="1" t="s">
        <v>104</v>
      </c>
    </row>
    <row r="1978" spans="1:91" ht="14.25" customHeight="1" x14ac:dyDescent="0.3">
      <c r="A1978" s="1" t="s">
        <v>10495</v>
      </c>
      <c r="B1978" s="1" t="s">
        <v>92</v>
      </c>
      <c r="C1978" s="1" t="s">
        <v>93</v>
      </c>
      <c r="D1978" s="1" t="s">
        <v>51</v>
      </c>
      <c r="E1978" s="1" t="s">
        <v>9520</v>
      </c>
      <c r="F1978" s="1" t="s">
        <v>95</v>
      </c>
      <c r="G1978" s="1" t="s">
        <v>8619</v>
      </c>
      <c r="H1978" s="1">
        <v>0</v>
      </c>
      <c r="I1978" s="1" t="s">
        <v>97</v>
      </c>
      <c r="J1978" s="1" t="s">
        <v>2074</v>
      </c>
      <c r="M1978" s="1" t="s">
        <v>426</v>
      </c>
      <c r="N1978" s="1">
        <v>1</v>
      </c>
      <c r="O1978" s="1">
        <v>0</v>
      </c>
      <c r="P1978" s="1" t="s">
        <v>100</v>
      </c>
      <c r="Q1978" s="1" t="s">
        <v>184</v>
      </c>
      <c r="R1978" s="1" t="s">
        <v>10496</v>
      </c>
      <c r="S1978" s="1" t="s">
        <v>10497</v>
      </c>
      <c r="T1978" s="1">
        <v>1</v>
      </c>
      <c r="U1978" s="1">
        <v>1</v>
      </c>
      <c r="V1978" s="1">
        <v>1</v>
      </c>
      <c r="W1978" s="1">
        <v>0</v>
      </c>
      <c r="X1978" s="1">
        <v>0</v>
      </c>
      <c r="Y1978" s="1">
        <v>4</v>
      </c>
      <c r="Z1978" s="1">
        <v>4</v>
      </c>
      <c r="AA1978" s="1" t="s">
        <v>104</v>
      </c>
      <c r="AB1978" s="1">
        <v>4</v>
      </c>
      <c r="AC1978" s="1" t="s">
        <v>104</v>
      </c>
      <c r="AD1978" s="1" t="s">
        <v>104</v>
      </c>
      <c r="AE1978" s="1" t="s">
        <v>104</v>
      </c>
      <c r="AF1978" s="1" t="s">
        <v>104</v>
      </c>
      <c r="AG1978" s="1" t="s">
        <v>104</v>
      </c>
      <c r="AH1978" s="1" t="s">
        <v>104</v>
      </c>
      <c r="AI1978" s="1" t="s">
        <v>104</v>
      </c>
      <c r="AJ1978" s="1" t="s">
        <v>104</v>
      </c>
      <c r="AK1978" s="1" t="s">
        <v>104</v>
      </c>
      <c r="AL1978" s="1" t="s">
        <v>104</v>
      </c>
      <c r="AM1978" s="1" t="s">
        <v>104</v>
      </c>
      <c r="AO1978" s="1">
        <v>4</v>
      </c>
      <c r="AR1978" s="1">
        <v>0</v>
      </c>
      <c r="AS1978" s="1">
        <v>0</v>
      </c>
      <c r="AT1978" s="1">
        <v>0</v>
      </c>
      <c r="AU1978" s="1">
        <v>0</v>
      </c>
      <c r="AV1978" s="1">
        <v>0</v>
      </c>
      <c r="AW1978" s="1">
        <v>0</v>
      </c>
      <c r="AX1978" s="1">
        <v>0</v>
      </c>
      <c r="AY1978" s="1">
        <v>0</v>
      </c>
      <c r="AZ1978" s="1">
        <v>1</v>
      </c>
      <c r="BA1978" s="1">
        <v>0</v>
      </c>
      <c r="BB1978" s="1">
        <v>0</v>
      </c>
      <c r="BC1978" s="1">
        <v>0</v>
      </c>
      <c r="BD1978" s="1">
        <v>0</v>
      </c>
      <c r="BE1978" s="1">
        <v>0</v>
      </c>
      <c r="BF1978" s="1">
        <v>0</v>
      </c>
      <c r="BG1978" s="1">
        <v>0</v>
      </c>
      <c r="BH1978" s="1">
        <v>0</v>
      </c>
      <c r="BI1978" s="1">
        <v>0</v>
      </c>
      <c r="BJ1978" s="1">
        <v>0</v>
      </c>
      <c r="BK1978" s="1">
        <v>0</v>
      </c>
      <c r="BL1978" s="1">
        <v>0</v>
      </c>
      <c r="BM1978" s="1">
        <v>0</v>
      </c>
      <c r="BN1978" s="1">
        <v>0</v>
      </c>
      <c r="BO1978" s="1">
        <v>0</v>
      </c>
      <c r="BP1978" s="1">
        <v>0</v>
      </c>
      <c r="BQ1978" s="1" t="s">
        <v>104</v>
      </c>
      <c r="BR1978" s="1">
        <v>2082</v>
      </c>
      <c r="BS1978" s="1" t="s">
        <v>104</v>
      </c>
      <c r="BX1978" s="1">
        <v>0</v>
      </c>
      <c r="BY1978" s="1" t="s">
        <v>104</v>
      </c>
      <c r="BZ1978" s="1" t="s">
        <v>104</v>
      </c>
      <c r="CA1978" s="1" t="s">
        <v>104</v>
      </c>
      <c r="CB1978" s="1" t="s">
        <v>104</v>
      </c>
      <c r="CC1978" s="1" t="s">
        <v>104</v>
      </c>
      <c r="CD1978" s="1" t="s">
        <v>104</v>
      </c>
      <c r="CE1978" s="1" t="s">
        <v>104</v>
      </c>
      <c r="CF1978" s="1" t="s">
        <v>104</v>
      </c>
      <c r="CG1978" s="1" t="s">
        <v>104</v>
      </c>
      <c r="CH1978" s="1">
        <v>4</v>
      </c>
      <c r="CJ1978" s="1">
        <v>0</v>
      </c>
      <c r="CK1978" s="1">
        <v>0</v>
      </c>
      <c r="CL1978" s="1">
        <v>0</v>
      </c>
      <c r="CM1978" s="1" t="s">
        <v>104</v>
      </c>
    </row>
    <row r="1979" spans="1:91" ht="14.25" customHeight="1" x14ac:dyDescent="0.3">
      <c r="A1979" s="1" t="s">
        <v>10498</v>
      </c>
      <c r="B1979" s="1" t="s">
        <v>216</v>
      </c>
      <c r="E1979" s="1" t="s">
        <v>10499</v>
      </c>
      <c r="F1979" s="1" t="s">
        <v>95</v>
      </c>
      <c r="G1979" s="1" t="s">
        <v>10500</v>
      </c>
      <c r="H1979" s="1">
        <v>0</v>
      </c>
      <c r="I1979" s="1" t="s">
        <v>128</v>
      </c>
      <c r="L1979" s="1" t="s">
        <v>10501</v>
      </c>
      <c r="M1979" s="1" t="s">
        <v>5573</v>
      </c>
      <c r="N1979" s="1">
        <v>1</v>
      </c>
      <c r="O1979" s="1">
        <v>0</v>
      </c>
      <c r="P1979" s="1" t="s">
        <v>100</v>
      </c>
      <c r="Q1979" s="1" t="s">
        <v>131</v>
      </c>
      <c r="R1979" s="1" t="s">
        <v>10502</v>
      </c>
      <c r="S1979" s="1" t="s">
        <v>10503</v>
      </c>
      <c r="T1979" s="1">
        <v>1</v>
      </c>
      <c r="U1979" s="1">
        <v>1</v>
      </c>
      <c r="V1979" s="1">
        <v>1</v>
      </c>
      <c r="W1979" s="1">
        <v>0</v>
      </c>
      <c r="X1979" s="1">
        <v>0</v>
      </c>
      <c r="Y1979" s="1">
        <v>5</v>
      </c>
      <c r="Z1979" s="1">
        <v>5</v>
      </c>
      <c r="AA1979" s="1">
        <v>5</v>
      </c>
      <c r="AB1979" s="1" t="s">
        <v>104</v>
      </c>
      <c r="AC1979" s="1" t="s">
        <v>104</v>
      </c>
      <c r="AD1979" s="1" t="s">
        <v>104</v>
      </c>
      <c r="AE1979" s="1" t="s">
        <v>104</v>
      </c>
      <c r="AF1979" s="1" t="s">
        <v>104</v>
      </c>
      <c r="AG1979" s="1" t="s">
        <v>104</v>
      </c>
      <c r="AH1979" s="1">
        <v>5</v>
      </c>
      <c r="AI1979" s="1" t="s">
        <v>104</v>
      </c>
      <c r="AJ1979" s="1">
        <v>5</v>
      </c>
      <c r="AK1979" s="1">
        <v>4</v>
      </c>
      <c r="AL1979" s="1" t="s">
        <v>104</v>
      </c>
      <c r="AM1979" s="1" t="s">
        <v>104</v>
      </c>
      <c r="AO1979" s="1">
        <v>5</v>
      </c>
      <c r="AR1979" s="1">
        <v>0</v>
      </c>
      <c r="AS1979" s="1">
        <v>0</v>
      </c>
      <c r="AT1979" s="1">
        <v>0</v>
      </c>
      <c r="AU1979" s="1">
        <v>0</v>
      </c>
      <c r="AV1979" s="1">
        <v>0</v>
      </c>
      <c r="AW1979" s="1">
        <v>0</v>
      </c>
      <c r="AX1979" s="1">
        <v>0</v>
      </c>
      <c r="AY1979" s="1">
        <v>0</v>
      </c>
      <c r="AZ1979" s="1">
        <v>0</v>
      </c>
      <c r="BA1979" s="1">
        <v>0</v>
      </c>
      <c r="BB1979" s="1">
        <v>0</v>
      </c>
      <c r="BC1979" s="1">
        <v>0</v>
      </c>
      <c r="BD1979" s="1">
        <v>0</v>
      </c>
      <c r="BE1979" s="1">
        <v>0</v>
      </c>
      <c r="BF1979" s="1">
        <v>0</v>
      </c>
      <c r="BG1979" s="1">
        <v>0</v>
      </c>
      <c r="BH1979" s="1">
        <v>0</v>
      </c>
      <c r="BI1979" s="1">
        <v>0</v>
      </c>
      <c r="BJ1979" s="1">
        <v>0</v>
      </c>
      <c r="BK1979" s="1">
        <v>0</v>
      </c>
      <c r="BL1979" s="1">
        <v>0</v>
      </c>
      <c r="BM1979" s="1">
        <v>0</v>
      </c>
      <c r="BN1979" s="1">
        <v>0</v>
      </c>
      <c r="BO1979" s="1">
        <v>0</v>
      </c>
      <c r="BP1979" s="1">
        <v>0</v>
      </c>
      <c r="BQ1979" s="1" t="s">
        <v>104</v>
      </c>
      <c r="BR1979" s="1">
        <v>2083</v>
      </c>
      <c r="BS1979" s="1" t="s">
        <v>104</v>
      </c>
      <c r="BX1979" s="1">
        <v>0</v>
      </c>
      <c r="BY1979" s="1" t="s">
        <v>104</v>
      </c>
      <c r="BZ1979" s="1" t="s">
        <v>104</v>
      </c>
      <c r="CA1979" s="1" t="s">
        <v>104</v>
      </c>
      <c r="CB1979" s="1" t="s">
        <v>104</v>
      </c>
      <c r="CC1979" s="1" t="s">
        <v>104</v>
      </c>
      <c r="CD1979" s="1" t="s">
        <v>104</v>
      </c>
      <c r="CE1979" s="1" t="s">
        <v>104</v>
      </c>
      <c r="CF1979" s="1" t="s">
        <v>104</v>
      </c>
      <c r="CG1979" s="1" t="s">
        <v>104</v>
      </c>
      <c r="CH1979" s="1" t="s">
        <v>104</v>
      </c>
      <c r="CJ1979" s="1">
        <v>0</v>
      </c>
      <c r="CK1979" s="1">
        <v>0</v>
      </c>
      <c r="CL1979" s="1">
        <v>0</v>
      </c>
      <c r="CM1979" s="1" t="s">
        <v>104</v>
      </c>
    </row>
    <row r="1980" spans="1:91" ht="14.25" customHeight="1" x14ac:dyDescent="0.3">
      <c r="A1980" s="1" t="s">
        <v>10504</v>
      </c>
      <c r="B1980" s="1" t="s">
        <v>137</v>
      </c>
      <c r="E1980" s="1" t="s">
        <v>10505</v>
      </c>
      <c r="F1980" s="1" t="s">
        <v>95</v>
      </c>
      <c r="G1980" s="1" t="s">
        <v>10506</v>
      </c>
      <c r="H1980" s="1">
        <v>0</v>
      </c>
      <c r="I1980" s="1" t="s">
        <v>117</v>
      </c>
      <c r="L1980" s="1" t="s">
        <v>10507</v>
      </c>
      <c r="M1980" s="1" t="s">
        <v>4292</v>
      </c>
      <c r="N1980" s="1">
        <v>0</v>
      </c>
      <c r="O1980" s="1">
        <v>0</v>
      </c>
      <c r="P1980" s="1" t="s">
        <v>375</v>
      </c>
      <c r="Q1980" s="1" t="s">
        <v>131</v>
      </c>
      <c r="R1980" s="1" t="s">
        <v>10508</v>
      </c>
      <c r="S1980" s="1" t="s">
        <v>10503</v>
      </c>
      <c r="T1980" s="1">
        <v>1</v>
      </c>
      <c r="U1980" s="1">
        <v>1</v>
      </c>
      <c r="V1980" s="1">
        <v>1</v>
      </c>
      <c r="W1980" s="1">
        <v>0</v>
      </c>
      <c r="X1980" s="1">
        <v>0</v>
      </c>
      <c r="Y1980" s="1" t="s">
        <v>104</v>
      </c>
      <c r="Z1980" s="1" t="s">
        <v>104</v>
      </c>
      <c r="AA1980" s="1">
        <v>3</v>
      </c>
      <c r="AB1980" s="1">
        <v>2</v>
      </c>
      <c r="AC1980" s="1" t="s">
        <v>104</v>
      </c>
      <c r="AD1980" s="1" t="s">
        <v>104</v>
      </c>
      <c r="AE1980" s="1" t="s">
        <v>104</v>
      </c>
      <c r="AF1980" s="1" t="s">
        <v>104</v>
      </c>
      <c r="AG1980" s="1" t="s">
        <v>104</v>
      </c>
      <c r="AH1980" s="1">
        <v>3</v>
      </c>
      <c r="AI1980" s="1" t="s">
        <v>104</v>
      </c>
      <c r="AJ1980" s="1">
        <v>3</v>
      </c>
      <c r="AK1980" s="1" t="s">
        <v>104</v>
      </c>
      <c r="AL1980" s="1" t="s">
        <v>104</v>
      </c>
      <c r="AM1980" s="1" t="s">
        <v>104</v>
      </c>
      <c r="AO1980" s="1">
        <v>3</v>
      </c>
      <c r="AR1980" s="1">
        <v>0</v>
      </c>
      <c r="AS1980" s="1">
        <v>0</v>
      </c>
      <c r="AT1980" s="1">
        <v>0</v>
      </c>
      <c r="AU1980" s="1">
        <v>0</v>
      </c>
      <c r="AV1980" s="1">
        <v>0</v>
      </c>
      <c r="AW1980" s="1">
        <v>0</v>
      </c>
      <c r="AX1980" s="1">
        <v>0</v>
      </c>
      <c r="AY1980" s="1">
        <v>0</v>
      </c>
      <c r="AZ1980" s="1">
        <v>0</v>
      </c>
      <c r="BA1980" s="1">
        <v>0</v>
      </c>
      <c r="BB1980" s="1">
        <v>0</v>
      </c>
      <c r="BC1980" s="1">
        <v>0</v>
      </c>
      <c r="BD1980" s="1">
        <v>0</v>
      </c>
      <c r="BE1980" s="1">
        <v>0</v>
      </c>
      <c r="BF1980" s="1">
        <v>0</v>
      </c>
      <c r="BG1980" s="1">
        <v>0</v>
      </c>
      <c r="BH1980" s="1">
        <v>0</v>
      </c>
      <c r="BI1980" s="1">
        <v>0</v>
      </c>
      <c r="BJ1980" s="1">
        <v>0</v>
      </c>
      <c r="BK1980" s="1">
        <v>0</v>
      </c>
      <c r="BL1980" s="1">
        <v>0</v>
      </c>
      <c r="BM1980" s="1">
        <v>0</v>
      </c>
      <c r="BN1980" s="1">
        <v>0</v>
      </c>
      <c r="BO1980" s="1">
        <v>0</v>
      </c>
      <c r="BP1980" s="1">
        <v>0</v>
      </c>
      <c r="BQ1980" s="1" t="s">
        <v>104</v>
      </c>
      <c r="BR1980" s="1">
        <v>2084</v>
      </c>
      <c r="BS1980" s="1" t="s">
        <v>104</v>
      </c>
      <c r="BX1980" s="1">
        <v>0</v>
      </c>
      <c r="BY1980" s="1" t="s">
        <v>104</v>
      </c>
      <c r="BZ1980" s="1">
        <v>2</v>
      </c>
      <c r="CA1980" s="1" t="s">
        <v>104</v>
      </c>
      <c r="CB1980" s="1" t="s">
        <v>104</v>
      </c>
      <c r="CC1980" s="1" t="s">
        <v>104</v>
      </c>
      <c r="CD1980" s="1" t="s">
        <v>104</v>
      </c>
      <c r="CE1980" s="1" t="s">
        <v>104</v>
      </c>
      <c r="CF1980" s="1" t="s">
        <v>104</v>
      </c>
      <c r="CG1980" s="1" t="s">
        <v>104</v>
      </c>
      <c r="CH1980" s="1">
        <v>2</v>
      </c>
      <c r="CJ1980" s="1">
        <v>0</v>
      </c>
      <c r="CK1980" s="1">
        <v>0</v>
      </c>
      <c r="CL1980" s="1">
        <v>0</v>
      </c>
      <c r="CM1980" s="1" t="s">
        <v>104</v>
      </c>
    </row>
    <row r="1981" spans="1:91" ht="14.25" customHeight="1" x14ac:dyDescent="0.3">
      <c r="A1981" s="1" t="s">
        <v>10509</v>
      </c>
      <c r="B1981" s="1" t="s">
        <v>92</v>
      </c>
      <c r="D1981" s="1" t="s">
        <v>10510</v>
      </c>
      <c r="E1981" s="1" t="s">
        <v>10511</v>
      </c>
      <c r="F1981" s="1" t="s">
        <v>95</v>
      </c>
      <c r="G1981" s="1" t="s">
        <v>10512</v>
      </c>
      <c r="H1981" s="1">
        <v>0</v>
      </c>
      <c r="I1981" s="1" t="s">
        <v>128</v>
      </c>
      <c r="L1981" s="1" t="s">
        <v>10513</v>
      </c>
      <c r="M1981" s="1" t="s">
        <v>145</v>
      </c>
      <c r="N1981" s="1">
        <v>0</v>
      </c>
      <c r="O1981" s="1">
        <v>0</v>
      </c>
      <c r="P1981" s="1" t="s">
        <v>4935</v>
      </c>
      <c r="Q1981" s="1" t="s">
        <v>101</v>
      </c>
      <c r="R1981" s="1" t="s">
        <v>10514</v>
      </c>
      <c r="S1981" s="1" t="s">
        <v>10503</v>
      </c>
      <c r="T1981" s="1">
        <v>1</v>
      </c>
      <c r="U1981" s="1">
        <v>1</v>
      </c>
      <c r="V1981" s="1">
        <v>1</v>
      </c>
      <c r="W1981" s="1">
        <v>0</v>
      </c>
      <c r="X1981" s="1">
        <v>0</v>
      </c>
      <c r="Y1981" s="1" t="s">
        <v>104</v>
      </c>
      <c r="Z1981" s="1" t="s">
        <v>104</v>
      </c>
      <c r="AA1981" s="1" t="s">
        <v>104</v>
      </c>
      <c r="AB1981" s="1">
        <v>2</v>
      </c>
      <c r="AC1981" s="1">
        <v>3</v>
      </c>
      <c r="AD1981" s="1" t="s">
        <v>104</v>
      </c>
      <c r="AE1981" s="1" t="s">
        <v>104</v>
      </c>
      <c r="AF1981" s="1" t="s">
        <v>104</v>
      </c>
      <c r="AG1981" s="1" t="s">
        <v>104</v>
      </c>
      <c r="AH1981" s="1">
        <v>2</v>
      </c>
      <c r="AI1981" s="1" t="s">
        <v>104</v>
      </c>
      <c r="AJ1981" s="1" t="s">
        <v>104</v>
      </c>
      <c r="AK1981" s="1" t="s">
        <v>104</v>
      </c>
      <c r="AL1981" s="1" t="s">
        <v>104</v>
      </c>
      <c r="AM1981" s="1" t="s">
        <v>104</v>
      </c>
      <c r="AO1981" s="1">
        <v>2</v>
      </c>
      <c r="AR1981" s="1">
        <v>0</v>
      </c>
      <c r="AS1981" s="1">
        <v>0</v>
      </c>
      <c r="AT1981" s="1">
        <v>0</v>
      </c>
      <c r="AU1981" s="1">
        <v>0</v>
      </c>
      <c r="AV1981" s="1">
        <v>0</v>
      </c>
      <c r="AW1981" s="1">
        <v>0</v>
      </c>
      <c r="AX1981" s="1">
        <v>0</v>
      </c>
      <c r="AY1981" s="1">
        <v>0</v>
      </c>
      <c r="AZ1981" s="1">
        <v>0</v>
      </c>
      <c r="BA1981" s="1">
        <v>0</v>
      </c>
      <c r="BB1981" s="1">
        <v>0</v>
      </c>
      <c r="BC1981" s="1">
        <v>0</v>
      </c>
      <c r="BD1981" s="1">
        <v>0</v>
      </c>
      <c r="BE1981" s="1">
        <v>0</v>
      </c>
      <c r="BF1981" s="1">
        <v>0</v>
      </c>
      <c r="BG1981" s="1">
        <v>0</v>
      </c>
      <c r="BH1981" s="1">
        <v>0</v>
      </c>
      <c r="BI1981" s="1">
        <v>0</v>
      </c>
      <c r="BJ1981" s="1">
        <v>0</v>
      </c>
      <c r="BK1981" s="1">
        <v>0</v>
      </c>
      <c r="BL1981" s="1">
        <v>0</v>
      </c>
      <c r="BM1981" s="1">
        <v>1</v>
      </c>
      <c r="BN1981" s="1">
        <v>0</v>
      </c>
      <c r="BO1981" s="1">
        <v>0</v>
      </c>
      <c r="BP1981" s="1">
        <v>0</v>
      </c>
      <c r="BQ1981" s="1" t="s">
        <v>104</v>
      </c>
      <c r="BR1981" s="1">
        <v>2085</v>
      </c>
      <c r="BS1981" s="1" t="s">
        <v>104</v>
      </c>
      <c r="BX1981" s="1">
        <v>0</v>
      </c>
      <c r="BY1981" s="1" t="s">
        <v>104</v>
      </c>
      <c r="BZ1981" s="1">
        <v>2</v>
      </c>
      <c r="CA1981" s="1" t="s">
        <v>104</v>
      </c>
      <c r="CB1981" s="1" t="s">
        <v>104</v>
      </c>
      <c r="CC1981" s="1" t="s">
        <v>104</v>
      </c>
      <c r="CD1981" s="1" t="s">
        <v>104</v>
      </c>
      <c r="CE1981" s="1" t="s">
        <v>104</v>
      </c>
      <c r="CF1981" s="1" t="s">
        <v>104</v>
      </c>
      <c r="CG1981" s="1" t="s">
        <v>104</v>
      </c>
      <c r="CH1981" s="1">
        <v>2</v>
      </c>
      <c r="CJ1981" s="1">
        <v>0</v>
      </c>
      <c r="CK1981" s="1">
        <v>0</v>
      </c>
      <c r="CL1981" s="1">
        <v>0</v>
      </c>
      <c r="CM1981" s="1" t="s">
        <v>104</v>
      </c>
    </row>
    <row r="1982" spans="1:91" ht="14.25" customHeight="1" x14ac:dyDescent="0.3">
      <c r="A1982" s="1" t="s">
        <v>10515</v>
      </c>
      <c r="B1982" s="1" t="s">
        <v>92</v>
      </c>
      <c r="C1982" s="1" t="s">
        <v>903</v>
      </c>
      <c r="E1982" s="1" t="s">
        <v>10516</v>
      </c>
      <c r="F1982" s="1" t="s">
        <v>95</v>
      </c>
      <c r="G1982" s="1" t="s">
        <v>116</v>
      </c>
      <c r="H1982" s="1">
        <v>0</v>
      </c>
      <c r="I1982" s="1" t="s">
        <v>10517</v>
      </c>
      <c r="L1982" s="1" t="s">
        <v>3656</v>
      </c>
      <c r="M1982" s="1" t="s">
        <v>119</v>
      </c>
      <c r="N1982" s="1">
        <v>0</v>
      </c>
      <c r="O1982" s="1">
        <v>0</v>
      </c>
      <c r="P1982" s="1" t="s">
        <v>211</v>
      </c>
      <c r="Q1982" s="1" t="s">
        <v>184</v>
      </c>
      <c r="R1982" s="1" t="s">
        <v>10518</v>
      </c>
      <c r="S1982" s="1" t="s">
        <v>10519</v>
      </c>
      <c r="T1982" s="1">
        <v>1</v>
      </c>
      <c r="U1982" s="1">
        <v>1</v>
      </c>
      <c r="V1982" s="1">
        <v>0</v>
      </c>
      <c r="W1982" s="1">
        <v>0</v>
      </c>
      <c r="X1982" s="1">
        <v>0</v>
      </c>
      <c r="Y1982" s="1">
        <v>2</v>
      </c>
      <c r="Z1982" s="1">
        <v>2</v>
      </c>
      <c r="AA1982" s="1">
        <v>2</v>
      </c>
      <c r="AB1982" s="1">
        <v>2</v>
      </c>
      <c r="AC1982" s="1">
        <v>2</v>
      </c>
      <c r="AD1982" s="1">
        <v>2</v>
      </c>
      <c r="AE1982" s="1" t="s">
        <v>104</v>
      </c>
      <c r="AF1982" s="1" t="s">
        <v>104</v>
      </c>
      <c r="AG1982" s="1">
        <v>2</v>
      </c>
      <c r="AH1982" s="1">
        <v>2</v>
      </c>
      <c r="AI1982" s="1" t="s">
        <v>104</v>
      </c>
      <c r="AJ1982" s="1">
        <v>2</v>
      </c>
      <c r="AK1982" s="1">
        <v>2</v>
      </c>
      <c r="AL1982" s="1" t="s">
        <v>104</v>
      </c>
      <c r="AM1982" s="1" t="s">
        <v>104</v>
      </c>
      <c r="AO1982" s="1">
        <v>2</v>
      </c>
      <c r="AR1982" s="1">
        <v>0</v>
      </c>
      <c r="AS1982" s="1">
        <v>0</v>
      </c>
      <c r="AT1982" s="1">
        <v>0</v>
      </c>
      <c r="AU1982" s="1">
        <v>0</v>
      </c>
      <c r="AV1982" s="1">
        <v>0</v>
      </c>
      <c r="AW1982" s="1">
        <v>0</v>
      </c>
      <c r="AX1982" s="1">
        <v>0</v>
      </c>
      <c r="AY1982" s="1">
        <v>0</v>
      </c>
      <c r="AZ1982" s="1">
        <v>0</v>
      </c>
      <c r="BA1982" s="1">
        <v>0</v>
      </c>
      <c r="BB1982" s="1">
        <v>0</v>
      </c>
      <c r="BC1982" s="1">
        <v>0</v>
      </c>
      <c r="BD1982" s="1">
        <v>0</v>
      </c>
      <c r="BE1982" s="1">
        <v>0</v>
      </c>
      <c r="BF1982" s="1">
        <v>0</v>
      </c>
      <c r="BG1982" s="1">
        <v>0</v>
      </c>
      <c r="BH1982" s="1">
        <v>0</v>
      </c>
      <c r="BI1982" s="1">
        <v>0</v>
      </c>
      <c r="BJ1982" s="1">
        <v>0</v>
      </c>
      <c r="BK1982" s="1">
        <v>0</v>
      </c>
      <c r="BL1982" s="1">
        <v>0</v>
      </c>
      <c r="BM1982" s="1">
        <v>0</v>
      </c>
      <c r="BN1982" s="1">
        <v>0</v>
      </c>
      <c r="BO1982" s="1">
        <v>0</v>
      </c>
      <c r="BP1982" s="1">
        <v>0</v>
      </c>
      <c r="BQ1982" s="1" t="s">
        <v>104</v>
      </c>
      <c r="BR1982" s="1">
        <v>2086</v>
      </c>
      <c r="BS1982" s="1" t="s">
        <v>104</v>
      </c>
      <c r="BX1982" s="1">
        <v>0</v>
      </c>
      <c r="BY1982" s="1" t="s">
        <v>104</v>
      </c>
      <c r="BZ1982" s="1" t="s">
        <v>104</v>
      </c>
      <c r="CA1982" s="1" t="s">
        <v>104</v>
      </c>
      <c r="CB1982" s="1" t="s">
        <v>104</v>
      </c>
      <c r="CC1982" s="1" t="s">
        <v>104</v>
      </c>
      <c r="CD1982" s="1" t="s">
        <v>104</v>
      </c>
      <c r="CE1982" s="1" t="s">
        <v>104</v>
      </c>
      <c r="CF1982" s="1" t="s">
        <v>104</v>
      </c>
      <c r="CG1982" s="1" t="s">
        <v>104</v>
      </c>
      <c r="CH1982" s="1">
        <v>2</v>
      </c>
      <c r="CJ1982" s="1">
        <v>0</v>
      </c>
      <c r="CK1982" s="1">
        <v>0</v>
      </c>
      <c r="CL1982" s="1">
        <v>0</v>
      </c>
      <c r="CM1982" s="1">
        <v>2</v>
      </c>
    </row>
    <row r="1983" spans="1:91" ht="14.25" customHeight="1" x14ac:dyDescent="0.3">
      <c r="A1983" s="1" t="s">
        <v>10520</v>
      </c>
      <c r="B1983" s="1" t="s">
        <v>434</v>
      </c>
      <c r="E1983" s="1" t="s">
        <v>10521</v>
      </c>
      <c r="F1983" s="1" t="s">
        <v>95</v>
      </c>
      <c r="G1983" s="1" t="s">
        <v>116</v>
      </c>
      <c r="H1983" s="1">
        <v>0</v>
      </c>
      <c r="I1983" s="1" t="s">
        <v>117</v>
      </c>
      <c r="L1983" s="1" t="s">
        <v>3656</v>
      </c>
      <c r="M1983" s="1" t="s">
        <v>119</v>
      </c>
      <c r="N1983" s="1">
        <v>0</v>
      </c>
      <c r="O1983" s="1">
        <v>0</v>
      </c>
      <c r="P1983" s="1" t="s">
        <v>10522</v>
      </c>
      <c r="Q1983" s="1" t="s">
        <v>184</v>
      </c>
      <c r="R1983" s="1" t="s">
        <v>10523</v>
      </c>
      <c r="S1983" s="1" t="s">
        <v>10519</v>
      </c>
      <c r="T1983" s="1">
        <v>1</v>
      </c>
      <c r="U1983" s="1">
        <v>1</v>
      </c>
      <c r="V1983" s="1">
        <v>0</v>
      </c>
      <c r="W1983" s="1">
        <v>0</v>
      </c>
      <c r="X1983" s="1">
        <v>0</v>
      </c>
      <c r="Y1983" s="1">
        <v>3</v>
      </c>
      <c r="Z1983" s="1">
        <v>3</v>
      </c>
      <c r="AA1983" s="1">
        <v>3</v>
      </c>
      <c r="AB1983" s="1" t="s">
        <v>104</v>
      </c>
      <c r="AC1983" s="1" t="s">
        <v>104</v>
      </c>
      <c r="AD1983" s="1" t="s">
        <v>104</v>
      </c>
      <c r="AE1983" s="1" t="s">
        <v>104</v>
      </c>
      <c r="AF1983" s="1" t="s">
        <v>104</v>
      </c>
      <c r="AG1983" s="1">
        <v>2</v>
      </c>
      <c r="AH1983" s="1">
        <v>4</v>
      </c>
      <c r="AI1983" s="1" t="s">
        <v>104</v>
      </c>
      <c r="AJ1983" s="1">
        <v>3</v>
      </c>
      <c r="AK1983" s="1">
        <v>3</v>
      </c>
      <c r="AL1983" s="1" t="s">
        <v>104</v>
      </c>
      <c r="AM1983" s="1" t="s">
        <v>104</v>
      </c>
      <c r="AO1983" s="1">
        <v>3</v>
      </c>
      <c r="AR1983" s="1">
        <v>0</v>
      </c>
      <c r="AS1983" s="1">
        <v>0</v>
      </c>
      <c r="AT1983" s="1">
        <v>0</v>
      </c>
      <c r="AU1983" s="1">
        <v>0</v>
      </c>
      <c r="AV1983" s="1">
        <v>0</v>
      </c>
      <c r="AW1983" s="1">
        <v>0</v>
      </c>
      <c r="AX1983" s="1">
        <v>0</v>
      </c>
      <c r="AY1983" s="1">
        <v>0</v>
      </c>
      <c r="AZ1983" s="1">
        <v>0</v>
      </c>
      <c r="BA1983" s="1">
        <v>0</v>
      </c>
      <c r="BB1983" s="1">
        <v>0</v>
      </c>
      <c r="BC1983" s="1">
        <v>0</v>
      </c>
      <c r="BD1983" s="1">
        <v>0</v>
      </c>
      <c r="BE1983" s="1">
        <v>0</v>
      </c>
      <c r="BF1983" s="1">
        <v>0</v>
      </c>
      <c r="BG1983" s="1">
        <v>0</v>
      </c>
      <c r="BH1983" s="1">
        <v>0</v>
      </c>
      <c r="BI1983" s="1">
        <v>0</v>
      </c>
      <c r="BJ1983" s="1">
        <v>0</v>
      </c>
      <c r="BK1983" s="1">
        <v>0</v>
      </c>
      <c r="BL1983" s="1">
        <v>0</v>
      </c>
      <c r="BM1983" s="1">
        <v>0</v>
      </c>
      <c r="BN1983" s="1">
        <v>0</v>
      </c>
      <c r="BO1983" s="1">
        <v>0</v>
      </c>
      <c r="BP1983" s="1">
        <v>0</v>
      </c>
      <c r="BQ1983" s="1" t="s">
        <v>104</v>
      </c>
      <c r="BR1983" s="1">
        <v>2087</v>
      </c>
      <c r="BS1983" s="1" t="s">
        <v>104</v>
      </c>
      <c r="BX1983" s="1">
        <v>0</v>
      </c>
      <c r="BY1983" s="1">
        <v>2</v>
      </c>
      <c r="BZ1983" s="1">
        <v>3</v>
      </c>
      <c r="CA1983" s="1" t="s">
        <v>104</v>
      </c>
      <c r="CB1983" s="1" t="s">
        <v>104</v>
      </c>
      <c r="CC1983" s="1" t="s">
        <v>104</v>
      </c>
      <c r="CD1983" s="1" t="s">
        <v>104</v>
      </c>
      <c r="CE1983" s="1" t="s">
        <v>104</v>
      </c>
      <c r="CF1983" s="1" t="s">
        <v>104</v>
      </c>
      <c r="CG1983" s="1" t="s">
        <v>104</v>
      </c>
      <c r="CH1983" s="1" t="s">
        <v>104</v>
      </c>
      <c r="CJ1983" s="1">
        <v>0</v>
      </c>
      <c r="CK1983" s="1">
        <v>0</v>
      </c>
      <c r="CL1983" s="1">
        <v>0</v>
      </c>
      <c r="CM1983" s="1">
        <v>2</v>
      </c>
    </row>
    <row r="1984" spans="1:91" ht="14.25" customHeight="1" x14ac:dyDescent="0.3">
      <c r="A1984" s="1" t="s">
        <v>10524</v>
      </c>
      <c r="B1984" s="1" t="s">
        <v>162</v>
      </c>
      <c r="E1984" s="1" t="s">
        <v>10525</v>
      </c>
      <c r="F1984" s="1" t="s">
        <v>95</v>
      </c>
      <c r="G1984" s="1" t="s">
        <v>116</v>
      </c>
      <c r="H1984" s="1">
        <v>0</v>
      </c>
      <c r="I1984" s="1" t="s">
        <v>117</v>
      </c>
      <c r="L1984" s="1" t="s">
        <v>10526</v>
      </c>
      <c r="M1984" s="1" t="s">
        <v>426</v>
      </c>
      <c r="N1984" s="1">
        <v>1</v>
      </c>
      <c r="O1984" s="1">
        <v>0</v>
      </c>
      <c r="P1984" s="1" t="s">
        <v>100</v>
      </c>
      <c r="Q1984" s="1" t="s">
        <v>101</v>
      </c>
      <c r="R1984" s="1" t="s">
        <v>10527</v>
      </c>
      <c r="S1984" s="1" t="s">
        <v>10519</v>
      </c>
      <c r="T1984" s="1">
        <v>1</v>
      </c>
      <c r="U1984" s="1">
        <v>1</v>
      </c>
      <c r="V1984" s="1">
        <v>0</v>
      </c>
      <c r="W1984" s="1">
        <v>0</v>
      </c>
      <c r="X1984" s="1">
        <v>0</v>
      </c>
      <c r="Y1984" s="1">
        <v>2</v>
      </c>
      <c r="Z1984" s="1">
        <v>2</v>
      </c>
      <c r="AA1984" s="1">
        <v>2</v>
      </c>
      <c r="AB1984" s="1">
        <v>2</v>
      </c>
      <c r="AC1984" s="1" t="s">
        <v>104</v>
      </c>
      <c r="AD1984" s="1" t="s">
        <v>104</v>
      </c>
      <c r="AE1984" s="1" t="s">
        <v>104</v>
      </c>
      <c r="AF1984" s="1" t="s">
        <v>104</v>
      </c>
      <c r="AG1984" s="1">
        <v>2</v>
      </c>
      <c r="AH1984" s="1">
        <v>2</v>
      </c>
      <c r="AI1984" s="1" t="s">
        <v>104</v>
      </c>
      <c r="AJ1984" s="1">
        <v>2</v>
      </c>
      <c r="AK1984" s="1" t="s">
        <v>104</v>
      </c>
      <c r="AL1984" s="1" t="s">
        <v>104</v>
      </c>
      <c r="AM1984" s="1" t="s">
        <v>104</v>
      </c>
      <c r="AO1984" s="1">
        <v>2</v>
      </c>
      <c r="AR1984" s="1">
        <v>0</v>
      </c>
      <c r="AS1984" s="1">
        <v>0</v>
      </c>
      <c r="AT1984" s="1">
        <v>0</v>
      </c>
      <c r="AU1984" s="1">
        <v>0</v>
      </c>
      <c r="AV1984" s="1">
        <v>0</v>
      </c>
      <c r="AW1984" s="1">
        <v>0</v>
      </c>
      <c r="AX1984" s="1">
        <v>0</v>
      </c>
      <c r="AY1984" s="1">
        <v>0</v>
      </c>
      <c r="AZ1984" s="1">
        <v>0</v>
      </c>
      <c r="BA1984" s="1">
        <v>0</v>
      </c>
      <c r="BB1984" s="1">
        <v>0</v>
      </c>
      <c r="BC1984" s="1">
        <v>0</v>
      </c>
      <c r="BD1984" s="1">
        <v>0</v>
      </c>
      <c r="BE1984" s="1">
        <v>0</v>
      </c>
      <c r="BF1984" s="1">
        <v>0</v>
      </c>
      <c r="BG1984" s="1">
        <v>0</v>
      </c>
      <c r="BH1984" s="1">
        <v>0</v>
      </c>
      <c r="BI1984" s="1">
        <v>0</v>
      </c>
      <c r="BJ1984" s="1">
        <v>0</v>
      </c>
      <c r="BK1984" s="1">
        <v>0</v>
      </c>
      <c r="BL1984" s="1">
        <v>0</v>
      </c>
      <c r="BM1984" s="1">
        <v>0</v>
      </c>
      <c r="BN1984" s="1">
        <v>0</v>
      </c>
      <c r="BO1984" s="1">
        <v>0</v>
      </c>
      <c r="BP1984" s="1">
        <v>0</v>
      </c>
      <c r="BQ1984" s="1" t="s">
        <v>104</v>
      </c>
      <c r="BR1984" s="1">
        <v>2088</v>
      </c>
      <c r="BS1984" s="1" t="s">
        <v>104</v>
      </c>
      <c r="BX1984" s="1">
        <v>0</v>
      </c>
      <c r="BY1984" s="1" t="s">
        <v>104</v>
      </c>
      <c r="BZ1984" s="1" t="s">
        <v>104</v>
      </c>
      <c r="CA1984" s="1" t="s">
        <v>104</v>
      </c>
      <c r="CB1984" s="1" t="s">
        <v>104</v>
      </c>
      <c r="CC1984" s="1" t="s">
        <v>104</v>
      </c>
      <c r="CD1984" s="1" t="s">
        <v>104</v>
      </c>
      <c r="CE1984" s="1" t="s">
        <v>104</v>
      </c>
      <c r="CF1984" s="1" t="s">
        <v>104</v>
      </c>
      <c r="CG1984" s="1" t="s">
        <v>104</v>
      </c>
      <c r="CH1984" s="1">
        <v>2</v>
      </c>
      <c r="CJ1984" s="1">
        <v>0</v>
      </c>
      <c r="CK1984" s="1">
        <v>0</v>
      </c>
      <c r="CL1984" s="1">
        <v>0</v>
      </c>
      <c r="CM1984" s="1">
        <v>2</v>
      </c>
    </row>
    <row r="1985" spans="1:91" ht="14.25" customHeight="1" x14ac:dyDescent="0.3">
      <c r="A1985" s="1" t="s">
        <v>10528</v>
      </c>
      <c r="B1985" s="1" t="s">
        <v>92</v>
      </c>
      <c r="C1985" s="1" t="s">
        <v>523</v>
      </c>
      <c r="E1985" s="1" t="s">
        <v>10529</v>
      </c>
      <c r="F1985" s="1" t="s">
        <v>1502</v>
      </c>
      <c r="G1985" s="1" t="s">
        <v>10530</v>
      </c>
      <c r="H1985" s="1">
        <v>0</v>
      </c>
      <c r="I1985" s="1" t="s">
        <v>117</v>
      </c>
      <c r="L1985" s="1" t="s">
        <v>10531</v>
      </c>
      <c r="M1985" s="1" t="s">
        <v>426</v>
      </c>
      <c r="N1985" s="1">
        <v>1</v>
      </c>
      <c r="O1985" s="1">
        <v>0</v>
      </c>
      <c r="P1985" s="1" t="s">
        <v>100</v>
      </c>
      <c r="Q1985" s="1" t="s">
        <v>101</v>
      </c>
      <c r="R1985" s="1" t="s">
        <v>10532</v>
      </c>
      <c r="S1985" s="1" t="s">
        <v>10519</v>
      </c>
      <c r="T1985" s="1">
        <v>1</v>
      </c>
      <c r="U1985" s="1">
        <v>1</v>
      </c>
      <c r="V1985" s="1">
        <v>0</v>
      </c>
      <c r="W1985" s="1">
        <v>0</v>
      </c>
      <c r="X1985" s="1">
        <v>1</v>
      </c>
      <c r="Y1985" s="1" t="s">
        <v>104</v>
      </c>
      <c r="Z1985" s="1" t="s">
        <v>104</v>
      </c>
      <c r="AA1985" s="1">
        <v>4</v>
      </c>
      <c r="AB1985" s="1">
        <v>4</v>
      </c>
      <c r="AC1985" s="1" t="s">
        <v>104</v>
      </c>
      <c r="AD1985" s="1" t="s">
        <v>104</v>
      </c>
      <c r="AE1985" s="1" t="s">
        <v>104</v>
      </c>
      <c r="AF1985" s="1" t="s">
        <v>104</v>
      </c>
      <c r="AG1985" s="1">
        <v>4</v>
      </c>
      <c r="AH1985" s="1">
        <v>4</v>
      </c>
      <c r="AI1985" s="1" t="s">
        <v>104</v>
      </c>
      <c r="AJ1985" s="1">
        <v>4</v>
      </c>
      <c r="AK1985" s="1" t="s">
        <v>104</v>
      </c>
      <c r="AL1985" s="1" t="s">
        <v>104</v>
      </c>
      <c r="AM1985" s="1" t="s">
        <v>104</v>
      </c>
      <c r="AO1985" s="1">
        <v>4</v>
      </c>
      <c r="AR1985" s="1">
        <v>0</v>
      </c>
      <c r="AS1985" s="1">
        <v>0</v>
      </c>
      <c r="AT1985" s="1">
        <v>0</v>
      </c>
      <c r="AU1985" s="1">
        <v>0</v>
      </c>
      <c r="AV1985" s="1">
        <v>0</v>
      </c>
      <c r="AW1985" s="1">
        <v>0</v>
      </c>
      <c r="AX1985" s="1">
        <v>0</v>
      </c>
      <c r="AY1985" s="1">
        <v>0</v>
      </c>
      <c r="AZ1985" s="1">
        <v>0</v>
      </c>
      <c r="BA1985" s="1">
        <v>0</v>
      </c>
      <c r="BB1985" s="1">
        <v>0</v>
      </c>
      <c r="BC1985" s="1">
        <v>0</v>
      </c>
      <c r="BD1985" s="1">
        <v>0</v>
      </c>
      <c r="BE1985" s="1">
        <v>0</v>
      </c>
      <c r="BF1985" s="1">
        <v>0</v>
      </c>
      <c r="BG1985" s="1">
        <v>0</v>
      </c>
      <c r="BH1985" s="1">
        <v>0</v>
      </c>
      <c r="BI1985" s="1">
        <v>0</v>
      </c>
      <c r="BJ1985" s="1">
        <v>0</v>
      </c>
      <c r="BK1985" s="1">
        <v>0</v>
      </c>
      <c r="BL1985" s="1">
        <v>0</v>
      </c>
      <c r="BM1985" s="1">
        <v>0</v>
      </c>
      <c r="BN1985" s="1">
        <v>0</v>
      </c>
      <c r="BO1985" s="1">
        <v>0</v>
      </c>
      <c r="BP1985" s="1">
        <v>0</v>
      </c>
      <c r="BQ1985" s="1" t="s">
        <v>104</v>
      </c>
      <c r="BR1985" s="1">
        <v>2089</v>
      </c>
      <c r="BS1985" s="1" t="s">
        <v>104</v>
      </c>
      <c r="BX1985" s="1">
        <v>0</v>
      </c>
      <c r="BY1985" s="1" t="s">
        <v>104</v>
      </c>
      <c r="BZ1985" s="1">
        <v>4</v>
      </c>
      <c r="CA1985" s="1" t="s">
        <v>104</v>
      </c>
      <c r="CB1985" s="1" t="s">
        <v>104</v>
      </c>
      <c r="CC1985" s="1" t="s">
        <v>104</v>
      </c>
      <c r="CD1985" s="1" t="s">
        <v>104</v>
      </c>
      <c r="CE1985" s="1" t="s">
        <v>104</v>
      </c>
      <c r="CF1985" s="1" t="s">
        <v>104</v>
      </c>
      <c r="CG1985" s="1" t="s">
        <v>104</v>
      </c>
      <c r="CH1985" s="1">
        <v>4</v>
      </c>
      <c r="CJ1985" s="1">
        <v>0</v>
      </c>
      <c r="CK1985" s="1">
        <v>0</v>
      </c>
      <c r="CL1985" s="1">
        <v>0</v>
      </c>
      <c r="CM1985" s="1">
        <v>4</v>
      </c>
    </row>
    <row r="1986" spans="1:91" ht="14.25" customHeight="1" x14ac:dyDescent="0.3">
      <c r="A1986" s="1" t="s">
        <v>10533</v>
      </c>
      <c r="B1986" s="1" t="s">
        <v>92</v>
      </c>
      <c r="C1986" s="1" t="s">
        <v>1160</v>
      </c>
      <c r="E1986" s="1" t="s">
        <v>10534</v>
      </c>
      <c r="F1986" s="1" t="s">
        <v>95</v>
      </c>
      <c r="G1986" s="1" t="s">
        <v>116</v>
      </c>
      <c r="H1986" s="1">
        <v>0</v>
      </c>
      <c r="I1986" s="1" t="s">
        <v>117</v>
      </c>
      <c r="L1986" s="1" t="s">
        <v>10535</v>
      </c>
      <c r="M1986" s="1" t="s">
        <v>426</v>
      </c>
      <c r="N1986" s="1">
        <v>1</v>
      </c>
      <c r="O1986" s="1">
        <v>0</v>
      </c>
      <c r="P1986" s="1" t="s">
        <v>100</v>
      </c>
      <c r="Q1986" s="1" t="s">
        <v>101</v>
      </c>
      <c r="R1986" s="1" t="s">
        <v>10536</v>
      </c>
      <c r="S1986" s="1" t="s">
        <v>10519</v>
      </c>
      <c r="T1986" s="1">
        <v>1</v>
      </c>
      <c r="U1986" s="1">
        <v>1</v>
      </c>
      <c r="V1986" s="1">
        <v>0</v>
      </c>
      <c r="W1986" s="1">
        <v>0</v>
      </c>
      <c r="X1986" s="1">
        <v>0</v>
      </c>
      <c r="Y1986" s="1">
        <v>4</v>
      </c>
      <c r="Z1986" s="1">
        <v>4</v>
      </c>
      <c r="AA1986" s="1">
        <v>4</v>
      </c>
      <c r="AB1986" s="1">
        <v>4</v>
      </c>
      <c r="AC1986" s="1" t="s">
        <v>104</v>
      </c>
      <c r="AD1986" s="1" t="s">
        <v>104</v>
      </c>
      <c r="AE1986" s="1" t="s">
        <v>104</v>
      </c>
      <c r="AF1986" s="1" t="s">
        <v>104</v>
      </c>
      <c r="AG1986" s="1">
        <v>3</v>
      </c>
      <c r="AH1986" s="1">
        <v>4</v>
      </c>
      <c r="AI1986" s="1" t="s">
        <v>104</v>
      </c>
      <c r="AJ1986" s="1">
        <v>4</v>
      </c>
      <c r="AK1986" s="1" t="s">
        <v>104</v>
      </c>
      <c r="AL1986" s="1" t="s">
        <v>104</v>
      </c>
      <c r="AM1986" s="1" t="s">
        <v>104</v>
      </c>
      <c r="AO1986" s="1">
        <v>4</v>
      </c>
      <c r="AR1986" s="1">
        <v>0</v>
      </c>
      <c r="AS1986" s="1">
        <v>0</v>
      </c>
      <c r="AT1986" s="1">
        <v>0</v>
      </c>
      <c r="AU1986" s="1">
        <v>0</v>
      </c>
      <c r="AV1986" s="1">
        <v>0</v>
      </c>
      <c r="AW1986" s="1">
        <v>0</v>
      </c>
      <c r="AX1986" s="1">
        <v>0</v>
      </c>
      <c r="AY1986" s="1">
        <v>0</v>
      </c>
      <c r="AZ1986" s="1">
        <v>0</v>
      </c>
      <c r="BA1986" s="1">
        <v>0</v>
      </c>
      <c r="BB1986" s="1">
        <v>0</v>
      </c>
      <c r="BC1986" s="1">
        <v>0</v>
      </c>
      <c r="BD1986" s="1">
        <v>0</v>
      </c>
      <c r="BE1986" s="1">
        <v>0</v>
      </c>
      <c r="BF1986" s="1">
        <v>0</v>
      </c>
      <c r="BG1986" s="1">
        <v>0</v>
      </c>
      <c r="BH1986" s="1">
        <v>0</v>
      </c>
      <c r="BI1986" s="1">
        <v>0</v>
      </c>
      <c r="BJ1986" s="1">
        <v>0</v>
      </c>
      <c r="BK1986" s="1">
        <v>0</v>
      </c>
      <c r="BL1986" s="1">
        <v>0</v>
      </c>
      <c r="BM1986" s="1">
        <v>0</v>
      </c>
      <c r="BN1986" s="1">
        <v>0</v>
      </c>
      <c r="BO1986" s="1">
        <v>0</v>
      </c>
      <c r="BP1986" s="1">
        <v>0</v>
      </c>
      <c r="BQ1986" s="1" t="s">
        <v>104</v>
      </c>
      <c r="BR1986" s="1">
        <v>2090</v>
      </c>
      <c r="BS1986" s="1" t="s">
        <v>104</v>
      </c>
      <c r="BX1986" s="1">
        <v>0</v>
      </c>
      <c r="BY1986" s="1" t="s">
        <v>104</v>
      </c>
      <c r="BZ1986" s="1" t="s">
        <v>104</v>
      </c>
      <c r="CA1986" s="1" t="s">
        <v>104</v>
      </c>
      <c r="CB1986" s="1" t="s">
        <v>104</v>
      </c>
      <c r="CC1986" s="1" t="s">
        <v>104</v>
      </c>
      <c r="CD1986" s="1" t="s">
        <v>104</v>
      </c>
      <c r="CE1986" s="1" t="s">
        <v>104</v>
      </c>
      <c r="CF1986" s="1" t="s">
        <v>104</v>
      </c>
      <c r="CG1986" s="1" t="s">
        <v>104</v>
      </c>
      <c r="CH1986" s="1">
        <v>4</v>
      </c>
      <c r="CJ1986" s="1">
        <v>0</v>
      </c>
      <c r="CK1986" s="1">
        <v>0</v>
      </c>
      <c r="CL1986" s="1">
        <v>0</v>
      </c>
      <c r="CM1986" s="1">
        <v>3</v>
      </c>
    </row>
    <row r="1987" spans="1:91" ht="14.25" customHeight="1" x14ac:dyDescent="0.3">
      <c r="A1987" s="1" t="s">
        <v>10537</v>
      </c>
      <c r="B1987" s="1" t="s">
        <v>137</v>
      </c>
      <c r="C1987" s="1" t="s">
        <v>154</v>
      </c>
      <c r="E1987" s="1" t="s">
        <v>10538</v>
      </c>
      <c r="F1987" s="1" t="s">
        <v>95</v>
      </c>
      <c r="G1987" s="1" t="s">
        <v>116</v>
      </c>
      <c r="H1987" s="1">
        <v>0</v>
      </c>
      <c r="I1987" s="1" t="s">
        <v>4350</v>
      </c>
      <c r="L1987" s="1" t="s">
        <v>10535</v>
      </c>
      <c r="M1987" s="1" t="s">
        <v>426</v>
      </c>
      <c r="N1987" s="1">
        <v>1</v>
      </c>
      <c r="O1987" s="1">
        <v>0</v>
      </c>
      <c r="P1987" s="1" t="s">
        <v>100</v>
      </c>
      <c r="Q1987" s="1" t="s">
        <v>101</v>
      </c>
      <c r="R1987" s="1" t="s">
        <v>10539</v>
      </c>
      <c r="S1987" s="1" t="s">
        <v>10519</v>
      </c>
      <c r="T1987" s="1">
        <v>1</v>
      </c>
      <c r="U1987" s="1">
        <v>1</v>
      </c>
      <c r="V1987" s="1">
        <v>0</v>
      </c>
      <c r="W1987" s="1">
        <v>0</v>
      </c>
      <c r="X1987" s="1">
        <v>0</v>
      </c>
      <c r="Y1987" s="1">
        <v>5</v>
      </c>
      <c r="Z1987" s="1">
        <v>5</v>
      </c>
      <c r="AA1987" s="1" t="s">
        <v>104</v>
      </c>
      <c r="AB1987" s="1">
        <v>5</v>
      </c>
      <c r="AC1987" s="1" t="s">
        <v>104</v>
      </c>
      <c r="AD1987" s="1" t="s">
        <v>104</v>
      </c>
      <c r="AE1987" s="1" t="s">
        <v>104</v>
      </c>
      <c r="AF1987" s="1" t="s">
        <v>104</v>
      </c>
      <c r="AG1987" s="1">
        <v>5</v>
      </c>
      <c r="AH1987" s="1">
        <v>5</v>
      </c>
      <c r="AI1987" s="1" t="s">
        <v>104</v>
      </c>
      <c r="AJ1987" s="1" t="s">
        <v>104</v>
      </c>
      <c r="AK1987" s="1" t="s">
        <v>104</v>
      </c>
      <c r="AL1987" s="1" t="s">
        <v>104</v>
      </c>
      <c r="AM1987" s="1" t="s">
        <v>104</v>
      </c>
      <c r="AO1987" s="1">
        <v>5</v>
      </c>
      <c r="AR1987" s="1">
        <v>0</v>
      </c>
      <c r="AS1987" s="1">
        <v>0</v>
      </c>
      <c r="AT1987" s="1">
        <v>0</v>
      </c>
      <c r="AU1987" s="1">
        <v>0</v>
      </c>
      <c r="AV1987" s="1">
        <v>0</v>
      </c>
      <c r="AW1987" s="1">
        <v>0</v>
      </c>
      <c r="AX1987" s="1">
        <v>0</v>
      </c>
      <c r="AY1987" s="1">
        <v>0</v>
      </c>
      <c r="AZ1987" s="1">
        <v>0</v>
      </c>
      <c r="BA1987" s="1">
        <v>0</v>
      </c>
      <c r="BB1987" s="1">
        <v>0</v>
      </c>
      <c r="BC1987" s="1">
        <v>0</v>
      </c>
      <c r="BD1987" s="1">
        <v>0</v>
      </c>
      <c r="BE1987" s="1">
        <v>0</v>
      </c>
      <c r="BF1987" s="1">
        <v>0</v>
      </c>
      <c r="BG1987" s="1">
        <v>0</v>
      </c>
      <c r="BH1987" s="1">
        <v>0</v>
      </c>
      <c r="BI1987" s="1">
        <v>0</v>
      </c>
      <c r="BJ1987" s="1">
        <v>0</v>
      </c>
      <c r="BK1987" s="1">
        <v>0</v>
      </c>
      <c r="BL1987" s="1">
        <v>0</v>
      </c>
      <c r="BM1987" s="1">
        <v>0</v>
      </c>
      <c r="BN1987" s="1">
        <v>0</v>
      </c>
      <c r="BO1987" s="1">
        <v>0</v>
      </c>
      <c r="BP1987" s="1">
        <v>0</v>
      </c>
      <c r="BQ1987" s="1" t="s">
        <v>104</v>
      </c>
      <c r="BR1987" s="1">
        <v>2091</v>
      </c>
      <c r="BS1987" s="1" t="s">
        <v>104</v>
      </c>
      <c r="BX1987" s="1">
        <v>0</v>
      </c>
      <c r="BY1987" s="1" t="s">
        <v>104</v>
      </c>
      <c r="BZ1987" s="1" t="s">
        <v>104</v>
      </c>
      <c r="CA1987" s="1" t="s">
        <v>104</v>
      </c>
      <c r="CB1987" s="1" t="s">
        <v>104</v>
      </c>
      <c r="CC1987" s="1" t="s">
        <v>104</v>
      </c>
      <c r="CD1987" s="1" t="s">
        <v>104</v>
      </c>
      <c r="CE1987" s="1" t="s">
        <v>104</v>
      </c>
      <c r="CF1987" s="1" t="s">
        <v>104</v>
      </c>
      <c r="CG1987" s="1" t="s">
        <v>104</v>
      </c>
      <c r="CH1987" s="1">
        <v>5</v>
      </c>
      <c r="CJ1987" s="1">
        <v>0</v>
      </c>
      <c r="CK1987" s="1">
        <v>0</v>
      </c>
      <c r="CL1987" s="1">
        <v>0</v>
      </c>
      <c r="CM1987" s="1">
        <v>5</v>
      </c>
    </row>
    <row r="1988" spans="1:91" ht="14.25" customHeight="1" x14ac:dyDescent="0.3">
      <c r="A1988" s="1" t="s">
        <v>10540</v>
      </c>
      <c r="B1988" s="1" t="s">
        <v>92</v>
      </c>
      <c r="C1988" s="1" t="s">
        <v>903</v>
      </c>
      <c r="E1988" s="1" t="s">
        <v>10541</v>
      </c>
      <c r="F1988" s="1" t="s">
        <v>287</v>
      </c>
      <c r="G1988" s="1" t="s">
        <v>10542</v>
      </c>
      <c r="H1988" s="1">
        <v>0</v>
      </c>
      <c r="I1988" s="1" t="s">
        <v>117</v>
      </c>
      <c r="K1988" s="1" t="s">
        <v>10543</v>
      </c>
      <c r="M1988" s="1" t="s">
        <v>10544</v>
      </c>
      <c r="N1988" s="1">
        <v>1</v>
      </c>
      <c r="O1988" s="1">
        <v>0</v>
      </c>
      <c r="P1988" s="1" t="s">
        <v>100</v>
      </c>
      <c r="Q1988" s="1" t="s">
        <v>101</v>
      </c>
      <c r="R1988" s="1" t="s">
        <v>10545</v>
      </c>
      <c r="S1988" s="1" t="s">
        <v>10519</v>
      </c>
      <c r="T1988" s="1">
        <v>1</v>
      </c>
      <c r="U1988" s="1">
        <v>1</v>
      </c>
      <c r="V1988" s="1">
        <v>0</v>
      </c>
      <c r="W1988" s="1">
        <v>0</v>
      </c>
      <c r="X1988" s="1">
        <v>1</v>
      </c>
      <c r="Y1988" s="1" t="s">
        <v>104</v>
      </c>
      <c r="Z1988" s="1" t="s">
        <v>104</v>
      </c>
      <c r="AA1988" s="1">
        <v>6</v>
      </c>
      <c r="AB1988" s="1" t="s">
        <v>104</v>
      </c>
      <c r="AC1988" s="1" t="s">
        <v>104</v>
      </c>
      <c r="AD1988" s="1" t="s">
        <v>104</v>
      </c>
      <c r="AE1988" s="1" t="s">
        <v>104</v>
      </c>
      <c r="AF1988" s="1" t="s">
        <v>104</v>
      </c>
      <c r="AG1988" s="1">
        <v>6</v>
      </c>
      <c r="AH1988" s="1">
        <v>6</v>
      </c>
      <c r="AI1988" s="1" t="s">
        <v>104</v>
      </c>
      <c r="AJ1988" s="1">
        <v>6</v>
      </c>
      <c r="AK1988" s="1" t="s">
        <v>104</v>
      </c>
      <c r="AL1988" s="1" t="s">
        <v>104</v>
      </c>
      <c r="AM1988" s="1" t="s">
        <v>104</v>
      </c>
      <c r="AO1988" s="1">
        <v>6</v>
      </c>
      <c r="AR1988" s="1">
        <v>0</v>
      </c>
      <c r="AS1988" s="1">
        <v>0</v>
      </c>
      <c r="AT1988" s="1">
        <v>0</v>
      </c>
      <c r="AU1988" s="1">
        <v>0</v>
      </c>
      <c r="AV1988" s="1">
        <v>0</v>
      </c>
      <c r="AW1988" s="1">
        <v>0</v>
      </c>
      <c r="AX1988" s="1">
        <v>0</v>
      </c>
      <c r="AY1988" s="1">
        <v>0</v>
      </c>
      <c r="AZ1988" s="1">
        <v>0</v>
      </c>
      <c r="BA1988" s="1">
        <v>0</v>
      </c>
      <c r="BB1988" s="1">
        <v>0</v>
      </c>
      <c r="BC1988" s="1">
        <v>0</v>
      </c>
      <c r="BD1988" s="1">
        <v>0</v>
      </c>
      <c r="BE1988" s="1">
        <v>0</v>
      </c>
      <c r="BF1988" s="1">
        <v>0</v>
      </c>
      <c r="BG1988" s="1">
        <v>0</v>
      </c>
      <c r="BH1988" s="1">
        <v>0</v>
      </c>
      <c r="BI1988" s="1">
        <v>0</v>
      </c>
      <c r="BJ1988" s="1">
        <v>0</v>
      </c>
      <c r="BK1988" s="1">
        <v>0</v>
      </c>
      <c r="BL1988" s="1">
        <v>0</v>
      </c>
      <c r="BM1988" s="1">
        <v>0</v>
      </c>
      <c r="BN1988" s="1">
        <v>0</v>
      </c>
      <c r="BO1988" s="1">
        <v>0</v>
      </c>
      <c r="BP1988" s="1">
        <v>0</v>
      </c>
      <c r="BQ1988" s="1" t="s">
        <v>104</v>
      </c>
      <c r="BR1988" s="1">
        <v>2092</v>
      </c>
      <c r="BS1988" s="1" t="s">
        <v>104</v>
      </c>
      <c r="BX1988" s="1">
        <v>0</v>
      </c>
      <c r="BY1988" s="1" t="s">
        <v>104</v>
      </c>
      <c r="BZ1988" s="1">
        <v>6</v>
      </c>
      <c r="CA1988" s="1" t="s">
        <v>104</v>
      </c>
      <c r="CB1988" s="1" t="s">
        <v>104</v>
      </c>
      <c r="CC1988" s="1" t="s">
        <v>104</v>
      </c>
      <c r="CD1988" s="1" t="s">
        <v>104</v>
      </c>
      <c r="CE1988" s="1" t="s">
        <v>104</v>
      </c>
      <c r="CF1988" s="1" t="s">
        <v>104</v>
      </c>
      <c r="CG1988" s="1" t="s">
        <v>104</v>
      </c>
      <c r="CH1988" s="1" t="s">
        <v>104</v>
      </c>
      <c r="CJ1988" s="1">
        <v>0</v>
      </c>
      <c r="CK1988" s="1">
        <v>0</v>
      </c>
      <c r="CL1988" s="1">
        <v>0</v>
      </c>
      <c r="CM1988" s="1">
        <v>6</v>
      </c>
    </row>
    <row r="1989" spans="1:91" ht="14.25" customHeight="1" x14ac:dyDescent="0.3">
      <c r="A1989" s="1" t="s">
        <v>10546</v>
      </c>
      <c r="B1989" s="1" t="s">
        <v>507</v>
      </c>
      <c r="C1989" s="1" t="s">
        <v>1767</v>
      </c>
      <c r="E1989" s="1" t="s">
        <v>7941</v>
      </c>
      <c r="F1989" s="1" t="s">
        <v>95</v>
      </c>
      <c r="G1989" s="1" t="s">
        <v>116</v>
      </c>
      <c r="H1989" s="1">
        <v>0</v>
      </c>
      <c r="I1989" s="1" t="s">
        <v>109</v>
      </c>
      <c r="J1989" s="1" t="s">
        <v>425</v>
      </c>
      <c r="M1989" s="1" t="s">
        <v>111</v>
      </c>
      <c r="N1989" s="1">
        <v>0</v>
      </c>
      <c r="O1989" s="1">
        <v>0</v>
      </c>
      <c r="P1989" s="1" t="s">
        <v>1894</v>
      </c>
      <c r="Q1989" s="1" t="s">
        <v>184</v>
      </c>
      <c r="R1989" s="1" t="s">
        <v>10547</v>
      </c>
      <c r="S1989" s="1" t="s">
        <v>10548</v>
      </c>
      <c r="T1989" s="1">
        <v>1</v>
      </c>
      <c r="U1989" s="1">
        <v>1</v>
      </c>
      <c r="V1989" s="1">
        <v>0</v>
      </c>
      <c r="W1989" s="1">
        <v>0</v>
      </c>
      <c r="X1989" s="1">
        <v>0</v>
      </c>
      <c r="Y1989" s="1">
        <v>2</v>
      </c>
      <c r="Z1989" s="1">
        <v>2</v>
      </c>
      <c r="AA1989" s="1" t="s">
        <v>104</v>
      </c>
      <c r="AB1989" s="1" t="s">
        <v>104</v>
      </c>
      <c r="AC1989" s="1" t="s">
        <v>104</v>
      </c>
      <c r="AD1989" s="1">
        <v>2</v>
      </c>
      <c r="AE1989" s="1" t="s">
        <v>104</v>
      </c>
      <c r="AF1989" s="1" t="s">
        <v>104</v>
      </c>
      <c r="AG1989" s="1" t="s">
        <v>104</v>
      </c>
      <c r="AH1989" s="1">
        <v>2</v>
      </c>
      <c r="AI1989" s="1" t="s">
        <v>104</v>
      </c>
      <c r="AJ1989" s="1" t="s">
        <v>104</v>
      </c>
      <c r="AK1989" s="1" t="s">
        <v>104</v>
      </c>
      <c r="AL1989" s="1" t="s">
        <v>104</v>
      </c>
      <c r="AM1989" s="1" t="s">
        <v>104</v>
      </c>
      <c r="AO1989" s="1">
        <v>2</v>
      </c>
      <c r="AR1989" s="1">
        <v>0</v>
      </c>
      <c r="AS1989" s="1">
        <v>0</v>
      </c>
      <c r="AT1989" s="1">
        <v>0</v>
      </c>
      <c r="AU1989" s="1">
        <v>0</v>
      </c>
      <c r="AV1989" s="1">
        <v>0</v>
      </c>
      <c r="AW1989" s="1">
        <v>0</v>
      </c>
      <c r="AX1989" s="1">
        <v>0</v>
      </c>
      <c r="AY1989" s="1">
        <v>0</v>
      </c>
      <c r="AZ1989" s="1">
        <v>0</v>
      </c>
      <c r="BA1989" s="1">
        <v>0</v>
      </c>
      <c r="BB1989" s="1">
        <v>0</v>
      </c>
      <c r="BC1989" s="1">
        <v>0</v>
      </c>
      <c r="BD1989" s="1">
        <v>0</v>
      </c>
      <c r="BE1989" s="1">
        <v>0</v>
      </c>
      <c r="BF1989" s="1">
        <v>0</v>
      </c>
      <c r="BG1989" s="1">
        <v>0</v>
      </c>
      <c r="BH1989" s="1">
        <v>0</v>
      </c>
      <c r="BI1989" s="1">
        <v>0</v>
      </c>
      <c r="BJ1989" s="1">
        <v>0</v>
      </c>
      <c r="BK1989" s="1">
        <v>0</v>
      </c>
      <c r="BL1989" s="1">
        <v>0</v>
      </c>
      <c r="BM1989" s="1">
        <v>0</v>
      </c>
      <c r="BN1989" s="1">
        <v>0</v>
      </c>
      <c r="BO1989" s="1">
        <v>0</v>
      </c>
      <c r="BP1989" s="1">
        <v>0</v>
      </c>
      <c r="BQ1989" s="1" t="s">
        <v>104</v>
      </c>
      <c r="BR1989" s="1">
        <v>2093</v>
      </c>
      <c r="BS1989" s="1" t="s">
        <v>104</v>
      </c>
      <c r="BX1989" s="1">
        <v>0</v>
      </c>
      <c r="BY1989" s="1" t="s">
        <v>104</v>
      </c>
      <c r="BZ1989" s="1" t="s">
        <v>104</v>
      </c>
      <c r="CA1989" s="1" t="s">
        <v>104</v>
      </c>
      <c r="CB1989" s="1" t="s">
        <v>104</v>
      </c>
      <c r="CC1989" s="1" t="s">
        <v>104</v>
      </c>
      <c r="CD1989" s="1" t="s">
        <v>104</v>
      </c>
      <c r="CE1989" s="1" t="s">
        <v>104</v>
      </c>
      <c r="CF1989" s="1" t="s">
        <v>104</v>
      </c>
      <c r="CG1989" s="1" t="s">
        <v>104</v>
      </c>
      <c r="CH1989" s="1" t="s">
        <v>104</v>
      </c>
      <c r="CJ1989" s="1">
        <v>0</v>
      </c>
      <c r="CK1989" s="1">
        <v>0</v>
      </c>
      <c r="CL1989" s="1">
        <v>0</v>
      </c>
      <c r="CM1989" s="1" t="s">
        <v>104</v>
      </c>
    </row>
    <row r="1990" spans="1:91" ht="14.25" customHeight="1" x14ac:dyDescent="0.3">
      <c r="A1990" s="1" t="s">
        <v>10549</v>
      </c>
      <c r="B1990" s="1" t="s">
        <v>123</v>
      </c>
      <c r="C1990" s="1" t="s">
        <v>124</v>
      </c>
      <c r="D1990" s="1" t="s">
        <v>125</v>
      </c>
      <c r="E1990" s="1" t="s">
        <v>10550</v>
      </c>
      <c r="F1990" s="1" t="s">
        <v>255</v>
      </c>
      <c r="G1990" s="1" t="s">
        <v>116</v>
      </c>
      <c r="H1990" s="1">
        <v>0</v>
      </c>
      <c r="I1990" s="1" t="s">
        <v>117</v>
      </c>
      <c r="L1990" s="1" t="s">
        <v>541</v>
      </c>
      <c r="M1990" s="1" t="s">
        <v>119</v>
      </c>
      <c r="N1990" s="1">
        <v>0</v>
      </c>
      <c r="O1990" s="1">
        <v>0</v>
      </c>
      <c r="P1990" s="1" t="s">
        <v>211</v>
      </c>
      <c r="Q1990" s="1" t="s">
        <v>184</v>
      </c>
      <c r="R1990" s="1" t="s">
        <v>10551</v>
      </c>
      <c r="S1990" s="1" t="s">
        <v>10548</v>
      </c>
      <c r="T1990" s="1">
        <v>1</v>
      </c>
      <c r="U1990" s="1">
        <v>1</v>
      </c>
      <c r="V1990" s="1">
        <v>0</v>
      </c>
      <c r="W1990" s="1">
        <v>0</v>
      </c>
      <c r="X1990" s="1">
        <v>0</v>
      </c>
      <c r="Y1990" s="1" t="s">
        <v>104</v>
      </c>
      <c r="Z1990" s="1" t="s">
        <v>104</v>
      </c>
      <c r="AA1990" s="1" t="s">
        <v>104</v>
      </c>
      <c r="AB1990" s="1">
        <v>2</v>
      </c>
      <c r="AC1990" s="1">
        <v>1</v>
      </c>
      <c r="AD1990" s="1">
        <v>2</v>
      </c>
      <c r="AE1990" s="1" t="s">
        <v>104</v>
      </c>
      <c r="AF1990" s="1" t="s">
        <v>104</v>
      </c>
      <c r="AG1990" s="1" t="s">
        <v>104</v>
      </c>
      <c r="AH1990" s="1" t="s">
        <v>104</v>
      </c>
      <c r="AI1990" s="1" t="s">
        <v>104</v>
      </c>
      <c r="AJ1990" s="1" t="s">
        <v>104</v>
      </c>
      <c r="AK1990" s="1" t="s">
        <v>104</v>
      </c>
      <c r="AL1990" s="1" t="s">
        <v>104</v>
      </c>
      <c r="AM1990" s="1" t="s">
        <v>104</v>
      </c>
      <c r="AO1990" s="1">
        <v>2</v>
      </c>
      <c r="AR1990" s="1">
        <v>0</v>
      </c>
      <c r="AS1990" s="1">
        <v>0</v>
      </c>
      <c r="AT1990" s="1">
        <v>0</v>
      </c>
      <c r="AU1990" s="1">
        <v>0</v>
      </c>
      <c r="AV1990" s="1">
        <v>0</v>
      </c>
      <c r="AW1990" s="1">
        <v>0</v>
      </c>
      <c r="AX1990" s="1">
        <v>0</v>
      </c>
      <c r="AY1990" s="1">
        <v>0</v>
      </c>
      <c r="AZ1990" s="1">
        <v>0</v>
      </c>
      <c r="BA1990" s="1">
        <v>0</v>
      </c>
      <c r="BB1990" s="1">
        <v>0</v>
      </c>
      <c r="BC1990" s="1">
        <v>0</v>
      </c>
      <c r="BD1990" s="1">
        <v>0</v>
      </c>
      <c r="BE1990" s="1">
        <v>0</v>
      </c>
      <c r="BF1990" s="1">
        <v>0</v>
      </c>
      <c r="BG1990" s="1">
        <v>0</v>
      </c>
      <c r="BH1990" s="1">
        <v>0</v>
      </c>
      <c r="BI1990" s="1">
        <v>0</v>
      </c>
      <c r="BJ1990" s="1">
        <v>0</v>
      </c>
      <c r="BK1990" s="1">
        <v>1</v>
      </c>
      <c r="BL1990" s="1">
        <v>0</v>
      </c>
      <c r="BM1990" s="1">
        <v>0</v>
      </c>
      <c r="BN1990" s="1">
        <v>0</v>
      </c>
      <c r="BO1990" s="1">
        <v>0</v>
      </c>
      <c r="BP1990" s="1">
        <v>0</v>
      </c>
      <c r="BQ1990" s="1" t="s">
        <v>104</v>
      </c>
      <c r="BR1990" s="1">
        <v>2094</v>
      </c>
      <c r="BS1990" s="1" t="s">
        <v>104</v>
      </c>
      <c r="BX1990" s="1">
        <v>0</v>
      </c>
      <c r="BY1990" s="1" t="s">
        <v>104</v>
      </c>
      <c r="BZ1990" s="1" t="s">
        <v>104</v>
      </c>
      <c r="CA1990" s="1" t="s">
        <v>104</v>
      </c>
      <c r="CB1990" s="1" t="s">
        <v>104</v>
      </c>
      <c r="CC1990" s="1" t="s">
        <v>104</v>
      </c>
      <c r="CD1990" s="1" t="s">
        <v>104</v>
      </c>
      <c r="CE1990" s="1" t="s">
        <v>104</v>
      </c>
      <c r="CF1990" s="1" t="s">
        <v>104</v>
      </c>
      <c r="CG1990" s="1" t="s">
        <v>104</v>
      </c>
      <c r="CH1990" s="1">
        <v>1</v>
      </c>
      <c r="CJ1990" s="1">
        <v>0</v>
      </c>
      <c r="CK1990" s="1">
        <v>0</v>
      </c>
      <c r="CL1990" s="1">
        <v>0</v>
      </c>
      <c r="CM1990" s="1" t="s">
        <v>104</v>
      </c>
    </row>
    <row r="1991" spans="1:91" ht="14.25" customHeight="1" x14ac:dyDescent="0.3">
      <c r="A1991" s="1" t="s">
        <v>10552</v>
      </c>
      <c r="B1991" s="1" t="s">
        <v>123</v>
      </c>
      <c r="C1991" s="1" t="s">
        <v>124</v>
      </c>
      <c r="D1991" s="1" t="s">
        <v>125</v>
      </c>
      <c r="E1991" s="1" t="s">
        <v>10553</v>
      </c>
      <c r="F1991" s="1" t="s">
        <v>95</v>
      </c>
      <c r="G1991" s="1" t="s">
        <v>10554</v>
      </c>
      <c r="H1991" s="1">
        <v>0</v>
      </c>
      <c r="I1991" s="1" t="s">
        <v>109</v>
      </c>
      <c r="L1991" s="1" t="s">
        <v>417</v>
      </c>
      <c r="M1991" s="1" t="s">
        <v>111</v>
      </c>
      <c r="N1991" s="1">
        <v>0</v>
      </c>
      <c r="O1991" s="1">
        <v>0</v>
      </c>
      <c r="P1991" s="1" t="s">
        <v>211</v>
      </c>
      <c r="Q1991" s="1" t="s">
        <v>184</v>
      </c>
      <c r="R1991" s="1" t="s">
        <v>10555</v>
      </c>
      <c r="S1991" s="1" t="s">
        <v>10548</v>
      </c>
      <c r="T1991" s="1">
        <v>1</v>
      </c>
      <c r="U1991" s="1">
        <v>1</v>
      </c>
      <c r="V1991" s="1">
        <v>1</v>
      </c>
      <c r="W1991" s="1">
        <v>0</v>
      </c>
      <c r="X1991" s="1">
        <v>1</v>
      </c>
      <c r="Y1991" s="1" t="s">
        <v>104</v>
      </c>
      <c r="Z1991" s="1" t="s">
        <v>104</v>
      </c>
      <c r="AA1991" s="1">
        <v>3</v>
      </c>
      <c r="AB1991" s="1" t="s">
        <v>104</v>
      </c>
      <c r="AC1991" s="1" t="s">
        <v>104</v>
      </c>
      <c r="AD1991" s="1">
        <v>3</v>
      </c>
      <c r="AE1991" s="1" t="s">
        <v>104</v>
      </c>
      <c r="AF1991" s="1" t="s">
        <v>104</v>
      </c>
      <c r="AG1991" s="1" t="s">
        <v>104</v>
      </c>
      <c r="AH1991" s="1">
        <v>3</v>
      </c>
      <c r="AI1991" s="1" t="s">
        <v>104</v>
      </c>
      <c r="AJ1991" s="1">
        <v>3</v>
      </c>
      <c r="AK1991" s="1" t="s">
        <v>104</v>
      </c>
      <c r="AL1991" s="1" t="s">
        <v>104</v>
      </c>
      <c r="AM1991" s="1" t="s">
        <v>104</v>
      </c>
      <c r="AO1991" s="1">
        <v>3</v>
      </c>
      <c r="AR1991" s="1">
        <v>0</v>
      </c>
      <c r="AS1991" s="1">
        <v>0</v>
      </c>
      <c r="AT1991" s="1">
        <v>0</v>
      </c>
      <c r="AU1991" s="1">
        <v>0</v>
      </c>
      <c r="AV1991" s="1">
        <v>0</v>
      </c>
      <c r="AW1991" s="1">
        <v>0</v>
      </c>
      <c r="AX1991" s="1">
        <v>0</v>
      </c>
      <c r="AY1991" s="1">
        <v>0</v>
      </c>
      <c r="AZ1991" s="1">
        <v>0</v>
      </c>
      <c r="BA1991" s="1">
        <v>0</v>
      </c>
      <c r="BB1991" s="1">
        <v>0</v>
      </c>
      <c r="BC1991" s="1">
        <v>0</v>
      </c>
      <c r="BD1991" s="1">
        <v>0</v>
      </c>
      <c r="BE1991" s="1">
        <v>0</v>
      </c>
      <c r="BF1991" s="1">
        <v>0</v>
      </c>
      <c r="BG1991" s="1">
        <v>0</v>
      </c>
      <c r="BH1991" s="1">
        <v>0</v>
      </c>
      <c r="BI1991" s="1">
        <v>0</v>
      </c>
      <c r="BJ1991" s="1">
        <v>0</v>
      </c>
      <c r="BK1991" s="1">
        <v>1</v>
      </c>
      <c r="BL1991" s="1">
        <v>0</v>
      </c>
      <c r="BM1991" s="1">
        <v>0</v>
      </c>
      <c r="BN1991" s="1">
        <v>0</v>
      </c>
      <c r="BO1991" s="1">
        <v>0</v>
      </c>
      <c r="BP1991" s="1">
        <v>0</v>
      </c>
      <c r="BQ1991" s="1" t="s">
        <v>104</v>
      </c>
      <c r="BR1991" s="1">
        <v>2095</v>
      </c>
      <c r="BS1991" s="1" t="s">
        <v>104</v>
      </c>
      <c r="BX1991" s="1">
        <v>0</v>
      </c>
      <c r="BY1991" s="1" t="s">
        <v>104</v>
      </c>
      <c r="BZ1991" s="1">
        <v>3</v>
      </c>
      <c r="CA1991" s="1" t="s">
        <v>104</v>
      </c>
      <c r="CB1991" s="1" t="s">
        <v>104</v>
      </c>
      <c r="CC1991" s="1" t="s">
        <v>104</v>
      </c>
      <c r="CD1991" s="1" t="s">
        <v>104</v>
      </c>
      <c r="CE1991" s="1" t="s">
        <v>104</v>
      </c>
      <c r="CF1991" s="1" t="s">
        <v>104</v>
      </c>
      <c r="CG1991" s="1" t="s">
        <v>104</v>
      </c>
      <c r="CH1991" s="1" t="s">
        <v>104</v>
      </c>
      <c r="CJ1991" s="1">
        <v>0</v>
      </c>
      <c r="CK1991" s="1">
        <v>0</v>
      </c>
      <c r="CL1991" s="1">
        <v>0</v>
      </c>
      <c r="CM1991" s="1" t="s">
        <v>104</v>
      </c>
    </row>
    <row r="1992" spans="1:91" ht="14.25" customHeight="1" x14ac:dyDescent="0.3">
      <c r="A1992" s="1" t="s">
        <v>10556</v>
      </c>
      <c r="B1992" s="1" t="s">
        <v>123</v>
      </c>
      <c r="C1992" s="1" t="s">
        <v>124</v>
      </c>
      <c r="D1992" s="1" t="s">
        <v>10557</v>
      </c>
      <c r="E1992" s="1" t="s">
        <v>7238</v>
      </c>
      <c r="F1992" s="1" t="s">
        <v>95</v>
      </c>
      <c r="G1992" s="1" t="s">
        <v>116</v>
      </c>
      <c r="H1992" s="1">
        <v>0</v>
      </c>
      <c r="I1992" s="1" t="s">
        <v>10558</v>
      </c>
      <c r="L1992" s="1" t="s">
        <v>10559</v>
      </c>
      <c r="M1992" s="1" t="s">
        <v>10560</v>
      </c>
      <c r="N1992" s="1">
        <v>0</v>
      </c>
      <c r="O1992" s="1">
        <v>0</v>
      </c>
      <c r="P1992" s="1" t="s">
        <v>10561</v>
      </c>
      <c r="Q1992" s="1" t="s">
        <v>184</v>
      </c>
      <c r="R1992" s="1" t="s">
        <v>10562</v>
      </c>
      <c r="S1992" s="1" t="s">
        <v>10548</v>
      </c>
      <c r="T1992" s="1">
        <v>1</v>
      </c>
      <c r="U1992" s="1">
        <v>1</v>
      </c>
      <c r="V1992" s="1">
        <v>0</v>
      </c>
      <c r="W1992" s="1">
        <v>0</v>
      </c>
      <c r="X1992" s="1">
        <v>0</v>
      </c>
      <c r="Y1992" s="1">
        <v>3</v>
      </c>
      <c r="Z1992" s="1">
        <v>3</v>
      </c>
      <c r="AA1992" s="1" t="s">
        <v>104</v>
      </c>
      <c r="AB1992" s="1" t="s">
        <v>104</v>
      </c>
      <c r="AC1992" s="1" t="s">
        <v>104</v>
      </c>
      <c r="AD1992" s="1">
        <v>2</v>
      </c>
      <c r="AE1992" s="1" t="s">
        <v>104</v>
      </c>
      <c r="AF1992" s="1" t="s">
        <v>104</v>
      </c>
      <c r="AG1992" s="1" t="s">
        <v>104</v>
      </c>
      <c r="AH1992" s="1">
        <v>3</v>
      </c>
      <c r="AI1992" s="1" t="s">
        <v>104</v>
      </c>
      <c r="AJ1992" s="1" t="s">
        <v>104</v>
      </c>
      <c r="AK1992" s="1" t="s">
        <v>104</v>
      </c>
      <c r="AL1992" s="1" t="s">
        <v>104</v>
      </c>
      <c r="AM1992" s="1" t="s">
        <v>104</v>
      </c>
      <c r="AO1992" s="1">
        <v>3</v>
      </c>
      <c r="AR1992" s="1">
        <v>0</v>
      </c>
      <c r="AS1992" s="1">
        <v>0</v>
      </c>
      <c r="AT1992" s="1">
        <v>0</v>
      </c>
      <c r="AU1992" s="1">
        <v>0</v>
      </c>
      <c r="AV1992" s="1">
        <v>1</v>
      </c>
      <c r="AW1992" s="1">
        <v>0</v>
      </c>
      <c r="AX1992" s="1">
        <v>0</v>
      </c>
      <c r="AY1992" s="1">
        <v>0</v>
      </c>
      <c r="AZ1992" s="1">
        <v>0</v>
      </c>
      <c r="BA1992" s="1">
        <v>0</v>
      </c>
      <c r="BB1992" s="1">
        <v>0</v>
      </c>
      <c r="BC1992" s="1">
        <v>0</v>
      </c>
      <c r="BD1992" s="1">
        <v>0</v>
      </c>
      <c r="BE1992" s="1">
        <v>0</v>
      </c>
      <c r="BF1992" s="1">
        <v>0</v>
      </c>
      <c r="BG1992" s="1">
        <v>0</v>
      </c>
      <c r="BH1992" s="1">
        <v>0</v>
      </c>
      <c r="BI1992" s="1">
        <v>0</v>
      </c>
      <c r="BJ1992" s="1">
        <v>0</v>
      </c>
      <c r="BK1992" s="1">
        <v>1</v>
      </c>
      <c r="BL1992" s="1">
        <v>0</v>
      </c>
      <c r="BM1992" s="1">
        <v>0</v>
      </c>
      <c r="BN1992" s="1">
        <v>0</v>
      </c>
      <c r="BO1992" s="1">
        <v>0</v>
      </c>
      <c r="BP1992" s="1">
        <v>0</v>
      </c>
      <c r="BQ1992" s="1" t="s">
        <v>104</v>
      </c>
      <c r="BR1992" s="1">
        <v>2096</v>
      </c>
      <c r="BS1992" s="1" t="s">
        <v>104</v>
      </c>
      <c r="BX1992" s="1">
        <v>0</v>
      </c>
      <c r="BY1992" s="1" t="s">
        <v>104</v>
      </c>
      <c r="BZ1992" s="1" t="s">
        <v>104</v>
      </c>
      <c r="CA1992" s="1" t="s">
        <v>104</v>
      </c>
      <c r="CB1992" s="1" t="s">
        <v>104</v>
      </c>
      <c r="CC1992" s="1" t="s">
        <v>104</v>
      </c>
      <c r="CD1992" s="1" t="s">
        <v>104</v>
      </c>
      <c r="CE1992" s="1" t="s">
        <v>104</v>
      </c>
      <c r="CF1992" s="1" t="s">
        <v>104</v>
      </c>
      <c r="CG1992" s="1" t="s">
        <v>104</v>
      </c>
      <c r="CH1992" s="1" t="s">
        <v>104</v>
      </c>
      <c r="CJ1992" s="1">
        <v>0</v>
      </c>
      <c r="CK1992" s="1">
        <v>0</v>
      </c>
      <c r="CL1992" s="1">
        <v>0</v>
      </c>
      <c r="CM1992" s="1" t="s">
        <v>104</v>
      </c>
    </row>
    <row r="1993" spans="1:91" ht="14.25" customHeight="1" x14ac:dyDescent="0.3">
      <c r="A1993" s="1" t="s">
        <v>10563</v>
      </c>
      <c r="B1993" s="1" t="s">
        <v>137</v>
      </c>
      <c r="D1993" s="1" t="s">
        <v>56</v>
      </c>
      <c r="E1993" s="1" t="s">
        <v>146</v>
      </c>
      <c r="F1993" s="1" t="s">
        <v>95</v>
      </c>
      <c r="G1993" s="1" t="s">
        <v>237</v>
      </c>
      <c r="H1993" s="1">
        <v>0</v>
      </c>
      <c r="I1993" s="1" t="s">
        <v>157</v>
      </c>
      <c r="L1993" s="1" t="s">
        <v>158</v>
      </c>
      <c r="M1993" s="1" t="s">
        <v>111</v>
      </c>
      <c r="N1993" s="1">
        <v>0</v>
      </c>
      <c r="O1993" s="1">
        <v>0</v>
      </c>
      <c r="R1993" s="1" t="s">
        <v>10564</v>
      </c>
      <c r="S1993" s="1" t="s">
        <v>10565</v>
      </c>
      <c r="T1993" s="1">
        <v>1</v>
      </c>
      <c r="U1993" s="1">
        <v>0</v>
      </c>
      <c r="V1993" s="1">
        <v>0</v>
      </c>
      <c r="W1993" s="1">
        <v>0</v>
      </c>
      <c r="X1993" s="1">
        <v>0</v>
      </c>
      <c r="Y1993" s="1" t="s">
        <v>104</v>
      </c>
      <c r="Z1993" s="1" t="s">
        <v>104</v>
      </c>
      <c r="AA1993" s="1">
        <v>2</v>
      </c>
      <c r="AB1993" s="1" t="s">
        <v>104</v>
      </c>
      <c r="AC1993" s="1" t="s">
        <v>104</v>
      </c>
      <c r="AD1993" s="1" t="s">
        <v>104</v>
      </c>
      <c r="AE1993" s="1" t="s">
        <v>104</v>
      </c>
      <c r="AF1993" s="1" t="s">
        <v>104</v>
      </c>
      <c r="AG1993" s="1" t="s">
        <v>104</v>
      </c>
      <c r="AH1993" s="1" t="s">
        <v>104</v>
      </c>
      <c r="AI1993" s="1">
        <v>2</v>
      </c>
      <c r="AJ1993" s="1">
        <v>2</v>
      </c>
      <c r="AK1993" s="1" t="s">
        <v>104</v>
      </c>
      <c r="AL1993" s="1" t="s">
        <v>104</v>
      </c>
      <c r="AM1993" s="1" t="s">
        <v>104</v>
      </c>
      <c r="AN1993" s="1" t="s">
        <v>10566</v>
      </c>
      <c r="AO1993" s="1">
        <v>2</v>
      </c>
      <c r="AR1993" s="1">
        <v>0</v>
      </c>
      <c r="AS1993" s="1">
        <v>0</v>
      </c>
      <c r="AT1993" s="1">
        <v>0</v>
      </c>
      <c r="AU1993" s="1">
        <v>0</v>
      </c>
      <c r="AV1993" s="1">
        <v>0</v>
      </c>
      <c r="AW1993" s="1">
        <v>0</v>
      </c>
      <c r="AX1993" s="1">
        <v>0</v>
      </c>
      <c r="AY1993" s="1">
        <v>0</v>
      </c>
      <c r="AZ1993" s="1">
        <v>0</v>
      </c>
      <c r="BA1993" s="1">
        <v>0</v>
      </c>
      <c r="BB1993" s="1">
        <v>0</v>
      </c>
      <c r="BC1993" s="1">
        <v>0</v>
      </c>
      <c r="BD1993" s="1">
        <v>0</v>
      </c>
      <c r="BE1993" s="1">
        <v>1</v>
      </c>
      <c r="BF1993" s="1">
        <v>0</v>
      </c>
      <c r="BG1993" s="1">
        <v>0</v>
      </c>
      <c r="BH1993" s="1">
        <v>0</v>
      </c>
      <c r="BI1993" s="1">
        <v>0</v>
      </c>
      <c r="BJ1993" s="1">
        <v>0</v>
      </c>
      <c r="BK1993" s="1">
        <v>0</v>
      </c>
      <c r="BL1993" s="1">
        <v>0</v>
      </c>
      <c r="BM1993" s="1">
        <v>0</v>
      </c>
      <c r="BN1993" s="1">
        <v>0</v>
      </c>
      <c r="BO1993" s="1">
        <v>0</v>
      </c>
      <c r="BP1993" s="1">
        <v>0</v>
      </c>
      <c r="BQ1993" s="1" t="s">
        <v>104</v>
      </c>
      <c r="BR1993" s="1">
        <v>2097</v>
      </c>
      <c r="BS1993" s="1" t="s">
        <v>104</v>
      </c>
      <c r="BX1993" s="1">
        <v>0</v>
      </c>
      <c r="BY1993" s="1" t="s">
        <v>104</v>
      </c>
      <c r="BZ1993" s="1" t="s">
        <v>104</v>
      </c>
      <c r="CA1993" s="1" t="s">
        <v>104</v>
      </c>
      <c r="CB1993" s="1" t="s">
        <v>104</v>
      </c>
      <c r="CC1993" s="1" t="s">
        <v>104</v>
      </c>
      <c r="CD1993" s="1" t="s">
        <v>104</v>
      </c>
      <c r="CE1993" s="1" t="s">
        <v>104</v>
      </c>
      <c r="CF1993" s="1" t="s">
        <v>104</v>
      </c>
      <c r="CG1993" s="1" t="s">
        <v>104</v>
      </c>
      <c r="CH1993" s="1" t="s">
        <v>104</v>
      </c>
      <c r="CJ1993" s="1">
        <v>0</v>
      </c>
      <c r="CK1993" s="1">
        <v>0</v>
      </c>
      <c r="CL1993" s="1">
        <v>0</v>
      </c>
      <c r="CM1993" s="1" t="s">
        <v>104</v>
      </c>
    </row>
    <row r="1994" spans="1:91" ht="14.25" customHeight="1" x14ac:dyDescent="0.3">
      <c r="A1994" s="1" t="s">
        <v>10567</v>
      </c>
      <c r="B1994" s="1" t="s">
        <v>216</v>
      </c>
      <c r="E1994" s="1" t="s">
        <v>10568</v>
      </c>
      <c r="F1994" s="1" t="s">
        <v>273</v>
      </c>
      <c r="G1994" s="1" t="s">
        <v>116</v>
      </c>
      <c r="H1994" s="1">
        <v>0</v>
      </c>
      <c r="I1994" s="1" t="s">
        <v>157</v>
      </c>
      <c r="L1994" s="1" t="s">
        <v>158</v>
      </c>
      <c r="M1994" s="1" t="s">
        <v>341</v>
      </c>
      <c r="N1994" s="1">
        <v>0</v>
      </c>
      <c r="O1994" s="1">
        <v>0</v>
      </c>
      <c r="P1994" s="1" t="s">
        <v>101</v>
      </c>
      <c r="Q1994" s="1" t="s">
        <v>101</v>
      </c>
      <c r="R1994" s="1" t="s">
        <v>10569</v>
      </c>
      <c r="S1994" s="1" t="s">
        <v>10570</v>
      </c>
      <c r="T1994" s="1">
        <v>1</v>
      </c>
      <c r="U1994" s="1">
        <v>1</v>
      </c>
      <c r="V1994" s="1">
        <v>0</v>
      </c>
      <c r="W1994" s="1">
        <v>0</v>
      </c>
      <c r="X1994" s="1">
        <v>0</v>
      </c>
      <c r="Y1994" s="1" t="s">
        <v>104</v>
      </c>
      <c r="Z1994" s="1" t="s">
        <v>104</v>
      </c>
      <c r="AA1994" s="1" t="s">
        <v>104</v>
      </c>
      <c r="AB1994" s="1" t="s">
        <v>104</v>
      </c>
      <c r="AC1994" s="1" t="s">
        <v>104</v>
      </c>
      <c r="AD1994" s="1" t="s">
        <v>104</v>
      </c>
      <c r="AE1994" s="1" t="s">
        <v>104</v>
      </c>
      <c r="AF1994" s="1" t="s">
        <v>104</v>
      </c>
      <c r="AG1994" s="1" t="s">
        <v>104</v>
      </c>
      <c r="AH1994" s="1" t="s">
        <v>104</v>
      </c>
      <c r="AI1994" s="1" t="s">
        <v>104</v>
      </c>
      <c r="AJ1994" s="1" t="s">
        <v>104</v>
      </c>
      <c r="AK1994" s="1" t="s">
        <v>104</v>
      </c>
      <c r="AL1994" s="1" t="s">
        <v>104</v>
      </c>
      <c r="AM1994" s="1" t="s">
        <v>104</v>
      </c>
      <c r="AO1994" s="1">
        <v>9</v>
      </c>
      <c r="AQ1994" s="1" t="s">
        <v>10571</v>
      </c>
      <c r="AR1994" s="1">
        <v>0</v>
      </c>
      <c r="AS1994" s="1">
        <v>0</v>
      </c>
      <c r="AT1994" s="1">
        <v>0</v>
      </c>
      <c r="AU1994" s="1">
        <v>0</v>
      </c>
      <c r="AV1994" s="1">
        <v>0</v>
      </c>
      <c r="AW1994" s="1">
        <v>0</v>
      </c>
      <c r="AX1994" s="1">
        <v>0</v>
      </c>
      <c r="AY1994" s="1">
        <v>0</v>
      </c>
      <c r="AZ1994" s="1">
        <v>0</v>
      </c>
      <c r="BA1994" s="1">
        <v>0</v>
      </c>
      <c r="BB1994" s="1">
        <v>0</v>
      </c>
      <c r="BC1994" s="1">
        <v>0</v>
      </c>
      <c r="BD1994" s="1">
        <v>0</v>
      </c>
      <c r="BE1994" s="1">
        <v>0</v>
      </c>
      <c r="BF1994" s="1">
        <v>0</v>
      </c>
      <c r="BG1994" s="1">
        <v>0</v>
      </c>
      <c r="BH1994" s="1">
        <v>0</v>
      </c>
      <c r="BI1994" s="1">
        <v>0</v>
      </c>
      <c r="BJ1994" s="1">
        <v>0</v>
      </c>
      <c r="BK1994" s="1">
        <v>0</v>
      </c>
      <c r="BL1994" s="1">
        <v>0</v>
      </c>
      <c r="BM1994" s="1">
        <v>0</v>
      </c>
      <c r="BN1994" s="1">
        <v>0</v>
      </c>
      <c r="BO1994" s="1">
        <v>0</v>
      </c>
      <c r="BP1994" s="1">
        <v>0</v>
      </c>
      <c r="BQ1994" s="1" t="s">
        <v>104</v>
      </c>
      <c r="BR1994" s="1">
        <v>2098</v>
      </c>
      <c r="BS1994" s="1" t="s">
        <v>104</v>
      </c>
      <c r="BX1994" s="1">
        <v>0</v>
      </c>
      <c r="BY1994" s="1" t="s">
        <v>104</v>
      </c>
      <c r="BZ1994" s="1" t="s">
        <v>104</v>
      </c>
      <c r="CA1994" s="1">
        <v>9</v>
      </c>
      <c r="CB1994" s="1" t="s">
        <v>104</v>
      </c>
      <c r="CC1994" s="1" t="s">
        <v>104</v>
      </c>
      <c r="CD1994" s="1" t="s">
        <v>104</v>
      </c>
      <c r="CE1994" s="1" t="s">
        <v>104</v>
      </c>
      <c r="CF1994" s="1" t="s">
        <v>104</v>
      </c>
      <c r="CG1994" s="1" t="s">
        <v>104</v>
      </c>
      <c r="CH1994" s="1" t="s">
        <v>104</v>
      </c>
      <c r="CJ1994" s="1">
        <v>0</v>
      </c>
      <c r="CK1994" s="1">
        <v>0</v>
      </c>
      <c r="CL1994" s="1">
        <v>0</v>
      </c>
      <c r="CM1994" s="1" t="s">
        <v>104</v>
      </c>
    </row>
    <row r="1995" spans="1:91" ht="14.25" customHeight="1" x14ac:dyDescent="0.3">
      <c r="A1995" s="1" t="s">
        <v>10572</v>
      </c>
      <c r="B1995" s="1" t="s">
        <v>172</v>
      </c>
      <c r="E1995" s="1" t="s">
        <v>10573</v>
      </c>
      <c r="F1995" s="1" t="s">
        <v>95</v>
      </c>
      <c r="G1995" s="1" t="s">
        <v>116</v>
      </c>
      <c r="H1995" s="1">
        <v>0</v>
      </c>
      <c r="I1995" s="1" t="s">
        <v>117</v>
      </c>
      <c r="L1995" s="1" t="s">
        <v>1180</v>
      </c>
      <c r="M1995" s="1" t="s">
        <v>581</v>
      </c>
      <c r="N1995" s="1">
        <v>0</v>
      </c>
      <c r="O1995" s="1">
        <v>0</v>
      </c>
      <c r="P1995" s="1" t="s">
        <v>100</v>
      </c>
      <c r="Q1995" s="1" t="s">
        <v>101</v>
      </c>
      <c r="R1995" s="1" t="s">
        <v>10574</v>
      </c>
      <c r="S1995" s="1" t="s">
        <v>10570</v>
      </c>
      <c r="T1995" s="1">
        <v>1</v>
      </c>
      <c r="U1995" s="1">
        <v>1</v>
      </c>
      <c r="V1995" s="1">
        <v>0</v>
      </c>
      <c r="W1995" s="1">
        <v>0</v>
      </c>
      <c r="X1995" s="1">
        <v>0</v>
      </c>
      <c r="Y1995" s="1" t="s">
        <v>104</v>
      </c>
      <c r="Z1995" s="1" t="s">
        <v>104</v>
      </c>
      <c r="AA1995" s="1" t="s">
        <v>104</v>
      </c>
      <c r="AB1995" s="1" t="s">
        <v>104</v>
      </c>
      <c r="AC1995" s="1" t="s">
        <v>104</v>
      </c>
      <c r="AD1995" s="1" t="s">
        <v>104</v>
      </c>
      <c r="AE1995" s="1" t="s">
        <v>104</v>
      </c>
      <c r="AF1995" s="1" t="s">
        <v>104</v>
      </c>
      <c r="AG1995" s="1" t="s">
        <v>104</v>
      </c>
      <c r="AH1995" s="1" t="s">
        <v>104</v>
      </c>
      <c r="AI1995" s="1" t="s">
        <v>104</v>
      </c>
      <c r="AJ1995" s="1" t="s">
        <v>104</v>
      </c>
      <c r="AK1995" s="1" t="s">
        <v>104</v>
      </c>
      <c r="AL1995" s="1" t="s">
        <v>104</v>
      </c>
      <c r="AM1995" s="1" t="s">
        <v>104</v>
      </c>
      <c r="AO1995" s="1" t="s">
        <v>104</v>
      </c>
      <c r="AQ1995" s="1" t="s">
        <v>10575</v>
      </c>
      <c r="AR1995" s="1">
        <v>0</v>
      </c>
      <c r="AS1995" s="1">
        <v>0</v>
      </c>
      <c r="AT1995" s="1">
        <v>0</v>
      </c>
      <c r="AU1995" s="1">
        <v>0</v>
      </c>
      <c r="AV1995" s="1">
        <v>0</v>
      </c>
      <c r="AW1995" s="1">
        <v>0</v>
      </c>
      <c r="AX1995" s="1">
        <v>0</v>
      </c>
      <c r="AY1995" s="1">
        <v>0</v>
      </c>
      <c r="AZ1995" s="1">
        <v>0</v>
      </c>
      <c r="BA1995" s="1">
        <v>0</v>
      </c>
      <c r="BB1995" s="1">
        <v>0</v>
      </c>
      <c r="BC1995" s="1">
        <v>0</v>
      </c>
      <c r="BD1995" s="1">
        <v>0</v>
      </c>
      <c r="BE1995" s="1">
        <v>0</v>
      </c>
      <c r="BF1995" s="1">
        <v>0</v>
      </c>
      <c r="BG1995" s="1">
        <v>0</v>
      </c>
      <c r="BH1995" s="1">
        <v>0</v>
      </c>
      <c r="BI1995" s="1">
        <v>0</v>
      </c>
      <c r="BJ1995" s="1">
        <v>0</v>
      </c>
      <c r="BK1995" s="1">
        <v>0</v>
      </c>
      <c r="BL1995" s="1">
        <v>0</v>
      </c>
      <c r="BM1995" s="1">
        <v>0</v>
      </c>
      <c r="BN1995" s="1">
        <v>0</v>
      </c>
      <c r="BO1995" s="1">
        <v>0</v>
      </c>
      <c r="BP1995" s="1">
        <v>0</v>
      </c>
      <c r="BQ1995" s="1" t="s">
        <v>104</v>
      </c>
      <c r="BR1995" s="1">
        <v>2099</v>
      </c>
      <c r="BS1995" s="1" t="s">
        <v>104</v>
      </c>
      <c r="BX1995" s="1">
        <v>0</v>
      </c>
      <c r="BY1995" s="1" t="s">
        <v>104</v>
      </c>
      <c r="BZ1995" s="1" t="s">
        <v>104</v>
      </c>
      <c r="CA1995" s="1">
        <v>3</v>
      </c>
      <c r="CB1995" s="1">
        <v>2</v>
      </c>
      <c r="CC1995" s="1">
        <v>3</v>
      </c>
      <c r="CD1995" s="1">
        <v>2</v>
      </c>
      <c r="CE1995" s="1">
        <v>3</v>
      </c>
      <c r="CF1995" s="1" t="s">
        <v>104</v>
      </c>
      <c r="CG1995" s="1" t="s">
        <v>104</v>
      </c>
      <c r="CH1995" s="1" t="s">
        <v>104</v>
      </c>
      <c r="CJ1995" s="1">
        <v>0</v>
      </c>
      <c r="CK1995" s="1">
        <v>0</v>
      </c>
      <c r="CL1995" s="1">
        <v>0</v>
      </c>
      <c r="CM1995" s="1" t="s">
        <v>104</v>
      </c>
    </row>
    <row r="1996" spans="1:91" ht="14.25" customHeight="1" x14ac:dyDescent="0.3">
      <c r="A1996" s="1" t="s">
        <v>10576</v>
      </c>
      <c r="B1996" s="1" t="s">
        <v>172</v>
      </c>
      <c r="D1996" s="1" t="s">
        <v>125</v>
      </c>
      <c r="E1996" s="1" t="s">
        <v>10577</v>
      </c>
      <c r="F1996" s="1" t="s">
        <v>95</v>
      </c>
      <c r="G1996" s="1" t="s">
        <v>237</v>
      </c>
      <c r="H1996" s="1">
        <v>0</v>
      </c>
      <c r="I1996" s="1" t="s">
        <v>117</v>
      </c>
      <c r="L1996" s="1" t="s">
        <v>1065</v>
      </c>
      <c r="M1996" s="1" t="s">
        <v>111</v>
      </c>
      <c r="N1996" s="1">
        <v>0</v>
      </c>
      <c r="O1996" s="1">
        <v>0</v>
      </c>
      <c r="P1996" s="1" t="s">
        <v>276</v>
      </c>
      <c r="Q1996" s="1" t="s">
        <v>184</v>
      </c>
      <c r="R1996" s="1" t="s">
        <v>10578</v>
      </c>
      <c r="S1996" s="1" t="s">
        <v>10570</v>
      </c>
      <c r="T1996" s="1">
        <v>1</v>
      </c>
      <c r="U1996" s="1">
        <v>0</v>
      </c>
      <c r="V1996" s="1">
        <v>0</v>
      </c>
      <c r="W1996" s="1">
        <v>0</v>
      </c>
      <c r="X1996" s="1">
        <v>0</v>
      </c>
      <c r="Y1996" s="1">
        <v>2</v>
      </c>
      <c r="Z1996" s="1">
        <v>2</v>
      </c>
      <c r="AA1996" s="1" t="s">
        <v>104</v>
      </c>
      <c r="AB1996" s="1" t="s">
        <v>104</v>
      </c>
      <c r="AC1996" s="1" t="s">
        <v>104</v>
      </c>
      <c r="AD1996" s="1">
        <v>2</v>
      </c>
      <c r="AE1996" s="1" t="s">
        <v>104</v>
      </c>
      <c r="AF1996" s="1" t="s">
        <v>104</v>
      </c>
      <c r="AG1996" s="1" t="s">
        <v>104</v>
      </c>
      <c r="AH1996" s="1">
        <v>2</v>
      </c>
      <c r="AI1996" s="1">
        <v>2</v>
      </c>
      <c r="AJ1996" s="1" t="s">
        <v>104</v>
      </c>
      <c r="AK1996" s="1" t="s">
        <v>104</v>
      </c>
      <c r="AL1996" s="1">
        <v>2</v>
      </c>
      <c r="AM1996" s="1" t="s">
        <v>104</v>
      </c>
      <c r="AO1996" s="1">
        <v>2</v>
      </c>
      <c r="AQ1996" s="1" t="s">
        <v>10579</v>
      </c>
      <c r="AR1996" s="1">
        <v>0</v>
      </c>
      <c r="AS1996" s="1">
        <v>0</v>
      </c>
      <c r="AT1996" s="1">
        <v>0</v>
      </c>
      <c r="AU1996" s="1">
        <v>0</v>
      </c>
      <c r="AV1996" s="1">
        <v>0</v>
      </c>
      <c r="AW1996" s="1">
        <v>0</v>
      </c>
      <c r="AX1996" s="1">
        <v>0</v>
      </c>
      <c r="AY1996" s="1">
        <v>0</v>
      </c>
      <c r="AZ1996" s="1">
        <v>0</v>
      </c>
      <c r="BA1996" s="1">
        <v>0</v>
      </c>
      <c r="BB1996" s="1">
        <v>0</v>
      </c>
      <c r="BC1996" s="1">
        <v>0</v>
      </c>
      <c r="BD1996" s="1">
        <v>0</v>
      </c>
      <c r="BE1996" s="1">
        <v>0</v>
      </c>
      <c r="BF1996" s="1">
        <v>0</v>
      </c>
      <c r="BG1996" s="1">
        <v>0</v>
      </c>
      <c r="BH1996" s="1">
        <v>0</v>
      </c>
      <c r="BI1996" s="1">
        <v>0</v>
      </c>
      <c r="BJ1996" s="1">
        <v>0</v>
      </c>
      <c r="BK1996" s="1">
        <v>1</v>
      </c>
      <c r="BL1996" s="1">
        <v>0</v>
      </c>
      <c r="BM1996" s="1">
        <v>0</v>
      </c>
      <c r="BN1996" s="1">
        <v>0</v>
      </c>
      <c r="BO1996" s="1">
        <v>0</v>
      </c>
      <c r="BP1996" s="1">
        <v>0</v>
      </c>
      <c r="BQ1996" s="1" t="s">
        <v>104</v>
      </c>
      <c r="BR1996" s="1">
        <v>2100</v>
      </c>
      <c r="BS1996" s="1" t="s">
        <v>104</v>
      </c>
      <c r="BX1996" s="1">
        <v>0</v>
      </c>
      <c r="BY1996" s="1" t="s">
        <v>104</v>
      </c>
      <c r="BZ1996" s="1" t="s">
        <v>104</v>
      </c>
      <c r="CA1996" s="1">
        <v>2</v>
      </c>
      <c r="CB1996" s="1" t="s">
        <v>104</v>
      </c>
      <c r="CC1996" s="1">
        <v>2</v>
      </c>
      <c r="CD1996" s="1" t="s">
        <v>104</v>
      </c>
      <c r="CE1996" s="1" t="s">
        <v>104</v>
      </c>
      <c r="CF1996" s="1" t="s">
        <v>104</v>
      </c>
      <c r="CG1996" s="1" t="s">
        <v>104</v>
      </c>
      <c r="CH1996" s="1" t="s">
        <v>104</v>
      </c>
      <c r="CJ1996" s="1">
        <v>0</v>
      </c>
      <c r="CK1996" s="1">
        <v>0</v>
      </c>
      <c r="CL1996" s="1">
        <v>0</v>
      </c>
      <c r="CM1996" s="1" t="s">
        <v>104</v>
      </c>
    </row>
    <row r="1997" spans="1:91" ht="14.25" customHeight="1" x14ac:dyDescent="0.3">
      <c r="A1997" s="1" t="s">
        <v>10580</v>
      </c>
      <c r="B1997" s="1" t="s">
        <v>92</v>
      </c>
      <c r="C1997" s="1" t="s">
        <v>1160</v>
      </c>
      <c r="E1997" s="1" t="s">
        <v>10581</v>
      </c>
      <c r="F1997" s="1" t="s">
        <v>95</v>
      </c>
      <c r="G1997" s="1" t="s">
        <v>237</v>
      </c>
      <c r="H1997" s="1">
        <v>0</v>
      </c>
      <c r="I1997" s="1" t="s">
        <v>128</v>
      </c>
      <c r="L1997" s="1" t="s">
        <v>10582</v>
      </c>
      <c r="M1997" s="1" t="s">
        <v>10583</v>
      </c>
      <c r="N1997" s="1">
        <v>0</v>
      </c>
      <c r="O1997" s="1">
        <v>0</v>
      </c>
      <c r="P1997" s="1" t="s">
        <v>471</v>
      </c>
      <c r="Q1997" s="1" t="s">
        <v>472</v>
      </c>
      <c r="R1997" s="1" t="s">
        <v>10584</v>
      </c>
      <c r="S1997" s="1" t="s">
        <v>10570</v>
      </c>
      <c r="T1997" s="1">
        <v>1</v>
      </c>
      <c r="U1997" s="1">
        <v>0</v>
      </c>
      <c r="V1997" s="1">
        <v>0</v>
      </c>
      <c r="W1997" s="1">
        <v>0</v>
      </c>
      <c r="X1997" s="1">
        <v>0</v>
      </c>
      <c r="Y1997" s="1">
        <v>2</v>
      </c>
      <c r="Z1997" s="1">
        <v>2</v>
      </c>
      <c r="AA1997" s="1" t="s">
        <v>104</v>
      </c>
      <c r="AB1997" s="1" t="s">
        <v>104</v>
      </c>
      <c r="AC1997" s="1" t="s">
        <v>104</v>
      </c>
      <c r="AD1997" s="1">
        <v>2</v>
      </c>
      <c r="AE1997" s="1" t="s">
        <v>104</v>
      </c>
      <c r="AF1997" s="1" t="s">
        <v>104</v>
      </c>
      <c r="AG1997" s="1" t="s">
        <v>104</v>
      </c>
      <c r="AH1997" s="1">
        <v>2</v>
      </c>
      <c r="AI1997" s="1" t="s">
        <v>104</v>
      </c>
      <c r="AJ1997" s="1" t="s">
        <v>104</v>
      </c>
      <c r="AK1997" s="1" t="s">
        <v>104</v>
      </c>
      <c r="AL1997" s="1" t="s">
        <v>104</v>
      </c>
      <c r="AM1997" s="1" t="s">
        <v>104</v>
      </c>
      <c r="AO1997" s="1">
        <v>2</v>
      </c>
      <c r="AQ1997" s="1" t="s">
        <v>10585</v>
      </c>
      <c r="AR1997" s="1">
        <v>0</v>
      </c>
      <c r="AS1997" s="1">
        <v>0</v>
      </c>
      <c r="AT1997" s="1">
        <v>0</v>
      </c>
      <c r="AU1997" s="1">
        <v>0</v>
      </c>
      <c r="AV1997" s="1">
        <v>0</v>
      </c>
      <c r="AW1997" s="1">
        <v>0</v>
      </c>
      <c r="AX1997" s="1">
        <v>0</v>
      </c>
      <c r="AY1997" s="1">
        <v>0</v>
      </c>
      <c r="AZ1997" s="1">
        <v>0</v>
      </c>
      <c r="BA1997" s="1">
        <v>0</v>
      </c>
      <c r="BB1997" s="1">
        <v>0</v>
      </c>
      <c r="BC1997" s="1">
        <v>0</v>
      </c>
      <c r="BD1997" s="1">
        <v>0</v>
      </c>
      <c r="BE1997" s="1">
        <v>0</v>
      </c>
      <c r="BF1997" s="1">
        <v>0</v>
      </c>
      <c r="BG1997" s="1">
        <v>0</v>
      </c>
      <c r="BH1997" s="1">
        <v>0</v>
      </c>
      <c r="BI1997" s="1">
        <v>0</v>
      </c>
      <c r="BJ1997" s="1">
        <v>0</v>
      </c>
      <c r="BK1997" s="1">
        <v>0</v>
      </c>
      <c r="BL1997" s="1">
        <v>0</v>
      </c>
      <c r="BM1997" s="1">
        <v>0</v>
      </c>
      <c r="BN1997" s="1">
        <v>0</v>
      </c>
      <c r="BO1997" s="1">
        <v>0</v>
      </c>
      <c r="BP1997" s="1">
        <v>0</v>
      </c>
      <c r="BQ1997" s="1" t="s">
        <v>104</v>
      </c>
      <c r="BR1997" s="1">
        <v>2101</v>
      </c>
      <c r="BS1997" s="1" t="s">
        <v>104</v>
      </c>
      <c r="BX1997" s="1">
        <v>0</v>
      </c>
      <c r="BY1997" s="1" t="s">
        <v>104</v>
      </c>
      <c r="BZ1997" s="1" t="s">
        <v>104</v>
      </c>
      <c r="CA1997" s="1">
        <v>2</v>
      </c>
      <c r="CB1997" s="1">
        <v>2</v>
      </c>
      <c r="CC1997" s="1">
        <v>2</v>
      </c>
      <c r="CD1997" s="1">
        <v>2</v>
      </c>
      <c r="CE1997" s="1" t="s">
        <v>104</v>
      </c>
      <c r="CF1997" s="1" t="s">
        <v>104</v>
      </c>
      <c r="CG1997" s="1" t="s">
        <v>104</v>
      </c>
      <c r="CH1997" s="1" t="s">
        <v>104</v>
      </c>
      <c r="CJ1997" s="1">
        <v>0</v>
      </c>
      <c r="CK1997" s="1">
        <v>0</v>
      </c>
      <c r="CL1997" s="1">
        <v>0</v>
      </c>
      <c r="CM1997" s="1" t="s">
        <v>104</v>
      </c>
    </row>
    <row r="1998" spans="1:91" ht="14.25" customHeight="1" x14ac:dyDescent="0.3">
      <c r="A1998" s="1" t="s">
        <v>10586</v>
      </c>
      <c r="B1998" s="1" t="s">
        <v>92</v>
      </c>
      <c r="C1998" s="1" t="s">
        <v>1160</v>
      </c>
      <c r="E1998" s="1" t="s">
        <v>10587</v>
      </c>
      <c r="F1998" s="1" t="s">
        <v>95</v>
      </c>
      <c r="G1998" s="1" t="s">
        <v>237</v>
      </c>
      <c r="H1998" s="1">
        <v>0</v>
      </c>
      <c r="I1998" s="1" t="s">
        <v>128</v>
      </c>
      <c r="L1998" s="1" t="s">
        <v>10588</v>
      </c>
      <c r="M1998" s="1" t="s">
        <v>10583</v>
      </c>
      <c r="N1998" s="1">
        <v>0</v>
      </c>
      <c r="O1998" s="1">
        <v>0</v>
      </c>
      <c r="P1998" s="1" t="s">
        <v>211</v>
      </c>
      <c r="Q1998" s="1" t="s">
        <v>184</v>
      </c>
      <c r="R1998" s="1" t="s">
        <v>10589</v>
      </c>
      <c r="S1998" s="1" t="s">
        <v>10570</v>
      </c>
      <c r="T1998" s="1">
        <v>1</v>
      </c>
      <c r="U1998" s="1">
        <v>0</v>
      </c>
      <c r="V1998" s="1">
        <v>0</v>
      </c>
      <c r="W1998" s="1">
        <v>0</v>
      </c>
      <c r="X1998" s="1">
        <v>0</v>
      </c>
      <c r="Y1998" s="1">
        <v>3</v>
      </c>
      <c r="Z1998" s="1">
        <v>3</v>
      </c>
      <c r="AA1998" s="1" t="s">
        <v>104</v>
      </c>
      <c r="AB1998" s="1">
        <v>3</v>
      </c>
      <c r="AC1998" s="1">
        <v>3</v>
      </c>
      <c r="AD1998" s="1" t="s">
        <v>104</v>
      </c>
      <c r="AE1998" s="1" t="s">
        <v>104</v>
      </c>
      <c r="AF1998" s="1" t="s">
        <v>104</v>
      </c>
      <c r="AG1998" s="1">
        <v>3</v>
      </c>
      <c r="AH1998" s="1">
        <v>3</v>
      </c>
      <c r="AI1998" s="1" t="s">
        <v>104</v>
      </c>
      <c r="AJ1998" s="1" t="s">
        <v>104</v>
      </c>
      <c r="AK1998" s="1" t="s">
        <v>104</v>
      </c>
      <c r="AL1998" s="1" t="s">
        <v>104</v>
      </c>
      <c r="AM1998" s="1" t="s">
        <v>104</v>
      </c>
      <c r="AO1998" s="1">
        <v>3</v>
      </c>
      <c r="AQ1998" s="1" t="s">
        <v>10590</v>
      </c>
      <c r="AR1998" s="1">
        <v>0</v>
      </c>
      <c r="AS1998" s="1">
        <v>0</v>
      </c>
      <c r="AT1998" s="1">
        <v>0</v>
      </c>
      <c r="AU1998" s="1">
        <v>0</v>
      </c>
      <c r="AV1998" s="1">
        <v>0</v>
      </c>
      <c r="AW1998" s="1">
        <v>0</v>
      </c>
      <c r="AX1998" s="1">
        <v>0</v>
      </c>
      <c r="AY1998" s="1">
        <v>0</v>
      </c>
      <c r="AZ1998" s="1">
        <v>0</v>
      </c>
      <c r="BA1998" s="1">
        <v>0</v>
      </c>
      <c r="BB1998" s="1">
        <v>0</v>
      </c>
      <c r="BC1998" s="1">
        <v>0</v>
      </c>
      <c r="BD1998" s="1">
        <v>0</v>
      </c>
      <c r="BE1998" s="1">
        <v>0</v>
      </c>
      <c r="BF1998" s="1">
        <v>0</v>
      </c>
      <c r="BG1998" s="1">
        <v>0</v>
      </c>
      <c r="BH1998" s="1">
        <v>0</v>
      </c>
      <c r="BI1998" s="1">
        <v>0</v>
      </c>
      <c r="BJ1998" s="1">
        <v>0</v>
      </c>
      <c r="BK1998" s="1">
        <v>0</v>
      </c>
      <c r="BL1998" s="1">
        <v>0</v>
      </c>
      <c r="BM1998" s="1">
        <v>0</v>
      </c>
      <c r="BN1998" s="1">
        <v>0</v>
      </c>
      <c r="BO1998" s="1">
        <v>0</v>
      </c>
      <c r="BP1998" s="1">
        <v>0</v>
      </c>
      <c r="BQ1998" s="1" t="s">
        <v>104</v>
      </c>
      <c r="BR1998" s="1">
        <v>2102</v>
      </c>
      <c r="BS1998" s="1" t="s">
        <v>104</v>
      </c>
      <c r="BX1998" s="1">
        <v>0</v>
      </c>
      <c r="BY1998" s="1" t="s">
        <v>104</v>
      </c>
      <c r="BZ1998" s="1" t="s">
        <v>104</v>
      </c>
      <c r="CA1998" s="1">
        <v>3</v>
      </c>
      <c r="CB1998" s="1">
        <v>3</v>
      </c>
      <c r="CC1998" s="1">
        <v>3</v>
      </c>
      <c r="CD1998" s="1" t="s">
        <v>104</v>
      </c>
      <c r="CE1998" s="1" t="s">
        <v>104</v>
      </c>
      <c r="CF1998" s="1" t="s">
        <v>104</v>
      </c>
      <c r="CG1998" s="1" t="s">
        <v>104</v>
      </c>
      <c r="CH1998" s="1">
        <v>3</v>
      </c>
      <c r="CJ1998" s="1">
        <v>0</v>
      </c>
      <c r="CK1998" s="1">
        <v>0</v>
      </c>
      <c r="CL1998" s="1">
        <v>0</v>
      </c>
      <c r="CM1998" s="1">
        <v>3</v>
      </c>
    </row>
    <row r="1999" spans="1:91" ht="14.25" customHeight="1" x14ac:dyDescent="0.3">
      <c r="A1999" s="1" t="s">
        <v>10591</v>
      </c>
      <c r="B1999" s="1" t="s">
        <v>507</v>
      </c>
      <c r="E1999" s="1" t="s">
        <v>10592</v>
      </c>
      <c r="F1999" s="1" t="s">
        <v>95</v>
      </c>
      <c r="G1999" s="1" t="s">
        <v>116</v>
      </c>
      <c r="H1999" s="1">
        <v>0</v>
      </c>
      <c r="I1999" s="1" t="s">
        <v>128</v>
      </c>
      <c r="L1999" s="1" t="s">
        <v>10593</v>
      </c>
      <c r="M1999" s="1" t="s">
        <v>4400</v>
      </c>
      <c r="N1999" s="1">
        <v>1</v>
      </c>
      <c r="O1999" s="1">
        <v>0</v>
      </c>
      <c r="P1999" s="1" t="s">
        <v>148</v>
      </c>
      <c r="Q1999" s="1" t="s">
        <v>184</v>
      </c>
      <c r="R1999" s="1" t="s">
        <v>10594</v>
      </c>
      <c r="S1999" s="1" t="s">
        <v>10570</v>
      </c>
      <c r="T1999" s="1">
        <v>1</v>
      </c>
      <c r="U1999" s="1">
        <v>1</v>
      </c>
      <c r="V1999" s="1">
        <v>0</v>
      </c>
      <c r="W1999" s="1">
        <v>0</v>
      </c>
      <c r="X1999" s="1">
        <v>0</v>
      </c>
      <c r="Y1999" s="1" t="s">
        <v>104</v>
      </c>
      <c r="Z1999" s="1" t="s">
        <v>104</v>
      </c>
      <c r="AA1999" s="1" t="s">
        <v>104</v>
      </c>
      <c r="AB1999" s="1" t="s">
        <v>104</v>
      </c>
      <c r="AC1999" s="1" t="s">
        <v>104</v>
      </c>
      <c r="AD1999" s="1" t="s">
        <v>104</v>
      </c>
      <c r="AE1999" s="1" t="s">
        <v>104</v>
      </c>
      <c r="AF1999" s="1" t="s">
        <v>104</v>
      </c>
      <c r="AG1999" s="1" t="s">
        <v>104</v>
      </c>
      <c r="AH1999" s="1" t="s">
        <v>104</v>
      </c>
      <c r="AI1999" s="1" t="s">
        <v>104</v>
      </c>
      <c r="AJ1999" s="1" t="s">
        <v>104</v>
      </c>
      <c r="AK1999" s="1" t="s">
        <v>104</v>
      </c>
      <c r="AL1999" s="1" t="s">
        <v>104</v>
      </c>
      <c r="AM1999" s="1" t="s">
        <v>104</v>
      </c>
      <c r="AO1999" s="1" t="s">
        <v>104</v>
      </c>
      <c r="AQ1999" s="1" t="s">
        <v>10595</v>
      </c>
      <c r="AR1999" s="1">
        <v>0</v>
      </c>
      <c r="AS1999" s="1">
        <v>0</v>
      </c>
      <c r="AT1999" s="1">
        <v>0</v>
      </c>
      <c r="AU1999" s="1">
        <v>0</v>
      </c>
      <c r="AV1999" s="1">
        <v>0</v>
      </c>
      <c r="AW1999" s="1">
        <v>0</v>
      </c>
      <c r="AX1999" s="1">
        <v>0</v>
      </c>
      <c r="AY1999" s="1">
        <v>0</v>
      </c>
      <c r="AZ1999" s="1">
        <v>0</v>
      </c>
      <c r="BA1999" s="1">
        <v>0</v>
      </c>
      <c r="BB1999" s="1">
        <v>0</v>
      </c>
      <c r="BC1999" s="1">
        <v>0</v>
      </c>
      <c r="BD1999" s="1">
        <v>0</v>
      </c>
      <c r="BE1999" s="1">
        <v>0</v>
      </c>
      <c r="BF1999" s="1">
        <v>0</v>
      </c>
      <c r="BG1999" s="1">
        <v>0</v>
      </c>
      <c r="BH1999" s="1">
        <v>0</v>
      </c>
      <c r="BI1999" s="1">
        <v>0</v>
      </c>
      <c r="BJ1999" s="1">
        <v>0</v>
      </c>
      <c r="BK1999" s="1">
        <v>0</v>
      </c>
      <c r="BL1999" s="1">
        <v>0</v>
      </c>
      <c r="BM1999" s="1">
        <v>0</v>
      </c>
      <c r="BN1999" s="1">
        <v>0</v>
      </c>
      <c r="BO1999" s="1">
        <v>0</v>
      </c>
      <c r="BP1999" s="1">
        <v>0</v>
      </c>
      <c r="BQ1999" s="1" t="s">
        <v>104</v>
      </c>
      <c r="BR1999" s="1">
        <v>2103</v>
      </c>
      <c r="BS1999" s="1" t="s">
        <v>104</v>
      </c>
      <c r="BX1999" s="1">
        <v>0</v>
      </c>
      <c r="BY1999" s="1" t="s">
        <v>104</v>
      </c>
      <c r="BZ1999" s="1" t="s">
        <v>104</v>
      </c>
      <c r="CA1999" s="1">
        <v>4</v>
      </c>
      <c r="CB1999" s="1">
        <v>3</v>
      </c>
      <c r="CC1999" s="1">
        <v>3</v>
      </c>
      <c r="CD1999" s="1">
        <v>3</v>
      </c>
      <c r="CE1999" s="1">
        <v>4</v>
      </c>
      <c r="CF1999" s="1" t="s">
        <v>104</v>
      </c>
      <c r="CG1999" s="1" t="s">
        <v>104</v>
      </c>
      <c r="CH1999" s="1" t="s">
        <v>104</v>
      </c>
      <c r="CJ1999" s="1">
        <v>0</v>
      </c>
      <c r="CK1999" s="1">
        <v>0</v>
      </c>
      <c r="CL1999" s="1">
        <v>0</v>
      </c>
      <c r="CM1999" s="1" t="s">
        <v>104</v>
      </c>
    </row>
    <row r="2000" spans="1:91" ht="14.25" customHeight="1" x14ac:dyDescent="0.3">
      <c r="A2000" s="1" t="s">
        <v>10596</v>
      </c>
      <c r="B2000" s="1" t="s">
        <v>137</v>
      </c>
      <c r="D2000" s="1" t="s">
        <v>10510</v>
      </c>
      <c r="E2000" s="1" t="s">
        <v>10597</v>
      </c>
      <c r="F2000" s="1" t="s">
        <v>95</v>
      </c>
      <c r="G2000" s="1" t="s">
        <v>10598</v>
      </c>
      <c r="H2000" s="1">
        <v>0</v>
      </c>
      <c r="I2000" s="1" t="s">
        <v>128</v>
      </c>
      <c r="L2000" s="1" t="s">
        <v>10599</v>
      </c>
      <c r="M2000" s="1" t="s">
        <v>341</v>
      </c>
      <c r="N2000" s="1">
        <v>0</v>
      </c>
      <c r="O2000" s="1">
        <v>0</v>
      </c>
      <c r="P2000" s="1" t="s">
        <v>100</v>
      </c>
      <c r="Q2000" s="1" t="s">
        <v>101</v>
      </c>
      <c r="R2000" s="1" t="s">
        <v>10600</v>
      </c>
      <c r="S2000" s="1" t="s">
        <v>10601</v>
      </c>
      <c r="T2000" s="1">
        <v>1</v>
      </c>
      <c r="U2000" s="1">
        <v>1</v>
      </c>
      <c r="V2000" s="1">
        <v>1</v>
      </c>
      <c r="W2000" s="1">
        <v>0</v>
      </c>
      <c r="X2000" s="1">
        <v>1</v>
      </c>
      <c r="Y2000" s="1" t="s">
        <v>104</v>
      </c>
      <c r="Z2000" s="1" t="s">
        <v>104</v>
      </c>
      <c r="AA2000" s="1">
        <v>3</v>
      </c>
      <c r="AB2000" s="1">
        <v>3</v>
      </c>
      <c r="AC2000" s="1">
        <v>3</v>
      </c>
      <c r="AD2000" s="1" t="s">
        <v>104</v>
      </c>
      <c r="AE2000" s="1" t="s">
        <v>104</v>
      </c>
      <c r="AF2000" s="1">
        <v>3</v>
      </c>
      <c r="AG2000" s="1" t="s">
        <v>104</v>
      </c>
      <c r="AH2000" s="1">
        <v>3</v>
      </c>
      <c r="AI2000" s="1" t="s">
        <v>104</v>
      </c>
      <c r="AJ2000" s="1">
        <v>3</v>
      </c>
      <c r="AK2000" s="1">
        <v>3</v>
      </c>
      <c r="AL2000" s="1" t="s">
        <v>104</v>
      </c>
      <c r="AM2000" s="1" t="s">
        <v>104</v>
      </c>
      <c r="AO2000" s="1">
        <v>3</v>
      </c>
      <c r="AR2000" s="1">
        <v>0</v>
      </c>
      <c r="AS2000" s="1">
        <v>0</v>
      </c>
      <c r="AT2000" s="1">
        <v>0</v>
      </c>
      <c r="AU2000" s="1">
        <v>0</v>
      </c>
      <c r="AV2000" s="1">
        <v>0</v>
      </c>
      <c r="AW2000" s="1">
        <v>0</v>
      </c>
      <c r="AX2000" s="1">
        <v>0</v>
      </c>
      <c r="AY2000" s="1">
        <v>0</v>
      </c>
      <c r="AZ2000" s="1">
        <v>0</v>
      </c>
      <c r="BA2000" s="1">
        <v>0</v>
      </c>
      <c r="BB2000" s="1">
        <v>0</v>
      </c>
      <c r="BC2000" s="1">
        <v>0</v>
      </c>
      <c r="BD2000" s="1">
        <v>0</v>
      </c>
      <c r="BE2000" s="1">
        <v>0</v>
      </c>
      <c r="BF2000" s="1">
        <v>0</v>
      </c>
      <c r="BG2000" s="1">
        <v>0</v>
      </c>
      <c r="BH2000" s="1">
        <v>0</v>
      </c>
      <c r="BI2000" s="1">
        <v>0</v>
      </c>
      <c r="BJ2000" s="1">
        <v>0</v>
      </c>
      <c r="BK2000" s="1">
        <v>0</v>
      </c>
      <c r="BL2000" s="1">
        <v>0</v>
      </c>
      <c r="BM2000" s="1">
        <v>1</v>
      </c>
      <c r="BN2000" s="1">
        <v>0</v>
      </c>
      <c r="BO2000" s="1">
        <v>0</v>
      </c>
      <c r="BP2000" s="1">
        <v>0</v>
      </c>
      <c r="BQ2000" s="1" t="s">
        <v>104</v>
      </c>
      <c r="BR2000" s="1">
        <v>2104</v>
      </c>
      <c r="BS2000" s="1" t="s">
        <v>104</v>
      </c>
      <c r="BX2000" s="1">
        <v>0</v>
      </c>
      <c r="BY2000" s="1" t="s">
        <v>104</v>
      </c>
      <c r="BZ2000" s="1" t="s">
        <v>104</v>
      </c>
      <c r="CA2000" s="1" t="s">
        <v>104</v>
      </c>
      <c r="CB2000" s="1" t="s">
        <v>104</v>
      </c>
      <c r="CC2000" s="1" t="s">
        <v>104</v>
      </c>
      <c r="CD2000" s="1" t="s">
        <v>104</v>
      </c>
      <c r="CE2000" s="1" t="s">
        <v>104</v>
      </c>
      <c r="CF2000" s="1" t="s">
        <v>104</v>
      </c>
      <c r="CG2000" s="1" t="s">
        <v>104</v>
      </c>
      <c r="CH2000" s="1">
        <v>3</v>
      </c>
      <c r="CJ2000" s="1">
        <v>0</v>
      </c>
      <c r="CK2000" s="1">
        <v>0</v>
      </c>
      <c r="CL2000" s="1">
        <v>0</v>
      </c>
      <c r="CM2000" s="1" t="s">
        <v>104</v>
      </c>
    </row>
    <row r="2001" spans="1:91" ht="14.25" customHeight="1" x14ac:dyDescent="0.3">
      <c r="A2001" s="1" t="s">
        <v>10602</v>
      </c>
      <c r="B2001" s="1" t="s">
        <v>92</v>
      </c>
      <c r="C2001" s="1" t="s">
        <v>93</v>
      </c>
      <c r="D2001" s="1" t="s">
        <v>10510</v>
      </c>
      <c r="E2001" s="1" t="s">
        <v>10603</v>
      </c>
      <c r="F2001" s="1" t="s">
        <v>95</v>
      </c>
      <c r="G2001" s="1" t="s">
        <v>10604</v>
      </c>
      <c r="H2001" s="1">
        <v>0</v>
      </c>
      <c r="I2001" s="1" t="s">
        <v>109</v>
      </c>
      <c r="K2001" s="1" t="s">
        <v>10605</v>
      </c>
      <c r="M2001" s="1" t="s">
        <v>426</v>
      </c>
      <c r="N2001" s="1">
        <v>1</v>
      </c>
      <c r="O2001" s="1">
        <v>0</v>
      </c>
      <c r="P2001" s="1" t="s">
        <v>183</v>
      </c>
      <c r="Q2001" s="1" t="s">
        <v>101</v>
      </c>
      <c r="R2001" s="1" t="s">
        <v>10606</v>
      </c>
      <c r="S2001" s="1" t="s">
        <v>10601</v>
      </c>
      <c r="T2001" s="1">
        <v>1</v>
      </c>
      <c r="U2001" s="1">
        <v>1</v>
      </c>
      <c r="V2001" s="1">
        <v>1</v>
      </c>
      <c r="W2001" s="1">
        <v>0</v>
      </c>
      <c r="X2001" s="1">
        <v>1</v>
      </c>
      <c r="Y2001" s="1">
        <v>2</v>
      </c>
      <c r="Z2001" s="1">
        <v>2</v>
      </c>
      <c r="AA2001" s="1" t="s">
        <v>104</v>
      </c>
      <c r="AB2001" s="1">
        <v>2</v>
      </c>
      <c r="AC2001" s="1">
        <v>2</v>
      </c>
      <c r="AD2001" s="1" t="s">
        <v>104</v>
      </c>
      <c r="AE2001" s="1" t="s">
        <v>104</v>
      </c>
      <c r="AF2001" s="1" t="s">
        <v>104</v>
      </c>
      <c r="AG2001" s="1">
        <v>2</v>
      </c>
      <c r="AH2001" s="1">
        <v>2</v>
      </c>
      <c r="AI2001" s="1" t="s">
        <v>104</v>
      </c>
      <c r="AJ2001" s="1" t="s">
        <v>104</v>
      </c>
      <c r="AK2001" s="1" t="s">
        <v>104</v>
      </c>
      <c r="AL2001" s="1" t="s">
        <v>104</v>
      </c>
      <c r="AM2001" s="1" t="s">
        <v>104</v>
      </c>
      <c r="AO2001" s="1">
        <v>2</v>
      </c>
      <c r="AR2001" s="1">
        <v>0</v>
      </c>
      <c r="AS2001" s="1">
        <v>0</v>
      </c>
      <c r="AT2001" s="1">
        <v>0</v>
      </c>
      <c r="AU2001" s="1">
        <v>0</v>
      </c>
      <c r="AV2001" s="1">
        <v>0</v>
      </c>
      <c r="AW2001" s="1">
        <v>0</v>
      </c>
      <c r="AX2001" s="1">
        <v>0</v>
      </c>
      <c r="AY2001" s="1">
        <v>0</v>
      </c>
      <c r="AZ2001" s="1">
        <v>0</v>
      </c>
      <c r="BA2001" s="1">
        <v>0</v>
      </c>
      <c r="BB2001" s="1">
        <v>0</v>
      </c>
      <c r="BC2001" s="1">
        <v>0</v>
      </c>
      <c r="BD2001" s="1">
        <v>0</v>
      </c>
      <c r="BE2001" s="1">
        <v>0</v>
      </c>
      <c r="BF2001" s="1">
        <v>0</v>
      </c>
      <c r="BG2001" s="1">
        <v>0</v>
      </c>
      <c r="BH2001" s="1">
        <v>0</v>
      </c>
      <c r="BI2001" s="1">
        <v>0</v>
      </c>
      <c r="BJ2001" s="1">
        <v>0</v>
      </c>
      <c r="BK2001" s="1">
        <v>0</v>
      </c>
      <c r="BL2001" s="1">
        <v>0</v>
      </c>
      <c r="BM2001" s="1">
        <v>1</v>
      </c>
      <c r="BN2001" s="1">
        <v>0</v>
      </c>
      <c r="BO2001" s="1">
        <v>0</v>
      </c>
      <c r="BP2001" s="1">
        <v>0</v>
      </c>
      <c r="BQ2001" s="1" t="s">
        <v>104</v>
      </c>
      <c r="BR2001" s="1">
        <v>2105</v>
      </c>
      <c r="BS2001" s="1" t="s">
        <v>104</v>
      </c>
      <c r="BX2001" s="1">
        <v>0</v>
      </c>
      <c r="BY2001" s="1" t="s">
        <v>104</v>
      </c>
      <c r="BZ2001" s="1" t="s">
        <v>104</v>
      </c>
      <c r="CA2001" s="1" t="s">
        <v>104</v>
      </c>
      <c r="CB2001" s="1" t="s">
        <v>104</v>
      </c>
      <c r="CC2001" s="1" t="s">
        <v>104</v>
      </c>
      <c r="CD2001" s="1" t="s">
        <v>104</v>
      </c>
      <c r="CE2001" s="1" t="s">
        <v>104</v>
      </c>
      <c r="CF2001" s="1" t="s">
        <v>104</v>
      </c>
      <c r="CG2001" s="1" t="s">
        <v>104</v>
      </c>
      <c r="CH2001" s="1">
        <v>2</v>
      </c>
      <c r="CJ2001" s="1">
        <v>0</v>
      </c>
      <c r="CK2001" s="1">
        <v>0</v>
      </c>
      <c r="CL2001" s="1">
        <v>0</v>
      </c>
      <c r="CM2001" s="1">
        <v>2</v>
      </c>
    </row>
    <row r="2002" spans="1:91" ht="14.25" customHeight="1" x14ac:dyDescent="0.3">
      <c r="A2002" s="1" t="s">
        <v>10607</v>
      </c>
      <c r="B2002" s="1" t="s">
        <v>137</v>
      </c>
      <c r="E2002" s="1" t="s">
        <v>10608</v>
      </c>
      <c r="F2002" s="1" t="s">
        <v>95</v>
      </c>
      <c r="G2002" s="1" t="s">
        <v>10609</v>
      </c>
      <c r="H2002" s="1">
        <v>0</v>
      </c>
      <c r="I2002" s="1" t="s">
        <v>128</v>
      </c>
      <c r="L2002" s="1" t="s">
        <v>374</v>
      </c>
      <c r="M2002" s="1" t="s">
        <v>4292</v>
      </c>
      <c r="N2002" s="1">
        <v>0</v>
      </c>
      <c r="O2002" s="1">
        <v>0</v>
      </c>
      <c r="P2002" s="1" t="s">
        <v>1058</v>
      </c>
      <c r="Q2002" s="1" t="s">
        <v>131</v>
      </c>
      <c r="R2002" s="1" t="s">
        <v>10610</v>
      </c>
      <c r="S2002" s="1" t="s">
        <v>10601</v>
      </c>
      <c r="T2002" s="1">
        <v>1</v>
      </c>
      <c r="U2002" s="1">
        <v>1</v>
      </c>
      <c r="V2002" s="1">
        <v>1</v>
      </c>
      <c r="W2002" s="1">
        <v>0</v>
      </c>
      <c r="X2002" s="1">
        <v>1</v>
      </c>
      <c r="Y2002" s="1" t="s">
        <v>104</v>
      </c>
      <c r="Z2002" s="1" t="s">
        <v>104</v>
      </c>
      <c r="AA2002" s="1">
        <v>2</v>
      </c>
      <c r="AB2002" s="1">
        <v>2</v>
      </c>
      <c r="AC2002" s="1" t="s">
        <v>104</v>
      </c>
      <c r="AD2002" s="1" t="s">
        <v>104</v>
      </c>
      <c r="AE2002" s="1" t="s">
        <v>104</v>
      </c>
      <c r="AF2002" s="1">
        <v>2</v>
      </c>
      <c r="AG2002" s="1" t="s">
        <v>104</v>
      </c>
      <c r="AH2002" s="1" t="s">
        <v>104</v>
      </c>
      <c r="AI2002" s="1" t="s">
        <v>104</v>
      </c>
      <c r="AJ2002" s="1">
        <v>2</v>
      </c>
      <c r="AK2002" s="1" t="s">
        <v>104</v>
      </c>
      <c r="AL2002" s="1" t="s">
        <v>104</v>
      </c>
      <c r="AM2002" s="1" t="s">
        <v>104</v>
      </c>
      <c r="AO2002" s="1">
        <v>2</v>
      </c>
      <c r="AR2002" s="1">
        <v>0</v>
      </c>
      <c r="AS2002" s="1">
        <v>0</v>
      </c>
      <c r="AT2002" s="1">
        <v>0</v>
      </c>
      <c r="AU2002" s="1">
        <v>0</v>
      </c>
      <c r="AV2002" s="1">
        <v>0</v>
      </c>
      <c r="AW2002" s="1">
        <v>0</v>
      </c>
      <c r="AX2002" s="1">
        <v>0</v>
      </c>
      <c r="AY2002" s="1">
        <v>0</v>
      </c>
      <c r="AZ2002" s="1">
        <v>0</v>
      </c>
      <c r="BA2002" s="1">
        <v>0</v>
      </c>
      <c r="BB2002" s="1">
        <v>0</v>
      </c>
      <c r="BC2002" s="1">
        <v>0</v>
      </c>
      <c r="BD2002" s="1">
        <v>0</v>
      </c>
      <c r="BE2002" s="1">
        <v>0</v>
      </c>
      <c r="BF2002" s="1">
        <v>0</v>
      </c>
      <c r="BG2002" s="1">
        <v>0</v>
      </c>
      <c r="BH2002" s="1">
        <v>0</v>
      </c>
      <c r="BI2002" s="1">
        <v>0</v>
      </c>
      <c r="BJ2002" s="1">
        <v>0</v>
      </c>
      <c r="BK2002" s="1">
        <v>0</v>
      </c>
      <c r="BL2002" s="1">
        <v>0</v>
      </c>
      <c r="BM2002" s="1">
        <v>0</v>
      </c>
      <c r="BN2002" s="1">
        <v>0</v>
      </c>
      <c r="BO2002" s="1">
        <v>0</v>
      </c>
      <c r="BP2002" s="1">
        <v>0</v>
      </c>
      <c r="BQ2002" s="1" t="s">
        <v>104</v>
      </c>
      <c r="BR2002" s="1">
        <v>2106</v>
      </c>
      <c r="BS2002" s="1" t="s">
        <v>104</v>
      </c>
      <c r="BX2002" s="1">
        <v>0</v>
      </c>
      <c r="BY2002" s="1" t="s">
        <v>104</v>
      </c>
      <c r="BZ2002" s="1">
        <v>2</v>
      </c>
      <c r="CA2002" s="1" t="s">
        <v>104</v>
      </c>
      <c r="CB2002" s="1" t="s">
        <v>104</v>
      </c>
      <c r="CC2002" s="1" t="s">
        <v>104</v>
      </c>
      <c r="CD2002" s="1" t="s">
        <v>104</v>
      </c>
      <c r="CE2002" s="1" t="s">
        <v>104</v>
      </c>
      <c r="CF2002" s="1" t="s">
        <v>104</v>
      </c>
      <c r="CG2002" s="1" t="s">
        <v>104</v>
      </c>
      <c r="CH2002" s="1">
        <v>2</v>
      </c>
      <c r="CJ2002" s="1">
        <v>0</v>
      </c>
      <c r="CK2002" s="1">
        <v>0</v>
      </c>
      <c r="CL2002" s="1">
        <v>0</v>
      </c>
      <c r="CM2002" s="1" t="s">
        <v>104</v>
      </c>
    </row>
    <row r="2003" spans="1:91" ht="14.25" customHeight="1" x14ac:dyDescent="0.3">
      <c r="A2003" s="1" t="s">
        <v>10611</v>
      </c>
      <c r="B2003" s="1" t="s">
        <v>92</v>
      </c>
      <c r="C2003" s="1" t="s">
        <v>523</v>
      </c>
      <c r="E2003" s="1" t="s">
        <v>10612</v>
      </c>
      <c r="F2003" s="1" t="s">
        <v>95</v>
      </c>
      <c r="G2003" s="1" t="s">
        <v>10613</v>
      </c>
      <c r="H2003" s="1">
        <v>0</v>
      </c>
      <c r="I2003" s="1" t="s">
        <v>128</v>
      </c>
      <c r="L2003" s="1" t="s">
        <v>2614</v>
      </c>
      <c r="M2003" s="1" t="s">
        <v>10614</v>
      </c>
      <c r="N2003" s="1">
        <v>1</v>
      </c>
      <c r="O2003" s="1">
        <v>0</v>
      </c>
      <c r="P2003" s="1" t="s">
        <v>148</v>
      </c>
      <c r="Q2003" s="1" t="s">
        <v>149</v>
      </c>
      <c r="R2003" s="1" t="s">
        <v>10615</v>
      </c>
      <c r="S2003" s="1" t="s">
        <v>10601</v>
      </c>
      <c r="T2003" s="1">
        <v>1</v>
      </c>
      <c r="U2003" s="1">
        <v>1</v>
      </c>
      <c r="V2003" s="1">
        <v>1</v>
      </c>
      <c r="W2003" s="1">
        <v>0</v>
      </c>
      <c r="X2003" s="1">
        <v>1</v>
      </c>
      <c r="Y2003" s="1" t="s">
        <v>104</v>
      </c>
      <c r="Z2003" s="1" t="s">
        <v>104</v>
      </c>
      <c r="AA2003" s="1">
        <v>6</v>
      </c>
      <c r="AB2003" s="1">
        <v>5</v>
      </c>
      <c r="AC2003" s="1" t="s">
        <v>104</v>
      </c>
      <c r="AD2003" s="1">
        <v>6</v>
      </c>
      <c r="AE2003" s="1" t="s">
        <v>104</v>
      </c>
      <c r="AF2003" s="1">
        <v>6</v>
      </c>
      <c r="AG2003" s="1" t="s">
        <v>104</v>
      </c>
      <c r="AH2003" s="1">
        <v>6</v>
      </c>
      <c r="AI2003" s="1">
        <v>6</v>
      </c>
      <c r="AJ2003" s="1">
        <v>6</v>
      </c>
      <c r="AK2003" s="1" t="s">
        <v>104</v>
      </c>
      <c r="AL2003" s="1" t="s">
        <v>104</v>
      </c>
      <c r="AM2003" s="1" t="s">
        <v>104</v>
      </c>
      <c r="AO2003" s="1">
        <v>6</v>
      </c>
      <c r="AR2003" s="1">
        <v>0</v>
      </c>
      <c r="AS2003" s="1">
        <v>0</v>
      </c>
      <c r="AT2003" s="1">
        <v>0</v>
      </c>
      <c r="AU2003" s="1">
        <v>0</v>
      </c>
      <c r="AV2003" s="1">
        <v>0</v>
      </c>
      <c r="AW2003" s="1">
        <v>0</v>
      </c>
      <c r="AX2003" s="1">
        <v>0</v>
      </c>
      <c r="AY2003" s="1">
        <v>0</v>
      </c>
      <c r="AZ2003" s="1">
        <v>0</v>
      </c>
      <c r="BA2003" s="1">
        <v>0</v>
      </c>
      <c r="BB2003" s="1">
        <v>0</v>
      </c>
      <c r="BC2003" s="1">
        <v>0</v>
      </c>
      <c r="BD2003" s="1">
        <v>0</v>
      </c>
      <c r="BE2003" s="1">
        <v>0</v>
      </c>
      <c r="BF2003" s="1">
        <v>0</v>
      </c>
      <c r="BG2003" s="1">
        <v>0</v>
      </c>
      <c r="BH2003" s="1">
        <v>0</v>
      </c>
      <c r="BI2003" s="1">
        <v>0</v>
      </c>
      <c r="BJ2003" s="1">
        <v>0</v>
      </c>
      <c r="BK2003" s="1">
        <v>0</v>
      </c>
      <c r="BL2003" s="1">
        <v>0</v>
      </c>
      <c r="BM2003" s="1">
        <v>0</v>
      </c>
      <c r="BN2003" s="1">
        <v>0</v>
      </c>
      <c r="BO2003" s="1">
        <v>0</v>
      </c>
      <c r="BP2003" s="1">
        <v>0</v>
      </c>
      <c r="BQ2003" s="1" t="s">
        <v>104</v>
      </c>
      <c r="BR2003" s="1">
        <v>2107</v>
      </c>
      <c r="BS2003" s="1" t="s">
        <v>104</v>
      </c>
      <c r="BX2003" s="1">
        <v>0</v>
      </c>
      <c r="BY2003" s="1" t="s">
        <v>104</v>
      </c>
      <c r="BZ2003" s="1" t="s">
        <v>104</v>
      </c>
      <c r="CA2003" s="1" t="s">
        <v>104</v>
      </c>
      <c r="CB2003" s="1" t="s">
        <v>104</v>
      </c>
      <c r="CC2003" s="1" t="s">
        <v>104</v>
      </c>
      <c r="CD2003" s="1" t="s">
        <v>104</v>
      </c>
      <c r="CE2003" s="1" t="s">
        <v>104</v>
      </c>
      <c r="CF2003" s="1" t="s">
        <v>104</v>
      </c>
      <c r="CG2003" s="1" t="s">
        <v>104</v>
      </c>
      <c r="CH2003" s="1">
        <v>5</v>
      </c>
      <c r="CJ2003" s="1">
        <v>0</v>
      </c>
      <c r="CK2003" s="1">
        <v>0</v>
      </c>
      <c r="CL2003" s="1">
        <v>0</v>
      </c>
      <c r="CM2003" s="1" t="s">
        <v>104</v>
      </c>
    </row>
    <row r="2004" spans="1:91" ht="14.25" customHeight="1" x14ac:dyDescent="0.3">
      <c r="A2004" s="1" t="s">
        <v>10616</v>
      </c>
      <c r="B2004" s="1" t="s">
        <v>434</v>
      </c>
      <c r="D2004" s="1" t="s">
        <v>10510</v>
      </c>
      <c r="E2004" s="1" t="s">
        <v>10617</v>
      </c>
      <c r="F2004" s="1" t="s">
        <v>95</v>
      </c>
      <c r="G2004" s="1" t="s">
        <v>10618</v>
      </c>
      <c r="H2004" s="1">
        <v>0</v>
      </c>
      <c r="I2004" s="1" t="s">
        <v>548</v>
      </c>
      <c r="J2004" s="1" t="s">
        <v>549</v>
      </c>
      <c r="M2004" s="1" t="s">
        <v>119</v>
      </c>
      <c r="N2004" s="1">
        <v>0</v>
      </c>
      <c r="O2004" s="1">
        <v>0</v>
      </c>
      <c r="P2004" s="1" t="s">
        <v>183</v>
      </c>
      <c r="Q2004" s="1" t="s">
        <v>184</v>
      </c>
      <c r="R2004" s="1" t="s">
        <v>10619</v>
      </c>
      <c r="S2004" s="1" t="s">
        <v>10601</v>
      </c>
      <c r="T2004" s="1">
        <v>1</v>
      </c>
      <c r="U2004" s="1">
        <v>1</v>
      </c>
      <c r="V2004" s="1">
        <v>1</v>
      </c>
      <c r="W2004" s="1">
        <v>0</v>
      </c>
      <c r="X2004" s="1">
        <v>1</v>
      </c>
      <c r="Y2004" s="1" t="s">
        <v>104</v>
      </c>
      <c r="Z2004" s="1" t="s">
        <v>104</v>
      </c>
      <c r="AA2004" s="1">
        <v>7</v>
      </c>
      <c r="AB2004" s="1">
        <v>6</v>
      </c>
      <c r="AC2004" s="1" t="s">
        <v>104</v>
      </c>
      <c r="AD2004" s="1" t="s">
        <v>104</v>
      </c>
      <c r="AE2004" s="1" t="s">
        <v>104</v>
      </c>
      <c r="AF2004" s="1" t="s">
        <v>104</v>
      </c>
      <c r="AG2004" s="1" t="s">
        <v>104</v>
      </c>
      <c r="AH2004" s="1">
        <v>7</v>
      </c>
      <c r="AI2004" s="1" t="s">
        <v>104</v>
      </c>
      <c r="AJ2004" s="1">
        <v>7</v>
      </c>
      <c r="AK2004" s="1" t="s">
        <v>104</v>
      </c>
      <c r="AL2004" s="1" t="s">
        <v>104</v>
      </c>
      <c r="AM2004" s="1" t="s">
        <v>104</v>
      </c>
      <c r="AO2004" s="1">
        <v>7</v>
      </c>
      <c r="AR2004" s="1">
        <v>0</v>
      </c>
      <c r="AS2004" s="1">
        <v>0</v>
      </c>
      <c r="AT2004" s="1">
        <v>0</v>
      </c>
      <c r="AU2004" s="1">
        <v>0</v>
      </c>
      <c r="AV2004" s="1">
        <v>0</v>
      </c>
      <c r="AW2004" s="1">
        <v>0</v>
      </c>
      <c r="AX2004" s="1">
        <v>0</v>
      </c>
      <c r="AY2004" s="1">
        <v>0</v>
      </c>
      <c r="AZ2004" s="1">
        <v>0</v>
      </c>
      <c r="BA2004" s="1">
        <v>0</v>
      </c>
      <c r="BB2004" s="1">
        <v>0</v>
      </c>
      <c r="BC2004" s="1">
        <v>0</v>
      </c>
      <c r="BD2004" s="1">
        <v>0</v>
      </c>
      <c r="BE2004" s="1">
        <v>0</v>
      </c>
      <c r="BF2004" s="1">
        <v>0</v>
      </c>
      <c r="BG2004" s="1">
        <v>0</v>
      </c>
      <c r="BH2004" s="1">
        <v>0</v>
      </c>
      <c r="BI2004" s="1">
        <v>0</v>
      </c>
      <c r="BJ2004" s="1">
        <v>0</v>
      </c>
      <c r="BK2004" s="1">
        <v>0</v>
      </c>
      <c r="BL2004" s="1">
        <v>0</v>
      </c>
      <c r="BM2004" s="1">
        <v>1</v>
      </c>
      <c r="BN2004" s="1">
        <v>0</v>
      </c>
      <c r="BO2004" s="1">
        <v>0</v>
      </c>
      <c r="BP2004" s="1">
        <v>0</v>
      </c>
      <c r="BQ2004" s="1" t="s">
        <v>104</v>
      </c>
      <c r="BR2004" s="1">
        <v>2108</v>
      </c>
      <c r="BS2004" s="1" t="s">
        <v>104</v>
      </c>
      <c r="BX2004" s="1">
        <v>0</v>
      </c>
      <c r="BY2004" s="1" t="s">
        <v>104</v>
      </c>
      <c r="BZ2004" s="1" t="s">
        <v>104</v>
      </c>
      <c r="CA2004" s="1" t="s">
        <v>104</v>
      </c>
      <c r="CB2004" s="1" t="s">
        <v>104</v>
      </c>
      <c r="CC2004" s="1" t="s">
        <v>104</v>
      </c>
      <c r="CD2004" s="1" t="s">
        <v>104</v>
      </c>
      <c r="CE2004" s="1" t="s">
        <v>104</v>
      </c>
      <c r="CF2004" s="1" t="s">
        <v>104</v>
      </c>
      <c r="CG2004" s="1" t="s">
        <v>104</v>
      </c>
      <c r="CH2004" s="1">
        <v>6</v>
      </c>
      <c r="CJ2004" s="1">
        <v>0</v>
      </c>
      <c r="CK2004" s="1">
        <v>0</v>
      </c>
      <c r="CL2004" s="1">
        <v>0</v>
      </c>
      <c r="CM2004" s="1" t="s">
        <v>104</v>
      </c>
    </row>
    <row r="2005" spans="1:91" ht="14.25" customHeight="1" x14ac:dyDescent="0.3">
      <c r="A2005" s="1" t="s">
        <v>10620</v>
      </c>
      <c r="B2005" s="1" t="s">
        <v>137</v>
      </c>
      <c r="D2005" s="1" t="s">
        <v>10510</v>
      </c>
      <c r="E2005" s="1" t="s">
        <v>10621</v>
      </c>
      <c r="F2005" s="1" t="s">
        <v>95</v>
      </c>
      <c r="G2005" s="1" t="s">
        <v>10622</v>
      </c>
      <c r="H2005" s="1">
        <v>0</v>
      </c>
      <c r="I2005" s="1" t="s">
        <v>117</v>
      </c>
      <c r="L2005" s="1" t="s">
        <v>10623</v>
      </c>
      <c r="M2005" s="1" t="s">
        <v>426</v>
      </c>
      <c r="N2005" s="1">
        <v>1</v>
      </c>
      <c r="O2005" s="1">
        <v>0</v>
      </c>
      <c r="P2005" s="1" t="s">
        <v>471</v>
      </c>
      <c r="Q2005" s="1" t="s">
        <v>472</v>
      </c>
      <c r="R2005" s="1" t="s">
        <v>10624</v>
      </c>
      <c r="S2005" s="1" t="s">
        <v>10601</v>
      </c>
      <c r="T2005" s="1">
        <v>1</v>
      </c>
      <c r="U2005" s="1">
        <v>1</v>
      </c>
      <c r="V2005" s="1">
        <v>1</v>
      </c>
      <c r="W2005" s="1">
        <v>0</v>
      </c>
      <c r="X2005" s="1">
        <v>1</v>
      </c>
      <c r="Y2005" s="1">
        <v>4</v>
      </c>
      <c r="Z2005" s="1">
        <v>4</v>
      </c>
      <c r="AA2005" s="1">
        <v>4</v>
      </c>
      <c r="AB2005" s="1">
        <v>4</v>
      </c>
      <c r="AC2005" s="1" t="s">
        <v>104</v>
      </c>
      <c r="AD2005" s="1" t="s">
        <v>104</v>
      </c>
      <c r="AE2005" s="1" t="s">
        <v>104</v>
      </c>
      <c r="AF2005" s="1" t="s">
        <v>104</v>
      </c>
      <c r="AG2005" s="1">
        <v>4</v>
      </c>
      <c r="AH2005" s="1" t="s">
        <v>104</v>
      </c>
      <c r="AI2005" s="1" t="s">
        <v>104</v>
      </c>
      <c r="AJ2005" s="1">
        <v>4</v>
      </c>
      <c r="AK2005" s="1" t="s">
        <v>104</v>
      </c>
      <c r="AL2005" s="1" t="s">
        <v>104</v>
      </c>
      <c r="AM2005" s="1" t="s">
        <v>104</v>
      </c>
      <c r="AO2005" s="1">
        <v>4</v>
      </c>
      <c r="AR2005" s="1">
        <v>0</v>
      </c>
      <c r="AS2005" s="1">
        <v>0</v>
      </c>
      <c r="AT2005" s="1">
        <v>0</v>
      </c>
      <c r="AU2005" s="1">
        <v>0</v>
      </c>
      <c r="AV2005" s="1">
        <v>0</v>
      </c>
      <c r="AW2005" s="1">
        <v>0</v>
      </c>
      <c r="AX2005" s="1">
        <v>0</v>
      </c>
      <c r="AY2005" s="1">
        <v>0</v>
      </c>
      <c r="AZ2005" s="1">
        <v>0</v>
      </c>
      <c r="BA2005" s="1">
        <v>0</v>
      </c>
      <c r="BB2005" s="1">
        <v>0</v>
      </c>
      <c r="BC2005" s="1">
        <v>0</v>
      </c>
      <c r="BD2005" s="1">
        <v>0</v>
      </c>
      <c r="BE2005" s="1">
        <v>0</v>
      </c>
      <c r="BF2005" s="1">
        <v>0</v>
      </c>
      <c r="BG2005" s="1">
        <v>0</v>
      </c>
      <c r="BH2005" s="1">
        <v>0</v>
      </c>
      <c r="BI2005" s="1">
        <v>0</v>
      </c>
      <c r="BJ2005" s="1">
        <v>0</v>
      </c>
      <c r="BK2005" s="1">
        <v>0</v>
      </c>
      <c r="BL2005" s="1">
        <v>0</v>
      </c>
      <c r="BM2005" s="1">
        <v>1</v>
      </c>
      <c r="BN2005" s="1">
        <v>0</v>
      </c>
      <c r="BO2005" s="1">
        <v>0</v>
      </c>
      <c r="BP2005" s="1">
        <v>0</v>
      </c>
      <c r="BQ2005" s="1" t="s">
        <v>104</v>
      </c>
      <c r="BR2005" s="1">
        <v>2109</v>
      </c>
      <c r="BS2005" s="1" t="s">
        <v>104</v>
      </c>
      <c r="BX2005" s="1">
        <v>0</v>
      </c>
      <c r="BY2005" s="1" t="s">
        <v>104</v>
      </c>
      <c r="BZ2005" s="1">
        <v>4</v>
      </c>
      <c r="CA2005" s="1" t="s">
        <v>104</v>
      </c>
      <c r="CB2005" s="1" t="s">
        <v>104</v>
      </c>
      <c r="CC2005" s="1" t="s">
        <v>104</v>
      </c>
      <c r="CD2005" s="1" t="s">
        <v>104</v>
      </c>
      <c r="CE2005" s="1" t="s">
        <v>104</v>
      </c>
      <c r="CF2005" s="1" t="s">
        <v>104</v>
      </c>
      <c r="CG2005" s="1" t="s">
        <v>104</v>
      </c>
      <c r="CH2005" s="1">
        <v>4</v>
      </c>
      <c r="CJ2005" s="1">
        <v>0</v>
      </c>
      <c r="CK2005" s="1">
        <v>0</v>
      </c>
      <c r="CL2005" s="1">
        <v>0</v>
      </c>
      <c r="CM2005" s="1">
        <v>4</v>
      </c>
    </row>
    <row r="2006" spans="1:91" ht="14.25" customHeight="1" x14ac:dyDescent="0.3">
      <c r="A2006" s="1" t="s">
        <v>10625</v>
      </c>
      <c r="B2006" s="1" t="s">
        <v>216</v>
      </c>
      <c r="D2006" s="1" t="s">
        <v>10510</v>
      </c>
      <c r="E2006" s="1" t="s">
        <v>10626</v>
      </c>
      <c r="F2006" s="1" t="s">
        <v>95</v>
      </c>
      <c r="G2006" s="1" t="s">
        <v>10627</v>
      </c>
      <c r="H2006" s="1">
        <v>0</v>
      </c>
      <c r="I2006" s="1" t="s">
        <v>117</v>
      </c>
      <c r="L2006" s="1" t="s">
        <v>10628</v>
      </c>
      <c r="M2006" s="1" t="s">
        <v>119</v>
      </c>
      <c r="N2006" s="1">
        <v>0</v>
      </c>
      <c r="O2006" s="1">
        <v>0</v>
      </c>
      <c r="P2006" s="1" t="s">
        <v>2807</v>
      </c>
      <c r="Q2006" s="1" t="s">
        <v>184</v>
      </c>
      <c r="R2006" s="1" t="s">
        <v>10629</v>
      </c>
      <c r="S2006" s="1" t="s">
        <v>10601</v>
      </c>
      <c r="T2006" s="1">
        <v>1</v>
      </c>
      <c r="U2006" s="1">
        <v>1</v>
      </c>
      <c r="V2006" s="1">
        <v>1</v>
      </c>
      <c r="W2006" s="1">
        <v>0</v>
      </c>
      <c r="X2006" s="1">
        <v>1</v>
      </c>
      <c r="Y2006" s="1">
        <v>3</v>
      </c>
      <c r="Z2006" s="1">
        <v>3</v>
      </c>
      <c r="AA2006" s="1" t="s">
        <v>104</v>
      </c>
      <c r="AB2006" s="1">
        <v>3</v>
      </c>
      <c r="AC2006" s="1" t="s">
        <v>104</v>
      </c>
      <c r="AD2006" s="1" t="s">
        <v>104</v>
      </c>
      <c r="AE2006" s="1" t="s">
        <v>104</v>
      </c>
      <c r="AF2006" s="1" t="s">
        <v>104</v>
      </c>
      <c r="AG2006" s="1" t="s">
        <v>104</v>
      </c>
      <c r="AH2006" s="1">
        <v>3</v>
      </c>
      <c r="AI2006" s="1" t="s">
        <v>104</v>
      </c>
      <c r="AJ2006" s="1" t="s">
        <v>104</v>
      </c>
      <c r="AK2006" s="1" t="s">
        <v>104</v>
      </c>
      <c r="AL2006" s="1" t="s">
        <v>104</v>
      </c>
      <c r="AM2006" s="1" t="s">
        <v>104</v>
      </c>
      <c r="AO2006" s="1">
        <v>3</v>
      </c>
      <c r="AR2006" s="1">
        <v>0</v>
      </c>
      <c r="AS2006" s="1">
        <v>0</v>
      </c>
      <c r="AT2006" s="1">
        <v>0</v>
      </c>
      <c r="AU2006" s="1">
        <v>0</v>
      </c>
      <c r="AV2006" s="1">
        <v>0</v>
      </c>
      <c r="AW2006" s="1">
        <v>0</v>
      </c>
      <c r="AX2006" s="1">
        <v>0</v>
      </c>
      <c r="AY2006" s="1">
        <v>0</v>
      </c>
      <c r="AZ2006" s="1">
        <v>0</v>
      </c>
      <c r="BA2006" s="1">
        <v>0</v>
      </c>
      <c r="BB2006" s="1">
        <v>0</v>
      </c>
      <c r="BC2006" s="1">
        <v>0</v>
      </c>
      <c r="BD2006" s="1">
        <v>0</v>
      </c>
      <c r="BE2006" s="1">
        <v>0</v>
      </c>
      <c r="BF2006" s="1">
        <v>0</v>
      </c>
      <c r="BG2006" s="1">
        <v>0</v>
      </c>
      <c r="BH2006" s="1">
        <v>0</v>
      </c>
      <c r="BI2006" s="1">
        <v>0</v>
      </c>
      <c r="BJ2006" s="1">
        <v>0</v>
      </c>
      <c r="BK2006" s="1">
        <v>0</v>
      </c>
      <c r="BL2006" s="1">
        <v>0</v>
      </c>
      <c r="BM2006" s="1">
        <v>1</v>
      </c>
      <c r="BN2006" s="1">
        <v>0</v>
      </c>
      <c r="BO2006" s="1">
        <v>0</v>
      </c>
      <c r="BP2006" s="1">
        <v>0</v>
      </c>
      <c r="BQ2006" s="1" t="s">
        <v>104</v>
      </c>
      <c r="BR2006" s="1">
        <v>2110</v>
      </c>
      <c r="BS2006" s="1" t="s">
        <v>104</v>
      </c>
      <c r="BX2006" s="1">
        <v>0</v>
      </c>
      <c r="BY2006" s="1" t="s">
        <v>104</v>
      </c>
      <c r="BZ2006" s="1">
        <v>3</v>
      </c>
      <c r="CA2006" s="1" t="s">
        <v>104</v>
      </c>
      <c r="CB2006" s="1" t="s">
        <v>104</v>
      </c>
      <c r="CC2006" s="1" t="s">
        <v>104</v>
      </c>
      <c r="CD2006" s="1" t="s">
        <v>104</v>
      </c>
      <c r="CE2006" s="1" t="s">
        <v>104</v>
      </c>
      <c r="CF2006" s="1" t="s">
        <v>104</v>
      </c>
      <c r="CG2006" s="1" t="s">
        <v>104</v>
      </c>
      <c r="CH2006" s="1">
        <v>3</v>
      </c>
      <c r="CJ2006" s="1">
        <v>0</v>
      </c>
      <c r="CK2006" s="1">
        <v>0</v>
      </c>
      <c r="CL2006" s="1">
        <v>0</v>
      </c>
      <c r="CM2006" s="1" t="s">
        <v>104</v>
      </c>
    </row>
    <row r="2007" spans="1:91" ht="14.25" customHeight="1" x14ac:dyDescent="0.3">
      <c r="A2007" s="1" t="s">
        <v>10630</v>
      </c>
      <c r="B2007" s="1" t="s">
        <v>137</v>
      </c>
      <c r="D2007" s="1" t="s">
        <v>10510</v>
      </c>
      <c r="E2007" s="1" t="s">
        <v>10631</v>
      </c>
      <c r="F2007" s="1" t="s">
        <v>95</v>
      </c>
      <c r="G2007" s="1" t="s">
        <v>10632</v>
      </c>
      <c r="H2007" s="1">
        <v>1</v>
      </c>
      <c r="I2007" s="1" t="s">
        <v>128</v>
      </c>
      <c r="L2007" s="1" t="s">
        <v>374</v>
      </c>
      <c r="M2007" s="1" t="s">
        <v>426</v>
      </c>
      <c r="N2007" s="1">
        <v>1</v>
      </c>
      <c r="O2007" s="1">
        <v>0</v>
      </c>
      <c r="P2007" s="1" t="s">
        <v>1058</v>
      </c>
      <c r="Q2007" s="1" t="s">
        <v>131</v>
      </c>
      <c r="R2007" s="1" t="s">
        <v>10633</v>
      </c>
      <c r="S2007" s="1" t="s">
        <v>10601</v>
      </c>
      <c r="T2007" s="1">
        <v>1</v>
      </c>
      <c r="U2007" s="1">
        <v>1</v>
      </c>
      <c r="V2007" s="1">
        <v>1</v>
      </c>
      <c r="W2007" s="1">
        <v>0</v>
      </c>
      <c r="X2007" s="1">
        <v>1</v>
      </c>
      <c r="Y2007" s="1" t="s">
        <v>104</v>
      </c>
      <c r="Z2007" s="1" t="s">
        <v>104</v>
      </c>
      <c r="AA2007" s="1" t="s">
        <v>104</v>
      </c>
      <c r="AB2007" s="1">
        <v>2</v>
      </c>
      <c r="AC2007" s="1">
        <v>2</v>
      </c>
      <c r="AD2007" s="1" t="s">
        <v>104</v>
      </c>
      <c r="AE2007" s="1" t="s">
        <v>104</v>
      </c>
      <c r="AF2007" s="1">
        <v>2</v>
      </c>
      <c r="AG2007" s="1">
        <v>2</v>
      </c>
      <c r="AH2007" s="1">
        <v>2</v>
      </c>
      <c r="AI2007" s="1" t="s">
        <v>104</v>
      </c>
      <c r="AJ2007" s="1" t="s">
        <v>104</v>
      </c>
      <c r="AK2007" s="1" t="s">
        <v>104</v>
      </c>
      <c r="AL2007" s="1" t="s">
        <v>104</v>
      </c>
      <c r="AM2007" s="1" t="s">
        <v>104</v>
      </c>
      <c r="AO2007" s="1">
        <v>2</v>
      </c>
      <c r="AR2007" s="1">
        <v>0</v>
      </c>
      <c r="AS2007" s="1">
        <v>0</v>
      </c>
      <c r="AT2007" s="1">
        <v>0</v>
      </c>
      <c r="AU2007" s="1">
        <v>0</v>
      </c>
      <c r="AV2007" s="1">
        <v>0</v>
      </c>
      <c r="AW2007" s="1">
        <v>0</v>
      </c>
      <c r="AX2007" s="1">
        <v>0</v>
      </c>
      <c r="AY2007" s="1">
        <v>0</v>
      </c>
      <c r="AZ2007" s="1">
        <v>0</v>
      </c>
      <c r="BA2007" s="1">
        <v>0</v>
      </c>
      <c r="BB2007" s="1">
        <v>0</v>
      </c>
      <c r="BC2007" s="1">
        <v>0</v>
      </c>
      <c r="BD2007" s="1">
        <v>0</v>
      </c>
      <c r="BE2007" s="1">
        <v>0</v>
      </c>
      <c r="BF2007" s="1">
        <v>0</v>
      </c>
      <c r="BG2007" s="1">
        <v>0</v>
      </c>
      <c r="BH2007" s="1">
        <v>0</v>
      </c>
      <c r="BI2007" s="1">
        <v>0</v>
      </c>
      <c r="BJ2007" s="1">
        <v>0</v>
      </c>
      <c r="BK2007" s="1">
        <v>0</v>
      </c>
      <c r="BL2007" s="1">
        <v>0</v>
      </c>
      <c r="BM2007" s="1">
        <v>1</v>
      </c>
      <c r="BN2007" s="1">
        <v>0</v>
      </c>
      <c r="BO2007" s="1">
        <v>0</v>
      </c>
      <c r="BP2007" s="1">
        <v>0</v>
      </c>
      <c r="BQ2007" s="1" t="s">
        <v>104</v>
      </c>
      <c r="BR2007" s="1">
        <v>2111</v>
      </c>
      <c r="BS2007" s="1">
        <v>75</v>
      </c>
      <c r="BX2007" s="1">
        <v>0</v>
      </c>
      <c r="BY2007" s="1" t="s">
        <v>104</v>
      </c>
      <c r="BZ2007" s="1">
        <v>2</v>
      </c>
      <c r="CA2007" s="1" t="s">
        <v>104</v>
      </c>
      <c r="CB2007" s="1" t="s">
        <v>104</v>
      </c>
      <c r="CC2007" s="1" t="s">
        <v>104</v>
      </c>
      <c r="CD2007" s="1" t="s">
        <v>104</v>
      </c>
      <c r="CE2007" s="1" t="s">
        <v>104</v>
      </c>
      <c r="CF2007" s="1" t="s">
        <v>104</v>
      </c>
      <c r="CG2007" s="1" t="s">
        <v>104</v>
      </c>
      <c r="CH2007" s="1">
        <v>2</v>
      </c>
      <c r="CJ2007" s="1">
        <v>0</v>
      </c>
      <c r="CK2007" s="1">
        <v>0</v>
      </c>
      <c r="CL2007" s="1">
        <v>0</v>
      </c>
      <c r="CM2007" s="1">
        <v>2</v>
      </c>
    </row>
    <row r="2008" spans="1:91" ht="14.25" customHeight="1" x14ac:dyDescent="0.3">
      <c r="A2008" s="1" t="s">
        <v>10634</v>
      </c>
      <c r="B2008" s="1" t="s">
        <v>507</v>
      </c>
      <c r="C2008" s="1" t="s">
        <v>508</v>
      </c>
      <c r="E2008" s="1" t="s">
        <v>10635</v>
      </c>
      <c r="F2008" s="1" t="s">
        <v>255</v>
      </c>
      <c r="G2008" s="1" t="s">
        <v>10636</v>
      </c>
      <c r="H2008" s="1">
        <v>0</v>
      </c>
      <c r="I2008" s="1" t="s">
        <v>117</v>
      </c>
      <c r="L2008" s="1" t="s">
        <v>1065</v>
      </c>
      <c r="M2008" s="1" t="s">
        <v>4292</v>
      </c>
      <c r="N2008" s="1">
        <v>0</v>
      </c>
      <c r="O2008" s="1">
        <v>0</v>
      </c>
      <c r="P2008" s="1" t="s">
        <v>10637</v>
      </c>
      <c r="Q2008" s="1" t="s">
        <v>131</v>
      </c>
      <c r="R2008" s="1" t="s">
        <v>10638</v>
      </c>
      <c r="S2008" s="1" t="s">
        <v>10601</v>
      </c>
      <c r="T2008" s="1">
        <v>1</v>
      </c>
      <c r="U2008" s="1">
        <v>1</v>
      </c>
      <c r="V2008" s="1">
        <v>1</v>
      </c>
      <c r="W2008" s="1">
        <v>0</v>
      </c>
      <c r="X2008" s="1">
        <v>1</v>
      </c>
      <c r="Y2008" s="1">
        <v>1</v>
      </c>
      <c r="Z2008" s="1">
        <v>1</v>
      </c>
      <c r="AA2008" s="1">
        <v>1</v>
      </c>
      <c r="AB2008" s="1">
        <v>1</v>
      </c>
      <c r="AC2008" s="1" t="s">
        <v>104</v>
      </c>
      <c r="AD2008" s="1">
        <v>1</v>
      </c>
      <c r="AE2008" s="1" t="s">
        <v>104</v>
      </c>
      <c r="AF2008" s="1" t="s">
        <v>104</v>
      </c>
      <c r="AG2008" s="1">
        <v>1</v>
      </c>
      <c r="AH2008" s="1">
        <v>1</v>
      </c>
      <c r="AI2008" s="1" t="s">
        <v>104</v>
      </c>
      <c r="AJ2008" s="1">
        <v>1</v>
      </c>
      <c r="AK2008" s="1" t="s">
        <v>104</v>
      </c>
      <c r="AL2008" s="1" t="s">
        <v>104</v>
      </c>
      <c r="AM2008" s="1" t="s">
        <v>104</v>
      </c>
      <c r="AO2008" s="1">
        <v>1</v>
      </c>
      <c r="AR2008" s="1">
        <v>0</v>
      </c>
      <c r="AS2008" s="1">
        <v>0</v>
      </c>
      <c r="AT2008" s="1">
        <v>0</v>
      </c>
      <c r="AU2008" s="1">
        <v>0</v>
      </c>
      <c r="AV2008" s="1">
        <v>0</v>
      </c>
      <c r="AW2008" s="1">
        <v>0</v>
      </c>
      <c r="AX2008" s="1">
        <v>0</v>
      </c>
      <c r="AY2008" s="1">
        <v>0</v>
      </c>
      <c r="AZ2008" s="1">
        <v>0</v>
      </c>
      <c r="BA2008" s="1">
        <v>0</v>
      </c>
      <c r="BB2008" s="1">
        <v>0</v>
      </c>
      <c r="BC2008" s="1">
        <v>0</v>
      </c>
      <c r="BD2008" s="1">
        <v>0</v>
      </c>
      <c r="BE2008" s="1">
        <v>0</v>
      </c>
      <c r="BF2008" s="1">
        <v>0</v>
      </c>
      <c r="BG2008" s="1">
        <v>0</v>
      </c>
      <c r="BH2008" s="1">
        <v>0</v>
      </c>
      <c r="BI2008" s="1">
        <v>0</v>
      </c>
      <c r="BJ2008" s="1">
        <v>0</v>
      </c>
      <c r="BK2008" s="1">
        <v>0</v>
      </c>
      <c r="BL2008" s="1">
        <v>0</v>
      </c>
      <c r="BM2008" s="1">
        <v>0</v>
      </c>
      <c r="BN2008" s="1">
        <v>0</v>
      </c>
      <c r="BO2008" s="1">
        <v>0</v>
      </c>
      <c r="BP2008" s="1">
        <v>0</v>
      </c>
      <c r="BQ2008" s="1" t="s">
        <v>104</v>
      </c>
      <c r="BR2008" s="1">
        <v>2112</v>
      </c>
      <c r="BS2008" s="1" t="s">
        <v>104</v>
      </c>
      <c r="BX2008" s="1">
        <v>0</v>
      </c>
      <c r="BY2008" s="1" t="s">
        <v>104</v>
      </c>
      <c r="BZ2008" s="1">
        <v>1</v>
      </c>
      <c r="CA2008" s="1" t="s">
        <v>104</v>
      </c>
      <c r="CB2008" s="1" t="s">
        <v>104</v>
      </c>
      <c r="CC2008" s="1" t="s">
        <v>104</v>
      </c>
      <c r="CD2008" s="1" t="s">
        <v>104</v>
      </c>
      <c r="CE2008" s="1" t="s">
        <v>104</v>
      </c>
      <c r="CF2008" s="1" t="s">
        <v>104</v>
      </c>
      <c r="CG2008" s="1" t="s">
        <v>104</v>
      </c>
      <c r="CH2008" s="1">
        <v>1</v>
      </c>
      <c r="CJ2008" s="1">
        <v>0</v>
      </c>
      <c r="CK2008" s="1">
        <v>0</v>
      </c>
      <c r="CL2008" s="1">
        <v>0</v>
      </c>
      <c r="CM2008" s="1">
        <v>1</v>
      </c>
    </row>
    <row r="2009" spans="1:91" ht="14.25" customHeight="1" x14ac:dyDescent="0.3">
      <c r="A2009" s="1" t="s">
        <v>10639</v>
      </c>
      <c r="B2009" s="1" t="s">
        <v>507</v>
      </c>
      <c r="C2009" s="1" t="s">
        <v>508</v>
      </c>
      <c r="E2009" s="1" t="s">
        <v>10640</v>
      </c>
      <c r="F2009" s="1" t="s">
        <v>95</v>
      </c>
      <c r="G2009" s="1" t="s">
        <v>10641</v>
      </c>
      <c r="H2009" s="1">
        <v>0</v>
      </c>
      <c r="I2009" s="1" t="s">
        <v>117</v>
      </c>
      <c r="L2009" s="1" t="s">
        <v>10642</v>
      </c>
      <c r="M2009" s="1" t="s">
        <v>111</v>
      </c>
      <c r="N2009" s="1">
        <v>0</v>
      </c>
      <c r="O2009" s="1">
        <v>0</v>
      </c>
      <c r="P2009" s="1" t="s">
        <v>211</v>
      </c>
      <c r="Q2009" s="1" t="s">
        <v>184</v>
      </c>
      <c r="R2009" s="1" t="s">
        <v>10643</v>
      </c>
      <c r="S2009" s="1" t="s">
        <v>10601</v>
      </c>
      <c r="T2009" s="1">
        <v>1</v>
      </c>
      <c r="U2009" s="1">
        <v>1</v>
      </c>
      <c r="V2009" s="1">
        <v>1</v>
      </c>
      <c r="W2009" s="1">
        <v>0</v>
      </c>
      <c r="X2009" s="1">
        <v>0</v>
      </c>
      <c r="Y2009" s="1">
        <v>2</v>
      </c>
      <c r="Z2009" s="1">
        <v>2</v>
      </c>
      <c r="AA2009" s="1" t="s">
        <v>104</v>
      </c>
      <c r="AB2009" s="1" t="s">
        <v>104</v>
      </c>
      <c r="AC2009" s="1" t="s">
        <v>104</v>
      </c>
      <c r="AD2009" s="1">
        <v>2</v>
      </c>
      <c r="AE2009" s="1" t="s">
        <v>104</v>
      </c>
      <c r="AF2009" s="1" t="s">
        <v>104</v>
      </c>
      <c r="AG2009" s="1" t="s">
        <v>104</v>
      </c>
      <c r="AH2009" s="1" t="s">
        <v>104</v>
      </c>
      <c r="AI2009" s="1" t="s">
        <v>104</v>
      </c>
      <c r="AJ2009" s="1" t="s">
        <v>104</v>
      </c>
      <c r="AK2009" s="1" t="s">
        <v>104</v>
      </c>
      <c r="AL2009" s="1">
        <v>2</v>
      </c>
      <c r="AM2009" s="1" t="s">
        <v>104</v>
      </c>
      <c r="AO2009" s="1">
        <v>2</v>
      </c>
      <c r="AR2009" s="1">
        <v>0</v>
      </c>
      <c r="AS2009" s="1">
        <v>0</v>
      </c>
      <c r="AT2009" s="1">
        <v>0</v>
      </c>
      <c r="AU2009" s="1">
        <v>0</v>
      </c>
      <c r="AV2009" s="1">
        <v>0</v>
      </c>
      <c r="AW2009" s="1">
        <v>0</v>
      </c>
      <c r="AX2009" s="1">
        <v>0</v>
      </c>
      <c r="AY2009" s="1">
        <v>0</v>
      </c>
      <c r="AZ2009" s="1">
        <v>0</v>
      </c>
      <c r="BA2009" s="1">
        <v>0</v>
      </c>
      <c r="BB2009" s="1">
        <v>0</v>
      </c>
      <c r="BC2009" s="1">
        <v>0</v>
      </c>
      <c r="BD2009" s="1">
        <v>0</v>
      </c>
      <c r="BE2009" s="1">
        <v>0</v>
      </c>
      <c r="BF2009" s="1">
        <v>0</v>
      </c>
      <c r="BG2009" s="1">
        <v>0</v>
      </c>
      <c r="BH2009" s="1">
        <v>0</v>
      </c>
      <c r="BI2009" s="1">
        <v>0</v>
      </c>
      <c r="BJ2009" s="1">
        <v>0</v>
      </c>
      <c r="BK2009" s="1">
        <v>0</v>
      </c>
      <c r="BL2009" s="1">
        <v>0</v>
      </c>
      <c r="BM2009" s="1">
        <v>0</v>
      </c>
      <c r="BN2009" s="1">
        <v>0</v>
      </c>
      <c r="BO2009" s="1">
        <v>0</v>
      </c>
      <c r="BP2009" s="1">
        <v>0</v>
      </c>
      <c r="BQ2009" s="1" t="s">
        <v>104</v>
      </c>
      <c r="BR2009" s="1">
        <v>2113</v>
      </c>
      <c r="BS2009" s="1" t="s">
        <v>104</v>
      </c>
      <c r="BX2009" s="1">
        <v>0</v>
      </c>
      <c r="BY2009" s="1">
        <v>2</v>
      </c>
      <c r="BZ2009" s="1" t="s">
        <v>104</v>
      </c>
      <c r="CA2009" s="1" t="s">
        <v>104</v>
      </c>
      <c r="CB2009" s="1" t="s">
        <v>104</v>
      </c>
      <c r="CC2009" s="1" t="s">
        <v>104</v>
      </c>
      <c r="CD2009" s="1" t="s">
        <v>104</v>
      </c>
      <c r="CE2009" s="1" t="s">
        <v>104</v>
      </c>
      <c r="CF2009" s="1" t="s">
        <v>104</v>
      </c>
      <c r="CG2009" s="1" t="s">
        <v>104</v>
      </c>
      <c r="CH2009" s="1" t="s">
        <v>104</v>
      </c>
      <c r="CJ2009" s="1">
        <v>0</v>
      </c>
      <c r="CK2009" s="1">
        <v>0</v>
      </c>
      <c r="CL2009" s="1">
        <v>0</v>
      </c>
      <c r="CM2009" s="1" t="s">
        <v>104</v>
      </c>
    </row>
    <row r="2010" spans="1:91" ht="14.25" customHeight="1" x14ac:dyDescent="0.3">
      <c r="A2010" s="1" t="s">
        <v>10644</v>
      </c>
      <c r="B2010" s="1" t="s">
        <v>92</v>
      </c>
      <c r="C2010" s="1" t="s">
        <v>93</v>
      </c>
      <c r="E2010" s="1" t="s">
        <v>10645</v>
      </c>
      <c r="F2010" s="1" t="s">
        <v>95</v>
      </c>
      <c r="G2010" s="1" t="s">
        <v>424</v>
      </c>
      <c r="H2010" s="1">
        <v>0</v>
      </c>
      <c r="I2010" s="1" t="s">
        <v>109</v>
      </c>
      <c r="J2010" s="1" t="s">
        <v>425</v>
      </c>
      <c r="M2010" s="1" t="s">
        <v>426</v>
      </c>
      <c r="N2010" s="1">
        <v>1</v>
      </c>
      <c r="O2010" s="1">
        <v>0</v>
      </c>
      <c r="P2010" s="1" t="s">
        <v>100</v>
      </c>
      <c r="Q2010" s="1" t="s">
        <v>101</v>
      </c>
      <c r="R2010" s="1" t="s">
        <v>10646</v>
      </c>
      <c r="S2010" s="1" t="s">
        <v>10601</v>
      </c>
      <c r="T2010" s="1">
        <v>1</v>
      </c>
      <c r="U2010" s="1">
        <v>1</v>
      </c>
      <c r="V2010" s="1">
        <v>1</v>
      </c>
      <c r="W2010" s="1">
        <v>0</v>
      </c>
      <c r="X2010" s="1">
        <v>0</v>
      </c>
      <c r="Y2010" s="1">
        <v>3</v>
      </c>
      <c r="Z2010" s="1">
        <v>3</v>
      </c>
      <c r="AA2010" s="1" t="s">
        <v>104</v>
      </c>
      <c r="AB2010" s="1" t="s">
        <v>104</v>
      </c>
      <c r="AC2010" s="1" t="s">
        <v>104</v>
      </c>
      <c r="AD2010" s="1" t="s">
        <v>104</v>
      </c>
      <c r="AE2010" s="1" t="s">
        <v>104</v>
      </c>
      <c r="AF2010" s="1" t="s">
        <v>104</v>
      </c>
      <c r="AG2010" s="1">
        <v>3</v>
      </c>
      <c r="AH2010" s="1">
        <v>3</v>
      </c>
      <c r="AI2010" s="1" t="s">
        <v>104</v>
      </c>
      <c r="AJ2010" s="1" t="s">
        <v>104</v>
      </c>
      <c r="AK2010" s="1" t="s">
        <v>104</v>
      </c>
      <c r="AL2010" s="1">
        <v>3</v>
      </c>
      <c r="AM2010" s="1" t="s">
        <v>104</v>
      </c>
      <c r="AO2010" s="1">
        <v>3</v>
      </c>
      <c r="AR2010" s="1">
        <v>0</v>
      </c>
      <c r="AS2010" s="1">
        <v>0</v>
      </c>
      <c r="AT2010" s="1">
        <v>0</v>
      </c>
      <c r="AU2010" s="1">
        <v>0</v>
      </c>
      <c r="AV2010" s="1">
        <v>0</v>
      </c>
      <c r="AW2010" s="1">
        <v>0</v>
      </c>
      <c r="AX2010" s="1">
        <v>0</v>
      </c>
      <c r="AY2010" s="1">
        <v>0</v>
      </c>
      <c r="AZ2010" s="1">
        <v>0</v>
      </c>
      <c r="BA2010" s="1">
        <v>0</v>
      </c>
      <c r="BB2010" s="1">
        <v>0</v>
      </c>
      <c r="BC2010" s="1">
        <v>0</v>
      </c>
      <c r="BD2010" s="1">
        <v>0</v>
      </c>
      <c r="BE2010" s="1">
        <v>0</v>
      </c>
      <c r="BF2010" s="1">
        <v>0</v>
      </c>
      <c r="BG2010" s="1">
        <v>0</v>
      </c>
      <c r="BH2010" s="1">
        <v>0</v>
      </c>
      <c r="BI2010" s="1">
        <v>0</v>
      </c>
      <c r="BJ2010" s="1">
        <v>0</v>
      </c>
      <c r="BK2010" s="1">
        <v>0</v>
      </c>
      <c r="BL2010" s="1">
        <v>0</v>
      </c>
      <c r="BM2010" s="1">
        <v>0</v>
      </c>
      <c r="BN2010" s="1">
        <v>0</v>
      </c>
      <c r="BO2010" s="1">
        <v>0</v>
      </c>
      <c r="BP2010" s="1">
        <v>0</v>
      </c>
      <c r="BQ2010" s="1" t="s">
        <v>104</v>
      </c>
      <c r="BR2010" s="1">
        <v>2114</v>
      </c>
      <c r="BS2010" s="1" t="s">
        <v>104</v>
      </c>
      <c r="BX2010" s="1">
        <v>0</v>
      </c>
      <c r="BY2010" s="1">
        <v>3</v>
      </c>
      <c r="BZ2010" s="1" t="s">
        <v>104</v>
      </c>
      <c r="CA2010" s="1" t="s">
        <v>104</v>
      </c>
      <c r="CB2010" s="1" t="s">
        <v>104</v>
      </c>
      <c r="CC2010" s="1" t="s">
        <v>104</v>
      </c>
      <c r="CD2010" s="1" t="s">
        <v>104</v>
      </c>
      <c r="CE2010" s="1" t="s">
        <v>104</v>
      </c>
      <c r="CF2010" s="1" t="s">
        <v>104</v>
      </c>
      <c r="CG2010" s="1" t="s">
        <v>104</v>
      </c>
      <c r="CH2010" s="1" t="s">
        <v>104</v>
      </c>
      <c r="CJ2010" s="1">
        <v>0</v>
      </c>
      <c r="CK2010" s="1">
        <v>0</v>
      </c>
      <c r="CL2010" s="1">
        <v>0</v>
      </c>
      <c r="CM2010" s="1">
        <v>3</v>
      </c>
    </row>
    <row r="2011" spans="1:91" ht="14.25" customHeight="1" x14ac:dyDescent="0.3">
      <c r="A2011" s="1" t="s">
        <v>10647</v>
      </c>
      <c r="B2011" s="1" t="s">
        <v>92</v>
      </c>
      <c r="C2011" s="1" t="s">
        <v>93</v>
      </c>
      <c r="E2011" s="1" t="s">
        <v>10648</v>
      </c>
      <c r="F2011" s="1" t="s">
        <v>95</v>
      </c>
      <c r="G2011" s="1" t="s">
        <v>1857</v>
      </c>
      <c r="H2011" s="1">
        <v>0</v>
      </c>
      <c r="I2011" s="1" t="s">
        <v>109</v>
      </c>
      <c r="L2011" s="1" t="s">
        <v>10649</v>
      </c>
      <c r="M2011" s="1" t="s">
        <v>437</v>
      </c>
      <c r="N2011" s="1">
        <v>1</v>
      </c>
      <c r="O2011" s="1">
        <v>0</v>
      </c>
      <c r="P2011" s="1" t="s">
        <v>145</v>
      </c>
      <c r="Q2011" s="1" t="s">
        <v>101</v>
      </c>
      <c r="R2011" s="1" t="s">
        <v>10650</v>
      </c>
      <c r="S2011" s="1" t="s">
        <v>10601</v>
      </c>
      <c r="T2011" s="1">
        <v>1</v>
      </c>
      <c r="U2011" s="1">
        <v>1</v>
      </c>
      <c r="V2011" s="1">
        <v>1</v>
      </c>
      <c r="W2011" s="1">
        <v>0</v>
      </c>
      <c r="X2011" s="1">
        <v>0</v>
      </c>
      <c r="Y2011" s="1">
        <v>5</v>
      </c>
      <c r="Z2011" s="1">
        <v>5</v>
      </c>
      <c r="AA2011" s="1" t="s">
        <v>104</v>
      </c>
      <c r="AB2011" s="1" t="s">
        <v>104</v>
      </c>
      <c r="AC2011" s="1" t="s">
        <v>104</v>
      </c>
      <c r="AD2011" s="1">
        <v>5</v>
      </c>
      <c r="AE2011" s="1" t="s">
        <v>104</v>
      </c>
      <c r="AF2011" s="1" t="s">
        <v>104</v>
      </c>
      <c r="AG2011" s="1">
        <v>5</v>
      </c>
      <c r="AH2011" s="1" t="s">
        <v>104</v>
      </c>
      <c r="AI2011" s="1" t="s">
        <v>104</v>
      </c>
      <c r="AJ2011" s="1" t="s">
        <v>104</v>
      </c>
      <c r="AK2011" s="1" t="s">
        <v>104</v>
      </c>
      <c r="AL2011" s="1">
        <v>5</v>
      </c>
      <c r="AM2011" s="1" t="s">
        <v>104</v>
      </c>
      <c r="AO2011" s="1">
        <v>5</v>
      </c>
      <c r="AR2011" s="1">
        <v>0</v>
      </c>
      <c r="AS2011" s="1">
        <v>0</v>
      </c>
      <c r="AT2011" s="1">
        <v>0</v>
      </c>
      <c r="AU2011" s="1">
        <v>0</v>
      </c>
      <c r="AV2011" s="1">
        <v>0</v>
      </c>
      <c r="AW2011" s="1">
        <v>0</v>
      </c>
      <c r="AX2011" s="1">
        <v>0</v>
      </c>
      <c r="AY2011" s="1">
        <v>0</v>
      </c>
      <c r="AZ2011" s="1">
        <v>0</v>
      </c>
      <c r="BA2011" s="1">
        <v>0</v>
      </c>
      <c r="BB2011" s="1">
        <v>0</v>
      </c>
      <c r="BC2011" s="1">
        <v>0</v>
      </c>
      <c r="BD2011" s="1">
        <v>0</v>
      </c>
      <c r="BE2011" s="1">
        <v>0</v>
      </c>
      <c r="BF2011" s="1">
        <v>0</v>
      </c>
      <c r="BG2011" s="1">
        <v>0</v>
      </c>
      <c r="BH2011" s="1">
        <v>0</v>
      </c>
      <c r="BI2011" s="1">
        <v>0</v>
      </c>
      <c r="BJ2011" s="1">
        <v>0</v>
      </c>
      <c r="BK2011" s="1">
        <v>0</v>
      </c>
      <c r="BL2011" s="1">
        <v>0</v>
      </c>
      <c r="BM2011" s="1">
        <v>0</v>
      </c>
      <c r="BN2011" s="1">
        <v>0</v>
      </c>
      <c r="BO2011" s="1">
        <v>0</v>
      </c>
      <c r="BP2011" s="1">
        <v>0</v>
      </c>
      <c r="BQ2011" s="1" t="s">
        <v>104</v>
      </c>
      <c r="BR2011" s="1">
        <v>2115</v>
      </c>
      <c r="BS2011" s="1" t="s">
        <v>104</v>
      </c>
      <c r="BX2011" s="1">
        <v>0</v>
      </c>
      <c r="BY2011" s="1" t="s">
        <v>104</v>
      </c>
      <c r="BZ2011" s="1" t="s">
        <v>104</v>
      </c>
      <c r="CA2011" s="1" t="s">
        <v>104</v>
      </c>
      <c r="CB2011" s="1" t="s">
        <v>104</v>
      </c>
      <c r="CC2011" s="1" t="s">
        <v>104</v>
      </c>
      <c r="CD2011" s="1" t="s">
        <v>104</v>
      </c>
      <c r="CE2011" s="1" t="s">
        <v>104</v>
      </c>
      <c r="CF2011" s="1" t="s">
        <v>104</v>
      </c>
      <c r="CG2011" s="1" t="s">
        <v>104</v>
      </c>
      <c r="CH2011" s="1" t="s">
        <v>104</v>
      </c>
      <c r="CJ2011" s="1">
        <v>0</v>
      </c>
      <c r="CK2011" s="1">
        <v>0</v>
      </c>
      <c r="CL2011" s="1">
        <v>0</v>
      </c>
      <c r="CM2011" s="1">
        <v>5</v>
      </c>
    </row>
    <row r="2012" spans="1:91" ht="14.25" customHeight="1" x14ac:dyDescent="0.3">
      <c r="A2012" s="1" t="s">
        <v>10651</v>
      </c>
      <c r="B2012" s="1" t="s">
        <v>137</v>
      </c>
      <c r="E2012" s="1" t="s">
        <v>10652</v>
      </c>
      <c r="F2012" s="1" t="s">
        <v>95</v>
      </c>
      <c r="G2012" s="1" t="s">
        <v>116</v>
      </c>
      <c r="H2012" s="1">
        <v>0</v>
      </c>
      <c r="I2012" s="1" t="s">
        <v>157</v>
      </c>
      <c r="L2012" s="1" t="s">
        <v>158</v>
      </c>
      <c r="M2012" s="1" t="s">
        <v>620</v>
      </c>
      <c r="N2012" s="1">
        <v>1</v>
      </c>
      <c r="O2012" s="1">
        <v>0</v>
      </c>
      <c r="R2012" s="1" t="s">
        <v>10653</v>
      </c>
      <c r="S2012" s="1" t="s">
        <v>10601</v>
      </c>
      <c r="T2012" s="1">
        <v>1</v>
      </c>
      <c r="U2012" s="1">
        <v>1</v>
      </c>
      <c r="V2012" s="1">
        <v>0</v>
      </c>
      <c r="W2012" s="1">
        <v>0</v>
      </c>
      <c r="X2012" s="1">
        <v>0</v>
      </c>
      <c r="Y2012" s="1">
        <v>1</v>
      </c>
      <c r="Z2012" s="1">
        <v>1</v>
      </c>
      <c r="AA2012" s="1" t="s">
        <v>104</v>
      </c>
      <c r="AB2012" s="1" t="s">
        <v>104</v>
      </c>
      <c r="AC2012" s="1">
        <v>1</v>
      </c>
      <c r="AD2012" s="1" t="s">
        <v>104</v>
      </c>
      <c r="AE2012" s="1" t="s">
        <v>104</v>
      </c>
      <c r="AF2012" s="1" t="s">
        <v>104</v>
      </c>
      <c r="AG2012" s="1" t="s">
        <v>104</v>
      </c>
      <c r="AH2012" s="1" t="s">
        <v>104</v>
      </c>
      <c r="AI2012" s="1">
        <v>1</v>
      </c>
      <c r="AJ2012" s="1" t="s">
        <v>104</v>
      </c>
      <c r="AK2012" s="1">
        <v>1</v>
      </c>
      <c r="AL2012" s="1">
        <v>1</v>
      </c>
      <c r="AM2012" s="1" t="s">
        <v>104</v>
      </c>
      <c r="AO2012" s="1">
        <v>1</v>
      </c>
      <c r="AR2012" s="1">
        <v>0</v>
      </c>
      <c r="AS2012" s="1">
        <v>0</v>
      </c>
      <c r="AT2012" s="1">
        <v>0</v>
      </c>
      <c r="AU2012" s="1">
        <v>0</v>
      </c>
      <c r="AV2012" s="1">
        <v>0</v>
      </c>
      <c r="AW2012" s="1">
        <v>0</v>
      </c>
      <c r="AX2012" s="1">
        <v>0</v>
      </c>
      <c r="AY2012" s="1">
        <v>0</v>
      </c>
      <c r="AZ2012" s="1">
        <v>0</v>
      </c>
      <c r="BA2012" s="1">
        <v>0</v>
      </c>
      <c r="BB2012" s="1">
        <v>0</v>
      </c>
      <c r="BC2012" s="1">
        <v>0</v>
      </c>
      <c r="BD2012" s="1">
        <v>0</v>
      </c>
      <c r="BE2012" s="1">
        <v>0</v>
      </c>
      <c r="BF2012" s="1">
        <v>0</v>
      </c>
      <c r="BG2012" s="1">
        <v>0</v>
      </c>
      <c r="BH2012" s="1">
        <v>0</v>
      </c>
      <c r="BI2012" s="1">
        <v>0</v>
      </c>
      <c r="BJ2012" s="1">
        <v>0</v>
      </c>
      <c r="BK2012" s="1">
        <v>0</v>
      </c>
      <c r="BL2012" s="1">
        <v>0</v>
      </c>
      <c r="BM2012" s="1">
        <v>0</v>
      </c>
      <c r="BN2012" s="1">
        <v>0</v>
      </c>
      <c r="BO2012" s="1">
        <v>0</v>
      </c>
      <c r="BP2012" s="1">
        <v>0</v>
      </c>
      <c r="BQ2012" s="1" t="s">
        <v>104</v>
      </c>
      <c r="BR2012" s="1">
        <v>2116</v>
      </c>
      <c r="BS2012" s="1" t="s">
        <v>104</v>
      </c>
      <c r="BX2012" s="1">
        <v>0</v>
      </c>
      <c r="BY2012" s="1">
        <v>1</v>
      </c>
      <c r="BZ2012" s="1" t="s">
        <v>104</v>
      </c>
      <c r="CA2012" s="1" t="s">
        <v>104</v>
      </c>
      <c r="CB2012" s="1" t="s">
        <v>104</v>
      </c>
      <c r="CC2012" s="1" t="s">
        <v>104</v>
      </c>
      <c r="CD2012" s="1" t="s">
        <v>104</v>
      </c>
      <c r="CE2012" s="1" t="s">
        <v>104</v>
      </c>
      <c r="CF2012" s="1" t="s">
        <v>104</v>
      </c>
      <c r="CG2012" s="1" t="s">
        <v>104</v>
      </c>
      <c r="CH2012" s="1">
        <v>1</v>
      </c>
      <c r="CJ2012" s="1">
        <v>0</v>
      </c>
      <c r="CK2012" s="1">
        <v>0</v>
      </c>
      <c r="CL2012" s="1">
        <v>0</v>
      </c>
      <c r="CM2012" s="1" t="s">
        <v>104</v>
      </c>
    </row>
    <row r="2013" spans="1:91" ht="14.25" customHeight="1" x14ac:dyDescent="0.3">
      <c r="A2013" s="1" t="s">
        <v>10654</v>
      </c>
      <c r="B2013" s="1" t="s">
        <v>507</v>
      </c>
      <c r="C2013" s="1" t="s">
        <v>508</v>
      </c>
      <c r="E2013" s="1" t="s">
        <v>10655</v>
      </c>
      <c r="F2013" s="1" t="s">
        <v>95</v>
      </c>
      <c r="G2013" s="1" t="s">
        <v>10656</v>
      </c>
      <c r="H2013" s="1">
        <v>0</v>
      </c>
      <c r="I2013" s="1" t="s">
        <v>117</v>
      </c>
      <c r="L2013" s="1" t="s">
        <v>10657</v>
      </c>
      <c r="M2013" s="1" t="s">
        <v>426</v>
      </c>
      <c r="N2013" s="1">
        <v>1</v>
      </c>
      <c r="O2013" s="1">
        <v>0</v>
      </c>
      <c r="P2013" s="1" t="s">
        <v>100</v>
      </c>
      <c r="Q2013" s="1" t="s">
        <v>184</v>
      </c>
      <c r="R2013" s="1" t="s">
        <v>10658</v>
      </c>
      <c r="S2013" s="1" t="s">
        <v>10601</v>
      </c>
      <c r="T2013" s="1">
        <v>1</v>
      </c>
      <c r="U2013" s="1">
        <v>1</v>
      </c>
      <c r="V2013" s="1">
        <v>1</v>
      </c>
      <c r="W2013" s="1">
        <v>0</v>
      </c>
      <c r="X2013" s="1">
        <v>1</v>
      </c>
      <c r="Y2013" s="1">
        <v>3</v>
      </c>
      <c r="Z2013" s="1">
        <v>3</v>
      </c>
      <c r="AA2013" s="1" t="s">
        <v>104</v>
      </c>
      <c r="AB2013" s="1" t="s">
        <v>104</v>
      </c>
      <c r="AC2013" s="1" t="s">
        <v>104</v>
      </c>
      <c r="AD2013" s="1">
        <v>3</v>
      </c>
      <c r="AE2013" s="1" t="s">
        <v>104</v>
      </c>
      <c r="AF2013" s="1">
        <v>3</v>
      </c>
      <c r="AG2013" s="1">
        <v>3</v>
      </c>
      <c r="AH2013" s="1" t="s">
        <v>104</v>
      </c>
      <c r="AI2013" s="1">
        <v>3</v>
      </c>
      <c r="AJ2013" s="1" t="s">
        <v>104</v>
      </c>
      <c r="AK2013" s="1">
        <v>3</v>
      </c>
      <c r="AL2013" s="1">
        <v>3</v>
      </c>
      <c r="AM2013" s="1" t="s">
        <v>104</v>
      </c>
      <c r="AO2013" s="1">
        <v>3</v>
      </c>
      <c r="AR2013" s="1">
        <v>0</v>
      </c>
      <c r="AS2013" s="1">
        <v>0</v>
      </c>
      <c r="AT2013" s="1">
        <v>0</v>
      </c>
      <c r="AU2013" s="1">
        <v>0</v>
      </c>
      <c r="AV2013" s="1">
        <v>0</v>
      </c>
      <c r="AW2013" s="1">
        <v>0</v>
      </c>
      <c r="AX2013" s="1">
        <v>0</v>
      </c>
      <c r="AY2013" s="1">
        <v>0</v>
      </c>
      <c r="AZ2013" s="1">
        <v>0</v>
      </c>
      <c r="BA2013" s="1">
        <v>0</v>
      </c>
      <c r="BB2013" s="1">
        <v>0</v>
      </c>
      <c r="BC2013" s="1">
        <v>0</v>
      </c>
      <c r="BD2013" s="1">
        <v>0</v>
      </c>
      <c r="BE2013" s="1">
        <v>0</v>
      </c>
      <c r="BF2013" s="1">
        <v>0</v>
      </c>
      <c r="BG2013" s="1">
        <v>0</v>
      </c>
      <c r="BH2013" s="1">
        <v>0</v>
      </c>
      <c r="BI2013" s="1">
        <v>0</v>
      </c>
      <c r="BJ2013" s="1">
        <v>0</v>
      </c>
      <c r="BK2013" s="1">
        <v>0</v>
      </c>
      <c r="BL2013" s="1">
        <v>0</v>
      </c>
      <c r="BM2013" s="1">
        <v>0</v>
      </c>
      <c r="BN2013" s="1">
        <v>0</v>
      </c>
      <c r="BO2013" s="1">
        <v>0</v>
      </c>
      <c r="BP2013" s="1">
        <v>0</v>
      </c>
      <c r="BQ2013" s="1" t="s">
        <v>104</v>
      </c>
      <c r="BR2013" s="1">
        <v>2117</v>
      </c>
      <c r="BS2013" s="1" t="s">
        <v>104</v>
      </c>
      <c r="BX2013" s="1">
        <v>0</v>
      </c>
      <c r="BY2013" s="1" t="s">
        <v>104</v>
      </c>
      <c r="BZ2013" s="1" t="s">
        <v>104</v>
      </c>
      <c r="CA2013" s="1" t="s">
        <v>104</v>
      </c>
      <c r="CB2013" s="1" t="s">
        <v>104</v>
      </c>
      <c r="CC2013" s="1" t="s">
        <v>104</v>
      </c>
      <c r="CD2013" s="1" t="s">
        <v>104</v>
      </c>
      <c r="CE2013" s="1" t="s">
        <v>104</v>
      </c>
      <c r="CF2013" s="1" t="s">
        <v>104</v>
      </c>
      <c r="CG2013" s="1" t="s">
        <v>104</v>
      </c>
      <c r="CH2013" s="1" t="s">
        <v>104</v>
      </c>
      <c r="CJ2013" s="1">
        <v>0</v>
      </c>
      <c r="CK2013" s="1">
        <v>0</v>
      </c>
      <c r="CL2013" s="1">
        <v>0</v>
      </c>
      <c r="CM2013" s="1">
        <v>3</v>
      </c>
    </row>
    <row r="2014" spans="1:91" ht="14.25" customHeight="1" x14ac:dyDescent="0.3">
      <c r="A2014" s="1" t="s">
        <v>10659</v>
      </c>
      <c r="B2014" s="1" t="s">
        <v>172</v>
      </c>
      <c r="E2014" s="1" t="s">
        <v>10660</v>
      </c>
      <c r="F2014" s="1" t="s">
        <v>95</v>
      </c>
      <c r="G2014" s="1" t="s">
        <v>1488</v>
      </c>
      <c r="H2014" s="1">
        <v>0</v>
      </c>
      <c r="I2014" s="1" t="s">
        <v>157</v>
      </c>
      <c r="L2014" s="1" t="s">
        <v>158</v>
      </c>
      <c r="M2014" s="1" t="s">
        <v>111</v>
      </c>
      <c r="N2014" s="1">
        <v>0</v>
      </c>
      <c r="O2014" s="1">
        <v>0</v>
      </c>
      <c r="R2014" s="1" t="s">
        <v>10661</v>
      </c>
      <c r="S2014" s="1" t="s">
        <v>10601</v>
      </c>
      <c r="T2014" s="1">
        <v>1</v>
      </c>
      <c r="U2014" s="1">
        <v>1</v>
      </c>
      <c r="V2014" s="1">
        <v>1</v>
      </c>
      <c r="W2014" s="1">
        <v>0</v>
      </c>
      <c r="X2014" s="1">
        <v>0</v>
      </c>
      <c r="Y2014" s="1">
        <v>2</v>
      </c>
      <c r="Z2014" s="1">
        <v>2</v>
      </c>
      <c r="AA2014" s="1" t="s">
        <v>104</v>
      </c>
      <c r="AB2014" s="1" t="s">
        <v>104</v>
      </c>
      <c r="AC2014" s="1">
        <v>2</v>
      </c>
      <c r="AD2014" s="1">
        <v>2</v>
      </c>
      <c r="AE2014" s="1" t="s">
        <v>104</v>
      </c>
      <c r="AF2014" s="1" t="s">
        <v>104</v>
      </c>
      <c r="AG2014" s="1" t="s">
        <v>104</v>
      </c>
      <c r="AH2014" s="1" t="s">
        <v>104</v>
      </c>
      <c r="AI2014" s="1" t="s">
        <v>104</v>
      </c>
      <c r="AJ2014" s="1" t="s">
        <v>104</v>
      </c>
      <c r="AK2014" s="1">
        <v>2</v>
      </c>
      <c r="AL2014" s="1" t="s">
        <v>104</v>
      </c>
      <c r="AM2014" s="1" t="s">
        <v>104</v>
      </c>
      <c r="AO2014" s="1">
        <v>2</v>
      </c>
      <c r="AR2014" s="1">
        <v>0</v>
      </c>
      <c r="AS2014" s="1">
        <v>0</v>
      </c>
      <c r="AT2014" s="1">
        <v>0</v>
      </c>
      <c r="AU2014" s="1">
        <v>0</v>
      </c>
      <c r="AV2014" s="1">
        <v>0</v>
      </c>
      <c r="AW2014" s="1">
        <v>0</v>
      </c>
      <c r="AX2014" s="1">
        <v>0</v>
      </c>
      <c r="AY2014" s="1">
        <v>0</v>
      </c>
      <c r="AZ2014" s="1">
        <v>0</v>
      </c>
      <c r="BA2014" s="1">
        <v>0</v>
      </c>
      <c r="BB2014" s="1">
        <v>0</v>
      </c>
      <c r="BC2014" s="1">
        <v>0</v>
      </c>
      <c r="BD2014" s="1">
        <v>0</v>
      </c>
      <c r="BE2014" s="1">
        <v>0</v>
      </c>
      <c r="BF2014" s="1">
        <v>0</v>
      </c>
      <c r="BG2014" s="1">
        <v>0</v>
      </c>
      <c r="BH2014" s="1">
        <v>0</v>
      </c>
      <c r="BI2014" s="1">
        <v>0</v>
      </c>
      <c r="BJ2014" s="1">
        <v>0</v>
      </c>
      <c r="BK2014" s="1">
        <v>0</v>
      </c>
      <c r="BL2014" s="1">
        <v>0</v>
      </c>
      <c r="BM2014" s="1">
        <v>0</v>
      </c>
      <c r="BN2014" s="1">
        <v>0</v>
      </c>
      <c r="BO2014" s="1">
        <v>0</v>
      </c>
      <c r="BP2014" s="1">
        <v>0</v>
      </c>
      <c r="BQ2014" s="1" t="s">
        <v>104</v>
      </c>
      <c r="BR2014" s="1">
        <v>2118</v>
      </c>
      <c r="BS2014" s="1" t="s">
        <v>104</v>
      </c>
      <c r="BX2014" s="1">
        <v>0</v>
      </c>
      <c r="BY2014" s="1" t="s">
        <v>104</v>
      </c>
      <c r="BZ2014" s="1" t="s">
        <v>104</v>
      </c>
      <c r="CA2014" s="1" t="s">
        <v>104</v>
      </c>
      <c r="CB2014" s="1" t="s">
        <v>104</v>
      </c>
      <c r="CC2014" s="1" t="s">
        <v>104</v>
      </c>
      <c r="CD2014" s="1" t="s">
        <v>104</v>
      </c>
      <c r="CE2014" s="1" t="s">
        <v>104</v>
      </c>
      <c r="CF2014" s="1" t="s">
        <v>104</v>
      </c>
      <c r="CG2014" s="1" t="s">
        <v>104</v>
      </c>
      <c r="CH2014" s="1">
        <v>2</v>
      </c>
      <c r="CJ2014" s="1">
        <v>0</v>
      </c>
      <c r="CK2014" s="1">
        <v>0</v>
      </c>
      <c r="CL2014" s="1">
        <v>0</v>
      </c>
      <c r="CM2014" s="1" t="s">
        <v>104</v>
      </c>
    </row>
    <row r="2015" spans="1:91" ht="14.25" customHeight="1" x14ac:dyDescent="0.3">
      <c r="A2015" s="1" t="s">
        <v>10662</v>
      </c>
      <c r="B2015" s="1" t="s">
        <v>434</v>
      </c>
      <c r="D2015" s="1" t="s">
        <v>48</v>
      </c>
      <c r="E2015" s="1" t="s">
        <v>5795</v>
      </c>
      <c r="F2015" s="1" t="s">
        <v>95</v>
      </c>
      <c r="G2015" s="1" t="s">
        <v>10663</v>
      </c>
      <c r="H2015" s="1">
        <v>0</v>
      </c>
      <c r="I2015" s="1" t="s">
        <v>109</v>
      </c>
      <c r="J2015" s="1" t="s">
        <v>165</v>
      </c>
      <c r="M2015" s="1" t="s">
        <v>426</v>
      </c>
      <c r="N2015" s="1">
        <v>1</v>
      </c>
      <c r="O2015" s="1">
        <v>0</v>
      </c>
      <c r="P2015" s="1" t="s">
        <v>2281</v>
      </c>
      <c r="Q2015" s="1" t="s">
        <v>101</v>
      </c>
      <c r="R2015" s="1" t="s">
        <v>10664</v>
      </c>
      <c r="S2015" s="1" t="s">
        <v>10601</v>
      </c>
      <c r="T2015" s="1">
        <v>1</v>
      </c>
      <c r="U2015" s="1">
        <v>1</v>
      </c>
      <c r="V2015" s="1">
        <v>1</v>
      </c>
      <c r="W2015" s="1">
        <v>0</v>
      </c>
      <c r="X2015" s="1">
        <v>0</v>
      </c>
      <c r="Y2015" s="1">
        <v>3</v>
      </c>
      <c r="Z2015" s="1">
        <v>3</v>
      </c>
      <c r="AA2015" s="1" t="s">
        <v>104</v>
      </c>
      <c r="AB2015" s="1" t="s">
        <v>104</v>
      </c>
      <c r="AC2015" s="1" t="s">
        <v>104</v>
      </c>
      <c r="AD2015" s="1">
        <v>3</v>
      </c>
      <c r="AE2015" s="1" t="s">
        <v>104</v>
      </c>
      <c r="AF2015" s="1" t="s">
        <v>104</v>
      </c>
      <c r="AG2015" s="1" t="s">
        <v>104</v>
      </c>
      <c r="AH2015" s="1">
        <v>3</v>
      </c>
      <c r="AI2015" s="1" t="s">
        <v>104</v>
      </c>
      <c r="AJ2015" s="1" t="s">
        <v>104</v>
      </c>
      <c r="AK2015" s="1" t="s">
        <v>104</v>
      </c>
      <c r="AL2015" s="1" t="s">
        <v>104</v>
      </c>
      <c r="AM2015" s="1" t="s">
        <v>104</v>
      </c>
      <c r="AO2015" s="1">
        <v>3</v>
      </c>
      <c r="AR2015" s="1">
        <v>0</v>
      </c>
      <c r="AS2015" s="1">
        <v>0</v>
      </c>
      <c r="AT2015" s="1">
        <v>0</v>
      </c>
      <c r="AU2015" s="1">
        <v>0</v>
      </c>
      <c r="AV2015" s="1">
        <v>0</v>
      </c>
      <c r="AW2015" s="1">
        <v>1</v>
      </c>
      <c r="AX2015" s="1">
        <v>0</v>
      </c>
      <c r="AY2015" s="1">
        <v>0</v>
      </c>
      <c r="AZ2015" s="1">
        <v>0</v>
      </c>
      <c r="BA2015" s="1">
        <v>0</v>
      </c>
      <c r="BB2015" s="1">
        <v>0</v>
      </c>
      <c r="BC2015" s="1">
        <v>0</v>
      </c>
      <c r="BD2015" s="1">
        <v>0</v>
      </c>
      <c r="BE2015" s="1">
        <v>0</v>
      </c>
      <c r="BF2015" s="1">
        <v>0</v>
      </c>
      <c r="BG2015" s="1">
        <v>0</v>
      </c>
      <c r="BH2015" s="1">
        <v>0</v>
      </c>
      <c r="BI2015" s="1">
        <v>0</v>
      </c>
      <c r="BJ2015" s="1">
        <v>0</v>
      </c>
      <c r="BK2015" s="1">
        <v>0</v>
      </c>
      <c r="BL2015" s="1">
        <v>0</v>
      </c>
      <c r="BM2015" s="1">
        <v>0</v>
      </c>
      <c r="BN2015" s="1">
        <v>0</v>
      </c>
      <c r="BO2015" s="1">
        <v>0</v>
      </c>
      <c r="BP2015" s="1">
        <v>0</v>
      </c>
      <c r="BQ2015" s="1" t="s">
        <v>104</v>
      </c>
      <c r="BR2015" s="1">
        <v>2119</v>
      </c>
      <c r="BS2015" s="1" t="s">
        <v>104</v>
      </c>
      <c r="BX2015" s="1">
        <v>0</v>
      </c>
      <c r="BY2015" s="1" t="s">
        <v>104</v>
      </c>
      <c r="BZ2015" s="1" t="s">
        <v>104</v>
      </c>
      <c r="CA2015" s="1" t="s">
        <v>104</v>
      </c>
      <c r="CB2015" s="1" t="s">
        <v>104</v>
      </c>
      <c r="CC2015" s="1" t="s">
        <v>104</v>
      </c>
      <c r="CD2015" s="1" t="s">
        <v>104</v>
      </c>
      <c r="CE2015" s="1" t="s">
        <v>104</v>
      </c>
      <c r="CF2015" s="1" t="s">
        <v>104</v>
      </c>
      <c r="CG2015" s="1" t="s">
        <v>104</v>
      </c>
      <c r="CH2015" s="1" t="s">
        <v>104</v>
      </c>
      <c r="CJ2015" s="1">
        <v>0</v>
      </c>
      <c r="CK2015" s="1">
        <v>0</v>
      </c>
      <c r="CL2015" s="1">
        <v>0</v>
      </c>
      <c r="CM2015" s="1" t="s">
        <v>104</v>
      </c>
    </row>
    <row r="2016" spans="1:91" ht="14.25" customHeight="1" x14ac:dyDescent="0.3">
      <c r="A2016" s="1" t="s">
        <v>10665</v>
      </c>
      <c r="B2016" s="1" t="s">
        <v>172</v>
      </c>
      <c r="E2016" s="1" t="s">
        <v>10666</v>
      </c>
      <c r="F2016" s="1" t="s">
        <v>95</v>
      </c>
      <c r="G2016" s="1" t="s">
        <v>116</v>
      </c>
      <c r="H2016" s="1">
        <v>0</v>
      </c>
      <c r="I2016" s="1" t="s">
        <v>157</v>
      </c>
      <c r="L2016" s="1" t="s">
        <v>158</v>
      </c>
      <c r="M2016" s="1" t="s">
        <v>201</v>
      </c>
      <c r="N2016" s="1">
        <v>0</v>
      </c>
      <c r="O2016" s="1">
        <v>0</v>
      </c>
      <c r="R2016" s="1" t="s">
        <v>10667</v>
      </c>
      <c r="S2016" s="1" t="s">
        <v>10668</v>
      </c>
      <c r="T2016" s="1">
        <v>1</v>
      </c>
      <c r="U2016" s="1">
        <v>1</v>
      </c>
      <c r="V2016" s="1">
        <v>0</v>
      </c>
      <c r="W2016" s="1">
        <v>0</v>
      </c>
      <c r="X2016" s="1">
        <v>0</v>
      </c>
      <c r="Y2016" s="1" t="s">
        <v>104</v>
      </c>
      <c r="Z2016" s="1" t="s">
        <v>104</v>
      </c>
      <c r="AA2016" s="1">
        <v>2</v>
      </c>
      <c r="AB2016" s="1" t="s">
        <v>104</v>
      </c>
      <c r="AC2016" s="1" t="s">
        <v>104</v>
      </c>
      <c r="AD2016" s="1">
        <v>2</v>
      </c>
      <c r="AE2016" s="1" t="s">
        <v>104</v>
      </c>
      <c r="AF2016" s="1">
        <v>2</v>
      </c>
      <c r="AG2016" s="1" t="s">
        <v>104</v>
      </c>
      <c r="AH2016" s="1" t="s">
        <v>104</v>
      </c>
      <c r="AI2016" s="1" t="s">
        <v>104</v>
      </c>
      <c r="AJ2016" s="1">
        <v>2</v>
      </c>
      <c r="AK2016" s="1" t="s">
        <v>104</v>
      </c>
      <c r="AL2016" s="1" t="s">
        <v>104</v>
      </c>
      <c r="AM2016" s="1" t="s">
        <v>104</v>
      </c>
      <c r="AO2016" s="1">
        <v>2</v>
      </c>
      <c r="AR2016" s="1">
        <v>0</v>
      </c>
      <c r="AS2016" s="1">
        <v>0</v>
      </c>
      <c r="AT2016" s="1">
        <v>0</v>
      </c>
      <c r="AU2016" s="1">
        <v>0</v>
      </c>
      <c r="AV2016" s="1">
        <v>0</v>
      </c>
      <c r="AW2016" s="1">
        <v>0</v>
      </c>
      <c r="AX2016" s="1">
        <v>0</v>
      </c>
      <c r="AY2016" s="1">
        <v>0</v>
      </c>
      <c r="AZ2016" s="1">
        <v>0</v>
      </c>
      <c r="BA2016" s="1">
        <v>0</v>
      </c>
      <c r="BB2016" s="1">
        <v>0</v>
      </c>
      <c r="BC2016" s="1">
        <v>0</v>
      </c>
      <c r="BD2016" s="1">
        <v>0</v>
      </c>
      <c r="BE2016" s="1">
        <v>0</v>
      </c>
      <c r="BF2016" s="1">
        <v>0</v>
      </c>
      <c r="BG2016" s="1">
        <v>0</v>
      </c>
      <c r="BH2016" s="1">
        <v>0</v>
      </c>
      <c r="BI2016" s="1">
        <v>0</v>
      </c>
      <c r="BJ2016" s="1">
        <v>0</v>
      </c>
      <c r="BK2016" s="1">
        <v>0</v>
      </c>
      <c r="BL2016" s="1">
        <v>0</v>
      </c>
      <c r="BM2016" s="1">
        <v>0</v>
      </c>
      <c r="BN2016" s="1">
        <v>0</v>
      </c>
      <c r="BO2016" s="1">
        <v>0</v>
      </c>
      <c r="BP2016" s="1">
        <v>0</v>
      </c>
      <c r="BQ2016" s="1" t="s">
        <v>104</v>
      </c>
      <c r="BR2016" s="1">
        <v>2131</v>
      </c>
      <c r="BS2016" s="1" t="s">
        <v>104</v>
      </c>
      <c r="BX2016" s="1">
        <v>0</v>
      </c>
      <c r="BY2016" s="1" t="s">
        <v>104</v>
      </c>
      <c r="BZ2016" s="1">
        <v>2</v>
      </c>
      <c r="CA2016" s="1" t="s">
        <v>104</v>
      </c>
      <c r="CB2016" s="1" t="s">
        <v>104</v>
      </c>
      <c r="CC2016" s="1" t="s">
        <v>104</v>
      </c>
      <c r="CD2016" s="1" t="s">
        <v>104</v>
      </c>
      <c r="CE2016" s="1" t="s">
        <v>104</v>
      </c>
      <c r="CF2016" s="1" t="s">
        <v>104</v>
      </c>
      <c r="CG2016" s="1" t="s">
        <v>104</v>
      </c>
      <c r="CH2016" s="1" t="s">
        <v>104</v>
      </c>
      <c r="CJ2016" s="1">
        <v>0</v>
      </c>
      <c r="CK2016" s="1">
        <v>0</v>
      </c>
      <c r="CL2016" s="1">
        <v>0</v>
      </c>
      <c r="CM2016" s="1" t="s">
        <v>104</v>
      </c>
    </row>
    <row r="2017" spans="1:91" ht="14.25" customHeight="1" x14ac:dyDescent="0.3">
      <c r="A2017" s="1" t="s">
        <v>10669</v>
      </c>
      <c r="B2017" s="1" t="s">
        <v>162</v>
      </c>
      <c r="E2017" s="1" t="s">
        <v>10670</v>
      </c>
      <c r="F2017" s="1" t="s">
        <v>95</v>
      </c>
      <c r="G2017" s="1" t="s">
        <v>10671</v>
      </c>
      <c r="H2017" s="1">
        <v>0</v>
      </c>
      <c r="I2017" s="1" t="s">
        <v>157</v>
      </c>
      <c r="L2017" s="1" t="s">
        <v>158</v>
      </c>
      <c r="M2017" s="1" t="s">
        <v>2330</v>
      </c>
      <c r="N2017" s="1">
        <v>0</v>
      </c>
      <c r="O2017" s="1">
        <v>0</v>
      </c>
      <c r="R2017" s="1" t="s">
        <v>10672</v>
      </c>
      <c r="S2017" s="1" t="s">
        <v>10668</v>
      </c>
      <c r="T2017" s="1">
        <v>1</v>
      </c>
      <c r="U2017" s="1">
        <v>1</v>
      </c>
      <c r="V2017" s="1">
        <v>1</v>
      </c>
      <c r="W2017" s="1">
        <v>0</v>
      </c>
      <c r="X2017" s="1">
        <v>0</v>
      </c>
      <c r="Y2017" s="1" t="s">
        <v>104</v>
      </c>
      <c r="Z2017" s="1" t="s">
        <v>104</v>
      </c>
      <c r="AA2017" s="1" t="s">
        <v>104</v>
      </c>
      <c r="AB2017" s="1" t="s">
        <v>104</v>
      </c>
      <c r="AC2017" s="1" t="s">
        <v>104</v>
      </c>
      <c r="AD2017" s="1">
        <v>2</v>
      </c>
      <c r="AE2017" s="1" t="s">
        <v>104</v>
      </c>
      <c r="AF2017" s="1" t="s">
        <v>104</v>
      </c>
      <c r="AG2017" s="1" t="s">
        <v>104</v>
      </c>
      <c r="AH2017" s="1" t="s">
        <v>104</v>
      </c>
      <c r="AI2017" s="1" t="s">
        <v>104</v>
      </c>
      <c r="AJ2017" s="1" t="s">
        <v>104</v>
      </c>
      <c r="AK2017" s="1" t="s">
        <v>104</v>
      </c>
      <c r="AL2017" s="1" t="s">
        <v>104</v>
      </c>
      <c r="AM2017" s="1" t="s">
        <v>104</v>
      </c>
      <c r="AO2017" s="1">
        <v>2</v>
      </c>
      <c r="AR2017" s="1">
        <v>0</v>
      </c>
      <c r="AS2017" s="1">
        <v>0</v>
      </c>
      <c r="AT2017" s="1">
        <v>0</v>
      </c>
      <c r="AU2017" s="1">
        <v>0</v>
      </c>
      <c r="AV2017" s="1">
        <v>0</v>
      </c>
      <c r="AW2017" s="1">
        <v>0</v>
      </c>
      <c r="AX2017" s="1">
        <v>0</v>
      </c>
      <c r="AY2017" s="1">
        <v>0</v>
      </c>
      <c r="AZ2017" s="1">
        <v>0</v>
      </c>
      <c r="BA2017" s="1">
        <v>0</v>
      </c>
      <c r="BB2017" s="1">
        <v>0</v>
      </c>
      <c r="BC2017" s="1">
        <v>0</v>
      </c>
      <c r="BD2017" s="1">
        <v>0</v>
      </c>
      <c r="BE2017" s="1">
        <v>0</v>
      </c>
      <c r="BF2017" s="1">
        <v>0</v>
      </c>
      <c r="BG2017" s="1">
        <v>0</v>
      </c>
      <c r="BH2017" s="1">
        <v>0</v>
      </c>
      <c r="BI2017" s="1">
        <v>0</v>
      </c>
      <c r="BJ2017" s="1">
        <v>0</v>
      </c>
      <c r="BK2017" s="1">
        <v>0</v>
      </c>
      <c r="BL2017" s="1">
        <v>0</v>
      </c>
      <c r="BM2017" s="1">
        <v>0</v>
      </c>
      <c r="BN2017" s="1">
        <v>0</v>
      </c>
      <c r="BO2017" s="1">
        <v>0</v>
      </c>
      <c r="BP2017" s="1">
        <v>0</v>
      </c>
      <c r="BQ2017" s="1" t="s">
        <v>104</v>
      </c>
      <c r="BR2017" s="1">
        <v>2132</v>
      </c>
      <c r="BS2017" s="1" t="s">
        <v>104</v>
      </c>
      <c r="BX2017" s="1">
        <v>0</v>
      </c>
      <c r="BY2017" s="1" t="s">
        <v>104</v>
      </c>
      <c r="BZ2017" s="1">
        <v>2</v>
      </c>
      <c r="CA2017" s="1" t="s">
        <v>104</v>
      </c>
      <c r="CB2017" s="1" t="s">
        <v>104</v>
      </c>
      <c r="CC2017" s="1" t="s">
        <v>104</v>
      </c>
      <c r="CD2017" s="1" t="s">
        <v>104</v>
      </c>
      <c r="CE2017" s="1" t="s">
        <v>104</v>
      </c>
      <c r="CF2017" s="1" t="s">
        <v>104</v>
      </c>
      <c r="CG2017" s="1" t="s">
        <v>104</v>
      </c>
      <c r="CH2017" s="1" t="s">
        <v>104</v>
      </c>
      <c r="CJ2017" s="1">
        <v>0</v>
      </c>
      <c r="CK2017" s="1">
        <v>0</v>
      </c>
      <c r="CL2017" s="1">
        <v>0</v>
      </c>
      <c r="CM2017" s="1" t="s">
        <v>104</v>
      </c>
    </row>
    <row r="2018" spans="1:91" ht="14.25" customHeight="1" x14ac:dyDescent="0.3">
      <c r="A2018" s="1" t="s">
        <v>10673</v>
      </c>
      <c r="B2018" s="1" t="s">
        <v>137</v>
      </c>
      <c r="C2018" s="1" t="s">
        <v>154</v>
      </c>
      <c r="E2018" s="1" t="s">
        <v>10674</v>
      </c>
      <c r="F2018" s="1" t="s">
        <v>95</v>
      </c>
      <c r="G2018" s="1" t="s">
        <v>116</v>
      </c>
      <c r="H2018" s="1">
        <v>0</v>
      </c>
      <c r="I2018" s="1" t="s">
        <v>128</v>
      </c>
      <c r="L2018" s="1" t="s">
        <v>10675</v>
      </c>
      <c r="M2018" s="1" t="s">
        <v>10544</v>
      </c>
      <c r="N2018" s="1">
        <v>1</v>
      </c>
      <c r="O2018" s="1">
        <v>0</v>
      </c>
      <c r="P2018" s="1" t="s">
        <v>10299</v>
      </c>
      <c r="Q2018" s="1" t="s">
        <v>131</v>
      </c>
      <c r="R2018" s="1" t="s">
        <v>10676</v>
      </c>
      <c r="S2018" s="1" t="s">
        <v>10668</v>
      </c>
      <c r="T2018" s="1">
        <v>1</v>
      </c>
      <c r="U2018" s="1">
        <v>1</v>
      </c>
      <c r="V2018" s="1">
        <v>0</v>
      </c>
      <c r="W2018" s="1">
        <v>0</v>
      </c>
      <c r="X2018" s="1">
        <v>0</v>
      </c>
      <c r="Y2018" s="1">
        <v>2</v>
      </c>
      <c r="Z2018" s="1">
        <v>2</v>
      </c>
      <c r="AA2018" s="1" t="s">
        <v>104</v>
      </c>
      <c r="AB2018" s="1">
        <v>2</v>
      </c>
      <c r="AC2018" s="1">
        <v>2</v>
      </c>
      <c r="AD2018" s="1" t="s">
        <v>104</v>
      </c>
      <c r="AE2018" s="1" t="s">
        <v>104</v>
      </c>
      <c r="AF2018" s="1" t="s">
        <v>104</v>
      </c>
      <c r="AG2018" s="1" t="s">
        <v>104</v>
      </c>
      <c r="AH2018" s="1">
        <v>2</v>
      </c>
      <c r="AI2018" s="1" t="s">
        <v>104</v>
      </c>
      <c r="AJ2018" s="1" t="s">
        <v>104</v>
      </c>
      <c r="AK2018" s="1" t="s">
        <v>104</v>
      </c>
      <c r="AL2018" s="1" t="s">
        <v>104</v>
      </c>
      <c r="AM2018" s="1" t="s">
        <v>104</v>
      </c>
      <c r="AO2018" s="1">
        <v>2</v>
      </c>
      <c r="AR2018" s="1">
        <v>0</v>
      </c>
      <c r="AS2018" s="1">
        <v>0</v>
      </c>
      <c r="AT2018" s="1">
        <v>0</v>
      </c>
      <c r="AU2018" s="1">
        <v>0</v>
      </c>
      <c r="AV2018" s="1">
        <v>0</v>
      </c>
      <c r="AW2018" s="1">
        <v>0</v>
      </c>
      <c r="AX2018" s="1">
        <v>0</v>
      </c>
      <c r="AY2018" s="1">
        <v>0</v>
      </c>
      <c r="AZ2018" s="1">
        <v>0</v>
      </c>
      <c r="BA2018" s="1">
        <v>0</v>
      </c>
      <c r="BB2018" s="1">
        <v>0</v>
      </c>
      <c r="BC2018" s="1">
        <v>0</v>
      </c>
      <c r="BD2018" s="1">
        <v>0</v>
      </c>
      <c r="BE2018" s="1">
        <v>0</v>
      </c>
      <c r="BF2018" s="1">
        <v>0</v>
      </c>
      <c r="BG2018" s="1">
        <v>0</v>
      </c>
      <c r="BH2018" s="1">
        <v>0</v>
      </c>
      <c r="BI2018" s="1">
        <v>0</v>
      </c>
      <c r="BJ2018" s="1">
        <v>0</v>
      </c>
      <c r="BK2018" s="1">
        <v>0</v>
      </c>
      <c r="BL2018" s="1">
        <v>0</v>
      </c>
      <c r="BM2018" s="1">
        <v>0</v>
      </c>
      <c r="BN2018" s="1">
        <v>0</v>
      </c>
      <c r="BO2018" s="1">
        <v>0</v>
      </c>
      <c r="BP2018" s="1">
        <v>0</v>
      </c>
      <c r="BQ2018" s="1" t="s">
        <v>104</v>
      </c>
      <c r="BR2018" s="1">
        <v>2133</v>
      </c>
      <c r="BS2018" s="1" t="s">
        <v>104</v>
      </c>
      <c r="BX2018" s="1">
        <v>0</v>
      </c>
      <c r="BY2018" s="1" t="s">
        <v>104</v>
      </c>
      <c r="BZ2018" s="1">
        <v>2</v>
      </c>
      <c r="CA2018" s="1" t="s">
        <v>104</v>
      </c>
      <c r="CB2018" s="1" t="s">
        <v>104</v>
      </c>
      <c r="CC2018" s="1" t="s">
        <v>104</v>
      </c>
      <c r="CD2018" s="1" t="s">
        <v>104</v>
      </c>
      <c r="CE2018" s="1" t="s">
        <v>104</v>
      </c>
      <c r="CF2018" s="1" t="s">
        <v>104</v>
      </c>
      <c r="CG2018" s="1" t="s">
        <v>104</v>
      </c>
      <c r="CH2018" s="1">
        <v>2</v>
      </c>
      <c r="CJ2018" s="1">
        <v>0</v>
      </c>
      <c r="CK2018" s="1">
        <v>0</v>
      </c>
      <c r="CL2018" s="1">
        <v>0</v>
      </c>
      <c r="CM2018" s="1" t="s">
        <v>104</v>
      </c>
    </row>
    <row r="2019" spans="1:91" ht="14.25" customHeight="1" x14ac:dyDescent="0.3">
      <c r="A2019" s="1" t="s">
        <v>10677</v>
      </c>
      <c r="B2019" s="1" t="s">
        <v>162</v>
      </c>
      <c r="E2019" s="1" t="s">
        <v>1586</v>
      </c>
      <c r="F2019" s="1" t="s">
        <v>191</v>
      </c>
      <c r="G2019" s="1" t="s">
        <v>913</v>
      </c>
      <c r="H2019" s="1">
        <v>0</v>
      </c>
      <c r="I2019" s="1" t="s">
        <v>117</v>
      </c>
      <c r="L2019" s="1" t="s">
        <v>10678</v>
      </c>
      <c r="M2019" s="1" t="s">
        <v>723</v>
      </c>
      <c r="N2019" s="1">
        <v>0</v>
      </c>
      <c r="O2019" s="1">
        <v>0</v>
      </c>
      <c r="P2019" s="1" t="s">
        <v>100</v>
      </c>
      <c r="Q2019" s="1" t="s">
        <v>101</v>
      </c>
      <c r="R2019" s="1" t="s">
        <v>10679</v>
      </c>
      <c r="S2019" s="1" t="s">
        <v>10668</v>
      </c>
      <c r="T2019" s="1">
        <v>1</v>
      </c>
      <c r="U2019" s="1">
        <v>1</v>
      </c>
      <c r="V2019" s="1">
        <v>1</v>
      </c>
      <c r="W2019" s="1">
        <v>0</v>
      </c>
      <c r="X2019" s="1">
        <v>0</v>
      </c>
      <c r="Y2019" s="1" t="s">
        <v>104</v>
      </c>
      <c r="Z2019" s="1" t="s">
        <v>104</v>
      </c>
      <c r="AA2019" s="1" t="s">
        <v>104</v>
      </c>
      <c r="AB2019" s="1">
        <v>2</v>
      </c>
      <c r="AC2019" s="1" t="s">
        <v>104</v>
      </c>
      <c r="AD2019" s="1" t="s">
        <v>104</v>
      </c>
      <c r="AE2019" s="1" t="s">
        <v>104</v>
      </c>
      <c r="AF2019" s="1" t="s">
        <v>104</v>
      </c>
      <c r="AG2019" s="1" t="s">
        <v>104</v>
      </c>
      <c r="AH2019" s="1" t="s">
        <v>104</v>
      </c>
      <c r="AI2019" s="1" t="s">
        <v>104</v>
      </c>
      <c r="AJ2019" s="1" t="s">
        <v>104</v>
      </c>
      <c r="AK2019" s="1" t="s">
        <v>104</v>
      </c>
      <c r="AL2019" s="1" t="s">
        <v>104</v>
      </c>
      <c r="AM2019" s="1" t="s">
        <v>104</v>
      </c>
      <c r="AO2019" s="1">
        <v>2</v>
      </c>
      <c r="AR2019" s="1">
        <v>0</v>
      </c>
      <c r="AS2019" s="1">
        <v>0</v>
      </c>
      <c r="AT2019" s="1">
        <v>0</v>
      </c>
      <c r="AU2019" s="1">
        <v>0</v>
      </c>
      <c r="AV2019" s="1">
        <v>0</v>
      </c>
      <c r="AW2019" s="1">
        <v>0</v>
      </c>
      <c r="AX2019" s="1">
        <v>0</v>
      </c>
      <c r="AY2019" s="1">
        <v>0</v>
      </c>
      <c r="AZ2019" s="1">
        <v>0</v>
      </c>
      <c r="BA2019" s="1">
        <v>0</v>
      </c>
      <c r="BB2019" s="1">
        <v>0</v>
      </c>
      <c r="BC2019" s="1">
        <v>0</v>
      </c>
      <c r="BD2019" s="1">
        <v>0</v>
      </c>
      <c r="BE2019" s="1">
        <v>0</v>
      </c>
      <c r="BF2019" s="1">
        <v>0</v>
      </c>
      <c r="BG2019" s="1">
        <v>0</v>
      </c>
      <c r="BH2019" s="1">
        <v>0</v>
      </c>
      <c r="BI2019" s="1">
        <v>0</v>
      </c>
      <c r="BJ2019" s="1">
        <v>0</v>
      </c>
      <c r="BK2019" s="1">
        <v>0</v>
      </c>
      <c r="BL2019" s="1">
        <v>0</v>
      </c>
      <c r="BM2019" s="1">
        <v>0</v>
      </c>
      <c r="BN2019" s="1">
        <v>0</v>
      </c>
      <c r="BO2019" s="1">
        <v>0</v>
      </c>
      <c r="BP2019" s="1">
        <v>0</v>
      </c>
      <c r="BQ2019" s="1" t="s">
        <v>104</v>
      </c>
      <c r="BR2019" s="1">
        <v>2134</v>
      </c>
      <c r="BS2019" s="1" t="s">
        <v>104</v>
      </c>
      <c r="BX2019" s="1">
        <v>0</v>
      </c>
      <c r="BY2019" s="1" t="s">
        <v>104</v>
      </c>
      <c r="BZ2019" s="1">
        <v>2</v>
      </c>
      <c r="CA2019" s="1" t="s">
        <v>104</v>
      </c>
      <c r="CB2019" s="1" t="s">
        <v>104</v>
      </c>
      <c r="CC2019" s="1" t="s">
        <v>104</v>
      </c>
      <c r="CD2019" s="1" t="s">
        <v>104</v>
      </c>
      <c r="CE2019" s="1" t="s">
        <v>104</v>
      </c>
      <c r="CF2019" s="1" t="s">
        <v>104</v>
      </c>
      <c r="CG2019" s="1" t="s">
        <v>104</v>
      </c>
      <c r="CH2019" s="1">
        <v>2</v>
      </c>
      <c r="CJ2019" s="1">
        <v>0</v>
      </c>
      <c r="CK2019" s="1">
        <v>0</v>
      </c>
      <c r="CL2019" s="1">
        <v>0</v>
      </c>
      <c r="CM2019" s="1" t="s">
        <v>104</v>
      </c>
    </row>
    <row r="2020" spans="1:91" ht="14.25" customHeight="1" x14ac:dyDescent="0.3">
      <c r="A2020" s="1" t="s">
        <v>10680</v>
      </c>
      <c r="B2020" s="1" t="s">
        <v>92</v>
      </c>
      <c r="C2020" s="1" t="s">
        <v>93</v>
      </c>
      <c r="E2020" s="1" t="s">
        <v>5780</v>
      </c>
      <c r="F2020" s="1" t="s">
        <v>95</v>
      </c>
      <c r="G2020" s="1" t="s">
        <v>116</v>
      </c>
      <c r="H2020" s="1">
        <v>0</v>
      </c>
      <c r="I2020" s="1" t="s">
        <v>109</v>
      </c>
      <c r="K2020" s="1" t="s">
        <v>10681</v>
      </c>
      <c r="M2020" s="1" t="s">
        <v>2330</v>
      </c>
      <c r="N2020" s="1">
        <v>0</v>
      </c>
      <c r="O2020" s="1">
        <v>0</v>
      </c>
      <c r="P2020" s="1" t="s">
        <v>438</v>
      </c>
      <c r="Q2020" s="1" t="s">
        <v>184</v>
      </c>
      <c r="R2020" s="1" t="s">
        <v>10682</v>
      </c>
      <c r="S2020" s="1" t="s">
        <v>10668</v>
      </c>
      <c r="T2020" s="1">
        <v>1</v>
      </c>
      <c r="U2020" s="1">
        <v>1</v>
      </c>
      <c r="V2020" s="1">
        <v>0</v>
      </c>
      <c r="W2020" s="1">
        <v>0</v>
      </c>
      <c r="X2020" s="1">
        <v>0</v>
      </c>
      <c r="Y2020" s="1">
        <v>5</v>
      </c>
      <c r="Z2020" s="1">
        <v>5</v>
      </c>
      <c r="AA2020" s="1">
        <v>5</v>
      </c>
      <c r="AB2020" s="1" t="s">
        <v>104</v>
      </c>
      <c r="AC2020" s="1" t="s">
        <v>104</v>
      </c>
      <c r="AD2020" s="1" t="s">
        <v>104</v>
      </c>
      <c r="AE2020" s="1" t="s">
        <v>104</v>
      </c>
      <c r="AF2020" s="1" t="s">
        <v>104</v>
      </c>
      <c r="AG2020" s="1" t="s">
        <v>104</v>
      </c>
      <c r="AH2020" s="1" t="s">
        <v>104</v>
      </c>
      <c r="AI2020" s="1" t="s">
        <v>104</v>
      </c>
      <c r="AJ2020" s="1">
        <v>5</v>
      </c>
      <c r="AK2020" s="1" t="s">
        <v>104</v>
      </c>
      <c r="AL2020" s="1" t="s">
        <v>104</v>
      </c>
      <c r="AM2020" s="1" t="s">
        <v>104</v>
      </c>
      <c r="AO2020" s="1">
        <v>5</v>
      </c>
      <c r="AR2020" s="1">
        <v>0</v>
      </c>
      <c r="AS2020" s="1">
        <v>0</v>
      </c>
      <c r="AT2020" s="1">
        <v>0</v>
      </c>
      <c r="AU2020" s="1">
        <v>0</v>
      </c>
      <c r="AV2020" s="1">
        <v>0</v>
      </c>
      <c r="AW2020" s="1">
        <v>0</v>
      </c>
      <c r="AX2020" s="1">
        <v>0</v>
      </c>
      <c r="AY2020" s="1">
        <v>0</v>
      </c>
      <c r="AZ2020" s="1">
        <v>0</v>
      </c>
      <c r="BA2020" s="1">
        <v>0</v>
      </c>
      <c r="BB2020" s="1">
        <v>0</v>
      </c>
      <c r="BC2020" s="1">
        <v>0</v>
      </c>
      <c r="BD2020" s="1">
        <v>0</v>
      </c>
      <c r="BE2020" s="1">
        <v>0</v>
      </c>
      <c r="BF2020" s="1">
        <v>0</v>
      </c>
      <c r="BG2020" s="1">
        <v>0</v>
      </c>
      <c r="BH2020" s="1">
        <v>0</v>
      </c>
      <c r="BI2020" s="1">
        <v>0</v>
      </c>
      <c r="BJ2020" s="1">
        <v>0</v>
      </c>
      <c r="BK2020" s="1">
        <v>0</v>
      </c>
      <c r="BL2020" s="1">
        <v>0</v>
      </c>
      <c r="BM2020" s="1">
        <v>0</v>
      </c>
      <c r="BN2020" s="1">
        <v>0</v>
      </c>
      <c r="BO2020" s="1">
        <v>0</v>
      </c>
      <c r="BP2020" s="1">
        <v>0</v>
      </c>
      <c r="BQ2020" s="1" t="s">
        <v>104</v>
      </c>
      <c r="BR2020" s="1">
        <v>2135</v>
      </c>
      <c r="BS2020" s="1" t="s">
        <v>104</v>
      </c>
      <c r="BX2020" s="1">
        <v>0</v>
      </c>
      <c r="BY2020" s="1" t="s">
        <v>104</v>
      </c>
      <c r="BZ2020" s="1" t="s">
        <v>104</v>
      </c>
      <c r="CA2020" s="1" t="s">
        <v>104</v>
      </c>
      <c r="CB2020" s="1" t="s">
        <v>104</v>
      </c>
      <c r="CC2020" s="1" t="s">
        <v>104</v>
      </c>
      <c r="CD2020" s="1" t="s">
        <v>104</v>
      </c>
      <c r="CE2020" s="1" t="s">
        <v>104</v>
      </c>
      <c r="CF2020" s="1" t="s">
        <v>104</v>
      </c>
      <c r="CG2020" s="1" t="s">
        <v>104</v>
      </c>
      <c r="CH2020" s="1" t="s">
        <v>104</v>
      </c>
      <c r="CJ2020" s="1">
        <v>0</v>
      </c>
      <c r="CK2020" s="1">
        <v>0</v>
      </c>
      <c r="CL2020" s="1">
        <v>0</v>
      </c>
      <c r="CM2020" s="1" t="s">
        <v>104</v>
      </c>
    </row>
    <row r="2021" spans="1:91" ht="14.25" customHeight="1" x14ac:dyDescent="0.3">
      <c r="A2021" s="1" t="s">
        <v>10683</v>
      </c>
      <c r="B2021" s="1" t="s">
        <v>507</v>
      </c>
      <c r="C2021" s="1" t="s">
        <v>508</v>
      </c>
      <c r="E2021" s="1" t="s">
        <v>10684</v>
      </c>
      <c r="F2021" s="1" t="s">
        <v>191</v>
      </c>
      <c r="G2021" s="1" t="s">
        <v>116</v>
      </c>
      <c r="H2021" s="1">
        <v>0</v>
      </c>
      <c r="I2021" s="1" t="s">
        <v>117</v>
      </c>
      <c r="J2021" s="1" t="s">
        <v>10685</v>
      </c>
      <c r="M2021" s="1" t="s">
        <v>4992</v>
      </c>
      <c r="N2021" s="1">
        <v>1</v>
      </c>
      <c r="O2021" s="1">
        <v>0</v>
      </c>
      <c r="P2021" s="1" t="s">
        <v>100</v>
      </c>
      <c r="Q2021" s="1" t="s">
        <v>101</v>
      </c>
      <c r="R2021" s="1" t="s">
        <v>10686</v>
      </c>
      <c r="S2021" s="1" t="s">
        <v>10668</v>
      </c>
      <c r="T2021" s="1">
        <v>1</v>
      </c>
      <c r="U2021" s="1">
        <v>1</v>
      </c>
      <c r="V2021" s="1">
        <v>0</v>
      </c>
      <c r="W2021" s="1">
        <v>0</v>
      </c>
      <c r="X2021" s="1">
        <v>0</v>
      </c>
      <c r="Y2021" s="1">
        <v>1</v>
      </c>
      <c r="Z2021" s="1">
        <v>1</v>
      </c>
      <c r="AA2021" s="1">
        <v>1</v>
      </c>
      <c r="AB2021" s="1" t="s">
        <v>104</v>
      </c>
      <c r="AC2021" s="1" t="s">
        <v>104</v>
      </c>
      <c r="AD2021" s="1">
        <v>1</v>
      </c>
      <c r="AE2021" s="1" t="s">
        <v>104</v>
      </c>
      <c r="AF2021" s="1" t="s">
        <v>104</v>
      </c>
      <c r="AG2021" s="1" t="s">
        <v>104</v>
      </c>
      <c r="AH2021" s="1">
        <v>1</v>
      </c>
      <c r="AI2021" s="1">
        <v>1</v>
      </c>
      <c r="AJ2021" s="1">
        <v>1</v>
      </c>
      <c r="AK2021" s="1">
        <v>1</v>
      </c>
      <c r="AL2021" s="1" t="s">
        <v>104</v>
      </c>
      <c r="AM2021" s="1" t="s">
        <v>104</v>
      </c>
      <c r="AO2021" s="1">
        <v>1</v>
      </c>
      <c r="AR2021" s="1">
        <v>0</v>
      </c>
      <c r="AS2021" s="1">
        <v>0</v>
      </c>
      <c r="AT2021" s="1">
        <v>0</v>
      </c>
      <c r="AU2021" s="1">
        <v>0</v>
      </c>
      <c r="AV2021" s="1">
        <v>0</v>
      </c>
      <c r="AW2021" s="1">
        <v>0</v>
      </c>
      <c r="AX2021" s="1">
        <v>0</v>
      </c>
      <c r="AY2021" s="1">
        <v>0</v>
      </c>
      <c r="AZ2021" s="1">
        <v>0</v>
      </c>
      <c r="BA2021" s="1">
        <v>0</v>
      </c>
      <c r="BB2021" s="1">
        <v>0</v>
      </c>
      <c r="BC2021" s="1">
        <v>0</v>
      </c>
      <c r="BD2021" s="1">
        <v>0</v>
      </c>
      <c r="BE2021" s="1">
        <v>0</v>
      </c>
      <c r="BF2021" s="1">
        <v>0</v>
      </c>
      <c r="BG2021" s="1">
        <v>0</v>
      </c>
      <c r="BH2021" s="1">
        <v>0</v>
      </c>
      <c r="BI2021" s="1">
        <v>0</v>
      </c>
      <c r="BJ2021" s="1">
        <v>0</v>
      </c>
      <c r="BK2021" s="1">
        <v>0</v>
      </c>
      <c r="BL2021" s="1">
        <v>0</v>
      </c>
      <c r="BM2021" s="1">
        <v>0</v>
      </c>
      <c r="BN2021" s="1">
        <v>0</v>
      </c>
      <c r="BO2021" s="1">
        <v>0</v>
      </c>
      <c r="BP2021" s="1">
        <v>0</v>
      </c>
      <c r="BQ2021" s="1" t="s">
        <v>104</v>
      </c>
      <c r="BR2021" s="1">
        <v>2136</v>
      </c>
      <c r="BS2021" s="1" t="s">
        <v>104</v>
      </c>
      <c r="BX2021" s="1">
        <v>0</v>
      </c>
      <c r="BY2021" s="1" t="s">
        <v>104</v>
      </c>
      <c r="BZ2021" s="1" t="s">
        <v>104</v>
      </c>
      <c r="CA2021" s="1" t="s">
        <v>104</v>
      </c>
      <c r="CB2021" s="1" t="s">
        <v>104</v>
      </c>
      <c r="CC2021" s="1" t="s">
        <v>104</v>
      </c>
      <c r="CD2021" s="1" t="s">
        <v>104</v>
      </c>
      <c r="CE2021" s="1" t="s">
        <v>104</v>
      </c>
      <c r="CF2021" s="1" t="s">
        <v>104</v>
      </c>
      <c r="CG2021" s="1" t="s">
        <v>104</v>
      </c>
      <c r="CH2021" s="1" t="s">
        <v>104</v>
      </c>
      <c r="CJ2021" s="1">
        <v>0</v>
      </c>
      <c r="CK2021" s="1">
        <v>0</v>
      </c>
      <c r="CL2021" s="1">
        <v>0</v>
      </c>
      <c r="CM2021" s="1" t="s">
        <v>104</v>
      </c>
    </row>
    <row r="2022" spans="1:91" ht="14.25" customHeight="1" x14ac:dyDescent="0.3">
      <c r="A2022" s="1" t="s">
        <v>10687</v>
      </c>
      <c r="B2022" s="1" t="s">
        <v>137</v>
      </c>
      <c r="E2022" s="1" t="s">
        <v>10688</v>
      </c>
      <c r="F2022" s="1" t="s">
        <v>95</v>
      </c>
      <c r="G2022" s="1" t="s">
        <v>1802</v>
      </c>
      <c r="H2022" s="1">
        <v>0</v>
      </c>
      <c r="I2022" s="1" t="s">
        <v>128</v>
      </c>
      <c r="L2022" s="1" t="s">
        <v>10689</v>
      </c>
      <c r="M2022" s="1" t="s">
        <v>10690</v>
      </c>
      <c r="N2022" s="1">
        <v>0</v>
      </c>
      <c r="O2022" s="1">
        <v>0</v>
      </c>
      <c r="P2022" s="1" t="s">
        <v>100</v>
      </c>
      <c r="Q2022" s="1" t="s">
        <v>149</v>
      </c>
      <c r="R2022" s="1" t="s">
        <v>10691</v>
      </c>
      <c r="S2022" s="1" t="s">
        <v>10668</v>
      </c>
      <c r="T2022" s="1">
        <v>0</v>
      </c>
      <c r="U2022" s="1">
        <v>1</v>
      </c>
      <c r="V2022" s="1">
        <v>0</v>
      </c>
      <c r="W2022" s="1">
        <v>0</v>
      </c>
      <c r="X2022" s="1">
        <v>0</v>
      </c>
      <c r="Y2022" s="1">
        <v>1</v>
      </c>
      <c r="Z2022" s="1">
        <v>1</v>
      </c>
      <c r="AA2022" s="1" t="s">
        <v>104</v>
      </c>
      <c r="AB2022" s="1" t="s">
        <v>104</v>
      </c>
      <c r="AC2022" s="1" t="s">
        <v>104</v>
      </c>
      <c r="AD2022" s="1">
        <v>1</v>
      </c>
      <c r="AE2022" s="1" t="s">
        <v>104</v>
      </c>
      <c r="AF2022" s="1">
        <v>1</v>
      </c>
      <c r="AG2022" s="1" t="s">
        <v>104</v>
      </c>
      <c r="AH2022" s="1" t="s">
        <v>104</v>
      </c>
      <c r="AI2022" s="1" t="s">
        <v>104</v>
      </c>
      <c r="AJ2022" s="1" t="s">
        <v>104</v>
      </c>
      <c r="AK2022" s="1">
        <v>1</v>
      </c>
      <c r="AL2022" s="1">
        <v>1</v>
      </c>
      <c r="AM2022" s="1" t="s">
        <v>104</v>
      </c>
      <c r="AO2022" s="1">
        <v>1</v>
      </c>
      <c r="AR2022" s="1">
        <v>0</v>
      </c>
      <c r="AS2022" s="1">
        <v>0</v>
      </c>
      <c r="AT2022" s="1">
        <v>0</v>
      </c>
      <c r="AU2022" s="1">
        <v>0</v>
      </c>
      <c r="AV2022" s="1">
        <v>0</v>
      </c>
      <c r="AW2022" s="1">
        <v>0</v>
      </c>
      <c r="AX2022" s="1">
        <v>0</v>
      </c>
      <c r="AY2022" s="1">
        <v>0</v>
      </c>
      <c r="AZ2022" s="1">
        <v>0</v>
      </c>
      <c r="BA2022" s="1">
        <v>0</v>
      </c>
      <c r="BB2022" s="1">
        <v>0</v>
      </c>
      <c r="BC2022" s="1">
        <v>0</v>
      </c>
      <c r="BD2022" s="1">
        <v>0</v>
      </c>
      <c r="BE2022" s="1">
        <v>0</v>
      </c>
      <c r="BF2022" s="1">
        <v>0</v>
      </c>
      <c r="BG2022" s="1">
        <v>0</v>
      </c>
      <c r="BH2022" s="1">
        <v>0</v>
      </c>
      <c r="BI2022" s="1">
        <v>0</v>
      </c>
      <c r="BJ2022" s="1">
        <v>0</v>
      </c>
      <c r="BK2022" s="1">
        <v>0</v>
      </c>
      <c r="BL2022" s="1">
        <v>0</v>
      </c>
      <c r="BM2022" s="1">
        <v>0</v>
      </c>
      <c r="BN2022" s="1">
        <v>0</v>
      </c>
      <c r="BO2022" s="1">
        <v>0</v>
      </c>
      <c r="BP2022" s="1">
        <v>0</v>
      </c>
      <c r="BQ2022" s="1" t="s">
        <v>104</v>
      </c>
      <c r="BR2022" s="1">
        <v>2137</v>
      </c>
      <c r="BS2022" s="1" t="s">
        <v>104</v>
      </c>
      <c r="BX2022" s="1">
        <v>0</v>
      </c>
      <c r="BY2022" s="1">
        <v>1</v>
      </c>
      <c r="BZ2022" s="1" t="s">
        <v>104</v>
      </c>
      <c r="CA2022" s="1" t="s">
        <v>104</v>
      </c>
      <c r="CB2022" s="1" t="s">
        <v>104</v>
      </c>
      <c r="CC2022" s="1" t="s">
        <v>104</v>
      </c>
      <c r="CD2022" s="1" t="s">
        <v>104</v>
      </c>
      <c r="CE2022" s="1" t="s">
        <v>104</v>
      </c>
      <c r="CF2022" s="1" t="s">
        <v>104</v>
      </c>
      <c r="CG2022" s="1" t="s">
        <v>104</v>
      </c>
      <c r="CH2022" s="1" t="s">
        <v>104</v>
      </c>
      <c r="CJ2022" s="1">
        <v>0</v>
      </c>
      <c r="CK2022" s="1">
        <v>0</v>
      </c>
      <c r="CL2022" s="1">
        <v>0</v>
      </c>
      <c r="CM2022" s="1" t="s">
        <v>104</v>
      </c>
    </row>
    <row r="2023" spans="1:91" ht="14.25" customHeight="1" x14ac:dyDescent="0.3">
      <c r="A2023" s="1" t="s">
        <v>10692</v>
      </c>
      <c r="B2023" s="1" t="s">
        <v>172</v>
      </c>
      <c r="E2023" s="1" t="s">
        <v>10693</v>
      </c>
      <c r="F2023" s="1" t="s">
        <v>95</v>
      </c>
      <c r="G2023" s="1" t="s">
        <v>10694</v>
      </c>
      <c r="H2023" s="1">
        <v>0</v>
      </c>
      <c r="I2023" s="1" t="s">
        <v>128</v>
      </c>
      <c r="L2023" s="1" t="s">
        <v>1065</v>
      </c>
      <c r="M2023" s="1" t="s">
        <v>111</v>
      </c>
      <c r="N2023" s="1">
        <v>0</v>
      </c>
      <c r="O2023" s="1">
        <v>0</v>
      </c>
      <c r="P2023" s="1" t="s">
        <v>375</v>
      </c>
      <c r="Q2023" s="1" t="s">
        <v>131</v>
      </c>
      <c r="R2023" s="1" t="s">
        <v>10695</v>
      </c>
      <c r="S2023" s="1" t="s">
        <v>10668</v>
      </c>
      <c r="T2023" s="1">
        <v>1</v>
      </c>
      <c r="U2023" s="1">
        <v>1</v>
      </c>
      <c r="V2023" s="1">
        <v>1</v>
      </c>
      <c r="W2023" s="1">
        <v>0</v>
      </c>
      <c r="X2023" s="1">
        <v>1</v>
      </c>
      <c r="Y2023" s="1">
        <v>1</v>
      </c>
      <c r="Z2023" s="1">
        <v>1</v>
      </c>
      <c r="AA2023" s="1">
        <v>1</v>
      </c>
      <c r="AB2023" s="1" t="s">
        <v>104</v>
      </c>
      <c r="AC2023" s="1" t="s">
        <v>104</v>
      </c>
      <c r="AD2023" s="1">
        <v>1</v>
      </c>
      <c r="AE2023" s="1" t="s">
        <v>104</v>
      </c>
      <c r="AF2023" s="1" t="s">
        <v>104</v>
      </c>
      <c r="AG2023" s="1" t="s">
        <v>104</v>
      </c>
      <c r="AH2023" s="1">
        <v>1</v>
      </c>
      <c r="AI2023" s="1">
        <v>1</v>
      </c>
      <c r="AJ2023" s="1">
        <v>1</v>
      </c>
      <c r="AK2023" s="1" t="s">
        <v>104</v>
      </c>
      <c r="AL2023" s="1" t="s">
        <v>104</v>
      </c>
      <c r="AM2023" s="1" t="s">
        <v>104</v>
      </c>
      <c r="AO2023" s="1">
        <v>1</v>
      </c>
      <c r="AR2023" s="1">
        <v>0</v>
      </c>
      <c r="AS2023" s="1">
        <v>0</v>
      </c>
      <c r="AT2023" s="1">
        <v>0</v>
      </c>
      <c r="AU2023" s="1">
        <v>0</v>
      </c>
      <c r="AV2023" s="1">
        <v>0</v>
      </c>
      <c r="AW2023" s="1">
        <v>0</v>
      </c>
      <c r="AX2023" s="1">
        <v>0</v>
      </c>
      <c r="AY2023" s="1">
        <v>0</v>
      </c>
      <c r="AZ2023" s="1">
        <v>0</v>
      </c>
      <c r="BA2023" s="1">
        <v>0</v>
      </c>
      <c r="BB2023" s="1">
        <v>0</v>
      </c>
      <c r="BC2023" s="1">
        <v>0</v>
      </c>
      <c r="BD2023" s="1">
        <v>0</v>
      </c>
      <c r="BE2023" s="1">
        <v>0</v>
      </c>
      <c r="BF2023" s="1">
        <v>0</v>
      </c>
      <c r="BG2023" s="1">
        <v>0</v>
      </c>
      <c r="BH2023" s="1">
        <v>0</v>
      </c>
      <c r="BI2023" s="1">
        <v>0</v>
      </c>
      <c r="BJ2023" s="1">
        <v>0</v>
      </c>
      <c r="BK2023" s="1">
        <v>0</v>
      </c>
      <c r="BL2023" s="1">
        <v>0</v>
      </c>
      <c r="BM2023" s="1">
        <v>0</v>
      </c>
      <c r="BN2023" s="1">
        <v>0</v>
      </c>
      <c r="BO2023" s="1">
        <v>0</v>
      </c>
      <c r="BP2023" s="1">
        <v>0</v>
      </c>
      <c r="BQ2023" s="1" t="s">
        <v>104</v>
      </c>
      <c r="BR2023" s="1">
        <v>2138</v>
      </c>
      <c r="BS2023" s="1" t="s">
        <v>104</v>
      </c>
      <c r="BX2023" s="1">
        <v>0</v>
      </c>
      <c r="BY2023" s="1" t="s">
        <v>104</v>
      </c>
      <c r="BZ2023" s="1">
        <v>1</v>
      </c>
      <c r="CA2023" s="1" t="s">
        <v>104</v>
      </c>
      <c r="CB2023" s="1" t="s">
        <v>104</v>
      </c>
      <c r="CC2023" s="1" t="s">
        <v>104</v>
      </c>
      <c r="CD2023" s="1" t="s">
        <v>104</v>
      </c>
      <c r="CE2023" s="1" t="s">
        <v>104</v>
      </c>
      <c r="CF2023" s="1" t="s">
        <v>104</v>
      </c>
      <c r="CG2023" s="1" t="s">
        <v>104</v>
      </c>
      <c r="CH2023" s="1" t="s">
        <v>104</v>
      </c>
      <c r="CJ2023" s="1">
        <v>0</v>
      </c>
      <c r="CK2023" s="1">
        <v>0</v>
      </c>
      <c r="CL2023" s="1">
        <v>0</v>
      </c>
      <c r="CM2023" s="1" t="s">
        <v>104</v>
      </c>
    </row>
    <row r="2024" spans="1:91" ht="14.25" customHeight="1" x14ac:dyDescent="0.3">
      <c r="A2024" s="1" t="s">
        <v>10696</v>
      </c>
      <c r="B2024" s="1" t="s">
        <v>507</v>
      </c>
      <c r="C2024" s="1" t="s">
        <v>1767</v>
      </c>
      <c r="E2024" s="1" t="s">
        <v>10697</v>
      </c>
      <c r="F2024" s="1" t="s">
        <v>95</v>
      </c>
      <c r="G2024" s="1" t="s">
        <v>10698</v>
      </c>
      <c r="H2024" s="1">
        <v>0</v>
      </c>
      <c r="I2024" s="1" t="s">
        <v>109</v>
      </c>
      <c r="K2024" s="1" t="s">
        <v>10699</v>
      </c>
      <c r="M2024" s="1" t="s">
        <v>4641</v>
      </c>
      <c r="N2024" s="1">
        <v>1</v>
      </c>
      <c r="O2024" s="1">
        <v>0</v>
      </c>
      <c r="P2024" s="1" t="s">
        <v>1894</v>
      </c>
      <c r="Q2024" s="1" t="s">
        <v>101</v>
      </c>
      <c r="R2024" s="1" t="s">
        <v>10700</v>
      </c>
      <c r="S2024" s="1" t="s">
        <v>10668</v>
      </c>
      <c r="T2024" s="1">
        <v>1</v>
      </c>
      <c r="U2024" s="1">
        <v>1</v>
      </c>
      <c r="V2024" s="1">
        <v>1</v>
      </c>
      <c r="W2024" s="1">
        <v>0</v>
      </c>
      <c r="X2024" s="1">
        <v>0</v>
      </c>
      <c r="Y2024" s="1" t="s">
        <v>104</v>
      </c>
      <c r="Z2024" s="1" t="s">
        <v>104</v>
      </c>
      <c r="AA2024" s="1" t="s">
        <v>104</v>
      </c>
      <c r="AB2024" s="1" t="s">
        <v>104</v>
      </c>
      <c r="AC2024" s="1" t="s">
        <v>104</v>
      </c>
      <c r="AD2024" s="1">
        <v>1</v>
      </c>
      <c r="AE2024" s="1" t="s">
        <v>104</v>
      </c>
      <c r="AF2024" s="1" t="s">
        <v>104</v>
      </c>
      <c r="AG2024" s="1" t="s">
        <v>104</v>
      </c>
      <c r="AH2024" s="1">
        <v>1</v>
      </c>
      <c r="AI2024" s="1" t="s">
        <v>104</v>
      </c>
      <c r="AJ2024" s="1" t="s">
        <v>104</v>
      </c>
      <c r="AK2024" s="1" t="s">
        <v>104</v>
      </c>
      <c r="AL2024" s="1" t="s">
        <v>104</v>
      </c>
      <c r="AM2024" s="1" t="s">
        <v>104</v>
      </c>
      <c r="AO2024" s="1">
        <v>1</v>
      </c>
      <c r="AR2024" s="1">
        <v>0</v>
      </c>
      <c r="AS2024" s="1">
        <v>0</v>
      </c>
      <c r="AT2024" s="1">
        <v>0</v>
      </c>
      <c r="AU2024" s="1">
        <v>0</v>
      </c>
      <c r="AV2024" s="1">
        <v>0</v>
      </c>
      <c r="AW2024" s="1">
        <v>0</v>
      </c>
      <c r="AX2024" s="1">
        <v>0</v>
      </c>
      <c r="AY2024" s="1">
        <v>0</v>
      </c>
      <c r="AZ2024" s="1">
        <v>0</v>
      </c>
      <c r="BA2024" s="1">
        <v>0</v>
      </c>
      <c r="BB2024" s="1">
        <v>0</v>
      </c>
      <c r="BC2024" s="1">
        <v>0</v>
      </c>
      <c r="BD2024" s="1">
        <v>0</v>
      </c>
      <c r="BE2024" s="1">
        <v>0</v>
      </c>
      <c r="BF2024" s="1">
        <v>0</v>
      </c>
      <c r="BG2024" s="1">
        <v>0</v>
      </c>
      <c r="BH2024" s="1">
        <v>0</v>
      </c>
      <c r="BI2024" s="1">
        <v>0</v>
      </c>
      <c r="BJ2024" s="1">
        <v>0</v>
      </c>
      <c r="BK2024" s="1">
        <v>0</v>
      </c>
      <c r="BL2024" s="1">
        <v>0</v>
      </c>
      <c r="BM2024" s="1">
        <v>0</v>
      </c>
      <c r="BN2024" s="1">
        <v>0</v>
      </c>
      <c r="BO2024" s="1">
        <v>0</v>
      </c>
      <c r="BP2024" s="1">
        <v>0</v>
      </c>
      <c r="BQ2024" s="1" t="s">
        <v>104</v>
      </c>
      <c r="BR2024" s="1">
        <v>2139</v>
      </c>
      <c r="BS2024" s="1" t="s">
        <v>104</v>
      </c>
      <c r="BX2024" s="1">
        <v>0</v>
      </c>
      <c r="BY2024" s="1" t="s">
        <v>104</v>
      </c>
      <c r="BZ2024" s="1">
        <v>1</v>
      </c>
      <c r="CA2024" s="1" t="s">
        <v>104</v>
      </c>
      <c r="CB2024" s="1" t="s">
        <v>104</v>
      </c>
      <c r="CC2024" s="1" t="s">
        <v>104</v>
      </c>
      <c r="CD2024" s="1" t="s">
        <v>104</v>
      </c>
      <c r="CE2024" s="1" t="s">
        <v>104</v>
      </c>
      <c r="CF2024" s="1" t="s">
        <v>104</v>
      </c>
      <c r="CG2024" s="1" t="s">
        <v>104</v>
      </c>
      <c r="CH2024" s="1" t="s">
        <v>104</v>
      </c>
      <c r="CJ2024" s="1">
        <v>0</v>
      </c>
      <c r="CK2024" s="1">
        <v>0</v>
      </c>
      <c r="CL2024" s="1">
        <v>0</v>
      </c>
      <c r="CM2024" s="1" t="s">
        <v>104</v>
      </c>
    </row>
    <row r="2025" spans="1:91" ht="14.25" customHeight="1" x14ac:dyDescent="0.3">
      <c r="A2025" s="1" t="s">
        <v>10701</v>
      </c>
      <c r="B2025" s="1" t="s">
        <v>172</v>
      </c>
      <c r="E2025" s="1" t="s">
        <v>10702</v>
      </c>
      <c r="F2025" s="1" t="s">
        <v>95</v>
      </c>
      <c r="G2025" s="1" t="s">
        <v>10703</v>
      </c>
      <c r="H2025" s="1">
        <v>0</v>
      </c>
      <c r="I2025" s="1" t="s">
        <v>128</v>
      </c>
      <c r="L2025" s="1" t="s">
        <v>1065</v>
      </c>
      <c r="M2025" s="1" t="s">
        <v>201</v>
      </c>
      <c r="N2025" s="1">
        <v>0</v>
      </c>
      <c r="O2025" s="1">
        <v>0</v>
      </c>
      <c r="P2025" s="1" t="s">
        <v>375</v>
      </c>
      <c r="Q2025" s="1" t="s">
        <v>131</v>
      </c>
      <c r="R2025" s="1" t="s">
        <v>10704</v>
      </c>
      <c r="S2025" s="1" t="s">
        <v>10668</v>
      </c>
      <c r="T2025" s="1">
        <v>1</v>
      </c>
      <c r="U2025" s="1">
        <v>1</v>
      </c>
      <c r="V2025" s="1">
        <v>1</v>
      </c>
      <c r="W2025" s="1">
        <v>0</v>
      </c>
      <c r="X2025" s="1">
        <v>1</v>
      </c>
      <c r="Y2025" s="1">
        <v>1</v>
      </c>
      <c r="Z2025" s="1">
        <v>1</v>
      </c>
      <c r="AA2025" s="1" t="s">
        <v>104</v>
      </c>
      <c r="AB2025" s="1" t="s">
        <v>104</v>
      </c>
      <c r="AC2025" s="1" t="s">
        <v>104</v>
      </c>
      <c r="AD2025" s="1">
        <v>1</v>
      </c>
      <c r="AE2025" s="1" t="s">
        <v>104</v>
      </c>
      <c r="AF2025" s="1">
        <v>1</v>
      </c>
      <c r="AG2025" s="1" t="s">
        <v>104</v>
      </c>
      <c r="AH2025" s="1" t="s">
        <v>104</v>
      </c>
      <c r="AI2025" s="1">
        <v>1</v>
      </c>
      <c r="AJ2025" s="1" t="s">
        <v>104</v>
      </c>
      <c r="AK2025" s="1">
        <v>1</v>
      </c>
      <c r="AL2025" s="1" t="s">
        <v>104</v>
      </c>
      <c r="AM2025" s="1" t="s">
        <v>104</v>
      </c>
      <c r="AO2025" s="1">
        <v>1</v>
      </c>
      <c r="AR2025" s="1">
        <v>0</v>
      </c>
      <c r="AS2025" s="1">
        <v>0</v>
      </c>
      <c r="AT2025" s="1">
        <v>0</v>
      </c>
      <c r="AU2025" s="1">
        <v>0</v>
      </c>
      <c r="AV2025" s="1">
        <v>0</v>
      </c>
      <c r="AW2025" s="1">
        <v>0</v>
      </c>
      <c r="AX2025" s="1">
        <v>0</v>
      </c>
      <c r="AY2025" s="1">
        <v>0</v>
      </c>
      <c r="AZ2025" s="1">
        <v>0</v>
      </c>
      <c r="BA2025" s="1">
        <v>0</v>
      </c>
      <c r="BB2025" s="1">
        <v>0</v>
      </c>
      <c r="BC2025" s="1">
        <v>0</v>
      </c>
      <c r="BD2025" s="1">
        <v>0</v>
      </c>
      <c r="BE2025" s="1">
        <v>0</v>
      </c>
      <c r="BF2025" s="1">
        <v>0</v>
      </c>
      <c r="BG2025" s="1">
        <v>0</v>
      </c>
      <c r="BH2025" s="1">
        <v>0</v>
      </c>
      <c r="BI2025" s="1">
        <v>0</v>
      </c>
      <c r="BJ2025" s="1">
        <v>0</v>
      </c>
      <c r="BK2025" s="1">
        <v>0</v>
      </c>
      <c r="BL2025" s="1">
        <v>0</v>
      </c>
      <c r="BM2025" s="1">
        <v>0</v>
      </c>
      <c r="BN2025" s="1">
        <v>0</v>
      </c>
      <c r="BO2025" s="1">
        <v>0</v>
      </c>
      <c r="BP2025" s="1">
        <v>0</v>
      </c>
      <c r="BQ2025" s="1" t="s">
        <v>104</v>
      </c>
      <c r="BR2025" s="1">
        <v>2140</v>
      </c>
      <c r="BS2025" s="1" t="s">
        <v>104</v>
      </c>
      <c r="BX2025" s="1">
        <v>0</v>
      </c>
      <c r="BY2025" s="1" t="s">
        <v>104</v>
      </c>
      <c r="BZ2025" s="1" t="s">
        <v>104</v>
      </c>
      <c r="CA2025" s="1" t="s">
        <v>104</v>
      </c>
      <c r="CB2025" s="1" t="s">
        <v>104</v>
      </c>
      <c r="CC2025" s="1" t="s">
        <v>104</v>
      </c>
      <c r="CD2025" s="1" t="s">
        <v>104</v>
      </c>
      <c r="CE2025" s="1" t="s">
        <v>104</v>
      </c>
      <c r="CF2025" s="1" t="s">
        <v>104</v>
      </c>
      <c r="CG2025" s="1" t="s">
        <v>104</v>
      </c>
      <c r="CH2025" s="1" t="s">
        <v>104</v>
      </c>
      <c r="CJ2025" s="1">
        <v>0</v>
      </c>
      <c r="CK2025" s="1">
        <v>0</v>
      </c>
      <c r="CL2025" s="1">
        <v>0</v>
      </c>
      <c r="CM2025" s="1" t="s">
        <v>104</v>
      </c>
    </row>
    <row r="2026" spans="1:91" ht="14.25" customHeight="1" x14ac:dyDescent="0.3">
      <c r="A2026" s="1" t="s">
        <v>10705</v>
      </c>
      <c r="B2026" s="1" t="s">
        <v>162</v>
      </c>
      <c r="E2026" s="1" t="s">
        <v>10706</v>
      </c>
      <c r="F2026" s="1" t="s">
        <v>95</v>
      </c>
      <c r="G2026" s="1" t="s">
        <v>10707</v>
      </c>
      <c r="H2026" s="1">
        <v>0</v>
      </c>
      <c r="I2026" s="1" t="s">
        <v>117</v>
      </c>
      <c r="J2026" s="1" t="s">
        <v>10708</v>
      </c>
      <c r="M2026" s="1" t="s">
        <v>2330</v>
      </c>
      <c r="N2026" s="1">
        <v>0</v>
      </c>
      <c r="O2026" s="1">
        <v>0</v>
      </c>
      <c r="P2026" s="1" t="s">
        <v>100</v>
      </c>
      <c r="Q2026" s="1" t="s">
        <v>101</v>
      </c>
      <c r="R2026" s="1" t="s">
        <v>10709</v>
      </c>
      <c r="S2026" s="1" t="s">
        <v>10668</v>
      </c>
      <c r="T2026" s="1">
        <v>1</v>
      </c>
      <c r="U2026" s="1">
        <v>1</v>
      </c>
      <c r="V2026" s="1">
        <v>1</v>
      </c>
      <c r="W2026" s="1">
        <v>0</v>
      </c>
      <c r="X2026" s="1">
        <v>1</v>
      </c>
      <c r="Y2026" s="1">
        <v>1</v>
      </c>
      <c r="Z2026" s="1">
        <v>1</v>
      </c>
      <c r="AA2026" s="1">
        <v>1</v>
      </c>
      <c r="AB2026" s="1">
        <v>1</v>
      </c>
      <c r="AC2026" s="1" t="s">
        <v>104</v>
      </c>
      <c r="AD2026" s="1">
        <v>1</v>
      </c>
      <c r="AE2026" s="1">
        <v>1</v>
      </c>
      <c r="AF2026" s="1" t="s">
        <v>104</v>
      </c>
      <c r="AG2026" s="1" t="s">
        <v>104</v>
      </c>
      <c r="AH2026" s="1">
        <v>1</v>
      </c>
      <c r="AI2026" s="1">
        <v>1</v>
      </c>
      <c r="AJ2026" s="1">
        <v>1</v>
      </c>
      <c r="AK2026" s="1" t="s">
        <v>104</v>
      </c>
      <c r="AL2026" s="1" t="s">
        <v>104</v>
      </c>
      <c r="AM2026" s="1" t="s">
        <v>104</v>
      </c>
      <c r="AO2026" s="1">
        <v>1</v>
      </c>
      <c r="AR2026" s="1">
        <v>0</v>
      </c>
      <c r="AS2026" s="1">
        <v>0</v>
      </c>
      <c r="AT2026" s="1">
        <v>0</v>
      </c>
      <c r="AU2026" s="1">
        <v>0</v>
      </c>
      <c r="AV2026" s="1">
        <v>0</v>
      </c>
      <c r="AW2026" s="1">
        <v>0</v>
      </c>
      <c r="AX2026" s="1">
        <v>0</v>
      </c>
      <c r="AY2026" s="1">
        <v>0</v>
      </c>
      <c r="AZ2026" s="1">
        <v>0</v>
      </c>
      <c r="BA2026" s="1">
        <v>0</v>
      </c>
      <c r="BB2026" s="1">
        <v>0</v>
      </c>
      <c r="BC2026" s="1">
        <v>0</v>
      </c>
      <c r="BD2026" s="1">
        <v>0</v>
      </c>
      <c r="BE2026" s="1">
        <v>0</v>
      </c>
      <c r="BF2026" s="1">
        <v>0</v>
      </c>
      <c r="BG2026" s="1">
        <v>0</v>
      </c>
      <c r="BH2026" s="1">
        <v>0</v>
      </c>
      <c r="BI2026" s="1">
        <v>0</v>
      </c>
      <c r="BJ2026" s="1">
        <v>0</v>
      </c>
      <c r="BK2026" s="1">
        <v>0</v>
      </c>
      <c r="BL2026" s="1">
        <v>0</v>
      </c>
      <c r="BM2026" s="1">
        <v>0</v>
      </c>
      <c r="BN2026" s="1">
        <v>0</v>
      </c>
      <c r="BO2026" s="1">
        <v>0</v>
      </c>
      <c r="BP2026" s="1">
        <v>0</v>
      </c>
      <c r="BQ2026" s="1" t="s">
        <v>104</v>
      </c>
      <c r="BR2026" s="1">
        <v>2141</v>
      </c>
      <c r="BS2026" s="1" t="s">
        <v>104</v>
      </c>
      <c r="BX2026" s="1">
        <v>0</v>
      </c>
      <c r="BY2026" s="1" t="s">
        <v>104</v>
      </c>
      <c r="BZ2026" s="1">
        <v>1</v>
      </c>
      <c r="CA2026" s="1" t="s">
        <v>104</v>
      </c>
      <c r="CB2026" s="1" t="s">
        <v>104</v>
      </c>
      <c r="CC2026" s="1" t="s">
        <v>104</v>
      </c>
      <c r="CD2026" s="1" t="s">
        <v>104</v>
      </c>
      <c r="CE2026" s="1" t="s">
        <v>104</v>
      </c>
      <c r="CF2026" s="1" t="s">
        <v>104</v>
      </c>
      <c r="CG2026" s="1" t="s">
        <v>104</v>
      </c>
      <c r="CH2026" s="1">
        <v>1</v>
      </c>
      <c r="CJ2026" s="1">
        <v>0</v>
      </c>
      <c r="CK2026" s="1">
        <v>0</v>
      </c>
      <c r="CL2026" s="1">
        <v>0</v>
      </c>
      <c r="CM2026" s="1" t="s">
        <v>104</v>
      </c>
    </row>
    <row r="2027" spans="1:91" ht="14.25" customHeight="1" x14ac:dyDescent="0.3">
      <c r="A2027" s="1" t="s">
        <v>10710</v>
      </c>
      <c r="B2027" s="1" t="s">
        <v>172</v>
      </c>
      <c r="E2027" s="1" t="s">
        <v>10711</v>
      </c>
      <c r="F2027" s="1" t="s">
        <v>95</v>
      </c>
      <c r="G2027" s="1" t="s">
        <v>10712</v>
      </c>
      <c r="H2027" s="1">
        <v>0</v>
      </c>
      <c r="I2027" s="1" t="s">
        <v>128</v>
      </c>
      <c r="L2027" s="1" t="s">
        <v>374</v>
      </c>
      <c r="M2027" s="1" t="s">
        <v>140</v>
      </c>
      <c r="N2027" s="1">
        <v>0</v>
      </c>
      <c r="O2027" s="1">
        <v>0</v>
      </c>
      <c r="P2027" s="1" t="s">
        <v>375</v>
      </c>
      <c r="Q2027" s="1" t="s">
        <v>101</v>
      </c>
      <c r="R2027" s="1" t="s">
        <v>10713</v>
      </c>
      <c r="S2027" s="1" t="s">
        <v>10668</v>
      </c>
      <c r="T2027" s="1">
        <v>1</v>
      </c>
      <c r="U2027" s="1">
        <v>0</v>
      </c>
      <c r="V2027" s="1">
        <v>1</v>
      </c>
      <c r="W2027" s="1">
        <v>0</v>
      </c>
      <c r="X2027" s="1">
        <v>1</v>
      </c>
      <c r="Y2027" s="1">
        <v>1</v>
      </c>
      <c r="Z2027" s="1">
        <v>1</v>
      </c>
      <c r="AA2027" s="1">
        <v>1</v>
      </c>
      <c r="AB2027" s="1" t="s">
        <v>104</v>
      </c>
      <c r="AC2027" s="1">
        <v>1</v>
      </c>
      <c r="AD2027" s="1">
        <v>1</v>
      </c>
      <c r="AE2027" s="1" t="s">
        <v>104</v>
      </c>
      <c r="AF2027" s="1" t="s">
        <v>104</v>
      </c>
      <c r="AG2027" s="1" t="s">
        <v>104</v>
      </c>
      <c r="AH2027" s="1">
        <v>1</v>
      </c>
      <c r="AI2027" s="1">
        <v>1</v>
      </c>
      <c r="AJ2027" s="1">
        <v>1</v>
      </c>
      <c r="AK2027" s="1" t="s">
        <v>104</v>
      </c>
      <c r="AL2027" s="1" t="s">
        <v>104</v>
      </c>
      <c r="AM2027" s="1" t="s">
        <v>104</v>
      </c>
      <c r="AO2027" s="1">
        <v>1</v>
      </c>
      <c r="AR2027" s="1">
        <v>0</v>
      </c>
      <c r="AS2027" s="1">
        <v>0</v>
      </c>
      <c r="AT2027" s="1">
        <v>0</v>
      </c>
      <c r="AU2027" s="1">
        <v>0</v>
      </c>
      <c r="AV2027" s="1">
        <v>0</v>
      </c>
      <c r="AW2027" s="1">
        <v>0</v>
      </c>
      <c r="AX2027" s="1">
        <v>0</v>
      </c>
      <c r="AY2027" s="1">
        <v>0</v>
      </c>
      <c r="AZ2027" s="1">
        <v>0</v>
      </c>
      <c r="BA2027" s="1">
        <v>0</v>
      </c>
      <c r="BB2027" s="1">
        <v>0</v>
      </c>
      <c r="BC2027" s="1">
        <v>0</v>
      </c>
      <c r="BD2027" s="1">
        <v>0</v>
      </c>
      <c r="BE2027" s="1">
        <v>0</v>
      </c>
      <c r="BF2027" s="1">
        <v>0</v>
      </c>
      <c r="BG2027" s="1">
        <v>0</v>
      </c>
      <c r="BH2027" s="1">
        <v>0</v>
      </c>
      <c r="BI2027" s="1">
        <v>0</v>
      </c>
      <c r="BJ2027" s="1">
        <v>0</v>
      </c>
      <c r="BK2027" s="1">
        <v>0</v>
      </c>
      <c r="BL2027" s="1">
        <v>0</v>
      </c>
      <c r="BM2027" s="1">
        <v>0</v>
      </c>
      <c r="BN2027" s="1">
        <v>0</v>
      </c>
      <c r="BO2027" s="1">
        <v>0</v>
      </c>
      <c r="BP2027" s="1">
        <v>0</v>
      </c>
      <c r="BQ2027" s="1" t="s">
        <v>104</v>
      </c>
      <c r="BR2027" s="1">
        <v>2143</v>
      </c>
      <c r="BS2027" s="1" t="s">
        <v>104</v>
      </c>
      <c r="BX2027" s="1">
        <v>0</v>
      </c>
      <c r="BY2027" s="1" t="s">
        <v>104</v>
      </c>
      <c r="BZ2027" s="1" t="s">
        <v>104</v>
      </c>
      <c r="CA2027" s="1" t="s">
        <v>104</v>
      </c>
      <c r="CB2027" s="1" t="s">
        <v>104</v>
      </c>
      <c r="CC2027" s="1" t="s">
        <v>104</v>
      </c>
      <c r="CD2027" s="1" t="s">
        <v>104</v>
      </c>
      <c r="CE2027" s="1" t="s">
        <v>104</v>
      </c>
      <c r="CF2027" s="1" t="s">
        <v>104</v>
      </c>
      <c r="CG2027" s="1" t="s">
        <v>104</v>
      </c>
      <c r="CH2027" s="1">
        <v>1</v>
      </c>
      <c r="CJ2027" s="1">
        <v>0</v>
      </c>
      <c r="CK2027" s="1">
        <v>0</v>
      </c>
      <c r="CL2027" s="1">
        <v>0</v>
      </c>
      <c r="CM2027" s="1" t="s">
        <v>104</v>
      </c>
    </row>
    <row r="2028" spans="1:91" ht="14.25" customHeight="1" x14ac:dyDescent="0.3">
      <c r="A2028" s="1" t="s">
        <v>10714</v>
      </c>
      <c r="B2028" s="1" t="s">
        <v>123</v>
      </c>
      <c r="C2028" s="1" t="s">
        <v>124</v>
      </c>
      <c r="D2028" s="1" t="s">
        <v>125</v>
      </c>
      <c r="E2028" s="1" t="s">
        <v>10715</v>
      </c>
      <c r="F2028" s="1" t="s">
        <v>95</v>
      </c>
      <c r="G2028" s="1" t="s">
        <v>116</v>
      </c>
      <c r="H2028" s="1">
        <v>0</v>
      </c>
      <c r="I2028" s="1" t="s">
        <v>117</v>
      </c>
      <c r="L2028" s="1" t="s">
        <v>1065</v>
      </c>
      <c r="M2028" s="1" t="s">
        <v>194</v>
      </c>
      <c r="N2028" s="1">
        <v>0</v>
      </c>
      <c r="O2028" s="1">
        <v>0</v>
      </c>
      <c r="P2028" s="1" t="s">
        <v>276</v>
      </c>
      <c r="Q2028" s="1" t="s">
        <v>184</v>
      </c>
      <c r="R2028" s="1" t="s">
        <v>10716</v>
      </c>
      <c r="S2028" s="1" t="s">
        <v>10570</v>
      </c>
      <c r="T2028" s="1">
        <v>1</v>
      </c>
      <c r="U2028" s="1">
        <v>1</v>
      </c>
      <c r="V2028" s="1">
        <v>0</v>
      </c>
      <c r="W2028" s="1">
        <v>0</v>
      </c>
      <c r="X2028" s="1">
        <v>0</v>
      </c>
      <c r="Y2028" s="1">
        <v>3</v>
      </c>
      <c r="Z2028" s="1">
        <v>3</v>
      </c>
      <c r="AA2028" s="1" t="s">
        <v>104</v>
      </c>
      <c r="AB2028" s="1">
        <v>3</v>
      </c>
      <c r="AC2028" s="1" t="s">
        <v>104</v>
      </c>
      <c r="AD2028" s="1">
        <v>2</v>
      </c>
      <c r="AE2028" s="1" t="s">
        <v>104</v>
      </c>
      <c r="AF2028" s="1" t="s">
        <v>104</v>
      </c>
      <c r="AG2028" s="1" t="s">
        <v>104</v>
      </c>
      <c r="AH2028" s="1">
        <v>3</v>
      </c>
      <c r="AI2028" s="1" t="s">
        <v>104</v>
      </c>
      <c r="AJ2028" s="1" t="s">
        <v>104</v>
      </c>
      <c r="AK2028" s="1" t="s">
        <v>104</v>
      </c>
      <c r="AL2028" s="1" t="s">
        <v>104</v>
      </c>
      <c r="AM2028" s="1" t="s">
        <v>104</v>
      </c>
      <c r="AO2028" s="1">
        <v>3</v>
      </c>
      <c r="AQ2028" s="1" t="s">
        <v>10717</v>
      </c>
      <c r="AR2028" s="1">
        <v>0</v>
      </c>
      <c r="AS2028" s="1">
        <v>0</v>
      </c>
      <c r="AT2028" s="1">
        <v>0</v>
      </c>
      <c r="AU2028" s="1">
        <v>0</v>
      </c>
      <c r="AV2028" s="1">
        <v>0</v>
      </c>
      <c r="AW2028" s="1">
        <v>0</v>
      </c>
      <c r="AX2028" s="1">
        <v>0</v>
      </c>
      <c r="AY2028" s="1">
        <v>0</v>
      </c>
      <c r="AZ2028" s="1">
        <v>0</v>
      </c>
      <c r="BA2028" s="1">
        <v>0</v>
      </c>
      <c r="BB2028" s="1">
        <v>0</v>
      </c>
      <c r="BC2028" s="1">
        <v>0</v>
      </c>
      <c r="BD2028" s="1">
        <v>0</v>
      </c>
      <c r="BE2028" s="1">
        <v>0</v>
      </c>
      <c r="BF2028" s="1">
        <v>0</v>
      </c>
      <c r="BG2028" s="1">
        <v>0</v>
      </c>
      <c r="BH2028" s="1">
        <v>0</v>
      </c>
      <c r="BI2028" s="1">
        <v>0</v>
      </c>
      <c r="BJ2028" s="1">
        <v>0</v>
      </c>
      <c r="BK2028" s="1">
        <v>1</v>
      </c>
      <c r="BL2028" s="1">
        <v>0</v>
      </c>
      <c r="BM2028" s="1">
        <v>0</v>
      </c>
      <c r="BN2028" s="1">
        <v>0</v>
      </c>
      <c r="BO2028" s="1">
        <v>0</v>
      </c>
      <c r="BP2028" s="1">
        <v>0</v>
      </c>
      <c r="BQ2028" s="1" t="s">
        <v>104</v>
      </c>
      <c r="BR2028" s="1">
        <v>2144</v>
      </c>
      <c r="BS2028" s="1" t="s">
        <v>104</v>
      </c>
      <c r="BX2028" s="1">
        <v>0</v>
      </c>
      <c r="BY2028" s="1" t="s">
        <v>104</v>
      </c>
      <c r="BZ2028" s="1" t="s">
        <v>104</v>
      </c>
      <c r="CA2028" s="1">
        <v>2</v>
      </c>
      <c r="CB2028" s="1" t="s">
        <v>104</v>
      </c>
      <c r="CC2028" s="1">
        <v>2</v>
      </c>
      <c r="CD2028" s="1">
        <v>2</v>
      </c>
      <c r="CE2028" s="1" t="s">
        <v>104</v>
      </c>
      <c r="CF2028" s="1" t="s">
        <v>104</v>
      </c>
      <c r="CG2028" s="1" t="s">
        <v>104</v>
      </c>
      <c r="CH2028" s="1">
        <v>3</v>
      </c>
      <c r="CJ2028" s="1">
        <v>0</v>
      </c>
      <c r="CK2028" s="1">
        <v>0</v>
      </c>
      <c r="CL2028" s="1">
        <v>0</v>
      </c>
      <c r="CM2028" s="1" t="s">
        <v>104</v>
      </c>
    </row>
    <row r="2029" spans="1:91" ht="14.25" customHeight="1" x14ac:dyDescent="0.3">
      <c r="A2029" s="1" t="s">
        <v>10718</v>
      </c>
      <c r="B2029" s="1" t="s">
        <v>137</v>
      </c>
      <c r="E2029" s="1" t="s">
        <v>10719</v>
      </c>
      <c r="F2029" s="1" t="s">
        <v>341</v>
      </c>
      <c r="G2029" s="1" t="s">
        <v>10720</v>
      </c>
      <c r="H2029" s="1">
        <v>1</v>
      </c>
      <c r="I2029" s="1" t="s">
        <v>128</v>
      </c>
      <c r="L2029" s="1" t="s">
        <v>10721</v>
      </c>
      <c r="M2029" s="1" t="s">
        <v>119</v>
      </c>
      <c r="N2029" s="1">
        <v>0</v>
      </c>
      <c r="O2029" s="1">
        <v>0</v>
      </c>
      <c r="P2029" s="1" t="s">
        <v>211</v>
      </c>
      <c r="Q2029" s="1" t="s">
        <v>101</v>
      </c>
      <c r="R2029" s="1" t="s">
        <v>10722</v>
      </c>
      <c r="S2029" s="1" t="s">
        <v>10570</v>
      </c>
      <c r="T2029" s="1">
        <v>1</v>
      </c>
      <c r="U2029" s="1">
        <v>1</v>
      </c>
      <c r="V2029" s="1">
        <v>1</v>
      </c>
      <c r="W2029" s="1">
        <v>0</v>
      </c>
      <c r="X2029" s="1">
        <v>1</v>
      </c>
      <c r="Y2029" s="1">
        <v>7</v>
      </c>
      <c r="Z2029" s="1">
        <v>7</v>
      </c>
      <c r="AA2029" s="1">
        <v>7</v>
      </c>
      <c r="AB2029" s="1" t="s">
        <v>104</v>
      </c>
      <c r="AC2029" s="1" t="s">
        <v>104</v>
      </c>
      <c r="AD2029" s="1" t="s">
        <v>104</v>
      </c>
      <c r="AE2029" s="1" t="s">
        <v>104</v>
      </c>
      <c r="AF2029" s="1" t="s">
        <v>104</v>
      </c>
      <c r="AG2029" s="1" t="s">
        <v>104</v>
      </c>
      <c r="AH2029" s="1" t="s">
        <v>104</v>
      </c>
      <c r="AI2029" s="1" t="s">
        <v>104</v>
      </c>
      <c r="AJ2029" s="1">
        <v>7</v>
      </c>
      <c r="AK2029" s="1" t="s">
        <v>104</v>
      </c>
      <c r="AL2029" s="1" t="s">
        <v>104</v>
      </c>
      <c r="AM2029" s="1" t="s">
        <v>104</v>
      </c>
      <c r="AO2029" s="1">
        <v>7</v>
      </c>
      <c r="AQ2029" s="1" t="s">
        <v>10723</v>
      </c>
      <c r="AR2029" s="1">
        <v>0</v>
      </c>
      <c r="AS2029" s="1">
        <v>0</v>
      </c>
      <c r="AT2029" s="1">
        <v>0</v>
      </c>
      <c r="AU2029" s="1">
        <v>0</v>
      </c>
      <c r="AV2029" s="1">
        <v>0</v>
      </c>
      <c r="AW2029" s="1">
        <v>0</v>
      </c>
      <c r="AX2029" s="1">
        <v>0</v>
      </c>
      <c r="AY2029" s="1">
        <v>0</v>
      </c>
      <c r="AZ2029" s="1">
        <v>0</v>
      </c>
      <c r="BA2029" s="1">
        <v>0</v>
      </c>
      <c r="BB2029" s="1">
        <v>0</v>
      </c>
      <c r="BC2029" s="1">
        <v>0</v>
      </c>
      <c r="BD2029" s="1">
        <v>0</v>
      </c>
      <c r="BE2029" s="1">
        <v>0</v>
      </c>
      <c r="BF2029" s="1">
        <v>0</v>
      </c>
      <c r="BG2029" s="1">
        <v>0</v>
      </c>
      <c r="BH2029" s="1">
        <v>0</v>
      </c>
      <c r="BI2029" s="1">
        <v>0</v>
      </c>
      <c r="BJ2029" s="1">
        <v>0</v>
      </c>
      <c r="BK2029" s="1">
        <v>0</v>
      </c>
      <c r="BL2029" s="1">
        <v>0</v>
      </c>
      <c r="BM2029" s="1">
        <v>0</v>
      </c>
      <c r="BN2029" s="1">
        <v>0</v>
      </c>
      <c r="BO2029" s="1">
        <v>0</v>
      </c>
      <c r="BP2029" s="1">
        <v>0</v>
      </c>
      <c r="BQ2029" s="1" t="s">
        <v>104</v>
      </c>
      <c r="BR2029" s="1">
        <v>2145</v>
      </c>
      <c r="BS2029" s="1">
        <v>2000</v>
      </c>
      <c r="BX2029" s="1">
        <v>0</v>
      </c>
      <c r="BY2029" s="1" t="s">
        <v>104</v>
      </c>
      <c r="BZ2029" s="1">
        <v>6</v>
      </c>
      <c r="CA2029" s="1">
        <v>6</v>
      </c>
      <c r="CB2029" s="1" t="s">
        <v>104</v>
      </c>
      <c r="CC2029" s="1" t="s">
        <v>104</v>
      </c>
      <c r="CD2029" s="1">
        <v>5</v>
      </c>
      <c r="CE2029" s="1" t="s">
        <v>104</v>
      </c>
      <c r="CF2029" s="1" t="s">
        <v>104</v>
      </c>
      <c r="CG2029" s="1" t="s">
        <v>104</v>
      </c>
      <c r="CH2029" s="1" t="s">
        <v>104</v>
      </c>
      <c r="CJ2029" s="1">
        <v>0</v>
      </c>
      <c r="CK2029" s="1">
        <v>0</v>
      </c>
      <c r="CL2029" s="1">
        <v>0</v>
      </c>
      <c r="CM2029" s="1" t="s">
        <v>104</v>
      </c>
    </row>
    <row r="2030" spans="1:91" ht="14.25" customHeight="1" x14ac:dyDescent="0.3">
      <c r="A2030" s="1" t="s">
        <v>10724</v>
      </c>
      <c r="B2030" s="1" t="s">
        <v>123</v>
      </c>
      <c r="C2030" s="1" t="s">
        <v>124</v>
      </c>
      <c r="D2030" s="1" t="s">
        <v>125</v>
      </c>
      <c r="E2030" s="1" t="s">
        <v>10725</v>
      </c>
      <c r="F2030" s="1" t="s">
        <v>95</v>
      </c>
      <c r="G2030" s="1" t="s">
        <v>116</v>
      </c>
      <c r="H2030" s="1">
        <v>0</v>
      </c>
      <c r="I2030" s="1" t="s">
        <v>117</v>
      </c>
      <c r="L2030" s="1" t="s">
        <v>1987</v>
      </c>
      <c r="M2030" s="1" t="s">
        <v>111</v>
      </c>
      <c r="N2030" s="1">
        <v>0</v>
      </c>
      <c r="O2030" s="1">
        <v>0</v>
      </c>
      <c r="P2030" s="1" t="s">
        <v>211</v>
      </c>
      <c r="Q2030" s="1" t="s">
        <v>184</v>
      </c>
      <c r="R2030" s="1" t="s">
        <v>10726</v>
      </c>
      <c r="S2030" s="1" t="s">
        <v>10570</v>
      </c>
      <c r="T2030" s="1">
        <v>1</v>
      </c>
      <c r="U2030" s="1">
        <v>1</v>
      </c>
      <c r="V2030" s="1">
        <v>0</v>
      </c>
      <c r="W2030" s="1">
        <v>0</v>
      </c>
      <c r="X2030" s="1">
        <v>0</v>
      </c>
      <c r="Y2030" s="1">
        <v>3</v>
      </c>
      <c r="Z2030" s="1">
        <v>3</v>
      </c>
      <c r="AA2030" s="1" t="s">
        <v>104</v>
      </c>
      <c r="AB2030" s="1" t="s">
        <v>104</v>
      </c>
      <c r="AC2030" s="1" t="s">
        <v>104</v>
      </c>
      <c r="AD2030" s="1">
        <v>2</v>
      </c>
      <c r="AE2030" s="1" t="s">
        <v>104</v>
      </c>
      <c r="AF2030" s="1" t="s">
        <v>104</v>
      </c>
      <c r="AG2030" s="1" t="s">
        <v>104</v>
      </c>
      <c r="AH2030" s="1">
        <v>3</v>
      </c>
      <c r="AI2030" s="1" t="s">
        <v>104</v>
      </c>
      <c r="AJ2030" s="1" t="s">
        <v>104</v>
      </c>
      <c r="AK2030" s="1" t="s">
        <v>104</v>
      </c>
      <c r="AL2030" s="1" t="s">
        <v>104</v>
      </c>
      <c r="AM2030" s="1" t="s">
        <v>104</v>
      </c>
      <c r="AO2030" s="1">
        <v>3</v>
      </c>
      <c r="AQ2030" s="1" t="s">
        <v>10727</v>
      </c>
      <c r="AR2030" s="1">
        <v>0</v>
      </c>
      <c r="AS2030" s="1">
        <v>0</v>
      </c>
      <c r="AT2030" s="1">
        <v>0</v>
      </c>
      <c r="AU2030" s="1">
        <v>0</v>
      </c>
      <c r="AV2030" s="1">
        <v>0</v>
      </c>
      <c r="AW2030" s="1">
        <v>0</v>
      </c>
      <c r="AX2030" s="1">
        <v>0</v>
      </c>
      <c r="AY2030" s="1">
        <v>0</v>
      </c>
      <c r="AZ2030" s="1">
        <v>0</v>
      </c>
      <c r="BA2030" s="1">
        <v>0</v>
      </c>
      <c r="BB2030" s="1">
        <v>0</v>
      </c>
      <c r="BC2030" s="1">
        <v>0</v>
      </c>
      <c r="BD2030" s="1">
        <v>0</v>
      </c>
      <c r="BE2030" s="1">
        <v>0</v>
      </c>
      <c r="BF2030" s="1">
        <v>0</v>
      </c>
      <c r="BG2030" s="1">
        <v>0</v>
      </c>
      <c r="BH2030" s="1">
        <v>0</v>
      </c>
      <c r="BI2030" s="1">
        <v>0</v>
      </c>
      <c r="BJ2030" s="1">
        <v>0</v>
      </c>
      <c r="BK2030" s="1">
        <v>1</v>
      </c>
      <c r="BL2030" s="1">
        <v>0</v>
      </c>
      <c r="BM2030" s="1">
        <v>0</v>
      </c>
      <c r="BN2030" s="1">
        <v>0</v>
      </c>
      <c r="BO2030" s="1">
        <v>0</v>
      </c>
      <c r="BP2030" s="1">
        <v>0</v>
      </c>
      <c r="BQ2030" s="1" t="s">
        <v>104</v>
      </c>
      <c r="BR2030" s="1">
        <v>2146</v>
      </c>
      <c r="BS2030" s="1" t="s">
        <v>104</v>
      </c>
      <c r="BX2030" s="1">
        <v>0</v>
      </c>
      <c r="BY2030" s="1" t="s">
        <v>104</v>
      </c>
      <c r="BZ2030" s="1" t="s">
        <v>104</v>
      </c>
      <c r="CA2030" s="1">
        <v>3</v>
      </c>
      <c r="CB2030" s="1" t="s">
        <v>104</v>
      </c>
      <c r="CC2030" s="1">
        <v>2</v>
      </c>
      <c r="CD2030" s="1" t="s">
        <v>104</v>
      </c>
      <c r="CE2030" s="1" t="s">
        <v>104</v>
      </c>
      <c r="CF2030" s="1" t="s">
        <v>104</v>
      </c>
      <c r="CG2030" s="1" t="s">
        <v>104</v>
      </c>
      <c r="CH2030" s="1" t="s">
        <v>104</v>
      </c>
      <c r="CJ2030" s="1">
        <v>0</v>
      </c>
      <c r="CK2030" s="1">
        <v>0</v>
      </c>
      <c r="CL2030" s="1">
        <v>0</v>
      </c>
      <c r="CM2030" s="1" t="s">
        <v>104</v>
      </c>
    </row>
    <row r="2031" spans="1:91" ht="14.25" customHeight="1" x14ac:dyDescent="0.3">
      <c r="A2031" s="1" t="s">
        <v>10728</v>
      </c>
      <c r="B2031" s="1" t="s">
        <v>92</v>
      </c>
      <c r="C2031" s="1" t="s">
        <v>93</v>
      </c>
      <c r="E2031" s="1" t="s">
        <v>10729</v>
      </c>
      <c r="F2031" s="1" t="s">
        <v>95</v>
      </c>
      <c r="G2031" s="1" t="s">
        <v>237</v>
      </c>
      <c r="H2031" s="1">
        <v>0</v>
      </c>
      <c r="I2031" s="1" t="s">
        <v>117</v>
      </c>
      <c r="K2031" s="1" t="s">
        <v>10730</v>
      </c>
      <c r="M2031" s="1" t="s">
        <v>426</v>
      </c>
      <c r="N2031" s="1">
        <v>1</v>
      </c>
      <c r="O2031" s="1">
        <v>0</v>
      </c>
      <c r="P2031" s="1" t="s">
        <v>100</v>
      </c>
      <c r="Q2031" s="1" t="s">
        <v>101</v>
      </c>
      <c r="R2031" s="1" t="s">
        <v>10731</v>
      </c>
      <c r="S2031" s="1" t="s">
        <v>10570</v>
      </c>
      <c r="T2031" s="1">
        <v>1</v>
      </c>
      <c r="U2031" s="1">
        <v>0</v>
      </c>
      <c r="V2031" s="1">
        <v>0</v>
      </c>
      <c r="W2031" s="1">
        <v>0</v>
      </c>
      <c r="X2031" s="1">
        <v>0</v>
      </c>
      <c r="Y2031" s="1">
        <v>9</v>
      </c>
      <c r="Z2031" s="1">
        <v>9</v>
      </c>
      <c r="AA2031" s="1" t="s">
        <v>104</v>
      </c>
      <c r="AB2031" s="1" t="s">
        <v>104</v>
      </c>
      <c r="AC2031" s="1" t="s">
        <v>104</v>
      </c>
      <c r="AD2031" s="1" t="s">
        <v>104</v>
      </c>
      <c r="AE2031" s="1" t="s">
        <v>104</v>
      </c>
      <c r="AF2031" s="1" t="s">
        <v>104</v>
      </c>
      <c r="AG2031" s="1" t="s">
        <v>104</v>
      </c>
      <c r="AH2031" s="1" t="s">
        <v>104</v>
      </c>
      <c r="AI2031" s="1" t="s">
        <v>104</v>
      </c>
      <c r="AJ2031" s="1" t="s">
        <v>104</v>
      </c>
      <c r="AK2031" s="1" t="s">
        <v>104</v>
      </c>
      <c r="AL2031" s="1" t="s">
        <v>104</v>
      </c>
      <c r="AM2031" s="1" t="s">
        <v>104</v>
      </c>
      <c r="AO2031" s="1">
        <v>9</v>
      </c>
      <c r="AQ2031" s="1" t="s">
        <v>10732</v>
      </c>
      <c r="AR2031" s="1">
        <v>0</v>
      </c>
      <c r="AS2031" s="1">
        <v>0</v>
      </c>
      <c r="AT2031" s="1">
        <v>0</v>
      </c>
      <c r="AU2031" s="1">
        <v>0</v>
      </c>
      <c r="AV2031" s="1">
        <v>0</v>
      </c>
      <c r="AW2031" s="1">
        <v>0</v>
      </c>
      <c r="AX2031" s="1">
        <v>0</v>
      </c>
      <c r="AY2031" s="1">
        <v>0</v>
      </c>
      <c r="AZ2031" s="1">
        <v>0</v>
      </c>
      <c r="BA2031" s="1">
        <v>0</v>
      </c>
      <c r="BB2031" s="1">
        <v>0</v>
      </c>
      <c r="BC2031" s="1">
        <v>0</v>
      </c>
      <c r="BD2031" s="1">
        <v>0</v>
      </c>
      <c r="BE2031" s="1">
        <v>0</v>
      </c>
      <c r="BF2031" s="1">
        <v>0</v>
      </c>
      <c r="BG2031" s="1">
        <v>0</v>
      </c>
      <c r="BH2031" s="1">
        <v>0</v>
      </c>
      <c r="BI2031" s="1">
        <v>0</v>
      </c>
      <c r="BJ2031" s="1">
        <v>0</v>
      </c>
      <c r="BK2031" s="1">
        <v>0</v>
      </c>
      <c r="BL2031" s="1">
        <v>0</v>
      </c>
      <c r="BM2031" s="1">
        <v>0</v>
      </c>
      <c r="BN2031" s="1">
        <v>0</v>
      </c>
      <c r="BO2031" s="1">
        <v>0</v>
      </c>
      <c r="BP2031" s="1">
        <v>0</v>
      </c>
      <c r="BQ2031" s="1" t="s">
        <v>104</v>
      </c>
      <c r="BR2031" s="1">
        <v>2147</v>
      </c>
      <c r="BS2031" s="1" t="s">
        <v>104</v>
      </c>
      <c r="BT2031" s="1" t="s">
        <v>10733</v>
      </c>
      <c r="BX2031" s="1">
        <v>0</v>
      </c>
      <c r="BY2031" s="1" t="s">
        <v>104</v>
      </c>
      <c r="BZ2031" s="1" t="s">
        <v>104</v>
      </c>
      <c r="CA2031" s="1">
        <v>8</v>
      </c>
      <c r="CB2031" s="1" t="s">
        <v>104</v>
      </c>
      <c r="CC2031" s="1" t="s">
        <v>104</v>
      </c>
      <c r="CD2031" s="1" t="s">
        <v>104</v>
      </c>
      <c r="CE2031" s="1" t="s">
        <v>104</v>
      </c>
      <c r="CF2031" s="1" t="s">
        <v>104</v>
      </c>
      <c r="CG2031" s="1" t="s">
        <v>104</v>
      </c>
      <c r="CH2031" s="1" t="s">
        <v>104</v>
      </c>
      <c r="CJ2031" s="1">
        <v>0</v>
      </c>
      <c r="CK2031" s="1">
        <v>0</v>
      </c>
      <c r="CL2031" s="1">
        <v>0</v>
      </c>
      <c r="CM2031" s="1" t="s">
        <v>104</v>
      </c>
    </row>
    <row r="2032" spans="1:91" ht="14.25" customHeight="1" x14ac:dyDescent="0.3">
      <c r="A2032" s="1" t="s">
        <v>10734</v>
      </c>
      <c r="B2032" s="1" t="s">
        <v>137</v>
      </c>
      <c r="E2032" s="1" t="s">
        <v>10735</v>
      </c>
      <c r="F2032" s="1" t="s">
        <v>1502</v>
      </c>
      <c r="G2032" s="1" t="s">
        <v>116</v>
      </c>
      <c r="H2032" s="1">
        <v>0</v>
      </c>
      <c r="I2032" s="1" t="s">
        <v>157</v>
      </c>
      <c r="L2032" s="1" t="s">
        <v>158</v>
      </c>
      <c r="M2032" s="1" t="s">
        <v>119</v>
      </c>
      <c r="N2032" s="1">
        <v>0</v>
      </c>
      <c r="O2032" s="1">
        <v>0</v>
      </c>
      <c r="P2032" s="1" t="s">
        <v>100</v>
      </c>
      <c r="Q2032" s="1" t="s">
        <v>101</v>
      </c>
      <c r="R2032" s="1" t="s">
        <v>10736</v>
      </c>
      <c r="S2032" s="1" t="s">
        <v>10570</v>
      </c>
      <c r="T2032" s="1">
        <v>1</v>
      </c>
      <c r="U2032" s="1">
        <v>1</v>
      </c>
      <c r="V2032" s="1">
        <v>0</v>
      </c>
      <c r="W2032" s="1">
        <v>0</v>
      </c>
      <c r="X2032" s="1">
        <v>0</v>
      </c>
      <c r="Y2032" s="1" t="s">
        <v>104</v>
      </c>
      <c r="Z2032" s="1" t="s">
        <v>104</v>
      </c>
      <c r="AA2032" s="1" t="s">
        <v>104</v>
      </c>
      <c r="AB2032" s="1" t="s">
        <v>104</v>
      </c>
      <c r="AC2032" s="1" t="s">
        <v>104</v>
      </c>
      <c r="AD2032" s="1" t="s">
        <v>104</v>
      </c>
      <c r="AE2032" s="1" t="s">
        <v>104</v>
      </c>
      <c r="AF2032" s="1" t="s">
        <v>104</v>
      </c>
      <c r="AG2032" s="1" t="s">
        <v>104</v>
      </c>
      <c r="AH2032" s="1" t="s">
        <v>104</v>
      </c>
      <c r="AI2032" s="1" t="s">
        <v>104</v>
      </c>
      <c r="AJ2032" s="1" t="s">
        <v>104</v>
      </c>
      <c r="AK2032" s="1" t="s">
        <v>104</v>
      </c>
      <c r="AL2032" s="1" t="s">
        <v>104</v>
      </c>
      <c r="AM2032" s="1" t="s">
        <v>104</v>
      </c>
      <c r="AO2032" s="1">
        <v>1</v>
      </c>
      <c r="AQ2032" s="1" t="s">
        <v>10737</v>
      </c>
      <c r="AR2032" s="1">
        <v>0</v>
      </c>
      <c r="AS2032" s="1">
        <v>0</v>
      </c>
      <c r="AT2032" s="1">
        <v>0</v>
      </c>
      <c r="AU2032" s="1">
        <v>0</v>
      </c>
      <c r="AV2032" s="1">
        <v>0</v>
      </c>
      <c r="AW2032" s="1">
        <v>0</v>
      </c>
      <c r="AX2032" s="1">
        <v>0</v>
      </c>
      <c r="AY2032" s="1">
        <v>0</v>
      </c>
      <c r="AZ2032" s="1">
        <v>0</v>
      </c>
      <c r="BA2032" s="1">
        <v>0</v>
      </c>
      <c r="BB2032" s="1">
        <v>0</v>
      </c>
      <c r="BC2032" s="1">
        <v>0</v>
      </c>
      <c r="BD2032" s="1">
        <v>0</v>
      </c>
      <c r="BE2032" s="1">
        <v>0</v>
      </c>
      <c r="BF2032" s="1">
        <v>0</v>
      </c>
      <c r="BG2032" s="1">
        <v>0</v>
      </c>
      <c r="BH2032" s="1">
        <v>0</v>
      </c>
      <c r="BI2032" s="1">
        <v>0</v>
      </c>
      <c r="BJ2032" s="1">
        <v>0</v>
      </c>
      <c r="BK2032" s="1">
        <v>0</v>
      </c>
      <c r="BL2032" s="1">
        <v>0</v>
      </c>
      <c r="BM2032" s="1">
        <v>0</v>
      </c>
      <c r="BN2032" s="1">
        <v>0</v>
      </c>
      <c r="BO2032" s="1">
        <v>0</v>
      </c>
      <c r="BP2032" s="1">
        <v>0</v>
      </c>
      <c r="BQ2032" s="1" t="s">
        <v>104</v>
      </c>
      <c r="BR2032" s="1">
        <v>2148</v>
      </c>
      <c r="BS2032" s="1" t="s">
        <v>104</v>
      </c>
      <c r="BX2032" s="1">
        <v>0</v>
      </c>
      <c r="BY2032" s="1" t="s">
        <v>104</v>
      </c>
      <c r="BZ2032" s="1" t="s">
        <v>104</v>
      </c>
      <c r="CA2032" s="1">
        <v>1</v>
      </c>
      <c r="CB2032" s="1" t="s">
        <v>104</v>
      </c>
      <c r="CC2032" s="1">
        <v>1</v>
      </c>
      <c r="CD2032" s="1" t="s">
        <v>104</v>
      </c>
      <c r="CE2032" s="1">
        <v>1</v>
      </c>
      <c r="CF2032" s="1" t="s">
        <v>104</v>
      </c>
      <c r="CG2032" s="1" t="s">
        <v>104</v>
      </c>
      <c r="CH2032" s="1" t="s">
        <v>104</v>
      </c>
      <c r="CJ2032" s="1">
        <v>0</v>
      </c>
      <c r="CK2032" s="1">
        <v>0</v>
      </c>
      <c r="CL2032" s="1">
        <v>0</v>
      </c>
      <c r="CM2032" s="1" t="s">
        <v>104</v>
      </c>
    </row>
    <row r="2033" spans="1:91" ht="14.25" customHeight="1" x14ac:dyDescent="0.3">
      <c r="A2033" s="1" t="s">
        <v>10738</v>
      </c>
      <c r="B2033" s="1" t="s">
        <v>137</v>
      </c>
      <c r="E2033" s="1" t="s">
        <v>10739</v>
      </c>
      <c r="F2033" s="1" t="s">
        <v>1502</v>
      </c>
      <c r="G2033" s="1" t="s">
        <v>116</v>
      </c>
      <c r="H2033" s="1">
        <v>0</v>
      </c>
      <c r="I2033" s="1" t="s">
        <v>157</v>
      </c>
      <c r="L2033" s="1" t="s">
        <v>158</v>
      </c>
      <c r="M2033" s="1" t="s">
        <v>119</v>
      </c>
      <c r="N2033" s="1">
        <v>0</v>
      </c>
      <c r="O2033" s="1">
        <v>0</v>
      </c>
      <c r="P2033" s="1" t="s">
        <v>100</v>
      </c>
      <c r="Q2033" s="1" t="s">
        <v>101</v>
      </c>
      <c r="R2033" s="1" t="s">
        <v>10740</v>
      </c>
      <c r="S2033" s="1" t="s">
        <v>10570</v>
      </c>
      <c r="T2033" s="1">
        <v>1</v>
      </c>
      <c r="U2033" s="1">
        <v>1</v>
      </c>
      <c r="V2033" s="1">
        <v>0</v>
      </c>
      <c r="W2033" s="1">
        <v>0</v>
      </c>
      <c r="X2033" s="1">
        <v>0</v>
      </c>
      <c r="Y2033" s="1" t="s">
        <v>104</v>
      </c>
      <c r="Z2033" s="1" t="s">
        <v>104</v>
      </c>
      <c r="AA2033" s="1" t="s">
        <v>104</v>
      </c>
      <c r="AB2033" s="1" t="s">
        <v>104</v>
      </c>
      <c r="AC2033" s="1" t="s">
        <v>104</v>
      </c>
      <c r="AD2033" s="1" t="s">
        <v>104</v>
      </c>
      <c r="AE2033" s="1" t="s">
        <v>104</v>
      </c>
      <c r="AF2033" s="1" t="s">
        <v>104</v>
      </c>
      <c r="AG2033" s="1" t="s">
        <v>104</v>
      </c>
      <c r="AH2033" s="1" t="s">
        <v>104</v>
      </c>
      <c r="AI2033" s="1" t="s">
        <v>104</v>
      </c>
      <c r="AJ2033" s="1" t="s">
        <v>104</v>
      </c>
      <c r="AK2033" s="1" t="s">
        <v>104</v>
      </c>
      <c r="AL2033" s="1" t="s">
        <v>104</v>
      </c>
      <c r="AM2033" s="1" t="s">
        <v>104</v>
      </c>
      <c r="AO2033" s="1">
        <v>1</v>
      </c>
      <c r="AQ2033" s="1" t="s">
        <v>10741</v>
      </c>
      <c r="AR2033" s="1">
        <v>0</v>
      </c>
      <c r="AS2033" s="1">
        <v>0</v>
      </c>
      <c r="AT2033" s="1">
        <v>0</v>
      </c>
      <c r="AU2033" s="1">
        <v>0</v>
      </c>
      <c r="AV2033" s="1">
        <v>0</v>
      </c>
      <c r="AW2033" s="1">
        <v>0</v>
      </c>
      <c r="AX2033" s="1">
        <v>0</v>
      </c>
      <c r="AY2033" s="1">
        <v>0</v>
      </c>
      <c r="AZ2033" s="1">
        <v>0</v>
      </c>
      <c r="BA2033" s="1">
        <v>0</v>
      </c>
      <c r="BB2033" s="1">
        <v>0</v>
      </c>
      <c r="BC2033" s="1">
        <v>0</v>
      </c>
      <c r="BD2033" s="1">
        <v>0</v>
      </c>
      <c r="BE2033" s="1">
        <v>0</v>
      </c>
      <c r="BF2033" s="1">
        <v>0</v>
      </c>
      <c r="BG2033" s="1">
        <v>0</v>
      </c>
      <c r="BH2033" s="1">
        <v>0</v>
      </c>
      <c r="BI2033" s="1">
        <v>0</v>
      </c>
      <c r="BJ2033" s="1">
        <v>0</v>
      </c>
      <c r="BK2033" s="1">
        <v>0</v>
      </c>
      <c r="BL2033" s="1">
        <v>0</v>
      </c>
      <c r="BM2033" s="1">
        <v>0</v>
      </c>
      <c r="BN2033" s="1">
        <v>0</v>
      </c>
      <c r="BO2033" s="1">
        <v>0</v>
      </c>
      <c r="BP2033" s="1">
        <v>0</v>
      </c>
      <c r="BQ2033" s="1" t="s">
        <v>104</v>
      </c>
      <c r="BR2033" s="1">
        <v>2149</v>
      </c>
      <c r="BS2033" s="1" t="s">
        <v>104</v>
      </c>
      <c r="BX2033" s="1">
        <v>0</v>
      </c>
      <c r="BY2033" s="1" t="s">
        <v>104</v>
      </c>
      <c r="BZ2033" s="1" t="s">
        <v>104</v>
      </c>
      <c r="CA2033" s="1">
        <v>1</v>
      </c>
      <c r="CB2033" s="1">
        <v>1</v>
      </c>
      <c r="CC2033" s="1">
        <v>1</v>
      </c>
      <c r="CD2033" s="1" t="s">
        <v>104</v>
      </c>
      <c r="CE2033" s="1">
        <v>1</v>
      </c>
      <c r="CF2033" s="1" t="s">
        <v>104</v>
      </c>
      <c r="CG2033" s="1" t="s">
        <v>104</v>
      </c>
      <c r="CH2033" s="1" t="s">
        <v>104</v>
      </c>
      <c r="CJ2033" s="1">
        <v>0</v>
      </c>
      <c r="CK2033" s="1">
        <v>0</v>
      </c>
      <c r="CL2033" s="1">
        <v>0</v>
      </c>
      <c r="CM2033" s="1" t="s">
        <v>104</v>
      </c>
    </row>
    <row r="2034" spans="1:91" ht="14.25" customHeight="1" x14ac:dyDescent="0.3">
      <c r="A2034" s="1" t="s">
        <v>10742</v>
      </c>
      <c r="B2034" s="1" t="s">
        <v>92</v>
      </c>
      <c r="C2034" s="1" t="s">
        <v>2732</v>
      </c>
      <c r="E2034" s="1" t="s">
        <v>10743</v>
      </c>
      <c r="F2034" s="1" t="s">
        <v>287</v>
      </c>
      <c r="G2034" s="1" t="s">
        <v>116</v>
      </c>
      <c r="H2034" s="1">
        <v>0</v>
      </c>
      <c r="I2034" s="1" t="s">
        <v>256</v>
      </c>
      <c r="K2034" s="1" t="s">
        <v>10744</v>
      </c>
      <c r="M2034" s="1" t="s">
        <v>210</v>
      </c>
      <c r="N2034" s="1">
        <v>0</v>
      </c>
      <c r="O2034" s="1">
        <v>0</v>
      </c>
      <c r="P2034" s="1" t="s">
        <v>418</v>
      </c>
      <c r="Q2034" s="1" t="s">
        <v>101</v>
      </c>
      <c r="R2034" s="1" t="s">
        <v>10745</v>
      </c>
      <c r="S2034" s="1" t="s">
        <v>10570</v>
      </c>
      <c r="T2034" s="1">
        <v>1</v>
      </c>
      <c r="U2034" s="1">
        <v>1</v>
      </c>
      <c r="V2034" s="1">
        <v>0</v>
      </c>
      <c r="W2034" s="1">
        <v>0</v>
      </c>
      <c r="X2034" s="1">
        <v>0</v>
      </c>
      <c r="Y2034" s="1" t="s">
        <v>104</v>
      </c>
      <c r="Z2034" s="1" t="s">
        <v>104</v>
      </c>
      <c r="AA2034" s="1">
        <v>5</v>
      </c>
      <c r="AB2034" s="1" t="s">
        <v>104</v>
      </c>
      <c r="AC2034" s="1" t="s">
        <v>104</v>
      </c>
      <c r="AD2034" s="1" t="s">
        <v>104</v>
      </c>
      <c r="AE2034" s="1" t="s">
        <v>104</v>
      </c>
      <c r="AF2034" s="1" t="s">
        <v>104</v>
      </c>
      <c r="AG2034" s="1" t="s">
        <v>104</v>
      </c>
      <c r="AH2034" s="1" t="s">
        <v>104</v>
      </c>
      <c r="AI2034" s="1" t="s">
        <v>104</v>
      </c>
      <c r="AJ2034" s="1">
        <v>5</v>
      </c>
      <c r="AK2034" s="1" t="s">
        <v>104</v>
      </c>
      <c r="AL2034" s="1" t="s">
        <v>104</v>
      </c>
      <c r="AM2034" s="1" t="s">
        <v>104</v>
      </c>
      <c r="AO2034" s="1">
        <v>5</v>
      </c>
      <c r="AQ2034" s="1" t="s">
        <v>10746</v>
      </c>
      <c r="AR2034" s="1">
        <v>0</v>
      </c>
      <c r="AS2034" s="1">
        <v>0</v>
      </c>
      <c r="AT2034" s="1">
        <v>0</v>
      </c>
      <c r="AU2034" s="1">
        <v>0</v>
      </c>
      <c r="AV2034" s="1">
        <v>0</v>
      </c>
      <c r="AW2034" s="1">
        <v>0</v>
      </c>
      <c r="AX2034" s="1">
        <v>0</v>
      </c>
      <c r="AY2034" s="1">
        <v>0</v>
      </c>
      <c r="AZ2034" s="1">
        <v>0</v>
      </c>
      <c r="BA2034" s="1">
        <v>0</v>
      </c>
      <c r="BB2034" s="1">
        <v>0</v>
      </c>
      <c r="BC2034" s="1">
        <v>0</v>
      </c>
      <c r="BD2034" s="1">
        <v>0</v>
      </c>
      <c r="BE2034" s="1">
        <v>0</v>
      </c>
      <c r="BF2034" s="1">
        <v>0</v>
      </c>
      <c r="BG2034" s="1">
        <v>0</v>
      </c>
      <c r="BH2034" s="1">
        <v>0</v>
      </c>
      <c r="BI2034" s="1">
        <v>0</v>
      </c>
      <c r="BJ2034" s="1">
        <v>0</v>
      </c>
      <c r="BK2034" s="1">
        <v>0</v>
      </c>
      <c r="BL2034" s="1">
        <v>0</v>
      </c>
      <c r="BM2034" s="1">
        <v>0</v>
      </c>
      <c r="BN2034" s="1">
        <v>0</v>
      </c>
      <c r="BO2034" s="1">
        <v>0</v>
      </c>
      <c r="BP2034" s="1">
        <v>0</v>
      </c>
      <c r="BQ2034" s="1" t="s">
        <v>104</v>
      </c>
      <c r="BR2034" s="1">
        <v>2150</v>
      </c>
      <c r="BS2034" s="1" t="s">
        <v>104</v>
      </c>
      <c r="BX2034" s="1">
        <v>0</v>
      </c>
      <c r="BY2034" s="1" t="s">
        <v>104</v>
      </c>
      <c r="BZ2034" s="1">
        <v>5</v>
      </c>
      <c r="CA2034" s="1" t="s">
        <v>104</v>
      </c>
      <c r="CB2034" s="1">
        <v>3</v>
      </c>
      <c r="CC2034" s="1" t="s">
        <v>104</v>
      </c>
      <c r="CD2034" s="1" t="s">
        <v>104</v>
      </c>
      <c r="CE2034" s="1">
        <v>5</v>
      </c>
      <c r="CF2034" s="1" t="s">
        <v>104</v>
      </c>
      <c r="CG2034" s="1" t="s">
        <v>104</v>
      </c>
      <c r="CH2034" s="1" t="s">
        <v>104</v>
      </c>
      <c r="CJ2034" s="1">
        <v>0</v>
      </c>
      <c r="CK2034" s="1">
        <v>0</v>
      </c>
      <c r="CL2034" s="1">
        <v>0</v>
      </c>
      <c r="CM2034" s="1" t="s">
        <v>104</v>
      </c>
    </row>
    <row r="2035" spans="1:91" ht="14.25" customHeight="1" x14ac:dyDescent="0.3">
      <c r="A2035" s="1" t="s">
        <v>10747</v>
      </c>
      <c r="B2035" s="1" t="s">
        <v>216</v>
      </c>
      <c r="E2035" s="1" t="s">
        <v>10748</v>
      </c>
      <c r="F2035" s="1" t="s">
        <v>95</v>
      </c>
      <c r="G2035" s="1" t="s">
        <v>116</v>
      </c>
      <c r="H2035" s="1">
        <v>0</v>
      </c>
      <c r="I2035" s="1" t="s">
        <v>117</v>
      </c>
      <c r="L2035" s="1" t="s">
        <v>10749</v>
      </c>
      <c r="M2035" s="1" t="s">
        <v>10750</v>
      </c>
      <c r="N2035" s="1">
        <v>0</v>
      </c>
      <c r="O2035" s="1">
        <v>0</v>
      </c>
      <c r="P2035" s="1" t="s">
        <v>10751</v>
      </c>
      <c r="Q2035" s="1" t="s">
        <v>184</v>
      </c>
      <c r="R2035" s="1" t="s">
        <v>10752</v>
      </c>
      <c r="S2035" s="1" t="s">
        <v>10570</v>
      </c>
      <c r="T2035" s="1">
        <v>1</v>
      </c>
      <c r="U2035" s="1">
        <v>1</v>
      </c>
      <c r="V2035" s="1">
        <v>0</v>
      </c>
      <c r="W2035" s="1">
        <v>0</v>
      </c>
      <c r="X2035" s="1">
        <v>0</v>
      </c>
      <c r="Y2035" s="1" t="s">
        <v>104</v>
      </c>
      <c r="Z2035" s="1" t="s">
        <v>104</v>
      </c>
      <c r="AA2035" s="1">
        <v>2</v>
      </c>
      <c r="AB2035" s="1" t="s">
        <v>104</v>
      </c>
      <c r="AC2035" s="1" t="s">
        <v>104</v>
      </c>
      <c r="AD2035" s="1" t="s">
        <v>104</v>
      </c>
      <c r="AE2035" s="1" t="s">
        <v>104</v>
      </c>
      <c r="AF2035" s="1" t="s">
        <v>104</v>
      </c>
      <c r="AG2035" s="1" t="s">
        <v>104</v>
      </c>
      <c r="AH2035" s="1" t="s">
        <v>104</v>
      </c>
      <c r="AI2035" s="1" t="s">
        <v>104</v>
      </c>
      <c r="AJ2035" s="1">
        <v>2</v>
      </c>
      <c r="AK2035" s="1" t="s">
        <v>104</v>
      </c>
      <c r="AL2035" s="1" t="s">
        <v>104</v>
      </c>
      <c r="AM2035" s="1" t="s">
        <v>104</v>
      </c>
      <c r="AO2035" s="1">
        <v>2</v>
      </c>
      <c r="AQ2035" s="1" t="s">
        <v>10753</v>
      </c>
      <c r="AR2035" s="1">
        <v>0</v>
      </c>
      <c r="AS2035" s="1">
        <v>0</v>
      </c>
      <c r="AT2035" s="1">
        <v>0</v>
      </c>
      <c r="AU2035" s="1">
        <v>0</v>
      </c>
      <c r="AV2035" s="1">
        <v>0</v>
      </c>
      <c r="AW2035" s="1">
        <v>0</v>
      </c>
      <c r="AX2035" s="1">
        <v>0</v>
      </c>
      <c r="AY2035" s="1">
        <v>0</v>
      </c>
      <c r="AZ2035" s="1">
        <v>0</v>
      </c>
      <c r="BA2035" s="1">
        <v>0</v>
      </c>
      <c r="BB2035" s="1">
        <v>0</v>
      </c>
      <c r="BC2035" s="1">
        <v>0</v>
      </c>
      <c r="BD2035" s="1">
        <v>0</v>
      </c>
      <c r="BE2035" s="1">
        <v>0</v>
      </c>
      <c r="BF2035" s="1">
        <v>0</v>
      </c>
      <c r="BG2035" s="1">
        <v>0</v>
      </c>
      <c r="BH2035" s="1">
        <v>0</v>
      </c>
      <c r="BI2035" s="1">
        <v>0</v>
      </c>
      <c r="BJ2035" s="1">
        <v>0</v>
      </c>
      <c r="BK2035" s="1">
        <v>0</v>
      </c>
      <c r="BL2035" s="1">
        <v>0</v>
      </c>
      <c r="BM2035" s="1">
        <v>0</v>
      </c>
      <c r="BN2035" s="1">
        <v>0</v>
      </c>
      <c r="BO2035" s="1">
        <v>0</v>
      </c>
      <c r="BP2035" s="1">
        <v>0</v>
      </c>
      <c r="BQ2035" s="1" t="s">
        <v>104</v>
      </c>
      <c r="BR2035" s="1">
        <v>2151</v>
      </c>
      <c r="BS2035" s="1" t="s">
        <v>104</v>
      </c>
      <c r="BX2035" s="1">
        <v>0</v>
      </c>
      <c r="BY2035" s="1" t="s">
        <v>104</v>
      </c>
      <c r="BZ2035" s="1">
        <v>2</v>
      </c>
      <c r="CA2035" s="1" t="s">
        <v>104</v>
      </c>
      <c r="CB2035" s="1">
        <v>1</v>
      </c>
      <c r="CC2035" s="1" t="s">
        <v>104</v>
      </c>
      <c r="CD2035" s="1" t="s">
        <v>104</v>
      </c>
      <c r="CE2035" s="1">
        <v>2</v>
      </c>
      <c r="CF2035" s="1" t="s">
        <v>104</v>
      </c>
      <c r="CG2035" s="1" t="s">
        <v>104</v>
      </c>
      <c r="CH2035" s="1" t="s">
        <v>104</v>
      </c>
      <c r="CJ2035" s="1">
        <v>0</v>
      </c>
      <c r="CK2035" s="1">
        <v>0</v>
      </c>
      <c r="CL2035" s="1">
        <v>0</v>
      </c>
      <c r="CM2035" s="1" t="s">
        <v>104</v>
      </c>
    </row>
    <row r="2036" spans="1:91" ht="14.25" customHeight="1" x14ac:dyDescent="0.3">
      <c r="A2036" s="1" t="s">
        <v>10754</v>
      </c>
      <c r="B2036" s="1" t="s">
        <v>216</v>
      </c>
      <c r="E2036" s="1" t="s">
        <v>10755</v>
      </c>
      <c r="F2036" s="1" t="s">
        <v>95</v>
      </c>
      <c r="G2036" s="1" t="s">
        <v>1802</v>
      </c>
      <c r="H2036" s="1">
        <v>0</v>
      </c>
      <c r="I2036" s="1" t="s">
        <v>128</v>
      </c>
      <c r="L2036" s="1" t="s">
        <v>4274</v>
      </c>
      <c r="M2036" s="1" t="s">
        <v>620</v>
      </c>
      <c r="N2036" s="1">
        <v>1</v>
      </c>
      <c r="O2036" s="1">
        <v>0</v>
      </c>
      <c r="P2036" s="1" t="s">
        <v>100</v>
      </c>
      <c r="Q2036" s="1" t="s">
        <v>184</v>
      </c>
      <c r="R2036" s="1" t="s">
        <v>10756</v>
      </c>
      <c r="S2036" s="1" t="s">
        <v>10570</v>
      </c>
      <c r="T2036" s="1">
        <v>0</v>
      </c>
      <c r="U2036" s="1">
        <v>1</v>
      </c>
      <c r="V2036" s="1">
        <v>0</v>
      </c>
      <c r="W2036" s="1">
        <v>0</v>
      </c>
      <c r="X2036" s="1">
        <v>0</v>
      </c>
      <c r="Y2036" s="1">
        <v>3</v>
      </c>
      <c r="Z2036" s="1">
        <v>3</v>
      </c>
      <c r="AA2036" s="1">
        <v>3</v>
      </c>
      <c r="AB2036" s="1" t="s">
        <v>104</v>
      </c>
      <c r="AC2036" s="1" t="s">
        <v>104</v>
      </c>
      <c r="AD2036" s="1">
        <v>2</v>
      </c>
      <c r="AE2036" s="1" t="s">
        <v>104</v>
      </c>
      <c r="AF2036" s="1">
        <v>2</v>
      </c>
      <c r="AG2036" s="1" t="s">
        <v>104</v>
      </c>
      <c r="AH2036" s="1">
        <v>3</v>
      </c>
      <c r="AI2036" s="1" t="s">
        <v>104</v>
      </c>
      <c r="AJ2036" s="1">
        <v>3</v>
      </c>
      <c r="AK2036" s="1" t="s">
        <v>104</v>
      </c>
      <c r="AL2036" s="1" t="s">
        <v>104</v>
      </c>
      <c r="AM2036" s="1" t="s">
        <v>104</v>
      </c>
      <c r="AO2036" s="1">
        <v>3</v>
      </c>
      <c r="AQ2036" s="1" t="s">
        <v>10757</v>
      </c>
      <c r="AR2036" s="1">
        <v>0</v>
      </c>
      <c r="AS2036" s="1">
        <v>0</v>
      </c>
      <c r="AT2036" s="1">
        <v>0</v>
      </c>
      <c r="AU2036" s="1">
        <v>0</v>
      </c>
      <c r="AV2036" s="1">
        <v>0</v>
      </c>
      <c r="AW2036" s="1">
        <v>0</v>
      </c>
      <c r="AX2036" s="1">
        <v>0</v>
      </c>
      <c r="AY2036" s="1">
        <v>0</v>
      </c>
      <c r="AZ2036" s="1">
        <v>0</v>
      </c>
      <c r="BA2036" s="1">
        <v>0</v>
      </c>
      <c r="BB2036" s="1">
        <v>0</v>
      </c>
      <c r="BC2036" s="1">
        <v>0</v>
      </c>
      <c r="BD2036" s="1">
        <v>0</v>
      </c>
      <c r="BE2036" s="1">
        <v>0</v>
      </c>
      <c r="BF2036" s="1">
        <v>0</v>
      </c>
      <c r="BG2036" s="1">
        <v>0</v>
      </c>
      <c r="BH2036" s="1">
        <v>0</v>
      </c>
      <c r="BI2036" s="1">
        <v>0</v>
      </c>
      <c r="BJ2036" s="1">
        <v>0</v>
      </c>
      <c r="BK2036" s="1">
        <v>0</v>
      </c>
      <c r="BL2036" s="1">
        <v>0</v>
      </c>
      <c r="BM2036" s="1">
        <v>0</v>
      </c>
      <c r="BN2036" s="1">
        <v>0</v>
      </c>
      <c r="BO2036" s="1">
        <v>0</v>
      </c>
      <c r="BP2036" s="1">
        <v>0</v>
      </c>
      <c r="BQ2036" s="1" t="s">
        <v>104</v>
      </c>
      <c r="BR2036" s="1">
        <v>2152</v>
      </c>
      <c r="BS2036" s="1" t="s">
        <v>104</v>
      </c>
      <c r="BX2036" s="1">
        <v>0</v>
      </c>
      <c r="BY2036" s="1" t="s">
        <v>104</v>
      </c>
      <c r="BZ2036" s="1" t="s">
        <v>104</v>
      </c>
      <c r="CA2036" s="1">
        <v>3</v>
      </c>
      <c r="CB2036" s="1">
        <v>2</v>
      </c>
      <c r="CC2036" s="1">
        <v>2</v>
      </c>
      <c r="CD2036" s="1" t="s">
        <v>104</v>
      </c>
      <c r="CE2036" s="1">
        <v>2</v>
      </c>
      <c r="CF2036" s="1" t="s">
        <v>104</v>
      </c>
      <c r="CG2036" s="1" t="s">
        <v>104</v>
      </c>
      <c r="CH2036" s="1" t="s">
        <v>104</v>
      </c>
      <c r="CJ2036" s="1">
        <v>0</v>
      </c>
      <c r="CK2036" s="1">
        <v>0</v>
      </c>
      <c r="CL2036" s="1">
        <v>0</v>
      </c>
      <c r="CM2036" s="1" t="s">
        <v>104</v>
      </c>
    </row>
    <row r="2037" spans="1:91" ht="14.25" customHeight="1" x14ac:dyDescent="0.3">
      <c r="A2037" s="1" t="s">
        <v>10758</v>
      </c>
      <c r="B2037" s="1" t="s">
        <v>137</v>
      </c>
      <c r="E2037" s="1" t="s">
        <v>10759</v>
      </c>
      <c r="F2037" s="1" t="s">
        <v>287</v>
      </c>
      <c r="G2037" s="1" t="s">
        <v>116</v>
      </c>
      <c r="H2037" s="1">
        <v>0</v>
      </c>
      <c r="I2037" s="1" t="s">
        <v>128</v>
      </c>
      <c r="L2037" s="1" t="s">
        <v>983</v>
      </c>
      <c r="M2037" s="1" t="s">
        <v>298</v>
      </c>
      <c r="N2037" s="1">
        <v>0</v>
      </c>
      <c r="O2037" s="1">
        <v>0</v>
      </c>
      <c r="P2037" s="1" t="s">
        <v>195</v>
      </c>
      <c r="Q2037" s="1" t="s">
        <v>101</v>
      </c>
      <c r="R2037" s="1" t="s">
        <v>10760</v>
      </c>
      <c r="S2037" s="1" t="s">
        <v>10570</v>
      </c>
      <c r="T2037" s="1">
        <v>1</v>
      </c>
      <c r="U2037" s="1">
        <v>1</v>
      </c>
      <c r="V2037" s="1">
        <v>0</v>
      </c>
      <c r="W2037" s="1">
        <v>0</v>
      </c>
      <c r="X2037" s="1">
        <v>0</v>
      </c>
      <c r="Y2037" s="1" t="s">
        <v>104</v>
      </c>
      <c r="Z2037" s="1" t="s">
        <v>104</v>
      </c>
      <c r="AA2037" s="1" t="s">
        <v>104</v>
      </c>
      <c r="AB2037" s="1" t="s">
        <v>104</v>
      </c>
      <c r="AC2037" s="1" t="s">
        <v>104</v>
      </c>
      <c r="AD2037" s="1" t="s">
        <v>104</v>
      </c>
      <c r="AE2037" s="1" t="s">
        <v>104</v>
      </c>
      <c r="AF2037" s="1" t="s">
        <v>104</v>
      </c>
      <c r="AG2037" s="1" t="s">
        <v>104</v>
      </c>
      <c r="AH2037" s="1" t="s">
        <v>104</v>
      </c>
      <c r="AI2037" s="1" t="s">
        <v>104</v>
      </c>
      <c r="AJ2037" s="1" t="s">
        <v>104</v>
      </c>
      <c r="AK2037" s="1" t="s">
        <v>104</v>
      </c>
      <c r="AL2037" s="1" t="s">
        <v>104</v>
      </c>
      <c r="AM2037" s="1" t="s">
        <v>104</v>
      </c>
      <c r="AO2037" s="1">
        <v>1</v>
      </c>
      <c r="AQ2037" s="1" t="s">
        <v>10761</v>
      </c>
      <c r="AR2037" s="1">
        <v>0</v>
      </c>
      <c r="AS2037" s="1">
        <v>0</v>
      </c>
      <c r="AT2037" s="1">
        <v>0</v>
      </c>
      <c r="AU2037" s="1">
        <v>0</v>
      </c>
      <c r="AV2037" s="1">
        <v>0</v>
      </c>
      <c r="AW2037" s="1">
        <v>0</v>
      </c>
      <c r="AX2037" s="1">
        <v>0</v>
      </c>
      <c r="AY2037" s="1">
        <v>0</v>
      </c>
      <c r="AZ2037" s="1">
        <v>0</v>
      </c>
      <c r="BA2037" s="1">
        <v>0</v>
      </c>
      <c r="BB2037" s="1">
        <v>0</v>
      </c>
      <c r="BC2037" s="1">
        <v>0</v>
      </c>
      <c r="BD2037" s="1">
        <v>0</v>
      </c>
      <c r="BE2037" s="1">
        <v>0</v>
      </c>
      <c r="BF2037" s="1">
        <v>0</v>
      </c>
      <c r="BG2037" s="1">
        <v>0</v>
      </c>
      <c r="BH2037" s="1">
        <v>0</v>
      </c>
      <c r="BI2037" s="1">
        <v>0</v>
      </c>
      <c r="BJ2037" s="1">
        <v>0</v>
      </c>
      <c r="BK2037" s="1">
        <v>0</v>
      </c>
      <c r="BL2037" s="1">
        <v>0</v>
      </c>
      <c r="BM2037" s="1">
        <v>0</v>
      </c>
      <c r="BN2037" s="1">
        <v>0</v>
      </c>
      <c r="BO2037" s="1">
        <v>0</v>
      </c>
      <c r="BP2037" s="1">
        <v>0</v>
      </c>
      <c r="BQ2037" s="1" t="s">
        <v>104</v>
      </c>
      <c r="BR2037" s="1">
        <v>2153</v>
      </c>
      <c r="BS2037" s="1" t="s">
        <v>104</v>
      </c>
      <c r="BX2037" s="1">
        <v>0</v>
      </c>
      <c r="BY2037" s="1" t="s">
        <v>104</v>
      </c>
      <c r="BZ2037" s="1" t="s">
        <v>104</v>
      </c>
      <c r="CA2037" s="1">
        <v>1</v>
      </c>
      <c r="CB2037" s="1">
        <v>1</v>
      </c>
      <c r="CC2037" s="1">
        <v>1</v>
      </c>
      <c r="CD2037" s="1">
        <v>1</v>
      </c>
      <c r="CE2037" s="1">
        <v>1</v>
      </c>
      <c r="CF2037" s="1" t="s">
        <v>104</v>
      </c>
      <c r="CG2037" s="1" t="s">
        <v>104</v>
      </c>
      <c r="CH2037" s="1" t="s">
        <v>104</v>
      </c>
      <c r="CJ2037" s="1">
        <v>0</v>
      </c>
      <c r="CK2037" s="1">
        <v>0</v>
      </c>
      <c r="CL2037" s="1">
        <v>0</v>
      </c>
      <c r="CM2037" s="1" t="s">
        <v>104</v>
      </c>
    </row>
    <row r="2038" spans="1:91" ht="14.25" customHeight="1" x14ac:dyDescent="0.3">
      <c r="A2038" s="1" t="s">
        <v>10762</v>
      </c>
      <c r="B2038" s="1" t="s">
        <v>123</v>
      </c>
      <c r="C2038" s="1" t="s">
        <v>124</v>
      </c>
      <c r="D2038" s="1" t="s">
        <v>125</v>
      </c>
      <c r="E2038" s="1" t="s">
        <v>10763</v>
      </c>
      <c r="F2038" s="1" t="s">
        <v>95</v>
      </c>
      <c r="G2038" s="1" t="s">
        <v>237</v>
      </c>
      <c r="H2038" s="1">
        <v>0</v>
      </c>
      <c r="I2038" s="1" t="s">
        <v>117</v>
      </c>
      <c r="L2038" s="1" t="s">
        <v>1065</v>
      </c>
      <c r="M2038" s="1" t="s">
        <v>426</v>
      </c>
      <c r="N2038" s="1">
        <v>1</v>
      </c>
      <c r="O2038" s="1">
        <v>0</v>
      </c>
      <c r="P2038" s="1" t="s">
        <v>211</v>
      </c>
      <c r="Q2038" s="1" t="s">
        <v>184</v>
      </c>
      <c r="R2038" s="1" t="s">
        <v>10764</v>
      </c>
      <c r="S2038" s="1" t="s">
        <v>10570</v>
      </c>
      <c r="T2038" s="1">
        <v>1</v>
      </c>
      <c r="U2038" s="1">
        <v>0</v>
      </c>
      <c r="V2038" s="1">
        <v>0</v>
      </c>
      <c r="W2038" s="1">
        <v>0</v>
      </c>
      <c r="X2038" s="1">
        <v>0</v>
      </c>
      <c r="Y2038" s="1" t="s">
        <v>104</v>
      </c>
      <c r="Z2038" s="1" t="s">
        <v>104</v>
      </c>
      <c r="AA2038" s="1" t="s">
        <v>104</v>
      </c>
      <c r="AB2038" s="1" t="s">
        <v>104</v>
      </c>
      <c r="AC2038" s="1" t="s">
        <v>104</v>
      </c>
      <c r="AD2038" s="1" t="s">
        <v>104</v>
      </c>
      <c r="AE2038" s="1" t="s">
        <v>104</v>
      </c>
      <c r="AF2038" s="1" t="s">
        <v>104</v>
      </c>
      <c r="AG2038" s="1" t="s">
        <v>104</v>
      </c>
      <c r="AH2038" s="1" t="s">
        <v>104</v>
      </c>
      <c r="AI2038" s="1" t="s">
        <v>104</v>
      </c>
      <c r="AJ2038" s="1" t="s">
        <v>104</v>
      </c>
      <c r="AK2038" s="1" t="s">
        <v>104</v>
      </c>
      <c r="AL2038" s="1" t="s">
        <v>104</v>
      </c>
      <c r="AM2038" s="1" t="s">
        <v>104</v>
      </c>
      <c r="AO2038" s="1" t="s">
        <v>104</v>
      </c>
      <c r="AQ2038" s="1" t="s">
        <v>10765</v>
      </c>
      <c r="AR2038" s="1">
        <v>0</v>
      </c>
      <c r="AS2038" s="1">
        <v>0</v>
      </c>
      <c r="AT2038" s="1">
        <v>0</v>
      </c>
      <c r="AU2038" s="1">
        <v>0</v>
      </c>
      <c r="AV2038" s="1">
        <v>0</v>
      </c>
      <c r="AW2038" s="1">
        <v>0</v>
      </c>
      <c r="AX2038" s="1">
        <v>0</v>
      </c>
      <c r="AY2038" s="1">
        <v>0</v>
      </c>
      <c r="AZ2038" s="1">
        <v>0</v>
      </c>
      <c r="BA2038" s="1">
        <v>0</v>
      </c>
      <c r="BB2038" s="1">
        <v>0</v>
      </c>
      <c r="BC2038" s="1">
        <v>0</v>
      </c>
      <c r="BD2038" s="1">
        <v>0</v>
      </c>
      <c r="BE2038" s="1">
        <v>0</v>
      </c>
      <c r="BF2038" s="1">
        <v>0</v>
      </c>
      <c r="BG2038" s="1">
        <v>0</v>
      </c>
      <c r="BH2038" s="1">
        <v>0</v>
      </c>
      <c r="BI2038" s="1">
        <v>0</v>
      </c>
      <c r="BJ2038" s="1">
        <v>0</v>
      </c>
      <c r="BK2038" s="1">
        <v>1</v>
      </c>
      <c r="BL2038" s="1">
        <v>0</v>
      </c>
      <c r="BM2038" s="1">
        <v>0</v>
      </c>
      <c r="BN2038" s="1">
        <v>0</v>
      </c>
      <c r="BO2038" s="1">
        <v>0</v>
      </c>
      <c r="BP2038" s="1">
        <v>0</v>
      </c>
      <c r="BQ2038" s="1" t="s">
        <v>104</v>
      </c>
      <c r="BR2038" s="1">
        <v>2154</v>
      </c>
      <c r="BS2038" s="1" t="s">
        <v>104</v>
      </c>
      <c r="BX2038" s="1">
        <v>0</v>
      </c>
      <c r="BY2038" s="1" t="s">
        <v>104</v>
      </c>
      <c r="BZ2038" s="1" t="s">
        <v>104</v>
      </c>
      <c r="CA2038" s="1">
        <v>3</v>
      </c>
      <c r="CB2038" s="1">
        <v>2</v>
      </c>
      <c r="CC2038" s="1">
        <v>2</v>
      </c>
      <c r="CD2038" s="1" t="s">
        <v>104</v>
      </c>
      <c r="CE2038" s="1" t="s">
        <v>104</v>
      </c>
      <c r="CF2038" s="1" t="s">
        <v>104</v>
      </c>
      <c r="CG2038" s="1" t="s">
        <v>104</v>
      </c>
      <c r="CH2038" s="1" t="s">
        <v>104</v>
      </c>
      <c r="CJ2038" s="1">
        <v>0</v>
      </c>
      <c r="CK2038" s="1">
        <v>0</v>
      </c>
      <c r="CL2038" s="1">
        <v>0</v>
      </c>
      <c r="CM2038" s="1" t="s">
        <v>104</v>
      </c>
    </row>
    <row r="2039" spans="1:91" ht="14.25" customHeight="1" x14ac:dyDescent="0.3">
      <c r="A2039" s="1" t="s">
        <v>10766</v>
      </c>
      <c r="B2039" s="1" t="s">
        <v>137</v>
      </c>
      <c r="E2039" s="1" t="s">
        <v>10767</v>
      </c>
      <c r="F2039" s="1" t="s">
        <v>95</v>
      </c>
      <c r="G2039" s="1" t="s">
        <v>10768</v>
      </c>
      <c r="H2039" s="1">
        <v>0</v>
      </c>
      <c r="I2039" s="1" t="s">
        <v>109</v>
      </c>
      <c r="L2039" s="1" t="s">
        <v>425</v>
      </c>
      <c r="M2039" s="1" t="s">
        <v>2330</v>
      </c>
      <c r="N2039" s="1">
        <v>0</v>
      </c>
      <c r="O2039" s="1">
        <v>0</v>
      </c>
      <c r="P2039" s="1" t="s">
        <v>100</v>
      </c>
      <c r="Q2039" s="1" t="s">
        <v>101</v>
      </c>
      <c r="R2039" s="1" t="s">
        <v>10769</v>
      </c>
      <c r="S2039" s="1" t="s">
        <v>10570</v>
      </c>
      <c r="T2039" s="1">
        <v>1</v>
      </c>
      <c r="U2039" s="1">
        <v>1</v>
      </c>
      <c r="V2039" s="1">
        <v>1</v>
      </c>
      <c r="W2039" s="1">
        <v>0</v>
      </c>
      <c r="X2039" s="1">
        <v>0</v>
      </c>
      <c r="Y2039" s="1">
        <v>5</v>
      </c>
      <c r="Z2039" s="1">
        <v>5</v>
      </c>
      <c r="AA2039" s="1" t="s">
        <v>104</v>
      </c>
      <c r="AB2039" s="1" t="s">
        <v>104</v>
      </c>
      <c r="AC2039" s="1" t="s">
        <v>104</v>
      </c>
      <c r="AD2039" s="1" t="s">
        <v>104</v>
      </c>
      <c r="AE2039" s="1" t="s">
        <v>104</v>
      </c>
      <c r="AF2039" s="1" t="s">
        <v>104</v>
      </c>
      <c r="AG2039" s="1" t="s">
        <v>104</v>
      </c>
      <c r="AH2039" s="1" t="s">
        <v>104</v>
      </c>
      <c r="AI2039" s="1" t="s">
        <v>104</v>
      </c>
      <c r="AJ2039" s="1" t="s">
        <v>104</v>
      </c>
      <c r="AK2039" s="1" t="s">
        <v>104</v>
      </c>
      <c r="AL2039" s="1" t="s">
        <v>104</v>
      </c>
      <c r="AM2039" s="1" t="s">
        <v>104</v>
      </c>
      <c r="AO2039" s="1">
        <v>5</v>
      </c>
      <c r="AQ2039" s="1" t="s">
        <v>10770</v>
      </c>
      <c r="AR2039" s="1">
        <v>0</v>
      </c>
      <c r="AS2039" s="1">
        <v>0</v>
      </c>
      <c r="AT2039" s="1">
        <v>0</v>
      </c>
      <c r="AU2039" s="1">
        <v>0</v>
      </c>
      <c r="AV2039" s="1">
        <v>0</v>
      </c>
      <c r="AW2039" s="1">
        <v>0</v>
      </c>
      <c r="AX2039" s="1">
        <v>0</v>
      </c>
      <c r="AY2039" s="1">
        <v>0</v>
      </c>
      <c r="AZ2039" s="1">
        <v>0</v>
      </c>
      <c r="BA2039" s="1">
        <v>0</v>
      </c>
      <c r="BB2039" s="1">
        <v>0</v>
      </c>
      <c r="BC2039" s="1">
        <v>0</v>
      </c>
      <c r="BD2039" s="1">
        <v>0</v>
      </c>
      <c r="BE2039" s="1">
        <v>0</v>
      </c>
      <c r="BF2039" s="1">
        <v>0</v>
      </c>
      <c r="BG2039" s="1">
        <v>0</v>
      </c>
      <c r="BH2039" s="1">
        <v>0</v>
      </c>
      <c r="BI2039" s="1">
        <v>0</v>
      </c>
      <c r="BJ2039" s="1">
        <v>0</v>
      </c>
      <c r="BK2039" s="1">
        <v>0</v>
      </c>
      <c r="BL2039" s="1">
        <v>0</v>
      </c>
      <c r="BM2039" s="1">
        <v>0</v>
      </c>
      <c r="BN2039" s="1">
        <v>0</v>
      </c>
      <c r="BO2039" s="1">
        <v>0</v>
      </c>
      <c r="BP2039" s="1">
        <v>0</v>
      </c>
      <c r="BQ2039" s="1" t="s">
        <v>104</v>
      </c>
      <c r="BR2039" s="1">
        <v>2155</v>
      </c>
      <c r="BS2039" s="1" t="s">
        <v>104</v>
      </c>
      <c r="BU2039" s="1" t="s">
        <v>10771</v>
      </c>
      <c r="BX2039" s="1">
        <v>0</v>
      </c>
      <c r="BY2039" s="1" t="s">
        <v>104</v>
      </c>
      <c r="BZ2039" s="1" t="s">
        <v>104</v>
      </c>
      <c r="CA2039" s="1">
        <v>4</v>
      </c>
      <c r="CB2039" s="1" t="s">
        <v>104</v>
      </c>
      <c r="CC2039" s="1" t="s">
        <v>104</v>
      </c>
      <c r="CD2039" s="1" t="s">
        <v>104</v>
      </c>
      <c r="CE2039" s="1">
        <v>3</v>
      </c>
      <c r="CF2039" s="1" t="s">
        <v>104</v>
      </c>
      <c r="CG2039" s="1" t="s">
        <v>104</v>
      </c>
      <c r="CH2039" s="1" t="s">
        <v>104</v>
      </c>
      <c r="CJ2039" s="1">
        <v>0</v>
      </c>
      <c r="CK2039" s="1">
        <v>0</v>
      </c>
      <c r="CL2039" s="1">
        <v>0</v>
      </c>
      <c r="CM2039" s="1" t="s">
        <v>104</v>
      </c>
    </row>
    <row r="2040" spans="1:91" ht="14.25" customHeight="1" x14ac:dyDescent="0.3">
      <c r="A2040" s="1" t="s">
        <v>10772</v>
      </c>
      <c r="B2040" s="1" t="s">
        <v>123</v>
      </c>
      <c r="C2040" s="1" t="s">
        <v>124</v>
      </c>
      <c r="D2040" s="1" t="s">
        <v>6034</v>
      </c>
      <c r="E2040" s="1" t="s">
        <v>10773</v>
      </c>
      <c r="F2040" s="1" t="s">
        <v>95</v>
      </c>
      <c r="G2040" s="1" t="s">
        <v>116</v>
      </c>
      <c r="H2040" s="1">
        <v>0</v>
      </c>
      <c r="I2040" s="1" t="s">
        <v>117</v>
      </c>
      <c r="L2040" s="1" t="s">
        <v>1065</v>
      </c>
      <c r="M2040" s="1" t="s">
        <v>111</v>
      </c>
      <c r="N2040" s="1">
        <v>0</v>
      </c>
      <c r="O2040" s="1">
        <v>0</v>
      </c>
      <c r="P2040" s="1" t="s">
        <v>375</v>
      </c>
      <c r="Q2040" s="1" t="s">
        <v>131</v>
      </c>
      <c r="R2040" s="1" t="s">
        <v>10774</v>
      </c>
      <c r="S2040" s="1" t="s">
        <v>10570</v>
      </c>
      <c r="T2040" s="1">
        <v>1</v>
      </c>
      <c r="U2040" s="1">
        <v>1</v>
      </c>
      <c r="V2040" s="1">
        <v>0</v>
      </c>
      <c r="W2040" s="1">
        <v>0</v>
      </c>
      <c r="X2040" s="1">
        <v>0</v>
      </c>
      <c r="Y2040" s="1">
        <v>3</v>
      </c>
      <c r="Z2040" s="1">
        <v>3</v>
      </c>
      <c r="AA2040" s="1">
        <v>3</v>
      </c>
      <c r="AB2040" s="1" t="s">
        <v>104</v>
      </c>
      <c r="AC2040" s="1" t="s">
        <v>104</v>
      </c>
      <c r="AD2040" s="1">
        <v>2</v>
      </c>
      <c r="AE2040" s="1" t="s">
        <v>104</v>
      </c>
      <c r="AF2040" s="1" t="s">
        <v>104</v>
      </c>
      <c r="AG2040" s="1" t="s">
        <v>104</v>
      </c>
      <c r="AH2040" s="1" t="s">
        <v>104</v>
      </c>
      <c r="AI2040" s="1">
        <v>3</v>
      </c>
      <c r="AJ2040" s="1">
        <v>3</v>
      </c>
      <c r="AK2040" s="1" t="s">
        <v>104</v>
      </c>
      <c r="AL2040" s="1" t="s">
        <v>104</v>
      </c>
      <c r="AM2040" s="1" t="s">
        <v>104</v>
      </c>
      <c r="AO2040" s="1">
        <v>3</v>
      </c>
      <c r="AQ2040" s="1" t="s">
        <v>10775</v>
      </c>
      <c r="AR2040" s="1">
        <v>0</v>
      </c>
      <c r="AS2040" s="1">
        <v>0</v>
      </c>
      <c r="AT2040" s="1">
        <v>0</v>
      </c>
      <c r="AU2040" s="1">
        <v>0</v>
      </c>
      <c r="AV2040" s="1">
        <v>0</v>
      </c>
      <c r="AW2040" s="1">
        <v>0</v>
      </c>
      <c r="AX2040" s="1">
        <v>0</v>
      </c>
      <c r="AY2040" s="1">
        <v>0</v>
      </c>
      <c r="AZ2040" s="1">
        <v>0</v>
      </c>
      <c r="BA2040" s="1">
        <v>0</v>
      </c>
      <c r="BB2040" s="1">
        <v>1</v>
      </c>
      <c r="BC2040" s="1">
        <v>0</v>
      </c>
      <c r="BD2040" s="1">
        <v>0</v>
      </c>
      <c r="BE2040" s="1">
        <v>0</v>
      </c>
      <c r="BF2040" s="1">
        <v>0</v>
      </c>
      <c r="BG2040" s="1">
        <v>0</v>
      </c>
      <c r="BH2040" s="1">
        <v>0</v>
      </c>
      <c r="BI2040" s="1">
        <v>0</v>
      </c>
      <c r="BJ2040" s="1">
        <v>0</v>
      </c>
      <c r="BK2040" s="1">
        <v>1</v>
      </c>
      <c r="BL2040" s="1">
        <v>0</v>
      </c>
      <c r="BM2040" s="1">
        <v>0</v>
      </c>
      <c r="BN2040" s="1">
        <v>0</v>
      </c>
      <c r="BO2040" s="1">
        <v>0</v>
      </c>
      <c r="BP2040" s="1">
        <v>0</v>
      </c>
      <c r="BQ2040" s="1" t="s">
        <v>104</v>
      </c>
      <c r="BR2040" s="1">
        <v>2156</v>
      </c>
      <c r="BS2040" s="1" t="s">
        <v>104</v>
      </c>
      <c r="BX2040" s="1">
        <v>0</v>
      </c>
      <c r="BY2040" s="1" t="s">
        <v>104</v>
      </c>
      <c r="BZ2040" s="1" t="s">
        <v>104</v>
      </c>
      <c r="CA2040" s="1">
        <v>3</v>
      </c>
      <c r="CB2040" s="1" t="s">
        <v>104</v>
      </c>
      <c r="CC2040" s="1" t="s">
        <v>104</v>
      </c>
      <c r="CD2040" s="1" t="s">
        <v>104</v>
      </c>
      <c r="CE2040" s="1">
        <v>3</v>
      </c>
      <c r="CF2040" s="1" t="s">
        <v>104</v>
      </c>
      <c r="CG2040" s="1" t="s">
        <v>104</v>
      </c>
      <c r="CH2040" s="1" t="s">
        <v>104</v>
      </c>
      <c r="CJ2040" s="1">
        <v>0</v>
      </c>
      <c r="CK2040" s="1">
        <v>0</v>
      </c>
      <c r="CL2040" s="1">
        <v>0</v>
      </c>
      <c r="CM2040" s="1" t="s">
        <v>104</v>
      </c>
    </row>
    <row r="2041" spans="1:91" ht="14.25" customHeight="1" x14ac:dyDescent="0.3">
      <c r="A2041" s="1" t="s">
        <v>10776</v>
      </c>
      <c r="B2041" s="1" t="s">
        <v>507</v>
      </c>
      <c r="C2041" s="1" t="s">
        <v>1308</v>
      </c>
      <c r="D2041" s="1" t="s">
        <v>125</v>
      </c>
      <c r="E2041" s="1" t="s">
        <v>10777</v>
      </c>
      <c r="F2041" s="1" t="s">
        <v>255</v>
      </c>
      <c r="G2041" s="1" t="s">
        <v>116</v>
      </c>
      <c r="H2041" s="1">
        <v>0</v>
      </c>
      <c r="I2041" s="1" t="s">
        <v>97</v>
      </c>
      <c r="L2041" s="1" t="s">
        <v>1065</v>
      </c>
      <c r="M2041" s="1" t="s">
        <v>4292</v>
      </c>
      <c r="N2041" s="1">
        <v>0</v>
      </c>
      <c r="O2041" s="1">
        <v>0</v>
      </c>
      <c r="P2041" s="1" t="s">
        <v>10778</v>
      </c>
      <c r="Q2041" s="1" t="s">
        <v>184</v>
      </c>
      <c r="R2041" s="1" t="s">
        <v>10779</v>
      </c>
      <c r="S2041" s="1" t="s">
        <v>10570</v>
      </c>
      <c r="T2041" s="1">
        <v>1</v>
      </c>
      <c r="U2041" s="1">
        <v>1</v>
      </c>
      <c r="V2041" s="1">
        <v>0</v>
      </c>
      <c r="W2041" s="1">
        <v>0</v>
      </c>
      <c r="X2041" s="1">
        <v>0</v>
      </c>
      <c r="Y2041" s="1">
        <v>5</v>
      </c>
      <c r="Z2041" s="1">
        <v>5</v>
      </c>
      <c r="AA2041" s="1" t="s">
        <v>104</v>
      </c>
      <c r="AB2041" s="1" t="s">
        <v>104</v>
      </c>
      <c r="AC2041" s="1" t="s">
        <v>104</v>
      </c>
      <c r="AD2041" s="1" t="s">
        <v>104</v>
      </c>
      <c r="AE2041" s="1" t="s">
        <v>104</v>
      </c>
      <c r="AF2041" s="1" t="s">
        <v>104</v>
      </c>
      <c r="AG2041" s="1" t="s">
        <v>104</v>
      </c>
      <c r="AH2041" s="1" t="s">
        <v>104</v>
      </c>
      <c r="AI2041" s="1" t="s">
        <v>104</v>
      </c>
      <c r="AJ2041" s="1" t="s">
        <v>104</v>
      </c>
      <c r="AK2041" s="1" t="s">
        <v>104</v>
      </c>
      <c r="AL2041" s="1" t="s">
        <v>104</v>
      </c>
      <c r="AM2041" s="1" t="s">
        <v>104</v>
      </c>
      <c r="AO2041" s="1">
        <v>5</v>
      </c>
      <c r="AQ2041" s="1" t="s">
        <v>10780</v>
      </c>
      <c r="AR2041" s="1">
        <v>0</v>
      </c>
      <c r="AS2041" s="1">
        <v>0</v>
      </c>
      <c r="AT2041" s="1">
        <v>0</v>
      </c>
      <c r="AU2041" s="1">
        <v>0</v>
      </c>
      <c r="AV2041" s="1">
        <v>0</v>
      </c>
      <c r="AW2041" s="1">
        <v>0</v>
      </c>
      <c r="AX2041" s="1">
        <v>0</v>
      </c>
      <c r="AY2041" s="1">
        <v>0</v>
      </c>
      <c r="AZ2041" s="1">
        <v>0</v>
      </c>
      <c r="BA2041" s="1">
        <v>0</v>
      </c>
      <c r="BB2041" s="1">
        <v>0</v>
      </c>
      <c r="BC2041" s="1">
        <v>0</v>
      </c>
      <c r="BD2041" s="1">
        <v>0</v>
      </c>
      <c r="BE2041" s="1">
        <v>0</v>
      </c>
      <c r="BF2041" s="1">
        <v>0</v>
      </c>
      <c r="BG2041" s="1">
        <v>0</v>
      </c>
      <c r="BH2041" s="1">
        <v>0</v>
      </c>
      <c r="BI2041" s="1">
        <v>0</v>
      </c>
      <c r="BJ2041" s="1">
        <v>0</v>
      </c>
      <c r="BK2041" s="1">
        <v>1</v>
      </c>
      <c r="BL2041" s="1">
        <v>0</v>
      </c>
      <c r="BM2041" s="1">
        <v>0</v>
      </c>
      <c r="BN2041" s="1">
        <v>0</v>
      </c>
      <c r="BO2041" s="1">
        <v>0</v>
      </c>
      <c r="BP2041" s="1">
        <v>0</v>
      </c>
      <c r="BQ2041" s="1" t="s">
        <v>104</v>
      </c>
      <c r="BR2041" s="1">
        <v>2157</v>
      </c>
      <c r="BS2041" s="1" t="s">
        <v>104</v>
      </c>
      <c r="BU2041" s="1" t="s">
        <v>10781</v>
      </c>
      <c r="BX2041" s="1">
        <v>0</v>
      </c>
      <c r="BY2041" s="1" t="s">
        <v>104</v>
      </c>
      <c r="BZ2041" s="1" t="s">
        <v>104</v>
      </c>
      <c r="CA2041" s="1">
        <v>4</v>
      </c>
      <c r="CB2041" s="1">
        <v>4</v>
      </c>
      <c r="CC2041" s="1">
        <v>4</v>
      </c>
      <c r="CD2041" s="1" t="s">
        <v>104</v>
      </c>
      <c r="CE2041" s="1" t="s">
        <v>104</v>
      </c>
      <c r="CF2041" s="1" t="s">
        <v>104</v>
      </c>
      <c r="CG2041" s="1" t="s">
        <v>104</v>
      </c>
      <c r="CH2041" s="1" t="s">
        <v>104</v>
      </c>
      <c r="CJ2041" s="1">
        <v>0</v>
      </c>
      <c r="CK2041" s="1">
        <v>0</v>
      </c>
      <c r="CL2041" s="1">
        <v>0</v>
      </c>
      <c r="CM2041" s="1" t="s">
        <v>104</v>
      </c>
    </row>
    <row r="2042" spans="1:91" ht="14.25" customHeight="1" x14ac:dyDescent="0.3">
      <c r="A2042" s="1" t="s">
        <v>10782</v>
      </c>
      <c r="B2042" s="1" t="s">
        <v>507</v>
      </c>
      <c r="C2042" s="1" t="s">
        <v>1308</v>
      </c>
      <c r="D2042" s="1" t="s">
        <v>125</v>
      </c>
      <c r="E2042" s="1" t="s">
        <v>10783</v>
      </c>
      <c r="F2042" s="1" t="s">
        <v>255</v>
      </c>
      <c r="G2042" s="1" t="s">
        <v>116</v>
      </c>
      <c r="H2042" s="1">
        <v>0</v>
      </c>
      <c r="I2042" s="1" t="s">
        <v>97</v>
      </c>
      <c r="L2042" s="1" t="s">
        <v>2509</v>
      </c>
      <c r="M2042" s="1" t="s">
        <v>194</v>
      </c>
      <c r="N2042" s="1">
        <v>0</v>
      </c>
      <c r="O2042" s="1">
        <v>0</v>
      </c>
      <c r="P2042" s="1" t="s">
        <v>10778</v>
      </c>
      <c r="Q2042" s="1" t="s">
        <v>184</v>
      </c>
      <c r="R2042" s="1" t="s">
        <v>10784</v>
      </c>
      <c r="S2042" s="1" t="s">
        <v>10570</v>
      </c>
      <c r="T2042" s="1">
        <v>1</v>
      </c>
      <c r="U2042" s="1">
        <v>1</v>
      </c>
      <c r="V2042" s="1">
        <v>0</v>
      </c>
      <c r="W2042" s="1">
        <v>0</v>
      </c>
      <c r="X2042" s="1">
        <v>0</v>
      </c>
      <c r="Y2042" s="1">
        <v>7</v>
      </c>
      <c r="Z2042" s="1">
        <v>7</v>
      </c>
      <c r="AA2042" s="1" t="s">
        <v>104</v>
      </c>
      <c r="AB2042" s="1" t="s">
        <v>104</v>
      </c>
      <c r="AC2042" s="1" t="s">
        <v>104</v>
      </c>
      <c r="AD2042" s="1" t="s">
        <v>104</v>
      </c>
      <c r="AE2042" s="1" t="s">
        <v>104</v>
      </c>
      <c r="AF2042" s="1" t="s">
        <v>104</v>
      </c>
      <c r="AG2042" s="1" t="s">
        <v>104</v>
      </c>
      <c r="AH2042" s="1" t="s">
        <v>104</v>
      </c>
      <c r="AI2042" s="1" t="s">
        <v>104</v>
      </c>
      <c r="AJ2042" s="1" t="s">
        <v>104</v>
      </c>
      <c r="AK2042" s="1" t="s">
        <v>104</v>
      </c>
      <c r="AL2042" s="1" t="s">
        <v>104</v>
      </c>
      <c r="AM2042" s="1" t="s">
        <v>104</v>
      </c>
      <c r="AO2042" s="1">
        <v>7</v>
      </c>
      <c r="AQ2042" s="1" t="s">
        <v>10785</v>
      </c>
      <c r="AR2042" s="1">
        <v>0</v>
      </c>
      <c r="AS2042" s="1">
        <v>0</v>
      </c>
      <c r="AT2042" s="1">
        <v>0</v>
      </c>
      <c r="AU2042" s="1">
        <v>0</v>
      </c>
      <c r="AV2042" s="1">
        <v>0</v>
      </c>
      <c r="AW2042" s="1">
        <v>0</v>
      </c>
      <c r="AX2042" s="1">
        <v>0</v>
      </c>
      <c r="AY2042" s="1">
        <v>0</v>
      </c>
      <c r="AZ2042" s="1">
        <v>0</v>
      </c>
      <c r="BA2042" s="1">
        <v>0</v>
      </c>
      <c r="BB2042" s="1">
        <v>0</v>
      </c>
      <c r="BC2042" s="1">
        <v>0</v>
      </c>
      <c r="BD2042" s="1">
        <v>0</v>
      </c>
      <c r="BE2042" s="1">
        <v>0</v>
      </c>
      <c r="BF2042" s="1">
        <v>0</v>
      </c>
      <c r="BG2042" s="1">
        <v>0</v>
      </c>
      <c r="BH2042" s="1">
        <v>0</v>
      </c>
      <c r="BI2042" s="1">
        <v>0</v>
      </c>
      <c r="BJ2042" s="1">
        <v>0</v>
      </c>
      <c r="BK2042" s="1">
        <v>1</v>
      </c>
      <c r="BL2042" s="1">
        <v>0</v>
      </c>
      <c r="BM2042" s="1">
        <v>0</v>
      </c>
      <c r="BN2042" s="1">
        <v>0</v>
      </c>
      <c r="BO2042" s="1">
        <v>0</v>
      </c>
      <c r="BP2042" s="1">
        <v>0</v>
      </c>
      <c r="BQ2042" s="1" t="s">
        <v>104</v>
      </c>
      <c r="BR2042" s="1">
        <v>2158</v>
      </c>
      <c r="BS2042" s="1" t="s">
        <v>104</v>
      </c>
      <c r="BU2042" s="1" t="s">
        <v>10786</v>
      </c>
      <c r="BX2042" s="1">
        <v>0</v>
      </c>
      <c r="BY2042" s="1" t="s">
        <v>104</v>
      </c>
      <c r="BZ2042" s="1" t="s">
        <v>104</v>
      </c>
      <c r="CA2042" s="1">
        <v>6</v>
      </c>
      <c r="CB2042" s="1" t="s">
        <v>104</v>
      </c>
      <c r="CC2042" s="1">
        <v>6</v>
      </c>
      <c r="CD2042" s="1" t="s">
        <v>104</v>
      </c>
      <c r="CE2042" s="1" t="s">
        <v>104</v>
      </c>
      <c r="CF2042" s="1" t="s">
        <v>104</v>
      </c>
      <c r="CG2042" s="1" t="s">
        <v>104</v>
      </c>
      <c r="CH2042" s="1" t="s">
        <v>104</v>
      </c>
      <c r="CJ2042" s="1">
        <v>0</v>
      </c>
      <c r="CK2042" s="1">
        <v>0</v>
      </c>
      <c r="CL2042" s="1">
        <v>0</v>
      </c>
      <c r="CM2042" s="1" t="s">
        <v>104</v>
      </c>
    </row>
    <row r="2043" spans="1:91" ht="14.25" customHeight="1" x14ac:dyDescent="0.3">
      <c r="A2043" s="1" t="s">
        <v>10787</v>
      </c>
      <c r="B2043" s="1" t="s">
        <v>507</v>
      </c>
      <c r="C2043" s="1" t="s">
        <v>508</v>
      </c>
      <c r="E2043" s="1" t="s">
        <v>10788</v>
      </c>
      <c r="F2043" s="1" t="s">
        <v>95</v>
      </c>
      <c r="G2043" s="1" t="s">
        <v>237</v>
      </c>
      <c r="H2043" s="1">
        <v>0</v>
      </c>
      <c r="I2043" s="1" t="s">
        <v>4350</v>
      </c>
      <c r="L2043" s="1" t="s">
        <v>10789</v>
      </c>
      <c r="M2043" s="1" t="s">
        <v>194</v>
      </c>
      <c r="N2043" s="1">
        <v>0</v>
      </c>
      <c r="O2043" s="1">
        <v>0</v>
      </c>
      <c r="P2043" s="1" t="s">
        <v>10790</v>
      </c>
      <c r="Q2043" s="1" t="s">
        <v>101</v>
      </c>
      <c r="R2043" s="1" t="s">
        <v>10791</v>
      </c>
      <c r="S2043" s="1" t="s">
        <v>10570</v>
      </c>
      <c r="T2043" s="1">
        <v>1</v>
      </c>
      <c r="U2043" s="1">
        <v>0</v>
      </c>
      <c r="V2043" s="1">
        <v>0</v>
      </c>
      <c r="W2043" s="1">
        <v>0</v>
      </c>
      <c r="X2043" s="1">
        <v>0</v>
      </c>
      <c r="Y2043" s="1">
        <v>1</v>
      </c>
      <c r="Z2043" s="1">
        <v>1</v>
      </c>
      <c r="AA2043" s="1" t="s">
        <v>104</v>
      </c>
      <c r="AB2043" s="1" t="s">
        <v>104</v>
      </c>
      <c r="AC2043" s="1" t="s">
        <v>104</v>
      </c>
      <c r="AD2043" s="1">
        <v>1</v>
      </c>
      <c r="AE2043" s="1" t="s">
        <v>104</v>
      </c>
      <c r="AF2043" s="1" t="s">
        <v>104</v>
      </c>
      <c r="AG2043" s="1" t="s">
        <v>104</v>
      </c>
      <c r="AH2043" s="1" t="s">
        <v>104</v>
      </c>
      <c r="AI2043" s="1" t="s">
        <v>104</v>
      </c>
      <c r="AJ2043" s="1" t="s">
        <v>104</v>
      </c>
      <c r="AK2043" s="1" t="s">
        <v>104</v>
      </c>
      <c r="AL2043" s="1" t="s">
        <v>104</v>
      </c>
      <c r="AM2043" s="1" t="s">
        <v>104</v>
      </c>
      <c r="AO2043" s="1">
        <v>1</v>
      </c>
      <c r="AQ2043" s="1" t="s">
        <v>10792</v>
      </c>
      <c r="AR2043" s="1">
        <v>0</v>
      </c>
      <c r="AS2043" s="1">
        <v>0</v>
      </c>
      <c r="AT2043" s="1">
        <v>0</v>
      </c>
      <c r="AU2043" s="1">
        <v>0</v>
      </c>
      <c r="AV2043" s="1">
        <v>0</v>
      </c>
      <c r="AW2043" s="1">
        <v>0</v>
      </c>
      <c r="AX2043" s="1">
        <v>0</v>
      </c>
      <c r="AY2043" s="1">
        <v>0</v>
      </c>
      <c r="AZ2043" s="1">
        <v>0</v>
      </c>
      <c r="BA2043" s="1">
        <v>0</v>
      </c>
      <c r="BB2043" s="1">
        <v>0</v>
      </c>
      <c r="BC2043" s="1">
        <v>0</v>
      </c>
      <c r="BD2043" s="1">
        <v>0</v>
      </c>
      <c r="BE2043" s="1">
        <v>0</v>
      </c>
      <c r="BF2043" s="1">
        <v>0</v>
      </c>
      <c r="BG2043" s="1">
        <v>0</v>
      </c>
      <c r="BH2043" s="1">
        <v>0</v>
      </c>
      <c r="BI2043" s="1">
        <v>0</v>
      </c>
      <c r="BJ2043" s="1">
        <v>0</v>
      </c>
      <c r="BK2043" s="1">
        <v>0</v>
      </c>
      <c r="BL2043" s="1">
        <v>0</v>
      </c>
      <c r="BM2043" s="1">
        <v>0</v>
      </c>
      <c r="BN2043" s="1">
        <v>0</v>
      </c>
      <c r="BO2043" s="1">
        <v>0</v>
      </c>
      <c r="BP2043" s="1">
        <v>0</v>
      </c>
      <c r="BQ2043" s="1" t="s">
        <v>104</v>
      </c>
      <c r="BR2043" s="1">
        <v>2159</v>
      </c>
      <c r="BS2043" s="1" t="s">
        <v>104</v>
      </c>
      <c r="BX2043" s="1">
        <v>0</v>
      </c>
      <c r="BY2043" s="1" t="s">
        <v>104</v>
      </c>
      <c r="BZ2043" s="1" t="s">
        <v>104</v>
      </c>
      <c r="CA2043" s="1">
        <v>1</v>
      </c>
      <c r="CB2043" s="1">
        <v>1</v>
      </c>
      <c r="CC2043" s="1">
        <v>1</v>
      </c>
      <c r="CD2043" s="1">
        <v>1</v>
      </c>
      <c r="CE2043" s="1" t="s">
        <v>104</v>
      </c>
      <c r="CF2043" s="1" t="s">
        <v>104</v>
      </c>
      <c r="CG2043" s="1" t="s">
        <v>104</v>
      </c>
      <c r="CH2043" s="1" t="s">
        <v>104</v>
      </c>
      <c r="CJ2043" s="1">
        <v>0</v>
      </c>
      <c r="CK2043" s="1">
        <v>0</v>
      </c>
      <c r="CL2043" s="1">
        <v>0</v>
      </c>
      <c r="CM2043" s="1" t="s">
        <v>104</v>
      </c>
    </row>
    <row r="2044" spans="1:91" ht="14.25" customHeight="1" x14ac:dyDescent="0.3">
      <c r="A2044" s="1" t="s">
        <v>10793</v>
      </c>
      <c r="B2044" s="1" t="s">
        <v>123</v>
      </c>
      <c r="C2044" s="1" t="s">
        <v>124</v>
      </c>
      <c r="D2044" s="1" t="s">
        <v>125</v>
      </c>
      <c r="E2044" s="1" t="s">
        <v>10794</v>
      </c>
      <c r="F2044" s="1" t="s">
        <v>95</v>
      </c>
      <c r="G2044" s="1" t="s">
        <v>237</v>
      </c>
      <c r="H2044" s="1">
        <v>0</v>
      </c>
      <c r="I2044" s="1" t="s">
        <v>109</v>
      </c>
      <c r="L2044" s="1" t="s">
        <v>1065</v>
      </c>
      <c r="M2044" s="1" t="s">
        <v>2690</v>
      </c>
      <c r="N2044" s="1">
        <v>0</v>
      </c>
      <c r="O2044" s="1">
        <v>0</v>
      </c>
      <c r="P2044" s="1" t="s">
        <v>100</v>
      </c>
      <c r="Q2044" s="1" t="s">
        <v>184</v>
      </c>
      <c r="R2044" s="1" t="s">
        <v>10795</v>
      </c>
      <c r="S2044" s="1" t="s">
        <v>10570</v>
      </c>
      <c r="T2044" s="1">
        <v>1</v>
      </c>
      <c r="U2044" s="1">
        <v>0</v>
      </c>
      <c r="V2044" s="1">
        <v>0</v>
      </c>
      <c r="W2044" s="1">
        <v>0</v>
      </c>
      <c r="X2044" s="1">
        <v>0</v>
      </c>
      <c r="Y2044" s="1">
        <v>1</v>
      </c>
      <c r="Z2044" s="1">
        <v>1</v>
      </c>
      <c r="AA2044" s="1" t="s">
        <v>104</v>
      </c>
      <c r="AB2044" s="1" t="s">
        <v>104</v>
      </c>
      <c r="AC2044" s="1" t="s">
        <v>104</v>
      </c>
      <c r="AD2044" s="1">
        <v>1</v>
      </c>
      <c r="AE2044" s="1" t="s">
        <v>104</v>
      </c>
      <c r="AF2044" s="1" t="s">
        <v>104</v>
      </c>
      <c r="AG2044" s="1" t="s">
        <v>104</v>
      </c>
      <c r="AH2044" s="1" t="s">
        <v>104</v>
      </c>
      <c r="AI2044" s="1" t="s">
        <v>104</v>
      </c>
      <c r="AJ2044" s="1" t="s">
        <v>104</v>
      </c>
      <c r="AK2044" s="1" t="s">
        <v>104</v>
      </c>
      <c r="AL2044" s="1" t="s">
        <v>104</v>
      </c>
      <c r="AM2044" s="1" t="s">
        <v>104</v>
      </c>
      <c r="AO2044" s="1">
        <v>1</v>
      </c>
      <c r="AQ2044" s="1" t="s">
        <v>10796</v>
      </c>
      <c r="AR2044" s="1">
        <v>0</v>
      </c>
      <c r="AS2044" s="1">
        <v>0</v>
      </c>
      <c r="AT2044" s="1">
        <v>0</v>
      </c>
      <c r="AU2044" s="1">
        <v>0</v>
      </c>
      <c r="AV2044" s="1">
        <v>0</v>
      </c>
      <c r="AW2044" s="1">
        <v>0</v>
      </c>
      <c r="AX2044" s="1">
        <v>0</v>
      </c>
      <c r="AY2044" s="1">
        <v>0</v>
      </c>
      <c r="AZ2044" s="1">
        <v>0</v>
      </c>
      <c r="BA2044" s="1">
        <v>0</v>
      </c>
      <c r="BB2044" s="1">
        <v>0</v>
      </c>
      <c r="BC2044" s="1">
        <v>0</v>
      </c>
      <c r="BD2044" s="1">
        <v>0</v>
      </c>
      <c r="BE2044" s="1">
        <v>0</v>
      </c>
      <c r="BF2044" s="1">
        <v>0</v>
      </c>
      <c r="BG2044" s="1">
        <v>0</v>
      </c>
      <c r="BH2044" s="1">
        <v>0</v>
      </c>
      <c r="BI2044" s="1">
        <v>0</v>
      </c>
      <c r="BJ2044" s="1">
        <v>0</v>
      </c>
      <c r="BK2044" s="1">
        <v>1</v>
      </c>
      <c r="BL2044" s="1">
        <v>0</v>
      </c>
      <c r="BM2044" s="1">
        <v>0</v>
      </c>
      <c r="BN2044" s="1">
        <v>0</v>
      </c>
      <c r="BO2044" s="1">
        <v>0</v>
      </c>
      <c r="BP2044" s="1">
        <v>0</v>
      </c>
      <c r="BQ2044" s="1" t="s">
        <v>104</v>
      </c>
      <c r="BR2044" s="1">
        <v>2160</v>
      </c>
      <c r="BS2044" s="1" t="s">
        <v>104</v>
      </c>
      <c r="BX2044" s="1">
        <v>0</v>
      </c>
      <c r="BY2044" s="1" t="s">
        <v>104</v>
      </c>
      <c r="BZ2044" s="1" t="s">
        <v>104</v>
      </c>
      <c r="CA2044" s="1">
        <v>1</v>
      </c>
      <c r="CB2044" s="1" t="s">
        <v>104</v>
      </c>
      <c r="CC2044" s="1">
        <v>1</v>
      </c>
      <c r="CD2044" s="1" t="s">
        <v>104</v>
      </c>
      <c r="CE2044" s="1" t="s">
        <v>104</v>
      </c>
      <c r="CF2044" s="1" t="s">
        <v>104</v>
      </c>
      <c r="CG2044" s="1" t="s">
        <v>104</v>
      </c>
      <c r="CH2044" s="1" t="s">
        <v>104</v>
      </c>
      <c r="CJ2044" s="1">
        <v>0</v>
      </c>
      <c r="CK2044" s="1">
        <v>0</v>
      </c>
      <c r="CL2044" s="1">
        <v>0</v>
      </c>
      <c r="CM2044" s="1" t="s">
        <v>104</v>
      </c>
    </row>
    <row r="2045" spans="1:91" ht="14.25" customHeight="1" x14ac:dyDescent="0.3">
      <c r="A2045" s="1" t="s">
        <v>10797</v>
      </c>
      <c r="B2045" s="1" t="s">
        <v>123</v>
      </c>
      <c r="C2045" s="1" t="s">
        <v>124</v>
      </c>
      <c r="D2045" s="1" t="s">
        <v>125</v>
      </c>
      <c r="E2045" s="1" t="s">
        <v>10798</v>
      </c>
      <c r="F2045" s="1" t="s">
        <v>95</v>
      </c>
      <c r="G2045" s="1" t="s">
        <v>116</v>
      </c>
      <c r="H2045" s="1">
        <v>0</v>
      </c>
      <c r="I2045" s="1" t="s">
        <v>4220</v>
      </c>
      <c r="L2045" s="1" t="s">
        <v>1065</v>
      </c>
      <c r="M2045" s="1" t="s">
        <v>10799</v>
      </c>
      <c r="N2045" s="1">
        <v>0</v>
      </c>
      <c r="O2045" s="1">
        <v>0</v>
      </c>
      <c r="P2045" s="1" t="s">
        <v>211</v>
      </c>
      <c r="Q2045" s="1" t="s">
        <v>184</v>
      </c>
      <c r="R2045" s="1" t="s">
        <v>10800</v>
      </c>
      <c r="S2045" s="1" t="s">
        <v>10570</v>
      </c>
      <c r="T2045" s="1">
        <v>1</v>
      </c>
      <c r="U2045" s="1">
        <v>1</v>
      </c>
      <c r="V2045" s="1">
        <v>0</v>
      </c>
      <c r="W2045" s="1">
        <v>0</v>
      </c>
      <c r="X2045" s="1">
        <v>0</v>
      </c>
      <c r="Y2045" s="1">
        <v>2</v>
      </c>
      <c r="Z2045" s="1">
        <v>2</v>
      </c>
      <c r="AA2045" s="1" t="s">
        <v>104</v>
      </c>
      <c r="AB2045" s="1" t="s">
        <v>104</v>
      </c>
      <c r="AC2045" s="1" t="s">
        <v>104</v>
      </c>
      <c r="AD2045" s="1">
        <v>2</v>
      </c>
      <c r="AE2045" s="1" t="s">
        <v>104</v>
      </c>
      <c r="AF2045" s="1" t="s">
        <v>104</v>
      </c>
      <c r="AG2045" s="1" t="s">
        <v>104</v>
      </c>
      <c r="AH2045" s="1">
        <v>2</v>
      </c>
      <c r="AI2045" s="1">
        <v>2</v>
      </c>
      <c r="AJ2045" s="1" t="s">
        <v>104</v>
      </c>
      <c r="AK2045" s="1">
        <v>1</v>
      </c>
      <c r="AL2045" s="1" t="s">
        <v>104</v>
      </c>
      <c r="AM2045" s="1" t="s">
        <v>104</v>
      </c>
      <c r="AO2045" s="1">
        <v>2</v>
      </c>
      <c r="AQ2045" s="1" t="s">
        <v>10801</v>
      </c>
      <c r="AR2045" s="1">
        <v>0</v>
      </c>
      <c r="AS2045" s="1">
        <v>0</v>
      </c>
      <c r="AT2045" s="1">
        <v>0</v>
      </c>
      <c r="AU2045" s="1">
        <v>0</v>
      </c>
      <c r="AV2045" s="1">
        <v>0</v>
      </c>
      <c r="AW2045" s="1">
        <v>0</v>
      </c>
      <c r="AX2045" s="1">
        <v>0</v>
      </c>
      <c r="AY2045" s="1">
        <v>0</v>
      </c>
      <c r="AZ2045" s="1">
        <v>0</v>
      </c>
      <c r="BA2045" s="1">
        <v>0</v>
      </c>
      <c r="BB2045" s="1">
        <v>0</v>
      </c>
      <c r="BC2045" s="1">
        <v>0</v>
      </c>
      <c r="BD2045" s="1">
        <v>0</v>
      </c>
      <c r="BE2045" s="1">
        <v>0</v>
      </c>
      <c r="BF2045" s="1">
        <v>0</v>
      </c>
      <c r="BG2045" s="1">
        <v>0</v>
      </c>
      <c r="BH2045" s="1">
        <v>0</v>
      </c>
      <c r="BI2045" s="1">
        <v>0</v>
      </c>
      <c r="BJ2045" s="1">
        <v>0</v>
      </c>
      <c r="BK2045" s="1">
        <v>1</v>
      </c>
      <c r="BL2045" s="1">
        <v>0</v>
      </c>
      <c r="BM2045" s="1">
        <v>0</v>
      </c>
      <c r="BN2045" s="1">
        <v>0</v>
      </c>
      <c r="BO2045" s="1">
        <v>0</v>
      </c>
      <c r="BP2045" s="1">
        <v>0</v>
      </c>
      <c r="BQ2045" s="1" t="s">
        <v>104</v>
      </c>
      <c r="BR2045" s="1">
        <v>2161</v>
      </c>
      <c r="BS2045" s="1" t="s">
        <v>104</v>
      </c>
      <c r="BX2045" s="1">
        <v>0</v>
      </c>
      <c r="BY2045" s="1" t="s">
        <v>104</v>
      </c>
      <c r="BZ2045" s="1" t="s">
        <v>104</v>
      </c>
      <c r="CA2045" s="1">
        <v>2</v>
      </c>
      <c r="CB2045" s="1" t="s">
        <v>104</v>
      </c>
      <c r="CC2045" s="1">
        <v>1</v>
      </c>
      <c r="CD2045" s="1">
        <v>2</v>
      </c>
      <c r="CE2045" s="1" t="s">
        <v>104</v>
      </c>
      <c r="CF2045" s="1" t="s">
        <v>104</v>
      </c>
      <c r="CG2045" s="1" t="s">
        <v>104</v>
      </c>
      <c r="CH2045" s="1" t="s">
        <v>104</v>
      </c>
      <c r="CJ2045" s="1">
        <v>0</v>
      </c>
      <c r="CK2045" s="1">
        <v>0</v>
      </c>
      <c r="CL2045" s="1">
        <v>0</v>
      </c>
      <c r="CM2045" s="1" t="s">
        <v>104</v>
      </c>
    </row>
    <row r="2046" spans="1:91" ht="14.25" customHeight="1" x14ac:dyDescent="0.3">
      <c r="A2046" s="1" t="s">
        <v>10802</v>
      </c>
      <c r="B2046" s="1" t="s">
        <v>172</v>
      </c>
      <c r="E2046" s="1" t="s">
        <v>10803</v>
      </c>
      <c r="F2046" s="1" t="s">
        <v>95</v>
      </c>
      <c r="G2046" s="1" t="s">
        <v>116</v>
      </c>
      <c r="H2046" s="1">
        <v>0</v>
      </c>
      <c r="I2046" s="1" t="s">
        <v>776</v>
      </c>
      <c r="J2046" s="1" t="s">
        <v>1030</v>
      </c>
      <c r="M2046" s="1" t="s">
        <v>8629</v>
      </c>
      <c r="N2046" s="1">
        <v>1</v>
      </c>
      <c r="O2046" s="1">
        <v>0</v>
      </c>
      <c r="P2046" s="1" t="s">
        <v>418</v>
      </c>
      <c r="Q2046" s="1" t="s">
        <v>101</v>
      </c>
      <c r="R2046" s="1" t="s">
        <v>10804</v>
      </c>
      <c r="S2046" s="1" t="s">
        <v>10570</v>
      </c>
      <c r="T2046" s="1">
        <v>1</v>
      </c>
      <c r="U2046" s="1">
        <v>1</v>
      </c>
      <c r="V2046" s="1">
        <v>0</v>
      </c>
      <c r="W2046" s="1">
        <v>0</v>
      </c>
      <c r="X2046" s="1">
        <v>0</v>
      </c>
      <c r="Y2046" s="1">
        <v>3</v>
      </c>
      <c r="Z2046" s="1">
        <v>3</v>
      </c>
      <c r="AA2046" s="1" t="s">
        <v>104</v>
      </c>
      <c r="AB2046" s="1" t="s">
        <v>104</v>
      </c>
      <c r="AC2046" s="1" t="s">
        <v>104</v>
      </c>
      <c r="AD2046" s="1" t="s">
        <v>104</v>
      </c>
      <c r="AE2046" s="1" t="s">
        <v>104</v>
      </c>
      <c r="AF2046" s="1" t="s">
        <v>104</v>
      </c>
      <c r="AG2046" s="1" t="s">
        <v>104</v>
      </c>
      <c r="AH2046" s="1" t="s">
        <v>104</v>
      </c>
      <c r="AI2046" s="1" t="s">
        <v>104</v>
      </c>
      <c r="AJ2046" s="1" t="s">
        <v>104</v>
      </c>
      <c r="AK2046" s="1" t="s">
        <v>104</v>
      </c>
      <c r="AL2046" s="1" t="s">
        <v>104</v>
      </c>
      <c r="AM2046" s="1" t="s">
        <v>104</v>
      </c>
      <c r="AO2046" s="1">
        <v>3</v>
      </c>
      <c r="AQ2046" s="1" t="s">
        <v>10805</v>
      </c>
      <c r="AR2046" s="1">
        <v>0</v>
      </c>
      <c r="AS2046" s="1">
        <v>0</v>
      </c>
      <c r="AT2046" s="1">
        <v>0</v>
      </c>
      <c r="AU2046" s="1">
        <v>0</v>
      </c>
      <c r="AV2046" s="1">
        <v>0</v>
      </c>
      <c r="AW2046" s="1">
        <v>0</v>
      </c>
      <c r="AX2046" s="1">
        <v>0</v>
      </c>
      <c r="AY2046" s="1">
        <v>0</v>
      </c>
      <c r="AZ2046" s="1">
        <v>0</v>
      </c>
      <c r="BA2046" s="1">
        <v>0</v>
      </c>
      <c r="BB2046" s="1">
        <v>0</v>
      </c>
      <c r="BC2046" s="1">
        <v>0</v>
      </c>
      <c r="BD2046" s="1">
        <v>0</v>
      </c>
      <c r="BE2046" s="1">
        <v>0</v>
      </c>
      <c r="BF2046" s="1">
        <v>0</v>
      </c>
      <c r="BG2046" s="1">
        <v>0</v>
      </c>
      <c r="BH2046" s="1">
        <v>0</v>
      </c>
      <c r="BI2046" s="1">
        <v>0</v>
      </c>
      <c r="BJ2046" s="1">
        <v>0</v>
      </c>
      <c r="BK2046" s="1">
        <v>0</v>
      </c>
      <c r="BL2046" s="1">
        <v>0</v>
      </c>
      <c r="BM2046" s="1">
        <v>0</v>
      </c>
      <c r="BN2046" s="1">
        <v>0</v>
      </c>
      <c r="BO2046" s="1">
        <v>0</v>
      </c>
      <c r="BP2046" s="1">
        <v>0</v>
      </c>
      <c r="BQ2046" s="1" t="s">
        <v>104</v>
      </c>
      <c r="BR2046" s="1">
        <v>2162</v>
      </c>
      <c r="BS2046" s="1" t="s">
        <v>104</v>
      </c>
      <c r="BX2046" s="1">
        <v>0</v>
      </c>
      <c r="BY2046" s="1" t="s">
        <v>104</v>
      </c>
      <c r="BZ2046" s="1" t="s">
        <v>104</v>
      </c>
      <c r="CA2046" s="1">
        <v>2</v>
      </c>
      <c r="CB2046" s="1">
        <v>2</v>
      </c>
      <c r="CC2046" s="1">
        <v>2</v>
      </c>
      <c r="CD2046" s="1" t="s">
        <v>104</v>
      </c>
      <c r="CE2046" s="1" t="s">
        <v>104</v>
      </c>
      <c r="CF2046" s="1" t="s">
        <v>104</v>
      </c>
      <c r="CG2046" s="1" t="s">
        <v>104</v>
      </c>
      <c r="CH2046" s="1" t="s">
        <v>104</v>
      </c>
      <c r="CJ2046" s="1">
        <v>0</v>
      </c>
      <c r="CK2046" s="1">
        <v>0</v>
      </c>
      <c r="CL2046" s="1">
        <v>0</v>
      </c>
      <c r="CM2046" s="1" t="s">
        <v>104</v>
      </c>
    </row>
    <row r="2047" spans="1:91" ht="14.25" customHeight="1" x14ac:dyDescent="0.3">
      <c r="A2047" s="1" t="s">
        <v>10806</v>
      </c>
      <c r="B2047" s="1" t="s">
        <v>172</v>
      </c>
      <c r="E2047" s="1" t="s">
        <v>10807</v>
      </c>
      <c r="F2047" s="1" t="s">
        <v>95</v>
      </c>
      <c r="G2047" s="1" t="s">
        <v>116</v>
      </c>
      <c r="H2047" s="1">
        <v>0</v>
      </c>
      <c r="I2047" s="1" t="s">
        <v>448</v>
      </c>
      <c r="J2047" s="1" t="s">
        <v>10808</v>
      </c>
      <c r="M2047" s="1" t="s">
        <v>119</v>
      </c>
      <c r="N2047" s="1">
        <v>0</v>
      </c>
      <c r="O2047" s="1">
        <v>0</v>
      </c>
      <c r="P2047" s="1" t="s">
        <v>100</v>
      </c>
      <c r="Q2047" s="1" t="s">
        <v>101</v>
      </c>
      <c r="R2047" s="1" t="s">
        <v>10809</v>
      </c>
      <c r="S2047" s="1" t="s">
        <v>10570</v>
      </c>
      <c r="T2047" s="1">
        <v>1</v>
      </c>
      <c r="U2047" s="1">
        <v>1</v>
      </c>
      <c r="V2047" s="1">
        <v>0</v>
      </c>
      <c r="W2047" s="1">
        <v>0</v>
      </c>
      <c r="X2047" s="1">
        <v>0</v>
      </c>
      <c r="Y2047" s="1" t="s">
        <v>104</v>
      </c>
      <c r="Z2047" s="1" t="s">
        <v>104</v>
      </c>
      <c r="AA2047" s="1" t="s">
        <v>104</v>
      </c>
      <c r="AB2047" s="1" t="s">
        <v>104</v>
      </c>
      <c r="AC2047" s="1" t="s">
        <v>104</v>
      </c>
      <c r="AD2047" s="1" t="s">
        <v>104</v>
      </c>
      <c r="AE2047" s="1" t="s">
        <v>104</v>
      </c>
      <c r="AF2047" s="1" t="s">
        <v>104</v>
      </c>
      <c r="AG2047" s="1" t="s">
        <v>104</v>
      </c>
      <c r="AH2047" s="1" t="s">
        <v>104</v>
      </c>
      <c r="AI2047" s="1" t="s">
        <v>104</v>
      </c>
      <c r="AJ2047" s="1" t="s">
        <v>104</v>
      </c>
      <c r="AK2047" s="1" t="s">
        <v>104</v>
      </c>
      <c r="AL2047" s="1" t="s">
        <v>104</v>
      </c>
      <c r="AM2047" s="1" t="s">
        <v>104</v>
      </c>
      <c r="AO2047" s="1">
        <v>0</v>
      </c>
      <c r="AQ2047" s="1" t="s">
        <v>10810</v>
      </c>
      <c r="AR2047" s="1">
        <v>0</v>
      </c>
      <c r="AS2047" s="1">
        <v>0</v>
      </c>
      <c r="AT2047" s="1">
        <v>0</v>
      </c>
      <c r="AU2047" s="1">
        <v>0</v>
      </c>
      <c r="AV2047" s="1">
        <v>0</v>
      </c>
      <c r="AW2047" s="1">
        <v>0</v>
      </c>
      <c r="AX2047" s="1">
        <v>0</v>
      </c>
      <c r="AY2047" s="1">
        <v>0</v>
      </c>
      <c r="AZ2047" s="1">
        <v>0</v>
      </c>
      <c r="BA2047" s="1">
        <v>0</v>
      </c>
      <c r="BB2047" s="1">
        <v>0</v>
      </c>
      <c r="BC2047" s="1">
        <v>0</v>
      </c>
      <c r="BD2047" s="1">
        <v>0</v>
      </c>
      <c r="BE2047" s="1">
        <v>0</v>
      </c>
      <c r="BF2047" s="1">
        <v>0</v>
      </c>
      <c r="BG2047" s="1">
        <v>0</v>
      </c>
      <c r="BH2047" s="1">
        <v>0</v>
      </c>
      <c r="BI2047" s="1">
        <v>0</v>
      </c>
      <c r="BJ2047" s="1">
        <v>0</v>
      </c>
      <c r="BK2047" s="1">
        <v>0</v>
      </c>
      <c r="BL2047" s="1">
        <v>0</v>
      </c>
      <c r="BM2047" s="1">
        <v>0</v>
      </c>
      <c r="BN2047" s="1">
        <v>0</v>
      </c>
      <c r="BO2047" s="1">
        <v>0</v>
      </c>
      <c r="BP2047" s="1">
        <v>0</v>
      </c>
      <c r="BQ2047" s="1" t="s">
        <v>104</v>
      </c>
      <c r="BR2047" s="1">
        <v>2163</v>
      </c>
      <c r="BS2047" s="1" t="s">
        <v>104</v>
      </c>
      <c r="BX2047" s="1">
        <v>0</v>
      </c>
      <c r="BY2047" s="1" t="s">
        <v>104</v>
      </c>
      <c r="BZ2047" s="1" t="s">
        <v>104</v>
      </c>
      <c r="CA2047" s="1">
        <v>0</v>
      </c>
      <c r="CB2047" s="1">
        <v>0</v>
      </c>
      <c r="CC2047" s="1">
        <v>0</v>
      </c>
      <c r="CD2047" s="1">
        <v>0</v>
      </c>
      <c r="CE2047" s="1">
        <v>0</v>
      </c>
      <c r="CF2047" s="1" t="s">
        <v>104</v>
      </c>
      <c r="CG2047" s="1" t="s">
        <v>104</v>
      </c>
      <c r="CH2047" s="1" t="s">
        <v>104</v>
      </c>
      <c r="CJ2047" s="1">
        <v>0</v>
      </c>
      <c r="CK2047" s="1">
        <v>0</v>
      </c>
      <c r="CL2047" s="1">
        <v>0</v>
      </c>
      <c r="CM2047" s="1" t="s">
        <v>104</v>
      </c>
    </row>
    <row r="2048" spans="1:91" ht="14.25" customHeight="1" x14ac:dyDescent="0.3">
      <c r="A2048" s="1" t="s">
        <v>10811</v>
      </c>
      <c r="B2048" s="1" t="s">
        <v>123</v>
      </c>
      <c r="D2048" s="1" t="s">
        <v>125</v>
      </c>
      <c r="E2048" s="1" t="s">
        <v>10568</v>
      </c>
      <c r="F2048" s="1" t="s">
        <v>95</v>
      </c>
      <c r="G2048" s="1" t="s">
        <v>237</v>
      </c>
      <c r="H2048" s="1">
        <v>0</v>
      </c>
      <c r="I2048" s="1" t="s">
        <v>157</v>
      </c>
      <c r="L2048" s="1" t="s">
        <v>158</v>
      </c>
      <c r="M2048" s="1" t="s">
        <v>191</v>
      </c>
      <c r="N2048" s="1">
        <v>0</v>
      </c>
      <c r="O2048" s="1">
        <v>0</v>
      </c>
      <c r="P2048" s="1" t="s">
        <v>100</v>
      </c>
      <c r="Q2048" s="1" t="s">
        <v>101</v>
      </c>
      <c r="R2048" s="1" t="s">
        <v>10812</v>
      </c>
      <c r="S2048" s="1" t="s">
        <v>10570</v>
      </c>
      <c r="T2048" s="1">
        <v>1</v>
      </c>
      <c r="U2048" s="1">
        <v>0</v>
      </c>
      <c r="V2048" s="1">
        <v>0</v>
      </c>
      <c r="W2048" s="1">
        <v>0</v>
      </c>
      <c r="X2048" s="1">
        <v>0</v>
      </c>
      <c r="Y2048" s="1" t="s">
        <v>104</v>
      </c>
      <c r="Z2048" s="1" t="s">
        <v>104</v>
      </c>
      <c r="AA2048" s="1" t="s">
        <v>104</v>
      </c>
      <c r="AB2048" s="1" t="s">
        <v>104</v>
      </c>
      <c r="AC2048" s="1" t="s">
        <v>104</v>
      </c>
      <c r="AD2048" s="1" t="s">
        <v>104</v>
      </c>
      <c r="AE2048" s="1" t="s">
        <v>104</v>
      </c>
      <c r="AF2048" s="1" t="s">
        <v>104</v>
      </c>
      <c r="AG2048" s="1" t="s">
        <v>104</v>
      </c>
      <c r="AH2048" s="1" t="s">
        <v>104</v>
      </c>
      <c r="AI2048" s="1" t="s">
        <v>104</v>
      </c>
      <c r="AJ2048" s="1" t="s">
        <v>104</v>
      </c>
      <c r="AK2048" s="1" t="s">
        <v>104</v>
      </c>
      <c r="AL2048" s="1" t="s">
        <v>104</v>
      </c>
      <c r="AM2048" s="1" t="s">
        <v>104</v>
      </c>
      <c r="AO2048" s="1">
        <v>9</v>
      </c>
      <c r="AQ2048" s="1" t="s">
        <v>10813</v>
      </c>
      <c r="AR2048" s="1">
        <v>0</v>
      </c>
      <c r="AS2048" s="1">
        <v>0</v>
      </c>
      <c r="AT2048" s="1">
        <v>0</v>
      </c>
      <c r="AU2048" s="1">
        <v>0</v>
      </c>
      <c r="AV2048" s="1">
        <v>0</v>
      </c>
      <c r="AW2048" s="1">
        <v>0</v>
      </c>
      <c r="AX2048" s="1">
        <v>0</v>
      </c>
      <c r="AY2048" s="1">
        <v>0</v>
      </c>
      <c r="AZ2048" s="1">
        <v>0</v>
      </c>
      <c r="BA2048" s="1">
        <v>0</v>
      </c>
      <c r="BB2048" s="1">
        <v>0</v>
      </c>
      <c r="BC2048" s="1">
        <v>0</v>
      </c>
      <c r="BD2048" s="1">
        <v>0</v>
      </c>
      <c r="BE2048" s="1">
        <v>0</v>
      </c>
      <c r="BF2048" s="1">
        <v>0</v>
      </c>
      <c r="BG2048" s="1">
        <v>0</v>
      </c>
      <c r="BH2048" s="1">
        <v>0</v>
      </c>
      <c r="BI2048" s="1">
        <v>0</v>
      </c>
      <c r="BJ2048" s="1">
        <v>0</v>
      </c>
      <c r="BK2048" s="1">
        <v>1</v>
      </c>
      <c r="BL2048" s="1">
        <v>0</v>
      </c>
      <c r="BM2048" s="1">
        <v>0</v>
      </c>
      <c r="BN2048" s="1">
        <v>0</v>
      </c>
      <c r="BO2048" s="1">
        <v>0</v>
      </c>
      <c r="BP2048" s="1">
        <v>0</v>
      </c>
      <c r="BQ2048" s="1" t="s">
        <v>104</v>
      </c>
      <c r="BR2048" s="1">
        <v>2164</v>
      </c>
      <c r="BS2048" s="1" t="s">
        <v>104</v>
      </c>
      <c r="BX2048" s="1">
        <v>0</v>
      </c>
      <c r="BY2048" s="1" t="s">
        <v>104</v>
      </c>
      <c r="BZ2048" s="1" t="s">
        <v>104</v>
      </c>
      <c r="CA2048" s="1">
        <v>9</v>
      </c>
      <c r="CB2048" s="1" t="s">
        <v>104</v>
      </c>
      <c r="CC2048" s="1" t="s">
        <v>104</v>
      </c>
      <c r="CD2048" s="1" t="s">
        <v>104</v>
      </c>
      <c r="CE2048" s="1" t="s">
        <v>104</v>
      </c>
      <c r="CF2048" s="1" t="s">
        <v>104</v>
      </c>
      <c r="CG2048" s="1" t="s">
        <v>104</v>
      </c>
      <c r="CH2048" s="1" t="s">
        <v>104</v>
      </c>
      <c r="CJ2048" s="1">
        <v>0</v>
      </c>
      <c r="CK2048" s="1">
        <v>0</v>
      </c>
      <c r="CL2048" s="1">
        <v>0</v>
      </c>
      <c r="CM2048" s="1" t="s">
        <v>104</v>
      </c>
    </row>
    <row r="2049" spans="1:91" ht="14.25" customHeight="1" x14ac:dyDescent="0.3">
      <c r="A2049" s="1" t="s">
        <v>10814</v>
      </c>
      <c r="B2049" s="1" t="s">
        <v>507</v>
      </c>
      <c r="C2049" s="1" t="s">
        <v>1308</v>
      </c>
      <c r="D2049" s="1" t="s">
        <v>125</v>
      </c>
      <c r="E2049" s="1" t="s">
        <v>10815</v>
      </c>
      <c r="F2049" s="1" t="s">
        <v>95</v>
      </c>
      <c r="G2049" s="1" t="s">
        <v>116</v>
      </c>
      <c r="H2049" s="1">
        <v>0</v>
      </c>
      <c r="I2049" s="1" t="s">
        <v>289</v>
      </c>
      <c r="L2049" s="1" t="s">
        <v>10816</v>
      </c>
      <c r="M2049" s="1" t="s">
        <v>145</v>
      </c>
      <c r="N2049" s="1">
        <v>0</v>
      </c>
      <c r="O2049" s="1">
        <v>0</v>
      </c>
      <c r="P2049" s="1" t="s">
        <v>211</v>
      </c>
      <c r="Q2049" s="1" t="s">
        <v>184</v>
      </c>
      <c r="R2049" s="1" t="s">
        <v>10817</v>
      </c>
      <c r="S2049" s="1" t="s">
        <v>10570</v>
      </c>
      <c r="T2049" s="1">
        <v>1</v>
      </c>
      <c r="U2049" s="1">
        <v>1</v>
      </c>
      <c r="V2049" s="1">
        <v>0</v>
      </c>
      <c r="W2049" s="1">
        <v>0</v>
      </c>
      <c r="X2049" s="1">
        <v>0</v>
      </c>
      <c r="Y2049" s="1">
        <v>7</v>
      </c>
      <c r="Z2049" s="1">
        <v>7</v>
      </c>
      <c r="AA2049" s="1" t="s">
        <v>104</v>
      </c>
      <c r="AB2049" s="1" t="s">
        <v>104</v>
      </c>
      <c r="AC2049" s="1" t="s">
        <v>104</v>
      </c>
      <c r="AD2049" s="1">
        <v>6</v>
      </c>
      <c r="AE2049" s="1" t="s">
        <v>104</v>
      </c>
      <c r="AF2049" s="1" t="s">
        <v>104</v>
      </c>
      <c r="AG2049" s="1" t="s">
        <v>104</v>
      </c>
      <c r="AH2049" s="1" t="s">
        <v>104</v>
      </c>
      <c r="AI2049" s="1" t="s">
        <v>104</v>
      </c>
      <c r="AJ2049" s="1" t="s">
        <v>104</v>
      </c>
      <c r="AK2049" s="1" t="s">
        <v>104</v>
      </c>
      <c r="AL2049" s="1" t="s">
        <v>104</v>
      </c>
      <c r="AM2049" s="1" t="s">
        <v>104</v>
      </c>
      <c r="AO2049" s="1">
        <v>7</v>
      </c>
      <c r="AQ2049" s="1" t="s">
        <v>10818</v>
      </c>
      <c r="AR2049" s="1">
        <v>0</v>
      </c>
      <c r="AS2049" s="1">
        <v>0</v>
      </c>
      <c r="AT2049" s="1">
        <v>0</v>
      </c>
      <c r="AU2049" s="1">
        <v>0</v>
      </c>
      <c r="AV2049" s="1">
        <v>0</v>
      </c>
      <c r="AW2049" s="1">
        <v>0</v>
      </c>
      <c r="AX2049" s="1">
        <v>0</v>
      </c>
      <c r="AY2049" s="1">
        <v>0</v>
      </c>
      <c r="AZ2049" s="1">
        <v>0</v>
      </c>
      <c r="BA2049" s="1">
        <v>0</v>
      </c>
      <c r="BB2049" s="1">
        <v>0</v>
      </c>
      <c r="BC2049" s="1">
        <v>0</v>
      </c>
      <c r="BD2049" s="1">
        <v>0</v>
      </c>
      <c r="BE2049" s="1">
        <v>0</v>
      </c>
      <c r="BF2049" s="1">
        <v>0</v>
      </c>
      <c r="BG2049" s="1">
        <v>0</v>
      </c>
      <c r="BH2049" s="1">
        <v>0</v>
      </c>
      <c r="BI2049" s="1">
        <v>0</v>
      </c>
      <c r="BJ2049" s="1">
        <v>0</v>
      </c>
      <c r="BK2049" s="1">
        <v>1</v>
      </c>
      <c r="BL2049" s="1">
        <v>0</v>
      </c>
      <c r="BM2049" s="1">
        <v>0</v>
      </c>
      <c r="BN2049" s="1">
        <v>0</v>
      </c>
      <c r="BO2049" s="1">
        <v>0</v>
      </c>
      <c r="BP2049" s="1">
        <v>0</v>
      </c>
      <c r="BQ2049" s="1" t="s">
        <v>104</v>
      </c>
      <c r="BR2049" s="1">
        <v>2165</v>
      </c>
      <c r="BS2049" s="1" t="s">
        <v>104</v>
      </c>
      <c r="BX2049" s="1">
        <v>0</v>
      </c>
      <c r="BY2049" s="1" t="s">
        <v>104</v>
      </c>
      <c r="BZ2049" s="1" t="s">
        <v>104</v>
      </c>
      <c r="CA2049" s="1">
        <v>6</v>
      </c>
      <c r="CB2049" s="1">
        <v>4</v>
      </c>
      <c r="CC2049" s="1">
        <v>5</v>
      </c>
      <c r="CD2049" s="1" t="s">
        <v>104</v>
      </c>
      <c r="CE2049" s="1" t="s">
        <v>104</v>
      </c>
      <c r="CF2049" s="1" t="s">
        <v>104</v>
      </c>
      <c r="CG2049" s="1" t="s">
        <v>104</v>
      </c>
      <c r="CH2049" s="1" t="s">
        <v>104</v>
      </c>
      <c r="CJ2049" s="1">
        <v>0</v>
      </c>
      <c r="CK2049" s="1">
        <v>0</v>
      </c>
      <c r="CL2049" s="1">
        <v>0</v>
      </c>
      <c r="CM2049" s="1" t="s">
        <v>104</v>
      </c>
    </row>
    <row r="2050" spans="1:91" ht="14.25" customHeight="1" x14ac:dyDescent="0.3">
      <c r="A2050" s="1" t="s">
        <v>10819</v>
      </c>
      <c r="B2050" s="1" t="s">
        <v>172</v>
      </c>
      <c r="D2050" s="1" t="s">
        <v>125</v>
      </c>
      <c r="E2050" s="1" t="s">
        <v>10820</v>
      </c>
      <c r="F2050" s="1" t="s">
        <v>95</v>
      </c>
      <c r="G2050" s="1" t="s">
        <v>116</v>
      </c>
      <c r="H2050" s="1">
        <v>0</v>
      </c>
      <c r="I2050" s="1" t="s">
        <v>289</v>
      </c>
      <c r="L2050" s="1" t="s">
        <v>417</v>
      </c>
      <c r="M2050" s="1" t="s">
        <v>145</v>
      </c>
      <c r="N2050" s="1">
        <v>0</v>
      </c>
      <c r="O2050" s="1">
        <v>0</v>
      </c>
      <c r="P2050" s="1" t="s">
        <v>211</v>
      </c>
      <c r="Q2050" s="1" t="s">
        <v>184</v>
      </c>
      <c r="R2050" s="1" t="s">
        <v>10821</v>
      </c>
      <c r="S2050" s="1" t="s">
        <v>10570</v>
      </c>
      <c r="T2050" s="1">
        <v>1</v>
      </c>
      <c r="U2050" s="1">
        <v>1</v>
      </c>
      <c r="V2050" s="1">
        <v>0</v>
      </c>
      <c r="W2050" s="1">
        <v>0</v>
      </c>
      <c r="X2050" s="1">
        <v>0</v>
      </c>
      <c r="Y2050" s="1">
        <v>6</v>
      </c>
      <c r="Z2050" s="1">
        <v>6</v>
      </c>
      <c r="AA2050" s="1" t="s">
        <v>104</v>
      </c>
      <c r="AB2050" s="1" t="s">
        <v>104</v>
      </c>
      <c r="AC2050" s="1" t="s">
        <v>104</v>
      </c>
      <c r="AD2050" s="1">
        <v>6</v>
      </c>
      <c r="AE2050" s="1" t="s">
        <v>104</v>
      </c>
      <c r="AF2050" s="1" t="s">
        <v>104</v>
      </c>
      <c r="AG2050" s="1" t="s">
        <v>104</v>
      </c>
      <c r="AH2050" s="1" t="s">
        <v>104</v>
      </c>
      <c r="AI2050" s="1" t="s">
        <v>104</v>
      </c>
      <c r="AJ2050" s="1" t="s">
        <v>104</v>
      </c>
      <c r="AK2050" s="1" t="s">
        <v>104</v>
      </c>
      <c r="AL2050" s="1" t="s">
        <v>104</v>
      </c>
      <c r="AM2050" s="1" t="s">
        <v>104</v>
      </c>
      <c r="AO2050" s="1">
        <v>6</v>
      </c>
      <c r="AQ2050" s="1" t="s">
        <v>10822</v>
      </c>
      <c r="AR2050" s="1">
        <v>0</v>
      </c>
      <c r="AS2050" s="1">
        <v>0</v>
      </c>
      <c r="AT2050" s="1">
        <v>0</v>
      </c>
      <c r="AU2050" s="1">
        <v>0</v>
      </c>
      <c r="AV2050" s="1">
        <v>0</v>
      </c>
      <c r="AW2050" s="1">
        <v>0</v>
      </c>
      <c r="AX2050" s="1">
        <v>0</v>
      </c>
      <c r="AY2050" s="1">
        <v>0</v>
      </c>
      <c r="AZ2050" s="1">
        <v>0</v>
      </c>
      <c r="BA2050" s="1">
        <v>0</v>
      </c>
      <c r="BB2050" s="1">
        <v>0</v>
      </c>
      <c r="BC2050" s="1">
        <v>0</v>
      </c>
      <c r="BD2050" s="1">
        <v>0</v>
      </c>
      <c r="BE2050" s="1">
        <v>0</v>
      </c>
      <c r="BF2050" s="1">
        <v>0</v>
      </c>
      <c r="BG2050" s="1">
        <v>0</v>
      </c>
      <c r="BH2050" s="1">
        <v>0</v>
      </c>
      <c r="BI2050" s="1">
        <v>0</v>
      </c>
      <c r="BJ2050" s="1">
        <v>0</v>
      </c>
      <c r="BK2050" s="1">
        <v>1</v>
      </c>
      <c r="BL2050" s="1">
        <v>0</v>
      </c>
      <c r="BM2050" s="1">
        <v>0</v>
      </c>
      <c r="BN2050" s="1">
        <v>0</v>
      </c>
      <c r="BO2050" s="1">
        <v>0</v>
      </c>
      <c r="BP2050" s="1">
        <v>0</v>
      </c>
      <c r="BQ2050" s="1" t="s">
        <v>104</v>
      </c>
      <c r="BR2050" s="1">
        <v>2166</v>
      </c>
      <c r="BS2050" s="1" t="s">
        <v>104</v>
      </c>
      <c r="BX2050" s="1">
        <v>0</v>
      </c>
      <c r="BY2050" s="1" t="s">
        <v>104</v>
      </c>
      <c r="BZ2050" s="1" t="s">
        <v>104</v>
      </c>
      <c r="CA2050" s="1">
        <v>5</v>
      </c>
      <c r="CB2050" s="1">
        <v>4</v>
      </c>
      <c r="CC2050" s="1">
        <v>5</v>
      </c>
      <c r="CD2050" s="1" t="s">
        <v>104</v>
      </c>
      <c r="CE2050" s="1" t="s">
        <v>104</v>
      </c>
      <c r="CF2050" s="1" t="s">
        <v>104</v>
      </c>
      <c r="CG2050" s="1" t="s">
        <v>104</v>
      </c>
      <c r="CH2050" s="1" t="s">
        <v>104</v>
      </c>
      <c r="CJ2050" s="1">
        <v>0</v>
      </c>
      <c r="CK2050" s="1">
        <v>0</v>
      </c>
      <c r="CL2050" s="1">
        <v>0</v>
      </c>
      <c r="CM2050" s="1" t="s">
        <v>104</v>
      </c>
    </row>
    <row r="2051" spans="1:91" ht="14.25" customHeight="1" x14ac:dyDescent="0.3">
      <c r="A2051" s="1" t="s">
        <v>10823</v>
      </c>
      <c r="B2051" s="1" t="s">
        <v>92</v>
      </c>
      <c r="C2051" s="1" t="s">
        <v>1160</v>
      </c>
      <c r="D2051" s="1" t="s">
        <v>125</v>
      </c>
      <c r="E2051" s="1" t="s">
        <v>10824</v>
      </c>
      <c r="F2051" s="1" t="s">
        <v>95</v>
      </c>
      <c r="G2051" s="1" t="s">
        <v>116</v>
      </c>
      <c r="H2051" s="1">
        <v>0</v>
      </c>
      <c r="I2051" s="1" t="s">
        <v>128</v>
      </c>
      <c r="L2051" s="1" t="s">
        <v>10825</v>
      </c>
      <c r="M2051" s="1" t="s">
        <v>620</v>
      </c>
      <c r="N2051" s="1">
        <v>1</v>
      </c>
      <c r="O2051" s="1">
        <v>0</v>
      </c>
      <c r="P2051" s="1" t="s">
        <v>211</v>
      </c>
      <c r="Q2051" s="1" t="s">
        <v>184</v>
      </c>
      <c r="R2051" s="1" t="s">
        <v>10826</v>
      </c>
      <c r="S2051" s="1" t="s">
        <v>10570</v>
      </c>
      <c r="T2051" s="1">
        <v>1</v>
      </c>
      <c r="U2051" s="1">
        <v>1</v>
      </c>
      <c r="V2051" s="1">
        <v>0</v>
      </c>
      <c r="W2051" s="1">
        <v>0</v>
      </c>
      <c r="X2051" s="1">
        <v>0</v>
      </c>
      <c r="Y2051" s="1" t="s">
        <v>104</v>
      </c>
      <c r="Z2051" s="1" t="s">
        <v>104</v>
      </c>
      <c r="AA2051" s="1" t="s">
        <v>104</v>
      </c>
      <c r="AB2051" s="1" t="s">
        <v>104</v>
      </c>
      <c r="AC2051" s="1" t="s">
        <v>104</v>
      </c>
      <c r="AD2051" s="1" t="s">
        <v>104</v>
      </c>
      <c r="AE2051" s="1" t="s">
        <v>104</v>
      </c>
      <c r="AF2051" s="1" t="s">
        <v>104</v>
      </c>
      <c r="AG2051" s="1" t="s">
        <v>104</v>
      </c>
      <c r="AH2051" s="1" t="s">
        <v>104</v>
      </c>
      <c r="AI2051" s="1" t="s">
        <v>104</v>
      </c>
      <c r="AJ2051" s="1" t="s">
        <v>104</v>
      </c>
      <c r="AK2051" s="1" t="s">
        <v>104</v>
      </c>
      <c r="AL2051" s="1" t="s">
        <v>104</v>
      </c>
      <c r="AM2051" s="1" t="s">
        <v>104</v>
      </c>
      <c r="AO2051" s="1">
        <v>6</v>
      </c>
      <c r="AQ2051" s="1" t="s">
        <v>10827</v>
      </c>
      <c r="AR2051" s="1">
        <v>0</v>
      </c>
      <c r="AS2051" s="1">
        <v>0</v>
      </c>
      <c r="AT2051" s="1">
        <v>0</v>
      </c>
      <c r="AU2051" s="1">
        <v>0</v>
      </c>
      <c r="AV2051" s="1">
        <v>0</v>
      </c>
      <c r="AW2051" s="1">
        <v>0</v>
      </c>
      <c r="AX2051" s="1">
        <v>0</v>
      </c>
      <c r="AY2051" s="1">
        <v>0</v>
      </c>
      <c r="AZ2051" s="1">
        <v>0</v>
      </c>
      <c r="BA2051" s="1">
        <v>0</v>
      </c>
      <c r="BB2051" s="1">
        <v>0</v>
      </c>
      <c r="BC2051" s="1">
        <v>0</v>
      </c>
      <c r="BD2051" s="1">
        <v>0</v>
      </c>
      <c r="BE2051" s="1">
        <v>0</v>
      </c>
      <c r="BF2051" s="1">
        <v>0</v>
      </c>
      <c r="BG2051" s="1">
        <v>0</v>
      </c>
      <c r="BH2051" s="1">
        <v>0</v>
      </c>
      <c r="BI2051" s="1">
        <v>0</v>
      </c>
      <c r="BJ2051" s="1">
        <v>0</v>
      </c>
      <c r="BK2051" s="1">
        <v>1</v>
      </c>
      <c r="BL2051" s="1">
        <v>0</v>
      </c>
      <c r="BM2051" s="1">
        <v>0</v>
      </c>
      <c r="BN2051" s="1">
        <v>0</v>
      </c>
      <c r="BO2051" s="1">
        <v>0</v>
      </c>
      <c r="BP2051" s="1">
        <v>0</v>
      </c>
      <c r="BQ2051" s="1" t="s">
        <v>104</v>
      </c>
      <c r="BR2051" s="1">
        <v>2167</v>
      </c>
      <c r="BS2051" s="1" t="s">
        <v>104</v>
      </c>
      <c r="BX2051" s="1">
        <v>0</v>
      </c>
      <c r="BY2051" s="1" t="s">
        <v>104</v>
      </c>
      <c r="BZ2051" s="1" t="s">
        <v>104</v>
      </c>
      <c r="CA2051" s="1">
        <v>6</v>
      </c>
      <c r="CB2051" s="1" t="s">
        <v>104</v>
      </c>
      <c r="CC2051" s="1">
        <v>6</v>
      </c>
      <c r="CD2051" s="1" t="s">
        <v>104</v>
      </c>
      <c r="CE2051" s="1" t="s">
        <v>104</v>
      </c>
      <c r="CF2051" s="1" t="s">
        <v>104</v>
      </c>
      <c r="CG2051" s="1" t="s">
        <v>104</v>
      </c>
      <c r="CH2051" s="1" t="s">
        <v>104</v>
      </c>
      <c r="CJ2051" s="1">
        <v>0</v>
      </c>
      <c r="CK2051" s="1">
        <v>0</v>
      </c>
      <c r="CL2051" s="1">
        <v>0</v>
      </c>
      <c r="CM2051" s="1" t="s">
        <v>104</v>
      </c>
    </row>
    <row r="2052" spans="1:91" ht="14.25" customHeight="1" x14ac:dyDescent="0.3">
      <c r="A2052" s="1" t="s">
        <v>10828</v>
      </c>
      <c r="B2052" s="1" t="s">
        <v>92</v>
      </c>
      <c r="C2052" s="1" t="s">
        <v>1160</v>
      </c>
      <c r="D2052" s="1" t="s">
        <v>125</v>
      </c>
      <c r="E2052" s="1" t="s">
        <v>10568</v>
      </c>
      <c r="F2052" s="1" t="s">
        <v>95</v>
      </c>
      <c r="G2052" s="1" t="s">
        <v>116</v>
      </c>
      <c r="H2052" s="1">
        <v>0</v>
      </c>
      <c r="I2052" s="1" t="s">
        <v>128</v>
      </c>
      <c r="L2052" s="1" t="s">
        <v>10825</v>
      </c>
      <c r="M2052" s="1" t="s">
        <v>620</v>
      </c>
      <c r="N2052" s="1">
        <v>1</v>
      </c>
      <c r="O2052" s="1">
        <v>0</v>
      </c>
      <c r="P2052" s="1" t="s">
        <v>211</v>
      </c>
      <c r="Q2052" s="1" t="s">
        <v>184</v>
      </c>
      <c r="R2052" s="1" t="s">
        <v>10829</v>
      </c>
      <c r="S2052" s="1" t="s">
        <v>10570</v>
      </c>
      <c r="T2052" s="1">
        <v>1</v>
      </c>
      <c r="U2052" s="1">
        <v>1</v>
      </c>
      <c r="V2052" s="1">
        <v>0</v>
      </c>
      <c r="W2052" s="1">
        <v>0</v>
      </c>
      <c r="X2052" s="1">
        <v>0</v>
      </c>
      <c r="Y2052" s="1" t="s">
        <v>104</v>
      </c>
      <c r="Z2052" s="1" t="s">
        <v>104</v>
      </c>
      <c r="AA2052" s="1" t="s">
        <v>104</v>
      </c>
      <c r="AB2052" s="1" t="s">
        <v>104</v>
      </c>
      <c r="AC2052" s="1" t="s">
        <v>104</v>
      </c>
      <c r="AD2052" s="1" t="s">
        <v>104</v>
      </c>
      <c r="AE2052" s="1" t="s">
        <v>104</v>
      </c>
      <c r="AF2052" s="1" t="s">
        <v>104</v>
      </c>
      <c r="AG2052" s="1" t="s">
        <v>104</v>
      </c>
      <c r="AH2052" s="1" t="s">
        <v>104</v>
      </c>
      <c r="AI2052" s="1" t="s">
        <v>104</v>
      </c>
      <c r="AJ2052" s="1" t="s">
        <v>104</v>
      </c>
      <c r="AK2052" s="1" t="s">
        <v>104</v>
      </c>
      <c r="AL2052" s="1" t="s">
        <v>104</v>
      </c>
      <c r="AM2052" s="1" t="s">
        <v>104</v>
      </c>
      <c r="AO2052" s="1">
        <v>9</v>
      </c>
      <c r="AQ2052" s="1" t="s">
        <v>10830</v>
      </c>
      <c r="AR2052" s="1">
        <v>0</v>
      </c>
      <c r="AS2052" s="1">
        <v>0</v>
      </c>
      <c r="AT2052" s="1">
        <v>0</v>
      </c>
      <c r="AU2052" s="1">
        <v>0</v>
      </c>
      <c r="AV2052" s="1">
        <v>0</v>
      </c>
      <c r="AW2052" s="1">
        <v>0</v>
      </c>
      <c r="AX2052" s="1">
        <v>0</v>
      </c>
      <c r="AY2052" s="1">
        <v>0</v>
      </c>
      <c r="AZ2052" s="1">
        <v>0</v>
      </c>
      <c r="BA2052" s="1">
        <v>0</v>
      </c>
      <c r="BB2052" s="1">
        <v>0</v>
      </c>
      <c r="BC2052" s="1">
        <v>0</v>
      </c>
      <c r="BD2052" s="1">
        <v>0</v>
      </c>
      <c r="BE2052" s="1">
        <v>0</v>
      </c>
      <c r="BF2052" s="1">
        <v>0</v>
      </c>
      <c r="BG2052" s="1">
        <v>0</v>
      </c>
      <c r="BH2052" s="1">
        <v>0</v>
      </c>
      <c r="BI2052" s="1">
        <v>0</v>
      </c>
      <c r="BJ2052" s="1">
        <v>0</v>
      </c>
      <c r="BK2052" s="1">
        <v>1</v>
      </c>
      <c r="BL2052" s="1">
        <v>0</v>
      </c>
      <c r="BM2052" s="1">
        <v>0</v>
      </c>
      <c r="BN2052" s="1">
        <v>0</v>
      </c>
      <c r="BO2052" s="1">
        <v>0</v>
      </c>
      <c r="BP2052" s="1">
        <v>0</v>
      </c>
      <c r="BQ2052" s="1" t="s">
        <v>104</v>
      </c>
      <c r="BR2052" s="1">
        <v>2168</v>
      </c>
      <c r="BS2052" s="1" t="s">
        <v>104</v>
      </c>
      <c r="BX2052" s="1">
        <v>0</v>
      </c>
      <c r="BY2052" s="1" t="s">
        <v>104</v>
      </c>
      <c r="BZ2052" s="1" t="s">
        <v>104</v>
      </c>
      <c r="CA2052" s="1">
        <v>9</v>
      </c>
      <c r="CB2052" s="1" t="s">
        <v>104</v>
      </c>
      <c r="CC2052" s="1" t="s">
        <v>104</v>
      </c>
      <c r="CD2052" s="1" t="s">
        <v>104</v>
      </c>
      <c r="CE2052" s="1" t="s">
        <v>104</v>
      </c>
      <c r="CF2052" s="1" t="s">
        <v>104</v>
      </c>
      <c r="CG2052" s="1" t="s">
        <v>104</v>
      </c>
      <c r="CH2052" s="1" t="s">
        <v>104</v>
      </c>
      <c r="CJ2052" s="1">
        <v>0</v>
      </c>
      <c r="CK2052" s="1">
        <v>0</v>
      </c>
      <c r="CL2052" s="1">
        <v>0</v>
      </c>
      <c r="CM2052" s="1" t="s">
        <v>104</v>
      </c>
    </row>
    <row r="2053" spans="1:91" ht="14.25" customHeight="1" x14ac:dyDescent="0.3">
      <c r="A2053" s="1" t="s">
        <v>10831</v>
      </c>
      <c r="B2053" s="1" t="s">
        <v>434</v>
      </c>
      <c r="E2053" s="1" t="s">
        <v>10832</v>
      </c>
      <c r="F2053" s="1" t="s">
        <v>95</v>
      </c>
      <c r="G2053" s="1" t="s">
        <v>116</v>
      </c>
      <c r="H2053" s="1">
        <v>0</v>
      </c>
      <c r="I2053" s="1" t="s">
        <v>109</v>
      </c>
      <c r="J2053" s="1" t="s">
        <v>4454</v>
      </c>
      <c r="M2053" s="1" t="s">
        <v>111</v>
      </c>
      <c r="N2053" s="1">
        <v>0</v>
      </c>
      <c r="O2053" s="1">
        <v>0</v>
      </c>
      <c r="P2053" s="1" t="s">
        <v>10833</v>
      </c>
      <c r="Q2053" s="1" t="s">
        <v>184</v>
      </c>
      <c r="R2053" s="1" t="s">
        <v>10834</v>
      </c>
      <c r="S2053" s="1" t="s">
        <v>10570</v>
      </c>
      <c r="T2053" s="1">
        <v>1</v>
      </c>
      <c r="U2053" s="1">
        <v>1</v>
      </c>
      <c r="V2053" s="1">
        <v>0</v>
      </c>
      <c r="W2053" s="1">
        <v>0</v>
      </c>
      <c r="X2053" s="1">
        <v>0</v>
      </c>
      <c r="Y2053" s="1" t="s">
        <v>104</v>
      </c>
      <c r="Z2053" s="1" t="s">
        <v>104</v>
      </c>
      <c r="AA2053" s="1" t="s">
        <v>104</v>
      </c>
      <c r="AB2053" s="1" t="s">
        <v>104</v>
      </c>
      <c r="AC2053" s="1" t="s">
        <v>104</v>
      </c>
      <c r="AD2053" s="1" t="s">
        <v>104</v>
      </c>
      <c r="AE2053" s="1" t="s">
        <v>104</v>
      </c>
      <c r="AF2053" s="1" t="s">
        <v>104</v>
      </c>
      <c r="AG2053" s="1" t="s">
        <v>104</v>
      </c>
      <c r="AH2053" s="1" t="s">
        <v>104</v>
      </c>
      <c r="AI2053" s="1" t="s">
        <v>104</v>
      </c>
      <c r="AJ2053" s="1" t="s">
        <v>104</v>
      </c>
      <c r="AK2053" s="1" t="s">
        <v>104</v>
      </c>
      <c r="AL2053" s="1" t="s">
        <v>104</v>
      </c>
      <c r="AM2053" s="1" t="s">
        <v>104</v>
      </c>
      <c r="AO2053" s="1" t="s">
        <v>104</v>
      </c>
      <c r="AQ2053" s="1" t="s">
        <v>10835</v>
      </c>
      <c r="AR2053" s="1">
        <v>0</v>
      </c>
      <c r="AS2053" s="1">
        <v>0</v>
      </c>
      <c r="AT2053" s="1">
        <v>0</v>
      </c>
      <c r="AU2053" s="1">
        <v>0</v>
      </c>
      <c r="AV2053" s="1">
        <v>0</v>
      </c>
      <c r="AW2053" s="1">
        <v>0</v>
      </c>
      <c r="AX2053" s="1">
        <v>0</v>
      </c>
      <c r="AY2053" s="1">
        <v>0</v>
      </c>
      <c r="AZ2053" s="1">
        <v>0</v>
      </c>
      <c r="BA2053" s="1">
        <v>0</v>
      </c>
      <c r="BB2053" s="1">
        <v>0</v>
      </c>
      <c r="BC2053" s="1">
        <v>0</v>
      </c>
      <c r="BD2053" s="1">
        <v>0</v>
      </c>
      <c r="BE2053" s="1">
        <v>0</v>
      </c>
      <c r="BF2053" s="1">
        <v>0</v>
      </c>
      <c r="BG2053" s="1">
        <v>0</v>
      </c>
      <c r="BH2053" s="1">
        <v>0</v>
      </c>
      <c r="BI2053" s="1">
        <v>0</v>
      </c>
      <c r="BJ2053" s="1">
        <v>0</v>
      </c>
      <c r="BK2053" s="1">
        <v>0</v>
      </c>
      <c r="BL2053" s="1">
        <v>0</v>
      </c>
      <c r="BM2053" s="1">
        <v>0</v>
      </c>
      <c r="BN2053" s="1">
        <v>0</v>
      </c>
      <c r="BO2053" s="1">
        <v>0</v>
      </c>
      <c r="BP2053" s="1">
        <v>0</v>
      </c>
      <c r="BQ2053" s="1" t="s">
        <v>104</v>
      </c>
      <c r="BR2053" s="1">
        <v>2169</v>
      </c>
      <c r="BS2053" s="1" t="s">
        <v>104</v>
      </c>
      <c r="BT2053" s="1" t="s">
        <v>10836</v>
      </c>
      <c r="BU2053" s="1" t="s">
        <v>10837</v>
      </c>
      <c r="BX2053" s="1">
        <v>0</v>
      </c>
      <c r="BY2053" s="1" t="s">
        <v>104</v>
      </c>
      <c r="BZ2053" s="1" t="s">
        <v>104</v>
      </c>
      <c r="CA2053" s="1">
        <v>7</v>
      </c>
      <c r="CB2053" s="1" t="s">
        <v>104</v>
      </c>
      <c r="CC2053" s="1" t="s">
        <v>104</v>
      </c>
      <c r="CD2053" s="1" t="s">
        <v>104</v>
      </c>
      <c r="CE2053" s="1">
        <v>6</v>
      </c>
      <c r="CF2053" s="1" t="s">
        <v>104</v>
      </c>
      <c r="CG2053" s="1" t="s">
        <v>104</v>
      </c>
      <c r="CH2053" s="1" t="s">
        <v>104</v>
      </c>
      <c r="CJ2053" s="1">
        <v>0</v>
      </c>
      <c r="CK2053" s="1">
        <v>0</v>
      </c>
      <c r="CL2053" s="1">
        <v>0</v>
      </c>
      <c r="CM2053" s="1" t="s">
        <v>104</v>
      </c>
    </row>
    <row r="2054" spans="1:91" ht="14.25" customHeight="1" x14ac:dyDescent="0.3">
      <c r="A2054" s="1" t="s">
        <v>10838</v>
      </c>
      <c r="B2054" s="1" t="s">
        <v>434</v>
      </c>
      <c r="E2054" s="1" t="s">
        <v>10839</v>
      </c>
      <c r="F2054" s="1" t="s">
        <v>95</v>
      </c>
      <c r="G2054" s="1" t="s">
        <v>116</v>
      </c>
      <c r="H2054" s="1">
        <v>0</v>
      </c>
      <c r="I2054" s="1" t="s">
        <v>117</v>
      </c>
      <c r="K2054" s="1" t="s">
        <v>10840</v>
      </c>
      <c r="M2054" s="1" t="s">
        <v>8625</v>
      </c>
      <c r="N2054" s="1">
        <v>1</v>
      </c>
      <c r="O2054" s="1">
        <v>0</v>
      </c>
      <c r="P2054" s="1" t="s">
        <v>1406</v>
      </c>
      <c r="Q2054" s="1" t="s">
        <v>184</v>
      </c>
      <c r="R2054" s="1" t="s">
        <v>10841</v>
      </c>
      <c r="S2054" s="1" t="s">
        <v>10570</v>
      </c>
      <c r="T2054" s="1">
        <v>1</v>
      </c>
      <c r="U2054" s="1">
        <v>1</v>
      </c>
      <c r="V2054" s="1">
        <v>0</v>
      </c>
      <c r="W2054" s="1">
        <v>0</v>
      </c>
      <c r="X2054" s="1">
        <v>0</v>
      </c>
      <c r="Y2054" s="1">
        <v>3</v>
      </c>
      <c r="Z2054" s="1">
        <v>3</v>
      </c>
      <c r="AA2054" s="1" t="s">
        <v>104</v>
      </c>
      <c r="AB2054" s="1" t="s">
        <v>104</v>
      </c>
      <c r="AC2054" s="1" t="s">
        <v>104</v>
      </c>
      <c r="AD2054" s="1" t="s">
        <v>104</v>
      </c>
      <c r="AE2054" s="1" t="s">
        <v>104</v>
      </c>
      <c r="AF2054" s="1" t="s">
        <v>104</v>
      </c>
      <c r="AG2054" s="1" t="s">
        <v>104</v>
      </c>
      <c r="AH2054" s="1" t="s">
        <v>104</v>
      </c>
      <c r="AI2054" s="1" t="s">
        <v>104</v>
      </c>
      <c r="AJ2054" s="1" t="s">
        <v>104</v>
      </c>
      <c r="AK2054" s="1" t="s">
        <v>104</v>
      </c>
      <c r="AL2054" s="1">
        <v>3</v>
      </c>
      <c r="AM2054" s="1" t="s">
        <v>104</v>
      </c>
      <c r="AO2054" s="1">
        <v>3</v>
      </c>
      <c r="AQ2054" s="1" t="s">
        <v>10842</v>
      </c>
      <c r="AR2054" s="1">
        <v>0</v>
      </c>
      <c r="AS2054" s="1">
        <v>0</v>
      </c>
      <c r="AT2054" s="1">
        <v>0</v>
      </c>
      <c r="AU2054" s="1">
        <v>0</v>
      </c>
      <c r="AV2054" s="1">
        <v>0</v>
      </c>
      <c r="AW2054" s="1">
        <v>0</v>
      </c>
      <c r="AX2054" s="1">
        <v>0</v>
      </c>
      <c r="AY2054" s="1">
        <v>0</v>
      </c>
      <c r="AZ2054" s="1">
        <v>0</v>
      </c>
      <c r="BA2054" s="1">
        <v>0</v>
      </c>
      <c r="BB2054" s="1">
        <v>0</v>
      </c>
      <c r="BC2054" s="1">
        <v>0</v>
      </c>
      <c r="BD2054" s="1">
        <v>0</v>
      </c>
      <c r="BE2054" s="1">
        <v>0</v>
      </c>
      <c r="BF2054" s="1">
        <v>0</v>
      </c>
      <c r="BG2054" s="1">
        <v>0</v>
      </c>
      <c r="BH2054" s="1">
        <v>0</v>
      </c>
      <c r="BI2054" s="1">
        <v>0</v>
      </c>
      <c r="BJ2054" s="1">
        <v>0</v>
      </c>
      <c r="BK2054" s="1">
        <v>0</v>
      </c>
      <c r="BL2054" s="1">
        <v>0</v>
      </c>
      <c r="BM2054" s="1">
        <v>0</v>
      </c>
      <c r="BN2054" s="1">
        <v>0</v>
      </c>
      <c r="BO2054" s="1">
        <v>0</v>
      </c>
      <c r="BP2054" s="1">
        <v>0</v>
      </c>
      <c r="BQ2054" s="1" t="s">
        <v>104</v>
      </c>
      <c r="BR2054" s="1">
        <v>2170</v>
      </c>
      <c r="BS2054" s="1" t="s">
        <v>104</v>
      </c>
      <c r="BT2054" s="1" t="s">
        <v>10843</v>
      </c>
      <c r="BU2054" s="1" t="s">
        <v>10844</v>
      </c>
      <c r="BX2054" s="1">
        <v>0</v>
      </c>
      <c r="BY2054" s="1" t="s">
        <v>104</v>
      </c>
      <c r="BZ2054" s="1">
        <v>3</v>
      </c>
      <c r="CA2054" s="1">
        <v>3</v>
      </c>
      <c r="CB2054" s="1" t="s">
        <v>104</v>
      </c>
      <c r="CC2054" s="1" t="s">
        <v>104</v>
      </c>
      <c r="CD2054" s="1" t="s">
        <v>104</v>
      </c>
      <c r="CE2054" s="1">
        <v>3</v>
      </c>
      <c r="CF2054" s="1" t="s">
        <v>104</v>
      </c>
      <c r="CG2054" s="1" t="s">
        <v>104</v>
      </c>
      <c r="CH2054" s="1" t="s">
        <v>104</v>
      </c>
      <c r="CJ2054" s="1">
        <v>0</v>
      </c>
      <c r="CK2054" s="1">
        <v>0</v>
      </c>
      <c r="CL2054" s="1">
        <v>0</v>
      </c>
      <c r="CM2054" s="1" t="s">
        <v>104</v>
      </c>
    </row>
    <row r="2055" spans="1:91" ht="14.25" customHeight="1" x14ac:dyDescent="0.3">
      <c r="A2055" s="1" t="s">
        <v>10845</v>
      </c>
      <c r="B2055" s="1" t="s">
        <v>123</v>
      </c>
      <c r="C2055" s="1" t="s">
        <v>124</v>
      </c>
      <c r="D2055" s="1" t="s">
        <v>6034</v>
      </c>
      <c r="E2055" s="1" t="s">
        <v>10846</v>
      </c>
      <c r="F2055" s="1" t="s">
        <v>95</v>
      </c>
      <c r="G2055" s="1" t="s">
        <v>1802</v>
      </c>
      <c r="H2055" s="1">
        <v>0</v>
      </c>
      <c r="I2055" s="1" t="s">
        <v>117</v>
      </c>
      <c r="L2055" s="1" t="s">
        <v>1065</v>
      </c>
      <c r="M2055" s="1" t="s">
        <v>111</v>
      </c>
      <c r="N2055" s="1">
        <v>0</v>
      </c>
      <c r="O2055" s="1">
        <v>0</v>
      </c>
      <c r="P2055" s="1" t="s">
        <v>276</v>
      </c>
      <c r="Q2055" s="1" t="s">
        <v>184</v>
      </c>
      <c r="R2055" s="1" t="s">
        <v>10847</v>
      </c>
      <c r="S2055" s="1" t="s">
        <v>10570</v>
      </c>
      <c r="T2055" s="1">
        <v>0</v>
      </c>
      <c r="U2055" s="1">
        <v>1</v>
      </c>
      <c r="V2055" s="1">
        <v>0</v>
      </c>
      <c r="W2055" s="1">
        <v>0</v>
      </c>
      <c r="X2055" s="1">
        <v>0</v>
      </c>
      <c r="Y2055" s="1" t="s">
        <v>104</v>
      </c>
      <c r="Z2055" s="1" t="s">
        <v>104</v>
      </c>
      <c r="AA2055" s="1" t="s">
        <v>104</v>
      </c>
      <c r="AB2055" s="1" t="s">
        <v>104</v>
      </c>
      <c r="AC2055" s="1" t="s">
        <v>104</v>
      </c>
      <c r="AD2055" s="1" t="s">
        <v>104</v>
      </c>
      <c r="AE2055" s="1" t="s">
        <v>104</v>
      </c>
      <c r="AF2055" s="1" t="s">
        <v>104</v>
      </c>
      <c r="AG2055" s="1" t="s">
        <v>104</v>
      </c>
      <c r="AH2055" s="1" t="s">
        <v>104</v>
      </c>
      <c r="AI2055" s="1" t="s">
        <v>104</v>
      </c>
      <c r="AJ2055" s="1" t="s">
        <v>104</v>
      </c>
      <c r="AK2055" s="1" t="s">
        <v>104</v>
      </c>
      <c r="AL2055" s="1" t="s">
        <v>104</v>
      </c>
      <c r="AM2055" s="1" t="s">
        <v>104</v>
      </c>
      <c r="AO2055" s="1">
        <v>3</v>
      </c>
      <c r="AQ2055" s="1" t="s">
        <v>10848</v>
      </c>
      <c r="AR2055" s="1">
        <v>0</v>
      </c>
      <c r="AS2055" s="1">
        <v>0</v>
      </c>
      <c r="AT2055" s="1">
        <v>0</v>
      </c>
      <c r="AU2055" s="1">
        <v>0</v>
      </c>
      <c r="AV2055" s="1">
        <v>0</v>
      </c>
      <c r="AW2055" s="1">
        <v>0</v>
      </c>
      <c r="AX2055" s="1">
        <v>0</v>
      </c>
      <c r="AY2055" s="1">
        <v>0</v>
      </c>
      <c r="AZ2055" s="1">
        <v>0</v>
      </c>
      <c r="BA2055" s="1">
        <v>0</v>
      </c>
      <c r="BB2055" s="1">
        <v>1</v>
      </c>
      <c r="BC2055" s="1">
        <v>0</v>
      </c>
      <c r="BD2055" s="1">
        <v>0</v>
      </c>
      <c r="BE2055" s="1">
        <v>0</v>
      </c>
      <c r="BF2055" s="1">
        <v>0</v>
      </c>
      <c r="BG2055" s="1">
        <v>0</v>
      </c>
      <c r="BH2055" s="1">
        <v>0</v>
      </c>
      <c r="BI2055" s="1">
        <v>0</v>
      </c>
      <c r="BJ2055" s="1">
        <v>0</v>
      </c>
      <c r="BK2055" s="1">
        <v>1</v>
      </c>
      <c r="BL2055" s="1">
        <v>0</v>
      </c>
      <c r="BM2055" s="1">
        <v>0</v>
      </c>
      <c r="BN2055" s="1">
        <v>0</v>
      </c>
      <c r="BO2055" s="1">
        <v>0</v>
      </c>
      <c r="BP2055" s="1">
        <v>0</v>
      </c>
      <c r="BQ2055" s="1" t="s">
        <v>104</v>
      </c>
      <c r="BR2055" s="1">
        <v>2171</v>
      </c>
      <c r="BS2055" s="1" t="s">
        <v>104</v>
      </c>
      <c r="BT2055" s="1" t="s">
        <v>10849</v>
      </c>
      <c r="BX2055" s="1">
        <v>0</v>
      </c>
      <c r="BY2055" s="1" t="s">
        <v>104</v>
      </c>
      <c r="BZ2055" s="1" t="s">
        <v>104</v>
      </c>
      <c r="CA2055" s="1">
        <v>3</v>
      </c>
      <c r="CB2055" s="1" t="s">
        <v>104</v>
      </c>
      <c r="CC2055" s="1" t="s">
        <v>104</v>
      </c>
      <c r="CD2055" s="1" t="s">
        <v>104</v>
      </c>
      <c r="CE2055" s="1" t="s">
        <v>104</v>
      </c>
      <c r="CF2055" s="1" t="s">
        <v>104</v>
      </c>
      <c r="CG2055" s="1" t="s">
        <v>104</v>
      </c>
      <c r="CH2055" s="1" t="s">
        <v>104</v>
      </c>
      <c r="CJ2055" s="1">
        <v>0</v>
      </c>
      <c r="CK2055" s="1">
        <v>0</v>
      </c>
      <c r="CL2055" s="1">
        <v>0</v>
      </c>
      <c r="CM2055" s="1" t="s">
        <v>104</v>
      </c>
    </row>
    <row r="2056" spans="1:91" ht="14.25" customHeight="1" x14ac:dyDescent="0.3">
      <c r="A2056" s="1" t="s">
        <v>10850</v>
      </c>
      <c r="B2056" s="1" t="s">
        <v>123</v>
      </c>
      <c r="C2056" s="1" t="s">
        <v>124</v>
      </c>
      <c r="D2056" s="1" t="s">
        <v>6034</v>
      </c>
      <c r="E2056" s="1" t="s">
        <v>10851</v>
      </c>
      <c r="F2056" s="1" t="s">
        <v>95</v>
      </c>
      <c r="G2056" s="1" t="s">
        <v>1802</v>
      </c>
      <c r="H2056" s="1">
        <v>0</v>
      </c>
      <c r="I2056" s="1" t="s">
        <v>117</v>
      </c>
      <c r="L2056" s="1" t="s">
        <v>1065</v>
      </c>
      <c r="M2056" s="1" t="s">
        <v>111</v>
      </c>
      <c r="N2056" s="1">
        <v>0</v>
      </c>
      <c r="O2056" s="1">
        <v>0</v>
      </c>
      <c r="P2056" s="1" t="s">
        <v>276</v>
      </c>
      <c r="Q2056" s="1" t="s">
        <v>184</v>
      </c>
      <c r="R2056" s="1" t="s">
        <v>10852</v>
      </c>
      <c r="S2056" s="1" t="s">
        <v>10570</v>
      </c>
      <c r="T2056" s="1">
        <v>0</v>
      </c>
      <c r="U2056" s="1">
        <v>1</v>
      </c>
      <c r="V2056" s="1">
        <v>0</v>
      </c>
      <c r="W2056" s="1">
        <v>0</v>
      </c>
      <c r="X2056" s="1">
        <v>0</v>
      </c>
      <c r="Y2056" s="1" t="s">
        <v>104</v>
      </c>
      <c r="Z2056" s="1" t="s">
        <v>104</v>
      </c>
      <c r="AA2056" s="1" t="s">
        <v>104</v>
      </c>
      <c r="AB2056" s="1" t="s">
        <v>104</v>
      </c>
      <c r="AC2056" s="1" t="s">
        <v>104</v>
      </c>
      <c r="AD2056" s="1" t="s">
        <v>104</v>
      </c>
      <c r="AE2056" s="1" t="s">
        <v>104</v>
      </c>
      <c r="AF2056" s="1" t="s">
        <v>104</v>
      </c>
      <c r="AG2056" s="1" t="s">
        <v>104</v>
      </c>
      <c r="AH2056" s="1" t="s">
        <v>104</v>
      </c>
      <c r="AI2056" s="1" t="s">
        <v>104</v>
      </c>
      <c r="AJ2056" s="1" t="s">
        <v>104</v>
      </c>
      <c r="AK2056" s="1" t="s">
        <v>104</v>
      </c>
      <c r="AL2056" s="1" t="s">
        <v>104</v>
      </c>
      <c r="AM2056" s="1" t="s">
        <v>104</v>
      </c>
      <c r="AO2056" s="1">
        <v>4</v>
      </c>
      <c r="AQ2056" s="1" t="s">
        <v>10853</v>
      </c>
      <c r="AR2056" s="1">
        <v>0</v>
      </c>
      <c r="AS2056" s="1">
        <v>0</v>
      </c>
      <c r="AT2056" s="1">
        <v>0</v>
      </c>
      <c r="AU2056" s="1">
        <v>0</v>
      </c>
      <c r="AV2056" s="1">
        <v>0</v>
      </c>
      <c r="AW2056" s="1">
        <v>0</v>
      </c>
      <c r="AX2056" s="1">
        <v>0</v>
      </c>
      <c r="AY2056" s="1">
        <v>0</v>
      </c>
      <c r="AZ2056" s="1">
        <v>0</v>
      </c>
      <c r="BA2056" s="1">
        <v>0</v>
      </c>
      <c r="BB2056" s="1">
        <v>1</v>
      </c>
      <c r="BC2056" s="1">
        <v>0</v>
      </c>
      <c r="BD2056" s="1">
        <v>0</v>
      </c>
      <c r="BE2056" s="1">
        <v>0</v>
      </c>
      <c r="BF2056" s="1">
        <v>0</v>
      </c>
      <c r="BG2056" s="1">
        <v>0</v>
      </c>
      <c r="BH2056" s="1">
        <v>0</v>
      </c>
      <c r="BI2056" s="1">
        <v>0</v>
      </c>
      <c r="BJ2056" s="1">
        <v>0</v>
      </c>
      <c r="BK2056" s="1">
        <v>1</v>
      </c>
      <c r="BL2056" s="1">
        <v>0</v>
      </c>
      <c r="BM2056" s="1">
        <v>0</v>
      </c>
      <c r="BN2056" s="1">
        <v>0</v>
      </c>
      <c r="BO2056" s="1">
        <v>0</v>
      </c>
      <c r="BP2056" s="1">
        <v>0</v>
      </c>
      <c r="BQ2056" s="1" t="s">
        <v>104</v>
      </c>
      <c r="BR2056" s="1">
        <v>2172</v>
      </c>
      <c r="BS2056" s="1" t="s">
        <v>104</v>
      </c>
      <c r="BX2056" s="1">
        <v>0</v>
      </c>
      <c r="BY2056" s="1" t="s">
        <v>104</v>
      </c>
      <c r="BZ2056" s="1" t="s">
        <v>104</v>
      </c>
      <c r="CA2056" s="1">
        <v>4</v>
      </c>
      <c r="CB2056" s="1" t="s">
        <v>104</v>
      </c>
      <c r="CC2056" s="1" t="s">
        <v>104</v>
      </c>
      <c r="CD2056" s="1" t="s">
        <v>104</v>
      </c>
      <c r="CE2056" s="1" t="s">
        <v>104</v>
      </c>
      <c r="CF2056" s="1" t="s">
        <v>104</v>
      </c>
      <c r="CG2056" s="1" t="s">
        <v>104</v>
      </c>
      <c r="CH2056" s="1" t="s">
        <v>104</v>
      </c>
      <c r="CJ2056" s="1">
        <v>0</v>
      </c>
      <c r="CK2056" s="1">
        <v>0</v>
      </c>
      <c r="CL2056" s="1">
        <v>0</v>
      </c>
      <c r="CM2056" s="1" t="s">
        <v>104</v>
      </c>
    </row>
    <row r="2057" spans="1:91" ht="14.25" customHeight="1" x14ac:dyDescent="0.3">
      <c r="A2057" s="1" t="s">
        <v>10854</v>
      </c>
      <c r="B2057" s="1" t="s">
        <v>123</v>
      </c>
      <c r="C2057" s="1" t="s">
        <v>124</v>
      </c>
      <c r="D2057" s="1" t="s">
        <v>6034</v>
      </c>
      <c r="E2057" s="1" t="s">
        <v>10855</v>
      </c>
      <c r="F2057" s="1" t="s">
        <v>95</v>
      </c>
      <c r="G2057" s="1" t="s">
        <v>1802</v>
      </c>
      <c r="H2057" s="1">
        <v>0</v>
      </c>
      <c r="I2057" s="1" t="s">
        <v>117</v>
      </c>
      <c r="L2057" s="1" t="s">
        <v>1065</v>
      </c>
      <c r="M2057" s="1" t="s">
        <v>111</v>
      </c>
      <c r="N2057" s="1">
        <v>0</v>
      </c>
      <c r="O2057" s="1">
        <v>0</v>
      </c>
      <c r="P2057" s="1" t="s">
        <v>276</v>
      </c>
      <c r="Q2057" s="1" t="s">
        <v>184</v>
      </c>
      <c r="R2057" s="1" t="s">
        <v>10856</v>
      </c>
      <c r="S2057" s="1" t="s">
        <v>10570</v>
      </c>
      <c r="T2057" s="1">
        <v>0</v>
      </c>
      <c r="U2057" s="1">
        <v>1</v>
      </c>
      <c r="V2057" s="1">
        <v>0</v>
      </c>
      <c r="W2057" s="1">
        <v>0</v>
      </c>
      <c r="X2057" s="1">
        <v>0</v>
      </c>
      <c r="Y2057" s="1" t="s">
        <v>104</v>
      </c>
      <c r="Z2057" s="1" t="s">
        <v>104</v>
      </c>
      <c r="AA2057" s="1" t="s">
        <v>104</v>
      </c>
      <c r="AB2057" s="1" t="s">
        <v>104</v>
      </c>
      <c r="AC2057" s="1" t="s">
        <v>104</v>
      </c>
      <c r="AD2057" s="1" t="s">
        <v>104</v>
      </c>
      <c r="AE2057" s="1" t="s">
        <v>104</v>
      </c>
      <c r="AF2057" s="1" t="s">
        <v>104</v>
      </c>
      <c r="AG2057" s="1" t="s">
        <v>104</v>
      </c>
      <c r="AH2057" s="1" t="s">
        <v>104</v>
      </c>
      <c r="AI2057" s="1" t="s">
        <v>104</v>
      </c>
      <c r="AJ2057" s="1" t="s">
        <v>104</v>
      </c>
      <c r="AK2057" s="1" t="s">
        <v>104</v>
      </c>
      <c r="AL2057" s="1" t="s">
        <v>104</v>
      </c>
      <c r="AM2057" s="1" t="s">
        <v>104</v>
      </c>
      <c r="AO2057" s="1">
        <v>5</v>
      </c>
      <c r="AQ2057" s="1" t="s">
        <v>10857</v>
      </c>
      <c r="AR2057" s="1">
        <v>0</v>
      </c>
      <c r="AS2057" s="1">
        <v>0</v>
      </c>
      <c r="AT2057" s="1">
        <v>0</v>
      </c>
      <c r="AU2057" s="1">
        <v>0</v>
      </c>
      <c r="AV2057" s="1">
        <v>0</v>
      </c>
      <c r="AW2057" s="1">
        <v>0</v>
      </c>
      <c r="AX2057" s="1">
        <v>0</v>
      </c>
      <c r="AY2057" s="1">
        <v>0</v>
      </c>
      <c r="AZ2057" s="1">
        <v>0</v>
      </c>
      <c r="BA2057" s="1">
        <v>0</v>
      </c>
      <c r="BB2057" s="1">
        <v>1</v>
      </c>
      <c r="BC2057" s="1">
        <v>0</v>
      </c>
      <c r="BD2057" s="1">
        <v>0</v>
      </c>
      <c r="BE2057" s="1">
        <v>0</v>
      </c>
      <c r="BF2057" s="1">
        <v>0</v>
      </c>
      <c r="BG2057" s="1">
        <v>0</v>
      </c>
      <c r="BH2057" s="1">
        <v>0</v>
      </c>
      <c r="BI2057" s="1">
        <v>0</v>
      </c>
      <c r="BJ2057" s="1">
        <v>0</v>
      </c>
      <c r="BK2057" s="1">
        <v>1</v>
      </c>
      <c r="BL2057" s="1">
        <v>0</v>
      </c>
      <c r="BM2057" s="1">
        <v>0</v>
      </c>
      <c r="BN2057" s="1">
        <v>0</v>
      </c>
      <c r="BO2057" s="1">
        <v>0</v>
      </c>
      <c r="BP2057" s="1">
        <v>0</v>
      </c>
      <c r="BQ2057" s="1" t="s">
        <v>104</v>
      </c>
      <c r="BR2057" s="1">
        <v>2173</v>
      </c>
      <c r="BS2057" s="1" t="s">
        <v>104</v>
      </c>
      <c r="BX2057" s="1">
        <v>0</v>
      </c>
      <c r="BY2057" s="1" t="s">
        <v>104</v>
      </c>
      <c r="BZ2057" s="1" t="s">
        <v>104</v>
      </c>
      <c r="CA2057" s="1">
        <v>5</v>
      </c>
      <c r="CB2057" s="1" t="s">
        <v>104</v>
      </c>
      <c r="CC2057" s="1" t="s">
        <v>104</v>
      </c>
      <c r="CD2057" s="1" t="s">
        <v>104</v>
      </c>
      <c r="CE2057" s="1" t="s">
        <v>104</v>
      </c>
      <c r="CF2057" s="1" t="s">
        <v>104</v>
      </c>
      <c r="CG2057" s="1" t="s">
        <v>104</v>
      </c>
      <c r="CH2057" s="1" t="s">
        <v>104</v>
      </c>
      <c r="CJ2057" s="1">
        <v>0</v>
      </c>
      <c r="CK2057" s="1">
        <v>0</v>
      </c>
      <c r="CL2057" s="1">
        <v>0</v>
      </c>
      <c r="CM2057" s="1" t="s">
        <v>104</v>
      </c>
    </row>
    <row r="2058" spans="1:91" ht="14.25" customHeight="1" x14ac:dyDescent="0.3">
      <c r="A2058" s="1" t="s">
        <v>10858</v>
      </c>
      <c r="B2058" s="1" t="s">
        <v>123</v>
      </c>
      <c r="C2058" s="1" t="s">
        <v>124</v>
      </c>
      <c r="D2058" s="1" t="s">
        <v>6034</v>
      </c>
      <c r="E2058" s="1" t="s">
        <v>10859</v>
      </c>
      <c r="F2058" s="1" t="s">
        <v>95</v>
      </c>
      <c r="G2058" s="1" t="s">
        <v>1802</v>
      </c>
      <c r="H2058" s="1">
        <v>0</v>
      </c>
      <c r="I2058" s="1" t="s">
        <v>117</v>
      </c>
      <c r="L2058" s="1" t="s">
        <v>1065</v>
      </c>
      <c r="M2058" s="1" t="s">
        <v>111</v>
      </c>
      <c r="N2058" s="1">
        <v>0</v>
      </c>
      <c r="O2058" s="1">
        <v>0</v>
      </c>
      <c r="P2058" s="1" t="s">
        <v>276</v>
      </c>
      <c r="Q2058" s="1" t="s">
        <v>184</v>
      </c>
      <c r="R2058" s="1" t="s">
        <v>10860</v>
      </c>
      <c r="S2058" s="1" t="s">
        <v>10570</v>
      </c>
      <c r="T2058" s="1">
        <v>0</v>
      </c>
      <c r="U2058" s="1">
        <v>1</v>
      </c>
      <c r="V2058" s="1">
        <v>0</v>
      </c>
      <c r="W2058" s="1">
        <v>0</v>
      </c>
      <c r="X2058" s="1">
        <v>0</v>
      </c>
      <c r="Y2058" s="1" t="s">
        <v>104</v>
      </c>
      <c r="Z2058" s="1" t="s">
        <v>104</v>
      </c>
      <c r="AA2058" s="1" t="s">
        <v>104</v>
      </c>
      <c r="AB2058" s="1" t="s">
        <v>104</v>
      </c>
      <c r="AC2058" s="1" t="s">
        <v>104</v>
      </c>
      <c r="AD2058" s="1" t="s">
        <v>104</v>
      </c>
      <c r="AE2058" s="1" t="s">
        <v>104</v>
      </c>
      <c r="AF2058" s="1" t="s">
        <v>104</v>
      </c>
      <c r="AG2058" s="1" t="s">
        <v>104</v>
      </c>
      <c r="AH2058" s="1" t="s">
        <v>104</v>
      </c>
      <c r="AI2058" s="1" t="s">
        <v>104</v>
      </c>
      <c r="AJ2058" s="1" t="s">
        <v>104</v>
      </c>
      <c r="AK2058" s="1" t="s">
        <v>104</v>
      </c>
      <c r="AL2058" s="1" t="s">
        <v>104</v>
      </c>
      <c r="AM2058" s="1" t="s">
        <v>104</v>
      </c>
      <c r="AO2058" s="1">
        <v>6</v>
      </c>
      <c r="AQ2058" s="1" t="s">
        <v>10861</v>
      </c>
      <c r="AR2058" s="1">
        <v>0</v>
      </c>
      <c r="AS2058" s="1">
        <v>0</v>
      </c>
      <c r="AT2058" s="1">
        <v>0</v>
      </c>
      <c r="AU2058" s="1">
        <v>0</v>
      </c>
      <c r="AV2058" s="1">
        <v>0</v>
      </c>
      <c r="AW2058" s="1">
        <v>0</v>
      </c>
      <c r="AX2058" s="1">
        <v>0</v>
      </c>
      <c r="AY2058" s="1">
        <v>0</v>
      </c>
      <c r="AZ2058" s="1">
        <v>0</v>
      </c>
      <c r="BA2058" s="1">
        <v>0</v>
      </c>
      <c r="BB2058" s="1">
        <v>1</v>
      </c>
      <c r="BC2058" s="1">
        <v>0</v>
      </c>
      <c r="BD2058" s="1">
        <v>0</v>
      </c>
      <c r="BE2058" s="1">
        <v>0</v>
      </c>
      <c r="BF2058" s="1">
        <v>0</v>
      </c>
      <c r="BG2058" s="1">
        <v>0</v>
      </c>
      <c r="BH2058" s="1">
        <v>0</v>
      </c>
      <c r="BI2058" s="1">
        <v>0</v>
      </c>
      <c r="BJ2058" s="1">
        <v>0</v>
      </c>
      <c r="BK2058" s="1">
        <v>1</v>
      </c>
      <c r="BL2058" s="1">
        <v>0</v>
      </c>
      <c r="BM2058" s="1">
        <v>0</v>
      </c>
      <c r="BN2058" s="1">
        <v>0</v>
      </c>
      <c r="BO2058" s="1">
        <v>0</v>
      </c>
      <c r="BP2058" s="1">
        <v>0</v>
      </c>
      <c r="BQ2058" s="1" t="s">
        <v>104</v>
      </c>
      <c r="BR2058" s="1">
        <v>2174</v>
      </c>
      <c r="BS2058" s="1" t="s">
        <v>104</v>
      </c>
      <c r="BX2058" s="1">
        <v>0</v>
      </c>
      <c r="BY2058" s="1" t="s">
        <v>104</v>
      </c>
      <c r="BZ2058" s="1" t="s">
        <v>104</v>
      </c>
      <c r="CA2058" s="1">
        <v>6</v>
      </c>
      <c r="CB2058" s="1" t="s">
        <v>104</v>
      </c>
      <c r="CC2058" s="1" t="s">
        <v>104</v>
      </c>
      <c r="CD2058" s="1" t="s">
        <v>104</v>
      </c>
      <c r="CE2058" s="1" t="s">
        <v>104</v>
      </c>
      <c r="CF2058" s="1" t="s">
        <v>104</v>
      </c>
      <c r="CG2058" s="1" t="s">
        <v>104</v>
      </c>
      <c r="CH2058" s="1" t="s">
        <v>104</v>
      </c>
      <c r="CJ2058" s="1">
        <v>0</v>
      </c>
      <c r="CK2058" s="1">
        <v>0</v>
      </c>
      <c r="CL2058" s="1">
        <v>0</v>
      </c>
      <c r="CM2058" s="1" t="s">
        <v>104</v>
      </c>
    </row>
    <row r="2059" spans="1:91" ht="14.25" customHeight="1" x14ac:dyDescent="0.3">
      <c r="A2059" s="1" t="s">
        <v>10862</v>
      </c>
      <c r="B2059" s="1" t="s">
        <v>123</v>
      </c>
      <c r="C2059" s="1" t="s">
        <v>124</v>
      </c>
      <c r="D2059" s="1" t="s">
        <v>6034</v>
      </c>
      <c r="E2059" s="1" t="s">
        <v>10863</v>
      </c>
      <c r="F2059" s="1" t="s">
        <v>95</v>
      </c>
      <c r="G2059" s="1" t="s">
        <v>1802</v>
      </c>
      <c r="H2059" s="1">
        <v>0</v>
      </c>
      <c r="I2059" s="1" t="s">
        <v>117</v>
      </c>
      <c r="L2059" s="1" t="s">
        <v>1065</v>
      </c>
      <c r="M2059" s="1" t="s">
        <v>111</v>
      </c>
      <c r="N2059" s="1">
        <v>0</v>
      </c>
      <c r="O2059" s="1">
        <v>0</v>
      </c>
      <c r="P2059" s="1" t="s">
        <v>276</v>
      </c>
      <c r="Q2059" s="1" t="s">
        <v>184</v>
      </c>
      <c r="R2059" s="1" t="s">
        <v>10864</v>
      </c>
      <c r="S2059" s="1" t="s">
        <v>10570</v>
      </c>
      <c r="T2059" s="1">
        <v>0</v>
      </c>
      <c r="U2059" s="1">
        <v>1</v>
      </c>
      <c r="V2059" s="1">
        <v>0</v>
      </c>
      <c r="W2059" s="1">
        <v>0</v>
      </c>
      <c r="X2059" s="1">
        <v>0</v>
      </c>
      <c r="Y2059" s="1" t="s">
        <v>104</v>
      </c>
      <c r="Z2059" s="1" t="s">
        <v>104</v>
      </c>
      <c r="AA2059" s="1" t="s">
        <v>104</v>
      </c>
      <c r="AB2059" s="1" t="s">
        <v>104</v>
      </c>
      <c r="AC2059" s="1" t="s">
        <v>104</v>
      </c>
      <c r="AD2059" s="1" t="s">
        <v>104</v>
      </c>
      <c r="AE2059" s="1" t="s">
        <v>104</v>
      </c>
      <c r="AF2059" s="1" t="s">
        <v>104</v>
      </c>
      <c r="AG2059" s="1" t="s">
        <v>104</v>
      </c>
      <c r="AH2059" s="1" t="s">
        <v>104</v>
      </c>
      <c r="AI2059" s="1" t="s">
        <v>104</v>
      </c>
      <c r="AJ2059" s="1" t="s">
        <v>104</v>
      </c>
      <c r="AK2059" s="1" t="s">
        <v>104</v>
      </c>
      <c r="AL2059" s="1" t="s">
        <v>104</v>
      </c>
      <c r="AM2059" s="1" t="s">
        <v>104</v>
      </c>
      <c r="AO2059" s="1">
        <v>7</v>
      </c>
      <c r="AQ2059" s="1" t="s">
        <v>10865</v>
      </c>
      <c r="AR2059" s="1">
        <v>0</v>
      </c>
      <c r="AS2059" s="1">
        <v>0</v>
      </c>
      <c r="AT2059" s="1">
        <v>0</v>
      </c>
      <c r="AU2059" s="1">
        <v>0</v>
      </c>
      <c r="AV2059" s="1">
        <v>0</v>
      </c>
      <c r="AW2059" s="1">
        <v>0</v>
      </c>
      <c r="AX2059" s="1">
        <v>0</v>
      </c>
      <c r="AY2059" s="1">
        <v>0</v>
      </c>
      <c r="AZ2059" s="1">
        <v>0</v>
      </c>
      <c r="BA2059" s="1">
        <v>0</v>
      </c>
      <c r="BB2059" s="1">
        <v>1</v>
      </c>
      <c r="BC2059" s="1">
        <v>0</v>
      </c>
      <c r="BD2059" s="1">
        <v>0</v>
      </c>
      <c r="BE2059" s="1">
        <v>0</v>
      </c>
      <c r="BF2059" s="1">
        <v>0</v>
      </c>
      <c r="BG2059" s="1">
        <v>0</v>
      </c>
      <c r="BH2059" s="1">
        <v>0</v>
      </c>
      <c r="BI2059" s="1">
        <v>0</v>
      </c>
      <c r="BJ2059" s="1">
        <v>0</v>
      </c>
      <c r="BK2059" s="1">
        <v>1</v>
      </c>
      <c r="BL2059" s="1">
        <v>0</v>
      </c>
      <c r="BM2059" s="1">
        <v>0</v>
      </c>
      <c r="BN2059" s="1">
        <v>0</v>
      </c>
      <c r="BO2059" s="1">
        <v>0</v>
      </c>
      <c r="BP2059" s="1">
        <v>0</v>
      </c>
      <c r="BQ2059" s="1" t="s">
        <v>104</v>
      </c>
      <c r="BR2059" s="1">
        <v>2175</v>
      </c>
      <c r="BS2059" s="1" t="s">
        <v>104</v>
      </c>
      <c r="BX2059" s="1">
        <v>0</v>
      </c>
      <c r="BY2059" s="1" t="s">
        <v>104</v>
      </c>
      <c r="BZ2059" s="1" t="s">
        <v>104</v>
      </c>
      <c r="CA2059" s="1">
        <v>7</v>
      </c>
      <c r="CB2059" s="1" t="s">
        <v>104</v>
      </c>
      <c r="CC2059" s="1" t="s">
        <v>104</v>
      </c>
      <c r="CD2059" s="1" t="s">
        <v>104</v>
      </c>
      <c r="CE2059" s="1" t="s">
        <v>104</v>
      </c>
      <c r="CF2059" s="1" t="s">
        <v>104</v>
      </c>
      <c r="CG2059" s="1" t="s">
        <v>104</v>
      </c>
      <c r="CH2059" s="1" t="s">
        <v>104</v>
      </c>
      <c r="CJ2059" s="1">
        <v>0</v>
      </c>
      <c r="CK2059" s="1">
        <v>0</v>
      </c>
      <c r="CL2059" s="1">
        <v>0</v>
      </c>
      <c r="CM2059" s="1" t="s">
        <v>104</v>
      </c>
    </row>
    <row r="2060" spans="1:91" ht="14.25" customHeight="1" x14ac:dyDescent="0.3">
      <c r="A2060" s="1" t="s">
        <v>10866</v>
      </c>
      <c r="B2060" s="1" t="s">
        <v>123</v>
      </c>
      <c r="C2060" s="1" t="s">
        <v>124</v>
      </c>
      <c r="D2060" s="1" t="s">
        <v>6034</v>
      </c>
      <c r="E2060" s="1" t="s">
        <v>10867</v>
      </c>
      <c r="F2060" s="1" t="s">
        <v>95</v>
      </c>
      <c r="G2060" s="1" t="s">
        <v>1802</v>
      </c>
      <c r="H2060" s="1">
        <v>0</v>
      </c>
      <c r="I2060" s="1" t="s">
        <v>117</v>
      </c>
      <c r="L2060" s="1" t="s">
        <v>1065</v>
      </c>
      <c r="M2060" s="1" t="s">
        <v>426</v>
      </c>
      <c r="N2060" s="1">
        <v>1</v>
      </c>
      <c r="O2060" s="1">
        <v>0</v>
      </c>
      <c r="P2060" s="1" t="s">
        <v>211</v>
      </c>
      <c r="Q2060" s="1" t="s">
        <v>184</v>
      </c>
      <c r="R2060" s="1" t="s">
        <v>10868</v>
      </c>
      <c r="S2060" s="1" t="s">
        <v>10570</v>
      </c>
      <c r="T2060" s="1">
        <v>0</v>
      </c>
      <c r="U2060" s="1">
        <v>1</v>
      </c>
      <c r="V2060" s="1">
        <v>0</v>
      </c>
      <c r="W2060" s="1">
        <v>0</v>
      </c>
      <c r="X2060" s="1">
        <v>0</v>
      </c>
      <c r="Y2060" s="1" t="s">
        <v>104</v>
      </c>
      <c r="Z2060" s="1" t="s">
        <v>104</v>
      </c>
      <c r="AA2060" s="1" t="s">
        <v>104</v>
      </c>
      <c r="AB2060" s="1" t="s">
        <v>104</v>
      </c>
      <c r="AC2060" s="1" t="s">
        <v>104</v>
      </c>
      <c r="AD2060" s="1" t="s">
        <v>104</v>
      </c>
      <c r="AE2060" s="1" t="s">
        <v>104</v>
      </c>
      <c r="AF2060" s="1" t="s">
        <v>104</v>
      </c>
      <c r="AG2060" s="1" t="s">
        <v>104</v>
      </c>
      <c r="AH2060" s="1" t="s">
        <v>104</v>
      </c>
      <c r="AI2060" s="1" t="s">
        <v>104</v>
      </c>
      <c r="AJ2060" s="1" t="s">
        <v>104</v>
      </c>
      <c r="AK2060" s="1" t="s">
        <v>104</v>
      </c>
      <c r="AL2060" s="1" t="s">
        <v>104</v>
      </c>
      <c r="AM2060" s="1" t="s">
        <v>104</v>
      </c>
      <c r="AO2060" s="1" t="s">
        <v>104</v>
      </c>
      <c r="AQ2060" s="1" t="s">
        <v>10869</v>
      </c>
      <c r="AR2060" s="1">
        <v>0</v>
      </c>
      <c r="AS2060" s="1">
        <v>0</v>
      </c>
      <c r="AT2060" s="1">
        <v>0</v>
      </c>
      <c r="AU2060" s="1">
        <v>0</v>
      </c>
      <c r="AV2060" s="1">
        <v>0</v>
      </c>
      <c r="AW2060" s="1">
        <v>0</v>
      </c>
      <c r="AX2060" s="1">
        <v>0</v>
      </c>
      <c r="AY2060" s="1">
        <v>0</v>
      </c>
      <c r="AZ2060" s="1">
        <v>0</v>
      </c>
      <c r="BA2060" s="1">
        <v>0</v>
      </c>
      <c r="BB2060" s="1">
        <v>1</v>
      </c>
      <c r="BC2060" s="1">
        <v>0</v>
      </c>
      <c r="BD2060" s="1">
        <v>0</v>
      </c>
      <c r="BE2060" s="1">
        <v>0</v>
      </c>
      <c r="BF2060" s="1">
        <v>0</v>
      </c>
      <c r="BG2060" s="1">
        <v>0</v>
      </c>
      <c r="BH2060" s="1">
        <v>0</v>
      </c>
      <c r="BI2060" s="1">
        <v>0</v>
      </c>
      <c r="BJ2060" s="1">
        <v>0</v>
      </c>
      <c r="BK2060" s="1">
        <v>1</v>
      </c>
      <c r="BL2060" s="1">
        <v>0</v>
      </c>
      <c r="BM2060" s="1">
        <v>0</v>
      </c>
      <c r="BN2060" s="1">
        <v>0</v>
      </c>
      <c r="BO2060" s="1">
        <v>0</v>
      </c>
      <c r="BP2060" s="1">
        <v>0</v>
      </c>
      <c r="BQ2060" s="1" t="s">
        <v>104</v>
      </c>
      <c r="BR2060" s="1">
        <v>2176</v>
      </c>
      <c r="BS2060" s="1" t="s">
        <v>104</v>
      </c>
      <c r="BX2060" s="1">
        <v>0</v>
      </c>
      <c r="BY2060" s="1" t="s">
        <v>104</v>
      </c>
      <c r="BZ2060" s="1" t="s">
        <v>104</v>
      </c>
      <c r="CA2060" s="1">
        <v>3</v>
      </c>
      <c r="CB2060" s="1" t="s">
        <v>104</v>
      </c>
      <c r="CC2060" s="1">
        <v>2</v>
      </c>
      <c r="CD2060" s="1" t="s">
        <v>104</v>
      </c>
      <c r="CE2060" s="1">
        <v>2</v>
      </c>
      <c r="CF2060" s="1" t="s">
        <v>104</v>
      </c>
      <c r="CG2060" s="1" t="s">
        <v>104</v>
      </c>
      <c r="CH2060" s="1" t="s">
        <v>104</v>
      </c>
      <c r="CJ2060" s="1">
        <v>0</v>
      </c>
      <c r="CK2060" s="1">
        <v>0</v>
      </c>
      <c r="CL2060" s="1">
        <v>0</v>
      </c>
      <c r="CM2060" s="1" t="s">
        <v>104</v>
      </c>
    </row>
    <row r="2061" spans="1:91" ht="14.25" customHeight="1" x14ac:dyDescent="0.3">
      <c r="A2061" s="1" t="s">
        <v>10870</v>
      </c>
      <c r="B2061" s="1" t="s">
        <v>162</v>
      </c>
      <c r="D2061" s="1" t="s">
        <v>125</v>
      </c>
      <c r="E2061" s="1" t="s">
        <v>10871</v>
      </c>
      <c r="F2061" s="1" t="s">
        <v>95</v>
      </c>
      <c r="G2061" s="1" t="s">
        <v>116</v>
      </c>
      <c r="H2061" s="1">
        <v>0</v>
      </c>
      <c r="I2061" s="1" t="s">
        <v>157</v>
      </c>
      <c r="L2061" s="1" t="s">
        <v>158</v>
      </c>
      <c r="M2061" s="1" t="s">
        <v>4992</v>
      </c>
      <c r="N2061" s="1">
        <v>1</v>
      </c>
      <c r="O2061" s="1">
        <v>0</v>
      </c>
      <c r="P2061" s="1" t="s">
        <v>375</v>
      </c>
      <c r="Q2061" s="1" t="s">
        <v>131</v>
      </c>
      <c r="R2061" s="1" t="s">
        <v>10872</v>
      </c>
      <c r="S2061" s="1" t="s">
        <v>10570</v>
      </c>
      <c r="T2061" s="1">
        <v>1</v>
      </c>
      <c r="U2061" s="1">
        <v>1</v>
      </c>
      <c r="V2061" s="1">
        <v>0</v>
      </c>
      <c r="W2061" s="1">
        <v>0</v>
      </c>
      <c r="X2061" s="1">
        <v>0</v>
      </c>
      <c r="Y2061" s="1" t="s">
        <v>104</v>
      </c>
      <c r="Z2061" s="1" t="s">
        <v>104</v>
      </c>
      <c r="AA2061" s="1" t="s">
        <v>104</v>
      </c>
      <c r="AB2061" s="1" t="s">
        <v>104</v>
      </c>
      <c r="AC2061" s="1">
        <v>3</v>
      </c>
      <c r="AD2061" s="1">
        <v>2</v>
      </c>
      <c r="AE2061" s="1" t="s">
        <v>104</v>
      </c>
      <c r="AF2061" s="1">
        <v>2</v>
      </c>
      <c r="AG2061" s="1" t="s">
        <v>104</v>
      </c>
      <c r="AH2061" s="1">
        <v>2</v>
      </c>
      <c r="AI2061" s="1">
        <v>2</v>
      </c>
      <c r="AJ2061" s="1" t="s">
        <v>104</v>
      </c>
      <c r="AK2061" s="1" t="s">
        <v>104</v>
      </c>
      <c r="AL2061" s="1" t="s">
        <v>104</v>
      </c>
      <c r="AM2061" s="1" t="s">
        <v>104</v>
      </c>
      <c r="AO2061" s="1">
        <v>2</v>
      </c>
      <c r="AQ2061" s="1" t="s">
        <v>10873</v>
      </c>
      <c r="AR2061" s="1">
        <v>0</v>
      </c>
      <c r="AS2061" s="1">
        <v>0</v>
      </c>
      <c r="AT2061" s="1">
        <v>0</v>
      </c>
      <c r="AU2061" s="1">
        <v>0</v>
      </c>
      <c r="AV2061" s="1">
        <v>0</v>
      </c>
      <c r="AW2061" s="1">
        <v>0</v>
      </c>
      <c r="AX2061" s="1">
        <v>0</v>
      </c>
      <c r="AY2061" s="1">
        <v>0</v>
      </c>
      <c r="AZ2061" s="1">
        <v>0</v>
      </c>
      <c r="BA2061" s="1">
        <v>0</v>
      </c>
      <c r="BB2061" s="1">
        <v>0</v>
      </c>
      <c r="BC2061" s="1">
        <v>0</v>
      </c>
      <c r="BD2061" s="1">
        <v>0</v>
      </c>
      <c r="BE2061" s="1">
        <v>0</v>
      </c>
      <c r="BF2061" s="1">
        <v>0</v>
      </c>
      <c r="BG2061" s="1">
        <v>0</v>
      </c>
      <c r="BH2061" s="1">
        <v>0</v>
      </c>
      <c r="BI2061" s="1">
        <v>0</v>
      </c>
      <c r="BJ2061" s="1">
        <v>0</v>
      </c>
      <c r="BK2061" s="1">
        <v>1</v>
      </c>
      <c r="BL2061" s="1">
        <v>0</v>
      </c>
      <c r="BM2061" s="1">
        <v>0</v>
      </c>
      <c r="BN2061" s="1">
        <v>0</v>
      </c>
      <c r="BO2061" s="1">
        <v>0</v>
      </c>
      <c r="BP2061" s="1">
        <v>0</v>
      </c>
      <c r="BQ2061" s="1" t="s">
        <v>104</v>
      </c>
      <c r="BR2061" s="1">
        <v>2177</v>
      </c>
      <c r="BS2061" s="1" t="s">
        <v>104</v>
      </c>
      <c r="BX2061" s="1">
        <v>0</v>
      </c>
      <c r="BY2061" s="1" t="s">
        <v>104</v>
      </c>
      <c r="BZ2061" s="1">
        <v>2</v>
      </c>
      <c r="CA2061" s="1">
        <v>2</v>
      </c>
      <c r="CB2061" s="1">
        <v>2</v>
      </c>
      <c r="CC2061" s="1">
        <v>2</v>
      </c>
      <c r="CD2061" s="1" t="s">
        <v>104</v>
      </c>
      <c r="CE2061" s="1" t="s">
        <v>104</v>
      </c>
      <c r="CF2061" s="1" t="s">
        <v>104</v>
      </c>
      <c r="CG2061" s="1" t="s">
        <v>104</v>
      </c>
      <c r="CH2061" s="1">
        <v>3</v>
      </c>
      <c r="CJ2061" s="1">
        <v>0</v>
      </c>
      <c r="CK2061" s="1">
        <v>0</v>
      </c>
      <c r="CL2061" s="1">
        <v>0</v>
      </c>
      <c r="CM2061" s="1" t="s">
        <v>104</v>
      </c>
    </row>
    <row r="2062" spans="1:91" ht="14.25" customHeight="1" x14ac:dyDescent="0.3">
      <c r="A2062" s="1" t="s">
        <v>10874</v>
      </c>
      <c r="B2062" s="1" t="s">
        <v>216</v>
      </c>
      <c r="E2062" s="1" t="s">
        <v>10875</v>
      </c>
      <c r="F2062" s="1" t="s">
        <v>95</v>
      </c>
      <c r="G2062" s="1" t="s">
        <v>10876</v>
      </c>
      <c r="H2062" s="1">
        <v>0</v>
      </c>
      <c r="I2062" s="1" t="s">
        <v>117</v>
      </c>
      <c r="L2062" s="1" t="s">
        <v>10877</v>
      </c>
      <c r="M2062" s="1" t="s">
        <v>620</v>
      </c>
      <c r="N2062" s="1">
        <v>1</v>
      </c>
      <c r="O2062" s="1">
        <v>0</v>
      </c>
      <c r="P2062" s="1" t="s">
        <v>211</v>
      </c>
      <c r="Q2062" s="1" t="s">
        <v>184</v>
      </c>
      <c r="R2062" s="1" t="s">
        <v>10878</v>
      </c>
      <c r="S2062" s="1" t="s">
        <v>10570</v>
      </c>
      <c r="T2062" s="1">
        <v>1</v>
      </c>
      <c r="U2062" s="1">
        <v>1</v>
      </c>
      <c r="V2062" s="1">
        <v>0</v>
      </c>
      <c r="W2062" s="1">
        <v>0</v>
      </c>
      <c r="X2062" s="1">
        <v>0</v>
      </c>
      <c r="Y2062" s="1" t="s">
        <v>104</v>
      </c>
      <c r="Z2062" s="1" t="s">
        <v>104</v>
      </c>
      <c r="AA2062" s="1" t="s">
        <v>104</v>
      </c>
      <c r="AB2062" s="1" t="s">
        <v>104</v>
      </c>
      <c r="AC2062" s="1" t="s">
        <v>104</v>
      </c>
      <c r="AD2062" s="1" t="s">
        <v>104</v>
      </c>
      <c r="AE2062" s="1" t="s">
        <v>104</v>
      </c>
      <c r="AF2062" s="1" t="s">
        <v>104</v>
      </c>
      <c r="AG2062" s="1" t="s">
        <v>104</v>
      </c>
      <c r="AH2062" s="1" t="s">
        <v>104</v>
      </c>
      <c r="AI2062" s="1" t="s">
        <v>104</v>
      </c>
      <c r="AJ2062" s="1" t="s">
        <v>104</v>
      </c>
      <c r="AK2062" s="1" t="s">
        <v>104</v>
      </c>
      <c r="AL2062" s="1" t="s">
        <v>104</v>
      </c>
      <c r="AM2062" s="1" t="s">
        <v>104</v>
      </c>
      <c r="AO2062" s="1" t="s">
        <v>104</v>
      </c>
      <c r="AQ2062" s="1" t="s">
        <v>10879</v>
      </c>
      <c r="AR2062" s="1">
        <v>0</v>
      </c>
      <c r="AS2062" s="1">
        <v>0</v>
      </c>
      <c r="AT2062" s="1">
        <v>0</v>
      </c>
      <c r="AU2062" s="1">
        <v>0</v>
      </c>
      <c r="AV2062" s="1">
        <v>0</v>
      </c>
      <c r="AW2062" s="1">
        <v>0</v>
      </c>
      <c r="AX2062" s="1">
        <v>0</v>
      </c>
      <c r="AY2062" s="1">
        <v>0</v>
      </c>
      <c r="AZ2062" s="1">
        <v>0</v>
      </c>
      <c r="BA2062" s="1">
        <v>0</v>
      </c>
      <c r="BB2062" s="1">
        <v>0</v>
      </c>
      <c r="BC2062" s="1">
        <v>0</v>
      </c>
      <c r="BD2062" s="1">
        <v>0</v>
      </c>
      <c r="BE2062" s="1">
        <v>0</v>
      </c>
      <c r="BF2062" s="1">
        <v>0</v>
      </c>
      <c r="BG2062" s="1">
        <v>0</v>
      </c>
      <c r="BH2062" s="1">
        <v>0</v>
      </c>
      <c r="BI2062" s="1">
        <v>0</v>
      </c>
      <c r="BJ2062" s="1">
        <v>0</v>
      </c>
      <c r="BK2062" s="1">
        <v>0</v>
      </c>
      <c r="BL2062" s="1">
        <v>0</v>
      </c>
      <c r="BM2062" s="1">
        <v>0</v>
      </c>
      <c r="BN2062" s="1">
        <v>0</v>
      </c>
      <c r="BO2062" s="1">
        <v>0</v>
      </c>
      <c r="BP2062" s="1">
        <v>0</v>
      </c>
      <c r="BQ2062" s="1" t="s">
        <v>104</v>
      </c>
      <c r="BR2062" s="1">
        <v>2178</v>
      </c>
      <c r="BS2062" s="1" t="s">
        <v>104</v>
      </c>
      <c r="BX2062" s="1">
        <v>0</v>
      </c>
      <c r="BY2062" s="1" t="s">
        <v>104</v>
      </c>
      <c r="BZ2062" s="1" t="s">
        <v>104</v>
      </c>
      <c r="CA2062" s="1">
        <v>5</v>
      </c>
      <c r="CB2062" s="1">
        <v>4</v>
      </c>
      <c r="CC2062" s="1" t="s">
        <v>104</v>
      </c>
      <c r="CD2062" s="1">
        <v>5</v>
      </c>
      <c r="CE2062" s="1">
        <v>4</v>
      </c>
      <c r="CF2062" s="1" t="s">
        <v>104</v>
      </c>
      <c r="CG2062" s="1" t="s">
        <v>104</v>
      </c>
      <c r="CH2062" s="1" t="s">
        <v>104</v>
      </c>
      <c r="CJ2062" s="1">
        <v>0</v>
      </c>
      <c r="CK2062" s="1">
        <v>0</v>
      </c>
      <c r="CL2062" s="1">
        <v>0</v>
      </c>
      <c r="CM2062" s="1" t="s">
        <v>104</v>
      </c>
    </row>
    <row r="2063" spans="1:91" ht="14.25" customHeight="1" x14ac:dyDescent="0.3">
      <c r="A2063" s="1" t="s">
        <v>10880</v>
      </c>
      <c r="B2063" s="1" t="s">
        <v>162</v>
      </c>
      <c r="E2063" s="1" t="s">
        <v>10881</v>
      </c>
      <c r="F2063" s="1" t="s">
        <v>255</v>
      </c>
      <c r="G2063" s="1" t="s">
        <v>116</v>
      </c>
      <c r="H2063" s="1">
        <v>0</v>
      </c>
      <c r="I2063" s="1" t="s">
        <v>128</v>
      </c>
      <c r="L2063" s="1" t="s">
        <v>983</v>
      </c>
      <c r="M2063" s="1" t="s">
        <v>119</v>
      </c>
      <c r="N2063" s="1">
        <v>0</v>
      </c>
      <c r="O2063" s="1">
        <v>0</v>
      </c>
      <c r="P2063" s="1" t="s">
        <v>471</v>
      </c>
      <c r="Q2063" s="1" t="s">
        <v>472</v>
      </c>
      <c r="R2063" s="1" t="s">
        <v>10882</v>
      </c>
      <c r="S2063" s="1" t="s">
        <v>10570</v>
      </c>
      <c r="T2063" s="1">
        <v>1</v>
      </c>
      <c r="U2063" s="1">
        <v>1</v>
      </c>
      <c r="V2063" s="1">
        <v>0</v>
      </c>
      <c r="W2063" s="1">
        <v>0</v>
      </c>
      <c r="X2063" s="1">
        <v>0</v>
      </c>
      <c r="Y2063" s="1" t="s">
        <v>104</v>
      </c>
      <c r="Z2063" s="1" t="s">
        <v>104</v>
      </c>
      <c r="AA2063" s="1" t="s">
        <v>104</v>
      </c>
      <c r="AB2063" s="1" t="s">
        <v>104</v>
      </c>
      <c r="AC2063" s="1" t="s">
        <v>104</v>
      </c>
      <c r="AD2063" s="1" t="s">
        <v>104</v>
      </c>
      <c r="AE2063" s="1" t="s">
        <v>104</v>
      </c>
      <c r="AF2063" s="1" t="s">
        <v>104</v>
      </c>
      <c r="AG2063" s="1" t="s">
        <v>104</v>
      </c>
      <c r="AH2063" s="1" t="s">
        <v>104</v>
      </c>
      <c r="AI2063" s="1" t="s">
        <v>104</v>
      </c>
      <c r="AJ2063" s="1" t="s">
        <v>104</v>
      </c>
      <c r="AK2063" s="1" t="s">
        <v>104</v>
      </c>
      <c r="AL2063" s="1" t="s">
        <v>104</v>
      </c>
      <c r="AM2063" s="1" t="s">
        <v>104</v>
      </c>
      <c r="AO2063" s="1" t="s">
        <v>104</v>
      </c>
      <c r="AQ2063" s="1" t="s">
        <v>10883</v>
      </c>
      <c r="AR2063" s="1">
        <v>0</v>
      </c>
      <c r="AS2063" s="1">
        <v>0</v>
      </c>
      <c r="AT2063" s="1">
        <v>0</v>
      </c>
      <c r="AU2063" s="1">
        <v>0</v>
      </c>
      <c r="AV2063" s="1">
        <v>0</v>
      </c>
      <c r="AW2063" s="1">
        <v>0</v>
      </c>
      <c r="AX2063" s="1">
        <v>0</v>
      </c>
      <c r="AY2063" s="1">
        <v>0</v>
      </c>
      <c r="AZ2063" s="1">
        <v>0</v>
      </c>
      <c r="BA2063" s="1">
        <v>0</v>
      </c>
      <c r="BB2063" s="1">
        <v>0</v>
      </c>
      <c r="BC2063" s="1">
        <v>0</v>
      </c>
      <c r="BD2063" s="1">
        <v>0</v>
      </c>
      <c r="BE2063" s="1">
        <v>0</v>
      </c>
      <c r="BF2063" s="1">
        <v>0</v>
      </c>
      <c r="BG2063" s="1">
        <v>0</v>
      </c>
      <c r="BH2063" s="1">
        <v>0</v>
      </c>
      <c r="BI2063" s="1">
        <v>0</v>
      </c>
      <c r="BJ2063" s="1">
        <v>0</v>
      </c>
      <c r="BK2063" s="1">
        <v>0</v>
      </c>
      <c r="BL2063" s="1">
        <v>0</v>
      </c>
      <c r="BM2063" s="1">
        <v>0</v>
      </c>
      <c r="BN2063" s="1">
        <v>0</v>
      </c>
      <c r="BO2063" s="1">
        <v>0</v>
      </c>
      <c r="BP2063" s="1">
        <v>0</v>
      </c>
      <c r="BQ2063" s="1" t="s">
        <v>104</v>
      </c>
      <c r="BR2063" s="1">
        <v>2179</v>
      </c>
      <c r="BS2063" s="1" t="s">
        <v>104</v>
      </c>
      <c r="BX2063" s="1">
        <v>0</v>
      </c>
      <c r="BY2063" s="1" t="s">
        <v>104</v>
      </c>
      <c r="BZ2063" s="1" t="s">
        <v>104</v>
      </c>
      <c r="CA2063" s="1">
        <v>5</v>
      </c>
      <c r="CB2063" s="1">
        <v>3</v>
      </c>
      <c r="CC2063" s="1">
        <v>4</v>
      </c>
      <c r="CD2063" s="1">
        <v>3</v>
      </c>
      <c r="CE2063" s="1">
        <v>4</v>
      </c>
      <c r="CF2063" s="1" t="s">
        <v>104</v>
      </c>
      <c r="CG2063" s="1" t="s">
        <v>104</v>
      </c>
      <c r="CH2063" s="1" t="s">
        <v>104</v>
      </c>
      <c r="CJ2063" s="1">
        <v>0</v>
      </c>
      <c r="CK2063" s="1">
        <v>0</v>
      </c>
      <c r="CL2063" s="1">
        <v>0</v>
      </c>
      <c r="CM2063" s="1" t="s">
        <v>104</v>
      </c>
    </row>
    <row r="2064" spans="1:91" ht="14.25" customHeight="1" x14ac:dyDescent="0.3">
      <c r="A2064" s="1" t="s">
        <v>10884</v>
      </c>
      <c r="B2064" s="1" t="s">
        <v>92</v>
      </c>
      <c r="C2064" s="1" t="s">
        <v>1160</v>
      </c>
      <c r="E2064" s="1" t="s">
        <v>10885</v>
      </c>
      <c r="F2064" s="1" t="s">
        <v>95</v>
      </c>
      <c r="G2064" s="1" t="s">
        <v>10886</v>
      </c>
      <c r="H2064" s="1">
        <v>0</v>
      </c>
      <c r="I2064" s="1" t="s">
        <v>157</v>
      </c>
      <c r="L2064" s="1" t="s">
        <v>158</v>
      </c>
      <c r="M2064" s="1" t="s">
        <v>620</v>
      </c>
      <c r="N2064" s="1">
        <v>1</v>
      </c>
      <c r="O2064" s="1">
        <v>0</v>
      </c>
      <c r="R2064" s="1" t="s">
        <v>10887</v>
      </c>
      <c r="S2064" s="1" t="s">
        <v>10570</v>
      </c>
      <c r="T2064" s="1">
        <v>0</v>
      </c>
      <c r="U2064" s="1">
        <v>1</v>
      </c>
      <c r="V2064" s="1">
        <v>1</v>
      </c>
      <c r="W2064" s="1">
        <v>0</v>
      </c>
      <c r="X2064" s="1">
        <v>0</v>
      </c>
      <c r="Y2064" s="1" t="s">
        <v>104</v>
      </c>
      <c r="Z2064" s="1" t="s">
        <v>104</v>
      </c>
      <c r="AA2064" s="1" t="s">
        <v>104</v>
      </c>
      <c r="AB2064" s="1" t="s">
        <v>104</v>
      </c>
      <c r="AC2064" s="1" t="s">
        <v>104</v>
      </c>
      <c r="AD2064" s="1" t="s">
        <v>104</v>
      </c>
      <c r="AE2064" s="1" t="s">
        <v>104</v>
      </c>
      <c r="AF2064" s="1" t="s">
        <v>104</v>
      </c>
      <c r="AG2064" s="1" t="s">
        <v>104</v>
      </c>
      <c r="AH2064" s="1" t="s">
        <v>104</v>
      </c>
      <c r="AI2064" s="1" t="s">
        <v>104</v>
      </c>
      <c r="AJ2064" s="1" t="s">
        <v>104</v>
      </c>
      <c r="AK2064" s="1" t="s">
        <v>104</v>
      </c>
      <c r="AL2064" s="1" t="s">
        <v>104</v>
      </c>
      <c r="AM2064" s="1" t="s">
        <v>104</v>
      </c>
      <c r="AO2064" s="1" t="s">
        <v>104</v>
      </c>
      <c r="AQ2064" s="1" t="s">
        <v>10888</v>
      </c>
      <c r="AR2064" s="1">
        <v>0</v>
      </c>
      <c r="AS2064" s="1">
        <v>0</v>
      </c>
      <c r="AT2064" s="1">
        <v>0</v>
      </c>
      <c r="AU2064" s="1">
        <v>0</v>
      </c>
      <c r="AV2064" s="1">
        <v>0</v>
      </c>
      <c r="AW2064" s="1">
        <v>0</v>
      </c>
      <c r="AX2064" s="1">
        <v>0</v>
      </c>
      <c r="AY2064" s="1">
        <v>0</v>
      </c>
      <c r="AZ2064" s="1">
        <v>0</v>
      </c>
      <c r="BA2064" s="1">
        <v>0</v>
      </c>
      <c r="BB2064" s="1">
        <v>0</v>
      </c>
      <c r="BC2064" s="1">
        <v>0</v>
      </c>
      <c r="BD2064" s="1">
        <v>0</v>
      </c>
      <c r="BE2064" s="1">
        <v>0</v>
      </c>
      <c r="BF2064" s="1">
        <v>0</v>
      </c>
      <c r="BG2064" s="1">
        <v>0</v>
      </c>
      <c r="BH2064" s="1">
        <v>0</v>
      </c>
      <c r="BI2064" s="1">
        <v>0</v>
      </c>
      <c r="BJ2064" s="1">
        <v>0</v>
      </c>
      <c r="BK2064" s="1">
        <v>0</v>
      </c>
      <c r="BL2064" s="1">
        <v>0</v>
      </c>
      <c r="BM2064" s="1">
        <v>0</v>
      </c>
      <c r="BN2064" s="1">
        <v>0</v>
      </c>
      <c r="BO2064" s="1">
        <v>0</v>
      </c>
      <c r="BP2064" s="1">
        <v>0</v>
      </c>
      <c r="BQ2064" s="1" t="s">
        <v>104</v>
      </c>
      <c r="BR2064" s="1">
        <v>2180</v>
      </c>
      <c r="BS2064" s="1" t="s">
        <v>104</v>
      </c>
      <c r="BU2064" s="1" t="s">
        <v>10889</v>
      </c>
      <c r="BX2064" s="1">
        <v>0</v>
      </c>
      <c r="BY2064" s="1" t="s">
        <v>104</v>
      </c>
      <c r="BZ2064" s="1" t="s">
        <v>104</v>
      </c>
      <c r="CA2064" s="1">
        <v>5</v>
      </c>
      <c r="CB2064" s="1" t="s">
        <v>104</v>
      </c>
      <c r="CC2064" s="1" t="s">
        <v>104</v>
      </c>
      <c r="CD2064" s="1" t="s">
        <v>104</v>
      </c>
      <c r="CE2064" s="1">
        <v>4</v>
      </c>
      <c r="CF2064" s="1" t="s">
        <v>104</v>
      </c>
      <c r="CG2064" s="1" t="s">
        <v>104</v>
      </c>
      <c r="CH2064" s="1" t="s">
        <v>104</v>
      </c>
      <c r="CJ2064" s="1">
        <v>0</v>
      </c>
      <c r="CK2064" s="1">
        <v>0</v>
      </c>
      <c r="CL2064" s="1">
        <v>0</v>
      </c>
      <c r="CM2064" s="1" t="s">
        <v>104</v>
      </c>
    </row>
    <row r="2065" spans="1:91" ht="14.25" customHeight="1" x14ac:dyDescent="0.3">
      <c r="A2065" s="1" t="s">
        <v>10890</v>
      </c>
      <c r="B2065" s="1" t="s">
        <v>92</v>
      </c>
      <c r="C2065" s="1" t="s">
        <v>1160</v>
      </c>
      <c r="E2065" s="1" t="s">
        <v>10891</v>
      </c>
      <c r="F2065" s="1" t="s">
        <v>95</v>
      </c>
      <c r="G2065" s="1" t="s">
        <v>10886</v>
      </c>
      <c r="H2065" s="1">
        <v>0</v>
      </c>
      <c r="I2065" s="1" t="s">
        <v>117</v>
      </c>
      <c r="L2065" s="1" t="s">
        <v>1065</v>
      </c>
      <c r="M2065" s="1" t="s">
        <v>620</v>
      </c>
      <c r="N2065" s="1">
        <v>1</v>
      </c>
      <c r="O2065" s="1">
        <v>0</v>
      </c>
      <c r="P2065" s="1" t="s">
        <v>6439</v>
      </c>
      <c r="Q2065" s="1" t="s">
        <v>184</v>
      </c>
      <c r="R2065" s="1" t="s">
        <v>10892</v>
      </c>
      <c r="S2065" s="1" t="s">
        <v>10570</v>
      </c>
      <c r="T2065" s="1">
        <v>0</v>
      </c>
      <c r="U2065" s="1">
        <v>1</v>
      </c>
      <c r="V2065" s="1">
        <v>1</v>
      </c>
      <c r="W2065" s="1">
        <v>0</v>
      </c>
      <c r="X2065" s="1">
        <v>0</v>
      </c>
      <c r="Y2065" s="1" t="s">
        <v>104</v>
      </c>
      <c r="Z2065" s="1" t="s">
        <v>104</v>
      </c>
      <c r="AA2065" s="1" t="s">
        <v>104</v>
      </c>
      <c r="AB2065" s="1" t="s">
        <v>104</v>
      </c>
      <c r="AC2065" s="1" t="s">
        <v>104</v>
      </c>
      <c r="AD2065" s="1" t="s">
        <v>104</v>
      </c>
      <c r="AE2065" s="1" t="s">
        <v>104</v>
      </c>
      <c r="AF2065" s="1" t="s">
        <v>104</v>
      </c>
      <c r="AG2065" s="1" t="s">
        <v>104</v>
      </c>
      <c r="AH2065" s="1" t="s">
        <v>104</v>
      </c>
      <c r="AI2065" s="1" t="s">
        <v>104</v>
      </c>
      <c r="AJ2065" s="1" t="s">
        <v>104</v>
      </c>
      <c r="AK2065" s="1" t="s">
        <v>104</v>
      </c>
      <c r="AL2065" s="1" t="s">
        <v>104</v>
      </c>
      <c r="AM2065" s="1" t="s">
        <v>104</v>
      </c>
      <c r="AO2065" s="1" t="s">
        <v>104</v>
      </c>
      <c r="AQ2065" s="1" t="s">
        <v>10893</v>
      </c>
      <c r="AR2065" s="1">
        <v>0</v>
      </c>
      <c r="AS2065" s="1">
        <v>0</v>
      </c>
      <c r="AT2065" s="1">
        <v>0</v>
      </c>
      <c r="AU2065" s="1">
        <v>0</v>
      </c>
      <c r="AV2065" s="1">
        <v>0</v>
      </c>
      <c r="AW2065" s="1">
        <v>0</v>
      </c>
      <c r="AX2065" s="1">
        <v>0</v>
      </c>
      <c r="AY2065" s="1">
        <v>0</v>
      </c>
      <c r="AZ2065" s="1">
        <v>0</v>
      </c>
      <c r="BA2065" s="1">
        <v>0</v>
      </c>
      <c r="BB2065" s="1">
        <v>0</v>
      </c>
      <c r="BC2065" s="1">
        <v>0</v>
      </c>
      <c r="BD2065" s="1">
        <v>0</v>
      </c>
      <c r="BE2065" s="1">
        <v>0</v>
      </c>
      <c r="BF2065" s="1">
        <v>0</v>
      </c>
      <c r="BG2065" s="1">
        <v>0</v>
      </c>
      <c r="BH2065" s="1">
        <v>0</v>
      </c>
      <c r="BI2065" s="1">
        <v>0</v>
      </c>
      <c r="BJ2065" s="1">
        <v>0</v>
      </c>
      <c r="BK2065" s="1">
        <v>0</v>
      </c>
      <c r="BL2065" s="1">
        <v>0</v>
      </c>
      <c r="BM2065" s="1">
        <v>0</v>
      </c>
      <c r="BN2065" s="1">
        <v>0</v>
      </c>
      <c r="BO2065" s="1">
        <v>0</v>
      </c>
      <c r="BP2065" s="1">
        <v>0</v>
      </c>
      <c r="BQ2065" s="1" t="s">
        <v>104</v>
      </c>
      <c r="BR2065" s="1">
        <v>2181</v>
      </c>
      <c r="BS2065" s="1" t="s">
        <v>104</v>
      </c>
      <c r="BU2065" s="1" t="s">
        <v>10894</v>
      </c>
      <c r="BX2065" s="1">
        <v>0</v>
      </c>
      <c r="BY2065" s="1" t="s">
        <v>104</v>
      </c>
      <c r="BZ2065" s="1" t="s">
        <v>104</v>
      </c>
      <c r="CA2065" s="1">
        <v>7</v>
      </c>
      <c r="CB2065" s="1" t="s">
        <v>104</v>
      </c>
      <c r="CC2065" s="1" t="s">
        <v>104</v>
      </c>
      <c r="CD2065" s="1" t="s">
        <v>104</v>
      </c>
      <c r="CE2065" s="1">
        <v>5</v>
      </c>
      <c r="CF2065" s="1" t="s">
        <v>104</v>
      </c>
      <c r="CG2065" s="1" t="s">
        <v>104</v>
      </c>
      <c r="CH2065" s="1" t="s">
        <v>104</v>
      </c>
      <c r="CJ2065" s="1">
        <v>0</v>
      </c>
      <c r="CK2065" s="1">
        <v>0</v>
      </c>
      <c r="CL2065" s="1">
        <v>0</v>
      </c>
      <c r="CM2065" s="1" t="s">
        <v>104</v>
      </c>
    </row>
    <row r="2066" spans="1:91" ht="14.25" customHeight="1" x14ac:dyDescent="0.3">
      <c r="A2066" s="1" t="s">
        <v>10895</v>
      </c>
      <c r="B2066" s="1" t="s">
        <v>137</v>
      </c>
      <c r="E2066" s="1" t="s">
        <v>10896</v>
      </c>
      <c r="F2066" s="1" t="s">
        <v>95</v>
      </c>
      <c r="G2066" s="1" t="s">
        <v>1802</v>
      </c>
      <c r="H2066" s="1">
        <v>0</v>
      </c>
      <c r="I2066" s="1" t="s">
        <v>157</v>
      </c>
      <c r="L2066" s="1" t="s">
        <v>158</v>
      </c>
      <c r="M2066" s="1" t="s">
        <v>4641</v>
      </c>
      <c r="N2066" s="1">
        <v>1</v>
      </c>
      <c r="O2066" s="1">
        <v>0</v>
      </c>
      <c r="R2066" s="1" t="s">
        <v>10897</v>
      </c>
      <c r="S2066" s="1" t="s">
        <v>10570</v>
      </c>
      <c r="T2066" s="1">
        <v>0</v>
      </c>
      <c r="U2066" s="1">
        <v>1</v>
      </c>
      <c r="V2066" s="1">
        <v>0</v>
      </c>
      <c r="W2066" s="1">
        <v>0</v>
      </c>
      <c r="X2066" s="1">
        <v>0</v>
      </c>
      <c r="Y2066" s="1" t="s">
        <v>104</v>
      </c>
      <c r="Z2066" s="1" t="s">
        <v>104</v>
      </c>
      <c r="AA2066" s="1" t="s">
        <v>104</v>
      </c>
      <c r="AB2066" s="1" t="s">
        <v>104</v>
      </c>
      <c r="AC2066" s="1" t="s">
        <v>104</v>
      </c>
      <c r="AD2066" s="1" t="s">
        <v>104</v>
      </c>
      <c r="AE2066" s="1" t="s">
        <v>104</v>
      </c>
      <c r="AF2066" s="1" t="s">
        <v>104</v>
      </c>
      <c r="AG2066" s="1" t="s">
        <v>104</v>
      </c>
      <c r="AH2066" s="1" t="s">
        <v>104</v>
      </c>
      <c r="AI2066" s="1" t="s">
        <v>104</v>
      </c>
      <c r="AJ2066" s="1" t="s">
        <v>104</v>
      </c>
      <c r="AK2066" s="1" t="s">
        <v>104</v>
      </c>
      <c r="AL2066" s="1">
        <v>4</v>
      </c>
      <c r="AM2066" s="1" t="s">
        <v>104</v>
      </c>
      <c r="AO2066" s="1" t="s">
        <v>104</v>
      </c>
      <c r="AQ2066" s="1" t="s">
        <v>10898</v>
      </c>
      <c r="AR2066" s="1">
        <v>0</v>
      </c>
      <c r="AS2066" s="1">
        <v>0</v>
      </c>
      <c r="AT2066" s="1">
        <v>0</v>
      </c>
      <c r="AU2066" s="1">
        <v>0</v>
      </c>
      <c r="AV2066" s="1">
        <v>0</v>
      </c>
      <c r="AW2066" s="1">
        <v>0</v>
      </c>
      <c r="AX2066" s="1">
        <v>0</v>
      </c>
      <c r="AY2066" s="1">
        <v>0</v>
      </c>
      <c r="AZ2066" s="1">
        <v>0</v>
      </c>
      <c r="BA2066" s="1">
        <v>0</v>
      </c>
      <c r="BB2066" s="1">
        <v>0</v>
      </c>
      <c r="BC2066" s="1">
        <v>0</v>
      </c>
      <c r="BD2066" s="1">
        <v>0</v>
      </c>
      <c r="BE2066" s="1">
        <v>0</v>
      </c>
      <c r="BF2066" s="1">
        <v>0</v>
      </c>
      <c r="BG2066" s="1">
        <v>0</v>
      </c>
      <c r="BH2066" s="1">
        <v>0</v>
      </c>
      <c r="BI2066" s="1">
        <v>0</v>
      </c>
      <c r="BJ2066" s="1">
        <v>0</v>
      </c>
      <c r="BK2066" s="1">
        <v>0</v>
      </c>
      <c r="BL2066" s="1">
        <v>0</v>
      </c>
      <c r="BM2066" s="1">
        <v>0</v>
      </c>
      <c r="BN2066" s="1">
        <v>0</v>
      </c>
      <c r="BO2066" s="1">
        <v>0</v>
      </c>
      <c r="BP2066" s="1">
        <v>0</v>
      </c>
      <c r="BQ2066" s="1" t="s">
        <v>104</v>
      </c>
      <c r="BR2066" s="1">
        <v>2182</v>
      </c>
      <c r="BS2066" s="1" t="s">
        <v>104</v>
      </c>
      <c r="BX2066" s="1">
        <v>0</v>
      </c>
      <c r="BY2066" s="1" t="s">
        <v>104</v>
      </c>
      <c r="BZ2066" s="1" t="s">
        <v>104</v>
      </c>
      <c r="CA2066" s="1" t="s">
        <v>104</v>
      </c>
      <c r="CB2066" s="1" t="s">
        <v>104</v>
      </c>
      <c r="CC2066" s="1" t="s">
        <v>104</v>
      </c>
      <c r="CD2066" s="1" t="s">
        <v>104</v>
      </c>
      <c r="CE2066" s="1">
        <v>3</v>
      </c>
      <c r="CF2066" s="1" t="s">
        <v>104</v>
      </c>
      <c r="CG2066" s="1" t="s">
        <v>104</v>
      </c>
      <c r="CH2066" s="1" t="s">
        <v>104</v>
      </c>
      <c r="CJ2066" s="1">
        <v>0</v>
      </c>
      <c r="CK2066" s="1">
        <v>0</v>
      </c>
      <c r="CL2066" s="1">
        <v>0</v>
      </c>
      <c r="CM2066" s="1" t="s">
        <v>104</v>
      </c>
    </row>
    <row r="2067" spans="1:91" ht="14.25" customHeight="1" x14ac:dyDescent="0.3">
      <c r="A2067" s="1" t="s">
        <v>10899</v>
      </c>
      <c r="B2067" s="1" t="s">
        <v>434</v>
      </c>
      <c r="D2067" s="1" t="s">
        <v>57</v>
      </c>
      <c r="E2067" s="1" t="s">
        <v>10900</v>
      </c>
      <c r="F2067" s="1" t="s">
        <v>95</v>
      </c>
      <c r="G2067" s="1" t="s">
        <v>10901</v>
      </c>
      <c r="H2067" s="1">
        <v>0</v>
      </c>
      <c r="I2067" s="1" t="s">
        <v>109</v>
      </c>
      <c r="J2067" s="1" t="s">
        <v>10902</v>
      </c>
      <c r="M2067" s="1" t="s">
        <v>620</v>
      </c>
      <c r="N2067" s="1">
        <v>1</v>
      </c>
      <c r="O2067" s="1">
        <v>0</v>
      </c>
      <c r="P2067" s="1" t="s">
        <v>10903</v>
      </c>
      <c r="Q2067" s="1" t="s">
        <v>101</v>
      </c>
      <c r="R2067" s="1" t="s">
        <v>10904</v>
      </c>
      <c r="S2067" s="1" t="s">
        <v>10570</v>
      </c>
      <c r="T2067" s="1">
        <v>0</v>
      </c>
      <c r="U2067" s="1">
        <v>1</v>
      </c>
      <c r="V2067" s="1">
        <v>1</v>
      </c>
      <c r="W2067" s="1">
        <v>0</v>
      </c>
      <c r="X2067" s="1">
        <v>0</v>
      </c>
      <c r="Y2067" s="1" t="s">
        <v>104</v>
      </c>
      <c r="Z2067" s="1" t="s">
        <v>104</v>
      </c>
      <c r="AA2067" s="1" t="s">
        <v>104</v>
      </c>
      <c r="AB2067" s="1" t="s">
        <v>104</v>
      </c>
      <c r="AC2067" s="1" t="s">
        <v>104</v>
      </c>
      <c r="AD2067" s="1" t="s">
        <v>104</v>
      </c>
      <c r="AE2067" s="1" t="s">
        <v>104</v>
      </c>
      <c r="AF2067" s="1" t="s">
        <v>104</v>
      </c>
      <c r="AG2067" s="1" t="s">
        <v>104</v>
      </c>
      <c r="AH2067" s="1" t="s">
        <v>104</v>
      </c>
      <c r="AI2067" s="1" t="s">
        <v>104</v>
      </c>
      <c r="AJ2067" s="1" t="s">
        <v>104</v>
      </c>
      <c r="AK2067" s="1" t="s">
        <v>104</v>
      </c>
      <c r="AL2067" s="1" t="s">
        <v>104</v>
      </c>
      <c r="AM2067" s="1" t="s">
        <v>104</v>
      </c>
      <c r="AO2067" s="1" t="s">
        <v>104</v>
      </c>
      <c r="AQ2067" s="1" t="s">
        <v>10905</v>
      </c>
      <c r="AR2067" s="1">
        <v>0</v>
      </c>
      <c r="AS2067" s="1">
        <v>0</v>
      </c>
      <c r="AT2067" s="1">
        <v>0</v>
      </c>
      <c r="AU2067" s="1">
        <v>0</v>
      </c>
      <c r="AV2067" s="1">
        <v>0</v>
      </c>
      <c r="AW2067" s="1">
        <v>0</v>
      </c>
      <c r="AX2067" s="1">
        <v>0</v>
      </c>
      <c r="AY2067" s="1">
        <v>0</v>
      </c>
      <c r="AZ2067" s="1">
        <v>0</v>
      </c>
      <c r="BA2067" s="1">
        <v>0</v>
      </c>
      <c r="BB2067" s="1">
        <v>0</v>
      </c>
      <c r="BC2067" s="1">
        <v>0</v>
      </c>
      <c r="BD2067" s="1">
        <v>0</v>
      </c>
      <c r="BE2067" s="1">
        <v>0</v>
      </c>
      <c r="BF2067" s="1">
        <v>1</v>
      </c>
      <c r="BG2067" s="1">
        <v>0</v>
      </c>
      <c r="BH2067" s="1">
        <v>0</v>
      </c>
      <c r="BI2067" s="1">
        <v>0</v>
      </c>
      <c r="BJ2067" s="1">
        <v>0</v>
      </c>
      <c r="BK2067" s="1">
        <v>0</v>
      </c>
      <c r="BL2067" s="1">
        <v>0</v>
      </c>
      <c r="BM2067" s="1">
        <v>0</v>
      </c>
      <c r="BN2067" s="1">
        <v>0</v>
      </c>
      <c r="BO2067" s="1">
        <v>0</v>
      </c>
      <c r="BP2067" s="1">
        <v>0</v>
      </c>
      <c r="BQ2067" s="1" t="s">
        <v>104</v>
      </c>
      <c r="BR2067" s="1">
        <v>2183</v>
      </c>
      <c r="BS2067" s="1" t="s">
        <v>104</v>
      </c>
      <c r="BX2067" s="1">
        <v>0</v>
      </c>
      <c r="BY2067" s="1" t="s">
        <v>104</v>
      </c>
      <c r="BZ2067" s="1" t="s">
        <v>104</v>
      </c>
      <c r="CA2067" s="1">
        <v>5</v>
      </c>
      <c r="CB2067" s="1" t="s">
        <v>104</v>
      </c>
      <c r="CC2067" s="1" t="s">
        <v>104</v>
      </c>
      <c r="CD2067" s="1">
        <v>4</v>
      </c>
      <c r="CE2067" s="1">
        <v>4</v>
      </c>
      <c r="CF2067" s="1" t="s">
        <v>104</v>
      </c>
      <c r="CG2067" s="1" t="s">
        <v>104</v>
      </c>
      <c r="CH2067" s="1" t="s">
        <v>104</v>
      </c>
      <c r="CJ2067" s="1">
        <v>0</v>
      </c>
      <c r="CK2067" s="1">
        <v>0</v>
      </c>
      <c r="CL2067" s="1">
        <v>0</v>
      </c>
      <c r="CM2067" s="1" t="s">
        <v>104</v>
      </c>
    </row>
    <row r="2068" spans="1:91" ht="14.25" customHeight="1" x14ac:dyDescent="0.3">
      <c r="A2068" s="1" t="s">
        <v>10906</v>
      </c>
      <c r="B2068" s="1" t="s">
        <v>434</v>
      </c>
      <c r="E2068" s="1" t="s">
        <v>10907</v>
      </c>
      <c r="F2068" s="1" t="s">
        <v>95</v>
      </c>
      <c r="G2068" s="1" t="s">
        <v>116</v>
      </c>
      <c r="H2068" s="1">
        <v>0</v>
      </c>
      <c r="I2068" s="1" t="s">
        <v>117</v>
      </c>
      <c r="L2068" s="1" t="s">
        <v>10908</v>
      </c>
      <c r="M2068" s="1" t="s">
        <v>119</v>
      </c>
      <c r="N2068" s="1">
        <v>0</v>
      </c>
      <c r="O2068" s="1">
        <v>0</v>
      </c>
      <c r="P2068" s="1" t="s">
        <v>4935</v>
      </c>
      <c r="Q2068" s="1" t="s">
        <v>184</v>
      </c>
      <c r="R2068" s="1" t="s">
        <v>10909</v>
      </c>
      <c r="S2068" s="1" t="s">
        <v>10570</v>
      </c>
      <c r="T2068" s="1">
        <v>1</v>
      </c>
      <c r="U2068" s="1">
        <v>1</v>
      </c>
      <c r="V2068" s="1">
        <v>0</v>
      </c>
      <c r="W2068" s="1">
        <v>0</v>
      </c>
      <c r="X2068" s="1">
        <v>0</v>
      </c>
      <c r="Y2068" s="1">
        <v>6</v>
      </c>
      <c r="Z2068" s="1">
        <v>6</v>
      </c>
      <c r="AA2068" s="1" t="s">
        <v>104</v>
      </c>
      <c r="AB2068" s="1" t="s">
        <v>104</v>
      </c>
      <c r="AC2068" s="1" t="s">
        <v>104</v>
      </c>
      <c r="AD2068" s="1" t="s">
        <v>104</v>
      </c>
      <c r="AE2068" s="1" t="s">
        <v>104</v>
      </c>
      <c r="AF2068" s="1" t="s">
        <v>104</v>
      </c>
      <c r="AG2068" s="1" t="s">
        <v>104</v>
      </c>
      <c r="AH2068" s="1" t="s">
        <v>104</v>
      </c>
      <c r="AI2068" s="1" t="s">
        <v>104</v>
      </c>
      <c r="AJ2068" s="1" t="s">
        <v>104</v>
      </c>
      <c r="AK2068" s="1" t="s">
        <v>104</v>
      </c>
      <c r="AL2068" s="1">
        <v>6</v>
      </c>
      <c r="AM2068" s="1" t="s">
        <v>104</v>
      </c>
      <c r="AO2068" s="1">
        <v>6</v>
      </c>
      <c r="AQ2068" s="1" t="s">
        <v>10910</v>
      </c>
      <c r="AR2068" s="1">
        <v>0</v>
      </c>
      <c r="AS2068" s="1">
        <v>0</v>
      </c>
      <c r="AT2068" s="1">
        <v>0</v>
      </c>
      <c r="AU2068" s="1">
        <v>0</v>
      </c>
      <c r="AV2068" s="1">
        <v>0</v>
      </c>
      <c r="AW2068" s="1">
        <v>0</v>
      </c>
      <c r="AX2068" s="1">
        <v>0</v>
      </c>
      <c r="AY2068" s="1">
        <v>0</v>
      </c>
      <c r="AZ2068" s="1">
        <v>0</v>
      </c>
      <c r="BA2068" s="1">
        <v>0</v>
      </c>
      <c r="BB2068" s="1">
        <v>0</v>
      </c>
      <c r="BC2068" s="1">
        <v>0</v>
      </c>
      <c r="BD2068" s="1">
        <v>0</v>
      </c>
      <c r="BE2068" s="1">
        <v>0</v>
      </c>
      <c r="BF2068" s="1">
        <v>0</v>
      </c>
      <c r="BG2068" s="1">
        <v>0</v>
      </c>
      <c r="BH2068" s="1">
        <v>0</v>
      </c>
      <c r="BI2068" s="1">
        <v>0</v>
      </c>
      <c r="BJ2068" s="1">
        <v>0</v>
      </c>
      <c r="BK2068" s="1">
        <v>0</v>
      </c>
      <c r="BL2068" s="1">
        <v>0</v>
      </c>
      <c r="BM2068" s="1">
        <v>0</v>
      </c>
      <c r="BN2068" s="1">
        <v>0</v>
      </c>
      <c r="BO2068" s="1">
        <v>0</v>
      </c>
      <c r="BP2068" s="1">
        <v>0</v>
      </c>
      <c r="BQ2068" s="1" t="s">
        <v>104</v>
      </c>
      <c r="BR2068" s="1">
        <v>2184</v>
      </c>
      <c r="BS2068" s="1" t="s">
        <v>104</v>
      </c>
      <c r="BX2068" s="1">
        <v>0</v>
      </c>
      <c r="BY2068" s="1" t="s">
        <v>104</v>
      </c>
      <c r="BZ2068" s="1" t="s">
        <v>104</v>
      </c>
      <c r="CA2068" s="1">
        <v>5</v>
      </c>
      <c r="CB2068" s="1" t="s">
        <v>104</v>
      </c>
      <c r="CC2068" s="1" t="s">
        <v>104</v>
      </c>
      <c r="CD2068" s="1" t="s">
        <v>104</v>
      </c>
      <c r="CE2068" s="1" t="s">
        <v>104</v>
      </c>
      <c r="CF2068" s="1" t="s">
        <v>104</v>
      </c>
      <c r="CG2068" s="1" t="s">
        <v>104</v>
      </c>
      <c r="CH2068" s="1" t="s">
        <v>104</v>
      </c>
      <c r="CJ2068" s="1">
        <v>0</v>
      </c>
      <c r="CK2068" s="1">
        <v>0</v>
      </c>
      <c r="CL2068" s="1">
        <v>0</v>
      </c>
      <c r="CM2068" s="1" t="s">
        <v>104</v>
      </c>
    </row>
    <row r="2069" spans="1:91" ht="14.25" customHeight="1" x14ac:dyDescent="0.3">
      <c r="A2069" s="1" t="s">
        <v>10911</v>
      </c>
      <c r="B2069" s="1" t="s">
        <v>123</v>
      </c>
      <c r="C2069" s="1" t="s">
        <v>124</v>
      </c>
      <c r="D2069" s="1" t="s">
        <v>53</v>
      </c>
      <c r="E2069" s="1" t="s">
        <v>10912</v>
      </c>
      <c r="F2069" s="1" t="s">
        <v>95</v>
      </c>
      <c r="G2069" s="1" t="s">
        <v>1974</v>
      </c>
      <c r="H2069" s="1">
        <v>0</v>
      </c>
      <c r="I2069" s="1" t="s">
        <v>117</v>
      </c>
      <c r="L2069" s="1" t="s">
        <v>10913</v>
      </c>
      <c r="M2069" s="1" t="s">
        <v>620</v>
      </c>
      <c r="N2069" s="1">
        <v>1</v>
      </c>
      <c r="O2069" s="1">
        <v>0</v>
      </c>
      <c r="P2069" s="1" t="s">
        <v>211</v>
      </c>
      <c r="Q2069" s="1" t="s">
        <v>184</v>
      </c>
      <c r="R2069" s="1" t="s">
        <v>10914</v>
      </c>
      <c r="S2069" s="1" t="s">
        <v>10570</v>
      </c>
      <c r="T2069" s="1">
        <v>0</v>
      </c>
      <c r="U2069" s="1">
        <v>1</v>
      </c>
      <c r="V2069" s="1">
        <v>0</v>
      </c>
      <c r="W2069" s="1">
        <v>0</v>
      </c>
      <c r="X2069" s="1">
        <v>1</v>
      </c>
      <c r="Y2069" s="1" t="s">
        <v>104</v>
      </c>
      <c r="Z2069" s="1" t="s">
        <v>104</v>
      </c>
      <c r="AA2069" s="1" t="s">
        <v>104</v>
      </c>
      <c r="AB2069" s="1" t="s">
        <v>104</v>
      </c>
      <c r="AC2069" s="1" t="s">
        <v>104</v>
      </c>
      <c r="AD2069" s="1" t="s">
        <v>104</v>
      </c>
      <c r="AE2069" s="1" t="s">
        <v>104</v>
      </c>
      <c r="AF2069" s="1" t="s">
        <v>104</v>
      </c>
      <c r="AG2069" s="1" t="s">
        <v>104</v>
      </c>
      <c r="AH2069" s="1" t="s">
        <v>104</v>
      </c>
      <c r="AI2069" s="1">
        <v>5</v>
      </c>
      <c r="AJ2069" s="1" t="s">
        <v>104</v>
      </c>
      <c r="AK2069" s="1">
        <v>4</v>
      </c>
      <c r="AL2069" s="1" t="s">
        <v>104</v>
      </c>
      <c r="AM2069" s="1" t="s">
        <v>104</v>
      </c>
      <c r="AO2069" s="1" t="s">
        <v>104</v>
      </c>
      <c r="AQ2069" s="1" t="s">
        <v>10915</v>
      </c>
      <c r="AR2069" s="1">
        <v>0</v>
      </c>
      <c r="AS2069" s="1">
        <v>0</v>
      </c>
      <c r="AT2069" s="1">
        <v>0</v>
      </c>
      <c r="AU2069" s="1">
        <v>0</v>
      </c>
      <c r="AV2069" s="1">
        <v>0</v>
      </c>
      <c r="AW2069" s="1">
        <v>0</v>
      </c>
      <c r="AX2069" s="1">
        <v>0</v>
      </c>
      <c r="AY2069" s="1">
        <v>0</v>
      </c>
      <c r="AZ2069" s="1">
        <v>0</v>
      </c>
      <c r="BA2069" s="1">
        <v>0</v>
      </c>
      <c r="BB2069" s="1">
        <v>1</v>
      </c>
      <c r="BC2069" s="1">
        <v>0</v>
      </c>
      <c r="BD2069" s="1">
        <v>0</v>
      </c>
      <c r="BE2069" s="1">
        <v>0</v>
      </c>
      <c r="BF2069" s="1">
        <v>0</v>
      </c>
      <c r="BG2069" s="1">
        <v>0</v>
      </c>
      <c r="BH2069" s="1">
        <v>0</v>
      </c>
      <c r="BI2069" s="1">
        <v>0</v>
      </c>
      <c r="BJ2069" s="1">
        <v>0</v>
      </c>
      <c r="BK2069" s="1">
        <v>0</v>
      </c>
      <c r="BL2069" s="1">
        <v>0</v>
      </c>
      <c r="BM2069" s="1">
        <v>0</v>
      </c>
      <c r="BN2069" s="1">
        <v>0</v>
      </c>
      <c r="BO2069" s="1">
        <v>0</v>
      </c>
      <c r="BP2069" s="1">
        <v>0</v>
      </c>
      <c r="BQ2069" s="1" t="s">
        <v>104</v>
      </c>
      <c r="BR2069" s="1">
        <v>2185</v>
      </c>
      <c r="BS2069" s="1" t="s">
        <v>104</v>
      </c>
      <c r="BX2069" s="1">
        <v>0</v>
      </c>
      <c r="BY2069" s="1" t="s">
        <v>104</v>
      </c>
      <c r="BZ2069" s="1" t="s">
        <v>104</v>
      </c>
      <c r="CA2069" s="1">
        <v>6</v>
      </c>
      <c r="CB2069" s="1" t="s">
        <v>104</v>
      </c>
      <c r="CC2069" s="1">
        <v>5</v>
      </c>
      <c r="CD2069" s="1" t="s">
        <v>104</v>
      </c>
      <c r="CE2069" s="1">
        <v>5</v>
      </c>
      <c r="CF2069" s="1" t="s">
        <v>104</v>
      </c>
      <c r="CG2069" s="1" t="s">
        <v>104</v>
      </c>
      <c r="CH2069" s="1" t="s">
        <v>104</v>
      </c>
      <c r="CJ2069" s="1">
        <v>0</v>
      </c>
      <c r="CK2069" s="1">
        <v>0</v>
      </c>
      <c r="CL2069" s="1">
        <v>0</v>
      </c>
      <c r="CM2069" s="1" t="s">
        <v>104</v>
      </c>
    </row>
    <row r="2070" spans="1:91" ht="14.25" customHeight="1" x14ac:dyDescent="0.3">
      <c r="A2070" s="1" t="s">
        <v>10916</v>
      </c>
      <c r="B2070" s="1" t="s">
        <v>434</v>
      </c>
      <c r="E2070" s="1" t="s">
        <v>10917</v>
      </c>
      <c r="F2070" s="1" t="s">
        <v>95</v>
      </c>
      <c r="G2070" s="1" t="s">
        <v>116</v>
      </c>
      <c r="H2070" s="1">
        <v>0</v>
      </c>
      <c r="I2070" s="1" t="s">
        <v>705</v>
      </c>
      <c r="K2070" s="1" t="s">
        <v>10918</v>
      </c>
      <c r="M2070" s="1" t="s">
        <v>426</v>
      </c>
      <c r="N2070" s="1">
        <v>1</v>
      </c>
      <c r="O2070" s="1">
        <v>0</v>
      </c>
      <c r="P2070" s="1" t="s">
        <v>100</v>
      </c>
      <c r="Q2070" s="1" t="s">
        <v>184</v>
      </c>
      <c r="R2070" s="1" t="s">
        <v>10919</v>
      </c>
      <c r="S2070" s="1" t="s">
        <v>10570</v>
      </c>
      <c r="T2070" s="1">
        <v>1</v>
      </c>
      <c r="U2070" s="1">
        <v>1</v>
      </c>
      <c r="V2070" s="1">
        <v>0</v>
      </c>
      <c r="W2070" s="1">
        <v>0</v>
      </c>
      <c r="X2070" s="1">
        <v>0</v>
      </c>
      <c r="Y2070" s="1">
        <v>2</v>
      </c>
      <c r="Z2070" s="1">
        <v>2</v>
      </c>
      <c r="AA2070" s="1">
        <v>2</v>
      </c>
      <c r="AB2070" s="1" t="s">
        <v>104</v>
      </c>
      <c r="AC2070" s="1" t="s">
        <v>104</v>
      </c>
      <c r="AD2070" s="1" t="s">
        <v>104</v>
      </c>
      <c r="AE2070" s="1" t="s">
        <v>104</v>
      </c>
      <c r="AF2070" s="1" t="s">
        <v>104</v>
      </c>
      <c r="AG2070" s="1" t="s">
        <v>104</v>
      </c>
      <c r="AH2070" s="1">
        <v>2</v>
      </c>
      <c r="AI2070" s="1">
        <v>2</v>
      </c>
      <c r="AJ2070" s="1">
        <v>2</v>
      </c>
      <c r="AK2070" s="1" t="s">
        <v>104</v>
      </c>
      <c r="AL2070" s="1">
        <v>2</v>
      </c>
      <c r="AM2070" s="1" t="s">
        <v>104</v>
      </c>
      <c r="AO2070" s="1">
        <v>2</v>
      </c>
      <c r="AQ2070" s="1" t="s">
        <v>10920</v>
      </c>
      <c r="AR2070" s="1">
        <v>0</v>
      </c>
      <c r="AS2070" s="1">
        <v>0</v>
      </c>
      <c r="AT2070" s="1">
        <v>0</v>
      </c>
      <c r="AU2070" s="1">
        <v>0</v>
      </c>
      <c r="AV2070" s="1">
        <v>0</v>
      </c>
      <c r="AW2070" s="1">
        <v>0</v>
      </c>
      <c r="AX2070" s="1">
        <v>0</v>
      </c>
      <c r="AY2070" s="1">
        <v>0</v>
      </c>
      <c r="AZ2070" s="1">
        <v>0</v>
      </c>
      <c r="BA2070" s="1">
        <v>0</v>
      </c>
      <c r="BB2070" s="1">
        <v>0</v>
      </c>
      <c r="BC2070" s="1">
        <v>0</v>
      </c>
      <c r="BD2070" s="1">
        <v>0</v>
      </c>
      <c r="BE2070" s="1">
        <v>0</v>
      </c>
      <c r="BF2070" s="1">
        <v>0</v>
      </c>
      <c r="BG2070" s="1">
        <v>0</v>
      </c>
      <c r="BH2070" s="1">
        <v>0</v>
      </c>
      <c r="BI2070" s="1">
        <v>0</v>
      </c>
      <c r="BJ2070" s="1">
        <v>0</v>
      </c>
      <c r="BK2070" s="1">
        <v>0</v>
      </c>
      <c r="BL2070" s="1">
        <v>0</v>
      </c>
      <c r="BM2070" s="1">
        <v>0</v>
      </c>
      <c r="BN2070" s="1">
        <v>0</v>
      </c>
      <c r="BO2070" s="1">
        <v>0</v>
      </c>
      <c r="BP2070" s="1">
        <v>0</v>
      </c>
      <c r="BQ2070" s="1" t="s">
        <v>104</v>
      </c>
      <c r="BR2070" s="1">
        <v>2186</v>
      </c>
      <c r="BS2070" s="1" t="s">
        <v>104</v>
      </c>
      <c r="BT2070" s="1" t="s">
        <v>10921</v>
      </c>
      <c r="BX2070" s="1">
        <v>0</v>
      </c>
      <c r="BY2070" s="1" t="s">
        <v>104</v>
      </c>
      <c r="BZ2070" s="1" t="s">
        <v>104</v>
      </c>
      <c r="CA2070" s="1">
        <v>2</v>
      </c>
      <c r="CB2070" s="1" t="s">
        <v>104</v>
      </c>
      <c r="CC2070" s="1" t="s">
        <v>104</v>
      </c>
      <c r="CD2070" s="1">
        <v>2</v>
      </c>
      <c r="CE2070" s="1">
        <v>2</v>
      </c>
      <c r="CF2070" s="1" t="s">
        <v>104</v>
      </c>
      <c r="CG2070" s="1" t="s">
        <v>104</v>
      </c>
      <c r="CH2070" s="1" t="s">
        <v>104</v>
      </c>
      <c r="CJ2070" s="1">
        <v>0</v>
      </c>
      <c r="CK2070" s="1">
        <v>0</v>
      </c>
      <c r="CL2070" s="1">
        <v>0</v>
      </c>
      <c r="CM2070" s="1" t="s">
        <v>104</v>
      </c>
    </row>
    <row r="2071" spans="1:91" ht="14.25" customHeight="1" x14ac:dyDescent="0.3">
      <c r="A2071" s="1" t="s">
        <v>10922</v>
      </c>
      <c r="B2071" s="1" t="s">
        <v>216</v>
      </c>
      <c r="D2071" s="1" t="s">
        <v>2506</v>
      </c>
      <c r="E2071" s="1" t="s">
        <v>10923</v>
      </c>
      <c r="F2071" s="1" t="s">
        <v>191</v>
      </c>
      <c r="G2071" s="1" t="s">
        <v>1802</v>
      </c>
      <c r="H2071" s="1">
        <v>0</v>
      </c>
      <c r="I2071" s="1" t="s">
        <v>128</v>
      </c>
      <c r="L2071" s="1" t="s">
        <v>3499</v>
      </c>
      <c r="M2071" s="1" t="s">
        <v>255</v>
      </c>
      <c r="N2071" s="1">
        <v>0</v>
      </c>
      <c r="O2071" s="1">
        <v>0</v>
      </c>
      <c r="R2071" s="1" t="s">
        <v>10924</v>
      </c>
      <c r="S2071" s="1" t="s">
        <v>10570</v>
      </c>
      <c r="T2071" s="1">
        <v>0</v>
      </c>
      <c r="U2071" s="1">
        <v>1</v>
      </c>
      <c r="V2071" s="1">
        <v>0</v>
      </c>
      <c r="W2071" s="1">
        <v>0</v>
      </c>
      <c r="X2071" s="1">
        <v>0</v>
      </c>
      <c r="Y2071" s="1" t="s">
        <v>104</v>
      </c>
      <c r="Z2071" s="1" t="s">
        <v>104</v>
      </c>
      <c r="AA2071" s="1" t="s">
        <v>104</v>
      </c>
      <c r="AB2071" s="1" t="s">
        <v>104</v>
      </c>
      <c r="AC2071" s="1" t="s">
        <v>104</v>
      </c>
      <c r="AD2071" s="1" t="s">
        <v>104</v>
      </c>
      <c r="AE2071" s="1" t="s">
        <v>104</v>
      </c>
      <c r="AF2071" s="1" t="s">
        <v>104</v>
      </c>
      <c r="AG2071" s="1" t="s">
        <v>104</v>
      </c>
      <c r="AH2071" s="1" t="s">
        <v>104</v>
      </c>
      <c r="AI2071" s="1" t="s">
        <v>104</v>
      </c>
      <c r="AJ2071" s="1" t="s">
        <v>104</v>
      </c>
      <c r="AK2071" s="1" t="s">
        <v>104</v>
      </c>
      <c r="AL2071" s="1" t="s">
        <v>104</v>
      </c>
      <c r="AM2071" s="1" t="s">
        <v>104</v>
      </c>
      <c r="AO2071" s="1">
        <v>0</v>
      </c>
      <c r="AQ2071" s="1" t="s">
        <v>10925</v>
      </c>
      <c r="AR2071" s="1">
        <v>0</v>
      </c>
      <c r="AS2071" s="1">
        <v>0</v>
      </c>
      <c r="AT2071" s="1">
        <v>0</v>
      </c>
      <c r="AU2071" s="1">
        <v>0</v>
      </c>
      <c r="AV2071" s="1">
        <v>0</v>
      </c>
      <c r="AW2071" s="1">
        <v>0</v>
      </c>
      <c r="AX2071" s="1">
        <v>0</v>
      </c>
      <c r="AY2071" s="1">
        <v>0</v>
      </c>
      <c r="AZ2071" s="1">
        <v>0</v>
      </c>
      <c r="BA2071" s="1">
        <v>0</v>
      </c>
      <c r="BB2071" s="1">
        <v>0</v>
      </c>
      <c r="BC2071" s="1">
        <v>0</v>
      </c>
      <c r="BD2071" s="1">
        <v>0</v>
      </c>
      <c r="BE2071" s="1">
        <v>0</v>
      </c>
      <c r="BF2071" s="1">
        <v>0</v>
      </c>
      <c r="BG2071" s="1">
        <v>0</v>
      </c>
      <c r="BH2071" s="1">
        <v>1</v>
      </c>
      <c r="BI2071" s="1">
        <v>0</v>
      </c>
      <c r="BJ2071" s="1">
        <v>0</v>
      </c>
      <c r="BK2071" s="1">
        <v>0</v>
      </c>
      <c r="BL2071" s="1">
        <v>0</v>
      </c>
      <c r="BM2071" s="1">
        <v>0</v>
      </c>
      <c r="BN2071" s="1">
        <v>0</v>
      </c>
      <c r="BO2071" s="1">
        <v>0</v>
      </c>
      <c r="BP2071" s="1">
        <v>0</v>
      </c>
      <c r="BQ2071" s="1" t="s">
        <v>104</v>
      </c>
      <c r="BR2071" s="1">
        <v>2187</v>
      </c>
      <c r="BS2071" s="1" t="s">
        <v>104</v>
      </c>
      <c r="BX2071" s="1">
        <v>0</v>
      </c>
      <c r="BY2071" s="1" t="s">
        <v>104</v>
      </c>
      <c r="BZ2071" s="1" t="s">
        <v>104</v>
      </c>
      <c r="CA2071" s="1">
        <v>0</v>
      </c>
      <c r="CB2071" s="1">
        <v>0</v>
      </c>
      <c r="CC2071" s="1" t="s">
        <v>104</v>
      </c>
      <c r="CD2071" s="1">
        <v>0</v>
      </c>
      <c r="CE2071" s="1">
        <v>0</v>
      </c>
      <c r="CF2071" s="1" t="s">
        <v>104</v>
      </c>
      <c r="CG2071" s="1" t="s">
        <v>104</v>
      </c>
      <c r="CH2071" s="1" t="s">
        <v>104</v>
      </c>
      <c r="CJ2071" s="1">
        <v>0</v>
      </c>
      <c r="CK2071" s="1">
        <v>0</v>
      </c>
      <c r="CL2071" s="1">
        <v>0</v>
      </c>
      <c r="CM2071" s="1" t="s">
        <v>104</v>
      </c>
    </row>
    <row r="2072" spans="1:91" ht="14.25" customHeight="1" x14ac:dyDescent="0.3">
      <c r="A2072" s="1" t="s">
        <v>10926</v>
      </c>
      <c r="B2072" s="1" t="s">
        <v>172</v>
      </c>
      <c r="E2072" s="1" t="s">
        <v>10927</v>
      </c>
      <c r="F2072" s="1" t="s">
        <v>95</v>
      </c>
      <c r="G2072" s="1" t="s">
        <v>237</v>
      </c>
      <c r="H2072" s="1">
        <v>0</v>
      </c>
      <c r="I2072" s="1" t="s">
        <v>157</v>
      </c>
      <c r="L2072" s="1" t="s">
        <v>158</v>
      </c>
      <c r="M2072" s="1" t="s">
        <v>145</v>
      </c>
      <c r="N2072" s="1">
        <v>0</v>
      </c>
      <c r="O2072" s="1">
        <v>0</v>
      </c>
      <c r="R2072" s="1" t="s">
        <v>10928</v>
      </c>
      <c r="S2072" s="1" t="s">
        <v>10570</v>
      </c>
      <c r="T2072" s="1">
        <v>1</v>
      </c>
      <c r="U2072" s="1">
        <v>0</v>
      </c>
      <c r="V2072" s="1">
        <v>0</v>
      </c>
      <c r="W2072" s="1">
        <v>0</v>
      </c>
      <c r="X2072" s="1">
        <v>0</v>
      </c>
      <c r="Y2072" s="1">
        <v>4</v>
      </c>
      <c r="Z2072" s="1">
        <v>4</v>
      </c>
      <c r="AA2072" s="1" t="s">
        <v>104</v>
      </c>
      <c r="AB2072" s="1" t="s">
        <v>104</v>
      </c>
      <c r="AC2072" s="1" t="s">
        <v>104</v>
      </c>
      <c r="AD2072" s="1">
        <v>3</v>
      </c>
      <c r="AE2072" s="1" t="s">
        <v>104</v>
      </c>
      <c r="AF2072" s="1">
        <v>3</v>
      </c>
      <c r="AG2072" s="1" t="s">
        <v>104</v>
      </c>
      <c r="AH2072" s="1" t="s">
        <v>104</v>
      </c>
      <c r="AI2072" s="1" t="s">
        <v>104</v>
      </c>
      <c r="AJ2072" s="1" t="s">
        <v>104</v>
      </c>
      <c r="AK2072" s="1" t="s">
        <v>104</v>
      </c>
      <c r="AL2072" s="1" t="s">
        <v>104</v>
      </c>
      <c r="AM2072" s="1" t="s">
        <v>104</v>
      </c>
      <c r="AO2072" s="1">
        <v>4</v>
      </c>
      <c r="AQ2072" s="1" t="s">
        <v>10929</v>
      </c>
      <c r="AR2072" s="1">
        <v>0</v>
      </c>
      <c r="AS2072" s="1">
        <v>0</v>
      </c>
      <c r="AT2072" s="1">
        <v>0</v>
      </c>
      <c r="AU2072" s="1">
        <v>0</v>
      </c>
      <c r="AV2072" s="1">
        <v>0</v>
      </c>
      <c r="AW2072" s="1">
        <v>0</v>
      </c>
      <c r="AX2072" s="1">
        <v>0</v>
      </c>
      <c r="AY2072" s="1">
        <v>0</v>
      </c>
      <c r="AZ2072" s="1">
        <v>0</v>
      </c>
      <c r="BA2072" s="1">
        <v>0</v>
      </c>
      <c r="BB2072" s="1">
        <v>0</v>
      </c>
      <c r="BC2072" s="1">
        <v>0</v>
      </c>
      <c r="BD2072" s="1">
        <v>0</v>
      </c>
      <c r="BE2072" s="1">
        <v>0</v>
      </c>
      <c r="BF2072" s="1">
        <v>0</v>
      </c>
      <c r="BG2072" s="1">
        <v>0</v>
      </c>
      <c r="BH2072" s="1">
        <v>0</v>
      </c>
      <c r="BI2072" s="1">
        <v>0</v>
      </c>
      <c r="BJ2072" s="1">
        <v>0</v>
      </c>
      <c r="BK2072" s="1">
        <v>0</v>
      </c>
      <c r="BL2072" s="1">
        <v>0</v>
      </c>
      <c r="BM2072" s="1">
        <v>0</v>
      </c>
      <c r="BN2072" s="1">
        <v>0</v>
      </c>
      <c r="BO2072" s="1">
        <v>0</v>
      </c>
      <c r="BP2072" s="1">
        <v>0</v>
      </c>
      <c r="BQ2072" s="1" t="s">
        <v>104</v>
      </c>
      <c r="BR2072" s="1">
        <v>2188</v>
      </c>
      <c r="BS2072" s="1" t="s">
        <v>104</v>
      </c>
      <c r="BX2072" s="1">
        <v>0</v>
      </c>
      <c r="BY2072" s="1" t="s">
        <v>104</v>
      </c>
      <c r="BZ2072" s="1" t="s">
        <v>104</v>
      </c>
      <c r="CA2072" s="1">
        <v>2</v>
      </c>
      <c r="CB2072" s="1">
        <v>2</v>
      </c>
      <c r="CC2072" s="1" t="s">
        <v>104</v>
      </c>
      <c r="CD2072" s="1" t="s">
        <v>104</v>
      </c>
      <c r="CE2072" s="1" t="s">
        <v>104</v>
      </c>
      <c r="CF2072" s="1" t="s">
        <v>104</v>
      </c>
      <c r="CG2072" s="1" t="s">
        <v>104</v>
      </c>
      <c r="CH2072" s="1" t="s">
        <v>104</v>
      </c>
      <c r="CJ2072" s="1">
        <v>0</v>
      </c>
      <c r="CK2072" s="1">
        <v>0</v>
      </c>
      <c r="CL2072" s="1">
        <v>0</v>
      </c>
      <c r="CM2072" s="1" t="s">
        <v>104</v>
      </c>
    </row>
    <row r="2073" spans="1:91" ht="14.25" customHeight="1" x14ac:dyDescent="0.3">
      <c r="A2073" s="1" t="s">
        <v>10930</v>
      </c>
      <c r="B2073" s="1" t="s">
        <v>123</v>
      </c>
      <c r="C2073" s="1" t="s">
        <v>124</v>
      </c>
      <c r="D2073" s="1" t="s">
        <v>125</v>
      </c>
      <c r="E2073" s="1" t="s">
        <v>10931</v>
      </c>
      <c r="F2073" s="1" t="s">
        <v>95</v>
      </c>
      <c r="G2073" s="1" t="s">
        <v>1802</v>
      </c>
      <c r="H2073" s="1">
        <v>0</v>
      </c>
      <c r="I2073" s="1" t="s">
        <v>117</v>
      </c>
      <c r="L2073" s="1" t="s">
        <v>1065</v>
      </c>
      <c r="M2073" s="1" t="s">
        <v>8383</v>
      </c>
      <c r="N2073" s="1">
        <v>0</v>
      </c>
      <c r="O2073" s="1">
        <v>0</v>
      </c>
      <c r="P2073" s="1" t="s">
        <v>211</v>
      </c>
      <c r="Q2073" s="1" t="s">
        <v>184</v>
      </c>
      <c r="R2073" s="1" t="s">
        <v>10932</v>
      </c>
      <c r="S2073" s="1" t="s">
        <v>10570</v>
      </c>
      <c r="T2073" s="1">
        <v>0</v>
      </c>
      <c r="U2073" s="1">
        <v>1</v>
      </c>
      <c r="V2073" s="1">
        <v>0</v>
      </c>
      <c r="W2073" s="1">
        <v>0</v>
      </c>
      <c r="X2073" s="1">
        <v>0</v>
      </c>
      <c r="Y2073" s="1" t="s">
        <v>104</v>
      </c>
      <c r="Z2073" s="1" t="s">
        <v>104</v>
      </c>
      <c r="AA2073" s="1" t="s">
        <v>104</v>
      </c>
      <c r="AB2073" s="1" t="s">
        <v>104</v>
      </c>
      <c r="AC2073" s="1" t="s">
        <v>104</v>
      </c>
      <c r="AD2073" s="1" t="s">
        <v>104</v>
      </c>
      <c r="AE2073" s="1" t="s">
        <v>104</v>
      </c>
      <c r="AF2073" s="1" t="s">
        <v>104</v>
      </c>
      <c r="AG2073" s="1" t="s">
        <v>104</v>
      </c>
      <c r="AH2073" s="1" t="s">
        <v>104</v>
      </c>
      <c r="AI2073" s="1" t="s">
        <v>104</v>
      </c>
      <c r="AJ2073" s="1" t="s">
        <v>104</v>
      </c>
      <c r="AK2073" s="1" t="s">
        <v>104</v>
      </c>
      <c r="AL2073" s="1" t="s">
        <v>104</v>
      </c>
      <c r="AM2073" s="1" t="s">
        <v>104</v>
      </c>
      <c r="AO2073" s="1">
        <v>2</v>
      </c>
      <c r="AQ2073" s="1" t="s">
        <v>10933</v>
      </c>
      <c r="AR2073" s="1">
        <v>0</v>
      </c>
      <c r="AS2073" s="1">
        <v>0</v>
      </c>
      <c r="AT2073" s="1">
        <v>0</v>
      </c>
      <c r="AU2073" s="1">
        <v>0</v>
      </c>
      <c r="AV2073" s="1">
        <v>0</v>
      </c>
      <c r="AW2073" s="1">
        <v>0</v>
      </c>
      <c r="AX2073" s="1">
        <v>0</v>
      </c>
      <c r="AY2073" s="1">
        <v>0</v>
      </c>
      <c r="AZ2073" s="1">
        <v>0</v>
      </c>
      <c r="BA2073" s="1">
        <v>0</v>
      </c>
      <c r="BB2073" s="1">
        <v>0</v>
      </c>
      <c r="BC2073" s="1">
        <v>0</v>
      </c>
      <c r="BD2073" s="1">
        <v>0</v>
      </c>
      <c r="BE2073" s="1">
        <v>0</v>
      </c>
      <c r="BF2073" s="1">
        <v>0</v>
      </c>
      <c r="BG2073" s="1">
        <v>0</v>
      </c>
      <c r="BH2073" s="1">
        <v>0</v>
      </c>
      <c r="BI2073" s="1">
        <v>0</v>
      </c>
      <c r="BJ2073" s="1">
        <v>0</v>
      </c>
      <c r="BK2073" s="1">
        <v>1</v>
      </c>
      <c r="BL2073" s="1">
        <v>0</v>
      </c>
      <c r="BM2073" s="1">
        <v>0</v>
      </c>
      <c r="BN2073" s="1">
        <v>0</v>
      </c>
      <c r="BO2073" s="1">
        <v>0</v>
      </c>
      <c r="BP2073" s="1">
        <v>0</v>
      </c>
      <c r="BQ2073" s="1" t="s">
        <v>104</v>
      </c>
      <c r="BR2073" s="1">
        <v>2189</v>
      </c>
      <c r="BS2073" s="1" t="s">
        <v>104</v>
      </c>
      <c r="BT2073" s="1" t="s">
        <v>10934</v>
      </c>
      <c r="BX2073" s="1">
        <v>0</v>
      </c>
      <c r="BY2073" s="1" t="s">
        <v>104</v>
      </c>
      <c r="BZ2073" s="1" t="s">
        <v>104</v>
      </c>
      <c r="CA2073" s="1">
        <v>2</v>
      </c>
      <c r="CB2073" s="1" t="s">
        <v>104</v>
      </c>
      <c r="CC2073" s="1" t="s">
        <v>104</v>
      </c>
      <c r="CD2073" s="1" t="s">
        <v>104</v>
      </c>
      <c r="CE2073" s="1" t="s">
        <v>104</v>
      </c>
      <c r="CF2073" s="1" t="s">
        <v>104</v>
      </c>
      <c r="CG2073" s="1" t="s">
        <v>104</v>
      </c>
      <c r="CH2073" s="1" t="s">
        <v>104</v>
      </c>
      <c r="CJ2073" s="1">
        <v>0</v>
      </c>
      <c r="CK2073" s="1">
        <v>0</v>
      </c>
      <c r="CL2073" s="1">
        <v>0</v>
      </c>
      <c r="CM2073" s="1" t="s">
        <v>104</v>
      </c>
    </row>
    <row r="2074" spans="1:91" ht="14.25" customHeight="1" x14ac:dyDescent="0.3">
      <c r="A2074" s="1" t="s">
        <v>10935</v>
      </c>
      <c r="B2074" s="1" t="s">
        <v>123</v>
      </c>
      <c r="C2074" s="1" t="s">
        <v>124</v>
      </c>
      <c r="D2074" s="1" t="s">
        <v>125</v>
      </c>
      <c r="E2074" s="1" t="s">
        <v>10846</v>
      </c>
      <c r="F2074" s="1" t="s">
        <v>95</v>
      </c>
      <c r="G2074" s="1" t="s">
        <v>1802</v>
      </c>
      <c r="H2074" s="1">
        <v>0</v>
      </c>
      <c r="I2074" s="1" t="s">
        <v>117</v>
      </c>
      <c r="L2074" s="1" t="s">
        <v>10936</v>
      </c>
      <c r="M2074" s="1" t="s">
        <v>8383</v>
      </c>
      <c r="N2074" s="1">
        <v>0</v>
      </c>
      <c r="O2074" s="1">
        <v>0</v>
      </c>
      <c r="P2074" s="1" t="s">
        <v>211</v>
      </c>
      <c r="Q2074" s="1" t="s">
        <v>184</v>
      </c>
      <c r="R2074" s="1" t="s">
        <v>10937</v>
      </c>
      <c r="S2074" s="1" t="s">
        <v>10570</v>
      </c>
      <c r="T2074" s="1">
        <v>0</v>
      </c>
      <c r="U2074" s="1">
        <v>1</v>
      </c>
      <c r="V2074" s="1">
        <v>0</v>
      </c>
      <c r="W2074" s="1">
        <v>0</v>
      </c>
      <c r="X2074" s="1">
        <v>0</v>
      </c>
      <c r="Y2074" s="1" t="s">
        <v>104</v>
      </c>
      <c r="Z2074" s="1" t="s">
        <v>104</v>
      </c>
      <c r="AA2074" s="1" t="s">
        <v>104</v>
      </c>
      <c r="AB2074" s="1" t="s">
        <v>104</v>
      </c>
      <c r="AC2074" s="1" t="s">
        <v>104</v>
      </c>
      <c r="AD2074" s="1" t="s">
        <v>104</v>
      </c>
      <c r="AE2074" s="1" t="s">
        <v>104</v>
      </c>
      <c r="AF2074" s="1" t="s">
        <v>104</v>
      </c>
      <c r="AG2074" s="1" t="s">
        <v>104</v>
      </c>
      <c r="AH2074" s="1" t="s">
        <v>104</v>
      </c>
      <c r="AI2074" s="1" t="s">
        <v>104</v>
      </c>
      <c r="AJ2074" s="1" t="s">
        <v>104</v>
      </c>
      <c r="AK2074" s="1" t="s">
        <v>104</v>
      </c>
      <c r="AL2074" s="1" t="s">
        <v>104</v>
      </c>
      <c r="AM2074" s="1" t="s">
        <v>104</v>
      </c>
      <c r="AO2074" s="1">
        <v>3</v>
      </c>
      <c r="AQ2074" s="1" t="s">
        <v>10938</v>
      </c>
      <c r="AR2074" s="1">
        <v>0</v>
      </c>
      <c r="AS2074" s="1">
        <v>0</v>
      </c>
      <c r="AT2074" s="1">
        <v>0</v>
      </c>
      <c r="AU2074" s="1">
        <v>0</v>
      </c>
      <c r="AV2074" s="1">
        <v>0</v>
      </c>
      <c r="AW2074" s="1">
        <v>0</v>
      </c>
      <c r="AX2074" s="1">
        <v>0</v>
      </c>
      <c r="AY2074" s="1">
        <v>0</v>
      </c>
      <c r="AZ2074" s="1">
        <v>0</v>
      </c>
      <c r="BA2074" s="1">
        <v>0</v>
      </c>
      <c r="BB2074" s="1">
        <v>0</v>
      </c>
      <c r="BC2074" s="1">
        <v>0</v>
      </c>
      <c r="BD2074" s="1">
        <v>0</v>
      </c>
      <c r="BE2074" s="1">
        <v>0</v>
      </c>
      <c r="BF2074" s="1">
        <v>0</v>
      </c>
      <c r="BG2074" s="1">
        <v>0</v>
      </c>
      <c r="BH2074" s="1">
        <v>0</v>
      </c>
      <c r="BI2074" s="1">
        <v>0</v>
      </c>
      <c r="BJ2074" s="1">
        <v>0</v>
      </c>
      <c r="BK2074" s="1">
        <v>1</v>
      </c>
      <c r="BL2074" s="1">
        <v>0</v>
      </c>
      <c r="BM2074" s="1">
        <v>0</v>
      </c>
      <c r="BN2074" s="1">
        <v>0</v>
      </c>
      <c r="BO2074" s="1">
        <v>0</v>
      </c>
      <c r="BP2074" s="1">
        <v>0</v>
      </c>
      <c r="BQ2074" s="1" t="s">
        <v>104</v>
      </c>
      <c r="BR2074" s="1">
        <v>2190</v>
      </c>
      <c r="BS2074" s="1" t="s">
        <v>104</v>
      </c>
      <c r="BX2074" s="1">
        <v>0</v>
      </c>
      <c r="BY2074" s="1" t="s">
        <v>104</v>
      </c>
      <c r="BZ2074" s="1" t="s">
        <v>104</v>
      </c>
      <c r="CA2074" s="1">
        <v>3</v>
      </c>
      <c r="CB2074" s="1" t="s">
        <v>104</v>
      </c>
      <c r="CC2074" s="1" t="s">
        <v>104</v>
      </c>
      <c r="CD2074" s="1" t="s">
        <v>104</v>
      </c>
      <c r="CE2074" s="1" t="s">
        <v>104</v>
      </c>
      <c r="CF2074" s="1" t="s">
        <v>104</v>
      </c>
      <c r="CG2074" s="1" t="s">
        <v>104</v>
      </c>
      <c r="CH2074" s="1" t="s">
        <v>104</v>
      </c>
      <c r="CJ2074" s="1">
        <v>0</v>
      </c>
      <c r="CK2074" s="1">
        <v>0</v>
      </c>
      <c r="CL2074" s="1">
        <v>0</v>
      </c>
      <c r="CM2074" s="1" t="s">
        <v>104</v>
      </c>
    </row>
    <row r="2075" spans="1:91" ht="14.25" customHeight="1" x14ac:dyDescent="0.3">
      <c r="A2075" s="1" t="s">
        <v>10939</v>
      </c>
      <c r="B2075" s="1" t="s">
        <v>123</v>
      </c>
      <c r="C2075" s="1" t="s">
        <v>124</v>
      </c>
      <c r="D2075" s="1" t="s">
        <v>125</v>
      </c>
      <c r="E2075" s="1" t="s">
        <v>10851</v>
      </c>
      <c r="F2075" s="1" t="s">
        <v>95</v>
      </c>
      <c r="G2075" s="1" t="s">
        <v>1802</v>
      </c>
      <c r="H2075" s="1">
        <v>0</v>
      </c>
      <c r="I2075" s="1" t="s">
        <v>117</v>
      </c>
      <c r="L2075" s="1" t="s">
        <v>10940</v>
      </c>
      <c r="M2075" s="1" t="s">
        <v>8383</v>
      </c>
      <c r="N2075" s="1">
        <v>0</v>
      </c>
      <c r="O2075" s="1">
        <v>0</v>
      </c>
      <c r="P2075" s="1" t="s">
        <v>211</v>
      </c>
      <c r="Q2075" s="1" t="s">
        <v>184</v>
      </c>
      <c r="R2075" s="1" t="s">
        <v>10941</v>
      </c>
      <c r="S2075" s="1" t="s">
        <v>10570</v>
      </c>
      <c r="T2075" s="1">
        <v>0</v>
      </c>
      <c r="U2075" s="1">
        <v>1</v>
      </c>
      <c r="V2075" s="1">
        <v>0</v>
      </c>
      <c r="W2075" s="1">
        <v>0</v>
      </c>
      <c r="X2075" s="1">
        <v>0</v>
      </c>
      <c r="Y2075" s="1" t="s">
        <v>104</v>
      </c>
      <c r="Z2075" s="1" t="s">
        <v>104</v>
      </c>
      <c r="AA2075" s="1" t="s">
        <v>104</v>
      </c>
      <c r="AB2075" s="1" t="s">
        <v>104</v>
      </c>
      <c r="AC2075" s="1" t="s">
        <v>104</v>
      </c>
      <c r="AD2075" s="1" t="s">
        <v>104</v>
      </c>
      <c r="AE2075" s="1" t="s">
        <v>104</v>
      </c>
      <c r="AF2075" s="1" t="s">
        <v>104</v>
      </c>
      <c r="AG2075" s="1" t="s">
        <v>104</v>
      </c>
      <c r="AH2075" s="1" t="s">
        <v>104</v>
      </c>
      <c r="AI2075" s="1" t="s">
        <v>104</v>
      </c>
      <c r="AJ2075" s="1" t="s">
        <v>104</v>
      </c>
      <c r="AK2075" s="1" t="s">
        <v>104</v>
      </c>
      <c r="AL2075" s="1" t="s">
        <v>104</v>
      </c>
      <c r="AM2075" s="1" t="s">
        <v>104</v>
      </c>
      <c r="AO2075" s="1">
        <v>4</v>
      </c>
      <c r="AQ2075" s="1" t="s">
        <v>10942</v>
      </c>
      <c r="AR2075" s="1">
        <v>0</v>
      </c>
      <c r="AS2075" s="1">
        <v>0</v>
      </c>
      <c r="AT2075" s="1">
        <v>0</v>
      </c>
      <c r="AU2075" s="1">
        <v>0</v>
      </c>
      <c r="AV2075" s="1">
        <v>0</v>
      </c>
      <c r="AW2075" s="1">
        <v>0</v>
      </c>
      <c r="AX2075" s="1">
        <v>0</v>
      </c>
      <c r="AY2075" s="1">
        <v>0</v>
      </c>
      <c r="AZ2075" s="1">
        <v>0</v>
      </c>
      <c r="BA2075" s="1">
        <v>0</v>
      </c>
      <c r="BB2075" s="1">
        <v>0</v>
      </c>
      <c r="BC2075" s="1">
        <v>0</v>
      </c>
      <c r="BD2075" s="1">
        <v>0</v>
      </c>
      <c r="BE2075" s="1">
        <v>0</v>
      </c>
      <c r="BF2075" s="1">
        <v>0</v>
      </c>
      <c r="BG2075" s="1">
        <v>0</v>
      </c>
      <c r="BH2075" s="1">
        <v>0</v>
      </c>
      <c r="BI2075" s="1">
        <v>0</v>
      </c>
      <c r="BJ2075" s="1">
        <v>0</v>
      </c>
      <c r="BK2075" s="1">
        <v>1</v>
      </c>
      <c r="BL2075" s="1">
        <v>0</v>
      </c>
      <c r="BM2075" s="1">
        <v>0</v>
      </c>
      <c r="BN2075" s="1">
        <v>0</v>
      </c>
      <c r="BO2075" s="1">
        <v>0</v>
      </c>
      <c r="BP2075" s="1">
        <v>0</v>
      </c>
      <c r="BQ2075" s="1" t="s">
        <v>104</v>
      </c>
      <c r="BR2075" s="1">
        <v>2191</v>
      </c>
      <c r="BS2075" s="1" t="s">
        <v>104</v>
      </c>
      <c r="BX2075" s="1">
        <v>0</v>
      </c>
      <c r="BY2075" s="1" t="s">
        <v>104</v>
      </c>
      <c r="BZ2075" s="1" t="s">
        <v>104</v>
      </c>
      <c r="CA2075" s="1">
        <v>4</v>
      </c>
      <c r="CB2075" s="1" t="s">
        <v>104</v>
      </c>
      <c r="CC2075" s="1" t="s">
        <v>104</v>
      </c>
      <c r="CD2075" s="1" t="s">
        <v>104</v>
      </c>
      <c r="CE2075" s="1" t="s">
        <v>104</v>
      </c>
      <c r="CF2075" s="1" t="s">
        <v>104</v>
      </c>
      <c r="CG2075" s="1" t="s">
        <v>104</v>
      </c>
      <c r="CH2075" s="1" t="s">
        <v>104</v>
      </c>
      <c r="CJ2075" s="1">
        <v>0</v>
      </c>
      <c r="CK2075" s="1">
        <v>0</v>
      </c>
      <c r="CL2075" s="1">
        <v>0</v>
      </c>
      <c r="CM2075" s="1" t="s">
        <v>104</v>
      </c>
    </row>
    <row r="2076" spans="1:91" ht="14.25" customHeight="1" x14ac:dyDescent="0.3">
      <c r="A2076" s="1" t="s">
        <v>10943</v>
      </c>
      <c r="B2076" s="1" t="s">
        <v>123</v>
      </c>
      <c r="C2076" s="1" t="s">
        <v>124</v>
      </c>
      <c r="D2076" s="1" t="s">
        <v>125</v>
      </c>
      <c r="E2076" s="1" t="s">
        <v>10855</v>
      </c>
      <c r="F2076" s="1" t="s">
        <v>95</v>
      </c>
      <c r="G2076" s="1" t="s">
        <v>1802</v>
      </c>
      <c r="H2076" s="1">
        <v>0</v>
      </c>
      <c r="I2076" s="1" t="s">
        <v>117</v>
      </c>
      <c r="L2076" s="1" t="s">
        <v>10944</v>
      </c>
      <c r="M2076" s="1" t="s">
        <v>8383</v>
      </c>
      <c r="N2076" s="1">
        <v>0</v>
      </c>
      <c r="O2076" s="1">
        <v>0</v>
      </c>
      <c r="P2076" s="1" t="s">
        <v>211</v>
      </c>
      <c r="Q2076" s="1" t="s">
        <v>184</v>
      </c>
      <c r="R2076" s="1" t="s">
        <v>10945</v>
      </c>
      <c r="S2076" s="1" t="s">
        <v>10570</v>
      </c>
      <c r="T2076" s="1">
        <v>0</v>
      </c>
      <c r="U2076" s="1">
        <v>1</v>
      </c>
      <c r="V2076" s="1">
        <v>0</v>
      </c>
      <c r="W2076" s="1">
        <v>0</v>
      </c>
      <c r="X2076" s="1">
        <v>0</v>
      </c>
      <c r="Y2076" s="1" t="s">
        <v>104</v>
      </c>
      <c r="Z2076" s="1" t="s">
        <v>104</v>
      </c>
      <c r="AA2076" s="1" t="s">
        <v>104</v>
      </c>
      <c r="AB2076" s="1" t="s">
        <v>104</v>
      </c>
      <c r="AC2076" s="1" t="s">
        <v>104</v>
      </c>
      <c r="AD2076" s="1" t="s">
        <v>104</v>
      </c>
      <c r="AE2076" s="1" t="s">
        <v>104</v>
      </c>
      <c r="AF2076" s="1" t="s">
        <v>104</v>
      </c>
      <c r="AG2076" s="1" t="s">
        <v>104</v>
      </c>
      <c r="AH2076" s="1" t="s">
        <v>104</v>
      </c>
      <c r="AI2076" s="1" t="s">
        <v>104</v>
      </c>
      <c r="AJ2076" s="1" t="s">
        <v>104</v>
      </c>
      <c r="AK2076" s="1" t="s">
        <v>104</v>
      </c>
      <c r="AL2076" s="1" t="s">
        <v>104</v>
      </c>
      <c r="AM2076" s="1" t="s">
        <v>104</v>
      </c>
      <c r="AO2076" s="1">
        <v>5</v>
      </c>
      <c r="AQ2076" s="1" t="s">
        <v>10946</v>
      </c>
      <c r="AR2076" s="1">
        <v>0</v>
      </c>
      <c r="AS2076" s="1">
        <v>0</v>
      </c>
      <c r="AT2076" s="1">
        <v>0</v>
      </c>
      <c r="AU2076" s="1">
        <v>0</v>
      </c>
      <c r="AV2076" s="1">
        <v>0</v>
      </c>
      <c r="AW2076" s="1">
        <v>0</v>
      </c>
      <c r="AX2076" s="1">
        <v>0</v>
      </c>
      <c r="AY2076" s="1">
        <v>0</v>
      </c>
      <c r="AZ2076" s="1">
        <v>0</v>
      </c>
      <c r="BA2076" s="1">
        <v>0</v>
      </c>
      <c r="BB2076" s="1">
        <v>0</v>
      </c>
      <c r="BC2076" s="1">
        <v>0</v>
      </c>
      <c r="BD2076" s="1">
        <v>0</v>
      </c>
      <c r="BE2076" s="1">
        <v>0</v>
      </c>
      <c r="BF2076" s="1">
        <v>0</v>
      </c>
      <c r="BG2076" s="1">
        <v>0</v>
      </c>
      <c r="BH2076" s="1">
        <v>0</v>
      </c>
      <c r="BI2076" s="1">
        <v>0</v>
      </c>
      <c r="BJ2076" s="1">
        <v>0</v>
      </c>
      <c r="BK2076" s="1">
        <v>1</v>
      </c>
      <c r="BL2076" s="1">
        <v>0</v>
      </c>
      <c r="BM2076" s="1">
        <v>0</v>
      </c>
      <c r="BN2076" s="1">
        <v>0</v>
      </c>
      <c r="BO2076" s="1">
        <v>0</v>
      </c>
      <c r="BP2076" s="1">
        <v>0</v>
      </c>
      <c r="BQ2076" s="1" t="s">
        <v>104</v>
      </c>
      <c r="BR2076" s="1">
        <v>2192</v>
      </c>
      <c r="BS2076" s="1" t="s">
        <v>104</v>
      </c>
      <c r="BX2076" s="1">
        <v>0</v>
      </c>
      <c r="BY2076" s="1" t="s">
        <v>104</v>
      </c>
      <c r="BZ2076" s="1" t="s">
        <v>104</v>
      </c>
      <c r="CA2076" s="1">
        <v>5</v>
      </c>
      <c r="CB2076" s="1" t="s">
        <v>104</v>
      </c>
      <c r="CC2076" s="1" t="s">
        <v>104</v>
      </c>
      <c r="CD2076" s="1" t="s">
        <v>104</v>
      </c>
      <c r="CE2076" s="1" t="s">
        <v>104</v>
      </c>
      <c r="CF2076" s="1" t="s">
        <v>104</v>
      </c>
      <c r="CG2076" s="1" t="s">
        <v>104</v>
      </c>
      <c r="CH2076" s="1" t="s">
        <v>104</v>
      </c>
      <c r="CJ2076" s="1">
        <v>0</v>
      </c>
      <c r="CK2076" s="1">
        <v>0</v>
      </c>
      <c r="CL2076" s="1">
        <v>0</v>
      </c>
      <c r="CM2076" s="1" t="s">
        <v>104</v>
      </c>
    </row>
    <row r="2077" spans="1:91" ht="14.25" customHeight="1" x14ac:dyDescent="0.3">
      <c r="A2077" s="1" t="s">
        <v>10947</v>
      </c>
      <c r="B2077" s="1" t="s">
        <v>507</v>
      </c>
      <c r="C2077" s="1" t="s">
        <v>508</v>
      </c>
      <c r="E2077" s="1" t="s">
        <v>10948</v>
      </c>
      <c r="F2077" s="1" t="s">
        <v>191</v>
      </c>
      <c r="G2077" s="1" t="s">
        <v>116</v>
      </c>
      <c r="H2077" s="1">
        <v>0</v>
      </c>
      <c r="I2077" s="1" t="s">
        <v>128</v>
      </c>
      <c r="L2077" s="1" t="s">
        <v>983</v>
      </c>
      <c r="M2077" s="1" t="s">
        <v>194</v>
      </c>
      <c r="N2077" s="1">
        <v>0</v>
      </c>
      <c r="O2077" s="1">
        <v>0</v>
      </c>
      <c r="P2077" s="1" t="s">
        <v>195</v>
      </c>
      <c r="Q2077" s="1" t="s">
        <v>101</v>
      </c>
      <c r="R2077" s="1" t="s">
        <v>10949</v>
      </c>
      <c r="S2077" s="1" t="s">
        <v>10570</v>
      </c>
      <c r="T2077" s="1">
        <v>1</v>
      </c>
      <c r="U2077" s="1">
        <v>1</v>
      </c>
      <c r="V2077" s="1">
        <v>0</v>
      </c>
      <c r="W2077" s="1">
        <v>0</v>
      </c>
      <c r="X2077" s="1">
        <v>0</v>
      </c>
      <c r="Y2077" s="1" t="s">
        <v>104</v>
      </c>
      <c r="Z2077" s="1" t="s">
        <v>104</v>
      </c>
      <c r="AA2077" s="1" t="s">
        <v>104</v>
      </c>
      <c r="AB2077" s="1" t="s">
        <v>104</v>
      </c>
      <c r="AC2077" s="1" t="s">
        <v>104</v>
      </c>
      <c r="AD2077" s="1" t="s">
        <v>104</v>
      </c>
      <c r="AE2077" s="1" t="s">
        <v>104</v>
      </c>
      <c r="AF2077" s="1" t="s">
        <v>104</v>
      </c>
      <c r="AG2077" s="1" t="s">
        <v>104</v>
      </c>
      <c r="AH2077" s="1" t="s">
        <v>104</v>
      </c>
      <c r="AI2077" s="1" t="s">
        <v>104</v>
      </c>
      <c r="AJ2077" s="1" t="s">
        <v>104</v>
      </c>
      <c r="AK2077" s="1" t="s">
        <v>104</v>
      </c>
      <c r="AL2077" s="1" t="s">
        <v>104</v>
      </c>
      <c r="AM2077" s="1" t="s">
        <v>104</v>
      </c>
      <c r="AO2077" s="1">
        <v>2</v>
      </c>
      <c r="AQ2077" s="1" t="s">
        <v>10950</v>
      </c>
      <c r="AR2077" s="1">
        <v>0</v>
      </c>
      <c r="AS2077" s="1">
        <v>0</v>
      </c>
      <c r="AT2077" s="1">
        <v>0</v>
      </c>
      <c r="AU2077" s="1">
        <v>0</v>
      </c>
      <c r="AV2077" s="1">
        <v>0</v>
      </c>
      <c r="AW2077" s="1">
        <v>0</v>
      </c>
      <c r="AX2077" s="1">
        <v>0</v>
      </c>
      <c r="AY2077" s="1">
        <v>0</v>
      </c>
      <c r="AZ2077" s="1">
        <v>0</v>
      </c>
      <c r="BA2077" s="1">
        <v>0</v>
      </c>
      <c r="BB2077" s="1">
        <v>0</v>
      </c>
      <c r="BC2077" s="1">
        <v>0</v>
      </c>
      <c r="BD2077" s="1">
        <v>0</v>
      </c>
      <c r="BE2077" s="1">
        <v>0</v>
      </c>
      <c r="BF2077" s="1">
        <v>0</v>
      </c>
      <c r="BG2077" s="1">
        <v>0</v>
      </c>
      <c r="BH2077" s="1">
        <v>0</v>
      </c>
      <c r="BI2077" s="1">
        <v>0</v>
      </c>
      <c r="BJ2077" s="1">
        <v>0</v>
      </c>
      <c r="BK2077" s="1">
        <v>0</v>
      </c>
      <c r="BL2077" s="1">
        <v>0</v>
      </c>
      <c r="BM2077" s="1">
        <v>0</v>
      </c>
      <c r="BN2077" s="1">
        <v>0</v>
      </c>
      <c r="BO2077" s="1">
        <v>0</v>
      </c>
      <c r="BP2077" s="1">
        <v>0</v>
      </c>
      <c r="BQ2077" s="1" t="s">
        <v>104</v>
      </c>
      <c r="BR2077" s="1">
        <v>2193</v>
      </c>
      <c r="BS2077" s="1" t="s">
        <v>104</v>
      </c>
      <c r="BX2077" s="1">
        <v>0</v>
      </c>
      <c r="BY2077" s="1" t="s">
        <v>104</v>
      </c>
      <c r="BZ2077" s="1" t="s">
        <v>104</v>
      </c>
      <c r="CA2077" s="1">
        <v>2</v>
      </c>
      <c r="CB2077" s="1" t="s">
        <v>104</v>
      </c>
      <c r="CC2077" s="1">
        <v>2</v>
      </c>
      <c r="CD2077" s="1">
        <v>2</v>
      </c>
      <c r="CE2077" s="1" t="s">
        <v>104</v>
      </c>
      <c r="CF2077" s="1" t="s">
        <v>104</v>
      </c>
      <c r="CG2077" s="1" t="s">
        <v>104</v>
      </c>
      <c r="CH2077" s="1" t="s">
        <v>104</v>
      </c>
      <c r="CJ2077" s="1">
        <v>0</v>
      </c>
      <c r="CK2077" s="1">
        <v>0</v>
      </c>
      <c r="CL2077" s="1">
        <v>0</v>
      </c>
      <c r="CM2077" s="1" t="s">
        <v>104</v>
      </c>
    </row>
    <row r="2078" spans="1:91" ht="14.25" customHeight="1" x14ac:dyDescent="0.3">
      <c r="A2078" s="1" t="s">
        <v>10951</v>
      </c>
      <c r="B2078" s="1" t="s">
        <v>434</v>
      </c>
      <c r="D2078" s="1" t="s">
        <v>57</v>
      </c>
      <c r="E2078" s="1" t="s">
        <v>10952</v>
      </c>
      <c r="F2078" s="1" t="s">
        <v>95</v>
      </c>
      <c r="G2078" s="1" t="s">
        <v>116</v>
      </c>
      <c r="H2078" s="1">
        <v>0</v>
      </c>
      <c r="I2078" s="1" t="s">
        <v>117</v>
      </c>
      <c r="L2078" s="1" t="s">
        <v>5040</v>
      </c>
      <c r="M2078" s="1" t="s">
        <v>210</v>
      </c>
      <c r="N2078" s="1">
        <v>0</v>
      </c>
      <c r="O2078" s="1">
        <v>0</v>
      </c>
      <c r="P2078" s="1" t="s">
        <v>100</v>
      </c>
      <c r="Q2078" s="1" t="s">
        <v>184</v>
      </c>
      <c r="R2078" s="1" t="s">
        <v>10953</v>
      </c>
      <c r="S2078" s="1" t="s">
        <v>10570</v>
      </c>
      <c r="T2078" s="1">
        <v>1</v>
      </c>
      <c r="U2078" s="1">
        <v>1</v>
      </c>
      <c r="V2078" s="1">
        <v>0</v>
      </c>
      <c r="W2078" s="1">
        <v>0</v>
      </c>
      <c r="X2078" s="1">
        <v>0</v>
      </c>
      <c r="Y2078" s="1" t="s">
        <v>104</v>
      </c>
      <c r="Z2078" s="1" t="s">
        <v>104</v>
      </c>
      <c r="AA2078" s="1" t="s">
        <v>104</v>
      </c>
      <c r="AB2078" s="1" t="s">
        <v>104</v>
      </c>
      <c r="AC2078" s="1" t="s">
        <v>104</v>
      </c>
      <c r="AD2078" s="1" t="s">
        <v>104</v>
      </c>
      <c r="AE2078" s="1" t="s">
        <v>104</v>
      </c>
      <c r="AF2078" s="1" t="s">
        <v>104</v>
      </c>
      <c r="AG2078" s="1" t="s">
        <v>104</v>
      </c>
      <c r="AH2078" s="1" t="s">
        <v>104</v>
      </c>
      <c r="AI2078" s="1" t="s">
        <v>104</v>
      </c>
      <c r="AJ2078" s="1" t="s">
        <v>104</v>
      </c>
      <c r="AK2078" s="1" t="s">
        <v>104</v>
      </c>
      <c r="AL2078" s="1" t="s">
        <v>104</v>
      </c>
      <c r="AM2078" s="1" t="s">
        <v>104</v>
      </c>
      <c r="AO2078" s="1" t="s">
        <v>104</v>
      </c>
      <c r="AQ2078" s="1" t="s">
        <v>10954</v>
      </c>
      <c r="AR2078" s="1">
        <v>0</v>
      </c>
      <c r="AS2078" s="1">
        <v>0</v>
      </c>
      <c r="AT2078" s="1">
        <v>0</v>
      </c>
      <c r="AU2078" s="1">
        <v>0</v>
      </c>
      <c r="AV2078" s="1">
        <v>0</v>
      </c>
      <c r="AW2078" s="1">
        <v>0</v>
      </c>
      <c r="AX2078" s="1">
        <v>0</v>
      </c>
      <c r="AY2078" s="1">
        <v>0</v>
      </c>
      <c r="AZ2078" s="1">
        <v>0</v>
      </c>
      <c r="BA2078" s="1">
        <v>0</v>
      </c>
      <c r="BB2078" s="1">
        <v>0</v>
      </c>
      <c r="BC2078" s="1">
        <v>0</v>
      </c>
      <c r="BD2078" s="1">
        <v>0</v>
      </c>
      <c r="BE2078" s="1">
        <v>0</v>
      </c>
      <c r="BF2078" s="1">
        <v>1</v>
      </c>
      <c r="BG2078" s="1">
        <v>0</v>
      </c>
      <c r="BH2078" s="1">
        <v>0</v>
      </c>
      <c r="BI2078" s="1">
        <v>0</v>
      </c>
      <c r="BJ2078" s="1">
        <v>0</v>
      </c>
      <c r="BK2078" s="1">
        <v>0</v>
      </c>
      <c r="BL2078" s="1">
        <v>0</v>
      </c>
      <c r="BM2078" s="1">
        <v>0</v>
      </c>
      <c r="BN2078" s="1">
        <v>0</v>
      </c>
      <c r="BO2078" s="1">
        <v>0</v>
      </c>
      <c r="BP2078" s="1">
        <v>0</v>
      </c>
      <c r="BQ2078" s="1" t="s">
        <v>104</v>
      </c>
      <c r="BR2078" s="1">
        <v>2194</v>
      </c>
      <c r="BS2078" s="1" t="s">
        <v>104</v>
      </c>
      <c r="BX2078" s="1">
        <v>0</v>
      </c>
      <c r="BY2078" s="1" t="s">
        <v>104</v>
      </c>
      <c r="BZ2078" s="1" t="s">
        <v>104</v>
      </c>
      <c r="CA2078" s="1">
        <v>6</v>
      </c>
      <c r="CB2078" s="1" t="s">
        <v>104</v>
      </c>
      <c r="CC2078" s="1" t="s">
        <v>104</v>
      </c>
      <c r="CD2078" s="1" t="s">
        <v>104</v>
      </c>
      <c r="CE2078" s="1">
        <v>5</v>
      </c>
      <c r="CF2078" s="1" t="s">
        <v>104</v>
      </c>
      <c r="CG2078" s="1" t="s">
        <v>104</v>
      </c>
      <c r="CH2078" s="1" t="s">
        <v>104</v>
      </c>
      <c r="CJ2078" s="1">
        <v>0</v>
      </c>
      <c r="CK2078" s="1">
        <v>0</v>
      </c>
      <c r="CL2078" s="1">
        <v>0</v>
      </c>
      <c r="CM2078" s="1" t="s">
        <v>104</v>
      </c>
    </row>
    <row r="2079" spans="1:91" ht="14.25" customHeight="1" x14ac:dyDescent="0.3">
      <c r="A2079" s="1" t="s">
        <v>10955</v>
      </c>
      <c r="B2079" s="1" t="s">
        <v>123</v>
      </c>
      <c r="D2079" s="1" t="s">
        <v>10956</v>
      </c>
      <c r="E2079" s="1" t="s">
        <v>10957</v>
      </c>
      <c r="F2079" s="1" t="s">
        <v>95</v>
      </c>
      <c r="G2079" s="1" t="s">
        <v>116</v>
      </c>
      <c r="H2079" s="1">
        <v>0</v>
      </c>
      <c r="I2079" s="1" t="s">
        <v>117</v>
      </c>
      <c r="L2079" s="1" t="s">
        <v>1065</v>
      </c>
      <c r="M2079" s="1" t="s">
        <v>111</v>
      </c>
      <c r="N2079" s="1">
        <v>0</v>
      </c>
      <c r="O2079" s="1">
        <v>0</v>
      </c>
      <c r="P2079" s="1" t="s">
        <v>629</v>
      </c>
      <c r="Q2079" s="1" t="s">
        <v>184</v>
      </c>
      <c r="R2079" s="1" t="s">
        <v>10958</v>
      </c>
      <c r="S2079" s="1" t="s">
        <v>10570</v>
      </c>
      <c r="T2079" s="1">
        <v>1</v>
      </c>
      <c r="U2079" s="1">
        <v>1</v>
      </c>
      <c r="V2079" s="1">
        <v>0</v>
      </c>
      <c r="W2079" s="1">
        <v>0</v>
      </c>
      <c r="X2079" s="1">
        <v>0</v>
      </c>
      <c r="Y2079" s="1">
        <v>3</v>
      </c>
      <c r="Z2079" s="1">
        <v>3</v>
      </c>
      <c r="AA2079" s="1" t="s">
        <v>104</v>
      </c>
      <c r="AB2079" s="1" t="s">
        <v>104</v>
      </c>
      <c r="AC2079" s="1" t="s">
        <v>104</v>
      </c>
      <c r="AD2079" s="1" t="s">
        <v>104</v>
      </c>
      <c r="AE2079" s="1" t="s">
        <v>104</v>
      </c>
      <c r="AF2079" s="1" t="s">
        <v>104</v>
      </c>
      <c r="AG2079" s="1" t="s">
        <v>104</v>
      </c>
      <c r="AH2079" s="1">
        <v>3</v>
      </c>
      <c r="AI2079" s="1">
        <v>2</v>
      </c>
      <c r="AJ2079" s="1" t="s">
        <v>104</v>
      </c>
      <c r="AK2079" s="1">
        <v>2</v>
      </c>
      <c r="AL2079" s="1" t="s">
        <v>104</v>
      </c>
      <c r="AM2079" s="1" t="s">
        <v>104</v>
      </c>
      <c r="AO2079" s="1">
        <v>3</v>
      </c>
      <c r="AQ2079" s="1" t="s">
        <v>10959</v>
      </c>
      <c r="AR2079" s="1">
        <v>0</v>
      </c>
      <c r="AS2079" s="1">
        <v>0</v>
      </c>
      <c r="AT2079" s="1">
        <v>0</v>
      </c>
      <c r="AU2079" s="1">
        <v>0</v>
      </c>
      <c r="AV2079" s="1">
        <v>0</v>
      </c>
      <c r="AW2079" s="1">
        <v>0</v>
      </c>
      <c r="AX2079" s="1">
        <v>0</v>
      </c>
      <c r="AY2079" s="1">
        <v>0</v>
      </c>
      <c r="AZ2079" s="1">
        <v>0</v>
      </c>
      <c r="BA2079" s="1">
        <v>0</v>
      </c>
      <c r="BB2079" s="1">
        <v>0</v>
      </c>
      <c r="BC2079" s="1">
        <v>0</v>
      </c>
      <c r="BD2079" s="1">
        <v>0</v>
      </c>
      <c r="BE2079" s="1">
        <v>0</v>
      </c>
      <c r="BF2079" s="1">
        <v>0</v>
      </c>
      <c r="BG2079" s="1">
        <v>0</v>
      </c>
      <c r="BH2079" s="1">
        <v>0</v>
      </c>
      <c r="BI2079" s="1">
        <v>0</v>
      </c>
      <c r="BJ2079" s="1">
        <v>0</v>
      </c>
      <c r="BK2079" s="1">
        <v>1</v>
      </c>
      <c r="BL2079" s="1">
        <v>1</v>
      </c>
      <c r="BM2079" s="1">
        <v>0</v>
      </c>
      <c r="BN2079" s="1">
        <v>0</v>
      </c>
      <c r="BO2079" s="1">
        <v>0</v>
      </c>
      <c r="BP2079" s="1">
        <v>0</v>
      </c>
      <c r="BQ2079" s="1" t="s">
        <v>104</v>
      </c>
      <c r="BR2079" s="1">
        <v>2195</v>
      </c>
      <c r="BS2079" s="1" t="s">
        <v>104</v>
      </c>
      <c r="BX2079" s="1">
        <v>0</v>
      </c>
      <c r="BY2079" s="1" t="s">
        <v>104</v>
      </c>
      <c r="BZ2079" s="1" t="s">
        <v>104</v>
      </c>
      <c r="CA2079" s="1">
        <v>2</v>
      </c>
      <c r="CB2079" s="1">
        <v>2</v>
      </c>
      <c r="CC2079" s="1">
        <v>2</v>
      </c>
      <c r="CD2079" s="1">
        <v>2</v>
      </c>
      <c r="CE2079" s="1">
        <v>2</v>
      </c>
      <c r="CF2079" s="1" t="s">
        <v>104</v>
      </c>
      <c r="CG2079" s="1" t="s">
        <v>104</v>
      </c>
      <c r="CH2079" s="1" t="s">
        <v>104</v>
      </c>
      <c r="CJ2079" s="1">
        <v>0</v>
      </c>
      <c r="CK2079" s="1">
        <v>0</v>
      </c>
      <c r="CL2079" s="1">
        <v>0</v>
      </c>
      <c r="CM2079" s="1" t="s">
        <v>104</v>
      </c>
    </row>
    <row r="2080" spans="1:91" ht="14.25" customHeight="1" x14ac:dyDescent="0.3">
      <c r="A2080" s="1" t="s">
        <v>10960</v>
      </c>
      <c r="B2080" s="1" t="s">
        <v>123</v>
      </c>
      <c r="D2080" s="1" t="s">
        <v>10956</v>
      </c>
      <c r="E2080" s="1" t="s">
        <v>10961</v>
      </c>
      <c r="F2080" s="1" t="s">
        <v>95</v>
      </c>
      <c r="G2080" s="1" t="s">
        <v>116</v>
      </c>
      <c r="H2080" s="1">
        <v>0</v>
      </c>
      <c r="I2080" s="1" t="s">
        <v>117</v>
      </c>
      <c r="L2080" s="1" t="s">
        <v>6363</v>
      </c>
      <c r="M2080" s="1" t="s">
        <v>111</v>
      </c>
      <c r="N2080" s="1">
        <v>0</v>
      </c>
      <c r="O2080" s="1">
        <v>0</v>
      </c>
      <c r="P2080" s="1" t="s">
        <v>629</v>
      </c>
      <c r="Q2080" s="1" t="s">
        <v>184</v>
      </c>
      <c r="R2080" s="1" t="s">
        <v>10962</v>
      </c>
      <c r="S2080" s="1" t="s">
        <v>10570</v>
      </c>
      <c r="T2080" s="1">
        <v>1</v>
      </c>
      <c r="U2080" s="1">
        <v>1</v>
      </c>
      <c r="V2080" s="1">
        <v>0</v>
      </c>
      <c r="W2080" s="1">
        <v>0</v>
      </c>
      <c r="X2080" s="1">
        <v>0</v>
      </c>
      <c r="Y2080" s="1">
        <v>7</v>
      </c>
      <c r="Z2080" s="1">
        <v>7</v>
      </c>
      <c r="AA2080" s="1" t="s">
        <v>104</v>
      </c>
      <c r="AB2080" s="1" t="s">
        <v>104</v>
      </c>
      <c r="AC2080" s="1" t="s">
        <v>104</v>
      </c>
      <c r="AD2080" s="1" t="s">
        <v>104</v>
      </c>
      <c r="AE2080" s="1" t="s">
        <v>104</v>
      </c>
      <c r="AF2080" s="1" t="s">
        <v>104</v>
      </c>
      <c r="AG2080" s="1" t="s">
        <v>104</v>
      </c>
      <c r="AH2080" s="1">
        <v>7</v>
      </c>
      <c r="AI2080" s="1">
        <v>5</v>
      </c>
      <c r="AJ2080" s="1" t="s">
        <v>104</v>
      </c>
      <c r="AK2080" s="1">
        <v>4</v>
      </c>
      <c r="AL2080" s="1" t="s">
        <v>104</v>
      </c>
      <c r="AM2080" s="1" t="s">
        <v>104</v>
      </c>
      <c r="AO2080" s="1">
        <v>7</v>
      </c>
      <c r="AQ2080" s="1" t="s">
        <v>10963</v>
      </c>
      <c r="AR2080" s="1">
        <v>0</v>
      </c>
      <c r="AS2080" s="1">
        <v>0</v>
      </c>
      <c r="AT2080" s="1">
        <v>0</v>
      </c>
      <c r="AU2080" s="1">
        <v>0</v>
      </c>
      <c r="AV2080" s="1">
        <v>0</v>
      </c>
      <c r="AW2080" s="1">
        <v>0</v>
      </c>
      <c r="AX2080" s="1">
        <v>0</v>
      </c>
      <c r="AY2080" s="1">
        <v>0</v>
      </c>
      <c r="AZ2080" s="1">
        <v>0</v>
      </c>
      <c r="BA2080" s="1">
        <v>0</v>
      </c>
      <c r="BB2080" s="1">
        <v>0</v>
      </c>
      <c r="BC2080" s="1">
        <v>0</v>
      </c>
      <c r="BD2080" s="1">
        <v>0</v>
      </c>
      <c r="BE2080" s="1">
        <v>0</v>
      </c>
      <c r="BF2080" s="1">
        <v>0</v>
      </c>
      <c r="BG2080" s="1">
        <v>0</v>
      </c>
      <c r="BH2080" s="1">
        <v>0</v>
      </c>
      <c r="BI2080" s="1">
        <v>0</v>
      </c>
      <c r="BJ2080" s="1">
        <v>0</v>
      </c>
      <c r="BK2080" s="1">
        <v>1</v>
      </c>
      <c r="BL2080" s="1">
        <v>1</v>
      </c>
      <c r="BM2080" s="1">
        <v>0</v>
      </c>
      <c r="BN2080" s="1">
        <v>0</v>
      </c>
      <c r="BO2080" s="1">
        <v>0</v>
      </c>
      <c r="BP2080" s="1">
        <v>0</v>
      </c>
      <c r="BQ2080" s="1" t="s">
        <v>104</v>
      </c>
      <c r="BR2080" s="1">
        <v>2196</v>
      </c>
      <c r="BS2080" s="1" t="s">
        <v>104</v>
      </c>
      <c r="BX2080" s="1">
        <v>0</v>
      </c>
      <c r="BY2080" s="1" t="s">
        <v>104</v>
      </c>
      <c r="BZ2080" s="1" t="s">
        <v>104</v>
      </c>
      <c r="CA2080" s="1">
        <v>6</v>
      </c>
      <c r="CB2080" s="1">
        <v>4</v>
      </c>
      <c r="CC2080" s="1">
        <v>5</v>
      </c>
      <c r="CD2080" s="1">
        <v>5</v>
      </c>
      <c r="CE2080" s="1">
        <v>5</v>
      </c>
      <c r="CF2080" s="1" t="s">
        <v>104</v>
      </c>
      <c r="CG2080" s="1" t="s">
        <v>104</v>
      </c>
      <c r="CH2080" s="1" t="s">
        <v>104</v>
      </c>
      <c r="CJ2080" s="1">
        <v>0</v>
      </c>
      <c r="CK2080" s="1">
        <v>0</v>
      </c>
      <c r="CL2080" s="1">
        <v>0</v>
      </c>
      <c r="CM2080" s="1" t="s">
        <v>104</v>
      </c>
    </row>
    <row r="2081" spans="1:91" ht="14.25" customHeight="1" x14ac:dyDescent="0.3">
      <c r="A2081" s="1" t="s">
        <v>10964</v>
      </c>
      <c r="B2081" s="1" t="s">
        <v>507</v>
      </c>
      <c r="C2081" s="1" t="s">
        <v>1308</v>
      </c>
      <c r="D2081" s="1" t="s">
        <v>125</v>
      </c>
      <c r="E2081" s="1" t="s">
        <v>10965</v>
      </c>
      <c r="F2081" s="1" t="s">
        <v>95</v>
      </c>
      <c r="G2081" s="1" t="s">
        <v>116</v>
      </c>
      <c r="H2081" s="1">
        <v>0</v>
      </c>
      <c r="I2081" s="1" t="s">
        <v>109</v>
      </c>
      <c r="L2081" s="1" t="s">
        <v>1065</v>
      </c>
      <c r="M2081" s="1" t="s">
        <v>2330</v>
      </c>
      <c r="N2081" s="1">
        <v>0</v>
      </c>
      <c r="O2081" s="1">
        <v>0</v>
      </c>
      <c r="P2081" s="1" t="s">
        <v>211</v>
      </c>
      <c r="Q2081" s="1" t="s">
        <v>184</v>
      </c>
      <c r="R2081" s="1" t="s">
        <v>10966</v>
      </c>
      <c r="S2081" s="1" t="s">
        <v>10570</v>
      </c>
      <c r="T2081" s="1">
        <v>1</v>
      </c>
      <c r="U2081" s="1">
        <v>1</v>
      </c>
      <c r="V2081" s="1">
        <v>0</v>
      </c>
      <c r="W2081" s="1">
        <v>0</v>
      </c>
      <c r="X2081" s="1">
        <v>0</v>
      </c>
      <c r="Y2081" s="1" t="s">
        <v>104</v>
      </c>
      <c r="Z2081" s="1" t="s">
        <v>104</v>
      </c>
      <c r="AA2081" s="1" t="s">
        <v>104</v>
      </c>
      <c r="AB2081" s="1" t="s">
        <v>104</v>
      </c>
      <c r="AC2081" s="1" t="s">
        <v>104</v>
      </c>
      <c r="AD2081" s="1" t="s">
        <v>104</v>
      </c>
      <c r="AE2081" s="1" t="s">
        <v>104</v>
      </c>
      <c r="AF2081" s="1" t="s">
        <v>104</v>
      </c>
      <c r="AG2081" s="1" t="s">
        <v>104</v>
      </c>
      <c r="AH2081" s="1" t="s">
        <v>104</v>
      </c>
      <c r="AI2081" s="1" t="s">
        <v>104</v>
      </c>
      <c r="AJ2081" s="1" t="s">
        <v>104</v>
      </c>
      <c r="AK2081" s="1" t="s">
        <v>104</v>
      </c>
      <c r="AL2081" s="1" t="s">
        <v>104</v>
      </c>
      <c r="AM2081" s="1" t="s">
        <v>104</v>
      </c>
      <c r="AO2081" s="1">
        <v>2</v>
      </c>
      <c r="AQ2081" s="1" t="s">
        <v>10967</v>
      </c>
      <c r="AR2081" s="1">
        <v>0</v>
      </c>
      <c r="AS2081" s="1">
        <v>0</v>
      </c>
      <c r="AT2081" s="1">
        <v>0</v>
      </c>
      <c r="AU2081" s="1">
        <v>0</v>
      </c>
      <c r="AV2081" s="1">
        <v>0</v>
      </c>
      <c r="AW2081" s="1">
        <v>0</v>
      </c>
      <c r="AX2081" s="1">
        <v>0</v>
      </c>
      <c r="AY2081" s="1">
        <v>0</v>
      </c>
      <c r="AZ2081" s="1">
        <v>0</v>
      </c>
      <c r="BA2081" s="1">
        <v>0</v>
      </c>
      <c r="BB2081" s="1">
        <v>0</v>
      </c>
      <c r="BC2081" s="1">
        <v>0</v>
      </c>
      <c r="BD2081" s="1">
        <v>0</v>
      </c>
      <c r="BE2081" s="1">
        <v>0</v>
      </c>
      <c r="BF2081" s="1">
        <v>0</v>
      </c>
      <c r="BG2081" s="1">
        <v>0</v>
      </c>
      <c r="BH2081" s="1">
        <v>0</v>
      </c>
      <c r="BI2081" s="1">
        <v>0</v>
      </c>
      <c r="BJ2081" s="1">
        <v>0</v>
      </c>
      <c r="BK2081" s="1">
        <v>1</v>
      </c>
      <c r="BL2081" s="1">
        <v>0</v>
      </c>
      <c r="BM2081" s="1">
        <v>0</v>
      </c>
      <c r="BN2081" s="1">
        <v>0</v>
      </c>
      <c r="BO2081" s="1">
        <v>0</v>
      </c>
      <c r="BP2081" s="1">
        <v>0</v>
      </c>
      <c r="BQ2081" s="1" t="s">
        <v>104</v>
      </c>
      <c r="BR2081" s="1">
        <v>2197</v>
      </c>
      <c r="BS2081" s="1" t="s">
        <v>104</v>
      </c>
      <c r="BX2081" s="1">
        <v>0</v>
      </c>
      <c r="BY2081" s="1" t="s">
        <v>104</v>
      </c>
      <c r="BZ2081" s="1" t="s">
        <v>104</v>
      </c>
      <c r="CA2081" s="1">
        <v>2</v>
      </c>
      <c r="CB2081" s="1">
        <v>2</v>
      </c>
      <c r="CC2081" s="1">
        <v>2</v>
      </c>
      <c r="CD2081" s="1">
        <v>2</v>
      </c>
      <c r="CE2081" s="1">
        <v>2</v>
      </c>
      <c r="CF2081" s="1" t="s">
        <v>104</v>
      </c>
      <c r="CG2081" s="1" t="s">
        <v>104</v>
      </c>
      <c r="CH2081" s="1" t="s">
        <v>104</v>
      </c>
      <c r="CJ2081" s="1">
        <v>0</v>
      </c>
      <c r="CK2081" s="1">
        <v>0</v>
      </c>
      <c r="CL2081" s="1">
        <v>0</v>
      </c>
      <c r="CM2081" s="1" t="s">
        <v>104</v>
      </c>
    </row>
    <row r="2082" spans="1:91" ht="14.25" customHeight="1" x14ac:dyDescent="0.3">
      <c r="A2082" s="1" t="s">
        <v>10968</v>
      </c>
      <c r="B2082" s="1" t="s">
        <v>162</v>
      </c>
      <c r="E2082" s="1" t="s">
        <v>10851</v>
      </c>
      <c r="F2082" s="1" t="s">
        <v>1502</v>
      </c>
      <c r="G2082" s="1" t="s">
        <v>237</v>
      </c>
      <c r="H2082" s="1">
        <v>0</v>
      </c>
      <c r="I2082" s="1" t="s">
        <v>697</v>
      </c>
      <c r="J2082" s="1" t="s">
        <v>5922</v>
      </c>
      <c r="M2082" s="1" t="s">
        <v>255</v>
      </c>
      <c r="N2082" s="1">
        <v>0</v>
      </c>
      <c r="O2082" s="1">
        <v>0</v>
      </c>
      <c r="P2082" s="1" t="s">
        <v>100</v>
      </c>
      <c r="Q2082" s="1" t="s">
        <v>131</v>
      </c>
      <c r="R2082" s="1" t="s">
        <v>10969</v>
      </c>
      <c r="S2082" s="1" t="s">
        <v>10570</v>
      </c>
      <c r="T2082" s="1">
        <v>1</v>
      </c>
      <c r="U2082" s="1">
        <v>0</v>
      </c>
      <c r="V2082" s="1">
        <v>0</v>
      </c>
      <c r="W2082" s="1">
        <v>0</v>
      </c>
      <c r="X2082" s="1">
        <v>0</v>
      </c>
      <c r="Y2082" s="1" t="s">
        <v>104</v>
      </c>
      <c r="Z2082" s="1" t="s">
        <v>104</v>
      </c>
      <c r="AA2082" s="1" t="s">
        <v>104</v>
      </c>
      <c r="AB2082" s="1" t="s">
        <v>104</v>
      </c>
      <c r="AC2082" s="1" t="s">
        <v>104</v>
      </c>
      <c r="AD2082" s="1" t="s">
        <v>104</v>
      </c>
      <c r="AE2082" s="1" t="s">
        <v>104</v>
      </c>
      <c r="AF2082" s="1" t="s">
        <v>104</v>
      </c>
      <c r="AG2082" s="1" t="s">
        <v>104</v>
      </c>
      <c r="AH2082" s="1" t="s">
        <v>104</v>
      </c>
      <c r="AI2082" s="1" t="s">
        <v>104</v>
      </c>
      <c r="AJ2082" s="1" t="s">
        <v>104</v>
      </c>
      <c r="AK2082" s="1" t="s">
        <v>104</v>
      </c>
      <c r="AL2082" s="1" t="s">
        <v>104</v>
      </c>
      <c r="AM2082" s="1" t="s">
        <v>104</v>
      </c>
      <c r="AO2082" s="1">
        <v>4</v>
      </c>
      <c r="AQ2082" s="1" t="s">
        <v>10970</v>
      </c>
      <c r="AR2082" s="1">
        <v>0</v>
      </c>
      <c r="AS2082" s="1">
        <v>0</v>
      </c>
      <c r="AT2082" s="1">
        <v>0</v>
      </c>
      <c r="AU2082" s="1">
        <v>0</v>
      </c>
      <c r="AV2082" s="1">
        <v>0</v>
      </c>
      <c r="AW2082" s="1">
        <v>0</v>
      </c>
      <c r="AX2082" s="1">
        <v>0</v>
      </c>
      <c r="AY2082" s="1">
        <v>0</v>
      </c>
      <c r="AZ2082" s="1">
        <v>0</v>
      </c>
      <c r="BA2082" s="1">
        <v>0</v>
      </c>
      <c r="BB2082" s="1">
        <v>0</v>
      </c>
      <c r="BC2082" s="1">
        <v>0</v>
      </c>
      <c r="BD2082" s="1">
        <v>0</v>
      </c>
      <c r="BE2082" s="1">
        <v>0</v>
      </c>
      <c r="BF2082" s="1">
        <v>0</v>
      </c>
      <c r="BG2082" s="1">
        <v>0</v>
      </c>
      <c r="BH2082" s="1">
        <v>0</v>
      </c>
      <c r="BI2082" s="1">
        <v>0</v>
      </c>
      <c r="BJ2082" s="1">
        <v>0</v>
      </c>
      <c r="BK2082" s="1">
        <v>0</v>
      </c>
      <c r="BL2082" s="1">
        <v>0</v>
      </c>
      <c r="BM2082" s="1">
        <v>0</v>
      </c>
      <c r="BN2082" s="1">
        <v>0</v>
      </c>
      <c r="BO2082" s="1">
        <v>0</v>
      </c>
      <c r="BP2082" s="1">
        <v>0</v>
      </c>
      <c r="BQ2082" s="1" t="s">
        <v>104</v>
      </c>
      <c r="BR2082" s="1">
        <v>2198</v>
      </c>
      <c r="BS2082" s="1" t="s">
        <v>104</v>
      </c>
      <c r="BT2082" s="1" t="s">
        <v>10971</v>
      </c>
      <c r="BX2082" s="1">
        <v>0</v>
      </c>
      <c r="BY2082" s="1" t="s">
        <v>104</v>
      </c>
      <c r="BZ2082" s="1" t="s">
        <v>104</v>
      </c>
      <c r="CA2082" s="1">
        <v>4</v>
      </c>
      <c r="CB2082" s="1" t="s">
        <v>104</v>
      </c>
      <c r="CC2082" s="1" t="s">
        <v>104</v>
      </c>
      <c r="CD2082" s="1" t="s">
        <v>104</v>
      </c>
      <c r="CE2082" s="1" t="s">
        <v>104</v>
      </c>
      <c r="CF2082" s="1" t="s">
        <v>104</v>
      </c>
      <c r="CG2082" s="1" t="s">
        <v>104</v>
      </c>
      <c r="CH2082" s="1" t="s">
        <v>104</v>
      </c>
      <c r="CJ2082" s="1">
        <v>0</v>
      </c>
      <c r="CK2082" s="1">
        <v>0</v>
      </c>
      <c r="CL2082" s="1">
        <v>0</v>
      </c>
      <c r="CM2082" s="1" t="s">
        <v>104</v>
      </c>
    </row>
    <row r="2083" spans="1:91" ht="14.25" customHeight="1" x14ac:dyDescent="0.3">
      <c r="A2083" s="1" t="s">
        <v>10972</v>
      </c>
      <c r="B2083" s="1" t="s">
        <v>162</v>
      </c>
      <c r="E2083" s="1" t="s">
        <v>10855</v>
      </c>
      <c r="F2083" s="1" t="s">
        <v>1502</v>
      </c>
      <c r="G2083" s="1" t="s">
        <v>237</v>
      </c>
      <c r="H2083" s="1">
        <v>0</v>
      </c>
      <c r="I2083" s="1" t="s">
        <v>697</v>
      </c>
      <c r="J2083" s="1" t="s">
        <v>5922</v>
      </c>
      <c r="M2083" s="1" t="s">
        <v>255</v>
      </c>
      <c r="N2083" s="1">
        <v>0</v>
      </c>
      <c r="O2083" s="1">
        <v>0</v>
      </c>
      <c r="P2083" s="1" t="s">
        <v>100</v>
      </c>
      <c r="Q2083" s="1" t="s">
        <v>131</v>
      </c>
      <c r="R2083" s="1" t="s">
        <v>10973</v>
      </c>
      <c r="S2083" s="1" t="s">
        <v>10570</v>
      </c>
      <c r="T2083" s="1">
        <v>1</v>
      </c>
      <c r="U2083" s="1">
        <v>0</v>
      </c>
      <c r="V2083" s="1">
        <v>0</v>
      </c>
      <c r="W2083" s="1">
        <v>0</v>
      </c>
      <c r="X2083" s="1">
        <v>0</v>
      </c>
      <c r="Y2083" s="1" t="s">
        <v>104</v>
      </c>
      <c r="Z2083" s="1" t="s">
        <v>104</v>
      </c>
      <c r="AA2083" s="1" t="s">
        <v>104</v>
      </c>
      <c r="AB2083" s="1" t="s">
        <v>104</v>
      </c>
      <c r="AC2083" s="1" t="s">
        <v>104</v>
      </c>
      <c r="AD2083" s="1" t="s">
        <v>104</v>
      </c>
      <c r="AE2083" s="1" t="s">
        <v>104</v>
      </c>
      <c r="AF2083" s="1" t="s">
        <v>104</v>
      </c>
      <c r="AG2083" s="1" t="s">
        <v>104</v>
      </c>
      <c r="AH2083" s="1" t="s">
        <v>104</v>
      </c>
      <c r="AI2083" s="1" t="s">
        <v>104</v>
      </c>
      <c r="AJ2083" s="1" t="s">
        <v>104</v>
      </c>
      <c r="AK2083" s="1" t="s">
        <v>104</v>
      </c>
      <c r="AL2083" s="1" t="s">
        <v>104</v>
      </c>
      <c r="AM2083" s="1" t="s">
        <v>104</v>
      </c>
      <c r="AO2083" s="1">
        <v>5</v>
      </c>
      <c r="AQ2083" s="1" t="s">
        <v>10974</v>
      </c>
      <c r="AR2083" s="1">
        <v>0</v>
      </c>
      <c r="AS2083" s="1">
        <v>0</v>
      </c>
      <c r="AT2083" s="1">
        <v>0</v>
      </c>
      <c r="AU2083" s="1">
        <v>0</v>
      </c>
      <c r="AV2083" s="1">
        <v>0</v>
      </c>
      <c r="AW2083" s="1">
        <v>0</v>
      </c>
      <c r="AX2083" s="1">
        <v>0</v>
      </c>
      <c r="AY2083" s="1">
        <v>0</v>
      </c>
      <c r="AZ2083" s="1">
        <v>0</v>
      </c>
      <c r="BA2083" s="1">
        <v>0</v>
      </c>
      <c r="BB2083" s="1">
        <v>0</v>
      </c>
      <c r="BC2083" s="1">
        <v>0</v>
      </c>
      <c r="BD2083" s="1">
        <v>0</v>
      </c>
      <c r="BE2083" s="1">
        <v>0</v>
      </c>
      <c r="BF2083" s="1">
        <v>0</v>
      </c>
      <c r="BG2083" s="1">
        <v>0</v>
      </c>
      <c r="BH2083" s="1">
        <v>0</v>
      </c>
      <c r="BI2083" s="1">
        <v>0</v>
      </c>
      <c r="BJ2083" s="1">
        <v>0</v>
      </c>
      <c r="BK2083" s="1">
        <v>0</v>
      </c>
      <c r="BL2083" s="1">
        <v>0</v>
      </c>
      <c r="BM2083" s="1">
        <v>0</v>
      </c>
      <c r="BN2083" s="1">
        <v>0</v>
      </c>
      <c r="BO2083" s="1">
        <v>0</v>
      </c>
      <c r="BP2083" s="1">
        <v>0</v>
      </c>
      <c r="BQ2083" s="1" t="s">
        <v>104</v>
      </c>
      <c r="BR2083" s="1">
        <v>2199</v>
      </c>
      <c r="BS2083" s="1" t="s">
        <v>104</v>
      </c>
      <c r="BX2083" s="1">
        <v>0</v>
      </c>
      <c r="BY2083" s="1" t="s">
        <v>104</v>
      </c>
      <c r="BZ2083" s="1" t="s">
        <v>104</v>
      </c>
      <c r="CA2083" s="1">
        <v>5</v>
      </c>
      <c r="CB2083" s="1" t="s">
        <v>104</v>
      </c>
      <c r="CC2083" s="1" t="s">
        <v>104</v>
      </c>
      <c r="CD2083" s="1" t="s">
        <v>104</v>
      </c>
      <c r="CE2083" s="1" t="s">
        <v>104</v>
      </c>
      <c r="CF2083" s="1" t="s">
        <v>104</v>
      </c>
      <c r="CG2083" s="1" t="s">
        <v>104</v>
      </c>
      <c r="CH2083" s="1" t="s">
        <v>104</v>
      </c>
      <c r="CJ2083" s="1">
        <v>0</v>
      </c>
      <c r="CK2083" s="1">
        <v>0</v>
      </c>
      <c r="CL2083" s="1">
        <v>0</v>
      </c>
      <c r="CM2083" s="1" t="s">
        <v>104</v>
      </c>
    </row>
    <row r="2084" spans="1:91" ht="14.25" customHeight="1" x14ac:dyDescent="0.3">
      <c r="A2084" s="1" t="s">
        <v>10975</v>
      </c>
      <c r="B2084" s="1" t="s">
        <v>162</v>
      </c>
      <c r="E2084" s="1" t="s">
        <v>10859</v>
      </c>
      <c r="F2084" s="1" t="s">
        <v>1502</v>
      </c>
      <c r="G2084" s="1" t="s">
        <v>237</v>
      </c>
      <c r="H2084" s="1">
        <v>0</v>
      </c>
      <c r="I2084" s="1" t="s">
        <v>697</v>
      </c>
      <c r="J2084" s="1" t="s">
        <v>5922</v>
      </c>
      <c r="M2084" s="1" t="s">
        <v>255</v>
      </c>
      <c r="N2084" s="1">
        <v>0</v>
      </c>
      <c r="O2084" s="1">
        <v>0</v>
      </c>
      <c r="P2084" s="1" t="s">
        <v>100</v>
      </c>
      <c r="Q2084" s="1" t="s">
        <v>131</v>
      </c>
      <c r="R2084" s="1" t="s">
        <v>10976</v>
      </c>
      <c r="S2084" s="1" t="s">
        <v>10570</v>
      </c>
      <c r="T2084" s="1">
        <v>1</v>
      </c>
      <c r="U2084" s="1">
        <v>0</v>
      </c>
      <c r="V2084" s="1">
        <v>0</v>
      </c>
      <c r="W2084" s="1">
        <v>0</v>
      </c>
      <c r="X2084" s="1">
        <v>0</v>
      </c>
      <c r="Y2084" s="1" t="s">
        <v>104</v>
      </c>
      <c r="Z2084" s="1" t="s">
        <v>104</v>
      </c>
      <c r="AA2084" s="1" t="s">
        <v>104</v>
      </c>
      <c r="AB2084" s="1" t="s">
        <v>104</v>
      </c>
      <c r="AC2084" s="1" t="s">
        <v>104</v>
      </c>
      <c r="AD2084" s="1" t="s">
        <v>104</v>
      </c>
      <c r="AE2084" s="1" t="s">
        <v>104</v>
      </c>
      <c r="AF2084" s="1" t="s">
        <v>104</v>
      </c>
      <c r="AG2084" s="1" t="s">
        <v>104</v>
      </c>
      <c r="AH2084" s="1" t="s">
        <v>104</v>
      </c>
      <c r="AI2084" s="1" t="s">
        <v>104</v>
      </c>
      <c r="AJ2084" s="1" t="s">
        <v>104</v>
      </c>
      <c r="AK2084" s="1" t="s">
        <v>104</v>
      </c>
      <c r="AL2084" s="1" t="s">
        <v>104</v>
      </c>
      <c r="AM2084" s="1" t="s">
        <v>104</v>
      </c>
      <c r="AO2084" s="1">
        <v>6</v>
      </c>
      <c r="AQ2084" s="1" t="s">
        <v>10977</v>
      </c>
      <c r="AR2084" s="1">
        <v>0</v>
      </c>
      <c r="AS2084" s="1">
        <v>0</v>
      </c>
      <c r="AT2084" s="1">
        <v>0</v>
      </c>
      <c r="AU2084" s="1">
        <v>0</v>
      </c>
      <c r="AV2084" s="1">
        <v>0</v>
      </c>
      <c r="AW2084" s="1">
        <v>0</v>
      </c>
      <c r="AX2084" s="1">
        <v>0</v>
      </c>
      <c r="AY2084" s="1">
        <v>0</v>
      </c>
      <c r="AZ2084" s="1">
        <v>0</v>
      </c>
      <c r="BA2084" s="1">
        <v>0</v>
      </c>
      <c r="BB2084" s="1">
        <v>0</v>
      </c>
      <c r="BC2084" s="1">
        <v>0</v>
      </c>
      <c r="BD2084" s="1">
        <v>0</v>
      </c>
      <c r="BE2084" s="1">
        <v>0</v>
      </c>
      <c r="BF2084" s="1">
        <v>0</v>
      </c>
      <c r="BG2084" s="1">
        <v>0</v>
      </c>
      <c r="BH2084" s="1">
        <v>0</v>
      </c>
      <c r="BI2084" s="1">
        <v>0</v>
      </c>
      <c r="BJ2084" s="1">
        <v>0</v>
      </c>
      <c r="BK2084" s="1">
        <v>0</v>
      </c>
      <c r="BL2084" s="1">
        <v>0</v>
      </c>
      <c r="BM2084" s="1">
        <v>0</v>
      </c>
      <c r="BN2084" s="1">
        <v>0</v>
      </c>
      <c r="BO2084" s="1">
        <v>0</v>
      </c>
      <c r="BP2084" s="1">
        <v>0</v>
      </c>
      <c r="BQ2084" s="1" t="s">
        <v>104</v>
      </c>
      <c r="BR2084" s="1">
        <v>2200</v>
      </c>
      <c r="BS2084" s="1" t="s">
        <v>104</v>
      </c>
      <c r="BX2084" s="1">
        <v>0</v>
      </c>
      <c r="BY2084" s="1" t="s">
        <v>104</v>
      </c>
      <c r="BZ2084" s="1" t="s">
        <v>104</v>
      </c>
      <c r="CA2084" s="1">
        <v>6</v>
      </c>
      <c r="CB2084" s="1" t="s">
        <v>104</v>
      </c>
      <c r="CC2084" s="1" t="s">
        <v>104</v>
      </c>
      <c r="CD2084" s="1" t="s">
        <v>104</v>
      </c>
      <c r="CE2084" s="1" t="s">
        <v>104</v>
      </c>
      <c r="CF2084" s="1" t="s">
        <v>104</v>
      </c>
      <c r="CG2084" s="1" t="s">
        <v>104</v>
      </c>
      <c r="CH2084" s="1" t="s">
        <v>104</v>
      </c>
      <c r="CJ2084" s="1">
        <v>0</v>
      </c>
      <c r="CK2084" s="1">
        <v>0</v>
      </c>
      <c r="CL2084" s="1">
        <v>0</v>
      </c>
      <c r="CM2084" s="1" t="s">
        <v>104</v>
      </c>
    </row>
    <row r="2085" spans="1:91" ht="14.25" customHeight="1" x14ac:dyDescent="0.3">
      <c r="A2085" s="1" t="s">
        <v>10978</v>
      </c>
      <c r="B2085" s="1" t="s">
        <v>162</v>
      </c>
      <c r="E2085" s="1" t="s">
        <v>10931</v>
      </c>
      <c r="F2085" s="1" t="s">
        <v>1502</v>
      </c>
      <c r="G2085" s="1" t="s">
        <v>237</v>
      </c>
      <c r="H2085" s="1">
        <v>0</v>
      </c>
      <c r="I2085" s="1" t="s">
        <v>157</v>
      </c>
      <c r="L2085" s="1" t="s">
        <v>158</v>
      </c>
      <c r="M2085" s="1" t="s">
        <v>255</v>
      </c>
      <c r="N2085" s="1">
        <v>0</v>
      </c>
      <c r="O2085" s="1">
        <v>0</v>
      </c>
      <c r="R2085" s="1" t="s">
        <v>10979</v>
      </c>
      <c r="S2085" s="1" t="s">
        <v>10570</v>
      </c>
      <c r="T2085" s="1">
        <v>1</v>
      </c>
      <c r="U2085" s="1">
        <v>0</v>
      </c>
      <c r="V2085" s="1">
        <v>0</v>
      </c>
      <c r="W2085" s="1">
        <v>0</v>
      </c>
      <c r="X2085" s="1">
        <v>0</v>
      </c>
      <c r="Y2085" s="1" t="s">
        <v>104</v>
      </c>
      <c r="Z2085" s="1" t="s">
        <v>104</v>
      </c>
      <c r="AA2085" s="1" t="s">
        <v>104</v>
      </c>
      <c r="AB2085" s="1" t="s">
        <v>104</v>
      </c>
      <c r="AC2085" s="1" t="s">
        <v>104</v>
      </c>
      <c r="AD2085" s="1" t="s">
        <v>104</v>
      </c>
      <c r="AE2085" s="1" t="s">
        <v>104</v>
      </c>
      <c r="AF2085" s="1" t="s">
        <v>104</v>
      </c>
      <c r="AG2085" s="1" t="s">
        <v>104</v>
      </c>
      <c r="AH2085" s="1" t="s">
        <v>104</v>
      </c>
      <c r="AI2085" s="1" t="s">
        <v>104</v>
      </c>
      <c r="AJ2085" s="1" t="s">
        <v>104</v>
      </c>
      <c r="AK2085" s="1" t="s">
        <v>104</v>
      </c>
      <c r="AL2085" s="1" t="s">
        <v>104</v>
      </c>
      <c r="AM2085" s="1" t="s">
        <v>104</v>
      </c>
      <c r="AO2085" s="1">
        <v>2</v>
      </c>
      <c r="AQ2085" s="1" t="s">
        <v>10980</v>
      </c>
      <c r="AR2085" s="1">
        <v>0</v>
      </c>
      <c r="AS2085" s="1">
        <v>0</v>
      </c>
      <c r="AT2085" s="1">
        <v>0</v>
      </c>
      <c r="AU2085" s="1">
        <v>0</v>
      </c>
      <c r="AV2085" s="1">
        <v>0</v>
      </c>
      <c r="AW2085" s="1">
        <v>0</v>
      </c>
      <c r="AX2085" s="1">
        <v>0</v>
      </c>
      <c r="AY2085" s="1">
        <v>0</v>
      </c>
      <c r="AZ2085" s="1">
        <v>0</v>
      </c>
      <c r="BA2085" s="1">
        <v>0</v>
      </c>
      <c r="BB2085" s="1">
        <v>0</v>
      </c>
      <c r="BC2085" s="1">
        <v>0</v>
      </c>
      <c r="BD2085" s="1">
        <v>0</v>
      </c>
      <c r="BE2085" s="1">
        <v>0</v>
      </c>
      <c r="BF2085" s="1">
        <v>0</v>
      </c>
      <c r="BG2085" s="1">
        <v>0</v>
      </c>
      <c r="BH2085" s="1">
        <v>0</v>
      </c>
      <c r="BI2085" s="1">
        <v>0</v>
      </c>
      <c r="BJ2085" s="1">
        <v>0</v>
      </c>
      <c r="BK2085" s="1">
        <v>0</v>
      </c>
      <c r="BL2085" s="1">
        <v>0</v>
      </c>
      <c r="BM2085" s="1">
        <v>0</v>
      </c>
      <c r="BN2085" s="1">
        <v>0</v>
      </c>
      <c r="BO2085" s="1">
        <v>0</v>
      </c>
      <c r="BP2085" s="1">
        <v>0</v>
      </c>
      <c r="BQ2085" s="1" t="s">
        <v>104</v>
      </c>
      <c r="BR2085" s="1">
        <v>2201</v>
      </c>
      <c r="BS2085" s="1" t="s">
        <v>104</v>
      </c>
      <c r="BX2085" s="1">
        <v>0</v>
      </c>
      <c r="BY2085" s="1" t="s">
        <v>104</v>
      </c>
      <c r="BZ2085" s="1" t="s">
        <v>104</v>
      </c>
      <c r="CA2085" s="1">
        <v>2</v>
      </c>
      <c r="CB2085" s="1" t="s">
        <v>104</v>
      </c>
      <c r="CC2085" s="1" t="s">
        <v>104</v>
      </c>
      <c r="CD2085" s="1" t="s">
        <v>104</v>
      </c>
      <c r="CE2085" s="1" t="s">
        <v>104</v>
      </c>
      <c r="CF2085" s="1" t="s">
        <v>104</v>
      </c>
      <c r="CG2085" s="1" t="s">
        <v>104</v>
      </c>
      <c r="CH2085" s="1" t="s">
        <v>104</v>
      </c>
      <c r="CJ2085" s="1">
        <v>0</v>
      </c>
      <c r="CK2085" s="1">
        <v>0</v>
      </c>
      <c r="CL2085" s="1">
        <v>0</v>
      </c>
      <c r="CM2085" s="1" t="s">
        <v>104</v>
      </c>
    </row>
    <row r="2086" spans="1:91" ht="14.25" customHeight="1" x14ac:dyDescent="0.3">
      <c r="A2086" s="1" t="s">
        <v>10981</v>
      </c>
      <c r="B2086" s="1" t="s">
        <v>162</v>
      </c>
      <c r="E2086" s="1" t="s">
        <v>10846</v>
      </c>
      <c r="F2086" s="1" t="s">
        <v>1502</v>
      </c>
      <c r="G2086" s="1" t="s">
        <v>237</v>
      </c>
      <c r="H2086" s="1">
        <v>0</v>
      </c>
      <c r="I2086" s="1" t="s">
        <v>157</v>
      </c>
      <c r="L2086" s="1" t="s">
        <v>158</v>
      </c>
      <c r="M2086" s="1" t="s">
        <v>255</v>
      </c>
      <c r="N2086" s="1">
        <v>0</v>
      </c>
      <c r="O2086" s="1">
        <v>0</v>
      </c>
      <c r="R2086" s="1" t="s">
        <v>10982</v>
      </c>
      <c r="S2086" s="1" t="s">
        <v>10570</v>
      </c>
      <c r="T2086" s="1">
        <v>1</v>
      </c>
      <c r="U2086" s="1">
        <v>0</v>
      </c>
      <c r="V2086" s="1">
        <v>0</v>
      </c>
      <c r="W2086" s="1">
        <v>0</v>
      </c>
      <c r="X2086" s="1">
        <v>0</v>
      </c>
      <c r="Y2086" s="1" t="s">
        <v>104</v>
      </c>
      <c r="Z2086" s="1" t="s">
        <v>104</v>
      </c>
      <c r="AA2086" s="1" t="s">
        <v>104</v>
      </c>
      <c r="AB2086" s="1" t="s">
        <v>104</v>
      </c>
      <c r="AC2086" s="1" t="s">
        <v>104</v>
      </c>
      <c r="AD2086" s="1" t="s">
        <v>104</v>
      </c>
      <c r="AE2086" s="1" t="s">
        <v>104</v>
      </c>
      <c r="AF2086" s="1" t="s">
        <v>104</v>
      </c>
      <c r="AG2086" s="1" t="s">
        <v>104</v>
      </c>
      <c r="AH2086" s="1" t="s">
        <v>104</v>
      </c>
      <c r="AI2086" s="1" t="s">
        <v>104</v>
      </c>
      <c r="AJ2086" s="1" t="s">
        <v>104</v>
      </c>
      <c r="AK2086" s="1" t="s">
        <v>104</v>
      </c>
      <c r="AL2086" s="1" t="s">
        <v>104</v>
      </c>
      <c r="AM2086" s="1" t="s">
        <v>104</v>
      </c>
      <c r="AO2086" s="1">
        <v>3</v>
      </c>
      <c r="AQ2086" s="1" t="s">
        <v>10983</v>
      </c>
      <c r="AR2086" s="1">
        <v>0</v>
      </c>
      <c r="AS2086" s="1">
        <v>0</v>
      </c>
      <c r="AT2086" s="1">
        <v>0</v>
      </c>
      <c r="AU2086" s="1">
        <v>0</v>
      </c>
      <c r="AV2086" s="1">
        <v>0</v>
      </c>
      <c r="AW2086" s="1">
        <v>0</v>
      </c>
      <c r="AX2086" s="1">
        <v>0</v>
      </c>
      <c r="AY2086" s="1">
        <v>0</v>
      </c>
      <c r="AZ2086" s="1">
        <v>0</v>
      </c>
      <c r="BA2086" s="1">
        <v>0</v>
      </c>
      <c r="BB2086" s="1">
        <v>0</v>
      </c>
      <c r="BC2086" s="1">
        <v>0</v>
      </c>
      <c r="BD2086" s="1">
        <v>0</v>
      </c>
      <c r="BE2086" s="1">
        <v>0</v>
      </c>
      <c r="BF2086" s="1">
        <v>0</v>
      </c>
      <c r="BG2086" s="1">
        <v>0</v>
      </c>
      <c r="BH2086" s="1">
        <v>0</v>
      </c>
      <c r="BI2086" s="1">
        <v>0</v>
      </c>
      <c r="BJ2086" s="1">
        <v>0</v>
      </c>
      <c r="BK2086" s="1">
        <v>0</v>
      </c>
      <c r="BL2086" s="1">
        <v>0</v>
      </c>
      <c r="BM2086" s="1">
        <v>0</v>
      </c>
      <c r="BN2086" s="1">
        <v>0</v>
      </c>
      <c r="BO2086" s="1">
        <v>0</v>
      </c>
      <c r="BP2086" s="1">
        <v>0</v>
      </c>
      <c r="BQ2086" s="1" t="s">
        <v>104</v>
      </c>
      <c r="BR2086" s="1">
        <v>2202</v>
      </c>
      <c r="BS2086" s="1" t="s">
        <v>104</v>
      </c>
      <c r="BX2086" s="1">
        <v>0</v>
      </c>
      <c r="BY2086" s="1" t="s">
        <v>104</v>
      </c>
      <c r="BZ2086" s="1" t="s">
        <v>104</v>
      </c>
      <c r="CA2086" s="1">
        <v>3</v>
      </c>
      <c r="CB2086" s="1" t="s">
        <v>104</v>
      </c>
      <c r="CC2086" s="1" t="s">
        <v>104</v>
      </c>
      <c r="CD2086" s="1" t="s">
        <v>104</v>
      </c>
      <c r="CE2086" s="1" t="s">
        <v>104</v>
      </c>
      <c r="CF2086" s="1" t="s">
        <v>104</v>
      </c>
      <c r="CG2086" s="1" t="s">
        <v>104</v>
      </c>
      <c r="CH2086" s="1" t="s">
        <v>104</v>
      </c>
      <c r="CJ2086" s="1">
        <v>0</v>
      </c>
      <c r="CK2086" s="1">
        <v>0</v>
      </c>
      <c r="CL2086" s="1">
        <v>0</v>
      </c>
      <c r="CM2086" s="1" t="s">
        <v>104</v>
      </c>
    </row>
    <row r="2087" spans="1:91" ht="14.25" customHeight="1" x14ac:dyDescent="0.3">
      <c r="A2087" s="1" t="s">
        <v>10984</v>
      </c>
      <c r="B2087" s="1" t="s">
        <v>162</v>
      </c>
      <c r="E2087" s="1" t="s">
        <v>10851</v>
      </c>
      <c r="F2087" s="1" t="s">
        <v>1502</v>
      </c>
      <c r="G2087" s="1" t="s">
        <v>237</v>
      </c>
      <c r="H2087" s="1">
        <v>0</v>
      </c>
      <c r="I2087" s="1" t="s">
        <v>157</v>
      </c>
      <c r="L2087" s="1" t="s">
        <v>158</v>
      </c>
      <c r="M2087" s="1" t="s">
        <v>255</v>
      </c>
      <c r="N2087" s="1">
        <v>0</v>
      </c>
      <c r="O2087" s="1">
        <v>0</v>
      </c>
      <c r="R2087" s="1" t="s">
        <v>10985</v>
      </c>
      <c r="S2087" s="1" t="s">
        <v>10570</v>
      </c>
      <c r="T2087" s="1">
        <v>1</v>
      </c>
      <c r="U2087" s="1">
        <v>0</v>
      </c>
      <c r="V2087" s="1">
        <v>0</v>
      </c>
      <c r="W2087" s="1">
        <v>0</v>
      </c>
      <c r="X2087" s="1">
        <v>0</v>
      </c>
      <c r="Y2087" s="1" t="s">
        <v>104</v>
      </c>
      <c r="Z2087" s="1" t="s">
        <v>104</v>
      </c>
      <c r="AA2087" s="1" t="s">
        <v>104</v>
      </c>
      <c r="AB2087" s="1" t="s">
        <v>104</v>
      </c>
      <c r="AC2087" s="1" t="s">
        <v>104</v>
      </c>
      <c r="AD2087" s="1" t="s">
        <v>104</v>
      </c>
      <c r="AE2087" s="1" t="s">
        <v>104</v>
      </c>
      <c r="AF2087" s="1" t="s">
        <v>104</v>
      </c>
      <c r="AG2087" s="1" t="s">
        <v>104</v>
      </c>
      <c r="AH2087" s="1" t="s">
        <v>104</v>
      </c>
      <c r="AI2087" s="1" t="s">
        <v>104</v>
      </c>
      <c r="AJ2087" s="1" t="s">
        <v>104</v>
      </c>
      <c r="AK2087" s="1" t="s">
        <v>104</v>
      </c>
      <c r="AL2087" s="1" t="s">
        <v>104</v>
      </c>
      <c r="AM2087" s="1" t="s">
        <v>104</v>
      </c>
      <c r="AO2087" s="1">
        <v>4</v>
      </c>
      <c r="AQ2087" s="1" t="s">
        <v>10986</v>
      </c>
      <c r="AR2087" s="1">
        <v>0</v>
      </c>
      <c r="AS2087" s="1">
        <v>0</v>
      </c>
      <c r="AT2087" s="1">
        <v>0</v>
      </c>
      <c r="AU2087" s="1">
        <v>0</v>
      </c>
      <c r="AV2087" s="1">
        <v>0</v>
      </c>
      <c r="AW2087" s="1">
        <v>0</v>
      </c>
      <c r="AX2087" s="1">
        <v>0</v>
      </c>
      <c r="AY2087" s="1">
        <v>0</v>
      </c>
      <c r="AZ2087" s="1">
        <v>0</v>
      </c>
      <c r="BA2087" s="1">
        <v>0</v>
      </c>
      <c r="BB2087" s="1">
        <v>0</v>
      </c>
      <c r="BC2087" s="1">
        <v>0</v>
      </c>
      <c r="BD2087" s="1">
        <v>0</v>
      </c>
      <c r="BE2087" s="1">
        <v>0</v>
      </c>
      <c r="BF2087" s="1">
        <v>0</v>
      </c>
      <c r="BG2087" s="1">
        <v>0</v>
      </c>
      <c r="BH2087" s="1">
        <v>0</v>
      </c>
      <c r="BI2087" s="1">
        <v>0</v>
      </c>
      <c r="BJ2087" s="1">
        <v>0</v>
      </c>
      <c r="BK2087" s="1">
        <v>0</v>
      </c>
      <c r="BL2087" s="1">
        <v>0</v>
      </c>
      <c r="BM2087" s="1">
        <v>0</v>
      </c>
      <c r="BN2087" s="1">
        <v>0</v>
      </c>
      <c r="BO2087" s="1">
        <v>0</v>
      </c>
      <c r="BP2087" s="1">
        <v>0</v>
      </c>
      <c r="BQ2087" s="1" t="s">
        <v>104</v>
      </c>
      <c r="BR2087" s="1">
        <v>2203</v>
      </c>
      <c r="BS2087" s="1" t="s">
        <v>104</v>
      </c>
      <c r="BX2087" s="1">
        <v>0</v>
      </c>
      <c r="BY2087" s="1" t="s">
        <v>104</v>
      </c>
      <c r="BZ2087" s="1" t="s">
        <v>104</v>
      </c>
      <c r="CA2087" s="1">
        <v>4</v>
      </c>
      <c r="CB2087" s="1" t="s">
        <v>104</v>
      </c>
      <c r="CC2087" s="1" t="s">
        <v>104</v>
      </c>
      <c r="CD2087" s="1" t="s">
        <v>104</v>
      </c>
      <c r="CE2087" s="1" t="s">
        <v>104</v>
      </c>
      <c r="CF2087" s="1" t="s">
        <v>104</v>
      </c>
      <c r="CG2087" s="1" t="s">
        <v>104</v>
      </c>
      <c r="CH2087" s="1" t="s">
        <v>104</v>
      </c>
      <c r="CJ2087" s="1">
        <v>0</v>
      </c>
      <c r="CK2087" s="1">
        <v>0</v>
      </c>
      <c r="CL2087" s="1">
        <v>0</v>
      </c>
      <c r="CM2087" s="1" t="s">
        <v>104</v>
      </c>
    </row>
    <row r="2088" spans="1:91" ht="14.25" customHeight="1" x14ac:dyDescent="0.3">
      <c r="A2088" s="1" t="s">
        <v>10987</v>
      </c>
      <c r="B2088" s="1" t="s">
        <v>162</v>
      </c>
      <c r="E2088" s="1" t="s">
        <v>10855</v>
      </c>
      <c r="F2088" s="1" t="s">
        <v>1502</v>
      </c>
      <c r="G2088" s="1" t="s">
        <v>237</v>
      </c>
      <c r="H2088" s="1">
        <v>0</v>
      </c>
      <c r="I2088" s="1" t="s">
        <v>157</v>
      </c>
      <c r="L2088" s="1" t="s">
        <v>158</v>
      </c>
      <c r="M2088" s="1" t="s">
        <v>255</v>
      </c>
      <c r="N2088" s="1">
        <v>0</v>
      </c>
      <c r="O2088" s="1">
        <v>0</v>
      </c>
      <c r="R2088" s="1" t="s">
        <v>10988</v>
      </c>
      <c r="S2088" s="1" t="s">
        <v>10570</v>
      </c>
      <c r="T2088" s="1">
        <v>1</v>
      </c>
      <c r="U2088" s="1">
        <v>0</v>
      </c>
      <c r="V2088" s="1">
        <v>0</v>
      </c>
      <c r="W2088" s="1">
        <v>0</v>
      </c>
      <c r="X2088" s="1">
        <v>0</v>
      </c>
      <c r="Y2088" s="1" t="s">
        <v>104</v>
      </c>
      <c r="Z2088" s="1" t="s">
        <v>104</v>
      </c>
      <c r="AA2088" s="1" t="s">
        <v>104</v>
      </c>
      <c r="AB2088" s="1" t="s">
        <v>104</v>
      </c>
      <c r="AC2088" s="1" t="s">
        <v>104</v>
      </c>
      <c r="AD2088" s="1" t="s">
        <v>104</v>
      </c>
      <c r="AE2088" s="1" t="s">
        <v>104</v>
      </c>
      <c r="AF2088" s="1" t="s">
        <v>104</v>
      </c>
      <c r="AG2088" s="1" t="s">
        <v>104</v>
      </c>
      <c r="AH2088" s="1" t="s">
        <v>104</v>
      </c>
      <c r="AI2088" s="1" t="s">
        <v>104</v>
      </c>
      <c r="AJ2088" s="1" t="s">
        <v>104</v>
      </c>
      <c r="AK2088" s="1" t="s">
        <v>104</v>
      </c>
      <c r="AL2088" s="1" t="s">
        <v>104</v>
      </c>
      <c r="AM2088" s="1" t="s">
        <v>104</v>
      </c>
      <c r="AO2088" s="1">
        <v>5</v>
      </c>
      <c r="AQ2088" s="1" t="s">
        <v>10989</v>
      </c>
      <c r="AR2088" s="1">
        <v>0</v>
      </c>
      <c r="AS2088" s="1">
        <v>0</v>
      </c>
      <c r="AT2088" s="1">
        <v>0</v>
      </c>
      <c r="AU2088" s="1">
        <v>0</v>
      </c>
      <c r="AV2088" s="1">
        <v>0</v>
      </c>
      <c r="AW2088" s="1">
        <v>0</v>
      </c>
      <c r="AX2088" s="1">
        <v>0</v>
      </c>
      <c r="AY2088" s="1">
        <v>0</v>
      </c>
      <c r="AZ2088" s="1">
        <v>0</v>
      </c>
      <c r="BA2088" s="1">
        <v>0</v>
      </c>
      <c r="BB2088" s="1">
        <v>0</v>
      </c>
      <c r="BC2088" s="1">
        <v>0</v>
      </c>
      <c r="BD2088" s="1">
        <v>0</v>
      </c>
      <c r="BE2088" s="1">
        <v>0</v>
      </c>
      <c r="BF2088" s="1">
        <v>0</v>
      </c>
      <c r="BG2088" s="1">
        <v>0</v>
      </c>
      <c r="BH2088" s="1">
        <v>0</v>
      </c>
      <c r="BI2088" s="1">
        <v>0</v>
      </c>
      <c r="BJ2088" s="1">
        <v>0</v>
      </c>
      <c r="BK2088" s="1">
        <v>0</v>
      </c>
      <c r="BL2088" s="1">
        <v>0</v>
      </c>
      <c r="BM2088" s="1">
        <v>0</v>
      </c>
      <c r="BN2088" s="1">
        <v>0</v>
      </c>
      <c r="BO2088" s="1">
        <v>0</v>
      </c>
      <c r="BP2088" s="1">
        <v>0</v>
      </c>
      <c r="BQ2088" s="1" t="s">
        <v>104</v>
      </c>
      <c r="BR2088" s="1">
        <v>2204</v>
      </c>
      <c r="BS2088" s="1" t="s">
        <v>104</v>
      </c>
      <c r="BX2088" s="1">
        <v>0</v>
      </c>
      <c r="BY2088" s="1" t="s">
        <v>104</v>
      </c>
      <c r="BZ2088" s="1" t="s">
        <v>104</v>
      </c>
      <c r="CA2088" s="1">
        <v>5</v>
      </c>
      <c r="CB2088" s="1" t="s">
        <v>104</v>
      </c>
      <c r="CC2088" s="1" t="s">
        <v>104</v>
      </c>
      <c r="CD2088" s="1" t="s">
        <v>104</v>
      </c>
      <c r="CE2088" s="1" t="s">
        <v>104</v>
      </c>
      <c r="CF2088" s="1" t="s">
        <v>104</v>
      </c>
      <c r="CG2088" s="1" t="s">
        <v>104</v>
      </c>
      <c r="CH2088" s="1" t="s">
        <v>104</v>
      </c>
      <c r="CJ2088" s="1">
        <v>0</v>
      </c>
      <c r="CK2088" s="1">
        <v>0</v>
      </c>
      <c r="CL2088" s="1">
        <v>0</v>
      </c>
      <c r="CM2088" s="1" t="s">
        <v>104</v>
      </c>
    </row>
    <row r="2089" spans="1:91" ht="14.25" customHeight="1" x14ac:dyDescent="0.3">
      <c r="A2089" s="1" t="s">
        <v>10990</v>
      </c>
      <c r="B2089" s="1" t="s">
        <v>162</v>
      </c>
      <c r="E2089" s="1" t="s">
        <v>10859</v>
      </c>
      <c r="F2089" s="1" t="s">
        <v>1502</v>
      </c>
      <c r="G2089" s="1" t="s">
        <v>237</v>
      </c>
      <c r="H2089" s="1">
        <v>0</v>
      </c>
      <c r="I2089" s="1" t="s">
        <v>157</v>
      </c>
      <c r="L2089" s="1" t="s">
        <v>158</v>
      </c>
      <c r="M2089" s="1" t="s">
        <v>255</v>
      </c>
      <c r="N2089" s="1">
        <v>0</v>
      </c>
      <c r="O2089" s="1">
        <v>0</v>
      </c>
      <c r="R2089" s="1" t="s">
        <v>10991</v>
      </c>
      <c r="S2089" s="1" t="s">
        <v>10570</v>
      </c>
      <c r="T2089" s="1">
        <v>1</v>
      </c>
      <c r="U2089" s="1">
        <v>0</v>
      </c>
      <c r="V2089" s="1">
        <v>0</v>
      </c>
      <c r="W2089" s="1">
        <v>0</v>
      </c>
      <c r="X2089" s="1">
        <v>0</v>
      </c>
      <c r="Y2089" s="1" t="s">
        <v>104</v>
      </c>
      <c r="Z2089" s="1" t="s">
        <v>104</v>
      </c>
      <c r="AA2089" s="1" t="s">
        <v>104</v>
      </c>
      <c r="AB2089" s="1" t="s">
        <v>104</v>
      </c>
      <c r="AC2089" s="1" t="s">
        <v>104</v>
      </c>
      <c r="AD2089" s="1" t="s">
        <v>104</v>
      </c>
      <c r="AE2089" s="1" t="s">
        <v>104</v>
      </c>
      <c r="AF2089" s="1" t="s">
        <v>104</v>
      </c>
      <c r="AG2089" s="1" t="s">
        <v>104</v>
      </c>
      <c r="AH2089" s="1" t="s">
        <v>104</v>
      </c>
      <c r="AI2089" s="1" t="s">
        <v>104</v>
      </c>
      <c r="AJ2089" s="1" t="s">
        <v>104</v>
      </c>
      <c r="AK2089" s="1" t="s">
        <v>104</v>
      </c>
      <c r="AL2089" s="1" t="s">
        <v>104</v>
      </c>
      <c r="AM2089" s="1" t="s">
        <v>104</v>
      </c>
      <c r="AO2089" s="1">
        <v>6</v>
      </c>
      <c r="AQ2089" s="1" t="s">
        <v>10992</v>
      </c>
      <c r="AR2089" s="1">
        <v>0</v>
      </c>
      <c r="AS2089" s="1">
        <v>0</v>
      </c>
      <c r="AT2089" s="1">
        <v>0</v>
      </c>
      <c r="AU2089" s="1">
        <v>0</v>
      </c>
      <c r="AV2089" s="1">
        <v>0</v>
      </c>
      <c r="AW2089" s="1">
        <v>0</v>
      </c>
      <c r="AX2089" s="1">
        <v>0</v>
      </c>
      <c r="AY2089" s="1">
        <v>0</v>
      </c>
      <c r="AZ2089" s="1">
        <v>0</v>
      </c>
      <c r="BA2089" s="1">
        <v>0</v>
      </c>
      <c r="BB2089" s="1">
        <v>0</v>
      </c>
      <c r="BC2089" s="1">
        <v>0</v>
      </c>
      <c r="BD2089" s="1">
        <v>0</v>
      </c>
      <c r="BE2089" s="1">
        <v>0</v>
      </c>
      <c r="BF2089" s="1">
        <v>0</v>
      </c>
      <c r="BG2089" s="1">
        <v>0</v>
      </c>
      <c r="BH2089" s="1">
        <v>0</v>
      </c>
      <c r="BI2089" s="1">
        <v>0</v>
      </c>
      <c r="BJ2089" s="1">
        <v>0</v>
      </c>
      <c r="BK2089" s="1">
        <v>0</v>
      </c>
      <c r="BL2089" s="1">
        <v>0</v>
      </c>
      <c r="BM2089" s="1">
        <v>0</v>
      </c>
      <c r="BN2089" s="1">
        <v>0</v>
      </c>
      <c r="BO2089" s="1">
        <v>0</v>
      </c>
      <c r="BP2089" s="1">
        <v>0</v>
      </c>
      <c r="BQ2089" s="1" t="s">
        <v>104</v>
      </c>
      <c r="BR2089" s="1">
        <v>2205</v>
      </c>
      <c r="BS2089" s="1" t="s">
        <v>104</v>
      </c>
      <c r="BT2089" s="1" t="s">
        <v>10993</v>
      </c>
      <c r="BX2089" s="1">
        <v>0</v>
      </c>
      <c r="BY2089" s="1" t="s">
        <v>104</v>
      </c>
      <c r="BZ2089" s="1" t="s">
        <v>104</v>
      </c>
      <c r="CA2089" s="1">
        <v>6</v>
      </c>
      <c r="CB2089" s="1" t="s">
        <v>104</v>
      </c>
      <c r="CC2089" s="1" t="s">
        <v>104</v>
      </c>
      <c r="CD2089" s="1" t="s">
        <v>104</v>
      </c>
      <c r="CE2089" s="1" t="s">
        <v>104</v>
      </c>
      <c r="CF2089" s="1" t="s">
        <v>104</v>
      </c>
      <c r="CG2089" s="1" t="s">
        <v>104</v>
      </c>
      <c r="CH2089" s="1" t="s">
        <v>104</v>
      </c>
      <c r="CJ2089" s="1">
        <v>0</v>
      </c>
      <c r="CK2089" s="1">
        <v>0</v>
      </c>
      <c r="CL2089" s="1">
        <v>0</v>
      </c>
      <c r="CM2089" s="1" t="s">
        <v>104</v>
      </c>
    </row>
    <row r="2090" spans="1:91" ht="14.25" customHeight="1" x14ac:dyDescent="0.3">
      <c r="A2090" s="1" t="s">
        <v>10994</v>
      </c>
      <c r="B2090" s="1" t="s">
        <v>172</v>
      </c>
      <c r="D2090" s="1" t="s">
        <v>125</v>
      </c>
      <c r="E2090" s="1" t="s">
        <v>10995</v>
      </c>
      <c r="F2090" s="1" t="s">
        <v>95</v>
      </c>
      <c r="G2090" s="1" t="s">
        <v>237</v>
      </c>
      <c r="H2090" s="1">
        <v>0</v>
      </c>
      <c r="I2090" s="1" t="s">
        <v>117</v>
      </c>
      <c r="L2090" s="1" t="s">
        <v>1065</v>
      </c>
      <c r="M2090" s="1" t="s">
        <v>426</v>
      </c>
      <c r="N2090" s="1">
        <v>1</v>
      </c>
      <c r="O2090" s="1">
        <v>0</v>
      </c>
      <c r="P2090" s="1" t="s">
        <v>211</v>
      </c>
      <c r="Q2090" s="1" t="s">
        <v>184</v>
      </c>
      <c r="R2090" s="1" t="s">
        <v>10996</v>
      </c>
      <c r="S2090" s="1" t="s">
        <v>10570</v>
      </c>
      <c r="T2090" s="1">
        <v>1</v>
      </c>
      <c r="U2090" s="1">
        <v>0</v>
      </c>
      <c r="V2090" s="1">
        <v>0</v>
      </c>
      <c r="W2090" s="1">
        <v>0</v>
      </c>
      <c r="X2090" s="1">
        <v>0</v>
      </c>
      <c r="Y2090" s="1" t="s">
        <v>104</v>
      </c>
      <c r="Z2090" s="1" t="s">
        <v>104</v>
      </c>
      <c r="AA2090" s="1" t="s">
        <v>104</v>
      </c>
      <c r="AB2090" s="1" t="s">
        <v>104</v>
      </c>
      <c r="AC2090" s="1" t="s">
        <v>104</v>
      </c>
      <c r="AD2090" s="1">
        <v>2</v>
      </c>
      <c r="AE2090" s="1" t="s">
        <v>104</v>
      </c>
      <c r="AF2090" s="1" t="s">
        <v>104</v>
      </c>
      <c r="AG2090" s="1" t="s">
        <v>104</v>
      </c>
      <c r="AH2090" s="1" t="s">
        <v>104</v>
      </c>
      <c r="AI2090" s="1" t="s">
        <v>104</v>
      </c>
      <c r="AJ2090" s="1" t="s">
        <v>104</v>
      </c>
      <c r="AK2090" s="1" t="s">
        <v>104</v>
      </c>
      <c r="AL2090" s="1" t="s">
        <v>104</v>
      </c>
      <c r="AM2090" s="1" t="s">
        <v>104</v>
      </c>
      <c r="AO2090" s="1">
        <v>2</v>
      </c>
      <c r="AQ2090" s="1" t="s">
        <v>10997</v>
      </c>
      <c r="AR2090" s="1">
        <v>0</v>
      </c>
      <c r="AS2090" s="1">
        <v>0</v>
      </c>
      <c r="AT2090" s="1">
        <v>0</v>
      </c>
      <c r="AU2090" s="1">
        <v>0</v>
      </c>
      <c r="AV2090" s="1">
        <v>0</v>
      </c>
      <c r="AW2090" s="1">
        <v>0</v>
      </c>
      <c r="AX2090" s="1">
        <v>0</v>
      </c>
      <c r="AY2090" s="1">
        <v>0</v>
      </c>
      <c r="AZ2090" s="1">
        <v>0</v>
      </c>
      <c r="BA2090" s="1">
        <v>0</v>
      </c>
      <c r="BB2090" s="1">
        <v>0</v>
      </c>
      <c r="BC2090" s="1">
        <v>0</v>
      </c>
      <c r="BD2090" s="1">
        <v>0</v>
      </c>
      <c r="BE2090" s="1">
        <v>0</v>
      </c>
      <c r="BF2090" s="1">
        <v>0</v>
      </c>
      <c r="BG2090" s="1">
        <v>0</v>
      </c>
      <c r="BH2090" s="1">
        <v>0</v>
      </c>
      <c r="BI2090" s="1">
        <v>0</v>
      </c>
      <c r="BJ2090" s="1">
        <v>0</v>
      </c>
      <c r="BK2090" s="1">
        <v>1</v>
      </c>
      <c r="BL2090" s="1">
        <v>0</v>
      </c>
      <c r="BM2090" s="1">
        <v>0</v>
      </c>
      <c r="BN2090" s="1">
        <v>0</v>
      </c>
      <c r="BO2090" s="1">
        <v>0</v>
      </c>
      <c r="BP2090" s="1">
        <v>0</v>
      </c>
      <c r="BQ2090" s="1" t="s">
        <v>104</v>
      </c>
      <c r="BR2090" s="1">
        <v>2206</v>
      </c>
      <c r="BS2090" s="1" t="s">
        <v>104</v>
      </c>
      <c r="BU2090" s="1" t="s">
        <v>10998</v>
      </c>
      <c r="BX2090" s="1">
        <v>0</v>
      </c>
      <c r="BY2090" s="1" t="s">
        <v>104</v>
      </c>
      <c r="BZ2090" s="1" t="s">
        <v>104</v>
      </c>
      <c r="CA2090" s="1">
        <v>2</v>
      </c>
      <c r="CB2090" s="1" t="s">
        <v>104</v>
      </c>
      <c r="CC2090" s="1">
        <v>1</v>
      </c>
      <c r="CD2090" s="1" t="s">
        <v>104</v>
      </c>
      <c r="CE2090" s="1" t="s">
        <v>104</v>
      </c>
      <c r="CF2090" s="1" t="s">
        <v>104</v>
      </c>
      <c r="CG2090" s="1" t="s">
        <v>104</v>
      </c>
      <c r="CH2090" s="1" t="s">
        <v>104</v>
      </c>
      <c r="CJ2090" s="1">
        <v>0</v>
      </c>
      <c r="CK2090" s="1">
        <v>0</v>
      </c>
      <c r="CL2090" s="1">
        <v>0</v>
      </c>
      <c r="CM2090" s="1" t="s">
        <v>104</v>
      </c>
    </row>
    <row r="2091" spans="1:91" ht="14.25" customHeight="1" x14ac:dyDescent="0.3">
      <c r="A2091" s="1" t="s">
        <v>10999</v>
      </c>
      <c r="B2091" s="1" t="s">
        <v>507</v>
      </c>
      <c r="C2091" s="1" t="s">
        <v>1308</v>
      </c>
      <c r="D2091" s="1" t="s">
        <v>125</v>
      </c>
      <c r="E2091" s="1" t="s">
        <v>10568</v>
      </c>
      <c r="F2091" s="1" t="s">
        <v>95</v>
      </c>
      <c r="G2091" s="1" t="s">
        <v>116</v>
      </c>
      <c r="H2091" s="1">
        <v>0</v>
      </c>
      <c r="I2091" s="1" t="s">
        <v>117</v>
      </c>
      <c r="L2091" s="1" t="s">
        <v>11000</v>
      </c>
      <c r="M2091" s="1" t="s">
        <v>298</v>
      </c>
      <c r="N2091" s="1">
        <v>0</v>
      </c>
      <c r="O2091" s="1">
        <v>0</v>
      </c>
      <c r="P2091" s="1" t="s">
        <v>5901</v>
      </c>
      <c r="Q2091" s="1" t="s">
        <v>184</v>
      </c>
      <c r="R2091" s="1" t="s">
        <v>11001</v>
      </c>
      <c r="S2091" s="1" t="s">
        <v>10570</v>
      </c>
      <c r="T2091" s="1">
        <v>1</v>
      </c>
      <c r="U2091" s="1">
        <v>1</v>
      </c>
      <c r="V2091" s="1">
        <v>0</v>
      </c>
      <c r="W2091" s="1">
        <v>0</v>
      </c>
      <c r="X2091" s="1">
        <v>0</v>
      </c>
      <c r="Y2091" s="1" t="s">
        <v>104</v>
      </c>
      <c r="Z2091" s="1" t="s">
        <v>104</v>
      </c>
      <c r="AA2091" s="1" t="s">
        <v>104</v>
      </c>
      <c r="AB2091" s="1" t="s">
        <v>104</v>
      </c>
      <c r="AC2091" s="1" t="s">
        <v>104</v>
      </c>
      <c r="AD2091" s="1" t="s">
        <v>104</v>
      </c>
      <c r="AE2091" s="1" t="s">
        <v>104</v>
      </c>
      <c r="AF2091" s="1" t="s">
        <v>104</v>
      </c>
      <c r="AG2091" s="1" t="s">
        <v>104</v>
      </c>
      <c r="AH2091" s="1" t="s">
        <v>104</v>
      </c>
      <c r="AI2091" s="1" t="s">
        <v>104</v>
      </c>
      <c r="AJ2091" s="1" t="s">
        <v>104</v>
      </c>
      <c r="AK2091" s="1" t="s">
        <v>104</v>
      </c>
      <c r="AL2091" s="1" t="s">
        <v>104</v>
      </c>
      <c r="AM2091" s="1" t="s">
        <v>104</v>
      </c>
      <c r="AO2091" s="1">
        <v>9</v>
      </c>
      <c r="AQ2091" s="1" t="s">
        <v>11002</v>
      </c>
      <c r="AR2091" s="1">
        <v>0</v>
      </c>
      <c r="AS2091" s="1">
        <v>0</v>
      </c>
      <c r="AT2091" s="1">
        <v>0</v>
      </c>
      <c r="AU2091" s="1">
        <v>0</v>
      </c>
      <c r="AV2091" s="1">
        <v>0</v>
      </c>
      <c r="AW2091" s="1">
        <v>0</v>
      </c>
      <c r="AX2091" s="1">
        <v>0</v>
      </c>
      <c r="AY2091" s="1">
        <v>0</v>
      </c>
      <c r="AZ2091" s="1">
        <v>0</v>
      </c>
      <c r="BA2091" s="1">
        <v>0</v>
      </c>
      <c r="BB2091" s="1">
        <v>0</v>
      </c>
      <c r="BC2091" s="1">
        <v>0</v>
      </c>
      <c r="BD2091" s="1">
        <v>0</v>
      </c>
      <c r="BE2091" s="1">
        <v>0</v>
      </c>
      <c r="BF2091" s="1">
        <v>0</v>
      </c>
      <c r="BG2091" s="1">
        <v>0</v>
      </c>
      <c r="BH2091" s="1">
        <v>0</v>
      </c>
      <c r="BI2091" s="1">
        <v>0</v>
      </c>
      <c r="BJ2091" s="1">
        <v>0</v>
      </c>
      <c r="BK2091" s="1">
        <v>1</v>
      </c>
      <c r="BL2091" s="1">
        <v>0</v>
      </c>
      <c r="BM2091" s="1">
        <v>0</v>
      </c>
      <c r="BN2091" s="1">
        <v>0</v>
      </c>
      <c r="BO2091" s="1">
        <v>0</v>
      </c>
      <c r="BP2091" s="1">
        <v>0</v>
      </c>
      <c r="BQ2091" s="1" t="s">
        <v>104</v>
      </c>
      <c r="BR2091" s="1">
        <v>2207</v>
      </c>
      <c r="BS2091" s="1" t="s">
        <v>104</v>
      </c>
      <c r="BT2091" s="1" t="s">
        <v>11003</v>
      </c>
      <c r="BU2091" s="1" t="s">
        <v>11004</v>
      </c>
      <c r="BX2091" s="1">
        <v>0</v>
      </c>
      <c r="BY2091" s="1" t="s">
        <v>104</v>
      </c>
      <c r="BZ2091" s="1" t="s">
        <v>104</v>
      </c>
      <c r="CA2091" s="1">
        <v>9</v>
      </c>
      <c r="CB2091" s="1" t="s">
        <v>104</v>
      </c>
      <c r="CC2091" s="1" t="s">
        <v>104</v>
      </c>
      <c r="CD2091" s="1" t="s">
        <v>104</v>
      </c>
      <c r="CE2091" s="1" t="s">
        <v>104</v>
      </c>
      <c r="CF2091" s="1" t="s">
        <v>104</v>
      </c>
      <c r="CG2091" s="1" t="s">
        <v>104</v>
      </c>
      <c r="CH2091" s="1" t="s">
        <v>104</v>
      </c>
      <c r="CJ2091" s="1">
        <v>0</v>
      </c>
      <c r="CK2091" s="1">
        <v>0</v>
      </c>
      <c r="CL2091" s="1">
        <v>0</v>
      </c>
      <c r="CM2091" s="1" t="s">
        <v>104</v>
      </c>
    </row>
    <row r="2092" spans="1:91" ht="14.25" customHeight="1" x14ac:dyDescent="0.3">
      <c r="A2092" s="1" t="s">
        <v>11005</v>
      </c>
      <c r="B2092" s="1" t="s">
        <v>172</v>
      </c>
      <c r="D2092" s="1" t="s">
        <v>125</v>
      </c>
      <c r="E2092" s="1" t="s">
        <v>11006</v>
      </c>
      <c r="F2092" s="1" t="s">
        <v>191</v>
      </c>
      <c r="G2092" s="1" t="s">
        <v>116</v>
      </c>
      <c r="H2092" s="1">
        <v>0</v>
      </c>
      <c r="I2092" s="1" t="s">
        <v>117</v>
      </c>
      <c r="L2092" s="1" t="s">
        <v>1065</v>
      </c>
      <c r="M2092" s="1" t="s">
        <v>426</v>
      </c>
      <c r="N2092" s="1">
        <v>1</v>
      </c>
      <c r="O2092" s="1">
        <v>0</v>
      </c>
      <c r="P2092" s="1" t="s">
        <v>211</v>
      </c>
      <c r="Q2092" s="1" t="s">
        <v>184</v>
      </c>
      <c r="R2092" s="1" t="s">
        <v>11007</v>
      </c>
      <c r="S2092" s="1" t="s">
        <v>10570</v>
      </c>
      <c r="T2092" s="1">
        <v>1</v>
      </c>
      <c r="U2092" s="1">
        <v>1</v>
      </c>
      <c r="V2092" s="1">
        <v>0</v>
      </c>
      <c r="W2092" s="1">
        <v>0</v>
      </c>
      <c r="X2092" s="1">
        <v>0</v>
      </c>
      <c r="Y2092" s="1">
        <v>5</v>
      </c>
      <c r="Z2092" s="1">
        <v>5</v>
      </c>
      <c r="AA2092" s="1" t="s">
        <v>104</v>
      </c>
      <c r="AB2092" s="1" t="s">
        <v>104</v>
      </c>
      <c r="AC2092" s="1" t="s">
        <v>104</v>
      </c>
      <c r="AD2092" s="1" t="s">
        <v>104</v>
      </c>
      <c r="AE2092" s="1" t="s">
        <v>104</v>
      </c>
      <c r="AF2092" s="1" t="s">
        <v>104</v>
      </c>
      <c r="AG2092" s="1" t="s">
        <v>104</v>
      </c>
      <c r="AH2092" s="1" t="s">
        <v>104</v>
      </c>
      <c r="AI2092" s="1" t="s">
        <v>104</v>
      </c>
      <c r="AJ2092" s="1" t="s">
        <v>104</v>
      </c>
      <c r="AK2092" s="1" t="s">
        <v>104</v>
      </c>
      <c r="AL2092" s="1" t="s">
        <v>104</v>
      </c>
      <c r="AM2092" s="1" t="s">
        <v>104</v>
      </c>
      <c r="AO2092" s="1">
        <v>5</v>
      </c>
      <c r="AQ2092" s="1" t="s">
        <v>11008</v>
      </c>
      <c r="AR2092" s="1">
        <v>0</v>
      </c>
      <c r="AS2092" s="1">
        <v>0</v>
      </c>
      <c r="AT2092" s="1">
        <v>0</v>
      </c>
      <c r="AU2092" s="1">
        <v>0</v>
      </c>
      <c r="AV2092" s="1">
        <v>0</v>
      </c>
      <c r="AW2092" s="1">
        <v>0</v>
      </c>
      <c r="AX2092" s="1">
        <v>0</v>
      </c>
      <c r="AY2092" s="1">
        <v>0</v>
      </c>
      <c r="AZ2092" s="1">
        <v>0</v>
      </c>
      <c r="BA2092" s="1">
        <v>0</v>
      </c>
      <c r="BB2092" s="1">
        <v>0</v>
      </c>
      <c r="BC2092" s="1">
        <v>0</v>
      </c>
      <c r="BD2092" s="1">
        <v>0</v>
      </c>
      <c r="BE2092" s="1">
        <v>0</v>
      </c>
      <c r="BF2092" s="1">
        <v>0</v>
      </c>
      <c r="BG2092" s="1">
        <v>0</v>
      </c>
      <c r="BH2092" s="1">
        <v>0</v>
      </c>
      <c r="BI2092" s="1">
        <v>0</v>
      </c>
      <c r="BJ2092" s="1">
        <v>0</v>
      </c>
      <c r="BK2092" s="1">
        <v>1</v>
      </c>
      <c r="BL2092" s="1">
        <v>0</v>
      </c>
      <c r="BM2092" s="1">
        <v>0</v>
      </c>
      <c r="BN2092" s="1">
        <v>0</v>
      </c>
      <c r="BO2092" s="1">
        <v>0</v>
      </c>
      <c r="BP2092" s="1">
        <v>0</v>
      </c>
      <c r="BQ2092" s="1" t="s">
        <v>104</v>
      </c>
      <c r="BR2092" s="1">
        <v>2208</v>
      </c>
      <c r="BS2092" s="1" t="s">
        <v>104</v>
      </c>
      <c r="BX2092" s="1">
        <v>0</v>
      </c>
      <c r="BY2092" s="1" t="s">
        <v>104</v>
      </c>
      <c r="BZ2092" s="1" t="s">
        <v>104</v>
      </c>
      <c r="CA2092" s="1">
        <v>4</v>
      </c>
      <c r="CB2092" s="1">
        <v>3</v>
      </c>
      <c r="CC2092" s="1">
        <v>4</v>
      </c>
      <c r="CD2092" s="1">
        <v>4</v>
      </c>
      <c r="CE2092" s="1" t="s">
        <v>104</v>
      </c>
      <c r="CF2092" s="1" t="s">
        <v>104</v>
      </c>
      <c r="CG2092" s="1" t="s">
        <v>104</v>
      </c>
      <c r="CH2092" s="1" t="s">
        <v>104</v>
      </c>
      <c r="CJ2092" s="1">
        <v>0</v>
      </c>
      <c r="CK2092" s="1">
        <v>0</v>
      </c>
      <c r="CL2092" s="1">
        <v>0</v>
      </c>
      <c r="CM2092" s="1" t="s">
        <v>104</v>
      </c>
    </row>
    <row r="2093" spans="1:91" ht="14.25" customHeight="1" x14ac:dyDescent="0.3">
      <c r="A2093" s="1" t="s">
        <v>11009</v>
      </c>
      <c r="B2093" s="1" t="s">
        <v>123</v>
      </c>
      <c r="C2093" s="1" t="s">
        <v>124</v>
      </c>
      <c r="D2093" s="1" t="s">
        <v>125</v>
      </c>
      <c r="E2093" s="1" t="s">
        <v>11010</v>
      </c>
      <c r="F2093" s="1" t="s">
        <v>255</v>
      </c>
      <c r="G2093" s="1" t="s">
        <v>116</v>
      </c>
      <c r="H2093" s="1">
        <v>0</v>
      </c>
      <c r="I2093" s="1" t="s">
        <v>109</v>
      </c>
      <c r="L2093" s="1" t="s">
        <v>1065</v>
      </c>
      <c r="M2093" s="1" t="s">
        <v>620</v>
      </c>
      <c r="N2093" s="1">
        <v>1</v>
      </c>
      <c r="O2093" s="1">
        <v>0</v>
      </c>
      <c r="P2093" s="1" t="s">
        <v>211</v>
      </c>
      <c r="Q2093" s="1" t="s">
        <v>184</v>
      </c>
      <c r="R2093" s="1" t="s">
        <v>11011</v>
      </c>
      <c r="S2093" s="1" t="s">
        <v>10570</v>
      </c>
      <c r="T2093" s="1">
        <v>1</v>
      </c>
      <c r="U2093" s="1">
        <v>1</v>
      </c>
      <c r="V2093" s="1">
        <v>0</v>
      </c>
      <c r="W2093" s="1">
        <v>0</v>
      </c>
      <c r="X2093" s="1">
        <v>0</v>
      </c>
      <c r="Y2093" s="1">
        <v>6</v>
      </c>
      <c r="Z2093" s="1">
        <v>6</v>
      </c>
      <c r="AA2093" s="1" t="s">
        <v>104</v>
      </c>
      <c r="AB2093" s="1" t="s">
        <v>104</v>
      </c>
      <c r="AC2093" s="1" t="s">
        <v>104</v>
      </c>
      <c r="AD2093" s="1" t="s">
        <v>104</v>
      </c>
      <c r="AE2093" s="1" t="s">
        <v>104</v>
      </c>
      <c r="AF2093" s="1" t="s">
        <v>104</v>
      </c>
      <c r="AG2093" s="1">
        <v>5</v>
      </c>
      <c r="AH2093" s="1">
        <v>6</v>
      </c>
      <c r="AI2093" s="1" t="s">
        <v>104</v>
      </c>
      <c r="AJ2093" s="1" t="s">
        <v>104</v>
      </c>
      <c r="AK2093" s="1" t="s">
        <v>104</v>
      </c>
      <c r="AL2093" s="1" t="s">
        <v>104</v>
      </c>
      <c r="AM2093" s="1" t="s">
        <v>104</v>
      </c>
      <c r="AO2093" s="1">
        <v>6</v>
      </c>
      <c r="AQ2093" s="1" t="s">
        <v>11012</v>
      </c>
      <c r="AR2093" s="1">
        <v>0</v>
      </c>
      <c r="AS2093" s="1">
        <v>0</v>
      </c>
      <c r="AT2093" s="1">
        <v>0</v>
      </c>
      <c r="AU2093" s="1">
        <v>0</v>
      </c>
      <c r="AV2093" s="1">
        <v>0</v>
      </c>
      <c r="AW2093" s="1">
        <v>0</v>
      </c>
      <c r="AX2093" s="1">
        <v>0</v>
      </c>
      <c r="AY2093" s="1">
        <v>0</v>
      </c>
      <c r="AZ2093" s="1">
        <v>0</v>
      </c>
      <c r="BA2093" s="1">
        <v>0</v>
      </c>
      <c r="BB2093" s="1">
        <v>0</v>
      </c>
      <c r="BC2093" s="1">
        <v>0</v>
      </c>
      <c r="BD2093" s="1">
        <v>0</v>
      </c>
      <c r="BE2093" s="1">
        <v>0</v>
      </c>
      <c r="BF2093" s="1">
        <v>0</v>
      </c>
      <c r="BG2093" s="1">
        <v>0</v>
      </c>
      <c r="BH2093" s="1">
        <v>0</v>
      </c>
      <c r="BI2093" s="1">
        <v>0</v>
      </c>
      <c r="BJ2093" s="1">
        <v>0</v>
      </c>
      <c r="BK2093" s="1">
        <v>1</v>
      </c>
      <c r="BL2093" s="1">
        <v>0</v>
      </c>
      <c r="BM2093" s="1">
        <v>0</v>
      </c>
      <c r="BN2093" s="1">
        <v>0</v>
      </c>
      <c r="BO2093" s="1">
        <v>0</v>
      </c>
      <c r="BP2093" s="1">
        <v>0</v>
      </c>
      <c r="BQ2093" s="1" t="s">
        <v>104</v>
      </c>
      <c r="BR2093" s="1">
        <v>2209</v>
      </c>
      <c r="BS2093" s="1" t="s">
        <v>104</v>
      </c>
      <c r="BX2093" s="1">
        <v>0</v>
      </c>
      <c r="BY2093" s="1" t="s">
        <v>104</v>
      </c>
      <c r="BZ2093" s="1" t="s">
        <v>104</v>
      </c>
      <c r="CA2093" s="1">
        <v>5</v>
      </c>
      <c r="CB2093" s="1">
        <v>3</v>
      </c>
      <c r="CC2093" s="1">
        <v>5</v>
      </c>
      <c r="CD2093" s="1">
        <v>4</v>
      </c>
      <c r="CE2093" s="1">
        <v>4</v>
      </c>
      <c r="CF2093" s="1" t="s">
        <v>104</v>
      </c>
      <c r="CG2093" s="1" t="s">
        <v>104</v>
      </c>
      <c r="CH2093" s="1" t="s">
        <v>104</v>
      </c>
      <c r="CJ2093" s="1">
        <v>0</v>
      </c>
      <c r="CK2093" s="1">
        <v>0</v>
      </c>
      <c r="CL2093" s="1">
        <v>0</v>
      </c>
      <c r="CM2093" s="1">
        <v>5</v>
      </c>
    </row>
    <row r="2094" spans="1:91" ht="14.25" customHeight="1" x14ac:dyDescent="0.3">
      <c r="A2094" s="1" t="s">
        <v>11013</v>
      </c>
      <c r="B2094" s="1" t="s">
        <v>123</v>
      </c>
      <c r="C2094" s="1" t="s">
        <v>124</v>
      </c>
      <c r="D2094" s="1" t="s">
        <v>125</v>
      </c>
      <c r="E2094" s="1" t="s">
        <v>10568</v>
      </c>
      <c r="F2094" s="1" t="s">
        <v>191</v>
      </c>
      <c r="G2094" s="1" t="s">
        <v>11014</v>
      </c>
      <c r="H2094" s="1">
        <v>1</v>
      </c>
      <c r="I2094" s="1" t="s">
        <v>109</v>
      </c>
      <c r="L2094" s="1" t="s">
        <v>11015</v>
      </c>
      <c r="M2094" s="1" t="s">
        <v>119</v>
      </c>
      <c r="N2094" s="1">
        <v>0</v>
      </c>
      <c r="O2094" s="1">
        <v>0</v>
      </c>
      <c r="P2094" s="1" t="s">
        <v>211</v>
      </c>
      <c r="Q2094" s="1" t="s">
        <v>184</v>
      </c>
      <c r="R2094" s="1" t="s">
        <v>11016</v>
      </c>
      <c r="S2094" s="1" t="s">
        <v>10570</v>
      </c>
      <c r="T2094" s="1">
        <v>1</v>
      </c>
      <c r="U2094" s="1">
        <v>1</v>
      </c>
      <c r="V2094" s="1">
        <v>1</v>
      </c>
      <c r="W2094" s="1">
        <v>0</v>
      </c>
      <c r="X2094" s="1">
        <v>0</v>
      </c>
      <c r="Y2094" s="1" t="s">
        <v>104</v>
      </c>
      <c r="Z2094" s="1" t="s">
        <v>104</v>
      </c>
      <c r="AA2094" s="1" t="s">
        <v>104</v>
      </c>
      <c r="AB2094" s="1" t="s">
        <v>104</v>
      </c>
      <c r="AC2094" s="1" t="s">
        <v>104</v>
      </c>
      <c r="AD2094" s="1" t="s">
        <v>104</v>
      </c>
      <c r="AE2094" s="1" t="s">
        <v>104</v>
      </c>
      <c r="AF2094" s="1" t="s">
        <v>104</v>
      </c>
      <c r="AG2094" s="1" t="s">
        <v>104</v>
      </c>
      <c r="AH2094" s="1" t="s">
        <v>104</v>
      </c>
      <c r="AI2094" s="1" t="s">
        <v>104</v>
      </c>
      <c r="AJ2094" s="1" t="s">
        <v>104</v>
      </c>
      <c r="AK2094" s="1" t="s">
        <v>104</v>
      </c>
      <c r="AL2094" s="1" t="s">
        <v>104</v>
      </c>
      <c r="AM2094" s="1" t="s">
        <v>104</v>
      </c>
      <c r="AO2094" s="1">
        <v>9</v>
      </c>
      <c r="AQ2094" s="1" t="s">
        <v>11017</v>
      </c>
      <c r="AR2094" s="1">
        <v>0</v>
      </c>
      <c r="AS2094" s="1">
        <v>0</v>
      </c>
      <c r="AT2094" s="1">
        <v>0</v>
      </c>
      <c r="AU2094" s="1">
        <v>0</v>
      </c>
      <c r="AV2094" s="1">
        <v>0</v>
      </c>
      <c r="AW2094" s="1">
        <v>0</v>
      </c>
      <c r="AX2094" s="1">
        <v>0</v>
      </c>
      <c r="AY2094" s="1">
        <v>0</v>
      </c>
      <c r="AZ2094" s="1">
        <v>0</v>
      </c>
      <c r="BA2094" s="1">
        <v>0</v>
      </c>
      <c r="BB2094" s="1">
        <v>0</v>
      </c>
      <c r="BC2094" s="1">
        <v>0</v>
      </c>
      <c r="BD2094" s="1">
        <v>0</v>
      </c>
      <c r="BE2094" s="1">
        <v>0</v>
      </c>
      <c r="BF2094" s="1">
        <v>0</v>
      </c>
      <c r="BG2094" s="1">
        <v>0</v>
      </c>
      <c r="BH2094" s="1">
        <v>0</v>
      </c>
      <c r="BI2094" s="1">
        <v>0</v>
      </c>
      <c r="BJ2094" s="1">
        <v>0</v>
      </c>
      <c r="BK2094" s="1">
        <v>1</v>
      </c>
      <c r="BL2094" s="1">
        <v>0</v>
      </c>
      <c r="BM2094" s="1">
        <v>0</v>
      </c>
      <c r="BN2094" s="1">
        <v>0</v>
      </c>
      <c r="BO2094" s="1">
        <v>0</v>
      </c>
      <c r="BP2094" s="1">
        <v>0</v>
      </c>
      <c r="BQ2094" s="1" t="s">
        <v>104</v>
      </c>
      <c r="BR2094" s="1">
        <v>2210</v>
      </c>
      <c r="BS2094" s="1">
        <v>10000</v>
      </c>
      <c r="BX2094" s="1">
        <v>0</v>
      </c>
      <c r="BY2094" s="1" t="s">
        <v>104</v>
      </c>
      <c r="BZ2094" s="1" t="s">
        <v>104</v>
      </c>
      <c r="CA2094" s="1">
        <v>9</v>
      </c>
      <c r="CB2094" s="1" t="s">
        <v>104</v>
      </c>
      <c r="CC2094" s="1" t="s">
        <v>104</v>
      </c>
      <c r="CD2094" s="1" t="s">
        <v>104</v>
      </c>
      <c r="CE2094" s="1" t="s">
        <v>104</v>
      </c>
      <c r="CF2094" s="1" t="s">
        <v>104</v>
      </c>
      <c r="CG2094" s="1" t="s">
        <v>104</v>
      </c>
      <c r="CH2094" s="1" t="s">
        <v>104</v>
      </c>
      <c r="CJ2094" s="1">
        <v>0</v>
      </c>
      <c r="CK2094" s="1">
        <v>0</v>
      </c>
      <c r="CL2094" s="1">
        <v>0</v>
      </c>
      <c r="CM2094" s="1" t="s">
        <v>104</v>
      </c>
    </row>
    <row r="2095" spans="1:91" ht="14.25" customHeight="1" x14ac:dyDescent="0.3">
      <c r="A2095" s="1" t="s">
        <v>11018</v>
      </c>
      <c r="B2095" s="1" t="s">
        <v>172</v>
      </c>
      <c r="D2095" s="1" t="s">
        <v>125</v>
      </c>
      <c r="E2095" s="1" t="s">
        <v>11019</v>
      </c>
      <c r="F2095" s="1" t="s">
        <v>95</v>
      </c>
      <c r="G2095" s="1" t="s">
        <v>1802</v>
      </c>
      <c r="H2095" s="1">
        <v>0</v>
      </c>
      <c r="I2095" s="1" t="s">
        <v>117</v>
      </c>
      <c r="L2095" s="1" t="s">
        <v>1065</v>
      </c>
      <c r="M2095" s="1" t="s">
        <v>119</v>
      </c>
      <c r="N2095" s="1">
        <v>0</v>
      </c>
      <c r="O2095" s="1">
        <v>0</v>
      </c>
      <c r="P2095" s="1" t="s">
        <v>2127</v>
      </c>
      <c r="Q2095" s="1" t="s">
        <v>184</v>
      </c>
      <c r="R2095" s="1" t="s">
        <v>11020</v>
      </c>
      <c r="S2095" s="1" t="s">
        <v>10570</v>
      </c>
      <c r="T2095" s="1">
        <v>0</v>
      </c>
      <c r="U2095" s="1">
        <v>1</v>
      </c>
      <c r="V2095" s="1">
        <v>0</v>
      </c>
      <c r="W2095" s="1">
        <v>0</v>
      </c>
      <c r="X2095" s="1">
        <v>0</v>
      </c>
      <c r="Y2095" s="1" t="s">
        <v>104</v>
      </c>
      <c r="Z2095" s="1" t="s">
        <v>104</v>
      </c>
      <c r="AA2095" s="1" t="s">
        <v>104</v>
      </c>
      <c r="AB2095" s="1" t="s">
        <v>104</v>
      </c>
      <c r="AC2095" s="1" t="s">
        <v>104</v>
      </c>
      <c r="AD2095" s="1" t="s">
        <v>104</v>
      </c>
      <c r="AE2095" s="1" t="s">
        <v>104</v>
      </c>
      <c r="AF2095" s="1" t="s">
        <v>104</v>
      </c>
      <c r="AG2095" s="1" t="s">
        <v>104</v>
      </c>
      <c r="AH2095" s="1" t="s">
        <v>104</v>
      </c>
      <c r="AI2095" s="1" t="s">
        <v>104</v>
      </c>
      <c r="AJ2095" s="1" t="s">
        <v>104</v>
      </c>
      <c r="AK2095" s="1" t="s">
        <v>104</v>
      </c>
      <c r="AL2095" s="1" t="s">
        <v>104</v>
      </c>
      <c r="AM2095" s="1" t="s">
        <v>104</v>
      </c>
      <c r="AO2095" s="1">
        <v>1</v>
      </c>
      <c r="AQ2095" s="1" t="s">
        <v>11021</v>
      </c>
      <c r="AR2095" s="1">
        <v>0</v>
      </c>
      <c r="AS2095" s="1">
        <v>0</v>
      </c>
      <c r="AT2095" s="1">
        <v>0</v>
      </c>
      <c r="AU2095" s="1">
        <v>0</v>
      </c>
      <c r="AV2095" s="1">
        <v>0</v>
      </c>
      <c r="AW2095" s="1">
        <v>0</v>
      </c>
      <c r="AX2095" s="1">
        <v>0</v>
      </c>
      <c r="AY2095" s="1">
        <v>0</v>
      </c>
      <c r="AZ2095" s="1">
        <v>0</v>
      </c>
      <c r="BA2095" s="1">
        <v>0</v>
      </c>
      <c r="BB2095" s="1">
        <v>0</v>
      </c>
      <c r="BC2095" s="1">
        <v>0</v>
      </c>
      <c r="BD2095" s="1">
        <v>0</v>
      </c>
      <c r="BE2095" s="1">
        <v>0</v>
      </c>
      <c r="BF2095" s="1">
        <v>0</v>
      </c>
      <c r="BG2095" s="1">
        <v>0</v>
      </c>
      <c r="BH2095" s="1">
        <v>0</v>
      </c>
      <c r="BI2095" s="1">
        <v>0</v>
      </c>
      <c r="BJ2095" s="1">
        <v>0</v>
      </c>
      <c r="BK2095" s="1">
        <v>1</v>
      </c>
      <c r="BL2095" s="1">
        <v>0</v>
      </c>
      <c r="BM2095" s="1">
        <v>0</v>
      </c>
      <c r="BN2095" s="1">
        <v>0</v>
      </c>
      <c r="BO2095" s="1">
        <v>0</v>
      </c>
      <c r="BP2095" s="1">
        <v>0</v>
      </c>
      <c r="BQ2095" s="1" t="s">
        <v>104</v>
      </c>
      <c r="BR2095" s="1">
        <v>2211</v>
      </c>
      <c r="BS2095" s="1" t="s">
        <v>104</v>
      </c>
      <c r="BT2095" s="1" t="s">
        <v>11022</v>
      </c>
      <c r="BX2095" s="1">
        <v>0</v>
      </c>
      <c r="BY2095" s="1" t="s">
        <v>104</v>
      </c>
      <c r="BZ2095" s="1" t="s">
        <v>104</v>
      </c>
      <c r="CA2095" s="1">
        <v>1</v>
      </c>
      <c r="CB2095" s="1" t="s">
        <v>104</v>
      </c>
      <c r="CC2095" s="1" t="s">
        <v>104</v>
      </c>
      <c r="CD2095" s="1" t="s">
        <v>104</v>
      </c>
      <c r="CE2095" s="1" t="s">
        <v>104</v>
      </c>
      <c r="CF2095" s="1" t="s">
        <v>104</v>
      </c>
      <c r="CG2095" s="1" t="s">
        <v>104</v>
      </c>
      <c r="CH2095" s="1" t="s">
        <v>104</v>
      </c>
      <c r="CJ2095" s="1">
        <v>0</v>
      </c>
      <c r="CK2095" s="1">
        <v>0</v>
      </c>
      <c r="CL2095" s="1">
        <v>0</v>
      </c>
      <c r="CM2095" s="1" t="s">
        <v>104</v>
      </c>
    </row>
    <row r="2096" spans="1:91" ht="14.25" customHeight="1" x14ac:dyDescent="0.3">
      <c r="A2096" s="1" t="s">
        <v>11023</v>
      </c>
      <c r="B2096" s="1" t="s">
        <v>172</v>
      </c>
      <c r="E2096" s="1" t="s">
        <v>10931</v>
      </c>
      <c r="F2096" s="1" t="s">
        <v>95</v>
      </c>
      <c r="G2096" s="1" t="s">
        <v>1802</v>
      </c>
      <c r="H2096" s="1">
        <v>0</v>
      </c>
      <c r="I2096" s="1" t="s">
        <v>117</v>
      </c>
      <c r="L2096" s="1" t="s">
        <v>1065</v>
      </c>
      <c r="M2096" s="1" t="s">
        <v>119</v>
      </c>
      <c r="N2096" s="1">
        <v>0</v>
      </c>
      <c r="O2096" s="1">
        <v>0</v>
      </c>
      <c r="P2096" s="1" t="s">
        <v>2127</v>
      </c>
      <c r="Q2096" s="1" t="s">
        <v>184</v>
      </c>
      <c r="R2096" s="1" t="s">
        <v>11024</v>
      </c>
      <c r="S2096" s="1" t="s">
        <v>10570</v>
      </c>
      <c r="T2096" s="1">
        <v>0</v>
      </c>
      <c r="U2096" s="1">
        <v>1</v>
      </c>
      <c r="V2096" s="1">
        <v>0</v>
      </c>
      <c r="W2096" s="1">
        <v>0</v>
      </c>
      <c r="X2096" s="1">
        <v>0</v>
      </c>
      <c r="Y2096" s="1" t="s">
        <v>104</v>
      </c>
      <c r="Z2096" s="1" t="s">
        <v>104</v>
      </c>
      <c r="AA2096" s="1" t="s">
        <v>104</v>
      </c>
      <c r="AB2096" s="1" t="s">
        <v>104</v>
      </c>
      <c r="AC2096" s="1" t="s">
        <v>104</v>
      </c>
      <c r="AD2096" s="1" t="s">
        <v>104</v>
      </c>
      <c r="AE2096" s="1" t="s">
        <v>104</v>
      </c>
      <c r="AF2096" s="1" t="s">
        <v>104</v>
      </c>
      <c r="AG2096" s="1" t="s">
        <v>104</v>
      </c>
      <c r="AH2096" s="1" t="s">
        <v>104</v>
      </c>
      <c r="AI2096" s="1" t="s">
        <v>104</v>
      </c>
      <c r="AJ2096" s="1" t="s">
        <v>104</v>
      </c>
      <c r="AK2096" s="1" t="s">
        <v>104</v>
      </c>
      <c r="AL2096" s="1" t="s">
        <v>104</v>
      </c>
      <c r="AM2096" s="1" t="s">
        <v>104</v>
      </c>
      <c r="AO2096" s="1">
        <v>2</v>
      </c>
      <c r="AQ2096" s="1" t="s">
        <v>11025</v>
      </c>
      <c r="AR2096" s="1">
        <v>0</v>
      </c>
      <c r="AS2096" s="1">
        <v>0</v>
      </c>
      <c r="AT2096" s="1">
        <v>0</v>
      </c>
      <c r="AU2096" s="1">
        <v>0</v>
      </c>
      <c r="AV2096" s="1">
        <v>0</v>
      </c>
      <c r="AW2096" s="1">
        <v>0</v>
      </c>
      <c r="AX2096" s="1">
        <v>0</v>
      </c>
      <c r="AY2096" s="1">
        <v>0</v>
      </c>
      <c r="AZ2096" s="1">
        <v>0</v>
      </c>
      <c r="BA2096" s="1">
        <v>0</v>
      </c>
      <c r="BB2096" s="1">
        <v>0</v>
      </c>
      <c r="BC2096" s="1">
        <v>0</v>
      </c>
      <c r="BD2096" s="1">
        <v>0</v>
      </c>
      <c r="BE2096" s="1">
        <v>0</v>
      </c>
      <c r="BF2096" s="1">
        <v>0</v>
      </c>
      <c r="BG2096" s="1">
        <v>0</v>
      </c>
      <c r="BH2096" s="1">
        <v>0</v>
      </c>
      <c r="BI2096" s="1">
        <v>0</v>
      </c>
      <c r="BJ2096" s="1">
        <v>0</v>
      </c>
      <c r="BK2096" s="1">
        <v>0</v>
      </c>
      <c r="BL2096" s="1">
        <v>0</v>
      </c>
      <c r="BM2096" s="1">
        <v>0</v>
      </c>
      <c r="BN2096" s="1">
        <v>0</v>
      </c>
      <c r="BO2096" s="1">
        <v>0</v>
      </c>
      <c r="BP2096" s="1">
        <v>0</v>
      </c>
      <c r="BQ2096" s="1" t="s">
        <v>104</v>
      </c>
      <c r="BR2096" s="1">
        <v>2212</v>
      </c>
      <c r="BS2096" s="1" t="s">
        <v>104</v>
      </c>
      <c r="BX2096" s="1">
        <v>0</v>
      </c>
      <c r="BY2096" s="1" t="s">
        <v>104</v>
      </c>
      <c r="BZ2096" s="1" t="s">
        <v>104</v>
      </c>
      <c r="CA2096" s="1">
        <v>2</v>
      </c>
      <c r="CB2096" s="1" t="s">
        <v>104</v>
      </c>
      <c r="CC2096" s="1" t="s">
        <v>104</v>
      </c>
      <c r="CD2096" s="1" t="s">
        <v>104</v>
      </c>
      <c r="CE2096" s="1" t="s">
        <v>104</v>
      </c>
      <c r="CF2096" s="1" t="s">
        <v>104</v>
      </c>
      <c r="CG2096" s="1" t="s">
        <v>104</v>
      </c>
      <c r="CH2096" s="1" t="s">
        <v>104</v>
      </c>
      <c r="CJ2096" s="1">
        <v>0</v>
      </c>
      <c r="CK2096" s="1">
        <v>0</v>
      </c>
      <c r="CL2096" s="1">
        <v>0</v>
      </c>
      <c r="CM2096" s="1" t="s">
        <v>104</v>
      </c>
    </row>
    <row r="2097" spans="1:91" ht="14.25" customHeight="1" x14ac:dyDescent="0.3">
      <c r="A2097" s="1" t="s">
        <v>11026</v>
      </c>
      <c r="B2097" s="1" t="s">
        <v>172</v>
      </c>
      <c r="E2097" s="1" t="s">
        <v>10846</v>
      </c>
      <c r="F2097" s="1" t="s">
        <v>95</v>
      </c>
      <c r="G2097" s="1" t="s">
        <v>1802</v>
      </c>
      <c r="H2097" s="1">
        <v>0</v>
      </c>
      <c r="I2097" s="1" t="s">
        <v>117</v>
      </c>
      <c r="L2097" s="1" t="s">
        <v>1065</v>
      </c>
      <c r="M2097" s="1" t="s">
        <v>119</v>
      </c>
      <c r="N2097" s="1">
        <v>0</v>
      </c>
      <c r="O2097" s="1">
        <v>0</v>
      </c>
      <c r="P2097" s="1" t="s">
        <v>2127</v>
      </c>
      <c r="Q2097" s="1" t="s">
        <v>184</v>
      </c>
      <c r="R2097" s="1" t="s">
        <v>11027</v>
      </c>
      <c r="S2097" s="1" t="s">
        <v>10570</v>
      </c>
      <c r="T2097" s="1">
        <v>0</v>
      </c>
      <c r="U2097" s="1">
        <v>1</v>
      </c>
      <c r="V2097" s="1">
        <v>0</v>
      </c>
      <c r="W2097" s="1">
        <v>0</v>
      </c>
      <c r="X2097" s="1">
        <v>0</v>
      </c>
      <c r="Y2097" s="1" t="s">
        <v>104</v>
      </c>
      <c r="Z2097" s="1" t="s">
        <v>104</v>
      </c>
      <c r="AA2097" s="1" t="s">
        <v>104</v>
      </c>
      <c r="AB2097" s="1" t="s">
        <v>104</v>
      </c>
      <c r="AC2097" s="1" t="s">
        <v>104</v>
      </c>
      <c r="AD2097" s="1" t="s">
        <v>104</v>
      </c>
      <c r="AE2097" s="1" t="s">
        <v>104</v>
      </c>
      <c r="AF2097" s="1" t="s">
        <v>104</v>
      </c>
      <c r="AG2097" s="1" t="s">
        <v>104</v>
      </c>
      <c r="AH2097" s="1" t="s">
        <v>104</v>
      </c>
      <c r="AI2097" s="1" t="s">
        <v>104</v>
      </c>
      <c r="AJ2097" s="1" t="s">
        <v>104</v>
      </c>
      <c r="AK2097" s="1" t="s">
        <v>104</v>
      </c>
      <c r="AL2097" s="1" t="s">
        <v>104</v>
      </c>
      <c r="AM2097" s="1" t="s">
        <v>104</v>
      </c>
      <c r="AO2097" s="1">
        <v>3</v>
      </c>
      <c r="AQ2097" s="1" t="s">
        <v>11028</v>
      </c>
      <c r="AR2097" s="1">
        <v>0</v>
      </c>
      <c r="AS2097" s="1">
        <v>0</v>
      </c>
      <c r="AT2097" s="1">
        <v>0</v>
      </c>
      <c r="AU2097" s="1">
        <v>0</v>
      </c>
      <c r="AV2097" s="1">
        <v>0</v>
      </c>
      <c r="AW2097" s="1">
        <v>0</v>
      </c>
      <c r="AX2097" s="1">
        <v>0</v>
      </c>
      <c r="AY2097" s="1">
        <v>0</v>
      </c>
      <c r="AZ2097" s="1">
        <v>0</v>
      </c>
      <c r="BA2097" s="1">
        <v>0</v>
      </c>
      <c r="BB2097" s="1">
        <v>0</v>
      </c>
      <c r="BC2097" s="1">
        <v>0</v>
      </c>
      <c r="BD2097" s="1">
        <v>0</v>
      </c>
      <c r="BE2097" s="1">
        <v>0</v>
      </c>
      <c r="BF2097" s="1">
        <v>0</v>
      </c>
      <c r="BG2097" s="1">
        <v>0</v>
      </c>
      <c r="BH2097" s="1">
        <v>0</v>
      </c>
      <c r="BI2097" s="1">
        <v>0</v>
      </c>
      <c r="BJ2097" s="1">
        <v>0</v>
      </c>
      <c r="BK2097" s="1">
        <v>0</v>
      </c>
      <c r="BL2097" s="1">
        <v>0</v>
      </c>
      <c r="BM2097" s="1">
        <v>0</v>
      </c>
      <c r="BN2097" s="1">
        <v>0</v>
      </c>
      <c r="BO2097" s="1">
        <v>0</v>
      </c>
      <c r="BP2097" s="1">
        <v>0</v>
      </c>
      <c r="BQ2097" s="1" t="s">
        <v>104</v>
      </c>
      <c r="BR2097" s="1">
        <v>2213</v>
      </c>
      <c r="BS2097" s="1" t="s">
        <v>104</v>
      </c>
      <c r="BX2097" s="1">
        <v>0</v>
      </c>
      <c r="BY2097" s="1" t="s">
        <v>104</v>
      </c>
      <c r="BZ2097" s="1" t="s">
        <v>104</v>
      </c>
      <c r="CA2097" s="1">
        <v>3</v>
      </c>
      <c r="CB2097" s="1" t="s">
        <v>104</v>
      </c>
      <c r="CC2097" s="1" t="s">
        <v>104</v>
      </c>
      <c r="CD2097" s="1" t="s">
        <v>104</v>
      </c>
      <c r="CE2097" s="1" t="s">
        <v>104</v>
      </c>
      <c r="CF2097" s="1" t="s">
        <v>104</v>
      </c>
      <c r="CG2097" s="1" t="s">
        <v>104</v>
      </c>
      <c r="CH2097" s="1" t="s">
        <v>104</v>
      </c>
      <c r="CJ2097" s="1">
        <v>0</v>
      </c>
      <c r="CK2097" s="1">
        <v>0</v>
      </c>
      <c r="CL2097" s="1">
        <v>0</v>
      </c>
      <c r="CM2097" s="1" t="s">
        <v>104</v>
      </c>
    </row>
    <row r="2098" spans="1:91" ht="14.25" customHeight="1" x14ac:dyDescent="0.3">
      <c r="A2098" s="1" t="s">
        <v>11029</v>
      </c>
      <c r="B2098" s="1" t="s">
        <v>172</v>
      </c>
      <c r="E2098" s="1" t="s">
        <v>10851</v>
      </c>
      <c r="F2098" s="1" t="s">
        <v>95</v>
      </c>
      <c r="G2098" s="1" t="s">
        <v>1802</v>
      </c>
      <c r="H2098" s="1">
        <v>0</v>
      </c>
      <c r="I2098" s="1" t="s">
        <v>117</v>
      </c>
      <c r="L2098" s="1" t="s">
        <v>1065</v>
      </c>
      <c r="M2098" s="1" t="s">
        <v>119</v>
      </c>
      <c r="N2098" s="1">
        <v>0</v>
      </c>
      <c r="O2098" s="1">
        <v>0</v>
      </c>
      <c r="P2098" s="1" t="s">
        <v>2127</v>
      </c>
      <c r="Q2098" s="1" t="s">
        <v>184</v>
      </c>
      <c r="R2098" s="1" t="s">
        <v>11030</v>
      </c>
      <c r="S2098" s="1" t="s">
        <v>10570</v>
      </c>
      <c r="T2098" s="1">
        <v>0</v>
      </c>
      <c r="U2098" s="1">
        <v>1</v>
      </c>
      <c r="V2098" s="1">
        <v>0</v>
      </c>
      <c r="W2098" s="1">
        <v>0</v>
      </c>
      <c r="X2098" s="1">
        <v>0</v>
      </c>
      <c r="Y2098" s="1" t="s">
        <v>104</v>
      </c>
      <c r="Z2098" s="1" t="s">
        <v>104</v>
      </c>
      <c r="AA2098" s="1" t="s">
        <v>104</v>
      </c>
      <c r="AB2098" s="1" t="s">
        <v>104</v>
      </c>
      <c r="AC2098" s="1" t="s">
        <v>104</v>
      </c>
      <c r="AD2098" s="1" t="s">
        <v>104</v>
      </c>
      <c r="AE2098" s="1" t="s">
        <v>104</v>
      </c>
      <c r="AF2098" s="1" t="s">
        <v>104</v>
      </c>
      <c r="AG2098" s="1" t="s">
        <v>104</v>
      </c>
      <c r="AH2098" s="1" t="s">
        <v>104</v>
      </c>
      <c r="AI2098" s="1" t="s">
        <v>104</v>
      </c>
      <c r="AJ2098" s="1" t="s">
        <v>104</v>
      </c>
      <c r="AK2098" s="1" t="s">
        <v>104</v>
      </c>
      <c r="AL2098" s="1" t="s">
        <v>104</v>
      </c>
      <c r="AM2098" s="1" t="s">
        <v>104</v>
      </c>
      <c r="AO2098" s="1">
        <v>4</v>
      </c>
      <c r="AQ2098" s="1" t="s">
        <v>11031</v>
      </c>
      <c r="AR2098" s="1">
        <v>0</v>
      </c>
      <c r="AS2098" s="1">
        <v>0</v>
      </c>
      <c r="AT2098" s="1">
        <v>0</v>
      </c>
      <c r="AU2098" s="1">
        <v>0</v>
      </c>
      <c r="AV2098" s="1">
        <v>0</v>
      </c>
      <c r="AW2098" s="1">
        <v>0</v>
      </c>
      <c r="AX2098" s="1">
        <v>0</v>
      </c>
      <c r="AY2098" s="1">
        <v>0</v>
      </c>
      <c r="AZ2098" s="1">
        <v>0</v>
      </c>
      <c r="BA2098" s="1">
        <v>0</v>
      </c>
      <c r="BB2098" s="1">
        <v>0</v>
      </c>
      <c r="BC2098" s="1">
        <v>0</v>
      </c>
      <c r="BD2098" s="1">
        <v>0</v>
      </c>
      <c r="BE2098" s="1">
        <v>0</v>
      </c>
      <c r="BF2098" s="1">
        <v>0</v>
      </c>
      <c r="BG2098" s="1">
        <v>0</v>
      </c>
      <c r="BH2098" s="1">
        <v>0</v>
      </c>
      <c r="BI2098" s="1">
        <v>0</v>
      </c>
      <c r="BJ2098" s="1">
        <v>0</v>
      </c>
      <c r="BK2098" s="1">
        <v>0</v>
      </c>
      <c r="BL2098" s="1">
        <v>0</v>
      </c>
      <c r="BM2098" s="1">
        <v>0</v>
      </c>
      <c r="BN2098" s="1">
        <v>0</v>
      </c>
      <c r="BO2098" s="1">
        <v>0</v>
      </c>
      <c r="BP2098" s="1">
        <v>0</v>
      </c>
      <c r="BQ2098" s="1" t="s">
        <v>104</v>
      </c>
      <c r="BR2098" s="1">
        <v>2214</v>
      </c>
      <c r="BS2098" s="1" t="s">
        <v>104</v>
      </c>
      <c r="BX2098" s="1">
        <v>0</v>
      </c>
      <c r="BY2098" s="1" t="s">
        <v>104</v>
      </c>
      <c r="BZ2098" s="1" t="s">
        <v>104</v>
      </c>
      <c r="CA2098" s="1">
        <v>4</v>
      </c>
      <c r="CB2098" s="1" t="s">
        <v>104</v>
      </c>
      <c r="CC2098" s="1" t="s">
        <v>104</v>
      </c>
      <c r="CD2098" s="1" t="s">
        <v>104</v>
      </c>
      <c r="CE2098" s="1" t="s">
        <v>104</v>
      </c>
      <c r="CF2098" s="1" t="s">
        <v>104</v>
      </c>
      <c r="CG2098" s="1" t="s">
        <v>104</v>
      </c>
      <c r="CH2098" s="1" t="s">
        <v>104</v>
      </c>
      <c r="CJ2098" s="1">
        <v>0</v>
      </c>
      <c r="CK2098" s="1">
        <v>0</v>
      </c>
      <c r="CL2098" s="1">
        <v>0</v>
      </c>
      <c r="CM2098" s="1" t="s">
        <v>104</v>
      </c>
    </row>
    <row r="2099" spans="1:91" ht="14.25" customHeight="1" x14ac:dyDescent="0.3">
      <c r="A2099" s="1" t="s">
        <v>11032</v>
      </c>
      <c r="B2099" s="1" t="s">
        <v>172</v>
      </c>
      <c r="E2099" s="1" t="s">
        <v>10855</v>
      </c>
      <c r="F2099" s="1" t="s">
        <v>95</v>
      </c>
      <c r="G2099" s="1" t="s">
        <v>1802</v>
      </c>
      <c r="H2099" s="1">
        <v>0</v>
      </c>
      <c r="I2099" s="1" t="s">
        <v>117</v>
      </c>
      <c r="L2099" s="1" t="s">
        <v>1065</v>
      </c>
      <c r="M2099" s="1" t="s">
        <v>119</v>
      </c>
      <c r="N2099" s="1">
        <v>0</v>
      </c>
      <c r="O2099" s="1">
        <v>0</v>
      </c>
      <c r="P2099" s="1" t="s">
        <v>2127</v>
      </c>
      <c r="Q2099" s="1" t="s">
        <v>184</v>
      </c>
      <c r="R2099" s="1" t="s">
        <v>11033</v>
      </c>
      <c r="S2099" s="1" t="s">
        <v>10570</v>
      </c>
      <c r="T2099" s="1">
        <v>0</v>
      </c>
      <c r="U2099" s="1">
        <v>1</v>
      </c>
      <c r="V2099" s="1">
        <v>0</v>
      </c>
      <c r="W2099" s="1">
        <v>0</v>
      </c>
      <c r="X2099" s="1">
        <v>0</v>
      </c>
      <c r="Y2099" s="1" t="s">
        <v>104</v>
      </c>
      <c r="Z2099" s="1" t="s">
        <v>104</v>
      </c>
      <c r="AA2099" s="1" t="s">
        <v>104</v>
      </c>
      <c r="AB2099" s="1" t="s">
        <v>104</v>
      </c>
      <c r="AC2099" s="1" t="s">
        <v>104</v>
      </c>
      <c r="AD2099" s="1" t="s">
        <v>104</v>
      </c>
      <c r="AE2099" s="1" t="s">
        <v>104</v>
      </c>
      <c r="AF2099" s="1" t="s">
        <v>104</v>
      </c>
      <c r="AG2099" s="1" t="s">
        <v>104</v>
      </c>
      <c r="AH2099" s="1" t="s">
        <v>104</v>
      </c>
      <c r="AI2099" s="1" t="s">
        <v>104</v>
      </c>
      <c r="AJ2099" s="1" t="s">
        <v>104</v>
      </c>
      <c r="AK2099" s="1" t="s">
        <v>104</v>
      </c>
      <c r="AL2099" s="1" t="s">
        <v>104</v>
      </c>
      <c r="AM2099" s="1" t="s">
        <v>104</v>
      </c>
      <c r="AO2099" s="1">
        <v>5</v>
      </c>
      <c r="AQ2099" s="1" t="s">
        <v>11034</v>
      </c>
      <c r="AR2099" s="1">
        <v>0</v>
      </c>
      <c r="AS2099" s="1">
        <v>0</v>
      </c>
      <c r="AT2099" s="1">
        <v>0</v>
      </c>
      <c r="AU2099" s="1">
        <v>0</v>
      </c>
      <c r="AV2099" s="1">
        <v>0</v>
      </c>
      <c r="AW2099" s="1">
        <v>0</v>
      </c>
      <c r="AX2099" s="1">
        <v>0</v>
      </c>
      <c r="AY2099" s="1">
        <v>0</v>
      </c>
      <c r="AZ2099" s="1">
        <v>0</v>
      </c>
      <c r="BA2099" s="1">
        <v>0</v>
      </c>
      <c r="BB2099" s="1">
        <v>0</v>
      </c>
      <c r="BC2099" s="1">
        <v>0</v>
      </c>
      <c r="BD2099" s="1">
        <v>0</v>
      </c>
      <c r="BE2099" s="1">
        <v>0</v>
      </c>
      <c r="BF2099" s="1">
        <v>0</v>
      </c>
      <c r="BG2099" s="1">
        <v>0</v>
      </c>
      <c r="BH2099" s="1">
        <v>0</v>
      </c>
      <c r="BI2099" s="1">
        <v>0</v>
      </c>
      <c r="BJ2099" s="1">
        <v>0</v>
      </c>
      <c r="BK2099" s="1">
        <v>0</v>
      </c>
      <c r="BL2099" s="1">
        <v>0</v>
      </c>
      <c r="BM2099" s="1">
        <v>0</v>
      </c>
      <c r="BN2099" s="1">
        <v>0</v>
      </c>
      <c r="BO2099" s="1">
        <v>0</v>
      </c>
      <c r="BP2099" s="1">
        <v>0</v>
      </c>
      <c r="BQ2099" s="1" t="s">
        <v>104</v>
      </c>
      <c r="BR2099" s="1">
        <v>2215</v>
      </c>
      <c r="BS2099" s="1" t="s">
        <v>104</v>
      </c>
      <c r="BX2099" s="1">
        <v>0</v>
      </c>
      <c r="BY2099" s="1" t="s">
        <v>104</v>
      </c>
      <c r="BZ2099" s="1" t="s">
        <v>104</v>
      </c>
      <c r="CA2099" s="1">
        <v>5</v>
      </c>
      <c r="CB2099" s="1" t="s">
        <v>104</v>
      </c>
      <c r="CC2099" s="1" t="s">
        <v>104</v>
      </c>
      <c r="CD2099" s="1" t="s">
        <v>104</v>
      </c>
      <c r="CE2099" s="1" t="s">
        <v>104</v>
      </c>
      <c r="CF2099" s="1" t="s">
        <v>104</v>
      </c>
      <c r="CG2099" s="1" t="s">
        <v>104</v>
      </c>
      <c r="CH2099" s="1" t="s">
        <v>104</v>
      </c>
      <c r="CJ2099" s="1">
        <v>0</v>
      </c>
      <c r="CK2099" s="1">
        <v>0</v>
      </c>
      <c r="CL2099" s="1">
        <v>0</v>
      </c>
      <c r="CM2099" s="1" t="s">
        <v>104</v>
      </c>
    </row>
    <row r="2100" spans="1:91" ht="14.25" customHeight="1" x14ac:dyDescent="0.3">
      <c r="A2100" s="1" t="s">
        <v>11035</v>
      </c>
      <c r="B2100" s="1" t="s">
        <v>172</v>
      </c>
      <c r="E2100" s="1" t="s">
        <v>10859</v>
      </c>
      <c r="F2100" s="1" t="s">
        <v>95</v>
      </c>
      <c r="G2100" s="1" t="s">
        <v>1802</v>
      </c>
      <c r="H2100" s="1">
        <v>0</v>
      </c>
      <c r="I2100" s="1" t="s">
        <v>117</v>
      </c>
      <c r="L2100" s="1" t="s">
        <v>1065</v>
      </c>
      <c r="M2100" s="1" t="s">
        <v>119</v>
      </c>
      <c r="N2100" s="1">
        <v>0</v>
      </c>
      <c r="O2100" s="1">
        <v>0</v>
      </c>
      <c r="P2100" s="1" t="s">
        <v>2127</v>
      </c>
      <c r="Q2100" s="1" t="s">
        <v>184</v>
      </c>
      <c r="R2100" s="1" t="s">
        <v>11036</v>
      </c>
      <c r="S2100" s="1" t="s">
        <v>10570</v>
      </c>
      <c r="T2100" s="1">
        <v>0</v>
      </c>
      <c r="U2100" s="1">
        <v>1</v>
      </c>
      <c r="V2100" s="1">
        <v>0</v>
      </c>
      <c r="W2100" s="1">
        <v>0</v>
      </c>
      <c r="X2100" s="1">
        <v>0</v>
      </c>
      <c r="Y2100" s="1" t="s">
        <v>104</v>
      </c>
      <c r="Z2100" s="1" t="s">
        <v>104</v>
      </c>
      <c r="AA2100" s="1" t="s">
        <v>104</v>
      </c>
      <c r="AB2100" s="1" t="s">
        <v>104</v>
      </c>
      <c r="AC2100" s="1" t="s">
        <v>104</v>
      </c>
      <c r="AD2100" s="1" t="s">
        <v>104</v>
      </c>
      <c r="AE2100" s="1" t="s">
        <v>104</v>
      </c>
      <c r="AF2100" s="1" t="s">
        <v>104</v>
      </c>
      <c r="AG2100" s="1" t="s">
        <v>104</v>
      </c>
      <c r="AH2100" s="1" t="s">
        <v>104</v>
      </c>
      <c r="AI2100" s="1" t="s">
        <v>104</v>
      </c>
      <c r="AJ2100" s="1" t="s">
        <v>104</v>
      </c>
      <c r="AK2100" s="1" t="s">
        <v>104</v>
      </c>
      <c r="AL2100" s="1" t="s">
        <v>104</v>
      </c>
      <c r="AM2100" s="1" t="s">
        <v>104</v>
      </c>
      <c r="AO2100" s="1">
        <v>6</v>
      </c>
      <c r="AQ2100" s="1" t="s">
        <v>11037</v>
      </c>
      <c r="AR2100" s="1">
        <v>0</v>
      </c>
      <c r="AS2100" s="1">
        <v>0</v>
      </c>
      <c r="AT2100" s="1">
        <v>0</v>
      </c>
      <c r="AU2100" s="1">
        <v>0</v>
      </c>
      <c r="AV2100" s="1">
        <v>0</v>
      </c>
      <c r="AW2100" s="1">
        <v>0</v>
      </c>
      <c r="AX2100" s="1">
        <v>0</v>
      </c>
      <c r="AY2100" s="1">
        <v>0</v>
      </c>
      <c r="AZ2100" s="1">
        <v>0</v>
      </c>
      <c r="BA2100" s="1">
        <v>0</v>
      </c>
      <c r="BB2100" s="1">
        <v>0</v>
      </c>
      <c r="BC2100" s="1">
        <v>0</v>
      </c>
      <c r="BD2100" s="1">
        <v>0</v>
      </c>
      <c r="BE2100" s="1">
        <v>0</v>
      </c>
      <c r="BF2100" s="1">
        <v>0</v>
      </c>
      <c r="BG2100" s="1">
        <v>0</v>
      </c>
      <c r="BH2100" s="1">
        <v>0</v>
      </c>
      <c r="BI2100" s="1">
        <v>0</v>
      </c>
      <c r="BJ2100" s="1">
        <v>0</v>
      </c>
      <c r="BK2100" s="1">
        <v>0</v>
      </c>
      <c r="BL2100" s="1">
        <v>0</v>
      </c>
      <c r="BM2100" s="1">
        <v>0</v>
      </c>
      <c r="BN2100" s="1">
        <v>0</v>
      </c>
      <c r="BO2100" s="1">
        <v>0</v>
      </c>
      <c r="BP2100" s="1">
        <v>0</v>
      </c>
      <c r="BQ2100" s="1" t="s">
        <v>104</v>
      </c>
      <c r="BR2100" s="1">
        <v>2216</v>
      </c>
      <c r="BS2100" s="1" t="s">
        <v>104</v>
      </c>
      <c r="BX2100" s="1">
        <v>0</v>
      </c>
      <c r="BY2100" s="1" t="s">
        <v>104</v>
      </c>
      <c r="BZ2100" s="1" t="s">
        <v>104</v>
      </c>
      <c r="CA2100" s="1">
        <v>6</v>
      </c>
      <c r="CB2100" s="1" t="s">
        <v>104</v>
      </c>
      <c r="CC2100" s="1" t="s">
        <v>104</v>
      </c>
      <c r="CD2100" s="1" t="s">
        <v>104</v>
      </c>
      <c r="CE2100" s="1" t="s">
        <v>104</v>
      </c>
      <c r="CF2100" s="1" t="s">
        <v>104</v>
      </c>
      <c r="CG2100" s="1" t="s">
        <v>104</v>
      </c>
      <c r="CH2100" s="1" t="s">
        <v>104</v>
      </c>
      <c r="CJ2100" s="1">
        <v>0</v>
      </c>
      <c r="CK2100" s="1">
        <v>0</v>
      </c>
      <c r="CL2100" s="1">
        <v>0</v>
      </c>
      <c r="CM2100" s="1" t="s">
        <v>104</v>
      </c>
    </row>
    <row r="2101" spans="1:91" ht="14.25" customHeight="1" x14ac:dyDescent="0.3">
      <c r="A2101" s="1" t="s">
        <v>11038</v>
      </c>
      <c r="B2101" s="1" t="s">
        <v>172</v>
      </c>
      <c r="D2101" s="1" t="s">
        <v>125</v>
      </c>
      <c r="E2101" s="1" t="s">
        <v>11039</v>
      </c>
      <c r="F2101" s="1" t="s">
        <v>95</v>
      </c>
      <c r="G2101" s="1" t="s">
        <v>237</v>
      </c>
      <c r="H2101" s="1">
        <v>0</v>
      </c>
      <c r="I2101" s="1" t="s">
        <v>128</v>
      </c>
      <c r="L2101" s="1" t="s">
        <v>374</v>
      </c>
      <c r="M2101" s="1" t="s">
        <v>119</v>
      </c>
      <c r="N2101" s="1">
        <v>0</v>
      </c>
      <c r="O2101" s="1">
        <v>0</v>
      </c>
      <c r="P2101" s="1" t="s">
        <v>375</v>
      </c>
      <c r="Q2101" s="1" t="s">
        <v>184</v>
      </c>
      <c r="R2101" s="1" t="s">
        <v>11040</v>
      </c>
      <c r="S2101" s="1" t="s">
        <v>10570</v>
      </c>
      <c r="T2101" s="1">
        <v>1</v>
      </c>
      <c r="U2101" s="1">
        <v>0</v>
      </c>
      <c r="V2101" s="1">
        <v>0</v>
      </c>
      <c r="W2101" s="1">
        <v>0</v>
      </c>
      <c r="X2101" s="1">
        <v>0</v>
      </c>
      <c r="Y2101" s="1">
        <v>1</v>
      </c>
      <c r="Z2101" s="1">
        <v>1</v>
      </c>
      <c r="AA2101" s="1" t="s">
        <v>104</v>
      </c>
      <c r="AB2101" s="1" t="s">
        <v>104</v>
      </c>
      <c r="AC2101" s="1" t="s">
        <v>104</v>
      </c>
      <c r="AD2101" s="1" t="s">
        <v>104</v>
      </c>
      <c r="AE2101" s="1" t="s">
        <v>104</v>
      </c>
      <c r="AF2101" s="1" t="s">
        <v>104</v>
      </c>
      <c r="AG2101" s="1" t="s">
        <v>104</v>
      </c>
      <c r="AH2101" s="1" t="s">
        <v>104</v>
      </c>
      <c r="AI2101" s="1" t="s">
        <v>104</v>
      </c>
      <c r="AJ2101" s="1" t="s">
        <v>104</v>
      </c>
      <c r="AK2101" s="1" t="s">
        <v>104</v>
      </c>
      <c r="AL2101" s="1" t="s">
        <v>104</v>
      </c>
      <c r="AM2101" s="1" t="s">
        <v>104</v>
      </c>
      <c r="AO2101" s="1">
        <v>1</v>
      </c>
      <c r="AQ2101" s="1" t="s">
        <v>11041</v>
      </c>
      <c r="AR2101" s="1">
        <v>0</v>
      </c>
      <c r="AS2101" s="1">
        <v>0</v>
      </c>
      <c r="AT2101" s="1">
        <v>0</v>
      </c>
      <c r="AU2101" s="1">
        <v>0</v>
      </c>
      <c r="AV2101" s="1">
        <v>0</v>
      </c>
      <c r="AW2101" s="1">
        <v>0</v>
      </c>
      <c r="AX2101" s="1">
        <v>0</v>
      </c>
      <c r="AY2101" s="1">
        <v>0</v>
      </c>
      <c r="AZ2101" s="1">
        <v>0</v>
      </c>
      <c r="BA2101" s="1">
        <v>0</v>
      </c>
      <c r="BB2101" s="1">
        <v>0</v>
      </c>
      <c r="BC2101" s="1">
        <v>0</v>
      </c>
      <c r="BD2101" s="1">
        <v>0</v>
      </c>
      <c r="BE2101" s="1">
        <v>0</v>
      </c>
      <c r="BF2101" s="1">
        <v>0</v>
      </c>
      <c r="BG2101" s="1">
        <v>0</v>
      </c>
      <c r="BH2101" s="1">
        <v>0</v>
      </c>
      <c r="BI2101" s="1">
        <v>0</v>
      </c>
      <c r="BJ2101" s="1">
        <v>0</v>
      </c>
      <c r="BK2101" s="1">
        <v>1</v>
      </c>
      <c r="BL2101" s="1">
        <v>0</v>
      </c>
      <c r="BM2101" s="1">
        <v>0</v>
      </c>
      <c r="BN2101" s="1">
        <v>0</v>
      </c>
      <c r="BO2101" s="1">
        <v>0</v>
      </c>
      <c r="BP2101" s="1">
        <v>0</v>
      </c>
      <c r="BQ2101" s="1" t="s">
        <v>104</v>
      </c>
      <c r="BR2101" s="1">
        <v>2217</v>
      </c>
      <c r="BS2101" s="1" t="s">
        <v>104</v>
      </c>
      <c r="BU2101" s="1" t="s">
        <v>11042</v>
      </c>
      <c r="BX2101" s="1">
        <v>0</v>
      </c>
      <c r="BY2101" s="1" t="s">
        <v>104</v>
      </c>
      <c r="BZ2101" s="1">
        <v>1</v>
      </c>
      <c r="CA2101" s="1">
        <v>1</v>
      </c>
      <c r="CB2101" s="1">
        <v>1</v>
      </c>
      <c r="CC2101" s="1">
        <v>1</v>
      </c>
      <c r="CD2101" s="1">
        <v>1</v>
      </c>
      <c r="CE2101" s="1">
        <v>1</v>
      </c>
      <c r="CF2101" s="1" t="s">
        <v>104</v>
      </c>
      <c r="CG2101" s="1" t="s">
        <v>104</v>
      </c>
      <c r="CH2101" s="1" t="s">
        <v>104</v>
      </c>
      <c r="CJ2101" s="1">
        <v>0</v>
      </c>
      <c r="CK2101" s="1">
        <v>0</v>
      </c>
      <c r="CL2101" s="1">
        <v>0</v>
      </c>
      <c r="CM2101" s="1" t="s">
        <v>104</v>
      </c>
    </row>
    <row r="2102" spans="1:91" ht="14.25" customHeight="1" x14ac:dyDescent="0.3">
      <c r="A2102" s="1" t="s">
        <v>11043</v>
      </c>
      <c r="B2102" s="1" t="s">
        <v>507</v>
      </c>
      <c r="C2102" s="1" t="s">
        <v>1308</v>
      </c>
      <c r="D2102" s="1" t="s">
        <v>125</v>
      </c>
      <c r="E2102" s="1" t="s">
        <v>11044</v>
      </c>
      <c r="F2102" s="1" t="s">
        <v>95</v>
      </c>
      <c r="G2102" s="1" t="s">
        <v>116</v>
      </c>
      <c r="H2102" s="1">
        <v>0</v>
      </c>
      <c r="I2102" s="1" t="s">
        <v>117</v>
      </c>
      <c r="K2102" s="1" t="s">
        <v>11045</v>
      </c>
      <c r="M2102" s="1" t="s">
        <v>4292</v>
      </c>
      <c r="N2102" s="1">
        <v>0</v>
      </c>
      <c r="O2102" s="1">
        <v>0</v>
      </c>
      <c r="P2102" s="1" t="s">
        <v>1902</v>
      </c>
      <c r="Q2102" s="1" t="s">
        <v>101</v>
      </c>
      <c r="R2102" s="1" t="s">
        <v>11046</v>
      </c>
      <c r="S2102" s="1" t="s">
        <v>10570</v>
      </c>
      <c r="T2102" s="1">
        <v>1</v>
      </c>
      <c r="U2102" s="1">
        <v>1</v>
      </c>
      <c r="V2102" s="1">
        <v>0</v>
      </c>
      <c r="W2102" s="1">
        <v>0</v>
      </c>
      <c r="X2102" s="1">
        <v>0</v>
      </c>
      <c r="Y2102" s="1">
        <v>4</v>
      </c>
      <c r="Z2102" s="1">
        <v>4</v>
      </c>
      <c r="AA2102" s="1" t="s">
        <v>104</v>
      </c>
      <c r="AB2102" s="1" t="s">
        <v>104</v>
      </c>
      <c r="AC2102" s="1" t="s">
        <v>104</v>
      </c>
      <c r="AD2102" s="1" t="s">
        <v>104</v>
      </c>
      <c r="AE2102" s="1" t="s">
        <v>104</v>
      </c>
      <c r="AF2102" s="1" t="s">
        <v>104</v>
      </c>
      <c r="AG2102" s="1" t="s">
        <v>104</v>
      </c>
      <c r="AH2102" s="1" t="s">
        <v>104</v>
      </c>
      <c r="AI2102" s="1" t="s">
        <v>104</v>
      </c>
      <c r="AJ2102" s="1" t="s">
        <v>104</v>
      </c>
      <c r="AK2102" s="1" t="s">
        <v>104</v>
      </c>
      <c r="AL2102" s="1" t="s">
        <v>104</v>
      </c>
      <c r="AM2102" s="1" t="s">
        <v>104</v>
      </c>
      <c r="AO2102" s="1">
        <v>4</v>
      </c>
      <c r="AQ2102" s="1" t="s">
        <v>11047</v>
      </c>
      <c r="AR2102" s="1">
        <v>0</v>
      </c>
      <c r="AS2102" s="1">
        <v>0</v>
      </c>
      <c r="AT2102" s="1">
        <v>0</v>
      </c>
      <c r="AU2102" s="1">
        <v>0</v>
      </c>
      <c r="AV2102" s="1">
        <v>0</v>
      </c>
      <c r="AW2102" s="1">
        <v>0</v>
      </c>
      <c r="AX2102" s="1">
        <v>0</v>
      </c>
      <c r="AY2102" s="1">
        <v>0</v>
      </c>
      <c r="AZ2102" s="1">
        <v>0</v>
      </c>
      <c r="BA2102" s="1">
        <v>0</v>
      </c>
      <c r="BB2102" s="1">
        <v>0</v>
      </c>
      <c r="BC2102" s="1">
        <v>0</v>
      </c>
      <c r="BD2102" s="1">
        <v>0</v>
      </c>
      <c r="BE2102" s="1">
        <v>0</v>
      </c>
      <c r="BF2102" s="1">
        <v>0</v>
      </c>
      <c r="BG2102" s="1">
        <v>0</v>
      </c>
      <c r="BH2102" s="1">
        <v>0</v>
      </c>
      <c r="BI2102" s="1">
        <v>0</v>
      </c>
      <c r="BJ2102" s="1">
        <v>0</v>
      </c>
      <c r="BK2102" s="1">
        <v>1</v>
      </c>
      <c r="BL2102" s="1">
        <v>0</v>
      </c>
      <c r="BM2102" s="1">
        <v>0</v>
      </c>
      <c r="BN2102" s="1">
        <v>0</v>
      </c>
      <c r="BO2102" s="1">
        <v>0</v>
      </c>
      <c r="BP2102" s="1">
        <v>0</v>
      </c>
      <c r="BQ2102" s="1" t="s">
        <v>104</v>
      </c>
      <c r="BR2102" s="1">
        <v>2218</v>
      </c>
      <c r="BS2102" s="1" t="s">
        <v>104</v>
      </c>
      <c r="BU2102" s="1" t="s">
        <v>11048</v>
      </c>
      <c r="BX2102" s="1">
        <v>0</v>
      </c>
      <c r="BY2102" s="1" t="s">
        <v>104</v>
      </c>
      <c r="BZ2102" s="1" t="s">
        <v>104</v>
      </c>
      <c r="CA2102" s="1">
        <v>3</v>
      </c>
      <c r="CB2102" s="1">
        <v>3</v>
      </c>
      <c r="CC2102" s="1">
        <v>3</v>
      </c>
      <c r="CD2102" s="1" t="s">
        <v>104</v>
      </c>
      <c r="CE2102" s="1" t="s">
        <v>104</v>
      </c>
      <c r="CF2102" s="1" t="s">
        <v>104</v>
      </c>
      <c r="CG2102" s="1" t="s">
        <v>104</v>
      </c>
      <c r="CH2102" s="1" t="s">
        <v>104</v>
      </c>
      <c r="CJ2102" s="1">
        <v>0</v>
      </c>
      <c r="CK2102" s="1">
        <v>0</v>
      </c>
      <c r="CL2102" s="1">
        <v>0</v>
      </c>
      <c r="CM2102" s="1" t="s">
        <v>104</v>
      </c>
    </row>
    <row r="2103" spans="1:91" ht="14.25" customHeight="1" x14ac:dyDescent="0.3">
      <c r="A2103" s="1" t="s">
        <v>11049</v>
      </c>
      <c r="B2103" s="1" t="s">
        <v>123</v>
      </c>
      <c r="C2103" s="1" t="s">
        <v>124</v>
      </c>
      <c r="D2103" s="1" t="s">
        <v>125</v>
      </c>
      <c r="E2103" s="1" t="s">
        <v>11050</v>
      </c>
      <c r="F2103" s="1" t="s">
        <v>95</v>
      </c>
      <c r="G2103" s="1" t="s">
        <v>237</v>
      </c>
      <c r="H2103" s="1">
        <v>0</v>
      </c>
      <c r="I2103" s="1" t="s">
        <v>117</v>
      </c>
      <c r="L2103" s="1" t="s">
        <v>1065</v>
      </c>
      <c r="M2103" s="1" t="s">
        <v>723</v>
      </c>
      <c r="N2103" s="1">
        <v>0</v>
      </c>
      <c r="O2103" s="1">
        <v>0</v>
      </c>
      <c r="P2103" s="1" t="s">
        <v>211</v>
      </c>
      <c r="Q2103" s="1" t="s">
        <v>184</v>
      </c>
      <c r="R2103" s="1" t="s">
        <v>11051</v>
      </c>
      <c r="S2103" s="1" t="s">
        <v>10570</v>
      </c>
      <c r="T2103" s="1">
        <v>1</v>
      </c>
      <c r="U2103" s="1">
        <v>0</v>
      </c>
      <c r="V2103" s="1">
        <v>0</v>
      </c>
      <c r="W2103" s="1">
        <v>0</v>
      </c>
      <c r="X2103" s="1">
        <v>0</v>
      </c>
      <c r="Y2103" s="1">
        <v>4</v>
      </c>
      <c r="Z2103" s="1">
        <v>4</v>
      </c>
      <c r="AA2103" s="1" t="s">
        <v>104</v>
      </c>
      <c r="AB2103" s="1" t="s">
        <v>104</v>
      </c>
      <c r="AC2103" s="1" t="s">
        <v>104</v>
      </c>
      <c r="AD2103" s="1" t="s">
        <v>104</v>
      </c>
      <c r="AE2103" s="1" t="s">
        <v>104</v>
      </c>
      <c r="AF2103" s="1" t="s">
        <v>104</v>
      </c>
      <c r="AG2103" s="1" t="s">
        <v>104</v>
      </c>
      <c r="AH2103" s="1" t="s">
        <v>104</v>
      </c>
      <c r="AI2103" s="1" t="s">
        <v>104</v>
      </c>
      <c r="AJ2103" s="1" t="s">
        <v>104</v>
      </c>
      <c r="AK2103" s="1" t="s">
        <v>104</v>
      </c>
      <c r="AL2103" s="1" t="s">
        <v>104</v>
      </c>
      <c r="AM2103" s="1" t="s">
        <v>104</v>
      </c>
      <c r="AO2103" s="1">
        <v>4</v>
      </c>
      <c r="AQ2103" s="1" t="s">
        <v>11052</v>
      </c>
      <c r="AR2103" s="1">
        <v>0</v>
      </c>
      <c r="AS2103" s="1">
        <v>0</v>
      </c>
      <c r="AT2103" s="1">
        <v>0</v>
      </c>
      <c r="AU2103" s="1">
        <v>0</v>
      </c>
      <c r="AV2103" s="1">
        <v>0</v>
      </c>
      <c r="AW2103" s="1">
        <v>0</v>
      </c>
      <c r="AX2103" s="1">
        <v>0</v>
      </c>
      <c r="AY2103" s="1">
        <v>0</v>
      </c>
      <c r="AZ2103" s="1">
        <v>0</v>
      </c>
      <c r="BA2103" s="1">
        <v>0</v>
      </c>
      <c r="BB2103" s="1">
        <v>0</v>
      </c>
      <c r="BC2103" s="1">
        <v>0</v>
      </c>
      <c r="BD2103" s="1">
        <v>0</v>
      </c>
      <c r="BE2103" s="1">
        <v>0</v>
      </c>
      <c r="BF2103" s="1">
        <v>0</v>
      </c>
      <c r="BG2103" s="1">
        <v>0</v>
      </c>
      <c r="BH2103" s="1">
        <v>0</v>
      </c>
      <c r="BI2103" s="1">
        <v>0</v>
      </c>
      <c r="BJ2103" s="1">
        <v>0</v>
      </c>
      <c r="BK2103" s="1">
        <v>1</v>
      </c>
      <c r="BL2103" s="1">
        <v>0</v>
      </c>
      <c r="BM2103" s="1">
        <v>0</v>
      </c>
      <c r="BN2103" s="1">
        <v>0</v>
      </c>
      <c r="BO2103" s="1">
        <v>0</v>
      </c>
      <c r="BP2103" s="1">
        <v>0</v>
      </c>
      <c r="BQ2103" s="1" t="s">
        <v>104</v>
      </c>
      <c r="BR2103" s="1">
        <v>2219</v>
      </c>
      <c r="BS2103" s="1" t="s">
        <v>104</v>
      </c>
      <c r="BX2103" s="1">
        <v>0</v>
      </c>
      <c r="BY2103" s="1" t="s">
        <v>104</v>
      </c>
      <c r="BZ2103" s="1" t="s">
        <v>104</v>
      </c>
      <c r="CA2103" s="1">
        <v>4</v>
      </c>
      <c r="CB2103" s="1">
        <v>4</v>
      </c>
      <c r="CC2103" s="1">
        <v>4</v>
      </c>
      <c r="CD2103" s="1">
        <v>4</v>
      </c>
      <c r="CE2103" s="1">
        <v>4</v>
      </c>
      <c r="CF2103" s="1" t="s">
        <v>104</v>
      </c>
      <c r="CG2103" s="1" t="s">
        <v>104</v>
      </c>
      <c r="CH2103" s="1" t="s">
        <v>104</v>
      </c>
      <c r="CJ2103" s="1">
        <v>0</v>
      </c>
      <c r="CK2103" s="1">
        <v>0</v>
      </c>
      <c r="CL2103" s="1">
        <v>0</v>
      </c>
      <c r="CM2103" s="1" t="s">
        <v>104</v>
      </c>
    </row>
    <row r="2104" spans="1:91" ht="14.25" customHeight="1" x14ac:dyDescent="0.3">
      <c r="A2104" s="1" t="s">
        <v>11053</v>
      </c>
      <c r="B2104" s="1" t="s">
        <v>162</v>
      </c>
      <c r="D2104" s="1" t="s">
        <v>125</v>
      </c>
      <c r="E2104" s="1" t="s">
        <v>11054</v>
      </c>
      <c r="F2104" s="1" t="s">
        <v>95</v>
      </c>
      <c r="G2104" s="1" t="s">
        <v>237</v>
      </c>
      <c r="H2104" s="1">
        <v>0</v>
      </c>
      <c r="I2104" s="1" t="s">
        <v>128</v>
      </c>
      <c r="L2104" s="1" t="s">
        <v>1456</v>
      </c>
      <c r="M2104" s="1" t="s">
        <v>1567</v>
      </c>
      <c r="N2104" s="1">
        <v>1</v>
      </c>
      <c r="O2104" s="1">
        <v>0</v>
      </c>
      <c r="P2104" s="1" t="s">
        <v>629</v>
      </c>
      <c r="Q2104" s="1" t="s">
        <v>101</v>
      </c>
      <c r="R2104" s="1" t="s">
        <v>11055</v>
      </c>
      <c r="S2104" s="1" t="s">
        <v>10570</v>
      </c>
      <c r="T2104" s="1">
        <v>1</v>
      </c>
      <c r="U2104" s="1">
        <v>0</v>
      </c>
      <c r="V2104" s="1">
        <v>0</v>
      </c>
      <c r="W2104" s="1">
        <v>0</v>
      </c>
      <c r="X2104" s="1">
        <v>0</v>
      </c>
      <c r="Y2104" s="1" t="s">
        <v>104</v>
      </c>
      <c r="Z2104" s="1" t="s">
        <v>104</v>
      </c>
      <c r="AA2104" s="1" t="s">
        <v>104</v>
      </c>
      <c r="AB2104" s="1" t="s">
        <v>104</v>
      </c>
      <c r="AC2104" s="1" t="s">
        <v>104</v>
      </c>
      <c r="AD2104" s="1" t="s">
        <v>104</v>
      </c>
      <c r="AE2104" s="1" t="s">
        <v>104</v>
      </c>
      <c r="AF2104" s="1" t="s">
        <v>104</v>
      </c>
      <c r="AG2104" s="1" t="s">
        <v>104</v>
      </c>
      <c r="AH2104" s="1" t="s">
        <v>104</v>
      </c>
      <c r="AI2104" s="1" t="s">
        <v>104</v>
      </c>
      <c r="AJ2104" s="1" t="s">
        <v>104</v>
      </c>
      <c r="AK2104" s="1" t="s">
        <v>104</v>
      </c>
      <c r="AL2104" s="1" t="s">
        <v>104</v>
      </c>
      <c r="AM2104" s="1" t="s">
        <v>104</v>
      </c>
      <c r="AO2104" s="1" t="s">
        <v>104</v>
      </c>
      <c r="AQ2104" s="1" t="s">
        <v>11056</v>
      </c>
      <c r="AR2104" s="1">
        <v>0</v>
      </c>
      <c r="AS2104" s="1">
        <v>0</v>
      </c>
      <c r="AT2104" s="1">
        <v>0</v>
      </c>
      <c r="AU2104" s="1">
        <v>0</v>
      </c>
      <c r="AV2104" s="1">
        <v>0</v>
      </c>
      <c r="AW2104" s="1">
        <v>0</v>
      </c>
      <c r="AX2104" s="1">
        <v>0</v>
      </c>
      <c r="AY2104" s="1">
        <v>0</v>
      </c>
      <c r="AZ2104" s="1">
        <v>0</v>
      </c>
      <c r="BA2104" s="1">
        <v>0</v>
      </c>
      <c r="BB2104" s="1">
        <v>0</v>
      </c>
      <c r="BC2104" s="1">
        <v>0</v>
      </c>
      <c r="BD2104" s="1">
        <v>0</v>
      </c>
      <c r="BE2104" s="1">
        <v>0</v>
      </c>
      <c r="BF2104" s="1">
        <v>0</v>
      </c>
      <c r="BG2104" s="1">
        <v>0</v>
      </c>
      <c r="BH2104" s="1">
        <v>0</v>
      </c>
      <c r="BI2104" s="1">
        <v>0</v>
      </c>
      <c r="BJ2104" s="1">
        <v>0</v>
      </c>
      <c r="BK2104" s="1">
        <v>1</v>
      </c>
      <c r="BL2104" s="1">
        <v>0</v>
      </c>
      <c r="BM2104" s="1">
        <v>0</v>
      </c>
      <c r="BN2104" s="1">
        <v>0</v>
      </c>
      <c r="BO2104" s="1">
        <v>0</v>
      </c>
      <c r="BP2104" s="1">
        <v>0</v>
      </c>
      <c r="BQ2104" s="1" t="s">
        <v>104</v>
      </c>
      <c r="BR2104" s="1">
        <v>2220</v>
      </c>
      <c r="BS2104" s="1" t="s">
        <v>104</v>
      </c>
      <c r="BX2104" s="1">
        <v>0</v>
      </c>
      <c r="BY2104" s="1" t="s">
        <v>104</v>
      </c>
      <c r="BZ2104" s="1" t="s">
        <v>104</v>
      </c>
      <c r="CA2104" s="1">
        <v>3</v>
      </c>
      <c r="CB2104" s="1">
        <v>3</v>
      </c>
      <c r="CC2104" s="1">
        <v>3</v>
      </c>
      <c r="CD2104" s="1">
        <v>2</v>
      </c>
      <c r="CE2104" s="1" t="s">
        <v>104</v>
      </c>
      <c r="CF2104" s="1" t="s">
        <v>104</v>
      </c>
      <c r="CG2104" s="1" t="s">
        <v>104</v>
      </c>
      <c r="CH2104" s="1" t="s">
        <v>104</v>
      </c>
      <c r="CJ2104" s="1">
        <v>0</v>
      </c>
      <c r="CK2104" s="1">
        <v>0</v>
      </c>
      <c r="CL2104" s="1">
        <v>0</v>
      </c>
      <c r="CM2104" s="1" t="s">
        <v>104</v>
      </c>
    </row>
    <row r="2105" spans="1:91" ht="14.25" customHeight="1" x14ac:dyDescent="0.3">
      <c r="A2105" s="1" t="s">
        <v>11057</v>
      </c>
      <c r="B2105" s="1" t="s">
        <v>216</v>
      </c>
      <c r="E2105" s="1" t="s">
        <v>11058</v>
      </c>
      <c r="F2105" s="1" t="s">
        <v>95</v>
      </c>
      <c r="G2105" s="1" t="s">
        <v>116</v>
      </c>
      <c r="H2105" s="1">
        <v>0</v>
      </c>
      <c r="I2105" s="1" t="s">
        <v>117</v>
      </c>
      <c r="L2105" s="1" t="s">
        <v>11059</v>
      </c>
      <c r="M2105" s="1" t="s">
        <v>4992</v>
      </c>
      <c r="N2105" s="1">
        <v>1</v>
      </c>
      <c r="O2105" s="1">
        <v>0</v>
      </c>
      <c r="P2105" s="1" t="s">
        <v>4222</v>
      </c>
      <c r="Q2105" s="1" t="s">
        <v>4223</v>
      </c>
      <c r="R2105" s="1" t="s">
        <v>11060</v>
      </c>
      <c r="S2105" s="1" t="s">
        <v>10570</v>
      </c>
      <c r="T2105" s="1">
        <v>1</v>
      </c>
      <c r="U2105" s="1">
        <v>1</v>
      </c>
      <c r="V2105" s="1">
        <v>0</v>
      </c>
      <c r="W2105" s="1">
        <v>0</v>
      </c>
      <c r="X2105" s="1">
        <v>0</v>
      </c>
      <c r="Y2105" s="1">
        <v>5</v>
      </c>
      <c r="Z2105" s="1">
        <v>5</v>
      </c>
      <c r="AA2105" s="1" t="s">
        <v>104</v>
      </c>
      <c r="AB2105" s="1" t="s">
        <v>104</v>
      </c>
      <c r="AC2105" s="1" t="s">
        <v>104</v>
      </c>
      <c r="AD2105" s="1" t="s">
        <v>104</v>
      </c>
      <c r="AE2105" s="1" t="s">
        <v>104</v>
      </c>
      <c r="AF2105" s="1" t="s">
        <v>104</v>
      </c>
      <c r="AG2105" s="1" t="s">
        <v>104</v>
      </c>
      <c r="AH2105" s="1">
        <v>5</v>
      </c>
      <c r="AI2105" s="1" t="s">
        <v>104</v>
      </c>
      <c r="AJ2105" s="1" t="s">
        <v>104</v>
      </c>
      <c r="AK2105" s="1" t="s">
        <v>104</v>
      </c>
      <c r="AL2105" s="1" t="s">
        <v>104</v>
      </c>
      <c r="AM2105" s="1" t="s">
        <v>104</v>
      </c>
      <c r="AO2105" s="1">
        <v>5</v>
      </c>
      <c r="AQ2105" s="1" t="s">
        <v>11061</v>
      </c>
      <c r="AR2105" s="1">
        <v>0</v>
      </c>
      <c r="AS2105" s="1">
        <v>0</v>
      </c>
      <c r="AT2105" s="1">
        <v>0</v>
      </c>
      <c r="AU2105" s="1">
        <v>0</v>
      </c>
      <c r="AV2105" s="1">
        <v>0</v>
      </c>
      <c r="AW2105" s="1">
        <v>0</v>
      </c>
      <c r="AX2105" s="1">
        <v>0</v>
      </c>
      <c r="AY2105" s="1">
        <v>0</v>
      </c>
      <c r="AZ2105" s="1">
        <v>0</v>
      </c>
      <c r="BA2105" s="1">
        <v>0</v>
      </c>
      <c r="BB2105" s="1">
        <v>0</v>
      </c>
      <c r="BC2105" s="1">
        <v>0</v>
      </c>
      <c r="BD2105" s="1">
        <v>0</v>
      </c>
      <c r="BE2105" s="1">
        <v>0</v>
      </c>
      <c r="BF2105" s="1">
        <v>0</v>
      </c>
      <c r="BG2105" s="1">
        <v>0</v>
      </c>
      <c r="BH2105" s="1">
        <v>0</v>
      </c>
      <c r="BI2105" s="1">
        <v>0</v>
      </c>
      <c r="BJ2105" s="1">
        <v>0</v>
      </c>
      <c r="BK2105" s="1">
        <v>0</v>
      </c>
      <c r="BL2105" s="1">
        <v>0</v>
      </c>
      <c r="BM2105" s="1">
        <v>0</v>
      </c>
      <c r="BN2105" s="1">
        <v>0</v>
      </c>
      <c r="BO2105" s="1">
        <v>0</v>
      </c>
      <c r="BP2105" s="1">
        <v>0</v>
      </c>
      <c r="BQ2105" s="1" t="s">
        <v>104</v>
      </c>
      <c r="BR2105" s="1">
        <v>2221</v>
      </c>
      <c r="BS2105" s="1" t="s">
        <v>104</v>
      </c>
      <c r="BX2105" s="1">
        <v>0</v>
      </c>
      <c r="BY2105" s="1" t="s">
        <v>104</v>
      </c>
      <c r="BZ2105" s="1" t="s">
        <v>104</v>
      </c>
      <c r="CA2105" s="1">
        <v>5</v>
      </c>
      <c r="CB2105" s="1">
        <v>4</v>
      </c>
      <c r="CC2105" s="1">
        <v>5</v>
      </c>
      <c r="CD2105" s="1">
        <v>4</v>
      </c>
      <c r="CE2105" s="1">
        <v>5</v>
      </c>
      <c r="CF2105" s="1" t="s">
        <v>104</v>
      </c>
      <c r="CG2105" s="1" t="s">
        <v>104</v>
      </c>
      <c r="CH2105" s="1" t="s">
        <v>104</v>
      </c>
      <c r="CJ2105" s="1">
        <v>0</v>
      </c>
      <c r="CK2105" s="1">
        <v>0</v>
      </c>
      <c r="CL2105" s="1">
        <v>0</v>
      </c>
      <c r="CM2105" s="1" t="s">
        <v>104</v>
      </c>
    </row>
    <row r="2106" spans="1:91" ht="14.25" customHeight="1" x14ac:dyDescent="0.3">
      <c r="A2106" s="1" t="s">
        <v>11062</v>
      </c>
      <c r="B2106" s="1" t="s">
        <v>216</v>
      </c>
      <c r="E2106" s="1" t="s">
        <v>11063</v>
      </c>
      <c r="F2106" s="1" t="s">
        <v>95</v>
      </c>
      <c r="G2106" s="1" t="s">
        <v>116</v>
      </c>
      <c r="H2106" s="1">
        <v>0</v>
      </c>
      <c r="I2106" s="1" t="s">
        <v>109</v>
      </c>
      <c r="L2106" s="1" t="s">
        <v>11064</v>
      </c>
      <c r="M2106" s="1" t="s">
        <v>4992</v>
      </c>
      <c r="N2106" s="1">
        <v>1</v>
      </c>
      <c r="O2106" s="1">
        <v>0</v>
      </c>
      <c r="P2106" s="1" t="s">
        <v>4222</v>
      </c>
      <c r="Q2106" s="1" t="s">
        <v>4223</v>
      </c>
      <c r="R2106" s="1" t="s">
        <v>11065</v>
      </c>
      <c r="S2106" s="1" t="s">
        <v>10570</v>
      </c>
      <c r="T2106" s="1">
        <v>1</v>
      </c>
      <c r="U2106" s="1">
        <v>1</v>
      </c>
      <c r="V2106" s="1">
        <v>0</v>
      </c>
      <c r="W2106" s="1">
        <v>0</v>
      </c>
      <c r="X2106" s="1">
        <v>0</v>
      </c>
      <c r="Y2106" s="1">
        <v>7</v>
      </c>
      <c r="Z2106" s="1">
        <v>7</v>
      </c>
      <c r="AA2106" s="1" t="s">
        <v>104</v>
      </c>
      <c r="AB2106" s="1" t="s">
        <v>104</v>
      </c>
      <c r="AC2106" s="1" t="s">
        <v>104</v>
      </c>
      <c r="AD2106" s="1" t="s">
        <v>104</v>
      </c>
      <c r="AE2106" s="1" t="s">
        <v>104</v>
      </c>
      <c r="AF2106" s="1" t="s">
        <v>104</v>
      </c>
      <c r="AG2106" s="1" t="s">
        <v>104</v>
      </c>
      <c r="AH2106" s="1">
        <v>7</v>
      </c>
      <c r="AI2106" s="1" t="s">
        <v>104</v>
      </c>
      <c r="AJ2106" s="1" t="s">
        <v>104</v>
      </c>
      <c r="AK2106" s="1" t="s">
        <v>104</v>
      </c>
      <c r="AL2106" s="1" t="s">
        <v>104</v>
      </c>
      <c r="AM2106" s="1" t="s">
        <v>104</v>
      </c>
      <c r="AO2106" s="1">
        <v>7</v>
      </c>
      <c r="AQ2106" s="1" t="s">
        <v>11066</v>
      </c>
      <c r="AR2106" s="1">
        <v>0</v>
      </c>
      <c r="AS2106" s="1">
        <v>0</v>
      </c>
      <c r="AT2106" s="1">
        <v>0</v>
      </c>
      <c r="AU2106" s="1">
        <v>0</v>
      </c>
      <c r="AV2106" s="1">
        <v>0</v>
      </c>
      <c r="AW2106" s="1">
        <v>0</v>
      </c>
      <c r="AX2106" s="1">
        <v>0</v>
      </c>
      <c r="AY2106" s="1">
        <v>0</v>
      </c>
      <c r="AZ2106" s="1">
        <v>0</v>
      </c>
      <c r="BA2106" s="1">
        <v>0</v>
      </c>
      <c r="BB2106" s="1">
        <v>0</v>
      </c>
      <c r="BC2106" s="1">
        <v>0</v>
      </c>
      <c r="BD2106" s="1">
        <v>0</v>
      </c>
      <c r="BE2106" s="1">
        <v>0</v>
      </c>
      <c r="BF2106" s="1">
        <v>0</v>
      </c>
      <c r="BG2106" s="1">
        <v>0</v>
      </c>
      <c r="BH2106" s="1">
        <v>0</v>
      </c>
      <c r="BI2106" s="1">
        <v>0</v>
      </c>
      <c r="BJ2106" s="1">
        <v>0</v>
      </c>
      <c r="BK2106" s="1">
        <v>0</v>
      </c>
      <c r="BL2106" s="1">
        <v>0</v>
      </c>
      <c r="BM2106" s="1">
        <v>0</v>
      </c>
      <c r="BN2106" s="1">
        <v>0</v>
      </c>
      <c r="BO2106" s="1">
        <v>0</v>
      </c>
      <c r="BP2106" s="1">
        <v>0</v>
      </c>
      <c r="BQ2106" s="1" t="s">
        <v>104</v>
      </c>
      <c r="BR2106" s="1">
        <v>2222</v>
      </c>
      <c r="BS2106" s="1" t="s">
        <v>104</v>
      </c>
      <c r="BX2106" s="1">
        <v>0</v>
      </c>
      <c r="BY2106" s="1" t="s">
        <v>104</v>
      </c>
      <c r="BZ2106" s="1" t="s">
        <v>104</v>
      </c>
      <c r="CA2106" s="1">
        <v>6</v>
      </c>
      <c r="CB2106" s="1" t="s">
        <v>104</v>
      </c>
      <c r="CC2106" s="1" t="s">
        <v>104</v>
      </c>
      <c r="CD2106" s="1">
        <v>5</v>
      </c>
      <c r="CE2106" s="1">
        <v>6</v>
      </c>
      <c r="CF2106" s="1" t="s">
        <v>104</v>
      </c>
      <c r="CG2106" s="1" t="s">
        <v>104</v>
      </c>
      <c r="CH2106" s="1" t="s">
        <v>104</v>
      </c>
      <c r="CJ2106" s="1">
        <v>0</v>
      </c>
      <c r="CK2106" s="1">
        <v>0</v>
      </c>
      <c r="CL2106" s="1">
        <v>0</v>
      </c>
      <c r="CM2106" s="1" t="s">
        <v>104</v>
      </c>
    </row>
    <row r="2107" spans="1:91" ht="14.25" customHeight="1" x14ac:dyDescent="0.3">
      <c r="A2107" s="1" t="s">
        <v>11067</v>
      </c>
      <c r="B2107" s="1" t="s">
        <v>216</v>
      </c>
      <c r="E2107" s="1" t="s">
        <v>11068</v>
      </c>
      <c r="F2107" s="1" t="s">
        <v>95</v>
      </c>
      <c r="G2107" s="1" t="s">
        <v>116</v>
      </c>
      <c r="H2107" s="1">
        <v>0</v>
      </c>
      <c r="I2107" s="1" t="s">
        <v>128</v>
      </c>
      <c r="L2107" s="1" t="s">
        <v>11069</v>
      </c>
      <c r="M2107" s="1" t="s">
        <v>4641</v>
      </c>
      <c r="N2107" s="1">
        <v>1</v>
      </c>
      <c r="O2107" s="1">
        <v>0</v>
      </c>
      <c r="P2107" s="1" t="s">
        <v>4222</v>
      </c>
      <c r="Q2107" s="1" t="s">
        <v>4223</v>
      </c>
      <c r="R2107" s="1" t="s">
        <v>11070</v>
      </c>
      <c r="S2107" s="1" t="s">
        <v>10570</v>
      </c>
      <c r="T2107" s="1">
        <v>1</v>
      </c>
      <c r="U2107" s="1">
        <v>1</v>
      </c>
      <c r="V2107" s="1">
        <v>0</v>
      </c>
      <c r="W2107" s="1">
        <v>0</v>
      </c>
      <c r="X2107" s="1">
        <v>0</v>
      </c>
      <c r="Y2107" s="1">
        <v>4</v>
      </c>
      <c r="Z2107" s="1">
        <v>4</v>
      </c>
      <c r="AA2107" s="1" t="s">
        <v>104</v>
      </c>
      <c r="AB2107" s="1" t="s">
        <v>104</v>
      </c>
      <c r="AC2107" s="1" t="s">
        <v>104</v>
      </c>
      <c r="AD2107" s="1" t="s">
        <v>104</v>
      </c>
      <c r="AE2107" s="1" t="s">
        <v>104</v>
      </c>
      <c r="AF2107" s="1" t="s">
        <v>104</v>
      </c>
      <c r="AG2107" s="1" t="s">
        <v>104</v>
      </c>
      <c r="AH2107" s="1">
        <v>4</v>
      </c>
      <c r="AI2107" s="1" t="s">
        <v>104</v>
      </c>
      <c r="AJ2107" s="1" t="s">
        <v>104</v>
      </c>
      <c r="AK2107" s="1" t="s">
        <v>104</v>
      </c>
      <c r="AL2107" s="1" t="s">
        <v>104</v>
      </c>
      <c r="AM2107" s="1" t="s">
        <v>104</v>
      </c>
      <c r="AO2107" s="1">
        <v>4</v>
      </c>
      <c r="AQ2107" s="1" t="s">
        <v>11071</v>
      </c>
      <c r="AR2107" s="1">
        <v>0</v>
      </c>
      <c r="AS2107" s="1">
        <v>0</v>
      </c>
      <c r="AT2107" s="1">
        <v>0</v>
      </c>
      <c r="AU2107" s="1">
        <v>0</v>
      </c>
      <c r="AV2107" s="1">
        <v>0</v>
      </c>
      <c r="AW2107" s="1">
        <v>0</v>
      </c>
      <c r="AX2107" s="1">
        <v>0</v>
      </c>
      <c r="AY2107" s="1">
        <v>0</v>
      </c>
      <c r="AZ2107" s="1">
        <v>0</v>
      </c>
      <c r="BA2107" s="1">
        <v>0</v>
      </c>
      <c r="BB2107" s="1">
        <v>0</v>
      </c>
      <c r="BC2107" s="1">
        <v>0</v>
      </c>
      <c r="BD2107" s="1">
        <v>0</v>
      </c>
      <c r="BE2107" s="1">
        <v>0</v>
      </c>
      <c r="BF2107" s="1">
        <v>0</v>
      </c>
      <c r="BG2107" s="1">
        <v>0</v>
      </c>
      <c r="BH2107" s="1">
        <v>0</v>
      </c>
      <c r="BI2107" s="1">
        <v>0</v>
      </c>
      <c r="BJ2107" s="1">
        <v>0</v>
      </c>
      <c r="BK2107" s="1">
        <v>0</v>
      </c>
      <c r="BL2107" s="1">
        <v>0</v>
      </c>
      <c r="BM2107" s="1">
        <v>0</v>
      </c>
      <c r="BN2107" s="1">
        <v>0</v>
      </c>
      <c r="BO2107" s="1">
        <v>0</v>
      </c>
      <c r="BP2107" s="1">
        <v>0</v>
      </c>
      <c r="BQ2107" s="1" t="s">
        <v>104</v>
      </c>
      <c r="BR2107" s="1">
        <v>2223</v>
      </c>
      <c r="BS2107" s="1" t="s">
        <v>104</v>
      </c>
      <c r="BX2107" s="1">
        <v>0</v>
      </c>
      <c r="BY2107" s="1" t="s">
        <v>104</v>
      </c>
      <c r="BZ2107" s="1" t="s">
        <v>104</v>
      </c>
      <c r="CA2107" s="1">
        <v>3</v>
      </c>
      <c r="CB2107" s="1">
        <v>2</v>
      </c>
      <c r="CC2107" s="1">
        <v>3</v>
      </c>
      <c r="CD2107" s="1">
        <v>2</v>
      </c>
      <c r="CE2107" s="1">
        <v>3</v>
      </c>
      <c r="CF2107" s="1" t="s">
        <v>104</v>
      </c>
      <c r="CG2107" s="1" t="s">
        <v>104</v>
      </c>
      <c r="CH2107" s="1" t="s">
        <v>104</v>
      </c>
      <c r="CJ2107" s="1">
        <v>0</v>
      </c>
      <c r="CK2107" s="1">
        <v>0</v>
      </c>
      <c r="CL2107" s="1">
        <v>0</v>
      </c>
      <c r="CM2107" s="1" t="s">
        <v>104</v>
      </c>
    </row>
    <row r="2108" spans="1:91" ht="14.25" customHeight="1" x14ac:dyDescent="0.3">
      <c r="A2108" s="1" t="s">
        <v>11072</v>
      </c>
      <c r="B2108" s="1" t="s">
        <v>172</v>
      </c>
      <c r="E2108" s="1" t="s">
        <v>11073</v>
      </c>
      <c r="F2108" s="1" t="s">
        <v>95</v>
      </c>
      <c r="G2108" s="1" t="s">
        <v>116</v>
      </c>
      <c r="H2108" s="1">
        <v>0</v>
      </c>
      <c r="I2108" s="1" t="s">
        <v>128</v>
      </c>
      <c r="L2108" s="1" t="s">
        <v>11074</v>
      </c>
      <c r="M2108" s="1" t="s">
        <v>11075</v>
      </c>
      <c r="N2108" s="1">
        <v>1</v>
      </c>
      <c r="O2108" s="1">
        <v>0</v>
      </c>
      <c r="P2108" s="1" t="s">
        <v>100</v>
      </c>
      <c r="Q2108" s="1" t="s">
        <v>101</v>
      </c>
      <c r="R2108" s="1" t="s">
        <v>11076</v>
      </c>
      <c r="S2108" s="1" t="s">
        <v>10570</v>
      </c>
      <c r="T2108" s="1">
        <v>1</v>
      </c>
      <c r="U2108" s="1">
        <v>1</v>
      </c>
      <c r="V2108" s="1">
        <v>0</v>
      </c>
      <c r="W2108" s="1">
        <v>0</v>
      </c>
      <c r="X2108" s="1">
        <v>0</v>
      </c>
      <c r="Y2108" s="1" t="s">
        <v>104</v>
      </c>
      <c r="Z2108" s="1" t="s">
        <v>104</v>
      </c>
      <c r="AA2108" s="1" t="s">
        <v>104</v>
      </c>
      <c r="AB2108" s="1" t="s">
        <v>104</v>
      </c>
      <c r="AC2108" s="1" t="s">
        <v>104</v>
      </c>
      <c r="AD2108" s="1" t="s">
        <v>104</v>
      </c>
      <c r="AE2108" s="1" t="s">
        <v>104</v>
      </c>
      <c r="AF2108" s="1" t="s">
        <v>104</v>
      </c>
      <c r="AG2108" s="1" t="s">
        <v>104</v>
      </c>
      <c r="AH2108" s="1" t="s">
        <v>104</v>
      </c>
      <c r="AI2108" s="1" t="s">
        <v>104</v>
      </c>
      <c r="AJ2108" s="1" t="s">
        <v>104</v>
      </c>
      <c r="AK2108" s="1" t="s">
        <v>104</v>
      </c>
      <c r="AL2108" s="1" t="s">
        <v>104</v>
      </c>
      <c r="AM2108" s="1" t="s">
        <v>104</v>
      </c>
      <c r="AO2108" s="1" t="s">
        <v>104</v>
      </c>
      <c r="AQ2108" s="1" t="s">
        <v>11077</v>
      </c>
      <c r="AR2108" s="1">
        <v>0</v>
      </c>
      <c r="AS2108" s="1">
        <v>0</v>
      </c>
      <c r="AT2108" s="1">
        <v>0</v>
      </c>
      <c r="AU2108" s="1">
        <v>0</v>
      </c>
      <c r="AV2108" s="1">
        <v>0</v>
      </c>
      <c r="AW2108" s="1">
        <v>0</v>
      </c>
      <c r="AX2108" s="1">
        <v>0</v>
      </c>
      <c r="AY2108" s="1">
        <v>0</v>
      </c>
      <c r="AZ2108" s="1">
        <v>0</v>
      </c>
      <c r="BA2108" s="1">
        <v>0</v>
      </c>
      <c r="BB2108" s="1">
        <v>0</v>
      </c>
      <c r="BC2108" s="1">
        <v>0</v>
      </c>
      <c r="BD2108" s="1">
        <v>0</v>
      </c>
      <c r="BE2108" s="1">
        <v>0</v>
      </c>
      <c r="BF2108" s="1">
        <v>0</v>
      </c>
      <c r="BG2108" s="1">
        <v>0</v>
      </c>
      <c r="BH2108" s="1">
        <v>0</v>
      </c>
      <c r="BI2108" s="1">
        <v>0</v>
      </c>
      <c r="BJ2108" s="1">
        <v>0</v>
      </c>
      <c r="BK2108" s="1">
        <v>0</v>
      </c>
      <c r="BL2108" s="1">
        <v>0</v>
      </c>
      <c r="BM2108" s="1">
        <v>0</v>
      </c>
      <c r="BN2108" s="1">
        <v>0</v>
      </c>
      <c r="BO2108" s="1">
        <v>0</v>
      </c>
      <c r="BP2108" s="1">
        <v>0</v>
      </c>
      <c r="BQ2108" s="1" t="s">
        <v>104</v>
      </c>
      <c r="BR2108" s="1">
        <v>2224</v>
      </c>
      <c r="BS2108" s="1" t="s">
        <v>104</v>
      </c>
      <c r="BX2108" s="1">
        <v>0</v>
      </c>
      <c r="BY2108" s="1" t="s">
        <v>104</v>
      </c>
      <c r="BZ2108" s="1" t="s">
        <v>104</v>
      </c>
      <c r="CA2108" s="1">
        <v>2</v>
      </c>
      <c r="CB2108" s="1">
        <v>1</v>
      </c>
      <c r="CC2108" s="1">
        <v>2</v>
      </c>
      <c r="CD2108" s="1">
        <v>1</v>
      </c>
      <c r="CE2108" s="1">
        <v>2</v>
      </c>
      <c r="CF2108" s="1" t="s">
        <v>104</v>
      </c>
      <c r="CG2108" s="1" t="s">
        <v>104</v>
      </c>
      <c r="CH2108" s="1" t="s">
        <v>104</v>
      </c>
      <c r="CJ2108" s="1">
        <v>0</v>
      </c>
      <c r="CK2108" s="1">
        <v>0</v>
      </c>
      <c r="CL2108" s="1">
        <v>0</v>
      </c>
      <c r="CM2108" s="1" t="s">
        <v>104</v>
      </c>
    </row>
    <row r="2109" spans="1:91" ht="14.25" customHeight="1" x14ac:dyDescent="0.3">
      <c r="A2109" s="1" t="s">
        <v>11078</v>
      </c>
      <c r="B2109" s="1" t="s">
        <v>507</v>
      </c>
      <c r="C2109" s="1" t="s">
        <v>1308</v>
      </c>
      <c r="D2109" s="1" t="s">
        <v>125</v>
      </c>
      <c r="E2109" s="1" t="s">
        <v>11079</v>
      </c>
      <c r="F2109" s="1" t="s">
        <v>95</v>
      </c>
      <c r="G2109" s="1" t="s">
        <v>116</v>
      </c>
      <c r="H2109" s="1">
        <v>0</v>
      </c>
      <c r="I2109" s="1" t="s">
        <v>109</v>
      </c>
      <c r="L2109" s="1" t="s">
        <v>417</v>
      </c>
      <c r="M2109" s="1" t="s">
        <v>426</v>
      </c>
      <c r="N2109" s="1">
        <v>1</v>
      </c>
      <c r="O2109" s="1">
        <v>0</v>
      </c>
      <c r="P2109" s="1" t="s">
        <v>211</v>
      </c>
      <c r="Q2109" s="1" t="s">
        <v>184</v>
      </c>
      <c r="R2109" s="1" t="s">
        <v>11080</v>
      </c>
      <c r="S2109" s="1" t="s">
        <v>10570</v>
      </c>
      <c r="T2109" s="1">
        <v>1</v>
      </c>
      <c r="U2109" s="1">
        <v>1</v>
      </c>
      <c r="V2109" s="1">
        <v>0</v>
      </c>
      <c r="W2109" s="1">
        <v>0</v>
      </c>
      <c r="X2109" s="1">
        <v>0</v>
      </c>
      <c r="Y2109" s="1">
        <v>3</v>
      </c>
      <c r="Z2109" s="1">
        <v>3</v>
      </c>
      <c r="AA2109" s="1" t="s">
        <v>104</v>
      </c>
      <c r="AB2109" s="1" t="s">
        <v>104</v>
      </c>
      <c r="AC2109" s="1" t="s">
        <v>104</v>
      </c>
      <c r="AD2109" s="1">
        <v>2</v>
      </c>
      <c r="AE2109" s="1" t="s">
        <v>104</v>
      </c>
      <c r="AF2109" s="1" t="s">
        <v>104</v>
      </c>
      <c r="AG2109" s="1" t="s">
        <v>104</v>
      </c>
      <c r="AH2109" s="1" t="s">
        <v>104</v>
      </c>
      <c r="AI2109" s="1" t="s">
        <v>104</v>
      </c>
      <c r="AJ2109" s="1" t="s">
        <v>104</v>
      </c>
      <c r="AK2109" s="1" t="s">
        <v>104</v>
      </c>
      <c r="AL2109" s="1" t="s">
        <v>104</v>
      </c>
      <c r="AM2109" s="1" t="s">
        <v>104</v>
      </c>
      <c r="AO2109" s="1">
        <v>3</v>
      </c>
      <c r="AQ2109" s="1" t="s">
        <v>11081</v>
      </c>
      <c r="AR2109" s="1">
        <v>0</v>
      </c>
      <c r="AS2109" s="1">
        <v>0</v>
      </c>
      <c r="AT2109" s="1">
        <v>0</v>
      </c>
      <c r="AU2109" s="1">
        <v>0</v>
      </c>
      <c r="AV2109" s="1">
        <v>0</v>
      </c>
      <c r="AW2109" s="1">
        <v>0</v>
      </c>
      <c r="AX2109" s="1">
        <v>0</v>
      </c>
      <c r="AY2109" s="1">
        <v>0</v>
      </c>
      <c r="AZ2109" s="1">
        <v>0</v>
      </c>
      <c r="BA2109" s="1">
        <v>0</v>
      </c>
      <c r="BB2109" s="1">
        <v>0</v>
      </c>
      <c r="BC2109" s="1">
        <v>0</v>
      </c>
      <c r="BD2109" s="1">
        <v>0</v>
      </c>
      <c r="BE2109" s="1">
        <v>0</v>
      </c>
      <c r="BF2109" s="1">
        <v>0</v>
      </c>
      <c r="BG2109" s="1">
        <v>0</v>
      </c>
      <c r="BH2109" s="1">
        <v>0</v>
      </c>
      <c r="BI2109" s="1">
        <v>0</v>
      </c>
      <c r="BJ2109" s="1">
        <v>0</v>
      </c>
      <c r="BK2109" s="1">
        <v>1</v>
      </c>
      <c r="BL2109" s="1">
        <v>0</v>
      </c>
      <c r="BM2109" s="1">
        <v>0</v>
      </c>
      <c r="BN2109" s="1">
        <v>0</v>
      </c>
      <c r="BO2109" s="1">
        <v>0</v>
      </c>
      <c r="BP2109" s="1">
        <v>0</v>
      </c>
      <c r="BQ2109" s="1" t="s">
        <v>104</v>
      </c>
      <c r="BR2109" s="1">
        <v>2225</v>
      </c>
      <c r="BS2109" s="1" t="s">
        <v>104</v>
      </c>
      <c r="BX2109" s="1">
        <v>0</v>
      </c>
      <c r="BY2109" s="1" t="s">
        <v>104</v>
      </c>
      <c r="BZ2109" s="1" t="s">
        <v>104</v>
      </c>
      <c r="CA2109" s="1">
        <v>2</v>
      </c>
      <c r="CB2109" s="1">
        <v>1</v>
      </c>
      <c r="CC2109" s="1">
        <v>2</v>
      </c>
      <c r="CD2109" s="1" t="s">
        <v>104</v>
      </c>
      <c r="CE2109" s="1" t="s">
        <v>104</v>
      </c>
      <c r="CF2109" s="1" t="s">
        <v>104</v>
      </c>
      <c r="CG2109" s="1" t="s">
        <v>104</v>
      </c>
      <c r="CH2109" s="1" t="s">
        <v>104</v>
      </c>
      <c r="CJ2109" s="1">
        <v>0</v>
      </c>
      <c r="CK2109" s="1">
        <v>0</v>
      </c>
      <c r="CL2109" s="1">
        <v>0</v>
      </c>
      <c r="CM2109" s="1" t="s">
        <v>104</v>
      </c>
    </row>
    <row r="2110" spans="1:91" ht="14.25" customHeight="1" x14ac:dyDescent="0.3">
      <c r="A2110" s="1" t="s">
        <v>11082</v>
      </c>
      <c r="B2110" s="1" t="s">
        <v>507</v>
      </c>
      <c r="C2110" s="1" t="s">
        <v>1308</v>
      </c>
      <c r="D2110" s="1" t="s">
        <v>125</v>
      </c>
      <c r="E2110" s="1" t="s">
        <v>11083</v>
      </c>
      <c r="F2110" s="1" t="s">
        <v>95</v>
      </c>
      <c r="G2110" s="1" t="s">
        <v>116</v>
      </c>
      <c r="H2110" s="1">
        <v>0</v>
      </c>
      <c r="I2110" s="1" t="s">
        <v>109</v>
      </c>
      <c r="L2110" s="1" t="s">
        <v>417</v>
      </c>
      <c r="M2110" s="1" t="s">
        <v>426</v>
      </c>
      <c r="N2110" s="1">
        <v>1</v>
      </c>
      <c r="O2110" s="1">
        <v>0</v>
      </c>
      <c r="P2110" s="1" t="s">
        <v>11084</v>
      </c>
      <c r="Q2110" s="1" t="s">
        <v>184</v>
      </c>
      <c r="R2110" s="1" t="s">
        <v>11085</v>
      </c>
      <c r="S2110" s="1" t="s">
        <v>10570</v>
      </c>
      <c r="T2110" s="1">
        <v>1</v>
      </c>
      <c r="U2110" s="1">
        <v>1</v>
      </c>
      <c r="V2110" s="1">
        <v>0</v>
      </c>
      <c r="W2110" s="1">
        <v>0</v>
      </c>
      <c r="X2110" s="1">
        <v>0</v>
      </c>
      <c r="Y2110" s="1">
        <v>5</v>
      </c>
      <c r="Z2110" s="1">
        <v>5</v>
      </c>
      <c r="AA2110" s="1" t="s">
        <v>104</v>
      </c>
      <c r="AB2110" s="1" t="s">
        <v>104</v>
      </c>
      <c r="AC2110" s="1" t="s">
        <v>104</v>
      </c>
      <c r="AD2110" s="1">
        <v>4</v>
      </c>
      <c r="AE2110" s="1" t="s">
        <v>104</v>
      </c>
      <c r="AF2110" s="1" t="s">
        <v>104</v>
      </c>
      <c r="AG2110" s="1" t="s">
        <v>104</v>
      </c>
      <c r="AH2110" s="1" t="s">
        <v>104</v>
      </c>
      <c r="AI2110" s="1" t="s">
        <v>104</v>
      </c>
      <c r="AJ2110" s="1" t="s">
        <v>104</v>
      </c>
      <c r="AK2110" s="1" t="s">
        <v>104</v>
      </c>
      <c r="AL2110" s="1" t="s">
        <v>104</v>
      </c>
      <c r="AM2110" s="1" t="s">
        <v>104</v>
      </c>
      <c r="AO2110" s="1">
        <v>5</v>
      </c>
      <c r="AQ2110" s="1" t="s">
        <v>11086</v>
      </c>
      <c r="AR2110" s="1">
        <v>0</v>
      </c>
      <c r="AS2110" s="1">
        <v>0</v>
      </c>
      <c r="AT2110" s="1">
        <v>0</v>
      </c>
      <c r="AU2110" s="1">
        <v>0</v>
      </c>
      <c r="AV2110" s="1">
        <v>0</v>
      </c>
      <c r="AW2110" s="1">
        <v>0</v>
      </c>
      <c r="AX2110" s="1">
        <v>0</v>
      </c>
      <c r="AY2110" s="1">
        <v>0</v>
      </c>
      <c r="AZ2110" s="1">
        <v>0</v>
      </c>
      <c r="BA2110" s="1">
        <v>0</v>
      </c>
      <c r="BB2110" s="1">
        <v>0</v>
      </c>
      <c r="BC2110" s="1">
        <v>0</v>
      </c>
      <c r="BD2110" s="1">
        <v>0</v>
      </c>
      <c r="BE2110" s="1">
        <v>0</v>
      </c>
      <c r="BF2110" s="1">
        <v>0</v>
      </c>
      <c r="BG2110" s="1">
        <v>0</v>
      </c>
      <c r="BH2110" s="1">
        <v>0</v>
      </c>
      <c r="BI2110" s="1">
        <v>0</v>
      </c>
      <c r="BJ2110" s="1">
        <v>0</v>
      </c>
      <c r="BK2110" s="1">
        <v>1</v>
      </c>
      <c r="BL2110" s="1">
        <v>0</v>
      </c>
      <c r="BM2110" s="1">
        <v>0</v>
      </c>
      <c r="BN2110" s="1">
        <v>0</v>
      </c>
      <c r="BO2110" s="1">
        <v>0</v>
      </c>
      <c r="BP2110" s="1">
        <v>0</v>
      </c>
      <c r="BQ2110" s="1" t="s">
        <v>104</v>
      </c>
      <c r="BR2110" s="1">
        <v>2226</v>
      </c>
      <c r="BS2110" s="1" t="s">
        <v>104</v>
      </c>
      <c r="BX2110" s="1">
        <v>0</v>
      </c>
      <c r="BY2110" s="1" t="s">
        <v>104</v>
      </c>
      <c r="BZ2110" s="1" t="s">
        <v>104</v>
      </c>
      <c r="CA2110" s="1">
        <v>4</v>
      </c>
      <c r="CB2110" s="1">
        <v>2</v>
      </c>
      <c r="CC2110" s="1">
        <v>3</v>
      </c>
      <c r="CD2110" s="1" t="s">
        <v>104</v>
      </c>
      <c r="CE2110" s="1" t="s">
        <v>104</v>
      </c>
      <c r="CF2110" s="1" t="s">
        <v>104</v>
      </c>
      <c r="CG2110" s="1" t="s">
        <v>104</v>
      </c>
      <c r="CH2110" s="1" t="s">
        <v>104</v>
      </c>
      <c r="CJ2110" s="1">
        <v>0</v>
      </c>
      <c r="CK2110" s="1">
        <v>0</v>
      </c>
      <c r="CL2110" s="1">
        <v>0</v>
      </c>
      <c r="CM2110" s="1" t="s">
        <v>104</v>
      </c>
    </row>
    <row r="2111" spans="1:91" ht="14.25" customHeight="1" x14ac:dyDescent="0.3">
      <c r="A2111" s="1" t="s">
        <v>11087</v>
      </c>
      <c r="B2111" s="1" t="s">
        <v>507</v>
      </c>
      <c r="C2111" s="1" t="s">
        <v>1308</v>
      </c>
      <c r="D2111" s="1" t="s">
        <v>125</v>
      </c>
      <c r="E2111" s="1" t="s">
        <v>11088</v>
      </c>
      <c r="F2111" s="1" t="s">
        <v>95</v>
      </c>
      <c r="G2111" s="1" t="s">
        <v>116</v>
      </c>
      <c r="H2111" s="1">
        <v>0</v>
      </c>
      <c r="L2111" s="1" t="s">
        <v>1065</v>
      </c>
      <c r="M2111" s="1" t="s">
        <v>426</v>
      </c>
      <c r="N2111" s="1">
        <v>1</v>
      </c>
      <c r="O2111" s="1">
        <v>0</v>
      </c>
      <c r="P2111" s="1" t="s">
        <v>211</v>
      </c>
      <c r="Q2111" s="1" t="s">
        <v>184</v>
      </c>
      <c r="R2111" s="1" t="s">
        <v>11089</v>
      </c>
      <c r="S2111" s="1" t="s">
        <v>10570</v>
      </c>
      <c r="T2111" s="1">
        <v>1</v>
      </c>
      <c r="U2111" s="1">
        <v>1</v>
      </c>
      <c r="V2111" s="1">
        <v>0</v>
      </c>
      <c r="W2111" s="1">
        <v>0</v>
      </c>
      <c r="X2111" s="1">
        <v>0</v>
      </c>
      <c r="Y2111" s="1">
        <v>2</v>
      </c>
      <c r="Z2111" s="1">
        <v>2</v>
      </c>
      <c r="AA2111" s="1" t="s">
        <v>104</v>
      </c>
      <c r="AB2111" s="1" t="s">
        <v>104</v>
      </c>
      <c r="AC2111" s="1" t="s">
        <v>104</v>
      </c>
      <c r="AD2111" s="1">
        <v>2</v>
      </c>
      <c r="AE2111" s="1" t="s">
        <v>104</v>
      </c>
      <c r="AF2111" s="1" t="s">
        <v>104</v>
      </c>
      <c r="AG2111" s="1" t="s">
        <v>104</v>
      </c>
      <c r="AH2111" s="1">
        <v>2</v>
      </c>
      <c r="AI2111" s="1" t="s">
        <v>104</v>
      </c>
      <c r="AJ2111" s="1" t="s">
        <v>104</v>
      </c>
      <c r="AK2111" s="1" t="s">
        <v>104</v>
      </c>
      <c r="AL2111" s="1" t="s">
        <v>104</v>
      </c>
      <c r="AM2111" s="1" t="s">
        <v>104</v>
      </c>
      <c r="AO2111" s="1">
        <v>2</v>
      </c>
      <c r="AQ2111" s="1" t="s">
        <v>11090</v>
      </c>
      <c r="AR2111" s="1">
        <v>0</v>
      </c>
      <c r="AS2111" s="1">
        <v>0</v>
      </c>
      <c r="AT2111" s="1">
        <v>0</v>
      </c>
      <c r="AU2111" s="1">
        <v>0</v>
      </c>
      <c r="AV2111" s="1">
        <v>0</v>
      </c>
      <c r="AW2111" s="1">
        <v>0</v>
      </c>
      <c r="AX2111" s="1">
        <v>0</v>
      </c>
      <c r="AY2111" s="1">
        <v>0</v>
      </c>
      <c r="AZ2111" s="1">
        <v>0</v>
      </c>
      <c r="BA2111" s="1">
        <v>0</v>
      </c>
      <c r="BB2111" s="1">
        <v>0</v>
      </c>
      <c r="BC2111" s="1">
        <v>0</v>
      </c>
      <c r="BD2111" s="1">
        <v>0</v>
      </c>
      <c r="BE2111" s="1">
        <v>0</v>
      </c>
      <c r="BF2111" s="1">
        <v>0</v>
      </c>
      <c r="BG2111" s="1">
        <v>0</v>
      </c>
      <c r="BH2111" s="1">
        <v>0</v>
      </c>
      <c r="BI2111" s="1">
        <v>0</v>
      </c>
      <c r="BJ2111" s="1">
        <v>0</v>
      </c>
      <c r="BK2111" s="1">
        <v>1</v>
      </c>
      <c r="BL2111" s="1">
        <v>0</v>
      </c>
      <c r="BM2111" s="1">
        <v>0</v>
      </c>
      <c r="BN2111" s="1">
        <v>0</v>
      </c>
      <c r="BO2111" s="1">
        <v>0</v>
      </c>
      <c r="BP2111" s="1">
        <v>0</v>
      </c>
      <c r="BQ2111" s="1" t="s">
        <v>104</v>
      </c>
      <c r="BR2111" s="1">
        <v>2227</v>
      </c>
      <c r="BS2111" s="1" t="s">
        <v>104</v>
      </c>
      <c r="BX2111" s="1">
        <v>0</v>
      </c>
      <c r="BY2111" s="1" t="s">
        <v>104</v>
      </c>
      <c r="BZ2111" s="1" t="s">
        <v>104</v>
      </c>
      <c r="CA2111" s="1">
        <v>2</v>
      </c>
      <c r="CB2111" s="1">
        <v>1</v>
      </c>
      <c r="CC2111" s="1">
        <v>1</v>
      </c>
      <c r="CD2111" s="1" t="s">
        <v>104</v>
      </c>
      <c r="CE2111" s="1" t="s">
        <v>104</v>
      </c>
      <c r="CF2111" s="1" t="s">
        <v>104</v>
      </c>
      <c r="CG2111" s="1" t="s">
        <v>104</v>
      </c>
      <c r="CH2111" s="1" t="s">
        <v>104</v>
      </c>
      <c r="CJ2111" s="1">
        <v>0</v>
      </c>
      <c r="CK2111" s="1">
        <v>0</v>
      </c>
      <c r="CL2111" s="1">
        <v>0</v>
      </c>
      <c r="CM2111" s="1" t="s">
        <v>104</v>
      </c>
    </row>
    <row r="2112" spans="1:91" ht="14.25" customHeight="1" x14ac:dyDescent="0.3">
      <c r="A2112" s="1" t="s">
        <v>11091</v>
      </c>
      <c r="B2112" s="1" t="s">
        <v>137</v>
      </c>
      <c r="E2112" s="1" t="s">
        <v>11092</v>
      </c>
      <c r="F2112" s="1" t="s">
        <v>95</v>
      </c>
      <c r="G2112" s="1" t="s">
        <v>11093</v>
      </c>
      <c r="H2112" s="1">
        <v>0</v>
      </c>
      <c r="I2112" s="1" t="s">
        <v>117</v>
      </c>
      <c r="L2112" s="1" t="s">
        <v>1065</v>
      </c>
      <c r="M2112" s="1" t="s">
        <v>119</v>
      </c>
      <c r="N2112" s="1">
        <v>0</v>
      </c>
      <c r="O2112" s="1">
        <v>0</v>
      </c>
      <c r="P2112" s="1" t="s">
        <v>1568</v>
      </c>
      <c r="Q2112" s="1" t="s">
        <v>184</v>
      </c>
      <c r="R2112" s="1" t="s">
        <v>11094</v>
      </c>
      <c r="S2112" s="1" t="s">
        <v>10570</v>
      </c>
      <c r="T2112" s="1">
        <v>0</v>
      </c>
      <c r="U2112" s="1">
        <v>1</v>
      </c>
      <c r="V2112" s="1">
        <v>1</v>
      </c>
      <c r="W2112" s="1">
        <v>0</v>
      </c>
      <c r="X2112" s="1">
        <v>0</v>
      </c>
      <c r="Y2112" s="1">
        <v>5</v>
      </c>
      <c r="Z2112" s="1">
        <v>5</v>
      </c>
      <c r="AA2112" s="1" t="s">
        <v>104</v>
      </c>
      <c r="AB2112" s="1" t="s">
        <v>104</v>
      </c>
      <c r="AC2112" s="1" t="s">
        <v>104</v>
      </c>
      <c r="AD2112" s="1" t="s">
        <v>104</v>
      </c>
      <c r="AE2112" s="1" t="s">
        <v>104</v>
      </c>
      <c r="AF2112" s="1" t="s">
        <v>104</v>
      </c>
      <c r="AG2112" s="1" t="s">
        <v>104</v>
      </c>
      <c r="AH2112" s="1" t="s">
        <v>104</v>
      </c>
      <c r="AI2112" s="1" t="s">
        <v>104</v>
      </c>
      <c r="AJ2112" s="1" t="s">
        <v>104</v>
      </c>
      <c r="AK2112" s="1" t="s">
        <v>104</v>
      </c>
      <c r="AL2112" s="1">
        <v>5</v>
      </c>
      <c r="AM2112" s="1" t="s">
        <v>104</v>
      </c>
      <c r="AO2112" s="1">
        <v>5</v>
      </c>
      <c r="AQ2112" s="1" t="s">
        <v>11095</v>
      </c>
      <c r="AR2112" s="1">
        <v>0</v>
      </c>
      <c r="AS2112" s="1">
        <v>0</v>
      </c>
      <c r="AT2112" s="1">
        <v>0</v>
      </c>
      <c r="AU2112" s="1">
        <v>0</v>
      </c>
      <c r="AV2112" s="1">
        <v>0</v>
      </c>
      <c r="AW2112" s="1">
        <v>0</v>
      </c>
      <c r="AX2112" s="1">
        <v>0</v>
      </c>
      <c r="AY2112" s="1">
        <v>0</v>
      </c>
      <c r="AZ2112" s="1">
        <v>0</v>
      </c>
      <c r="BA2112" s="1">
        <v>0</v>
      </c>
      <c r="BB2112" s="1">
        <v>0</v>
      </c>
      <c r="BC2112" s="1">
        <v>0</v>
      </c>
      <c r="BD2112" s="1">
        <v>0</v>
      </c>
      <c r="BE2112" s="1">
        <v>0</v>
      </c>
      <c r="BF2112" s="1">
        <v>0</v>
      </c>
      <c r="BG2112" s="1">
        <v>0</v>
      </c>
      <c r="BH2112" s="1">
        <v>0</v>
      </c>
      <c r="BI2112" s="1">
        <v>0</v>
      </c>
      <c r="BJ2112" s="1">
        <v>0</v>
      </c>
      <c r="BK2112" s="1">
        <v>0</v>
      </c>
      <c r="BL2112" s="1">
        <v>0</v>
      </c>
      <c r="BM2112" s="1">
        <v>0</v>
      </c>
      <c r="BN2112" s="1">
        <v>0</v>
      </c>
      <c r="BO2112" s="1">
        <v>0</v>
      </c>
      <c r="BP2112" s="1">
        <v>0</v>
      </c>
      <c r="BQ2112" s="1" t="s">
        <v>104</v>
      </c>
      <c r="BR2112" s="1">
        <v>2228</v>
      </c>
      <c r="BS2112" s="1" t="s">
        <v>104</v>
      </c>
      <c r="BX2112" s="1">
        <v>0</v>
      </c>
      <c r="BY2112" s="1" t="s">
        <v>104</v>
      </c>
      <c r="BZ2112" s="1" t="s">
        <v>104</v>
      </c>
      <c r="CA2112" s="1" t="s">
        <v>104</v>
      </c>
      <c r="CB2112" s="1" t="s">
        <v>104</v>
      </c>
      <c r="CC2112" s="1" t="s">
        <v>104</v>
      </c>
      <c r="CD2112" s="1">
        <v>4</v>
      </c>
      <c r="CE2112" s="1" t="s">
        <v>104</v>
      </c>
      <c r="CF2112" s="1" t="s">
        <v>104</v>
      </c>
      <c r="CG2112" s="1" t="s">
        <v>104</v>
      </c>
      <c r="CH2112" s="1" t="s">
        <v>104</v>
      </c>
      <c r="CJ2112" s="1">
        <v>0</v>
      </c>
      <c r="CK2112" s="1">
        <v>0</v>
      </c>
      <c r="CL2112" s="1">
        <v>0</v>
      </c>
      <c r="CM2112" s="1" t="s">
        <v>104</v>
      </c>
    </row>
    <row r="2113" spans="1:91" ht="14.25" customHeight="1" x14ac:dyDescent="0.3">
      <c r="A2113" s="1" t="s">
        <v>11096</v>
      </c>
      <c r="B2113" s="1" t="s">
        <v>507</v>
      </c>
      <c r="C2113" s="1" t="s">
        <v>1308</v>
      </c>
      <c r="D2113" s="1" t="s">
        <v>125</v>
      </c>
      <c r="E2113" s="1" t="s">
        <v>11097</v>
      </c>
      <c r="F2113" s="1" t="s">
        <v>95</v>
      </c>
      <c r="G2113" s="1" t="s">
        <v>11098</v>
      </c>
      <c r="H2113" s="1">
        <v>0</v>
      </c>
      <c r="I2113" s="1" t="s">
        <v>128</v>
      </c>
      <c r="L2113" s="1" t="s">
        <v>374</v>
      </c>
      <c r="M2113" s="1" t="s">
        <v>2330</v>
      </c>
      <c r="N2113" s="1">
        <v>0</v>
      </c>
      <c r="O2113" s="1">
        <v>0</v>
      </c>
      <c r="P2113" s="1" t="s">
        <v>9551</v>
      </c>
      <c r="Q2113" s="1" t="s">
        <v>5813</v>
      </c>
      <c r="R2113" s="1" t="s">
        <v>11099</v>
      </c>
      <c r="S2113" s="1" t="s">
        <v>10570</v>
      </c>
      <c r="T2113" s="1">
        <v>1</v>
      </c>
      <c r="U2113" s="1">
        <v>0</v>
      </c>
      <c r="V2113" s="1">
        <v>1</v>
      </c>
      <c r="W2113" s="1">
        <v>0</v>
      </c>
      <c r="X2113" s="1">
        <v>0</v>
      </c>
      <c r="Y2113" s="1" t="s">
        <v>104</v>
      </c>
      <c r="Z2113" s="1" t="s">
        <v>104</v>
      </c>
      <c r="AA2113" s="1" t="s">
        <v>104</v>
      </c>
      <c r="AB2113" s="1" t="s">
        <v>104</v>
      </c>
      <c r="AC2113" s="1" t="s">
        <v>104</v>
      </c>
      <c r="AD2113" s="1" t="s">
        <v>104</v>
      </c>
      <c r="AE2113" s="1" t="s">
        <v>104</v>
      </c>
      <c r="AF2113" s="1" t="s">
        <v>104</v>
      </c>
      <c r="AG2113" s="1" t="s">
        <v>104</v>
      </c>
      <c r="AH2113" s="1" t="s">
        <v>104</v>
      </c>
      <c r="AI2113" s="1" t="s">
        <v>104</v>
      </c>
      <c r="AJ2113" s="1" t="s">
        <v>104</v>
      </c>
      <c r="AK2113" s="1" t="s">
        <v>104</v>
      </c>
      <c r="AL2113" s="1" t="s">
        <v>104</v>
      </c>
      <c r="AM2113" s="1" t="s">
        <v>104</v>
      </c>
      <c r="AO2113" s="1">
        <v>2</v>
      </c>
      <c r="AQ2113" s="1" t="s">
        <v>11100</v>
      </c>
      <c r="AR2113" s="1">
        <v>0</v>
      </c>
      <c r="AS2113" s="1">
        <v>0</v>
      </c>
      <c r="AT2113" s="1">
        <v>0</v>
      </c>
      <c r="AU2113" s="1">
        <v>0</v>
      </c>
      <c r="AV2113" s="1">
        <v>0</v>
      </c>
      <c r="AW2113" s="1">
        <v>0</v>
      </c>
      <c r="AX2113" s="1">
        <v>0</v>
      </c>
      <c r="AY2113" s="1">
        <v>0</v>
      </c>
      <c r="AZ2113" s="1">
        <v>0</v>
      </c>
      <c r="BA2113" s="1">
        <v>0</v>
      </c>
      <c r="BB2113" s="1">
        <v>0</v>
      </c>
      <c r="BC2113" s="1">
        <v>0</v>
      </c>
      <c r="BD2113" s="1">
        <v>0</v>
      </c>
      <c r="BE2113" s="1">
        <v>0</v>
      </c>
      <c r="BF2113" s="1">
        <v>0</v>
      </c>
      <c r="BG2113" s="1">
        <v>0</v>
      </c>
      <c r="BH2113" s="1">
        <v>0</v>
      </c>
      <c r="BI2113" s="1">
        <v>0</v>
      </c>
      <c r="BJ2113" s="1">
        <v>0</v>
      </c>
      <c r="BK2113" s="1">
        <v>1</v>
      </c>
      <c r="BL2113" s="1">
        <v>0</v>
      </c>
      <c r="BM2113" s="1">
        <v>0</v>
      </c>
      <c r="BN2113" s="1">
        <v>0</v>
      </c>
      <c r="BO2113" s="1">
        <v>0</v>
      </c>
      <c r="BP2113" s="1">
        <v>0</v>
      </c>
      <c r="BQ2113" s="1" t="s">
        <v>104</v>
      </c>
      <c r="BR2113" s="1">
        <v>2229</v>
      </c>
      <c r="BS2113" s="1" t="s">
        <v>104</v>
      </c>
      <c r="BX2113" s="1">
        <v>0</v>
      </c>
      <c r="BY2113" s="1" t="s">
        <v>104</v>
      </c>
      <c r="BZ2113" s="1" t="s">
        <v>104</v>
      </c>
      <c r="CA2113" s="1">
        <v>2</v>
      </c>
      <c r="CB2113" s="1">
        <v>2</v>
      </c>
      <c r="CC2113" s="1">
        <v>2</v>
      </c>
      <c r="CD2113" s="1" t="s">
        <v>104</v>
      </c>
      <c r="CE2113" s="1" t="s">
        <v>104</v>
      </c>
      <c r="CF2113" s="1" t="s">
        <v>104</v>
      </c>
      <c r="CG2113" s="1" t="s">
        <v>104</v>
      </c>
      <c r="CH2113" s="1" t="s">
        <v>104</v>
      </c>
      <c r="CJ2113" s="1">
        <v>0</v>
      </c>
      <c r="CK2113" s="1">
        <v>0</v>
      </c>
      <c r="CL2113" s="1">
        <v>0</v>
      </c>
      <c r="CM2113" s="1" t="s">
        <v>104</v>
      </c>
    </row>
    <row r="2114" spans="1:91" ht="14.25" customHeight="1" x14ac:dyDescent="0.3">
      <c r="A2114" s="1" t="s">
        <v>11101</v>
      </c>
      <c r="B2114" s="1" t="s">
        <v>216</v>
      </c>
      <c r="E2114" s="1" t="s">
        <v>11102</v>
      </c>
      <c r="F2114" s="1" t="s">
        <v>95</v>
      </c>
      <c r="G2114" s="1" t="s">
        <v>116</v>
      </c>
      <c r="H2114" s="1">
        <v>0</v>
      </c>
      <c r="I2114" s="1" t="s">
        <v>109</v>
      </c>
      <c r="L2114" s="1" t="s">
        <v>1065</v>
      </c>
      <c r="M2114" s="1" t="s">
        <v>620</v>
      </c>
      <c r="N2114" s="1">
        <v>1</v>
      </c>
      <c r="O2114" s="1">
        <v>0</v>
      </c>
      <c r="P2114" s="1" t="s">
        <v>211</v>
      </c>
      <c r="Q2114" s="1" t="s">
        <v>184</v>
      </c>
      <c r="R2114" s="1" t="s">
        <v>11103</v>
      </c>
      <c r="S2114" s="1" t="s">
        <v>10570</v>
      </c>
      <c r="T2114" s="1">
        <v>1</v>
      </c>
      <c r="U2114" s="1">
        <v>1</v>
      </c>
      <c r="V2114" s="1">
        <v>0</v>
      </c>
      <c r="W2114" s="1">
        <v>0</v>
      </c>
      <c r="X2114" s="1">
        <v>0</v>
      </c>
      <c r="Y2114" s="1">
        <v>5</v>
      </c>
      <c r="Z2114" s="1">
        <v>5</v>
      </c>
      <c r="AA2114" s="1" t="s">
        <v>104</v>
      </c>
      <c r="AB2114" s="1" t="s">
        <v>104</v>
      </c>
      <c r="AC2114" s="1" t="s">
        <v>104</v>
      </c>
      <c r="AD2114" s="1" t="s">
        <v>104</v>
      </c>
      <c r="AE2114" s="1" t="s">
        <v>104</v>
      </c>
      <c r="AF2114" s="1" t="s">
        <v>104</v>
      </c>
      <c r="AG2114" s="1">
        <v>5</v>
      </c>
      <c r="AH2114" s="1">
        <v>5</v>
      </c>
      <c r="AI2114" s="1" t="s">
        <v>104</v>
      </c>
      <c r="AJ2114" s="1" t="s">
        <v>104</v>
      </c>
      <c r="AK2114" s="1" t="s">
        <v>104</v>
      </c>
      <c r="AL2114" s="1" t="s">
        <v>104</v>
      </c>
      <c r="AM2114" s="1" t="s">
        <v>104</v>
      </c>
      <c r="AO2114" s="1">
        <v>5</v>
      </c>
      <c r="AQ2114" s="1" t="s">
        <v>11104</v>
      </c>
      <c r="AR2114" s="1">
        <v>0</v>
      </c>
      <c r="AS2114" s="1">
        <v>0</v>
      </c>
      <c r="AT2114" s="1">
        <v>0</v>
      </c>
      <c r="AU2114" s="1">
        <v>0</v>
      </c>
      <c r="AV2114" s="1">
        <v>0</v>
      </c>
      <c r="AW2114" s="1">
        <v>0</v>
      </c>
      <c r="AX2114" s="1">
        <v>0</v>
      </c>
      <c r="AY2114" s="1">
        <v>0</v>
      </c>
      <c r="AZ2114" s="1">
        <v>0</v>
      </c>
      <c r="BA2114" s="1">
        <v>0</v>
      </c>
      <c r="BB2114" s="1">
        <v>0</v>
      </c>
      <c r="BC2114" s="1">
        <v>0</v>
      </c>
      <c r="BD2114" s="1">
        <v>0</v>
      </c>
      <c r="BE2114" s="1">
        <v>0</v>
      </c>
      <c r="BF2114" s="1">
        <v>0</v>
      </c>
      <c r="BG2114" s="1">
        <v>0</v>
      </c>
      <c r="BH2114" s="1">
        <v>0</v>
      </c>
      <c r="BI2114" s="1">
        <v>0</v>
      </c>
      <c r="BJ2114" s="1">
        <v>0</v>
      </c>
      <c r="BK2114" s="1">
        <v>0</v>
      </c>
      <c r="BL2114" s="1">
        <v>0</v>
      </c>
      <c r="BM2114" s="1">
        <v>0</v>
      </c>
      <c r="BN2114" s="1">
        <v>0</v>
      </c>
      <c r="BO2114" s="1">
        <v>0</v>
      </c>
      <c r="BP2114" s="1">
        <v>0</v>
      </c>
      <c r="BQ2114" s="1" t="s">
        <v>104</v>
      </c>
      <c r="BR2114" s="1">
        <v>2230</v>
      </c>
      <c r="BS2114" s="1" t="s">
        <v>104</v>
      </c>
      <c r="BX2114" s="1">
        <v>0</v>
      </c>
      <c r="BY2114" s="1" t="s">
        <v>104</v>
      </c>
      <c r="BZ2114" s="1" t="s">
        <v>104</v>
      </c>
      <c r="CA2114" s="1">
        <v>5</v>
      </c>
      <c r="CB2114" s="1">
        <v>3</v>
      </c>
      <c r="CC2114" s="1">
        <v>5</v>
      </c>
      <c r="CD2114" s="1">
        <v>4</v>
      </c>
      <c r="CE2114" s="1">
        <v>4</v>
      </c>
      <c r="CF2114" s="1" t="s">
        <v>104</v>
      </c>
      <c r="CG2114" s="1" t="s">
        <v>104</v>
      </c>
      <c r="CH2114" s="1" t="s">
        <v>104</v>
      </c>
      <c r="CJ2114" s="1">
        <v>0</v>
      </c>
      <c r="CK2114" s="1">
        <v>0</v>
      </c>
      <c r="CL2114" s="1">
        <v>0</v>
      </c>
      <c r="CM2114" s="1">
        <v>5</v>
      </c>
    </row>
    <row r="2115" spans="1:91" ht="14.25" customHeight="1" x14ac:dyDescent="0.3">
      <c r="A2115" s="1" t="s">
        <v>11105</v>
      </c>
      <c r="B2115" s="1" t="s">
        <v>216</v>
      </c>
      <c r="E2115" s="1" t="s">
        <v>11106</v>
      </c>
      <c r="F2115" s="1" t="s">
        <v>95</v>
      </c>
      <c r="G2115" s="1" t="s">
        <v>116</v>
      </c>
      <c r="H2115" s="1">
        <v>0</v>
      </c>
      <c r="I2115" s="1" t="s">
        <v>109</v>
      </c>
      <c r="L2115" s="1" t="s">
        <v>1065</v>
      </c>
      <c r="M2115" s="1" t="s">
        <v>620</v>
      </c>
      <c r="N2115" s="1">
        <v>1</v>
      </c>
      <c r="O2115" s="1">
        <v>0</v>
      </c>
      <c r="P2115" s="1" t="s">
        <v>211</v>
      </c>
      <c r="Q2115" s="1" t="s">
        <v>184</v>
      </c>
      <c r="R2115" s="1" t="s">
        <v>11107</v>
      </c>
      <c r="S2115" s="1" t="s">
        <v>10570</v>
      </c>
      <c r="T2115" s="1">
        <v>1</v>
      </c>
      <c r="U2115" s="1">
        <v>1</v>
      </c>
      <c r="V2115" s="1">
        <v>0</v>
      </c>
      <c r="W2115" s="1">
        <v>0</v>
      </c>
      <c r="X2115" s="1">
        <v>0</v>
      </c>
      <c r="Y2115" s="1">
        <v>8</v>
      </c>
      <c r="Z2115" s="1">
        <v>8</v>
      </c>
      <c r="AA2115" s="1" t="s">
        <v>104</v>
      </c>
      <c r="AB2115" s="1" t="s">
        <v>104</v>
      </c>
      <c r="AC2115" s="1" t="s">
        <v>104</v>
      </c>
      <c r="AD2115" s="1" t="s">
        <v>104</v>
      </c>
      <c r="AE2115" s="1" t="s">
        <v>104</v>
      </c>
      <c r="AF2115" s="1" t="s">
        <v>104</v>
      </c>
      <c r="AG2115" s="1" t="s">
        <v>104</v>
      </c>
      <c r="AH2115" s="1">
        <v>8</v>
      </c>
      <c r="AI2115" s="1" t="s">
        <v>104</v>
      </c>
      <c r="AJ2115" s="1" t="s">
        <v>104</v>
      </c>
      <c r="AK2115" s="1" t="s">
        <v>104</v>
      </c>
      <c r="AL2115" s="1" t="s">
        <v>104</v>
      </c>
      <c r="AM2115" s="1" t="s">
        <v>104</v>
      </c>
      <c r="AO2115" s="1">
        <v>8</v>
      </c>
      <c r="AQ2115" s="1" t="s">
        <v>11108</v>
      </c>
      <c r="AR2115" s="1">
        <v>0</v>
      </c>
      <c r="AS2115" s="1">
        <v>0</v>
      </c>
      <c r="AT2115" s="1">
        <v>0</v>
      </c>
      <c r="AU2115" s="1">
        <v>0</v>
      </c>
      <c r="AV2115" s="1">
        <v>0</v>
      </c>
      <c r="AW2115" s="1">
        <v>0</v>
      </c>
      <c r="AX2115" s="1">
        <v>0</v>
      </c>
      <c r="AY2115" s="1">
        <v>0</v>
      </c>
      <c r="AZ2115" s="1">
        <v>0</v>
      </c>
      <c r="BA2115" s="1">
        <v>0</v>
      </c>
      <c r="BB2115" s="1">
        <v>0</v>
      </c>
      <c r="BC2115" s="1">
        <v>0</v>
      </c>
      <c r="BD2115" s="1">
        <v>0</v>
      </c>
      <c r="BE2115" s="1">
        <v>0</v>
      </c>
      <c r="BF2115" s="1">
        <v>0</v>
      </c>
      <c r="BG2115" s="1">
        <v>0</v>
      </c>
      <c r="BH2115" s="1">
        <v>0</v>
      </c>
      <c r="BI2115" s="1">
        <v>0</v>
      </c>
      <c r="BJ2115" s="1">
        <v>0</v>
      </c>
      <c r="BK2115" s="1">
        <v>0</v>
      </c>
      <c r="BL2115" s="1">
        <v>0</v>
      </c>
      <c r="BM2115" s="1">
        <v>0</v>
      </c>
      <c r="BN2115" s="1">
        <v>0</v>
      </c>
      <c r="BO2115" s="1">
        <v>0</v>
      </c>
      <c r="BP2115" s="1">
        <v>0</v>
      </c>
      <c r="BQ2115" s="1" t="s">
        <v>104</v>
      </c>
      <c r="BR2115" s="1">
        <v>2231</v>
      </c>
      <c r="BS2115" s="1" t="s">
        <v>104</v>
      </c>
      <c r="BX2115" s="1">
        <v>0</v>
      </c>
      <c r="BY2115" s="1" t="s">
        <v>104</v>
      </c>
      <c r="BZ2115" s="1" t="s">
        <v>104</v>
      </c>
      <c r="CA2115" s="1">
        <v>8</v>
      </c>
      <c r="CB2115" s="1" t="s">
        <v>104</v>
      </c>
      <c r="CC2115" s="1" t="s">
        <v>104</v>
      </c>
      <c r="CD2115" s="1">
        <v>6</v>
      </c>
      <c r="CE2115" s="1">
        <v>6</v>
      </c>
      <c r="CF2115" s="1" t="s">
        <v>104</v>
      </c>
      <c r="CG2115" s="1" t="s">
        <v>104</v>
      </c>
      <c r="CH2115" s="1" t="s">
        <v>104</v>
      </c>
      <c r="CJ2115" s="1">
        <v>0</v>
      </c>
      <c r="CK2115" s="1">
        <v>0</v>
      </c>
      <c r="CL2115" s="1">
        <v>0</v>
      </c>
      <c r="CM2115" s="1" t="s">
        <v>104</v>
      </c>
    </row>
    <row r="2116" spans="1:91" ht="14.25" customHeight="1" x14ac:dyDescent="0.3">
      <c r="A2116" s="1" t="s">
        <v>11109</v>
      </c>
      <c r="B2116" s="1" t="s">
        <v>123</v>
      </c>
      <c r="C2116" s="1" t="s">
        <v>124</v>
      </c>
      <c r="D2116" s="1" t="s">
        <v>125</v>
      </c>
      <c r="E2116" s="1" t="s">
        <v>11110</v>
      </c>
      <c r="F2116" s="1" t="s">
        <v>95</v>
      </c>
      <c r="G2116" s="1" t="s">
        <v>1802</v>
      </c>
      <c r="H2116" s="1">
        <v>0</v>
      </c>
      <c r="I2116" s="1" t="s">
        <v>117</v>
      </c>
      <c r="L2116" s="1" t="s">
        <v>11111</v>
      </c>
      <c r="M2116" s="1" t="s">
        <v>2330</v>
      </c>
      <c r="N2116" s="1">
        <v>0</v>
      </c>
      <c r="O2116" s="1">
        <v>0</v>
      </c>
      <c r="P2116" s="1" t="s">
        <v>211</v>
      </c>
      <c r="Q2116" s="1" t="s">
        <v>184</v>
      </c>
      <c r="R2116" s="1" t="s">
        <v>11112</v>
      </c>
      <c r="S2116" s="1" t="s">
        <v>10570</v>
      </c>
      <c r="T2116" s="1">
        <v>0</v>
      </c>
      <c r="U2116" s="1">
        <v>1</v>
      </c>
      <c r="V2116" s="1">
        <v>0</v>
      </c>
      <c r="W2116" s="1">
        <v>0</v>
      </c>
      <c r="X2116" s="1">
        <v>0</v>
      </c>
      <c r="Y2116" s="1" t="s">
        <v>104</v>
      </c>
      <c r="Z2116" s="1" t="s">
        <v>104</v>
      </c>
      <c r="AA2116" s="1" t="s">
        <v>104</v>
      </c>
      <c r="AB2116" s="1">
        <v>6</v>
      </c>
      <c r="AC2116" s="1" t="s">
        <v>104</v>
      </c>
      <c r="AD2116" s="1" t="s">
        <v>104</v>
      </c>
      <c r="AE2116" s="1" t="s">
        <v>104</v>
      </c>
      <c r="AF2116" s="1" t="s">
        <v>104</v>
      </c>
      <c r="AG2116" s="1" t="s">
        <v>104</v>
      </c>
      <c r="AH2116" s="1">
        <v>7</v>
      </c>
      <c r="AI2116" s="1" t="s">
        <v>104</v>
      </c>
      <c r="AJ2116" s="1" t="s">
        <v>104</v>
      </c>
      <c r="AK2116" s="1" t="s">
        <v>104</v>
      </c>
      <c r="AL2116" s="1" t="s">
        <v>104</v>
      </c>
      <c r="AM2116" s="1" t="s">
        <v>104</v>
      </c>
      <c r="AO2116" s="1">
        <v>6</v>
      </c>
      <c r="AQ2116" s="1" t="s">
        <v>11113</v>
      </c>
      <c r="AR2116" s="1">
        <v>0</v>
      </c>
      <c r="AS2116" s="1">
        <v>0</v>
      </c>
      <c r="AT2116" s="1">
        <v>0</v>
      </c>
      <c r="AU2116" s="1">
        <v>0</v>
      </c>
      <c r="AV2116" s="1">
        <v>0</v>
      </c>
      <c r="AW2116" s="1">
        <v>0</v>
      </c>
      <c r="AX2116" s="1">
        <v>0</v>
      </c>
      <c r="AY2116" s="1">
        <v>0</v>
      </c>
      <c r="AZ2116" s="1">
        <v>0</v>
      </c>
      <c r="BA2116" s="1">
        <v>0</v>
      </c>
      <c r="BB2116" s="1">
        <v>0</v>
      </c>
      <c r="BC2116" s="1">
        <v>0</v>
      </c>
      <c r="BD2116" s="1">
        <v>0</v>
      </c>
      <c r="BE2116" s="1">
        <v>0</v>
      </c>
      <c r="BF2116" s="1">
        <v>0</v>
      </c>
      <c r="BG2116" s="1">
        <v>0</v>
      </c>
      <c r="BH2116" s="1">
        <v>0</v>
      </c>
      <c r="BI2116" s="1">
        <v>0</v>
      </c>
      <c r="BJ2116" s="1">
        <v>0</v>
      </c>
      <c r="BK2116" s="1">
        <v>1</v>
      </c>
      <c r="BL2116" s="1">
        <v>0</v>
      </c>
      <c r="BM2116" s="1">
        <v>0</v>
      </c>
      <c r="BN2116" s="1">
        <v>0</v>
      </c>
      <c r="BO2116" s="1">
        <v>0</v>
      </c>
      <c r="BP2116" s="1">
        <v>0</v>
      </c>
      <c r="BQ2116" s="1" t="s">
        <v>104</v>
      </c>
      <c r="BR2116" s="1">
        <v>2232</v>
      </c>
      <c r="BS2116" s="1" t="s">
        <v>104</v>
      </c>
      <c r="BX2116" s="1">
        <v>0</v>
      </c>
      <c r="BY2116" s="1" t="s">
        <v>104</v>
      </c>
      <c r="BZ2116" s="1">
        <v>6</v>
      </c>
      <c r="CA2116" s="1">
        <v>6</v>
      </c>
      <c r="CB2116" s="1" t="s">
        <v>104</v>
      </c>
      <c r="CC2116" s="1">
        <v>5</v>
      </c>
      <c r="CD2116" s="1" t="s">
        <v>104</v>
      </c>
      <c r="CE2116" s="1" t="s">
        <v>104</v>
      </c>
      <c r="CF2116" s="1" t="s">
        <v>104</v>
      </c>
      <c r="CG2116" s="1" t="s">
        <v>104</v>
      </c>
      <c r="CH2116" s="1">
        <v>6</v>
      </c>
      <c r="CJ2116" s="1">
        <v>0</v>
      </c>
      <c r="CK2116" s="1">
        <v>0</v>
      </c>
      <c r="CL2116" s="1">
        <v>0</v>
      </c>
      <c r="CM2116" s="1" t="s">
        <v>104</v>
      </c>
    </row>
    <row r="2117" spans="1:91" ht="14.25" customHeight="1" x14ac:dyDescent="0.3">
      <c r="A2117" s="1" t="s">
        <v>11114</v>
      </c>
      <c r="B2117" s="1" t="s">
        <v>507</v>
      </c>
      <c r="C2117" s="1" t="s">
        <v>1308</v>
      </c>
      <c r="D2117" s="1" t="s">
        <v>125</v>
      </c>
      <c r="E2117" s="1" t="s">
        <v>11115</v>
      </c>
      <c r="F2117" s="1" t="s">
        <v>4934</v>
      </c>
      <c r="G2117" s="1" t="s">
        <v>116</v>
      </c>
      <c r="H2117" s="1">
        <v>0</v>
      </c>
      <c r="I2117" s="1" t="s">
        <v>157</v>
      </c>
      <c r="L2117" s="1" t="s">
        <v>158</v>
      </c>
      <c r="M2117" s="1" t="s">
        <v>723</v>
      </c>
      <c r="N2117" s="1">
        <v>0</v>
      </c>
      <c r="O2117" s="1">
        <v>0</v>
      </c>
      <c r="P2117" s="1" t="s">
        <v>100</v>
      </c>
      <c r="Q2117" s="1" t="s">
        <v>101</v>
      </c>
      <c r="R2117" s="1" t="s">
        <v>11116</v>
      </c>
      <c r="S2117" s="1" t="s">
        <v>10570</v>
      </c>
      <c r="T2117" s="1">
        <v>1</v>
      </c>
      <c r="U2117" s="1">
        <v>1</v>
      </c>
      <c r="V2117" s="1">
        <v>0</v>
      </c>
      <c r="W2117" s="1">
        <v>0</v>
      </c>
      <c r="X2117" s="1">
        <v>0</v>
      </c>
      <c r="Y2117" s="1">
        <v>6</v>
      </c>
      <c r="Z2117" s="1">
        <v>6</v>
      </c>
      <c r="AA2117" s="1" t="s">
        <v>104</v>
      </c>
      <c r="AB2117" s="1" t="s">
        <v>104</v>
      </c>
      <c r="AC2117" s="1" t="s">
        <v>104</v>
      </c>
      <c r="AD2117" s="1" t="s">
        <v>104</v>
      </c>
      <c r="AE2117" s="1" t="s">
        <v>104</v>
      </c>
      <c r="AF2117" s="1" t="s">
        <v>104</v>
      </c>
      <c r="AG2117" s="1" t="s">
        <v>104</v>
      </c>
      <c r="AH2117" s="1" t="s">
        <v>104</v>
      </c>
      <c r="AI2117" s="1" t="s">
        <v>104</v>
      </c>
      <c r="AJ2117" s="1" t="s">
        <v>104</v>
      </c>
      <c r="AK2117" s="1" t="s">
        <v>104</v>
      </c>
      <c r="AL2117" s="1" t="s">
        <v>104</v>
      </c>
      <c r="AM2117" s="1" t="s">
        <v>104</v>
      </c>
      <c r="AO2117" s="1">
        <v>6</v>
      </c>
      <c r="AQ2117" s="1" t="s">
        <v>11117</v>
      </c>
      <c r="AR2117" s="1">
        <v>0</v>
      </c>
      <c r="AS2117" s="1">
        <v>0</v>
      </c>
      <c r="AT2117" s="1">
        <v>0</v>
      </c>
      <c r="AU2117" s="1">
        <v>0</v>
      </c>
      <c r="AV2117" s="1">
        <v>0</v>
      </c>
      <c r="AW2117" s="1">
        <v>0</v>
      </c>
      <c r="AX2117" s="1">
        <v>0</v>
      </c>
      <c r="AY2117" s="1">
        <v>0</v>
      </c>
      <c r="AZ2117" s="1">
        <v>0</v>
      </c>
      <c r="BA2117" s="1">
        <v>0</v>
      </c>
      <c r="BB2117" s="1">
        <v>0</v>
      </c>
      <c r="BC2117" s="1">
        <v>0</v>
      </c>
      <c r="BD2117" s="1">
        <v>0</v>
      </c>
      <c r="BE2117" s="1">
        <v>0</v>
      </c>
      <c r="BF2117" s="1">
        <v>0</v>
      </c>
      <c r="BG2117" s="1">
        <v>0</v>
      </c>
      <c r="BH2117" s="1">
        <v>0</v>
      </c>
      <c r="BI2117" s="1">
        <v>0</v>
      </c>
      <c r="BJ2117" s="1">
        <v>0</v>
      </c>
      <c r="BK2117" s="1">
        <v>1</v>
      </c>
      <c r="BL2117" s="1">
        <v>0</v>
      </c>
      <c r="BM2117" s="1">
        <v>0</v>
      </c>
      <c r="BN2117" s="1">
        <v>0</v>
      </c>
      <c r="BO2117" s="1">
        <v>0</v>
      </c>
      <c r="BP2117" s="1">
        <v>0</v>
      </c>
      <c r="BQ2117" s="1" t="s">
        <v>104</v>
      </c>
      <c r="BR2117" s="1">
        <v>2233</v>
      </c>
      <c r="BS2117" s="1" t="s">
        <v>104</v>
      </c>
      <c r="BU2117" s="1" t="s">
        <v>11118</v>
      </c>
      <c r="BX2117" s="1">
        <v>0</v>
      </c>
      <c r="BY2117" s="1" t="s">
        <v>104</v>
      </c>
      <c r="BZ2117" s="1" t="s">
        <v>104</v>
      </c>
      <c r="CA2117" s="1">
        <v>5</v>
      </c>
      <c r="CB2117" s="1" t="s">
        <v>104</v>
      </c>
      <c r="CC2117" s="1">
        <v>5</v>
      </c>
      <c r="CD2117" s="1" t="s">
        <v>104</v>
      </c>
      <c r="CE2117" s="1" t="s">
        <v>104</v>
      </c>
      <c r="CF2117" s="1" t="s">
        <v>104</v>
      </c>
      <c r="CG2117" s="1" t="s">
        <v>104</v>
      </c>
      <c r="CH2117" s="1" t="s">
        <v>104</v>
      </c>
      <c r="CJ2117" s="1">
        <v>0</v>
      </c>
      <c r="CK2117" s="1">
        <v>0</v>
      </c>
      <c r="CL2117" s="1">
        <v>0</v>
      </c>
      <c r="CM2117" s="1" t="s">
        <v>104</v>
      </c>
    </row>
    <row r="2118" spans="1:91" ht="14.25" customHeight="1" x14ac:dyDescent="0.3">
      <c r="A2118" s="1" t="s">
        <v>11119</v>
      </c>
      <c r="B2118" s="1" t="s">
        <v>216</v>
      </c>
      <c r="D2118" s="1" t="s">
        <v>125</v>
      </c>
      <c r="E2118" s="1" t="s">
        <v>10855</v>
      </c>
      <c r="F2118" s="1" t="s">
        <v>95</v>
      </c>
      <c r="G2118" s="1" t="s">
        <v>1802</v>
      </c>
      <c r="H2118" s="1">
        <v>0</v>
      </c>
      <c r="I2118" s="1" t="s">
        <v>117</v>
      </c>
      <c r="L2118" s="1" t="s">
        <v>1065</v>
      </c>
      <c r="M2118" s="1" t="s">
        <v>119</v>
      </c>
      <c r="N2118" s="1">
        <v>0</v>
      </c>
      <c r="O2118" s="1">
        <v>0</v>
      </c>
      <c r="P2118" s="1" t="s">
        <v>11120</v>
      </c>
      <c r="Q2118" s="1" t="s">
        <v>184</v>
      </c>
      <c r="R2118" s="1" t="s">
        <v>11121</v>
      </c>
      <c r="S2118" s="1" t="s">
        <v>10570</v>
      </c>
      <c r="T2118" s="1">
        <v>0</v>
      </c>
      <c r="U2118" s="1">
        <v>1</v>
      </c>
      <c r="V2118" s="1">
        <v>0</v>
      </c>
      <c r="W2118" s="1">
        <v>0</v>
      </c>
      <c r="X2118" s="1">
        <v>0</v>
      </c>
      <c r="Y2118" s="1" t="s">
        <v>104</v>
      </c>
      <c r="Z2118" s="1" t="s">
        <v>104</v>
      </c>
      <c r="AA2118" s="1" t="s">
        <v>104</v>
      </c>
      <c r="AB2118" s="1" t="s">
        <v>104</v>
      </c>
      <c r="AC2118" s="1" t="s">
        <v>104</v>
      </c>
      <c r="AD2118" s="1" t="s">
        <v>104</v>
      </c>
      <c r="AE2118" s="1" t="s">
        <v>104</v>
      </c>
      <c r="AF2118" s="1" t="s">
        <v>104</v>
      </c>
      <c r="AG2118" s="1" t="s">
        <v>104</v>
      </c>
      <c r="AH2118" s="1" t="s">
        <v>104</v>
      </c>
      <c r="AI2118" s="1" t="s">
        <v>104</v>
      </c>
      <c r="AJ2118" s="1" t="s">
        <v>104</v>
      </c>
      <c r="AK2118" s="1" t="s">
        <v>104</v>
      </c>
      <c r="AL2118" s="1" t="s">
        <v>104</v>
      </c>
      <c r="AM2118" s="1" t="s">
        <v>104</v>
      </c>
      <c r="AO2118" s="1">
        <v>5</v>
      </c>
      <c r="AQ2118" s="1" t="s">
        <v>11122</v>
      </c>
      <c r="AR2118" s="1">
        <v>0</v>
      </c>
      <c r="AS2118" s="1">
        <v>0</v>
      </c>
      <c r="AT2118" s="1">
        <v>0</v>
      </c>
      <c r="AU2118" s="1">
        <v>0</v>
      </c>
      <c r="AV2118" s="1">
        <v>0</v>
      </c>
      <c r="AW2118" s="1">
        <v>0</v>
      </c>
      <c r="AX2118" s="1">
        <v>0</v>
      </c>
      <c r="AY2118" s="1">
        <v>0</v>
      </c>
      <c r="AZ2118" s="1">
        <v>0</v>
      </c>
      <c r="BA2118" s="1">
        <v>0</v>
      </c>
      <c r="BB2118" s="1">
        <v>0</v>
      </c>
      <c r="BC2118" s="1">
        <v>0</v>
      </c>
      <c r="BD2118" s="1">
        <v>0</v>
      </c>
      <c r="BE2118" s="1">
        <v>0</v>
      </c>
      <c r="BF2118" s="1">
        <v>0</v>
      </c>
      <c r="BG2118" s="1">
        <v>0</v>
      </c>
      <c r="BH2118" s="1">
        <v>0</v>
      </c>
      <c r="BI2118" s="1">
        <v>0</v>
      </c>
      <c r="BJ2118" s="1">
        <v>0</v>
      </c>
      <c r="BK2118" s="1">
        <v>1</v>
      </c>
      <c r="BL2118" s="1">
        <v>0</v>
      </c>
      <c r="BM2118" s="1">
        <v>0</v>
      </c>
      <c r="BN2118" s="1">
        <v>0</v>
      </c>
      <c r="BO2118" s="1">
        <v>0</v>
      </c>
      <c r="BP2118" s="1">
        <v>0</v>
      </c>
      <c r="BQ2118" s="1" t="s">
        <v>104</v>
      </c>
      <c r="BR2118" s="1">
        <v>2234</v>
      </c>
      <c r="BS2118" s="1" t="s">
        <v>104</v>
      </c>
      <c r="BT2118" s="1" t="s">
        <v>11123</v>
      </c>
      <c r="BX2118" s="1">
        <v>0</v>
      </c>
      <c r="BY2118" s="1" t="s">
        <v>104</v>
      </c>
      <c r="BZ2118" s="1" t="s">
        <v>104</v>
      </c>
      <c r="CA2118" s="1">
        <v>5</v>
      </c>
      <c r="CB2118" s="1" t="s">
        <v>104</v>
      </c>
      <c r="CC2118" s="1" t="s">
        <v>104</v>
      </c>
      <c r="CD2118" s="1" t="s">
        <v>104</v>
      </c>
      <c r="CE2118" s="1" t="s">
        <v>104</v>
      </c>
      <c r="CF2118" s="1" t="s">
        <v>104</v>
      </c>
      <c r="CG2118" s="1" t="s">
        <v>104</v>
      </c>
      <c r="CH2118" s="1" t="s">
        <v>104</v>
      </c>
      <c r="CJ2118" s="1">
        <v>0</v>
      </c>
      <c r="CK2118" s="1">
        <v>0</v>
      </c>
      <c r="CL2118" s="1">
        <v>0</v>
      </c>
      <c r="CM2118" s="1" t="s">
        <v>104</v>
      </c>
    </row>
    <row r="2119" spans="1:91" ht="14.25" customHeight="1" x14ac:dyDescent="0.3">
      <c r="A2119" s="1" t="s">
        <v>11124</v>
      </c>
      <c r="B2119" s="1" t="s">
        <v>216</v>
      </c>
      <c r="D2119" s="1" t="s">
        <v>125</v>
      </c>
      <c r="E2119" s="1" t="s">
        <v>10859</v>
      </c>
      <c r="F2119" s="1" t="s">
        <v>95</v>
      </c>
      <c r="G2119" s="1" t="s">
        <v>1802</v>
      </c>
      <c r="H2119" s="1">
        <v>0</v>
      </c>
      <c r="I2119" s="1" t="s">
        <v>117</v>
      </c>
      <c r="L2119" s="1" t="s">
        <v>1065</v>
      </c>
      <c r="M2119" s="1" t="s">
        <v>119</v>
      </c>
      <c r="N2119" s="1">
        <v>0</v>
      </c>
      <c r="O2119" s="1">
        <v>0</v>
      </c>
      <c r="P2119" s="1" t="s">
        <v>11120</v>
      </c>
      <c r="Q2119" s="1" t="s">
        <v>184</v>
      </c>
      <c r="R2119" s="1" t="s">
        <v>11125</v>
      </c>
      <c r="S2119" s="1" t="s">
        <v>10570</v>
      </c>
      <c r="T2119" s="1">
        <v>0</v>
      </c>
      <c r="U2119" s="1">
        <v>1</v>
      </c>
      <c r="V2119" s="1">
        <v>0</v>
      </c>
      <c r="W2119" s="1">
        <v>0</v>
      </c>
      <c r="X2119" s="1">
        <v>0</v>
      </c>
      <c r="Y2119" s="1" t="s">
        <v>104</v>
      </c>
      <c r="Z2119" s="1" t="s">
        <v>104</v>
      </c>
      <c r="AA2119" s="1" t="s">
        <v>104</v>
      </c>
      <c r="AB2119" s="1" t="s">
        <v>104</v>
      </c>
      <c r="AC2119" s="1" t="s">
        <v>104</v>
      </c>
      <c r="AD2119" s="1" t="s">
        <v>104</v>
      </c>
      <c r="AE2119" s="1" t="s">
        <v>104</v>
      </c>
      <c r="AF2119" s="1" t="s">
        <v>104</v>
      </c>
      <c r="AG2119" s="1" t="s">
        <v>104</v>
      </c>
      <c r="AH2119" s="1" t="s">
        <v>104</v>
      </c>
      <c r="AI2119" s="1" t="s">
        <v>104</v>
      </c>
      <c r="AJ2119" s="1" t="s">
        <v>104</v>
      </c>
      <c r="AK2119" s="1" t="s">
        <v>104</v>
      </c>
      <c r="AL2119" s="1" t="s">
        <v>104</v>
      </c>
      <c r="AM2119" s="1" t="s">
        <v>104</v>
      </c>
      <c r="AO2119" s="1">
        <v>6</v>
      </c>
      <c r="AQ2119" s="1" t="s">
        <v>11126</v>
      </c>
      <c r="AR2119" s="1">
        <v>0</v>
      </c>
      <c r="AS2119" s="1">
        <v>0</v>
      </c>
      <c r="AT2119" s="1">
        <v>0</v>
      </c>
      <c r="AU2119" s="1">
        <v>0</v>
      </c>
      <c r="AV2119" s="1">
        <v>0</v>
      </c>
      <c r="AW2119" s="1">
        <v>0</v>
      </c>
      <c r="AX2119" s="1">
        <v>0</v>
      </c>
      <c r="AY2119" s="1">
        <v>0</v>
      </c>
      <c r="AZ2119" s="1">
        <v>0</v>
      </c>
      <c r="BA2119" s="1">
        <v>0</v>
      </c>
      <c r="BB2119" s="1">
        <v>0</v>
      </c>
      <c r="BC2119" s="1">
        <v>0</v>
      </c>
      <c r="BD2119" s="1">
        <v>0</v>
      </c>
      <c r="BE2119" s="1">
        <v>0</v>
      </c>
      <c r="BF2119" s="1">
        <v>0</v>
      </c>
      <c r="BG2119" s="1">
        <v>0</v>
      </c>
      <c r="BH2119" s="1">
        <v>0</v>
      </c>
      <c r="BI2119" s="1">
        <v>0</v>
      </c>
      <c r="BJ2119" s="1">
        <v>0</v>
      </c>
      <c r="BK2119" s="1">
        <v>1</v>
      </c>
      <c r="BL2119" s="1">
        <v>0</v>
      </c>
      <c r="BM2119" s="1">
        <v>0</v>
      </c>
      <c r="BN2119" s="1">
        <v>0</v>
      </c>
      <c r="BO2119" s="1">
        <v>0</v>
      </c>
      <c r="BP2119" s="1">
        <v>0</v>
      </c>
      <c r="BQ2119" s="1" t="s">
        <v>104</v>
      </c>
      <c r="BR2119" s="1">
        <v>2235</v>
      </c>
      <c r="BS2119" s="1" t="s">
        <v>104</v>
      </c>
      <c r="BX2119" s="1">
        <v>0</v>
      </c>
      <c r="BY2119" s="1" t="s">
        <v>104</v>
      </c>
      <c r="BZ2119" s="1" t="s">
        <v>104</v>
      </c>
      <c r="CA2119" s="1">
        <v>6</v>
      </c>
      <c r="CB2119" s="1" t="s">
        <v>104</v>
      </c>
      <c r="CC2119" s="1" t="s">
        <v>104</v>
      </c>
      <c r="CD2119" s="1" t="s">
        <v>104</v>
      </c>
      <c r="CE2119" s="1" t="s">
        <v>104</v>
      </c>
      <c r="CF2119" s="1" t="s">
        <v>104</v>
      </c>
      <c r="CG2119" s="1" t="s">
        <v>104</v>
      </c>
      <c r="CH2119" s="1" t="s">
        <v>104</v>
      </c>
      <c r="CJ2119" s="1">
        <v>0</v>
      </c>
      <c r="CK2119" s="1">
        <v>0</v>
      </c>
      <c r="CL2119" s="1">
        <v>0</v>
      </c>
      <c r="CM2119" s="1" t="s">
        <v>104</v>
      </c>
    </row>
    <row r="2120" spans="1:91" ht="14.25" customHeight="1" x14ac:dyDescent="0.3">
      <c r="A2120" s="1" t="s">
        <v>11127</v>
      </c>
      <c r="B2120" s="1" t="s">
        <v>216</v>
      </c>
      <c r="D2120" s="1" t="s">
        <v>125</v>
      </c>
      <c r="E2120" s="1" t="s">
        <v>10863</v>
      </c>
      <c r="F2120" s="1" t="s">
        <v>95</v>
      </c>
      <c r="G2120" s="1" t="s">
        <v>1802</v>
      </c>
      <c r="H2120" s="1">
        <v>0</v>
      </c>
      <c r="I2120" s="1" t="s">
        <v>117</v>
      </c>
      <c r="L2120" s="1" t="s">
        <v>1065</v>
      </c>
      <c r="M2120" s="1" t="s">
        <v>119</v>
      </c>
      <c r="N2120" s="1">
        <v>0</v>
      </c>
      <c r="O2120" s="1">
        <v>0</v>
      </c>
      <c r="P2120" s="1" t="s">
        <v>11120</v>
      </c>
      <c r="Q2120" s="1" t="s">
        <v>184</v>
      </c>
      <c r="R2120" s="1" t="s">
        <v>11128</v>
      </c>
      <c r="S2120" s="1" t="s">
        <v>10570</v>
      </c>
      <c r="T2120" s="1">
        <v>0</v>
      </c>
      <c r="U2120" s="1">
        <v>1</v>
      </c>
      <c r="V2120" s="1">
        <v>0</v>
      </c>
      <c r="W2120" s="1">
        <v>0</v>
      </c>
      <c r="X2120" s="1">
        <v>0</v>
      </c>
      <c r="Y2120" s="1" t="s">
        <v>104</v>
      </c>
      <c r="Z2120" s="1" t="s">
        <v>104</v>
      </c>
      <c r="AA2120" s="1" t="s">
        <v>104</v>
      </c>
      <c r="AB2120" s="1" t="s">
        <v>104</v>
      </c>
      <c r="AC2120" s="1" t="s">
        <v>104</v>
      </c>
      <c r="AD2120" s="1" t="s">
        <v>104</v>
      </c>
      <c r="AE2120" s="1" t="s">
        <v>104</v>
      </c>
      <c r="AF2120" s="1" t="s">
        <v>104</v>
      </c>
      <c r="AG2120" s="1" t="s">
        <v>104</v>
      </c>
      <c r="AH2120" s="1" t="s">
        <v>104</v>
      </c>
      <c r="AI2120" s="1" t="s">
        <v>104</v>
      </c>
      <c r="AJ2120" s="1" t="s">
        <v>104</v>
      </c>
      <c r="AK2120" s="1" t="s">
        <v>104</v>
      </c>
      <c r="AL2120" s="1" t="s">
        <v>104</v>
      </c>
      <c r="AM2120" s="1" t="s">
        <v>104</v>
      </c>
      <c r="AO2120" s="1">
        <v>7</v>
      </c>
      <c r="AQ2120" s="1" t="s">
        <v>11129</v>
      </c>
      <c r="AR2120" s="1">
        <v>0</v>
      </c>
      <c r="AS2120" s="1">
        <v>0</v>
      </c>
      <c r="AT2120" s="1">
        <v>0</v>
      </c>
      <c r="AU2120" s="1">
        <v>0</v>
      </c>
      <c r="AV2120" s="1">
        <v>0</v>
      </c>
      <c r="AW2120" s="1">
        <v>0</v>
      </c>
      <c r="AX2120" s="1">
        <v>0</v>
      </c>
      <c r="AY2120" s="1">
        <v>0</v>
      </c>
      <c r="AZ2120" s="1">
        <v>0</v>
      </c>
      <c r="BA2120" s="1">
        <v>0</v>
      </c>
      <c r="BB2120" s="1">
        <v>0</v>
      </c>
      <c r="BC2120" s="1">
        <v>0</v>
      </c>
      <c r="BD2120" s="1">
        <v>0</v>
      </c>
      <c r="BE2120" s="1">
        <v>0</v>
      </c>
      <c r="BF2120" s="1">
        <v>0</v>
      </c>
      <c r="BG2120" s="1">
        <v>0</v>
      </c>
      <c r="BH2120" s="1">
        <v>0</v>
      </c>
      <c r="BI2120" s="1">
        <v>0</v>
      </c>
      <c r="BJ2120" s="1">
        <v>0</v>
      </c>
      <c r="BK2120" s="1">
        <v>1</v>
      </c>
      <c r="BL2120" s="1">
        <v>0</v>
      </c>
      <c r="BM2120" s="1">
        <v>0</v>
      </c>
      <c r="BN2120" s="1">
        <v>0</v>
      </c>
      <c r="BO2120" s="1">
        <v>0</v>
      </c>
      <c r="BP2120" s="1">
        <v>0</v>
      </c>
      <c r="BQ2120" s="1" t="s">
        <v>104</v>
      </c>
      <c r="BR2120" s="1">
        <v>2236</v>
      </c>
      <c r="BS2120" s="1" t="s">
        <v>104</v>
      </c>
      <c r="BX2120" s="1">
        <v>0</v>
      </c>
      <c r="BY2120" s="1" t="s">
        <v>104</v>
      </c>
      <c r="BZ2120" s="1" t="s">
        <v>104</v>
      </c>
      <c r="CA2120" s="1">
        <v>7</v>
      </c>
      <c r="CB2120" s="1" t="s">
        <v>104</v>
      </c>
      <c r="CC2120" s="1" t="s">
        <v>104</v>
      </c>
      <c r="CD2120" s="1" t="s">
        <v>104</v>
      </c>
      <c r="CE2120" s="1" t="s">
        <v>104</v>
      </c>
      <c r="CF2120" s="1" t="s">
        <v>104</v>
      </c>
      <c r="CG2120" s="1" t="s">
        <v>104</v>
      </c>
      <c r="CH2120" s="1" t="s">
        <v>104</v>
      </c>
      <c r="CJ2120" s="1">
        <v>0</v>
      </c>
      <c r="CK2120" s="1">
        <v>0</v>
      </c>
      <c r="CL2120" s="1">
        <v>0</v>
      </c>
      <c r="CM2120" s="1" t="s">
        <v>104</v>
      </c>
    </row>
    <row r="2121" spans="1:91" ht="14.25" customHeight="1" x14ac:dyDescent="0.3">
      <c r="A2121" s="1" t="s">
        <v>11130</v>
      </c>
      <c r="B2121" s="1" t="s">
        <v>216</v>
      </c>
      <c r="D2121" s="1" t="s">
        <v>125</v>
      </c>
      <c r="E2121" s="1" t="s">
        <v>11131</v>
      </c>
      <c r="F2121" s="1" t="s">
        <v>95</v>
      </c>
      <c r="G2121" s="1" t="s">
        <v>1802</v>
      </c>
      <c r="H2121" s="1">
        <v>0</v>
      </c>
      <c r="I2121" s="1" t="s">
        <v>117</v>
      </c>
      <c r="L2121" s="1" t="s">
        <v>1065</v>
      </c>
      <c r="M2121" s="1" t="s">
        <v>119</v>
      </c>
      <c r="N2121" s="1">
        <v>0</v>
      </c>
      <c r="O2121" s="1">
        <v>0</v>
      </c>
      <c r="P2121" s="1" t="s">
        <v>11120</v>
      </c>
      <c r="Q2121" s="1" t="s">
        <v>184</v>
      </c>
      <c r="R2121" s="1" t="s">
        <v>11132</v>
      </c>
      <c r="S2121" s="1" t="s">
        <v>10570</v>
      </c>
      <c r="T2121" s="1">
        <v>0</v>
      </c>
      <c r="U2121" s="1">
        <v>1</v>
      </c>
      <c r="V2121" s="1">
        <v>0</v>
      </c>
      <c r="W2121" s="1">
        <v>0</v>
      </c>
      <c r="X2121" s="1">
        <v>0</v>
      </c>
      <c r="Y2121" s="1" t="s">
        <v>104</v>
      </c>
      <c r="Z2121" s="1" t="s">
        <v>104</v>
      </c>
      <c r="AA2121" s="1" t="s">
        <v>104</v>
      </c>
      <c r="AB2121" s="1" t="s">
        <v>104</v>
      </c>
      <c r="AC2121" s="1" t="s">
        <v>104</v>
      </c>
      <c r="AD2121" s="1" t="s">
        <v>104</v>
      </c>
      <c r="AE2121" s="1" t="s">
        <v>104</v>
      </c>
      <c r="AF2121" s="1" t="s">
        <v>104</v>
      </c>
      <c r="AG2121" s="1" t="s">
        <v>104</v>
      </c>
      <c r="AH2121" s="1" t="s">
        <v>104</v>
      </c>
      <c r="AI2121" s="1" t="s">
        <v>104</v>
      </c>
      <c r="AJ2121" s="1" t="s">
        <v>104</v>
      </c>
      <c r="AK2121" s="1" t="s">
        <v>104</v>
      </c>
      <c r="AL2121" s="1" t="s">
        <v>104</v>
      </c>
      <c r="AM2121" s="1" t="s">
        <v>104</v>
      </c>
      <c r="AO2121" s="1">
        <v>8</v>
      </c>
      <c r="AQ2121" s="1" t="s">
        <v>11133</v>
      </c>
      <c r="AR2121" s="1">
        <v>0</v>
      </c>
      <c r="AS2121" s="1">
        <v>0</v>
      </c>
      <c r="AT2121" s="1">
        <v>0</v>
      </c>
      <c r="AU2121" s="1">
        <v>0</v>
      </c>
      <c r="AV2121" s="1">
        <v>0</v>
      </c>
      <c r="AW2121" s="1">
        <v>0</v>
      </c>
      <c r="AX2121" s="1">
        <v>0</v>
      </c>
      <c r="AY2121" s="1">
        <v>0</v>
      </c>
      <c r="AZ2121" s="1">
        <v>0</v>
      </c>
      <c r="BA2121" s="1">
        <v>0</v>
      </c>
      <c r="BB2121" s="1">
        <v>0</v>
      </c>
      <c r="BC2121" s="1">
        <v>0</v>
      </c>
      <c r="BD2121" s="1">
        <v>0</v>
      </c>
      <c r="BE2121" s="1">
        <v>0</v>
      </c>
      <c r="BF2121" s="1">
        <v>0</v>
      </c>
      <c r="BG2121" s="1">
        <v>0</v>
      </c>
      <c r="BH2121" s="1">
        <v>0</v>
      </c>
      <c r="BI2121" s="1">
        <v>0</v>
      </c>
      <c r="BJ2121" s="1">
        <v>0</v>
      </c>
      <c r="BK2121" s="1">
        <v>1</v>
      </c>
      <c r="BL2121" s="1">
        <v>0</v>
      </c>
      <c r="BM2121" s="1">
        <v>0</v>
      </c>
      <c r="BN2121" s="1">
        <v>0</v>
      </c>
      <c r="BO2121" s="1">
        <v>0</v>
      </c>
      <c r="BP2121" s="1">
        <v>0</v>
      </c>
      <c r="BQ2121" s="1" t="s">
        <v>104</v>
      </c>
      <c r="BR2121" s="1">
        <v>2237</v>
      </c>
      <c r="BS2121" s="1" t="s">
        <v>104</v>
      </c>
      <c r="BX2121" s="1">
        <v>0</v>
      </c>
      <c r="BY2121" s="1" t="s">
        <v>104</v>
      </c>
      <c r="BZ2121" s="1" t="s">
        <v>104</v>
      </c>
      <c r="CA2121" s="1">
        <v>8</v>
      </c>
      <c r="CB2121" s="1" t="s">
        <v>104</v>
      </c>
      <c r="CC2121" s="1" t="s">
        <v>104</v>
      </c>
      <c r="CD2121" s="1" t="s">
        <v>104</v>
      </c>
      <c r="CE2121" s="1" t="s">
        <v>104</v>
      </c>
      <c r="CF2121" s="1" t="s">
        <v>104</v>
      </c>
      <c r="CG2121" s="1" t="s">
        <v>104</v>
      </c>
      <c r="CH2121" s="1" t="s">
        <v>104</v>
      </c>
      <c r="CJ2121" s="1">
        <v>0</v>
      </c>
      <c r="CK2121" s="1">
        <v>0</v>
      </c>
      <c r="CL2121" s="1">
        <v>0</v>
      </c>
      <c r="CM2121" s="1" t="s">
        <v>104</v>
      </c>
    </row>
    <row r="2122" spans="1:91" ht="14.25" customHeight="1" x14ac:dyDescent="0.3">
      <c r="A2122" s="1" t="s">
        <v>11134</v>
      </c>
      <c r="B2122" s="1" t="s">
        <v>216</v>
      </c>
      <c r="D2122" s="1" t="s">
        <v>125</v>
      </c>
      <c r="E2122" s="1" t="s">
        <v>10568</v>
      </c>
      <c r="F2122" s="1" t="s">
        <v>95</v>
      </c>
      <c r="G2122" s="1" t="s">
        <v>1802</v>
      </c>
      <c r="H2122" s="1">
        <v>0</v>
      </c>
      <c r="I2122" s="1" t="s">
        <v>117</v>
      </c>
      <c r="L2122" s="1" t="s">
        <v>1065</v>
      </c>
      <c r="M2122" s="1" t="s">
        <v>119</v>
      </c>
      <c r="N2122" s="1">
        <v>0</v>
      </c>
      <c r="O2122" s="1">
        <v>0</v>
      </c>
      <c r="P2122" s="1" t="s">
        <v>11120</v>
      </c>
      <c r="Q2122" s="1" t="s">
        <v>184</v>
      </c>
      <c r="R2122" s="1" t="s">
        <v>11135</v>
      </c>
      <c r="S2122" s="1" t="s">
        <v>10570</v>
      </c>
      <c r="T2122" s="1">
        <v>0</v>
      </c>
      <c r="U2122" s="1">
        <v>1</v>
      </c>
      <c r="V2122" s="1">
        <v>0</v>
      </c>
      <c r="W2122" s="1">
        <v>0</v>
      </c>
      <c r="X2122" s="1">
        <v>0</v>
      </c>
      <c r="Y2122" s="1" t="s">
        <v>104</v>
      </c>
      <c r="Z2122" s="1" t="s">
        <v>104</v>
      </c>
      <c r="AA2122" s="1" t="s">
        <v>104</v>
      </c>
      <c r="AB2122" s="1" t="s">
        <v>104</v>
      </c>
      <c r="AC2122" s="1" t="s">
        <v>104</v>
      </c>
      <c r="AD2122" s="1" t="s">
        <v>104</v>
      </c>
      <c r="AE2122" s="1" t="s">
        <v>104</v>
      </c>
      <c r="AF2122" s="1" t="s">
        <v>104</v>
      </c>
      <c r="AG2122" s="1" t="s">
        <v>104</v>
      </c>
      <c r="AH2122" s="1" t="s">
        <v>104</v>
      </c>
      <c r="AI2122" s="1" t="s">
        <v>104</v>
      </c>
      <c r="AJ2122" s="1" t="s">
        <v>104</v>
      </c>
      <c r="AK2122" s="1" t="s">
        <v>104</v>
      </c>
      <c r="AL2122" s="1" t="s">
        <v>104</v>
      </c>
      <c r="AM2122" s="1" t="s">
        <v>104</v>
      </c>
      <c r="AO2122" s="1">
        <v>9</v>
      </c>
      <c r="AQ2122" s="1" t="s">
        <v>11136</v>
      </c>
      <c r="AR2122" s="1">
        <v>0</v>
      </c>
      <c r="AS2122" s="1">
        <v>0</v>
      </c>
      <c r="AT2122" s="1">
        <v>0</v>
      </c>
      <c r="AU2122" s="1">
        <v>0</v>
      </c>
      <c r="AV2122" s="1">
        <v>0</v>
      </c>
      <c r="AW2122" s="1">
        <v>0</v>
      </c>
      <c r="AX2122" s="1">
        <v>0</v>
      </c>
      <c r="AY2122" s="1">
        <v>0</v>
      </c>
      <c r="AZ2122" s="1">
        <v>0</v>
      </c>
      <c r="BA2122" s="1">
        <v>0</v>
      </c>
      <c r="BB2122" s="1">
        <v>0</v>
      </c>
      <c r="BC2122" s="1">
        <v>0</v>
      </c>
      <c r="BD2122" s="1">
        <v>0</v>
      </c>
      <c r="BE2122" s="1">
        <v>0</v>
      </c>
      <c r="BF2122" s="1">
        <v>0</v>
      </c>
      <c r="BG2122" s="1">
        <v>0</v>
      </c>
      <c r="BH2122" s="1">
        <v>0</v>
      </c>
      <c r="BI2122" s="1">
        <v>0</v>
      </c>
      <c r="BJ2122" s="1">
        <v>0</v>
      </c>
      <c r="BK2122" s="1">
        <v>1</v>
      </c>
      <c r="BL2122" s="1">
        <v>0</v>
      </c>
      <c r="BM2122" s="1">
        <v>0</v>
      </c>
      <c r="BN2122" s="1">
        <v>0</v>
      </c>
      <c r="BO2122" s="1">
        <v>0</v>
      </c>
      <c r="BP2122" s="1">
        <v>0</v>
      </c>
      <c r="BQ2122" s="1" t="s">
        <v>104</v>
      </c>
      <c r="BR2122" s="1">
        <v>2238</v>
      </c>
      <c r="BS2122" s="1" t="s">
        <v>104</v>
      </c>
      <c r="BX2122" s="1">
        <v>0</v>
      </c>
      <c r="BY2122" s="1" t="s">
        <v>104</v>
      </c>
      <c r="BZ2122" s="1" t="s">
        <v>104</v>
      </c>
      <c r="CA2122" s="1">
        <v>9</v>
      </c>
      <c r="CB2122" s="1" t="s">
        <v>104</v>
      </c>
      <c r="CC2122" s="1" t="s">
        <v>104</v>
      </c>
      <c r="CD2122" s="1" t="s">
        <v>104</v>
      </c>
      <c r="CE2122" s="1" t="s">
        <v>104</v>
      </c>
      <c r="CF2122" s="1" t="s">
        <v>104</v>
      </c>
      <c r="CG2122" s="1" t="s">
        <v>104</v>
      </c>
      <c r="CH2122" s="1" t="s">
        <v>104</v>
      </c>
      <c r="CJ2122" s="1">
        <v>0</v>
      </c>
      <c r="CK2122" s="1">
        <v>0</v>
      </c>
      <c r="CL2122" s="1">
        <v>0</v>
      </c>
      <c r="CM2122" s="1" t="s">
        <v>104</v>
      </c>
    </row>
    <row r="2123" spans="1:91" ht="14.25" customHeight="1" x14ac:dyDescent="0.3">
      <c r="A2123" s="1" t="s">
        <v>11137</v>
      </c>
      <c r="B2123" s="1" t="s">
        <v>507</v>
      </c>
      <c r="C2123" s="1" t="s">
        <v>65</v>
      </c>
      <c r="E2123" s="1" t="s">
        <v>10568</v>
      </c>
      <c r="F2123" s="1" t="s">
        <v>95</v>
      </c>
      <c r="G2123" s="1" t="s">
        <v>237</v>
      </c>
      <c r="H2123" s="1">
        <v>0</v>
      </c>
      <c r="I2123" s="1" t="s">
        <v>97</v>
      </c>
      <c r="K2123" s="1" t="s">
        <v>2910</v>
      </c>
      <c r="M2123" s="1" t="s">
        <v>426</v>
      </c>
      <c r="N2123" s="1">
        <v>1</v>
      </c>
      <c r="O2123" s="1">
        <v>0</v>
      </c>
      <c r="P2123" s="1" t="s">
        <v>1894</v>
      </c>
      <c r="Q2123" s="1" t="s">
        <v>184</v>
      </c>
      <c r="R2123" s="1" t="s">
        <v>11138</v>
      </c>
      <c r="S2123" s="1" t="s">
        <v>10570</v>
      </c>
      <c r="T2123" s="1">
        <v>1</v>
      </c>
      <c r="U2123" s="1">
        <v>0</v>
      </c>
      <c r="V2123" s="1">
        <v>0</v>
      </c>
      <c r="W2123" s="1">
        <v>0</v>
      </c>
      <c r="X2123" s="1">
        <v>0</v>
      </c>
      <c r="Y2123" s="1" t="s">
        <v>104</v>
      </c>
      <c r="Z2123" s="1" t="s">
        <v>104</v>
      </c>
      <c r="AA2123" s="1" t="s">
        <v>104</v>
      </c>
      <c r="AB2123" s="1" t="s">
        <v>104</v>
      </c>
      <c r="AC2123" s="1" t="s">
        <v>104</v>
      </c>
      <c r="AD2123" s="1" t="s">
        <v>104</v>
      </c>
      <c r="AE2123" s="1" t="s">
        <v>104</v>
      </c>
      <c r="AF2123" s="1" t="s">
        <v>104</v>
      </c>
      <c r="AG2123" s="1" t="s">
        <v>104</v>
      </c>
      <c r="AH2123" s="1" t="s">
        <v>104</v>
      </c>
      <c r="AI2123" s="1" t="s">
        <v>104</v>
      </c>
      <c r="AJ2123" s="1" t="s">
        <v>104</v>
      </c>
      <c r="AK2123" s="1" t="s">
        <v>104</v>
      </c>
      <c r="AL2123" s="1" t="s">
        <v>104</v>
      </c>
      <c r="AM2123" s="1" t="s">
        <v>104</v>
      </c>
      <c r="AO2123" s="1">
        <v>9</v>
      </c>
      <c r="AQ2123" s="1" t="s">
        <v>11139</v>
      </c>
      <c r="AR2123" s="1">
        <v>0</v>
      </c>
      <c r="AS2123" s="1">
        <v>0</v>
      </c>
      <c r="AT2123" s="1">
        <v>0</v>
      </c>
      <c r="AU2123" s="1">
        <v>0</v>
      </c>
      <c r="AV2123" s="1">
        <v>0</v>
      </c>
      <c r="AW2123" s="1">
        <v>0</v>
      </c>
      <c r="AX2123" s="1">
        <v>0</v>
      </c>
      <c r="AY2123" s="1">
        <v>0</v>
      </c>
      <c r="AZ2123" s="1">
        <v>0</v>
      </c>
      <c r="BA2123" s="1">
        <v>0</v>
      </c>
      <c r="BB2123" s="1">
        <v>0</v>
      </c>
      <c r="BC2123" s="1">
        <v>0</v>
      </c>
      <c r="BD2123" s="1">
        <v>0</v>
      </c>
      <c r="BE2123" s="1">
        <v>0</v>
      </c>
      <c r="BF2123" s="1">
        <v>0</v>
      </c>
      <c r="BG2123" s="1">
        <v>0</v>
      </c>
      <c r="BH2123" s="1">
        <v>0</v>
      </c>
      <c r="BI2123" s="1">
        <v>0</v>
      </c>
      <c r="BJ2123" s="1">
        <v>0</v>
      </c>
      <c r="BK2123" s="1">
        <v>0</v>
      </c>
      <c r="BL2123" s="1">
        <v>0</v>
      </c>
      <c r="BM2123" s="1">
        <v>0</v>
      </c>
      <c r="BN2123" s="1">
        <v>0</v>
      </c>
      <c r="BO2123" s="1">
        <v>0</v>
      </c>
      <c r="BP2123" s="1">
        <v>0</v>
      </c>
      <c r="BQ2123" s="1" t="s">
        <v>104</v>
      </c>
      <c r="BR2123" s="1">
        <v>2239</v>
      </c>
      <c r="BS2123" s="1" t="s">
        <v>104</v>
      </c>
      <c r="BX2123" s="1">
        <v>0</v>
      </c>
      <c r="BY2123" s="1" t="s">
        <v>104</v>
      </c>
      <c r="BZ2123" s="1" t="s">
        <v>104</v>
      </c>
      <c r="CA2123" s="1">
        <v>9</v>
      </c>
      <c r="CB2123" s="1" t="s">
        <v>104</v>
      </c>
      <c r="CC2123" s="1" t="s">
        <v>104</v>
      </c>
      <c r="CD2123" s="1" t="s">
        <v>104</v>
      </c>
      <c r="CE2123" s="1" t="s">
        <v>104</v>
      </c>
      <c r="CF2123" s="1" t="s">
        <v>104</v>
      </c>
      <c r="CG2123" s="1" t="s">
        <v>104</v>
      </c>
      <c r="CH2123" s="1" t="s">
        <v>104</v>
      </c>
      <c r="CJ2123" s="1">
        <v>0</v>
      </c>
      <c r="CK2123" s="1">
        <v>0</v>
      </c>
      <c r="CL2123" s="1">
        <v>0</v>
      </c>
      <c r="CM2123" s="1" t="s">
        <v>104</v>
      </c>
    </row>
    <row r="2124" spans="1:91" ht="14.25" customHeight="1" x14ac:dyDescent="0.3">
      <c r="A2124" s="1" t="s">
        <v>11140</v>
      </c>
      <c r="B2124" s="1" t="s">
        <v>172</v>
      </c>
      <c r="E2124" s="1" t="s">
        <v>11141</v>
      </c>
      <c r="F2124" s="1" t="s">
        <v>95</v>
      </c>
      <c r="G2124" s="1" t="s">
        <v>237</v>
      </c>
      <c r="H2124" s="1">
        <v>0</v>
      </c>
      <c r="I2124" s="1" t="s">
        <v>117</v>
      </c>
      <c r="L2124" s="1" t="s">
        <v>637</v>
      </c>
      <c r="M2124" s="1" t="s">
        <v>255</v>
      </c>
      <c r="N2124" s="1">
        <v>0</v>
      </c>
      <c r="O2124" s="1">
        <v>0</v>
      </c>
      <c r="P2124" s="1" t="s">
        <v>100</v>
      </c>
      <c r="Q2124" s="1" t="s">
        <v>184</v>
      </c>
      <c r="R2124" s="1" t="s">
        <v>11142</v>
      </c>
      <c r="S2124" s="1" t="s">
        <v>10570</v>
      </c>
      <c r="T2124" s="1">
        <v>1</v>
      </c>
      <c r="U2124" s="1">
        <v>0</v>
      </c>
      <c r="V2124" s="1">
        <v>0</v>
      </c>
      <c r="W2124" s="1">
        <v>0</v>
      </c>
      <c r="X2124" s="1">
        <v>0</v>
      </c>
      <c r="Y2124" s="1">
        <v>2</v>
      </c>
      <c r="Z2124" s="1">
        <v>2</v>
      </c>
      <c r="AA2124" s="1" t="s">
        <v>104</v>
      </c>
      <c r="AB2124" s="1" t="s">
        <v>104</v>
      </c>
      <c r="AC2124" s="1" t="s">
        <v>104</v>
      </c>
      <c r="AD2124" s="1">
        <v>2</v>
      </c>
      <c r="AE2124" s="1" t="s">
        <v>104</v>
      </c>
      <c r="AF2124" s="1" t="s">
        <v>104</v>
      </c>
      <c r="AG2124" s="1" t="s">
        <v>104</v>
      </c>
      <c r="AH2124" s="1" t="s">
        <v>104</v>
      </c>
      <c r="AI2124" s="1">
        <v>2</v>
      </c>
      <c r="AJ2124" s="1" t="s">
        <v>104</v>
      </c>
      <c r="AK2124" s="1" t="s">
        <v>104</v>
      </c>
      <c r="AL2124" s="1" t="s">
        <v>104</v>
      </c>
      <c r="AM2124" s="1" t="s">
        <v>104</v>
      </c>
      <c r="AO2124" s="1">
        <v>2</v>
      </c>
      <c r="AQ2124" s="1" t="s">
        <v>11143</v>
      </c>
      <c r="AR2124" s="1">
        <v>0</v>
      </c>
      <c r="AS2124" s="1">
        <v>0</v>
      </c>
      <c r="AT2124" s="1">
        <v>0</v>
      </c>
      <c r="AU2124" s="1">
        <v>0</v>
      </c>
      <c r="AV2124" s="1">
        <v>0</v>
      </c>
      <c r="AW2124" s="1">
        <v>0</v>
      </c>
      <c r="AX2124" s="1">
        <v>0</v>
      </c>
      <c r="AY2124" s="1">
        <v>0</v>
      </c>
      <c r="AZ2124" s="1">
        <v>0</v>
      </c>
      <c r="BA2124" s="1">
        <v>0</v>
      </c>
      <c r="BB2124" s="1">
        <v>0</v>
      </c>
      <c r="BC2124" s="1">
        <v>0</v>
      </c>
      <c r="BD2124" s="1">
        <v>0</v>
      </c>
      <c r="BE2124" s="1">
        <v>0</v>
      </c>
      <c r="BF2124" s="1">
        <v>0</v>
      </c>
      <c r="BG2124" s="1">
        <v>0</v>
      </c>
      <c r="BH2124" s="1">
        <v>0</v>
      </c>
      <c r="BI2124" s="1">
        <v>0</v>
      </c>
      <c r="BJ2124" s="1">
        <v>0</v>
      </c>
      <c r="BK2124" s="1">
        <v>0</v>
      </c>
      <c r="BL2124" s="1">
        <v>0</v>
      </c>
      <c r="BM2124" s="1">
        <v>0</v>
      </c>
      <c r="BN2124" s="1">
        <v>0</v>
      </c>
      <c r="BO2124" s="1">
        <v>0</v>
      </c>
      <c r="BP2124" s="1">
        <v>0</v>
      </c>
      <c r="BQ2124" s="1" t="s">
        <v>104</v>
      </c>
      <c r="BR2124" s="1">
        <v>2240</v>
      </c>
      <c r="BS2124" s="1" t="s">
        <v>104</v>
      </c>
      <c r="BX2124" s="1">
        <v>0</v>
      </c>
      <c r="BY2124" s="1" t="s">
        <v>104</v>
      </c>
      <c r="BZ2124" s="1" t="s">
        <v>104</v>
      </c>
      <c r="CA2124" s="1">
        <v>1</v>
      </c>
      <c r="CB2124" s="1">
        <v>1</v>
      </c>
      <c r="CC2124" s="1">
        <v>1</v>
      </c>
      <c r="CD2124" s="1">
        <v>1</v>
      </c>
      <c r="CE2124" s="1">
        <v>1</v>
      </c>
      <c r="CF2124" s="1" t="s">
        <v>104</v>
      </c>
      <c r="CG2124" s="1" t="s">
        <v>104</v>
      </c>
      <c r="CH2124" s="1" t="s">
        <v>104</v>
      </c>
      <c r="CJ2124" s="1">
        <v>0</v>
      </c>
      <c r="CK2124" s="1">
        <v>0</v>
      </c>
      <c r="CL2124" s="1">
        <v>0</v>
      </c>
      <c r="CM2124" s="1" t="s">
        <v>104</v>
      </c>
    </row>
    <row r="2125" spans="1:91" ht="14.25" customHeight="1" x14ac:dyDescent="0.3">
      <c r="A2125" s="1" t="s">
        <v>11144</v>
      </c>
      <c r="B2125" s="1" t="s">
        <v>123</v>
      </c>
      <c r="D2125" s="1" t="s">
        <v>125</v>
      </c>
      <c r="E2125" s="1" t="s">
        <v>11145</v>
      </c>
      <c r="F2125" s="1" t="s">
        <v>287</v>
      </c>
      <c r="G2125" s="1" t="s">
        <v>11146</v>
      </c>
      <c r="H2125" s="1">
        <v>1</v>
      </c>
      <c r="I2125" s="1" t="s">
        <v>128</v>
      </c>
      <c r="L2125" s="1" t="s">
        <v>11147</v>
      </c>
      <c r="M2125" s="1" t="s">
        <v>119</v>
      </c>
      <c r="N2125" s="1">
        <v>0</v>
      </c>
      <c r="O2125" s="1">
        <v>0</v>
      </c>
      <c r="P2125" s="1" t="s">
        <v>100</v>
      </c>
      <c r="Q2125" s="1" t="s">
        <v>101</v>
      </c>
      <c r="R2125" s="1" t="s">
        <v>11148</v>
      </c>
      <c r="S2125" s="1" t="s">
        <v>10570</v>
      </c>
      <c r="T2125" s="1">
        <v>1</v>
      </c>
      <c r="U2125" s="1">
        <v>0</v>
      </c>
      <c r="V2125" s="1">
        <v>1</v>
      </c>
      <c r="W2125" s="1">
        <v>0</v>
      </c>
      <c r="X2125" s="1">
        <v>0</v>
      </c>
      <c r="Y2125" s="1" t="s">
        <v>104</v>
      </c>
      <c r="Z2125" s="1" t="s">
        <v>104</v>
      </c>
      <c r="AA2125" s="1" t="s">
        <v>104</v>
      </c>
      <c r="AB2125" s="1" t="s">
        <v>104</v>
      </c>
      <c r="AC2125" s="1" t="s">
        <v>104</v>
      </c>
      <c r="AD2125" s="1" t="s">
        <v>104</v>
      </c>
      <c r="AE2125" s="1" t="s">
        <v>104</v>
      </c>
      <c r="AF2125" s="1" t="s">
        <v>104</v>
      </c>
      <c r="AG2125" s="1" t="s">
        <v>104</v>
      </c>
      <c r="AH2125" s="1" t="s">
        <v>104</v>
      </c>
      <c r="AI2125" s="1" t="s">
        <v>104</v>
      </c>
      <c r="AJ2125" s="1" t="s">
        <v>104</v>
      </c>
      <c r="AK2125" s="1" t="s">
        <v>104</v>
      </c>
      <c r="AL2125" s="1" t="s">
        <v>104</v>
      </c>
      <c r="AM2125" s="1" t="s">
        <v>104</v>
      </c>
      <c r="AO2125" s="1" t="s">
        <v>104</v>
      </c>
      <c r="AQ2125" s="1" t="s">
        <v>11149</v>
      </c>
      <c r="AR2125" s="1">
        <v>0</v>
      </c>
      <c r="AS2125" s="1">
        <v>0</v>
      </c>
      <c r="AT2125" s="1">
        <v>0</v>
      </c>
      <c r="AU2125" s="1">
        <v>0</v>
      </c>
      <c r="AV2125" s="1">
        <v>0</v>
      </c>
      <c r="AW2125" s="1">
        <v>0</v>
      </c>
      <c r="AX2125" s="1">
        <v>0</v>
      </c>
      <c r="AY2125" s="1">
        <v>0</v>
      </c>
      <c r="AZ2125" s="1">
        <v>0</v>
      </c>
      <c r="BA2125" s="1">
        <v>0</v>
      </c>
      <c r="BB2125" s="1">
        <v>0</v>
      </c>
      <c r="BC2125" s="1">
        <v>0</v>
      </c>
      <c r="BD2125" s="1">
        <v>0</v>
      </c>
      <c r="BE2125" s="1">
        <v>0</v>
      </c>
      <c r="BF2125" s="1">
        <v>0</v>
      </c>
      <c r="BG2125" s="1">
        <v>0</v>
      </c>
      <c r="BH2125" s="1">
        <v>0</v>
      </c>
      <c r="BI2125" s="1">
        <v>0</v>
      </c>
      <c r="BJ2125" s="1">
        <v>0</v>
      </c>
      <c r="BK2125" s="1">
        <v>1</v>
      </c>
      <c r="BL2125" s="1">
        <v>0</v>
      </c>
      <c r="BM2125" s="1">
        <v>0</v>
      </c>
      <c r="BN2125" s="1">
        <v>0</v>
      </c>
      <c r="BO2125" s="1">
        <v>0</v>
      </c>
      <c r="BP2125" s="1">
        <v>0</v>
      </c>
      <c r="BQ2125" s="1" t="s">
        <v>104</v>
      </c>
      <c r="BR2125" s="1">
        <v>2241</v>
      </c>
      <c r="BS2125" s="1">
        <v>250</v>
      </c>
      <c r="BU2125" s="1" t="s">
        <v>11118</v>
      </c>
      <c r="BX2125" s="1">
        <v>0</v>
      </c>
      <c r="BY2125" s="1" t="s">
        <v>104</v>
      </c>
      <c r="BZ2125" s="1" t="s">
        <v>104</v>
      </c>
      <c r="CA2125" s="1">
        <v>6</v>
      </c>
      <c r="CB2125" s="1" t="s">
        <v>104</v>
      </c>
      <c r="CC2125" s="1">
        <v>5</v>
      </c>
      <c r="CD2125" s="1" t="s">
        <v>104</v>
      </c>
      <c r="CE2125" s="1" t="s">
        <v>104</v>
      </c>
      <c r="CF2125" s="1" t="s">
        <v>104</v>
      </c>
      <c r="CG2125" s="1" t="s">
        <v>104</v>
      </c>
      <c r="CH2125" s="1" t="s">
        <v>104</v>
      </c>
      <c r="CJ2125" s="1">
        <v>0</v>
      </c>
      <c r="CK2125" s="1">
        <v>0</v>
      </c>
      <c r="CL2125" s="1">
        <v>0</v>
      </c>
      <c r="CM2125" s="1" t="s">
        <v>104</v>
      </c>
    </row>
    <row r="2126" spans="1:91" ht="14.25" customHeight="1" x14ac:dyDescent="0.3">
      <c r="A2126" s="1" t="s">
        <v>11150</v>
      </c>
      <c r="B2126" s="1" t="s">
        <v>216</v>
      </c>
      <c r="E2126" s="1" t="s">
        <v>11151</v>
      </c>
      <c r="F2126" s="1" t="s">
        <v>95</v>
      </c>
      <c r="G2126" s="1" t="s">
        <v>116</v>
      </c>
      <c r="H2126" s="1">
        <v>0</v>
      </c>
      <c r="I2126" s="1" t="s">
        <v>109</v>
      </c>
      <c r="L2126" s="1" t="s">
        <v>11152</v>
      </c>
      <c r="M2126" s="1" t="s">
        <v>119</v>
      </c>
      <c r="N2126" s="1">
        <v>0</v>
      </c>
      <c r="O2126" s="1">
        <v>0</v>
      </c>
      <c r="P2126" s="1" t="s">
        <v>276</v>
      </c>
      <c r="Q2126" s="1" t="s">
        <v>184</v>
      </c>
      <c r="R2126" s="1" t="s">
        <v>11153</v>
      </c>
      <c r="S2126" s="1" t="s">
        <v>10570</v>
      </c>
      <c r="T2126" s="1">
        <v>1</v>
      </c>
      <c r="U2126" s="1">
        <v>1</v>
      </c>
      <c r="V2126" s="1">
        <v>0</v>
      </c>
      <c r="W2126" s="1">
        <v>0</v>
      </c>
      <c r="X2126" s="1">
        <v>0</v>
      </c>
      <c r="Y2126" s="1">
        <v>4</v>
      </c>
      <c r="Z2126" s="1">
        <v>4</v>
      </c>
      <c r="AA2126" s="1" t="s">
        <v>104</v>
      </c>
      <c r="AB2126" s="1" t="s">
        <v>104</v>
      </c>
      <c r="AC2126" s="1" t="s">
        <v>104</v>
      </c>
      <c r="AD2126" s="1" t="s">
        <v>104</v>
      </c>
      <c r="AE2126" s="1" t="s">
        <v>104</v>
      </c>
      <c r="AF2126" s="1" t="s">
        <v>104</v>
      </c>
      <c r="AG2126" s="1" t="s">
        <v>104</v>
      </c>
      <c r="AH2126" s="1">
        <v>4</v>
      </c>
      <c r="AI2126" s="1" t="s">
        <v>104</v>
      </c>
      <c r="AJ2126" s="1" t="s">
        <v>104</v>
      </c>
      <c r="AK2126" s="1" t="s">
        <v>104</v>
      </c>
      <c r="AL2126" s="1" t="s">
        <v>104</v>
      </c>
      <c r="AM2126" s="1" t="s">
        <v>104</v>
      </c>
      <c r="AO2126" s="1">
        <v>4</v>
      </c>
      <c r="AQ2126" s="1" t="s">
        <v>11154</v>
      </c>
      <c r="AR2126" s="1">
        <v>0</v>
      </c>
      <c r="AS2126" s="1">
        <v>0</v>
      </c>
      <c r="AT2126" s="1">
        <v>0</v>
      </c>
      <c r="AU2126" s="1">
        <v>0</v>
      </c>
      <c r="AV2126" s="1">
        <v>0</v>
      </c>
      <c r="AW2126" s="1">
        <v>0</v>
      </c>
      <c r="AX2126" s="1">
        <v>0</v>
      </c>
      <c r="AY2126" s="1">
        <v>0</v>
      </c>
      <c r="AZ2126" s="1">
        <v>0</v>
      </c>
      <c r="BA2126" s="1">
        <v>0</v>
      </c>
      <c r="BB2126" s="1">
        <v>0</v>
      </c>
      <c r="BC2126" s="1">
        <v>0</v>
      </c>
      <c r="BD2126" s="1">
        <v>0</v>
      </c>
      <c r="BE2126" s="1">
        <v>0</v>
      </c>
      <c r="BF2126" s="1">
        <v>0</v>
      </c>
      <c r="BG2126" s="1">
        <v>0</v>
      </c>
      <c r="BH2126" s="1">
        <v>0</v>
      </c>
      <c r="BI2126" s="1">
        <v>0</v>
      </c>
      <c r="BJ2126" s="1">
        <v>0</v>
      </c>
      <c r="BK2126" s="1">
        <v>0</v>
      </c>
      <c r="BL2126" s="1">
        <v>0</v>
      </c>
      <c r="BM2126" s="1">
        <v>0</v>
      </c>
      <c r="BN2126" s="1">
        <v>0</v>
      </c>
      <c r="BO2126" s="1">
        <v>0</v>
      </c>
      <c r="BP2126" s="1">
        <v>0</v>
      </c>
      <c r="BQ2126" s="1" t="s">
        <v>104</v>
      </c>
      <c r="BR2126" s="1">
        <v>2242</v>
      </c>
      <c r="BS2126" s="1" t="s">
        <v>104</v>
      </c>
      <c r="BX2126" s="1">
        <v>0</v>
      </c>
      <c r="BY2126" s="1" t="s">
        <v>104</v>
      </c>
      <c r="BZ2126" s="1" t="s">
        <v>104</v>
      </c>
      <c r="CA2126" s="1">
        <v>3</v>
      </c>
      <c r="CB2126" s="1">
        <v>2</v>
      </c>
      <c r="CC2126" s="1" t="s">
        <v>104</v>
      </c>
      <c r="CD2126" s="1">
        <v>2</v>
      </c>
      <c r="CE2126" s="1">
        <v>2</v>
      </c>
      <c r="CF2126" s="1" t="s">
        <v>104</v>
      </c>
      <c r="CG2126" s="1" t="s">
        <v>104</v>
      </c>
      <c r="CH2126" s="1" t="s">
        <v>104</v>
      </c>
      <c r="CJ2126" s="1">
        <v>0</v>
      </c>
      <c r="CK2126" s="1">
        <v>0</v>
      </c>
      <c r="CL2126" s="1">
        <v>0</v>
      </c>
      <c r="CM2126" s="1" t="s">
        <v>104</v>
      </c>
    </row>
    <row r="2127" spans="1:91" ht="14.25" customHeight="1" x14ac:dyDescent="0.3">
      <c r="A2127" s="1" t="s">
        <v>11155</v>
      </c>
      <c r="B2127" s="1" t="s">
        <v>507</v>
      </c>
      <c r="C2127" s="1" t="s">
        <v>508</v>
      </c>
      <c r="E2127" s="1" t="s">
        <v>10788</v>
      </c>
      <c r="F2127" s="1" t="s">
        <v>95</v>
      </c>
      <c r="G2127" s="1" t="s">
        <v>116</v>
      </c>
      <c r="H2127" s="1">
        <v>0</v>
      </c>
      <c r="I2127" s="1" t="s">
        <v>128</v>
      </c>
      <c r="L2127" s="1" t="s">
        <v>2630</v>
      </c>
      <c r="M2127" s="1" t="s">
        <v>4992</v>
      </c>
      <c r="N2127" s="1">
        <v>1</v>
      </c>
      <c r="O2127" s="1">
        <v>0</v>
      </c>
      <c r="P2127" s="1" t="s">
        <v>11156</v>
      </c>
      <c r="Q2127" s="1" t="s">
        <v>145</v>
      </c>
      <c r="R2127" s="1" t="s">
        <v>11157</v>
      </c>
      <c r="S2127" s="1" t="s">
        <v>10570</v>
      </c>
      <c r="T2127" s="1">
        <v>1</v>
      </c>
      <c r="U2127" s="1">
        <v>1</v>
      </c>
      <c r="V2127" s="1">
        <v>0</v>
      </c>
      <c r="W2127" s="1">
        <v>0</v>
      </c>
      <c r="X2127" s="1">
        <v>0</v>
      </c>
      <c r="Y2127" s="1">
        <v>1</v>
      </c>
      <c r="Z2127" s="1">
        <v>1</v>
      </c>
      <c r="AA2127" s="1" t="s">
        <v>104</v>
      </c>
      <c r="AB2127" s="1" t="s">
        <v>104</v>
      </c>
      <c r="AC2127" s="1" t="s">
        <v>104</v>
      </c>
      <c r="AD2127" s="1">
        <v>1</v>
      </c>
      <c r="AE2127" s="1" t="s">
        <v>104</v>
      </c>
      <c r="AF2127" s="1" t="s">
        <v>104</v>
      </c>
      <c r="AG2127" s="1" t="s">
        <v>104</v>
      </c>
      <c r="AH2127" s="1" t="s">
        <v>104</v>
      </c>
      <c r="AI2127" s="1" t="s">
        <v>104</v>
      </c>
      <c r="AJ2127" s="1" t="s">
        <v>104</v>
      </c>
      <c r="AK2127" s="1" t="s">
        <v>104</v>
      </c>
      <c r="AL2127" s="1" t="s">
        <v>104</v>
      </c>
      <c r="AM2127" s="1" t="s">
        <v>104</v>
      </c>
      <c r="AO2127" s="1">
        <v>1</v>
      </c>
      <c r="AQ2127" s="1" t="s">
        <v>11158</v>
      </c>
      <c r="AR2127" s="1">
        <v>0</v>
      </c>
      <c r="AS2127" s="1">
        <v>0</v>
      </c>
      <c r="AT2127" s="1">
        <v>0</v>
      </c>
      <c r="AU2127" s="1">
        <v>0</v>
      </c>
      <c r="AV2127" s="1">
        <v>0</v>
      </c>
      <c r="AW2127" s="1">
        <v>0</v>
      </c>
      <c r="AX2127" s="1">
        <v>0</v>
      </c>
      <c r="AY2127" s="1">
        <v>0</v>
      </c>
      <c r="AZ2127" s="1">
        <v>0</v>
      </c>
      <c r="BA2127" s="1">
        <v>0</v>
      </c>
      <c r="BB2127" s="1">
        <v>0</v>
      </c>
      <c r="BC2127" s="1">
        <v>0</v>
      </c>
      <c r="BD2127" s="1">
        <v>0</v>
      </c>
      <c r="BE2127" s="1">
        <v>0</v>
      </c>
      <c r="BF2127" s="1">
        <v>0</v>
      </c>
      <c r="BG2127" s="1">
        <v>0</v>
      </c>
      <c r="BH2127" s="1">
        <v>0</v>
      </c>
      <c r="BI2127" s="1">
        <v>0</v>
      </c>
      <c r="BJ2127" s="1">
        <v>0</v>
      </c>
      <c r="BK2127" s="1">
        <v>0</v>
      </c>
      <c r="BL2127" s="1">
        <v>0</v>
      </c>
      <c r="BM2127" s="1">
        <v>0</v>
      </c>
      <c r="BN2127" s="1">
        <v>0</v>
      </c>
      <c r="BO2127" s="1">
        <v>0</v>
      </c>
      <c r="BP2127" s="1">
        <v>0</v>
      </c>
      <c r="BQ2127" s="1" t="s">
        <v>104</v>
      </c>
      <c r="BR2127" s="1">
        <v>2243</v>
      </c>
      <c r="BS2127" s="1" t="s">
        <v>104</v>
      </c>
      <c r="BX2127" s="1">
        <v>0</v>
      </c>
      <c r="BY2127" s="1" t="s">
        <v>104</v>
      </c>
      <c r="BZ2127" s="1" t="s">
        <v>104</v>
      </c>
      <c r="CA2127" s="1">
        <v>1</v>
      </c>
      <c r="CB2127" s="1">
        <v>1</v>
      </c>
      <c r="CC2127" s="1">
        <v>1</v>
      </c>
      <c r="CD2127" s="1">
        <v>1</v>
      </c>
      <c r="CE2127" s="1" t="s">
        <v>104</v>
      </c>
      <c r="CF2127" s="1" t="s">
        <v>104</v>
      </c>
      <c r="CG2127" s="1" t="s">
        <v>104</v>
      </c>
      <c r="CH2127" s="1" t="s">
        <v>104</v>
      </c>
      <c r="CJ2127" s="1">
        <v>0</v>
      </c>
      <c r="CK2127" s="1">
        <v>0</v>
      </c>
      <c r="CL2127" s="1">
        <v>0</v>
      </c>
      <c r="CM2127" s="1" t="s">
        <v>104</v>
      </c>
    </row>
    <row r="2128" spans="1:91" ht="14.25" customHeight="1" x14ac:dyDescent="0.3">
      <c r="A2128" s="1" t="s">
        <v>11159</v>
      </c>
      <c r="B2128" s="1" t="s">
        <v>172</v>
      </c>
      <c r="C2128" s="1" t="s">
        <v>285</v>
      </c>
      <c r="E2128" s="1" t="s">
        <v>11160</v>
      </c>
      <c r="F2128" s="1" t="s">
        <v>273</v>
      </c>
      <c r="G2128" s="1" t="s">
        <v>11161</v>
      </c>
      <c r="H2128" s="1">
        <v>0</v>
      </c>
      <c r="I2128" s="1" t="s">
        <v>145</v>
      </c>
      <c r="L2128" s="1" t="s">
        <v>158</v>
      </c>
      <c r="M2128" s="1" t="s">
        <v>119</v>
      </c>
      <c r="N2128" s="1">
        <v>0</v>
      </c>
      <c r="O2128" s="1">
        <v>0</v>
      </c>
      <c r="R2128" s="1" t="s">
        <v>11162</v>
      </c>
      <c r="S2128" s="1" t="s">
        <v>10570</v>
      </c>
      <c r="T2128" s="1">
        <v>1</v>
      </c>
      <c r="U2128" s="1">
        <v>1</v>
      </c>
      <c r="V2128" s="1">
        <v>1</v>
      </c>
      <c r="W2128" s="1">
        <v>0</v>
      </c>
      <c r="X2128" s="1">
        <v>0</v>
      </c>
      <c r="Y2128" s="1" t="s">
        <v>104</v>
      </c>
      <c r="Z2128" s="1" t="s">
        <v>104</v>
      </c>
      <c r="AA2128" s="1" t="s">
        <v>104</v>
      </c>
      <c r="AB2128" s="1" t="s">
        <v>104</v>
      </c>
      <c r="AC2128" s="1" t="s">
        <v>104</v>
      </c>
      <c r="AD2128" s="1" t="s">
        <v>104</v>
      </c>
      <c r="AE2128" s="1" t="s">
        <v>104</v>
      </c>
      <c r="AF2128" s="1" t="s">
        <v>104</v>
      </c>
      <c r="AG2128" s="1" t="s">
        <v>104</v>
      </c>
      <c r="AH2128" s="1" t="s">
        <v>104</v>
      </c>
      <c r="AI2128" s="1" t="s">
        <v>104</v>
      </c>
      <c r="AJ2128" s="1" t="s">
        <v>104</v>
      </c>
      <c r="AK2128" s="1" t="s">
        <v>104</v>
      </c>
      <c r="AL2128" s="1" t="s">
        <v>104</v>
      </c>
      <c r="AM2128" s="1" t="s">
        <v>104</v>
      </c>
      <c r="AO2128" s="1" t="s">
        <v>104</v>
      </c>
      <c r="AQ2128" s="1" t="s">
        <v>11163</v>
      </c>
      <c r="AR2128" s="1">
        <v>0</v>
      </c>
      <c r="AS2128" s="1">
        <v>0</v>
      </c>
      <c r="AT2128" s="1">
        <v>0</v>
      </c>
      <c r="AU2128" s="1">
        <v>0</v>
      </c>
      <c r="AV2128" s="1">
        <v>0</v>
      </c>
      <c r="AW2128" s="1">
        <v>0</v>
      </c>
      <c r="AX2128" s="1">
        <v>0</v>
      </c>
      <c r="AY2128" s="1">
        <v>0</v>
      </c>
      <c r="AZ2128" s="1">
        <v>0</v>
      </c>
      <c r="BA2128" s="1">
        <v>0</v>
      </c>
      <c r="BB2128" s="1">
        <v>0</v>
      </c>
      <c r="BC2128" s="1">
        <v>0</v>
      </c>
      <c r="BD2128" s="1">
        <v>0</v>
      </c>
      <c r="BE2128" s="1">
        <v>0</v>
      </c>
      <c r="BF2128" s="1">
        <v>0</v>
      </c>
      <c r="BG2128" s="1">
        <v>0</v>
      </c>
      <c r="BH2128" s="1">
        <v>0</v>
      </c>
      <c r="BI2128" s="1">
        <v>0</v>
      </c>
      <c r="BJ2128" s="1">
        <v>0</v>
      </c>
      <c r="BK2128" s="1">
        <v>0</v>
      </c>
      <c r="BL2128" s="1">
        <v>0</v>
      </c>
      <c r="BM2128" s="1">
        <v>0</v>
      </c>
      <c r="BN2128" s="1">
        <v>0</v>
      </c>
      <c r="BO2128" s="1">
        <v>0</v>
      </c>
      <c r="BP2128" s="1">
        <v>0</v>
      </c>
      <c r="BQ2128" s="1" t="s">
        <v>104</v>
      </c>
      <c r="BR2128" s="1">
        <v>2244</v>
      </c>
      <c r="BS2128" s="1" t="s">
        <v>104</v>
      </c>
      <c r="BX2128" s="1">
        <v>0</v>
      </c>
      <c r="BY2128" s="1" t="s">
        <v>104</v>
      </c>
      <c r="BZ2128" s="1" t="s">
        <v>104</v>
      </c>
      <c r="CA2128" s="1">
        <v>5</v>
      </c>
      <c r="CB2128" s="1">
        <v>4</v>
      </c>
      <c r="CC2128" s="1" t="s">
        <v>104</v>
      </c>
      <c r="CD2128" s="1">
        <v>5</v>
      </c>
      <c r="CE2128" s="1">
        <v>5</v>
      </c>
      <c r="CF2128" s="1" t="s">
        <v>104</v>
      </c>
      <c r="CG2128" s="1" t="s">
        <v>104</v>
      </c>
      <c r="CH2128" s="1" t="s">
        <v>104</v>
      </c>
      <c r="CJ2128" s="1">
        <v>0</v>
      </c>
      <c r="CK2128" s="1">
        <v>0</v>
      </c>
      <c r="CL2128" s="1">
        <v>0</v>
      </c>
      <c r="CM2128" s="1" t="s">
        <v>104</v>
      </c>
    </row>
    <row r="2129" spans="1:91" ht="14.25" customHeight="1" x14ac:dyDescent="0.3">
      <c r="A2129" s="1" t="s">
        <v>11164</v>
      </c>
      <c r="B2129" s="1" t="s">
        <v>123</v>
      </c>
      <c r="C2129" s="1" t="s">
        <v>124</v>
      </c>
      <c r="D2129" s="1" t="s">
        <v>125</v>
      </c>
      <c r="E2129" s="1" t="s">
        <v>11165</v>
      </c>
      <c r="F2129" s="1" t="s">
        <v>255</v>
      </c>
      <c r="G2129" s="1" t="s">
        <v>116</v>
      </c>
      <c r="H2129" s="1">
        <v>0</v>
      </c>
      <c r="I2129" s="1" t="s">
        <v>157</v>
      </c>
      <c r="L2129" s="1" t="s">
        <v>158</v>
      </c>
      <c r="M2129" s="1" t="s">
        <v>119</v>
      </c>
      <c r="N2129" s="1">
        <v>0</v>
      </c>
      <c r="O2129" s="1">
        <v>0</v>
      </c>
      <c r="R2129" s="1" t="s">
        <v>11166</v>
      </c>
      <c r="S2129" s="1" t="s">
        <v>10570</v>
      </c>
      <c r="T2129" s="1">
        <v>1</v>
      </c>
      <c r="U2129" s="1">
        <v>1</v>
      </c>
      <c r="V2129" s="1">
        <v>0</v>
      </c>
      <c r="W2129" s="1">
        <v>0</v>
      </c>
      <c r="X2129" s="1">
        <v>0</v>
      </c>
      <c r="Y2129" s="1" t="s">
        <v>104</v>
      </c>
      <c r="Z2129" s="1" t="s">
        <v>104</v>
      </c>
      <c r="AA2129" s="1" t="s">
        <v>104</v>
      </c>
      <c r="AB2129" s="1" t="s">
        <v>104</v>
      </c>
      <c r="AC2129" s="1" t="s">
        <v>104</v>
      </c>
      <c r="AD2129" s="1">
        <v>5</v>
      </c>
      <c r="AE2129" s="1" t="s">
        <v>104</v>
      </c>
      <c r="AF2129" s="1" t="s">
        <v>104</v>
      </c>
      <c r="AG2129" s="1" t="s">
        <v>104</v>
      </c>
      <c r="AH2129" s="1" t="s">
        <v>104</v>
      </c>
      <c r="AI2129" s="1" t="s">
        <v>104</v>
      </c>
      <c r="AJ2129" s="1" t="s">
        <v>104</v>
      </c>
      <c r="AK2129" s="1" t="s">
        <v>104</v>
      </c>
      <c r="AL2129" s="1" t="s">
        <v>104</v>
      </c>
      <c r="AM2129" s="1" t="s">
        <v>104</v>
      </c>
      <c r="AO2129" s="1">
        <v>5</v>
      </c>
      <c r="AQ2129" s="1" t="s">
        <v>11167</v>
      </c>
      <c r="AR2129" s="1">
        <v>0</v>
      </c>
      <c r="AS2129" s="1">
        <v>0</v>
      </c>
      <c r="AT2129" s="1">
        <v>0</v>
      </c>
      <c r="AU2129" s="1">
        <v>0</v>
      </c>
      <c r="AV2129" s="1">
        <v>0</v>
      </c>
      <c r="AW2129" s="1">
        <v>0</v>
      </c>
      <c r="AX2129" s="1">
        <v>0</v>
      </c>
      <c r="AY2129" s="1">
        <v>0</v>
      </c>
      <c r="AZ2129" s="1">
        <v>0</v>
      </c>
      <c r="BA2129" s="1">
        <v>0</v>
      </c>
      <c r="BB2129" s="1">
        <v>0</v>
      </c>
      <c r="BC2129" s="1">
        <v>0</v>
      </c>
      <c r="BD2129" s="1">
        <v>0</v>
      </c>
      <c r="BE2129" s="1">
        <v>0</v>
      </c>
      <c r="BF2129" s="1">
        <v>0</v>
      </c>
      <c r="BG2129" s="1">
        <v>0</v>
      </c>
      <c r="BH2129" s="1">
        <v>0</v>
      </c>
      <c r="BI2129" s="1">
        <v>0</v>
      </c>
      <c r="BJ2129" s="1">
        <v>0</v>
      </c>
      <c r="BK2129" s="1">
        <v>1</v>
      </c>
      <c r="BL2129" s="1">
        <v>0</v>
      </c>
      <c r="BM2129" s="1">
        <v>0</v>
      </c>
      <c r="BN2129" s="1">
        <v>0</v>
      </c>
      <c r="BO2129" s="1">
        <v>0</v>
      </c>
      <c r="BP2129" s="1">
        <v>0</v>
      </c>
      <c r="BQ2129" s="1" t="s">
        <v>104</v>
      </c>
      <c r="BR2129" s="1">
        <v>2245</v>
      </c>
      <c r="BS2129" s="1" t="s">
        <v>104</v>
      </c>
      <c r="BX2129" s="1">
        <v>0</v>
      </c>
      <c r="BY2129" s="1" t="s">
        <v>104</v>
      </c>
      <c r="BZ2129" s="1" t="s">
        <v>104</v>
      </c>
      <c r="CA2129" s="1">
        <v>6</v>
      </c>
      <c r="CB2129" s="1" t="s">
        <v>104</v>
      </c>
      <c r="CC2129" s="1">
        <v>5</v>
      </c>
      <c r="CD2129" s="1" t="s">
        <v>104</v>
      </c>
      <c r="CE2129" s="1" t="s">
        <v>104</v>
      </c>
      <c r="CF2129" s="1" t="s">
        <v>104</v>
      </c>
      <c r="CG2129" s="1" t="s">
        <v>104</v>
      </c>
      <c r="CH2129" s="1" t="s">
        <v>104</v>
      </c>
      <c r="CJ2129" s="1">
        <v>0</v>
      </c>
      <c r="CK2129" s="1">
        <v>0</v>
      </c>
      <c r="CL2129" s="1">
        <v>0</v>
      </c>
      <c r="CM2129" s="1" t="s">
        <v>104</v>
      </c>
    </row>
    <row r="2130" spans="1:91" ht="14.25" customHeight="1" x14ac:dyDescent="0.3">
      <c r="A2130" s="1" t="s">
        <v>11168</v>
      </c>
      <c r="B2130" s="1" t="s">
        <v>172</v>
      </c>
      <c r="E2130" s="1" t="s">
        <v>11169</v>
      </c>
      <c r="F2130" s="1" t="s">
        <v>191</v>
      </c>
      <c r="G2130" s="1" t="s">
        <v>116</v>
      </c>
      <c r="H2130" s="1">
        <v>0</v>
      </c>
      <c r="I2130" s="1" t="s">
        <v>157</v>
      </c>
      <c r="L2130" s="1" t="s">
        <v>158</v>
      </c>
      <c r="M2130" s="1" t="s">
        <v>5420</v>
      </c>
      <c r="N2130" s="1">
        <v>0</v>
      </c>
      <c r="O2130" s="1">
        <v>0</v>
      </c>
      <c r="R2130" s="1" t="s">
        <v>11170</v>
      </c>
      <c r="S2130" s="1" t="s">
        <v>10570</v>
      </c>
      <c r="T2130" s="1">
        <v>1</v>
      </c>
      <c r="U2130" s="1">
        <v>1</v>
      </c>
      <c r="V2130" s="1">
        <v>0</v>
      </c>
      <c r="W2130" s="1">
        <v>0</v>
      </c>
      <c r="X2130" s="1">
        <v>0</v>
      </c>
      <c r="Y2130" s="1">
        <v>7</v>
      </c>
      <c r="Z2130" s="1">
        <v>7</v>
      </c>
      <c r="AA2130" s="1" t="s">
        <v>104</v>
      </c>
      <c r="AB2130" s="1" t="s">
        <v>104</v>
      </c>
      <c r="AC2130" s="1" t="s">
        <v>104</v>
      </c>
      <c r="AD2130" s="1" t="s">
        <v>104</v>
      </c>
      <c r="AE2130" s="1" t="s">
        <v>104</v>
      </c>
      <c r="AF2130" s="1" t="s">
        <v>104</v>
      </c>
      <c r="AG2130" s="1" t="s">
        <v>104</v>
      </c>
      <c r="AH2130" s="1" t="s">
        <v>104</v>
      </c>
      <c r="AI2130" s="1" t="s">
        <v>104</v>
      </c>
      <c r="AJ2130" s="1" t="s">
        <v>104</v>
      </c>
      <c r="AK2130" s="1" t="s">
        <v>104</v>
      </c>
      <c r="AL2130" s="1" t="s">
        <v>104</v>
      </c>
      <c r="AM2130" s="1" t="s">
        <v>104</v>
      </c>
      <c r="AO2130" s="1">
        <v>7</v>
      </c>
      <c r="AQ2130" s="1" t="s">
        <v>11171</v>
      </c>
      <c r="AR2130" s="1">
        <v>0</v>
      </c>
      <c r="AS2130" s="1">
        <v>0</v>
      </c>
      <c r="AT2130" s="1">
        <v>0</v>
      </c>
      <c r="AU2130" s="1">
        <v>0</v>
      </c>
      <c r="AV2130" s="1">
        <v>0</v>
      </c>
      <c r="AW2130" s="1">
        <v>0</v>
      </c>
      <c r="AX2130" s="1">
        <v>0</v>
      </c>
      <c r="AY2130" s="1">
        <v>0</v>
      </c>
      <c r="AZ2130" s="1">
        <v>0</v>
      </c>
      <c r="BA2130" s="1">
        <v>0</v>
      </c>
      <c r="BB2130" s="1">
        <v>0</v>
      </c>
      <c r="BC2130" s="1">
        <v>0</v>
      </c>
      <c r="BD2130" s="1">
        <v>0</v>
      </c>
      <c r="BE2130" s="1">
        <v>0</v>
      </c>
      <c r="BF2130" s="1">
        <v>0</v>
      </c>
      <c r="BG2130" s="1">
        <v>0</v>
      </c>
      <c r="BH2130" s="1">
        <v>0</v>
      </c>
      <c r="BI2130" s="1">
        <v>0</v>
      </c>
      <c r="BJ2130" s="1">
        <v>0</v>
      </c>
      <c r="BK2130" s="1">
        <v>0</v>
      </c>
      <c r="BL2130" s="1">
        <v>0</v>
      </c>
      <c r="BM2130" s="1">
        <v>0</v>
      </c>
      <c r="BN2130" s="1">
        <v>0</v>
      </c>
      <c r="BO2130" s="1">
        <v>0</v>
      </c>
      <c r="BP2130" s="1">
        <v>0</v>
      </c>
      <c r="BQ2130" s="1" t="s">
        <v>104</v>
      </c>
      <c r="BR2130" s="1">
        <v>2246</v>
      </c>
      <c r="BS2130" s="1" t="s">
        <v>104</v>
      </c>
      <c r="BX2130" s="1">
        <v>0</v>
      </c>
      <c r="BY2130" s="1" t="s">
        <v>104</v>
      </c>
      <c r="BZ2130" s="1" t="s">
        <v>104</v>
      </c>
      <c r="CA2130" s="1">
        <v>5</v>
      </c>
      <c r="CB2130" s="1">
        <v>3</v>
      </c>
      <c r="CC2130" s="1" t="s">
        <v>104</v>
      </c>
      <c r="CD2130" s="1">
        <v>3</v>
      </c>
      <c r="CE2130" s="1" t="s">
        <v>104</v>
      </c>
      <c r="CF2130" s="1" t="s">
        <v>104</v>
      </c>
      <c r="CG2130" s="1" t="s">
        <v>104</v>
      </c>
      <c r="CH2130" s="1" t="s">
        <v>104</v>
      </c>
      <c r="CJ2130" s="1">
        <v>0</v>
      </c>
      <c r="CK2130" s="1">
        <v>0</v>
      </c>
      <c r="CL2130" s="1">
        <v>0</v>
      </c>
      <c r="CM2130" s="1" t="s">
        <v>104</v>
      </c>
    </row>
    <row r="2131" spans="1:91" ht="14.25" customHeight="1" x14ac:dyDescent="0.3">
      <c r="A2131" s="1" t="s">
        <v>11172</v>
      </c>
      <c r="B2131" s="1" t="s">
        <v>216</v>
      </c>
      <c r="E2131" s="1" t="s">
        <v>11173</v>
      </c>
      <c r="F2131" s="1" t="s">
        <v>95</v>
      </c>
      <c r="G2131" s="1" t="s">
        <v>116</v>
      </c>
      <c r="H2131" s="1">
        <v>0</v>
      </c>
      <c r="I2131" s="1" t="s">
        <v>109</v>
      </c>
      <c r="L2131" s="1" t="s">
        <v>1065</v>
      </c>
      <c r="M2131" s="1" t="s">
        <v>11174</v>
      </c>
      <c r="N2131" s="1">
        <v>1</v>
      </c>
      <c r="O2131" s="1">
        <v>0</v>
      </c>
      <c r="P2131" s="1" t="s">
        <v>211</v>
      </c>
      <c r="Q2131" s="1" t="s">
        <v>184</v>
      </c>
      <c r="R2131" s="1" t="s">
        <v>11175</v>
      </c>
      <c r="S2131" s="1" t="s">
        <v>10570</v>
      </c>
      <c r="T2131" s="1">
        <v>1</v>
      </c>
      <c r="U2131" s="1">
        <v>1</v>
      </c>
      <c r="V2131" s="1">
        <v>0</v>
      </c>
      <c r="W2131" s="1">
        <v>0</v>
      </c>
      <c r="X2131" s="1">
        <v>0</v>
      </c>
      <c r="Y2131" s="1">
        <v>4</v>
      </c>
      <c r="Z2131" s="1">
        <v>4</v>
      </c>
      <c r="AA2131" s="1" t="s">
        <v>104</v>
      </c>
      <c r="AB2131" s="1" t="s">
        <v>104</v>
      </c>
      <c r="AC2131" s="1" t="s">
        <v>104</v>
      </c>
      <c r="AD2131" s="1" t="s">
        <v>104</v>
      </c>
      <c r="AE2131" s="1" t="s">
        <v>104</v>
      </c>
      <c r="AF2131" s="1" t="s">
        <v>104</v>
      </c>
      <c r="AG2131" s="1">
        <v>4</v>
      </c>
      <c r="AH2131" s="1">
        <v>4</v>
      </c>
      <c r="AI2131" s="1" t="s">
        <v>104</v>
      </c>
      <c r="AJ2131" s="1" t="s">
        <v>104</v>
      </c>
      <c r="AK2131" s="1" t="s">
        <v>104</v>
      </c>
      <c r="AL2131" s="1" t="s">
        <v>104</v>
      </c>
      <c r="AM2131" s="1" t="s">
        <v>104</v>
      </c>
      <c r="AO2131" s="1">
        <v>4</v>
      </c>
      <c r="AQ2131" s="1" t="s">
        <v>11176</v>
      </c>
      <c r="AR2131" s="1">
        <v>0</v>
      </c>
      <c r="AS2131" s="1">
        <v>0</v>
      </c>
      <c r="AT2131" s="1">
        <v>0</v>
      </c>
      <c r="AU2131" s="1">
        <v>0</v>
      </c>
      <c r="AV2131" s="1">
        <v>0</v>
      </c>
      <c r="AW2131" s="1">
        <v>0</v>
      </c>
      <c r="AX2131" s="1">
        <v>0</v>
      </c>
      <c r="AY2131" s="1">
        <v>0</v>
      </c>
      <c r="AZ2131" s="1">
        <v>0</v>
      </c>
      <c r="BA2131" s="1">
        <v>0</v>
      </c>
      <c r="BB2131" s="1">
        <v>0</v>
      </c>
      <c r="BC2131" s="1">
        <v>0</v>
      </c>
      <c r="BD2131" s="1">
        <v>0</v>
      </c>
      <c r="BE2131" s="1">
        <v>0</v>
      </c>
      <c r="BF2131" s="1">
        <v>0</v>
      </c>
      <c r="BG2131" s="1">
        <v>0</v>
      </c>
      <c r="BH2131" s="1">
        <v>0</v>
      </c>
      <c r="BI2131" s="1">
        <v>0</v>
      </c>
      <c r="BJ2131" s="1">
        <v>0</v>
      </c>
      <c r="BK2131" s="1">
        <v>0</v>
      </c>
      <c r="BL2131" s="1">
        <v>0</v>
      </c>
      <c r="BM2131" s="1">
        <v>0</v>
      </c>
      <c r="BN2131" s="1">
        <v>0</v>
      </c>
      <c r="BO2131" s="1">
        <v>0</v>
      </c>
      <c r="BP2131" s="1">
        <v>0</v>
      </c>
      <c r="BQ2131" s="1" t="s">
        <v>104</v>
      </c>
      <c r="BR2131" s="1">
        <v>2247</v>
      </c>
      <c r="BS2131" s="1" t="s">
        <v>104</v>
      </c>
      <c r="BX2131" s="1">
        <v>0</v>
      </c>
      <c r="BY2131" s="1" t="s">
        <v>104</v>
      </c>
      <c r="BZ2131" s="1" t="s">
        <v>104</v>
      </c>
      <c r="CA2131" s="1">
        <v>4</v>
      </c>
      <c r="CB2131" s="1">
        <v>2</v>
      </c>
      <c r="CC2131" s="1">
        <v>4</v>
      </c>
      <c r="CD2131" s="1">
        <v>3</v>
      </c>
      <c r="CE2131" s="1">
        <v>3</v>
      </c>
      <c r="CF2131" s="1" t="s">
        <v>104</v>
      </c>
      <c r="CG2131" s="1" t="s">
        <v>104</v>
      </c>
      <c r="CH2131" s="1" t="s">
        <v>104</v>
      </c>
      <c r="CJ2131" s="1">
        <v>0</v>
      </c>
      <c r="CK2131" s="1">
        <v>0</v>
      </c>
      <c r="CL2131" s="1">
        <v>0</v>
      </c>
      <c r="CM2131" s="1">
        <v>4</v>
      </c>
    </row>
    <row r="2132" spans="1:91" ht="14.25" customHeight="1" x14ac:dyDescent="0.3">
      <c r="A2132" s="1" t="s">
        <v>11177</v>
      </c>
      <c r="B2132" s="1" t="s">
        <v>162</v>
      </c>
      <c r="E2132" s="1" t="s">
        <v>11178</v>
      </c>
      <c r="F2132" s="1" t="s">
        <v>95</v>
      </c>
      <c r="G2132" s="1" t="s">
        <v>1802</v>
      </c>
      <c r="H2132" s="1">
        <v>0</v>
      </c>
      <c r="I2132" s="1" t="s">
        <v>6262</v>
      </c>
      <c r="L2132" s="1" t="s">
        <v>1065</v>
      </c>
      <c r="M2132" s="1" t="s">
        <v>111</v>
      </c>
      <c r="N2132" s="1">
        <v>0</v>
      </c>
      <c r="O2132" s="1">
        <v>0</v>
      </c>
      <c r="P2132" s="1" t="s">
        <v>100</v>
      </c>
      <c r="Q2132" s="1" t="s">
        <v>184</v>
      </c>
      <c r="R2132" s="1" t="s">
        <v>11179</v>
      </c>
      <c r="S2132" s="1" t="s">
        <v>10570</v>
      </c>
      <c r="T2132" s="1">
        <v>0</v>
      </c>
      <c r="U2132" s="1">
        <v>1</v>
      </c>
      <c r="V2132" s="1">
        <v>0</v>
      </c>
      <c r="W2132" s="1">
        <v>0</v>
      </c>
      <c r="X2132" s="1">
        <v>0</v>
      </c>
      <c r="Y2132" s="1" t="s">
        <v>104</v>
      </c>
      <c r="Z2132" s="1" t="s">
        <v>104</v>
      </c>
      <c r="AA2132" s="1" t="s">
        <v>104</v>
      </c>
      <c r="AB2132" s="1" t="s">
        <v>104</v>
      </c>
      <c r="AC2132" s="1" t="s">
        <v>104</v>
      </c>
      <c r="AD2132" s="1" t="s">
        <v>104</v>
      </c>
      <c r="AE2132" s="1" t="s">
        <v>104</v>
      </c>
      <c r="AF2132" s="1" t="s">
        <v>104</v>
      </c>
      <c r="AG2132" s="1" t="s">
        <v>104</v>
      </c>
      <c r="AH2132" s="1" t="s">
        <v>104</v>
      </c>
      <c r="AI2132" s="1" t="s">
        <v>104</v>
      </c>
      <c r="AJ2132" s="1" t="s">
        <v>104</v>
      </c>
      <c r="AK2132" s="1" t="s">
        <v>104</v>
      </c>
      <c r="AL2132" s="1" t="s">
        <v>104</v>
      </c>
      <c r="AM2132" s="1" t="s">
        <v>104</v>
      </c>
      <c r="AO2132" s="1" t="s">
        <v>104</v>
      </c>
      <c r="AQ2132" s="1" t="s">
        <v>11180</v>
      </c>
      <c r="AR2132" s="1">
        <v>0</v>
      </c>
      <c r="AS2132" s="1">
        <v>0</v>
      </c>
      <c r="AT2132" s="1">
        <v>0</v>
      </c>
      <c r="AU2132" s="1">
        <v>0</v>
      </c>
      <c r="AV2132" s="1">
        <v>0</v>
      </c>
      <c r="AW2132" s="1">
        <v>0</v>
      </c>
      <c r="AX2132" s="1">
        <v>0</v>
      </c>
      <c r="AY2132" s="1">
        <v>0</v>
      </c>
      <c r="AZ2132" s="1">
        <v>0</v>
      </c>
      <c r="BA2132" s="1">
        <v>0</v>
      </c>
      <c r="BB2132" s="1">
        <v>0</v>
      </c>
      <c r="BC2132" s="1">
        <v>0</v>
      </c>
      <c r="BD2132" s="1">
        <v>0</v>
      </c>
      <c r="BE2132" s="1">
        <v>0</v>
      </c>
      <c r="BF2132" s="1">
        <v>0</v>
      </c>
      <c r="BG2132" s="1">
        <v>0</v>
      </c>
      <c r="BH2132" s="1">
        <v>0</v>
      </c>
      <c r="BI2132" s="1">
        <v>0</v>
      </c>
      <c r="BJ2132" s="1">
        <v>0</v>
      </c>
      <c r="BK2132" s="1">
        <v>0</v>
      </c>
      <c r="BL2132" s="1">
        <v>0</v>
      </c>
      <c r="BM2132" s="1">
        <v>0</v>
      </c>
      <c r="BN2132" s="1">
        <v>0</v>
      </c>
      <c r="BO2132" s="1">
        <v>0</v>
      </c>
      <c r="BP2132" s="1">
        <v>0</v>
      </c>
      <c r="BQ2132" s="1" t="s">
        <v>104</v>
      </c>
      <c r="BR2132" s="1">
        <v>2248</v>
      </c>
      <c r="BS2132" s="1" t="s">
        <v>104</v>
      </c>
      <c r="BX2132" s="1">
        <v>0</v>
      </c>
      <c r="BY2132" s="1" t="s">
        <v>104</v>
      </c>
      <c r="BZ2132" s="1" t="s">
        <v>104</v>
      </c>
      <c r="CA2132" s="1" t="s">
        <v>104</v>
      </c>
      <c r="CB2132" s="1">
        <v>2</v>
      </c>
      <c r="CC2132" s="1" t="s">
        <v>104</v>
      </c>
      <c r="CD2132" s="1" t="s">
        <v>104</v>
      </c>
      <c r="CE2132" s="1">
        <v>3</v>
      </c>
      <c r="CF2132" s="1" t="s">
        <v>104</v>
      </c>
      <c r="CG2132" s="1" t="s">
        <v>104</v>
      </c>
      <c r="CH2132" s="1" t="s">
        <v>104</v>
      </c>
      <c r="CJ2132" s="1">
        <v>0</v>
      </c>
      <c r="CK2132" s="1">
        <v>0</v>
      </c>
      <c r="CL2132" s="1">
        <v>0</v>
      </c>
      <c r="CM2132" s="1" t="s">
        <v>104</v>
      </c>
    </row>
    <row r="2133" spans="1:91" ht="14.25" customHeight="1" x14ac:dyDescent="0.3">
      <c r="A2133" s="1" t="s">
        <v>11181</v>
      </c>
      <c r="B2133" s="1" t="s">
        <v>162</v>
      </c>
      <c r="E2133" s="1" t="s">
        <v>11182</v>
      </c>
      <c r="F2133" s="1" t="s">
        <v>95</v>
      </c>
      <c r="G2133" s="1" t="s">
        <v>1802</v>
      </c>
      <c r="H2133" s="1">
        <v>0</v>
      </c>
      <c r="I2133" s="1" t="s">
        <v>6262</v>
      </c>
      <c r="L2133" s="1" t="s">
        <v>1065</v>
      </c>
      <c r="M2133" s="1" t="s">
        <v>2330</v>
      </c>
      <c r="N2133" s="1">
        <v>0</v>
      </c>
      <c r="O2133" s="1">
        <v>0</v>
      </c>
      <c r="P2133" s="1" t="s">
        <v>100</v>
      </c>
      <c r="Q2133" s="1" t="s">
        <v>184</v>
      </c>
      <c r="R2133" s="1" t="s">
        <v>11183</v>
      </c>
      <c r="S2133" s="1" t="s">
        <v>10570</v>
      </c>
      <c r="T2133" s="1">
        <v>0</v>
      </c>
      <c r="U2133" s="1">
        <v>1</v>
      </c>
      <c r="V2133" s="1">
        <v>0</v>
      </c>
      <c r="W2133" s="1">
        <v>0</v>
      </c>
      <c r="X2133" s="1">
        <v>0</v>
      </c>
      <c r="Y2133" s="1" t="s">
        <v>104</v>
      </c>
      <c r="Z2133" s="1" t="s">
        <v>104</v>
      </c>
      <c r="AA2133" s="1" t="s">
        <v>104</v>
      </c>
      <c r="AB2133" s="1" t="s">
        <v>104</v>
      </c>
      <c r="AC2133" s="1" t="s">
        <v>104</v>
      </c>
      <c r="AD2133" s="1" t="s">
        <v>104</v>
      </c>
      <c r="AE2133" s="1" t="s">
        <v>104</v>
      </c>
      <c r="AF2133" s="1" t="s">
        <v>104</v>
      </c>
      <c r="AG2133" s="1" t="s">
        <v>104</v>
      </c>
      <c r="AH2133" s="1" t="s">
        <v>104</v>
      </c>
      <c r="AI2133" s="1" t="s">
        <v>104</v>
      </c>
      <c r="AJ2133" s="1" t="s">
        <v>104</v>
      </c>
      <c r="AK2133" s="1" t="s">
        <v>104</v>
      </c>
      <c r="AL2133" s="1" t="s">
        <v>104</v>
      </c>
      <c r="AM2133" s="1" t="s">
        <v>104</v>
      </c>
      <c r="AO2133" s="1">
        <v>6</v>
      </c>
      <c r="AQ2133" s="1" t="s">
        <v>11184</v>
      </c>
      <c r="AR2133" s="1">
        <v>0</v>
      </c>
      <c r="AS2133" s="1">
        <v>0</v>
      </c>
      <c r="AT2133" s="1">
        <v>0</v>
      </c>
      <c r="AU2133" s="1">
        <v>0</v>
      </c>
      <c r="AV2133" s="1">
        <v>0</v>
      </c>
      <c r="AW2133" s="1">
        <v>0</v>
      </c>
      <c r="AX2133" s="1">
        <v>0</v>
      </c>
      <c r="AY2133" s="1">
        <v>0</v>
      </c>
      <c r="AZ2133" s="1">
        <v>0</v>
      </c>
      <c r="BA2133" s="1">
        <v>0</v>
      </c>
      <c r="BB2133" s="1">
        <v>0</v>
      </c>
      <c r="BC2133" s="1">
        <v>0</v>
      </c>
      <c r="BD2133" s="1">
        <v>0</v>
      </c>
      <c r="BE2133" s="1">
        <v>0</v>
      </c>
      <c r="BF2133" s="1">
        <v>0</v>
      </c>
      <c r="BG2133" s="1">
        <v>0</v>
      </c>
      <c r="BH2133" s="1">
        <v>0</v>
      </c>
      <c r="BI2133" s="1">
        <v>0</v>
      </c>
      <c r="BJ2133" s="1">
        <v>0</v>
      </c>
      <c r="BK2133" s="1">
        <v>0</v>
      </c>
      <c r="BL2133" s="1">
        <v>0</v>
      </c>
      <c r="BM2133" s="1">
        <v>0</v>
      </c>
      <c r="BN2133" s="1">
        <v>0</v>
      </c>
      <c r="BO2133" s="1">
        <v>0</v>
      </c>
      <c r="BP2133" s="1">
        <v>0</v>
      </c>
      <c r="BQ2133" s="1" t="s">
        <v>104</v>
      </c>
      <c r="BR2133" s="1">
        <v>2249</v>
      </c>
      <c r="BS2133" s="1" t="s">
        <v>104</v>
      </c>
      <c r="BX2133" s="1">
        <v>0</v>
      </c>
      <c r="BY2133" s="1" t="s">
        <v>104</v>
      </c>
      <c r="BZ2133" s="1" t="s">
        <v>104</v>
      </c>
      <c r="CA2133" s="1" t="s">
        <v>104</v>
      </c>
      <c r="CB2133" s="1" t="s">
        <v>104</v>
      </c>
      <c r="CC2133" s="1" t="s">
        <v>104</v>
      </c>
      <c r="CD2133" s="1" t="s">
        <v>104</v>
      </c>
      <c r="CE2133" s="1">
        <v>6</v>
      </c>
      <c r="CF2133" s="1" t="s">
        <v>104</v>
      </c>
      <c r="CG2133" s="1" t="s">
        <v>104</v>
      </c>
      <c r="CH2133" s="1" t="s">
        <v>104</v>
      </c>
      <c r="CJ2133" s="1">
        <v>0</v>
      </c>
      <c r="CK2133" s="1">
        <v>0</v>
      </c>
      <c r="CL2133" s="1">
        <v>0</v>
      </c>
      <c r="CM2133" s="1" t="s">
        <v>104</v>
      </c>
    </row>
    <row r="2134" spans="1:91" ht="14.25" customHeight="1" x14ac:dyDescent="0.3">
      <c r="A2134" s="1" t="s">
        <v>11185</v>
      </c>
      <c r="B2134" s="1" t="s">
        <v>216</v>
      </c>
      <c r="E2134" s="1" t="s">
        <v>11186</v>
      </c>
      <c r="F2134" s="1" t="s">
        <v>95</v>
      </c>
      <c r="G2134" s="1" t="s">
        <v>116</v>
      </c>
      <c r="H2134" s="1">
        <v>0</v>
      </c>
      <c r="I2134" s="1" t="s">
        <v>109</v>
      </c>
      <c r="L2134" s="1" t="s">
        <v>11187</v>
      </c>
      <c r="M2134" s="1" t="s">
        <v>426</v>
      </c>
      <c r="N2134" s="1">
        <v>1</v>
      </c>
      <c r="O2134" s="1">
        <v>0</v>
      </c>
      <c r="P2134" s="1" t="s">
        <v>375</v>
      </c>
      <c r="Q2134" s="1" t="s">
        <v>184</v>
      </c>
      <c r="R2134" s="1" t="s">
        <v>11188</v>
      </c>
      <c r="S2134" s="1" t="s">
        <v>10570</v>
      </c>
      <c r="T2134" s="1">
        <v>1</v>
      </c>
      <c r="U2134" s="1">
        <v>1</v>
      </c>
      <c r="V2134" s="1">
        <v>0</v>
      </c>
      <c r="W2134" s="1">
        <v>0</v>
      </c>
      <c r="X2134" s="1">
        <v>0</v>
      </c>
      <c r="Y2134" s="1" t="s">
        <v>104</v>
      </c>
      <c r="Z2134" s="1" t="s">
        <v>104</v>
      </c>
      <c r="AA2134" s="1">
        <v>5</v>
      </c>
      <c r="AB2134" s="1" t="s">
        <v>104</v>
      </c>
      <c r="AC2134" s="1" t="s">
        <v>104</v>
      </c>
      <c r="AD2134" s="1" t="s">
        <v>104</v>
      </c>
      <c r="AE2134" s="1" t="s">
        <v>104</v>
      </c>
      <c r="AF2134" s="1" t="s">
        <v>104</v>
      </c>
      <c r="AG2134" s="1" t="s">
        <v>104</v>
      </c>
      <c r="AH2134" s="1">
        <v>5</v>
      </c>
      <c r="AI2134" s="1">
        <v>4</v>
      </c>
      <c r="AJ2134" s="1">
        <v>5</v>
      </c>
      <c r="AK2134" s="1" t="s">
        <v>104</v>
      </c>
      <c r="AL2134" s="1" t="s">
        <v>104</v>
      </c>
      <c r="AM2134" s="1" t="s">
        <v>104</v>
      </c>
      <c r="AO2134" s="1">
        <v>5</v>
      </c>
      <c r="AQ2134" s="1" t="s">
        <v>11189</v>
      </c>
      <c r="AR2134" s="1">
        <v>0</v>
      </c>
      <c r="AS2134" s="1">
        <v>0</v>
      </c>
      <c r="AT2134" s="1">
        <v>0</v>
      </c>
      <c r="AU2134" s="1">
        <v>0</v>
      </c>
      <c r="AV2134" s="1">
        <v>0</v>
      </c>
      <c r="AW2134" s="1">
        <v>0</v>
      </c>
      <c r="AX2134" s="1">
        <v>0</v>
      </c>
      <c r="AY2134" s="1">
        <v>0</v>
      </c>
      <c r="AZ2134" s="1">
        <v>0</v>
      </c>
      <c r="BA2134" s="1">
        <v>0</v>
      </c>
      <c r="BB2134" s="1">
        <v>0</v>
      </c>
      <c r="BC2134" s="1">
        <v>0</v>
      </c>
      <c r="BD2134" s="1">
        <v>0</v>
      </c>
      <c r="BE2134" s="1">
        <v>0</v>
      </c>
      <c r="BF2134" s="1">
        <v>0</v>
      </c>
      <c r="BG2134" s="1">
        <v>0</v>
      </c>
      <c r="BH2134" s="1">
        <v>0</v>
      </c>
      <c r="BI2134" s="1">
        <v>0</v>
      </c>
      <c r="BJ2134" s="1">
        <v>0</v>
      </c>
      <c r="BK2134" s="1">
        <v>0</v>
      </c>
      <c r="BL2134" s="1">
        <v>0</v>
      </c>
      <c r="BM2134" s="1">
        <v>0</v>
      </c>
      <c r="BN2134" s="1">
        <v>0</v>
      </c>
      <c r="BO2134" s="1">
        <v>0</v>
      </c>
      <c r="BP2134" s="1">
        <v>0</v>
      </c>
      <c r="BQ2134" s="1" t="s">
        <v>104</v>
      </c>
      <c r="BR2134" s="1">
        <v>2250</v>
      </c>
      <c r="BS2134" s="1" t="s">
        <v>104</v>
      </c>
      <c r="BX2134" s="1">
        <v>0</v>
      </c>
      <c r="BY2134" s="1" t="s">
        <v>104</v>
      </c>
      <c r="BZ2134" s="1">
        <v>4</v>
      </c>
      <c r="CA2134" s="1" t="s">
        <v>104</v>
      </c>
      <c r="CB2134" s="1">
        <v>2</v>
      </c>
      <c r="CC2134" s="1" t="s">
        <v>104</v>
      </c>
      <c r="CD2134" s="1">
        <v>3</v>
      </c>
      <c r="CE2134" s="1">
        <v>3</v>
      </c>
      <c r="CF2134" s="1" t="s">
        <v>104</v>
      </c>
      <c r="CG2134" s="1" t="s">
        <v>104</v>
      </c>
      <c r="CH2134" s="1" t="s">
        <v>104</v>
      </c>
      <c r="CJ2134" s="1">
        <v>0</v>
      </c>
      <c r="CK2134" s="1">
        <v>0</v>
      </c>
      <c r="CL2134" s="1">
        <v>0</v>
      </c>
      <c r="CM2134" s="1" t="s">
        <v>104</v>
      </c>
    </row>
    <row r="2135" spans="1:91" ht="14.25" customHeight="1" x14ac:dyDescent="0.3">
      <c r="A2135" s="1" t="s">
        <v>11190</v>
      </c>
      <c r="B2135" s="1" t="s">
        <v>137</v>
      </c>
      <c r="C2135" s="1" t="s">
        <v>154</v>
      </c>
      <c r="E2135" s="1" t="s">
        <v>11191</v>
      </c>
      <c r="F2135" s="1" t="s">
        <v>95</v>
      </c>
      <c r="G2135" s="1" t="s">
        <v>116</v>
      </c>
      <c r="H2135" s="1">
        <v>0</v>
      </c>
      <c r="I2135" s="1" t="s">
        <v>157</v>
      </c>
      <c r="L2135" s="1" t="s">
        <v>158</v>
      </c>
      <c r="M2135" s="1" t="s">
        <v>4641</v>
      </c>
      <c r="N2135" s="1">
        <v>1</v>
      </c>
      <c r="O2135" s="1">
        <v>0</v>
      </c>
      <c r="R2135" s="1" t="s">
        <v>11192</v>
      </c>
      <c r="S2135" s="1" t="s">
        <v>10570</v>
      </c>
      <c r="T2135" s="1">
        <v>1</v>
      </c>
      <c r="U2135" s="1">
        <v>1</v>
      </c>
      <c r="V2135" s="1">
        <v>0</v>
      </c>
      <c r="W2135" s="1">
        <v>0</v>
      </c>
      <c r="X2135" s="1">
        <v>0</v>
      </c>
      <c r="Y2135" s="1">
        <v>7</v>
      </c>
      <c r="Z2135" s="1">
        <v>7</v>
      </c>
      <c r="AA2135" s="1" t="s">
        <v>104</v>
      </c>
      <c r="AB2135" s="1" t="s">
        <v>104</v>
      </c>
      <c r="AC2135" s="1" t="s">
        <v>104</v>
      </c>
      <c r="AD2135" s="1" t="s">
        <v>104</v>
      </c>
      <c r="AE2135" s="1" t="s">
        <v>104</v>
      </c>
      <c r="AF2135" s="1" t="s">
        <v>104</v>
      </c>
      <c r="AG2135" s="1" t="s">
        <v>104</v>
      </c>
      <c r="AH2135" s="1">
        <v>7</v>
      </c>
      <c r="AI2135" s="1" t="s">
        <v>104</v>
      </c>
      <c r="AJ2135" s="1" t="s">
        <v>104</v>
      </c>
      <c r="AK2135" s="1" t="s">
        <v>104</v>
      </c>
      <c r="AL2135" s="1" t="s">
        <v>104</v>
      </c>
      <c r="AM2135" s="1" t="s">
        <v>104</v>
      </c>
      <c r="AO2135" s="1">
        <v>7</v>
      </c>
      <c r="AQ2135" s="1" t="s">
        <v>11193</v>
      </c>
      <c r="AR2135" s="1">
        <v>0</v>
      </c>
      <c r="AS2135" s="1">
        <v>0</v>
      </c>
      <c r="AT2135" s="1">
        <v>0</v>
      </c>
      <c r="AU2135" s="1">
        <v>0</v>
      </c>
      <c r="AV2135" s="1">
        <v>0</v>
      </c>
      <c r="AW2135" s="1">
        <v>0</v>
      </c>
      <c r="AX2135" s="1">
        <v>0</v>
      </c>
      <c r="AY2135" s="1">
        <v>0</v>
      </c>
      <c r="AZ2135" s="1">
        <v>0</v>
      </c>
      <c r="BA2135" s="1">
        <v>0</v>
      </c>
      <c r="BB2135" s="1">
        <v>0</v>
      </c>
      <c r="BC2135" s="1">
        <v>0</v>
      </c>
      <c r="BD2135" s="1">
        <v>0</v>
      </c>
      <c r="BE2135" s="1">
        <v>0</v>
      </c>
      <c r="BF2135" s="1">
        <v>0</v>
      </c>
      <c r="BG2135" s="1">
        <v>0</v>
      </c>
      <c r="BH2135" s="1">
        <v>0</v>
      </c>
      <c r="BI2135" s="1">
        <v>0</v>
      </c>
      <c r="BJ2135" s="1">
        <v>0</v>
      </c>
      <c r="BK2135" s="1">
        <v>0</v>
      </c>
      <c r="BL2135" s="1">
        <v>0</v>
      </c>
      <c r="BM2135" s="1">
        <v>0</v>
      </c>
      <c r="BN2135" s="1">
        <v>0</v>
      </c>
      <c r="BO2135" s="1">
        <v>0</v>
      </c>
      <c r="BP2135" s="1">
        <v>0</v>
      </c>
      <c r="BQ2135" s="1" t="s">
        <v>104</v>
      </c>
      <c r="BR2135" s="1">
        <v>2251</v>
      </c>
      <c r="BS2135" s="1" t="s">
        <v>104</v>
      </c>
      <c r="BX2135" s="1">
        <v>0</v>
      </c>
      <c r="BY2135" s="1" t="s">
        <v>104</v>
      </c>
      <c r="BZ2135" s="1" t="s">
        <v>104</v>
      </c>
      <c r="CA2135" s="1" t="s">
        <v>104</v>
      </c>
      <c r="CB2135" s="1" t="s">
        <v>104</v>
      </c>
      <c r="CC2135" s="1" t="s">
        <v>104</v>
      </c>
      <c r="CD2135" s="1" t="s">
        <v>104</v>
      </c>
      <c r="CE2135" s="1">
        <v>5</v>
      </c>
      <c r="CF2135" s="1" t="s">
        <v>104</v>
      </c>
      <c r="CG2135" s="1" t="s">
        <v>104</v>
      </c>
      <c r="CH2135" s="1" t="s">
        <v>104</v>
      </c>
      <c r="CJ2135" s="1">
        <v>0</v>
      </c>
      <c r="CK2135" s="1">
        <v>0</v>
      </c>
      <c r="CL2135" s="1">
        <v>0</v>
      </c>
      <c r="CM2135" s="1" t="s">
        <v>104</v>
      </c>
    </row>
    <row r="2136" spans="1:91" ht="14.25" customHeight="1" x14ac:dyDescent="0.3">
      <c r="A2136" s="1" t="s">
        <v>11194</v>
      </c>
      <c r="B2136" s="1" t="s">
        <v>434</v>
      </c>
      <c r="E2136" s="1" t="s">
        <v>11195</v>
      </c>
      <c r="F2136" s="1" t="s">
        <v>95</v>
      </c>
      <c r="G2136" s="1" t="s">
        <v>1802</v>
      </c>
      <c r="H2136" s="1">
        <v>0</v>
      </c>
      <c r="I2136" s="1" t="s">
        <v>128</v>
      </c>
      <c r="L2136" s="1" t="s">
        <v>479</v>
      </c>
      <c r="M2136" s="1" t="s">
        <v>2330</v>
      </c>
      <c r="N2136" s="1">
        <v>0</v>
      </c>
      <c r="O2136" s="1">
        <v>0</v>
      </c>
      <c r="P2136" s="1" t="s">
        <v>148</v>
      </c>
      <c r="Q2136" s="1" t="s">
        <v>101</v>
      </c>
      <c r="R2136" s="1" t="s">
        <v>11196</v>
      </c>
      <c r="S2136" s="1" t="s">
        <v>10570</v>
      </c>
      <c r="T2136" s="1">
        <v>0</v>
      </c>
      <c r="U2136" s="1">
        <v>1</v>
      </c>
      <c r="V2136" s="1">
        <v>0</v>
      </c>
      <c r="W2136" s="1">
        <v>0</v>
      </c>
      <c r="X2136" s="1">
        <v>0</v>
      </c>
      <c r="Y2136" s="1" t="s">
        <v>104</v>
      </c>
      <c r="Z2136" s="1" t="s">
        <v>104</v>
      </c>
      <c r="AA2136" s="1" t="s">
        <v>104</v>
      </c>
      <c r="AB2136" s="1" t="s">
        <v>104</v>
      </c>
      <c r="AC2136" s="1" t="s">
        <v>104</v>
      </c>
      <c r="AD2136" s="1" t="s">
        <v>104</v>
      </c>
      <c r="AE2136" s="1" t="s">
        <v>104</v>
      </c>
      <c r="AF2136" s="1" t="s">
        <v>104</v>
      </c>
      <c r="AG2136" s="1" t="s">
        <v>104</v>
      </c>
      <c r="AH2136" s="1" t="s">
        <v>104</v>
      </c>
      <c r="AI2136" s="1" t="s">
        <v>104</v>
      </c>
      <c r="AJ2136" s="1" t="s">
        <v>104</v>
      </c>
      <c r="AK2136" s="1" t="s">
        <v>104</v>
      </c>
      <c r="AL2136" s="1" t="s">
        <v>104</v>
      </c>
      <c r="AM2136" s="1" t="s">
        <v>104</v>
      </c>
      <c r="AO2136" s="1" t="s">
        <v>104</v>
      </c>
      <c r="AQ2136" s="1" t="s">
        <v>11197</v>
      </c>
      <c r="AR2136" s="1">
        <v>0</v>
      </c>
      <c r="AS2136" s="1">
        <v>0</v>
      </c>
      <c r="AT2136" s="1">
        <v>0</v>
      </c>
      <c r="AU2136" s="1">
        <v>0</v>
      </c>
      <c r="AV2136" s="1">
        <v>0</v>
      </c>
      <c r="AW2136" s="1">
        <v>0</v>
      </c>
      <c r="AX2136" s="1">
        <v>0</v>
      </c>
      <c r="AY2136" s="1">
        <v>0</v>
      </c>
      <c r="AZ2136" s="1">
        <v>0</v>
      </c>
      <c r="BA2136" s="1">
        <v>0</v>
      </c>
      <c r="BB2136" s="1">
        <v>0</v>
      </c>
      <c r="BC2136" s="1">
        <v>0</v>
      </c>
      <c r="BD2136" s="1">
        <v>0</v>
      </c>
      <c r="BE2136" s="1">
        <v>0</v>
      </c>
      <c r="BF2136" s="1">
        <v>0</v>
      </c>
      <c r="BG2136" s="1">
        <v>0</v>
      </c>
      <c r="BH2136" s="1">
        <v>0</v>
      </c>
      <c r="BI2136" s="1">
        <v>0</v>
      </c>
      <c r="BJ2136" s="1">
        <v>0</v>
      </c>
      <c r="BK2136" s="1">
        <v>0</v>
      </c>
      <c r="BL2136" s="1">
        <v>0</v>
      </c>
      <c r="BM2136" s="1">
        <v>0</v>
      </c>
      <c r="BN2136" s="1">
        <v>0</v>
      </c>
      <c r="BO2136" s="1">
        <v>0</v>
      </c>
      <c r="BP2136" s="1">
        <v>0</v>
      </c>
      <c r="BQ2136" s="1" t="s">
        <v>104</v>
      </c>
      <c r="BR2136" s="1">
        <v>2252</v>
      </c>
      <c r="BS2136" s="1" t="s">
        <v>104</v>
      </c>
      <c r="BT2136" s="1" t="s">
        <v>11198</v>
      </c>
      <c r="BX2136" s="1">
        <v>0</v>
      </c>
      <c r="BY2136" s="1" t="s">
        <v>104</v>
      </c>
      <c r="BZ2136" s="1">
        <v>4</v>
      </c>
      <c r="CA2136" s="1" t="s">
        <v>104</v>
      </c>
      <c r="CB2136" s="1">
        <v>4</v>
      </c>
      <c r="CC2136" s="1" t="s">
        <v>104</v>
      </c>
      <c r="CD2136" s="1">
        <v>4</v>
      </c>
      <c r="CE2136" s="1">
        <v>3</v>
      </c>
      <c r="CF2136" s="1" t="s">
        <v>104</v>
      </c>
      <c r="CG2136" s="1" t="s">
        <v>104</v>
      </c>
      <c r="CH2136" s="1" t="s">
        <v>104</v>
      </c>
      <c r="CJ2136" s="1">
        <v>0</v>
      </c>
      <c r="CK2136" s="1">
        <v>0</v>
      </c>
      <c r="CL2136" s="1">
        <v>0</v>
      </c>
      <c r="CM2136" s="1" t="s">
        <v>104</v>
      </c>
    </row>
    <row r="2137" spans="1:91" ht="14.25" customHeight="1" x14ac:dyDescent="0.3">
      <c r="A2137" s="1" t="s">
        <v>11199</v>
      </c>
      <c r="B2137" s="1" t="s">
        <v>172</v>
      </c>
      <c r="D2137" s="1" t="s">
        <v>125</v>
      </c>
      <c r="E2137" s="1" t="s">
        <v>11200</v>
      </c>
      <c r="F2137" s="1" t="s">
        <v>95</v>
      </c>
      <c r="G2137" s="1" t="s">
        <v>237</v>
      </c>
      <c r="H2137" s="1">
        <v>0</v>
      </c>
      <c r="I2137" s="1" t="s">
        <v>128</v>
      </c>
      <c r="L2137" s="1" t="s">
        <v>129</v>
      </c>
      <c r="M2137" s="1" t="s">
        <v>119</v>
      </c>
      <c r="N2137" s="1">
        <v>0</v>
      </c>
      <c r="O2137" s="1">
        <v>0</v>
      </c>
      <c r="P2137" s="1" t="s">
        <v>6205</v>
      </c>
      <c r="Q2137" s="1" t="s">
        <v>184</v>
      </c>
      <c r="R2137" s="1" t="s">
        <v>11201</v>
      </c>
      <c r="S2137" s="1" t="s">
        <v>10570</v>
      </c>
      <c r="T2137" s="1">
        <v>1</v>
      </c>
      <c r="U2137" s="1">
        <v>0</v>
      </c>
      <c r="V2137" s="1">
        <v>0</v>
      </c>
      <c r="W2137" s="1">
        <v>0</v>
      </c>
      <c r="X2137" s="1">
        <v>0</v>
      </c>
      <c r="Y2137" s="1" t="s">
        <v>104</v>
      </c>
      <c r="Z2137" s="1" t="s">
        <v>104</v>
      </c>
      <c r="AA2137" s="1" t="s">
        <v>104</v>
      </c>
      <c r="AB2137" s="1" t="s">
        <v>104</v>
      </c>
      <c r="AC2137" s="1" t="s">
        <v>104</v>
      </c>
      <c r="AD2137" s="1" t="s">
        <v>104</v>
      </c>
      <c r="AE2137" s="1" t="s">
        <v>104</v>
      </c>
      <c r="AF2137" s="1" t="s">
        <v>104</v>
      </c>
      <c r="AG2137" s="1" t="s">
        <v>104</v>
      </c>
      <c r="AH2137" s="1" t="s">
        <v>104</v>
      </c>
      <c r="AI2137" s="1" t="s">
        <v>104</v>
      </c>
      <c r="AJ2137" s="1" t="s">
        <v>104</v>
      </c>
      <c r="AK2137" s="1" t="s">
        <v>104</v>
      </c>
      <c r="AL2137" s="1" t="s">
        <v>104</v>
      </c>
      <c r="AM2137" s="1" t="s">
        <v>104</v>
      </c>
      <c r="AO2137" s="1" t="s">
        <v>104</v>
      </c>
      <c r="AQ2137" s="1" t="s">
        <v>11202</v>
      </c>
      <c r="AR2137" s="1">
        <v>0</v>
      </c>
      <c r="AS2137" s="1">
        <v>0</v>
      </c>
      <c r="AT2137" s="1">
        <v>0</v>
      </c>
      <c r="AU2137" s="1">
        <v>0</v>
      </c>
      <c r="AV2137" s="1">
        <v>0</v>
      </c>
      <c r="AW2137" s="1">
        <v>0</v>
      </c>
      <c r="AX2137" s="1">
        <v>0</v>
      </c>
      <c r="AY2137" s="1">
        <v>0</v>
      </c>
      <c r="AZ2137" s="1">
        <v>0</v>
      </c>
      <c r="BA2137" s="1">
        <v>0</v>
      </c>
      <c r="BB2137" s="1">
        <v>0</v>
      </c>
      <c r="BC2137" s="1">
        <v>0</v>
      </c>
      <c r="BD2137" s="1">
        <v>0</v>
      </c>
      <c r="BE2137" s="1">
        <v>0</v>
      </c>
      <c r="BF2137" s="1">
        <v>0</v>
      </c>
      <c r="BG2137" s="1">
        <v>0</v>
      </c>
      <c r="BH2137" s="1">
        <v>0</v>
      </c>
      <c r="BI2137" s="1">
        <v>0</v>
      </c>
      <c r="BJ2137" s="1">
        <v>0</v>
      </c>
      <c r="BK2137" s="1">
        <v>1</v>
      </c>
      <c r="BL2137" s="1">
        <v>0</v>
      </c>
      <c r="BM2137" s="1">
        <v>0</v>
      </c>
      <c r="BN2137" s="1">
        <v>0</v>
      </c>
      <c r="BO2137" s="1">
        <v>0</v>
      </c>
      <c r="BP2137" s="1">
        <v>0</v>
      </c>
      <c r="BQ2137" s="1" t="s">
        <v>104</v>
      </c>
      <c r="BR2137" s="1">
        <v>2253</v>
      </c>
      <c r="BS2137" s="1" t="s">
        <v>104</v>
      </c>
      <c r="BX2137" s="1">
        <v>0</v>
      </c>
      <c r="BY2137" s="1" t="s">
        <v>104</v>
      </c>
      <c r="BZ2137" s="1" t="s">
        <v>104</v>
      </c>
      <c r="CA2137" s="1">
        <v>5</v>
      </c>
      <c r="CB2137" s="1" t="s">
        <v>104</v>
      </c>
      <c r="CC2137" s="1">
        <v>4</v>
      </c>
      <c r="CD2137" s="1" t="s">
        <v>104</v>
      </c>
      <c r="CE2137" s="1" t="s">
        <v>104</v>
      </c>
      <c r="CF2137" s="1" t="s">
        <v>104</v>
      </c>
      <c r="CG2137" s="1" t="s">
        <v>104</v>
      </c>
      <c r="CH2137" s="1" t="s">
        <v>104</v>
      </c>
      <c r="CJ2137" s="1">
        <v>0</v>
      </c>
      <c r="CK2137" s="1">
        <v>0</v>
      </c>
      <c r="CL2137" s="1">
        <v>0</v>
      </c>
      <c r="CM2137" s="1" t="s">
        <v>104</v>
      </c>
    </row>
    <row r="2138" spans="1:91" ht="14.25" customHeight="1" x14ac:dyDescent="0.3">
      <c r="A2138" s="1" t="s">
        <v>11203</v>
      </c>
      <c r="B2138" s="1" t="s">
        <v>123</v>
      </c>
      <c r="C2138" s="1" t="s">
        <v>124</v>
      </c>
      <c r="D2138" s="1" t="s">
        <v>125</v>
      </c>
      <c r="E2138" s="1" t="s">
        <v>11204</v>
      </c>
      <c r="F2138" s="1" t="s">
        <v>95</v>
      </c>
      <c r="G2138" s="1" t="s">
        <v>237</v>
      </c>
      <c r="H2138" s="1">
        <v>0</v>
      </c>
      <c r="I2138" s="1" t="s">
        <v>914</v>
      </c>
      <c r="J2138" s="1" t="s">
        <v>4773</v>
      </c>
      <c r="M2138" s="1" t="s">
        <v>255</v>
      </c>
      <c r="N2138" s="1">
        <v>0</v>
      </c>
      <c r="O2138" s="1">
        <v>0</v>
      </c>
      <c r="P2138" s="1" t="s">
        <v>211</v>
      </c>
      <c r="Q2138" s="1" t="s">
        <v>184</v>
      </c>
      <c r="R2138" s="1" t="s">
        <v>11205</v>
      </c>
      <c r="S2138" s="1" t="s">
        <v>10570</v>
      </c>
      <c r="T2138" s="1">
        <v>1</v>
      </c>
      <c r="U2138" s="1">
        <v>0</v>
      </c>
      <c r="V2138" s="1">
        <v>0</v>
      </c>
      <c r="W2138" s="1">
        <v>0</v>
      </c>
      <c r="X2138" s="1">
        <v>0</v>
      </c>
      <c r="Y2138" s="1" t="s">
        <v>104</v>
      </c>
      <c r="Z2138" s="1" t="s">
        <v>104</v>
      </c>
      <c r="AA2138" s="1" t="s">
        <v>104</v>
      </c>
      <c r="AB2138" s="1" t="s">
        <v>104</v>
      </c>
      <c r="AC2138" s="1" t="s">
        <v>104</v>
      </c>
      <c r="AD2138" s="1" t="s">
        <v>104</v>
      </c>
      <c r="AE2138" s="1" t="s">
        <v>104</v>
      </c>
      <c r="AF2138" s="1" t="s">
        <v>104</v>
      </c>
      <c r="AG2138" s="1" t="s">
        <v>104</v>
      </c>
      <c r="AH2138" s="1" t="s">
        <v>104</v>
      </c>
      <c r="AI2138" s="1" t="s">
        <v>104</v>
      </c>
      <c r="AJ2138" s="1" t="s">
        <v>104</v>
      </c>
      <c r="AK2138" s="1" t="s">
        <v>104</v>
      </c>
      <c r="AL2138" s="1" t="s">
        <v>104</v>
      </c>
      <c r="AM2138" s="1" t="s">
        <v>104</v>
      </c>
      <c r="AO2138" s="1">
        <v>3</v>
      </c>
      <c r="AQ2138" s="1" t="s">
        <v>11206</v>
      </c>
      <c r="AR2138" s="1">
        <v>0</v>
      </c>
      <c r="AS2138" s="1">
        <v>0</v>
      </c>
      <c r="AT2138" s="1">
        <v>0</v>
      </c>
      <c r="AU2138" s="1">
        <v>0</v>
      </c>
      <c r="AV2138" s="1">
        <v>0</v>
      </c>
      <c r="AW2138" s="1">
        <v>0</v>
      </c>
      <c r="AX2138" s="1">
        <v>0</v>
      </c>
      <c r="AY2138" s="1">
        <v>0</v>
      </c>
      <c r="AZ2138" s="1">
        <v>0</v>
      </c>
      <c r="BA2138" s="1">
        <v>0</v>
      </c>
      <c r="BB2138" s="1">
        <v>0</v>
      </c>
      <c r="BC2138" s="1">
        <v>0</v>
      </c>
      <c r="BD2138" s="1">
        <v>0</v>
      </c>
      <c r="BE2138" s="1">
        <v>0</v>
      </c>
      <c r="BF2138" s="1">
        <v>0</v>
      </c>
      <c r="BG2138" s="1">
        <v>0</v>
      </c>
      <c r="BH2138" s="1">
        <v>0</v>
      </c>
      <c r="BI2138" s="1">
        <v>0</v>
      </c>
      <c r="BJ2138" s="1">
        <v>0</v>
      </c>
      <c r="BK2138" s="1">
        <v>1</v>
      </c>
      <c r="BL2138" s="1">
        <v>0</v>
      </c>
      <c r="BM2138" s="1">
        <v>0</v>
      </c>
      <c r="BN2138" s="1">
        <v>0</v>
      </c>
      <c r="BO2138" s="1">
        <v>0</v>
      </c>
      <c r="BP2138" s="1">
        <v>0</v>
      </c>
      <c r="BQ2138" s="1" t="s">
        <v>104</v>
      </c>
      <c r="BR2138" s="1">
        <v>2254</v>
      </c>
      <c r="BS2138" s="1" t="s">
        <v>104</v>
      </c>
      <c r="BX2138" s="1">
        <v>0</v>
      </c>
      <c r="BY2138" s="1" t="s">
        <v>104</v>
      </c>
      <c r="BZ2138" s="1" t="s">
        <v>104</v>
      </c>
      <c r="CA2138" s="1">
        <v>3</v>
      </c>
      <c r="CB2138" s="1" t="s">
        <v>104</v>
      </c>
      <c r="CC2138" s="1">
        <v>3</v>
      </c>
      <c r="CD2138" s="1" t="s">
        <v>104</v>
      </c>
      <c r="CE2138" s="1" t="s">
        <v>104</v>
      </c>
      <c r="CF2138" s="1" t="s">
        <v>104</v>
      </c>
      <c r="CG2138" s="1" t="s">
        <v>104</v>
      </c>
      <c r="CH2138" s="1" t="s">
        <v>104</v>
      </c>
      <c r="CJ2138" s="1">
        <v>0</v>
      </c>
      <c r="CK2138" s="1">
        <v>0</v>
      </c>
      <c r="CL2138" s="1">
        <v>0</v>
      </c>
      <c r="CM2138" s="1" t="s">
        <v>104</v>
      </c>
    </row>
    <row r="2139" spans="1:91" ht="14.25" customHeight="1" x14ac:dyDescent="0.3">
      <c r="A2139" s="1" t="s">
        <v>11207</v>
      </c>
      <c r="B2139" s="1" t="s">
        <v>123</v>
      </c>
      <c r="C2139" s="1" t="s">
        <v>124</v>
      </c>
      <c r="D2139" s="1" t="s">
        <v>125</v>
      </c>
      <c r="E2139" s="1" t="s">
        <v>11200</v>
      </c>
      <c r="F2139" s="1" t="s">
        <v>95</v>
      </c>
      <c r="G2139" s="1" t="s">
        <v>237</v>
      </c>
      <c r="H2139" s="1">
        <v>0</v>
      </c>
      <c r="I2139" s="1" t="s">
        <v>914</v>
      </c>
      <c r="J2139" s="1" t="s">
        <v>4773</v>
      </c>
      <c r="M2139" s="1" t="s">
        <v>11208</v>
      </c>
      <c r="N2139" s="1">
        <v>0</v>
      </c>
      <c r="O2139" s="1">
        <v>0</v>
      </c>
      <c r="P2139" s="1" t="s">
        <v>211</v>
      </c>
      <c r="Q2139" s="1" t="s">
        <v>184</v>
      </c>
      <c r="R2139" s="1" t="s">
        <v>11209</v>
      </c>
      <c r="S2139" s="1" t="s">
        <v>10570</v>
      </c>
      <c r="T2139" s="1">
        <v>1</v>
      </c>
      <c r="U2139" s="1">
        <v>0</v>
      </c>
      <c r="V2139" s="1">
        <v>0</v>
      </c>
      <c r="W2139" s="1">
        <v>0</v>
      </c>
      <c r="X2139" s="1">
        <v>0</v>
      </c>
      <c r="Y2139" s="1" t="s">
        <v>104</v>
      </c>
      <c r="Z2139" s="1" t="s">
        <v>104</v>
      </c>
      <c r="AA2139" s="1" t="s">
        <v>104</v>
      </c>
      <c r="AB2139" s="1" t="s">
        <v>104</v>
      </c>
      <c r="AC2139" s="1" t="s">
        <v>104</v>
      </c>
      <c r="AD2139" s="1" t="s">
        <v>104</v>
      </c>
      <c r="AE2139" s="1" t="s">
        <v>104</v>
      </c>
      <c r="AF2139" s="1" t="s">
        <v>104</v>
      </c>
      <c r="AG2139" s="1" t="s">
        <v>104</v>
      </c>
      <c r="AH2139" s="1" t="s">
        <v>104</v>
      </c>
      <c r="AI2139" s="1" t="s">
        <v>104</v>
      </c>
      <c r="AJ2139" s="1" t="s">
        <v>104</v>
      </c>
      <c r="AK2139" s="1" t="s">
        <v>104</v>
      </c>
      <c r="AL2139" s="1" t="s">
        <v>104</v>
      </c>
      <c r="AM2139" s="1" t="s">
        <v>104</v>
      </c>
      <c r="AO2139" s="1" t="s">
        <v>104</v>
      </c>
      <c r="AQ2139" s="1" t="s">
        <v>11210</v>
      </c>
      <c r="AR2139" s="1">
        <v>0</v>
      </c>
      <c r="AS2139" s="1">
        <v>0</v>
      </c>
      <c r="AT2139" s="1">
        <v>0</v>
      </c>
      <c r="AU2139" s="1">
        <v>0</v>
      </c>
      <c r="AV2139" s="1">
        <v>0</v>
      </c>
      <c r="AW2139" s="1">
        <v>0</v>
      </c>
      <c r="AX2139" s="1">
        <v>0</v>
      </c>
      <c r="AY2139" s="1">
        <v>0</v>
      </c>
      <c r="AZ2139" s="1">
        <v>0</v>
      </c>
      <c r="BA2139" s="1">
        <v>0</v>
      </c>
      <c r="BB2139" s="1">
        <v>0</v>
      </c>
      <c r="BC2139" s="1">
        <v>0</v>
      </c>
      <c r="BD2139" s="1">
        <v>0</v>
      </c>
      <c r="BE2139" s="1">
        <v>0</v>
      </c>
      <c r="BF2139" s="1">
        <v>0</v>
      </c>
      <c r="BG2139" s="1">
        <v>0</v>
      </c>
      <c r="BH2139" s="1">
        <v>0</v>
      </c>
      <c r="BI2139" s="1">
        <v>0</v>
      </c>
      <c r="BJ2139" s="1">
        <v>0</v>
      </c>
      <c r="BK2139" s="1">
        <v>1</v>
      </c>
      <c r="BL2139" s="1">
        <v>0</v>
      </c>
      <c r="BM2139" s="1">
        <v>0</v>
      </c>
      <c r="BN2139" s="1">
        <v>0</v>
      </c>
      <c r="BO2139" s="1">
        <v>0</v>
      </c>
      <c r="BP2139" s="1">
        <v>0</v>
      </c>
      <c r="BQ2139" s="1" t="s">
        <v>104</v>
      </c>
      <c r="BR2139" s="1">
        <v>2255</v>
      </c>
      <c r="BS2139" s="1" t="s">
        <v>104</v>
      </c>
      <c r="BX2139" s="1">
        <v>0</v>
      </c>
      <c r="BY2139" s="1" t="s">
        <v>104</v>
      </c>
      <c r="BZ2139" s="1" t="s">
        <v>104</v>
      </c>
      <c r="CA2139" s="1">
        <v>5</v>
      </c>
      <c r="CB2139" s="1" t="s">
        <v>104</v>
      </c>
      <c r="CC2139" s="1">
        <v>4</v>
      </c>
      <c r="CD2139" s="1" t="s">
        <v>104</v>
      </c>
      <c r="CE2139" s="1" t="s">
        <v>104</v>
      </c>
      <c r="CF2139" s="1" t="s">
        <v>104</v>
      </c>
      <c r="CG2139" s="1" t="s">
        <v>104</v>
      </c>
      <c r="CH2139" s="1" t="s">
        <v>104</v>
      </c>
      <c r="CJ2139" s="1">
        <v>0</v>
      </c>
      <c r="CK2139" s="1">
        <v>0</v>
      </c>
      <c r="CL2139" s="1">
        <v>0</v>
      </c>
      <c r="CM2139" s="1" t="s">
        <v>104</v>
      </c>
    </row>
    <row r="2140" spans="1:91" ht="14.25" customHeight="1" x14ac:dyDescent="0.3">
      <c r="A2140" s="1" t="s">
        <v>11211</v>
      </c>
      <c r="B2140" s="1" t="s">
        <v>123</v>
      </c>
      <c r="C2140" s="1" t="s">
        <v>124</v>
      </c>
      <c r="D2140" s="1" t="s">
        <v>125</v>
      </c>
      <c r="E2140" s="1" t="s">
        <v>11212</v>
      </c>
      <c r="F2140" s="1" t="s">
        <v>95</v>
      </c>
      <c r="G2140" s="1" t="s">
        <v>116</v>
      </c>
      <c r="H2140" s="1">
        <v>0</v>
      </c>
      <c r="I2140" s="1" t="s">
        <v>109</v>
      </c>
      <c r="L2140" s="1" t="s">
        <v>1065</v>
      </c>
      <c r="M2140" s="1" t="s">
        <v>111</v>
      </c>
      <c r="N2140" s="1">
        <v>0</v>
      </c>
      <c r="O2140" s="1">
        <v>0</v>
      </c>
      <c r="P2140" s="1" t="s">
        <v>211</v>
      </c>
      <c r="Q2140" s="1" t="s">
        <v>184</v>
      </c>
      <c r="R2140" s="1" t="s">
        <v>11213</v>
      </c>
      <c r="S2140" s="1" t="s">
        <v>10570</v>
      </c>
      <c r="T2140" s="1">
        <v>1</v>
      </c>
      <c r="U2140" s="1">
        <v>1</v>
      </c>
      <c r="V2140" s="1">
        <v>0</v>
      </c>
      <c r="W2140" s="1">
        <v>0</v>
      </c>
      <c r="X2140" s="1">
        <v>0</v>
      </c>
      <c r="Y2140" s="1" t="s">
        <v>104</v>
      </c>
      <c r="Z2140" s="1" t="s">
        <v>104</v>
      </c>
      <c r="AA2140" s="1" t="s">
        <v>104</v>
      </c>
      <c r="AB2140" s="1" t="s">
        <v>104</v>
      </c>
      <c r="AC2140" s="1" t="s">
        <v>104</v>
      </c>
      <c r="AD2140" s="1" t="s">
        <v>104</v>
      </c>
      <c r="AE2140" s="1" t="s">
        <v>104</v>
      </c>
      <c r="AF2140" s="1" t="s">
        <v>104</v>
      </c>
      <c r="AG2140" s="1" t="s">
        <v>104</v>
      </c>
      <c r="AH2140" s="1" t="s">
        <v>104</v>
      </c>
      <c r="AI2140" s="1" t="s">
        <v>104</v>
      </c>
      <c r="AJ2140" s="1" t="s">
        <v>104</v>
      </c>
      <c r="AK2140" s="1" t="s">
        <v>104</v>
      </c>
      <c r="AL2140" s="1" t="s">
        <v>104</v>
      </c>
      <c r="AM2140" s="1" t="s">
        <v>104</v>
      </c>
      <c r="AO2140" s="1" t="s">
        <v>104</v>
      </c>
      <c r="AQ2140" s="1" t="s">
        <v>11214</v>
      </c>
      <c r="AR2140" s="1">
        <v>0</v>
      </c>
      <c r="AS2140" s="1">
        <v>0</v>
      </c>
      <c r="AT2140" s="1">
        <v>0</v>
      </c>
      <c r="AU2140" s="1">
        <v>0</v>
      </c>
      <c r="AV2140" s="1">
        <v>0</v>
      </c>
      <c r="AW2140" s="1">
        <v>0</v>
      </c>
      <c r="AX2140" s="1">
        <v>0</v>
      </c>
      <c r="AY2140" s="1">
        <v>0</v>
      </c>
      <c r="AZ2140" s="1">
        <v>0</v>
      </c>
      <c r="BA2140" s="1">
        <v>0</v>
      </c>
      <c r="BB2140" s="1">
        <v>0</v>
      </c>
      <c r="BC2140" s="1">
        <v>0</v>
      </c>
      <c r="BD2140" s="1">
        <v>0</v>
      </c>
      <c r="BE2140" s="1">
        <v>0</v>
      </c>
      <c r="BF2140" s="1">
        <v>0</v>
      </c>
      <c r="BG2140" s="1">
        <v>0</v>
      </c>
      <c r="BH2140" s="1">
        <v>0</v>
      </c>
      <c r="BI2140" s="1">
        <v>0</v>
      </c>
      <c r="BJ2140" s="1">
        <v>0</v>
      </c>
      <c r="BK2140" s="1">
        <v>1</v>
      </c>
      <c r="BL2140" s="1">
        <v>0</v>
      </c>
      <c r="BM2140" s="1">
        <v>0</v>
      </c>
      <c r="BN2140" s="1">
        <v>0</v>
      </c>
      <c r="BO2140" s="1">
        <v>0</v>
      </c>
      <c r="BP2140" s="1">
        <v>0</v>
      </c>
      <c r="BQ2140" s="1" t="s">
        <v>104</v>
      </c>
      <c r="BR2140" s="1">
        <v>2256</v>
      </c>
      <c r="BS2140" s="1" t="s">
        <v>104</v>
      </c>
      <c r="BX2140" s="1">
        <v>0</v>
      </c>
      <c r="BY2140" s="1" t="s">
        <v>104</v>
      </c>
      <c r="BZ2140" s="1" t="s">
        <v>104</v>
      </c>
      <c r="CA2140" s="1">
        <v>4</v>
      </c>
      <c r="CB2140" s="1" t="s">
        <v>104</v>
      </c>
      <c r="CC2140" s="1">
        <v>3</v>
      </c>
      <c r="CD2140" s="1" t="s">
        <v>104</v>
      </c>
      <c r="CE2140" s="1" t="s">
        <v>104</v>
      </c>
      <c r="CF2140" s="1" t="s">
        <v>104</v>
      </c>
      <c r="CG2140" s="1" t="s">
        <v>104</v>
      </c>
      <c r="CH2140" s="1" t="s">
        <v>104</v>
      </c>
      <c r="CJ2140" s="1">
        <v>0</v>
      </c>
      <c r="CK2140" s="1">
        <v>0</v>
      </c>
      <c r="CL2140" s="1">
        <v>0</v>
      </c>
      <c r="CM2140" s="1" t="s">
        <v>104</v>
      </c>
    </row>
    <row r="2141" spans="1:91" ht="14.25" customHeight="1" x14ac:dyDescent="0.3">
      <c r="A2141" s="1" t="s">
        <v>11215</v>
      </c>
      <c r="B2141" s="1" t="s">
        <v>507</v>
      </c>
      <c r="C2141" s="1" t="s">
        <v>1308</v>
      </c>
      <c r="D2141" s="1" t="s">
        <v>125</v>
      </c>
      <c r="E2141" s="1" t="s">
        <v>11204</v>
      </c>
      <c r="F2141" s="1" t="s">
        <v>95</v>
      </c>
      <c r="G2141" s="1" t="s">
        <v>116</v>
      </c>
      <c r="H2141" s="1">
        <v>0</v>
      </c>
      <c r="I2141" s="1" t="s">
        <v>117</v>
      </c>
      <c r="L2141" s="1" t="s">
        <v>417</v>
      </c>
      <c r="M2141" s="1" t="s">
        <v>111</v>
      </c>
      <c r="N2141" s="1">
        <v>0</v>
      </c>
      <c r="O2141" s="1">
        <v>0</v>
      </c>
      <c r="P2141" s="1" t="s">
        <v>211</v>
      </c>
      <c r="Q2141" s="1" t="s">
        <v>184</v>
      </c>
      <c r="R2141" s="1" t="s">
        <v>11216</v>
      </c>
      <c r="S2141" s="1" t="s">
        <v>10570</v>
      </c>
      <c r="T2141" s="1">
        <v>1</v>
      </c>
      <c r="U2141" s="1">
        <v>1</v>
      </c>
      <c r="V2141" s="1">
        <v>0</v>
      </c>
      <c r="W2141" s="1">
        <v>0</v>
      </c>
      <c r="X2141" s="1">
        <v>0</v>
      </c>
      <c r="Y2141" s="1" t="s">
        <v>104</v>
      </c>
      <c r="Z2141" s="1" t="s">
        <v>104</v>
      </c>
      <c r="AA2141" s="1" t="s">
        <v>104</v>
      </c>
      <c r="AB2141" s="1" t="s">
        <v>104</v>
      </c>
      <c r="AC2141" s="1" t="s">
        <v>104</v>
      </c>
      <c r="AD2141" s="1" t="s">
        <v>104</v>
      </c>
      <c r="AE2141" s="1" t="s">
        <v>104</v>
      </c>
      <c r="AF2141" s="1" t="s">
        <v>104</v>
      </c>
      <c r="AG2141" s="1" t="s">
        <v>104</v>
      </c>
      <c r="AH2141" s="1" t="s">
        <v>104</v>
      </c>
      <c r="AI2141" s="1" t="s">
        <v>104</v>
      </c>
      <c r="AJ2141" s="1" t="s">
        <v>104</v>
      </c>
      <c r="AK2141" s="1" t="s">
        <v>104</v>
      </c>
      <c r="AL2141" s="1" t="s">
        <v>104</v>
      </c>
      <c r="AM2141" s="1" t="s">
        <v>104</v>
      </c>
      <c r="AO2141" s="1">
        <v>3</v>
      </c>
      <c r="AQ2141" s="1" t="s">
        <v>11217</v>
      </c>
      <c r="AR2141" s="1">
        <v>0</v>
      </c>
      <c r="AS2141" s="1">
        <v>0</v>
      </c>
      <c r="AT2141" s="1">
        <v>0</v>
      </c>
      <c r="AU2141" s="1">
        <v>0</v>
      </c>
      <c r="AV2141" s="1">
        <v>0</v>
      </c>
      <c r="AW2141" s="1">
        <v>0</v>
      </c>
      <c r="AX2141" s="1">
        <v>0</v>
      </c>
      <c r="AY2141" s="1">
        <v>0</v>
      </c>
      <c r="AZ2141" s="1">
        <v>0</v>
      </c>
      <c r="BA2141" s="1">
        <v>0</v>
      </c>
      <c r="BB2141" s="1">
        <v>0</v>
      </c>
      <c r="BC2141" s="1">
        <v>0</v>
      </c>
      <c r="BD2141" s="1">
        <v>0</v>
      </c>
      <c r="BE2141" s="1">
        <v>0</v>
      </c>
      <c r="BF2141" s="1">
        <v>0</v>
      </c>
      <c r="BG2141" s="1">
        <v>0</v>
      </c>
      <c r="BH2141" s="1">
        <v>0</v>
      </c>
      <c r="BI2141" s="1">
        <v>0</v>
      </c>
      <c r="BJ2141" s="1">
        <v>0</v>
      </c>
      <c r="BK2141" s="1">
        <v>1</v>
      </c>
      <c r="BL2141" s="1">
        <v>0</v>
      </c>
      <c r="BM2141" s="1">
        <v>0</v>
      </c>
      <c r="BN2141" s="1">
        <v>0</v>
      </c>
      <c r="BO2141" s="1">
        <v>0</v>
      </c>
      <c r="BP2141" s="1">
        <v>0</v>
      </c>
      <c r="BQ2141" s="1" t="s">
        <v>104</v>
      </c>
      <c r="BR2141" s="1">
        <v>2257</v>
      </c>
      <c r="BS2141" s="1" t="s">
        <v>104</v>
      </c>
      <c r="BX2141" s="1">
        <v>0</v>
      </c>
      <c r="BY2141" s="1" t="s">
        <v>104</v>
      </c>
      <c r="BZ2141" s="1" t="s">
        <v>104</v>
      </c>
      <c r="CA2141" s="1">
        <v>3</v>
      </c>
      <c r="CB2141" s="1" t="s">
        <v>104</v>
      </c>
      <c r="CC2141" s="1">
        <v>3</v>
      </c>
      <c r="CD2141" s="1" t="s">
        <v>104</v>
      </c>
      <c r="CE2141" s="1" t="s">
        <v>104</v>
      </c>
      <c r="CF2141" s="1" t="s">
        <v>104</v>
      </c>
      <c r="CG2141" s="1" t="s">
        <v>104</v>
      </c>
      <c r="CH2141" s="1" t="s">
        <v>104</v>
      </c>
      <c r="CJ2141" s="1">
        <v>0</v>
      </c>
      <c r="CK2141" s="1">
        <v>0</v>
      </c>
      <c r="CL2141" s="1">
        <v>0</v>
      </c>
      <c r="CM2141" s="1" t="s">
        <v>104</v>
      </c>
    </row>
    <row r="2142" spans="1:91" ht="14.25" customHeight="1" x14ac:dyDescent="0.3">
      <c r="A2142" s="1" t="s">
        <v>11218</v>
      </c>
      <c r="B2142" s="1" t="s">
        <v>507</v>
      </c>
      <c r="C2142" s="1" t="s">
        <v>1308</v>
      </c>
      <c r="D2142" s="1" t="s">
        <v>125</v>
      </c>
      <c r="E2142" s="1" t="s">
        <v>11219</v>
      </c>
      <c r="F2142" s="1" t="s">
        <v>95</v>
      </c>
      <c r="G2142" s="1" t="s">
        <v>116</v>
      </c>
      <c r="H2142" s="1">
        <v>0</v>
      </c>
      <c r="I2142" s="1" t="s">
        <v>109</v>
      </c>
      <c r="L2142" s="1" t="s">
        <v>11220</v>
      </c>
      <c r="M2142" s="1" t="s">
        <v>111</v>
      </c>
      <c r="N2142" s="1">
        <v>0</v>
      </c>
      <c r="O2142" s="1">
        <v>0</v>
      </c>
      <c r="P2142" s="1" t="s">
        <v>211</v>
      </c>
      <c r="Q2142" s="1" t="s">
        <v>184</v>
      </c>
      <c r="R2142" s="1" t="s">
        <v>11221</v>
      </c>
      <c r="S2142" s="1" t="s">
        <v>10570</v>
      </c>
      <c r="T2142" s="1">
        <v>1</v>
      </c>
      <c r="U2142" s="1">
        <v>1</v>
      </c>
      <c r="V2142" s="1">
        <v>0</v>
      </c>
      <c r="W2142" s="1">
        <v>0</v>
      </c>
      <c r="X2142" s="1">
        <v>0</v>
      </c>
      <c r="Y2142" s="1" t="s">
        <v>104</v>
      </c>
      <c r="Z2142" s="1" t="s">
        <v>104</v>
      </c>
      <c r="AA2142" s="1" t="s">
        <v>104</v>
      </c>
      <c r="AB2142" s="1" t="s">
        <v>104</v>
      </c>
      <c r="AC2142" s="1" t="s">
        <v>104</v>
      </c>
      <c r="AD2142" s="1" t="s">
        <v>104</v>
      </c>
      <c r="AE2142" s="1" t="s">
        <v>104</v>
      </c>
      <c r="AF2142" s="1" t="s">
        <v>104</v>
      </c>
      <c r="AG2142" s="1" t="s">
        <v>104</v>
      </c>
      <c r="AH2142" s="1" t="s">
        <v>104</v>
      </c>
      <c r="AI2142" s="1" t="s">
        <v>104</v>
      </c>
      <c r="AJ2142" s="1" t="s">
        <v>104</v>
      </c>
      <c r="AK2142" s="1" t="s">
        <v>104</v>
      </c>
      <c r="AL2142" s="1" t="s">
        <v>104</v>
      </c>
      <c r="AM2142" s="1" t="s">
        <v>104</v>
      </c>
      <c r="AO2142" s="1" t="s">
        <v>104</v>
      </c>
      <c r="AQ2142" s="1" t="s">
        <v>11222</v>
      </c>
      <c r="AR2142" s="1">
        <v>0</v>
      </c>
      <c r="AS2142" s="1">
        <v>0</v>
      </c>
      <c r="AT2142" s="1">
        <v>0</v>
      </c>
      <c r="AU2142" s="1">
        <v>0</v>
      </c>
      <c r="AV2142" s="1">
        <v>0</v>
      </c>
      <c r="AW2142" s="1">
        <v>0</v>
      </c>
      <c r="AX2142" s="1">
        <v>0</v>
      </c>
      <c r="AY2142" s="1">
        <v>0</v>
      </c>
      <c r="AZ2142" s="1">
        <v>0</v>
      </c>
      <c r="BA2142" s="1">
        <v>0</v>
      </c>
      <c r="BB2142" s="1">
        <v>0</v>
      </c>
      <c r="BC2142" s="1">
        <v>0</v>
      </c>
      <c r="BD2142" s="1">
        <v>0</v>
      </c>
      <c r="BE2142" s="1">
        <v>0</v>
      </c>
      <c r="BF2142" s="1">
        <v>0</v>
      </c>
      <c r="BG2142" s="1">
        <v>0</v>
      </c>
      <c r="BH2142" s="1">
        <v>0</v>
      </c>
      <c r="BI2142" s="1">
        <v>0</v>
      </c>
      <c r="BJ2142" s="1">
        <v>0</v>
      </c>
      <c r="BK2142" s="1">
        <v>1</v>
      </c>
      <c r="BL2142" s="1">
        <v>0</v>
      </c>
      <c r="BM2142" s="1">
        <v>0</v>
      </c>
      <c r="BN2142" s="1">
        <v>0</v>
      </c>
      <c r="BO2142" s="1">
        <v>0</v>
      </c>
      <c r="BP2142" s="1">
        <v>0</v>
      </c>
      <c r="BQ2142" s="1" t="s">
        <v>104</v>
      </c>
      <c r="BR2142" s="1">
        <v>2258</v>
      </c>
      <c r="BS2142" s="1" t="s">
        <v>104</v>
      </c>
      <c r="BX2142" s="1">
        <v>0</v>
      </c>
      <c r="BY2142" s="1" t="s">
        <v>104</v>
      </c>
      <c r="BZ2142" s="1" t="s">
        <v>104</v>
      </c>
      <c r="CA2142" s="1">
        <v>7</v>
      </c>
      <c r="CB2142" s="1" t="s">
        <v>104</v>
      </c>
      <c r="CC2142" s="1">
        <v>5</v>
      </c>
      <c r="CD2142" s="1" t="s">
        <v>104</v>
      </c>
      <c r="CE2142" s="1" t="s">
        <v>104</v>
      </c>
      <c r="CF2142" s="1" t="s">
        <v>104</v>
      </c>
      <c r="CG2142" s="1" t="s">
        <v>104</v>
      </c>
      <c r="CH2142" s="1" t="s">
        <v>104</v>
      </c>
      <c r="CJ2142" s="1">
        <v>0</v>
      </c>
      <c r="CK2142" s="1">
        <v>0</v>
      </c>
      <c r="CL2142" s="1">
        <v>0</v>
      </c>
      <c r="CM2142" s="1" t="s">
        <v>104</v>
      </c>
    </row>
    <row r="2143" spans="1:91" ht="14.25" customHeight="1" x14ac:dyDescent="0.3">
      <c r="A2143" s="1" t="s">
        <v>11223</v>
      </c>
      <c r="B2143" s="1" t="s">
        <v>434</v>
      </c>
      <c r="E2143" s="1" t="s">
        <v>11224</v>
      </c>
      <c r="F2143" s="1" t="s">
        <v>287</v>
      </c>
      <c r="G2143" s="1" t="s">
        <v>237</v>
      </c>
      <c r="H2143" s="1">
        <v>0</v>
      </c>
      <c r="I2143" s="1" t="s">
        <v>157</v>
      </c>
      <c r="L2143" s="1" t="s">
        <v>158</v>
      </c>
      <c r="M2143" s="1" t="s">
        <v>5508</v>
      </c>
      <c r="N2143" s="1">
        <v>1</v>
      </c>
      <c r="O2143" s="1">
        <v>0</v>
      </c>
      <c r="R2143" s="1" t="s">
        <v>11225</v>
      </c>
      <c r="S2143" s="1" t="s">
        <v>10570</v>
      </c>
      <c r="T2143" s="1">
        <v>1</v>
      </c>
      <c r="U2143" s="1">
        <v>0</v>
      </c>
      <c r="V2143" s="1">
        <v>0</v>
      </c>
      <c r="W2143" s="1">
        <v>0</v>
      </c>
      <c r="X2143" s="1">
        <v>0</v>
      </c>
      <c r="Y2143" s="1" t="s">
        <v>104</v>
      </c>
      <c r="Z2143" s="1" t="s">
        <v>104</v>
      </c>
      <c r="AA2143" s="1" t="s">
        <v>104</v>
      </c>
      <c r="AB2143" s="1" t="s">
        <v>104</v>
      </c>
      <c r="AC2143" s="1" t="s">
        <v>104</v>
      </c>
      <c r="AD2143" s="1" t="s">
        <v>104</v>
      </c>
      <c r="AE2143" s="1" t="s">
        <v>104</v>
      </c>
      <c r="AF2143" s="1" t="s">
        <v>104</v>
      </c>
      <c r="AG2143" s="1" t="s">
        <v>104</v>
      </c>
      <c r="AH2143" s="1" t="s">
        <v>104</v>
      </c>
      <c r="AI2143" s="1" t="s">
        <v>104</v>
      </c>
      <c r="AJ2143" s="1" t="s">
        <v>104</v>
      </c>
      <c r="AK2143" s="1" t="s">
        <v>104</v>
      </c>
      <c r="AL2143" s="1" t="s">
        <v>104</v>
      </c>
      <c r="AM2143" s="1" t="s">
        <v>104</v>
      </c>
      <c r="AO2143" s="1">
        <v>3</v>
      </c>
      <c r="AQ2143" s="1" t="s">
        <v>11226</v>
      </c>
      <c r="AR2143" s="1">
        <v>0</v>
      </c>
      <c r="AS2143" s="1">
        <v>0</v>
      </c>
      <c r="AT2143" s="1">
        <v>0</v>
      </c>
      <c r="AU2143" s="1">
        <v>0</v>
      </c>
      <c r="AV2143" s="1">
        <v>0</v>
      </c>
      <c r="AW2143" s="1">
        <v>0</v>
      </c>
      <c r="AX2143" s="1">
        <v>0</v>
      </c>
      <c r="AY2143" s="1">
        <v>0</v>
      </c>
      <c r="AZ2143" s="1">
        <v>0</v>
      </c>
      <c r="BA2143" s="1">
        <v>0</v>
      </c>
      <c r="BB2143" s="1">
        <v>0</v>
      </c>
      <c r="BC2143" s="1">
        <v>0</v>
      </c>
      <c r="BD2143" s="1">
        <v>0</v>
      </c>
      <c r="BE2143" s="1">
        <v>0</v>
      </c>
      <c r="BF2143" s="1">
        <v>0</v>
      </c>
      <c r="BG2143" s="1">
        <v>0</v>
      </c>
      <c r="BH2143" s="1">
        <v>0</v>
      </c>
      <c r="BI2143" s="1">
        <v>0</v>
      </c>
      <c r="BJ2143" s="1">
        <v>0</v>
      </c>
      <c r="BK2143" s="1">
        <v>0</v>
      </c>
      <c r="BL2143" s="1">
        <v>0</v>
      </c>
      <c r="BM2143" s="1">
        <v>0</v>
      </c>
      <c r="BN2143" s="1">
        <v>0</v>
      </c>
      <c r="BO2143" s="1">
        <v>0</v>
      </c>
      <c r="BP2143" s="1">
        <v>0</v>
      </c>
      <c r="BQ2143" s="1" t="s">
        <v>104</v>
      </c>
      <c r="BR2143" s="1">
        <v>2259</v>
      </c>
      <c r="BS2143" s="1" t="s">
        <v>104</v>
      </c>
      <c r="BX2143" s="1">
        <v>0</v>
      </c>
      <c r="BY2143" s="1" t="s">
        <v>104</v>
      </c>
      <c r="BZ2143" s="1" t="s">
        <v>104</v>
      </c>
      <c r="CA2143" s="1" t="s">
        <v>104</v>
      </c>
      <c r="CB2143" s="1" t="s">
        <v>104</v>
      </c>
      <c r="CC2143" s="1" t="s">
        <v>104</v>
      </c>
      <c r="CD2143" s="1">
        <v>3</v>
      </c>
      <c r="CE2143" s="1" t="s">
        <v>104</v>
      </c>
      <c r="CF2143" s="1" t="s">
        <v>104</v>
      </c>
      <c r="CG2143" s="1" t="s">
        <v>104</v>
      </c>
      <c r="CH2143" s="1" t="s">
        <v>104</v>
      </c>
      <c r="CJ2143" s="1">
        <v>0</v>
      </c>
      <c r="CK2143" s="1">
        <v>0</v>
      </c>
      <c r="CL2143" s="1">
        <v>0</v>
      </c>
      <c r="CM2143" s="1" t="s">
        <v>104</v>
      </c>
    </row>
    <row r="2144" spans="1:91" ht="14.25" customHeight="1" x14ac:dyDescent="0.3">
      <c r="A2144" s="1" t="s">
        <v>11227</v>
      </c>
      <c r="B2144" s="1" t="s">
        <v>137</v>
      </c>
      <c r="E2144" s="1" t="s">
        <v>11228</v>
      </c>
      <c r="F2144" s="1" t="s">
        <v>95</v>
      </c>
      <c r="G2144" s="1" t="s">
        <v>116</v>
      </c>
      <c r="H2144" s="1">
        <v>0</v>
      </c>
      <c r="I2144" s="1" t="s">
        <v>117</v>
      </c>
      <c r="L2144" s="1" t="s">
        <v>1065</v>
      </c>
      <c r="M2144" s="1" t="s">
        <v>11229</v>
      </c>
      <c r="N2144" s="1">
        <v>0</v>
      </c>
      <c r="O2144" s="1">
        <v>0</v>
      </c>
      <c r="P2144" s="1" t="s">
        <v>100</v>
      </c>
      <c r="Q2144" s="1" t="s">
        <v>184</v>
      </c>
      <c r="R2144" s="1" t="s">
        <v>11230</v>
      </c>
      <c r="S2144" s="1" t="s">
        <v>10570</v>
      </c>
      <c r="T2144" s="1">
        <v>1</v>
      </c>
      <c r="U2144" s="1">
        <v>1</v>
      </c>
      <c r="V2144" s="1">
        <v>0</v>
      </c>
      <c r="W2144" s="1">
        <v>0</v>
      </c>
      <c r="X2144" s="1">
        <v>0</v>
      </c>
      <c r="Y2144" s="1">
        <v>4</v>
      </c>
      <c r="Z2144" s="1">
        <v>4</v>
      </c>
      <c r="AA2144" s="1" t="s">
        <v>104</v>
      </c>
      <c r="AB2144" s="1" t="s">
        <v>104</v>
      </c>
      <c r="AC2144" s="1" t="s">
        <v>104</v>
      </c>
      <c r="AD2144" s="1" t="s">
        <v>104</v>
      </c>
      <c r="AE2144" s="1" t="s">
        <v>104</v>
      </c>
      <c r="AF2144" s="1" t="s">
        <v>104</v>
      </c>
      <c r="AG2144" s="1" t="s">
        <v>104</v>
      </c>
      <c r="AH2144" s="1" t="s">
        <v>104</v>
      </c>
      <c r="AI2144" s="1" t="s">
        <v>104</v>
      </c>
      <c r="AJ2144" s="1" t="s">
        <v>104</v>
      </c>
      <c r="AK2144" s="1" t="s">
        <v>104</v>
      </c>
      <c r="AL2144" s="1">
        <v>4</v>
      </c>
      <c r="AM2144" s="1" t="s">
        <v>104</v>
      </c>
      <c r="AO2144" s="1">
        <v>4</v>
      </c>
      <c r="AQ2144" s="1" t="s">
        <v>11231</v>
      </c>
      <c r="AR2144" s="1">
        <v>0</v>
      </c>
      <c r="AS2144" s="1">
        <v>0</v>
      </c>
      <c r="AT2144" s="1">
        <v>0</v>
      </c>
      <c r="AU2144" s="1">
        <v>0</v>
      </c>
      <c r="AV2144" s="1">
        <v>0</v>
      </c>
      <c r="AW2144" s="1">
        <v>0</v>
      </c>
      <c r="AX2144" s="1">
        <v>0</v>
      </c>
      <c r="AY2144" s="1">
        <v>0</v>
      </c>
      <c r="AZ2144" s="1">
        <v>0</v>
      </c>
      <c r="BA2144" s="1">
        <v>0</v>
      </c>
      <c r="BB2144" s="1">
        <v>0</v>
      </c>
      <c r="BC2144" s="1">
        <v>0</v>
      </c>
      <c r="BD2144" s="1">
        <v>0</v>
      </c>
      <c r="BE2144" s="1">
        <v>0</v>
      </c>
      <c r="BF2144" s="1">
        <v>0</v>
      </c>
      <c r="BG2144" s="1">
        <v>0</v>
      </c>
      <c r="BH2144" s="1">
        <v>0</v>
      </c>
      <c r="BI2144" s="1">
        <v>0</v>
      </c>
      <c r="BJ2144" s="1">
        <v>0</v>
      </c>
      <c r="BK2144" s="1">
        <v>0</v>
      </c>
      <c r="BL2144" s="1">
        <v>0</v>
      </c>
      <c r="BM2144" s="1">
        <v>0</v>
      </c>
      <c r="BN2144" s="1">
        <v>0</v>
      </c>
      <c r="BO2144" s="1">
        <v>0</v>
      </c>
      <c r="BP2144" s="1">
        <v>0</v>
      </c>
      <c r="BQ2144" s="1" t="s">
        <v>104</v>
      </c>
      <c r="BR2144" s="1">
        <v>2260</v>
      </c>
      <c r="BS2144" s="1" t="s">
        <v>104</v>
      </c>
      <c r="BX2144" s="1">
        <v>0</v>
      </c>
      <c r="BY2144" s="1" t="s">
        <v>104</v>
      </c>
      <c r="BZ2144" s="1" t="s">
        <v>104</v>
      </c>
      <c r="CA2144" s="1">
        <v>3</v>
      </c>
      <c r="CB2144" s="1" t="s">
        <v>104</v>
      </c>
      <c r="CC2144" s="1" t="s">
        <v>104</v>
      </c>
      <c r="CD2144" s="1" t="s">
        <v>104</v>
      </c>
      <c r="CE2144" s="1">
        <v>4</v>
      </c>
      <c r="CF2144" s="1" t="s">
        <v>104</v>
      </c>
      <c r="CG2144" s="1" t="s">
        <v>104</v>
      </c>
      <c r="CH2144" s="1" t="s">
        <v>104</v>
      </c>
      <c r="CJ2144" s="1">
        <v>0</v>
      </c>
      <c r="CK2144" s="1">
        <v>0</v>
      </c>
      <c r="CL2144" s="1">
        <v>0</v>
      </c>
      <c r="CM2144" s="1" t="s">
        <v>104</v>
      </c>
    </row>
    <row r="2145" spans="1:91" ht="14.25" customHeight="1" x14ac:dyDescent="0.3">
      <c r="A2145" s="1" t="s">
        <v>11232</v>
      </c>
      <c r="B2145" s="1" t="s">
        <v>434</v>
      </c>
      <c r="E2145" s="1" t="s">
        <v>11233</v>
      </c>
      <c r="F2145" s="1" t="s">
        <v>95</v>
      </c>
      <c r="G2145" s="1" t="s">
        <v>116</v>
      </c>
      <c r="H2145" s="1">
        <v>0</v>
      </c>
      <c r="I2145" s="1" t="s">
        <v>117</v>
      </c>
      <c r="M2145" s="1" t="s">
        <v>119</v>
      </c>
      <c r="N2145" s="1">
        <v>0</v>
      </c>
      <c r="O2145" s="1">
        <v>0</v>
      </c>
      <c r="P2145" s="1" t="s">
        <v>101</v>
      </c>
      <c r="Q2145" s="1" t="s">
        <v>101</v>
      </c>
      <c r="R2145" s="1" t="s">
        <v>11234</v>
      </c>
      <c r="S2145" s="1" t="s">
        <v>10570</v>
      </c>
      <c r="T2145" s="1">
        <v>1</v>
      </c>
      <c r="U2145" s="1">
        <v>1</v>
      </c>
      <c r="V2145" s="1">
        <v>0</v>
      </c>
      <c r="W2145" s="1">
        <v>0</v>
      </c>
      <c r="X2145" s="1">
        <v>0</v>
      </c>
      <c r="Y2145" s="1" t="s">
        <v>104</v>
      </c>
      <c r="Z2145" s="1" t="s">
        <v>104</v>
      </c>
      <c r="AA2145" s="1" t="s">
        <v>104</v>
      </c>
      <c r="AB2145" s="1" t="s">
        <v>104</v>
      </c>
      <c r="AC2145" s="1" t="s">
        <v>104</v>
      </c>
      <c r="AD2145" s="1" t="s">
        <v>104</v>
      </c>
      <c r="AE2145" s="1" t="s">
        <v>104</v>
      </c>
      <c r="AF2145" s="1" t="s">
        <v>104</v>
      </c>
      <c r="AG2145" s="1" t="s">
        <v>104</v>
      </c>
      <c r="AH2145" s="1" t="s">
        <v>104</v>
      </c>
      <c r="AI2145" s="1" t="s">
        <v>104</v>
      </c>
      <c r="AJ2145" s="1" t="s">
        <v>104</v>
      </c>
      <c r="AK2145" s="1" t="s">
        <v>104</v>
      </c>
      <c r="AL2145" s="1" t="s">
        <v>104</v>
      </c>
      <c r="AM2145" s="1" t="s">
        <v>104</v>
      </c>
      <c r="AO2145" s="1">
        <v>0</v>
      </c>
      <c r="AQ2145" s="1" t="s">
        <v>11235</v>
      </c>
      <c r="AR2145" s="1">
        <v>0</v>
      </c>
      <c r="AS2145" s="1">
        <v>0</v>
      </c>
      <c r="AT2145" s="1">
        <v>0</v>
      </c>
      <c r="AU2145" s="1">
        <v>0</v>
      </c>
      <c r="AV2145" s="1">
        <v>0</v>
      </c>
      <c r="AW2145" s="1">
        <v>0</v>
      </c>
      <c r="AX2145" s="1">
        <v>0</v>
      </c>
      <c r="AY2145" s="1">
        <v>0</v>
      </c>
      <c r="AZ2145" s="1">
        <v>0</v>
      </c>
      <c r="BA2145" s="1">
        <v>0</v>
      </c>
      <c r="BB2145" s="1">
        <v>0</v>
      </c>
      <c r="BC2145" s="1">
        <v>0</v>
      </c>
      <c r="BD2145" s="1">
        <v>0</v>
      </c>
      <c r="BE2145" s="1">
        <v>0</v>
      </c>
      <c r="BF2145" s="1">
        <v>0</v>
      </c>
      <c r="BG2145" s="1">
        <v>0</v>
      </c>
      <c r="BH2145" s="1">
        <v>0</v>
      </c>
      <c r="BI2145" s="1">
        <v>0</v>
      </c>
      <c r="BJ2145" s="1">
        <v>0</v>
      </c>
      <c r="BK2145" s="1">
        <v>0</v>
      </c>
      <c r="BL2145" s="1">
        <v>0</v>
      </c>
      <c r="BM2145" s="1">
        <v>0</v>
      </c>
      <c r="BN2145" s="1">
        <v>0</v>
      </c>
      <c r="BO2145" s="1">
        <v>0</v>
      </c>
      <c r="BP2145" s="1">
        <v>0</v>
      </c>
      <c r="BQ2145" s="1" t="s">
        <v>104</v>
      </c>
      <c r="BR2145" s="1">
        <v>2261</v>
      </c>
      <c r="BS2145" s="1" t="s">
        <v>104</v>
      </c>
      <c r="BX2145" s="1">
        <v>0</v>
      </c>
      <c r="BY2145" s="1" t="s">
        <v>104</v>
      </c>
      <c r="BZ2145" s="1" t="s">
        <v>104</v>
      </c>
      <c r="CA2145" s="1">
        <v>0</v>
      </c>
      <c r="CB2145" s="1" t="s">
        <v>104</v>
      </c>
      <c r="CC2145" s="1" t="s">
        <v>104</v>
      </c>
      <c r="CD2145" s="1">
        <v>0</v>
      </c>
      <c r="CE2145" s="1">
        <v>0</v>
      </c>
      <c r="CF2145" s="1" t="s">
        <v>104</v>
      </c>
      <c r="CG2145" s="1" t="s">
        <v>104</v>
      </c>
      <c r="CH2145" s="1" t="s">
        <v>104</v>
      </c>
      <c r="CJ2145" s="1">
        <v>0</v>
      </c>
      <c r="CK2145" s="1">
        <v>0</v>
      </c>
      <c r="CL2145" s="1">
        <v>0</v>
      </c>
      <c r="CM2145" s="1" t="s">
        <v>104</v>
      </c>
    </row>
    <row r="2146" spans="1:91" ht="14.25" customHeight="1" x14ac:dyDescent="0.3">
      <c r="A2146" s="1" t="s">
        <v>11236</v>
      </c>
      <c r="B2146" s="1" t="s">
        <v>434</v>
      </c>
      <c r="D2146" s="1" t="s">
        <v>57</v>
      </c>
      <c r="E2146" s="1" t="s">
        <v>10568</v>
      </c>
      <c r="F2146" s="1" t="s">
        <v>95</v>
      </c>
      <c r="G2146" s="1" t="s">
        <v>116</v>
      </c>
      <c r="H2146" s="1">
        <v>0</v>
      </c>
      <c r="J2146" s="1" t="s">
        <v>8695</v>
      </c>
      <c r="M2146" s="1" t="s">
        <v>119</v>
      </c>
      <c r="N2146" s="1">
        <v>0</v>
      </c>
      <c r="O2146" s="1">
        <v>0</v>
      </c>
      <c r="P2146" s="1" t="s">
        <v>6205</v>
      </c>
      <c r="Q2146" s="1" t="s">
        <v>184</v>
      </c>
      <c r="R2146" s="1" t="s">
        <v>11237</v>
      </c>
      <c r="S2146" s="1" t="s">
        <v>10570</v>
      </c>
      <c r="T2146" s="1">
        <v>1</v>
      </c>
      <c r="U2146" s="1">
        <v>1</v>
      </c>
      <c r="V2146" s="1">
        <v>0</v>
      </c>
      <c r="W2146" s="1">
        <v>0</v>
      </c>
      <c r="X2146" s="1">
        <v>0</v>
      </c>
      <c r="Y2146" s="1" t="s">
        <v>104</v>
      </c>
      <c r="Z2146" s="1" t="s">
        <v>104</v>
      </c>
      <c r="AA2146" s="1" t="s">
        <v>104</v>
      </c>
      <c r="AB2146" s="1" t="s">
        <v>104</v>
      </c>
      <c r="AC2146" s="1" t="s">
        <v>104</v>
      </c>
      <c r="AD2146" s="1" t="s">
        <v>104</v>
      </c>
      <c r="AE2146" s="1" t="s">
        <v>104</v>
      </c>
      <c r="AF2146" s="1" t="s">
        <v>104</v>
      </c>
      <c r="AG2146" s="1" t="s">
        <v>104</v>
      </c>
      <c r="AH2146" s="1" t="s">
        <v>104</v>
      </c>
      <c r="AI2146" s="1" t="s">
        <v>104</v>
      </c>
      <c r="AJ2146" s="1" t="s">
        <v>104</v>
      </c>
      <c r="AK2146" s="1" t="s">
        <v>104</v>
      </c>
      <c r="AL2146" s="1" t="s">
        <v>104</v>
      </c>
      <c r="AM2146" s="1" t="s">
        <v>104</v>
      </c>
      <c r="AO2146" s="1">
        <v>9</v>
      </c>
      <c r="AQ2146" s="1" t="s">
        <v>11238</v>
      </c>
      <c r="AR2146" s="1">
        <v>0</v>
      </c>
      <c r="AS2146" s="1">
        <v>0</v>
      </c>
      <c r="AT2146" s="1">
        <v>0</v>
      </c>
      <c r="AU2146" s="1">
        <v>0</v>
      </c>
      <c r="AV2146" s="1">
        <v>0</v>
      </c>
      <c r="AW2146" s="1">
        <v>0</v>
      </c>
      <c r="AX2146" s="1">
        <v>0</v>
      </c>
      <c r="AY2146" s="1">
        <v>0</v>
      </c>
      <c r="AZ2146" s="1">
        <v>0</v>
      </c>
      <c r="BA2146" s="1">
        <v>0</v>
      </c>
      <c r="BB2146" s="1">
        <v>0</v>
      </c>
      <c r="BC2146" s="1">
        <v>0</v>
      </c>
      <c r="BD2146" s="1">
        <v>0</v>
      </c>
      <c r="BE2146" s="1">
        <v>0</v>
      </c>
      <c r="BF2146" s="1">
        <v>1</v>
      </c>
      <c r="BG2146" s="1">
        <v>0</v>
      </c>
      <c r="BH2146" s="1">
        <v>0</v>
      </c>
      <c r="BI2146" s="1">
        <v>0</v>
      </c>
      <c r="BJ2146" s="1">
        <v>0</v>
      </c>
      <c r="BK2146" s="1">
        <v>0</v>
      </c>
      <c r="BL2146" s="1">
        <v>0</v>
      </c>
      <c r="BM2146" s="1">
        <v>0</v>
      </c>
      <c r="BN2146" s="1">
        <v>0</v>
      </c>
      <c r="BO2146" s="1">
        <v>0</v>
      </c>
      <c r="BP2146" s="1">
        <v>0</v>
      </c>
      <c r="BQ2146" s="1" t="s">
        <v>104</v>
      </c>
      <c r="BR2146" s="1">
        <v>2262</v>
      </c>
      <c r="BS2146" s="1" t="s">
        <v>104</v>
      </c>
      <c r="BX2146" s="1">
        <v>0</v>
      </c>
      <c r="BY2146" s="1" t="s">
        <v>104</v>
      </c>
      <c r="BZ2146" s="1" t="s">
        <v>104</v>
      </c>
      <c r="CA2146" s="1">
        <v>9</v>
      </c>
      <c r="CB2146" s="1" t="s">
        <v>104</v>
      </c>
      <c r="CC2146" s="1" t="s">
        <v>104</v>
      </c>
      <c r="CD2146" s="1" t="s">
        <v>104</v>
      </c>
      <c r="CE2146" s="1" t="s">
        <v>104</v>
      </c>
      <c r="CF2146" s="1" t="s">
        <v>104</v>
      </c>
      <c r="CG2146" s="1" t="s">
        <v>104</v>
      </c>
      <c r="CH2146" s="1" t="s">
        <v>104</v>
      </c>
      <c r="CJ2146" s="1">
        <v>0</v>
      </c>
      <c r="CK2146" s="1">
        <v>0</v>
      </c>
      <c r="CL2146" s="1">
        <v>0</v>
      </c>
      <c r="CM2146" s="1" t="s">
        <v>104</v>
      </c>
    </row>
    <row r="2147" spans="1:91" ht="14.25" customHeight="1" x14ac:dyDescent="0.3">
      <c r="A2147" s="1" t="s">
        <v>11239</v>
      </c>
      <c r="B2147" s="1" t="s">
        <v>123</v>
      </c>
      <c r="C2147" s="1" t="s">
        <v>124</v>
      </c>
      <c r="D2147" s="1" t="s">
        <v>6034</v>
      </c>
      <c r="E2147" s="1" t="s">
        <v>10735</v>
      </c>
      <c r="F2147" s="1" t="s">
        <v>95</v>
      </c>
      <c r="G2147" s="1" t="s">
        <v>116</v>
      </c>
      <c r="H2147" s="1">
        <v>0</v>
      </c>
      <c r="I2147" s="1" t="s">
        <v>109</v>
      </c>
      <c r="L2147" s="1" t="s">
        <v>1065</v>
      </c>
      <c r="M2147" s="1" t="s">
        <v>2330</v>
      </c>
      <c r="N2147" s="1">
        <v>0</v>
      </c>
      <c r="O2147" s="1">
        <v>0</v>
      </c>
      <c r="P2147" s="1" t="s">
        <v>1902</v>
      </c>
      <c r="Q2147" s="1" t="s">
        <v>184</v>
      </c>
      <c r="R2147" s="1" t="s">
        <v>11240</v>
      </c>
      <c r="S2147" s="1" t="s">
        <v>10570</v>
      </c>
      <c r="T2147" s="1">
        <v>1</v>
      </c>
      <c r="U2147" s="1">
        <v>1</v>
      </c>
      <c r="V2147" s="1">
        <v>0</v>
      </c>
      <c r="W2147" s="1">
        <v>0</v>
      </c>
      <c r="X2147" s="1">
        <v>0</v>
      </c>
      <c r="Y2147" s="1" t="s">
        <v>104</v>
      </c>
      <c r="Z2147" s="1" t="s">
        <v>104</v>
      </c>
      <c r="AA2147" s="1" t="s">
        <v>104</v>
      </c>
      <c r="AB2147" s="1" t="s">
        <v>104</v>
      </c>
      <c r="AC2147" s="1" t="s">
        <v>104</v>
      </c>
      <c r="AD2147" s="1" t="s">
        <v>104</v>
      </c>
      <c r="AE2147" s="1" t="s">
        <v>104</v>
      </c>
      <c r="AF2147" s="1" t="s">
        <v>104</v>
      </c>
      <c r="AG2147" s="1" t="s">
        <v>104</v>
      </c>
      <c r="AH2147" s="1" t="s">
        <v>104</v>
      </c>
      <c r="AI2147" s="1" t="s">
        <v>104</v>
      </c>
      <c r="AJ2147" s="1" t="s">
        <v>104</v>
      </c>
      <c r="AK2147" s="1" t="s">
        <v>104</v>
      </c>
      <c r="AL2147" s="1" t="s">
        <v>104</v>
      </c>
      <c r="AM2147" s="1" t="s">
        <v>104</v>
      </c>
      <c r="AO2147" s="1">
        <v>1</v>
      </c>
      <c r="AQ2147" s="1" t="s">
        <v>11241</v>
      </c>
      <c r="AR2147" s="1">
        <v>0</v>
      </c>
      <c r="AS2147" s="1">
        <v>0</v>
      </c>
      <c r="AT2147" s="1">
        <v>0</v>
      </c>
      <c r="AU2147" s="1">
        <v>0</v>
      </c>
      <c r="AV2147" s="1">
        <v>0</v>
      </c>
      <c r="AW2147" s="1">
        <v>0</v>
      </c>
      <c r="AX2147" s="1">
        <v>0</v>
      </c>
      <c r="AY2147" s="1">
        <v>0</v>
      </c>
      <c r="AZ2147" s="1">
        <v>0</v>
      </c>
      <c r="BA2147" s="1">
        <v>0</v>
      </c>
      <c r="BB2147" s="1">
        <v>1</v>
      </c>
      <c r="BC2147" s="1">
        <v>0</v>
      </c>
      <c r="BD2147" s="1">
        <v>0</v>
      </c>
      <c r="BE2147" s="1">
        <v>0</v>
      </c>
      <c r="BF2147" s="1">
        <v>0</v>
      </c>
      <c r="BG2147" s="1">
        <v>0</v>
      </c>
      <c r="BH2147" s="1">
        <v>0</v>
      </c>
      <c r="BI2147" s="1">
        <v>0</v>
      </c>
      <c r="BJ2147" s="1">
        <v>0</v>
      </c>
      <c r="BK2147" s="1">
        <v>1</v>
      </c>
      <c r="BL2147" s="1">
        <v>0</v>
      </c>
      <c r="BM2147" s="1">
        <v>0</v>
      </c>
      <c r="BN2147" s="1">
        <v>0</v>
      </c>
      <c r="BO2147" s="1">
        <v>0</v>
      </c>
      <c r="BP2147" s="1">
        <v>0</v>
      </c>
      <c r="BQ2147" s="1" t="s">
        <v>104</v>
      </c>
      <c r="BR2147" s="1">
        <v>2263</v>
      </c>
      <c r="BS2147" s="1" t="s">
        <v>104</v>
      </c>
      <c r="BX2147" s="1">
        <v>0</v>
      </c>
      <c r="BY2147" s="1" t="s">
        <v>104</v>
      </c>
      <c r="BZ2147" s="1" t="s">
        <v>104</v>
      </c>
      <c r="CA2147" s="1">
        <v>1</v>
      </c>
      <c r="CB2147" s="1" t="s">
        <v>104</v>
      </c>
      <c r="CC2147" s="1">
        <v>1</v>
      </c>
      <c r="CD2147" s="1" t="s">
        <v>104</v>
      </c>
      <c r="CE2147" s="1">
        <v>1</v>
      </c>
      <c r="CF2147" s="1" t="s">
        <v>104</v>
      </c>
      <c r="CG2147" s="1" t="s">
        <v>104</v>
      </c>
      <c r="CH2147" s="1" t="s">
        <v>104</v>
      </c>
      <c r="CJ2147" s="1">
        <v>0</v>
      </c>
      <c r="CK2147" s="1">
        <v>0</v>
      </c>
      <c r="CL2147" s="1">
        <v>0</v>
      </c>
      <c r="CM2147" s="1" t="s">
        <v>104</v>
      </c>
    </row>
    <row r="2148" spans="1:91" ht="14.25" customHeight="1" x14ac:dyDescent="0.3">
      <c r="A2148" s="1" t="s">
        <v>11242</v>
      </c>
      <c r="B2148" s="1" t="s">
        <v>172</v>
      </c>
      <c r="D2148" s="1" t="s">
        <v>125</v>
      </c>
      <c r="E2148" s="1" t="s">
        <v>11243</v>
      </c>
      <c r="F2148" s="1" t="s">
        <v>95</v>
      </c>
      <c r="G2148" s="1" t="s">
        <v>237</v>
      </c>
      <c r="H2148" s="1">
        <v>0</v>
      </c>
      <c r="I2148" s="1" t="s">
        <v>157</v>
      </c>
      <c r="L2148" s="1" t="s">
        <v>158</v>
      </c>
      <c r="M2148" s="1" t="s">
        <v>2330</v>
      </c>
      <c r="N2148" s="1">
        <v>0</v>
      </c>
      <c r="O2148" s="1">
        <v>0</v>
      </c>
      <c r="R2148" s="1" t="s">
        <v>11244</v>
      </c>
      <c r="S2148" s="1" t="s">
        <v>10570</v>
      </c>
      <c r="T2148" s="1">
        <v>1</v>
      </c>
      <c r="U2148" s="1">
        <v>0</v>
      </c>
      <c r="V2148" s="1">
        <v>0</v>
      </c>
      <c r="W2148" s="1">
        <v>0</v>
      </c>
      <c r="X2148" s="1">
        <v>0</v>
      </c>
      <c r="Y2148" s="1">
        <v>6</v>
      </c>
      <c r="Z2148" s="1">
        <v>6</v>
      </c>
      <c r="AA2148" s="1" t="s">
        <v>104</v>
      </c>
      <c r="AB2148" s="1" t="s">
        <v>104</v>
      </c>
      <c r="AC2148" s="1" t="s">
        <v>104</v>
      </c>
      <c r="AD2148" s="1" t="s">
        <v>104</v>
      </c>
      <c r="AE2148" s="1" t="s">
        <v>104</v>
      </c>
      <c r="AF2148" s="1" t="s">
        <v>104</v>
      </c>
      <c r="AG2148" s="1" t="s">
        <v>104</v>
      </c>
      <c r="AH2148" s="1" t="s">
        <v>104</v>
      </c>
      <c r="AI2148" s="1" t="s">
        <v>104</v>
      </c>
      <c r="AJ2148" s="1" t="s">
        <v>104</v>
      </c>
      <c r="AK2148" s="1" t="s">
        <v>104</v>
      </c>
      <c r="AL2148" s="1" t="s">
        <v>104</v>
      </c>
      <c r="AM2148" s="1" t="s">
        <v>104</v>
      </c>
      <c r="AO2148" s="1">
        <v>6</v>
      </c>
      <c r="AQ2148" s="1" t="s">
        <v>11245</v>
      </c>
      <c r="AR2148" s="1">
        <v>0</v>
      </c>
      <c r="AS2148" s="1">
        <v>0</v>
      </c>
      <c r="AT2148" s="1">
        <v>0</v>
      </c>
      <c r="AU2148" s="1">
        <v>0</v>
      </c>
      <c r="AV2148" s="1">
        <v>0</v>
      </c>
      <c r="AW2148" s="1">
        <v>0</v>
      </c>
      <c r="AX2148" s="1">
        <v>0</v>
      </c>
      <c r="AY2148" s="1">
        <v>0</v>
      </c>
      <c r="AZ2148" s="1">
        <v>0</v>
      </c>
      <c r="BA2148" s="1">
        <v>0</v>
      </c>
      <c r="BB2148" s="1">
        <v>0</v>
      </c>
      <c r="BC2148" s="1">
        <v>0</v>
      </c>
      <c r="BD2148" s="1">
        <v>0</v>
      </c>
      <c r="BE2148" s="1">
        <v>0</v>
      </c>
      <c r="BF2148" s="1">
        <v>0</v>
      </c>
      <c r="BG2148" s="1">
        <v>0</v>
      </c>
      <c r="BH2148" s="1">
        <v>0</v>
      </c>
      <c r="BI2148" s="1">
        <v>0</v>
      </c>
      <c r="BJ2148" s="1">
        <v>0</v>
      </c>
      <c r="BK2148" s="1">
        <v>1</v>
      </c>
      <c r="BL2148" s="1">
        <v>0</v>
      </c>
      <c r="BM2148" s="1">
        <v>0</v>
      </c>
      <c r="BN2148" s="1">
        <v>0</v>
      </c>
      <c r="BO2148" s="1">
        <v>0</v>
      </c>
      <c r="BP2148" s="1">
        <v>0</v>
      </c>
      <c r="BQ2148" s="1" t="s">
        <v>104</v>
      </c>
      <c r="BR2148" s="1">
        <v>2264</v>
      </c>
      <c r="BS2148" s="1" t="s">
        <v>104</v>
      </c>
      <c r="BX2148" s="1">
        <v>0</v>
      </c>
      <c r="BY2148" s="1" t="s">
        <v>104</v>
      </c>
      <c r="BZ2148" s="1" t="s">
        <v>104</v>
      </c>
      <c r="CA2148" s="1">
        <v>5</v>
      </c>
      <c r="CB2148" s="1">
        <v>4</v>
      </c>
      <c r="CC2148" s="1">
        <v>4</v>
      </c>
      <c r="CD2148" s="1" t="s">
        <v>104</v>
      </c>
      <c r="CE2148" s="1">
        <v>6</v>
      </c>
      <c r="CF2148" s="1" t="s">
        <v>104</v>
      </c>
      <c r="CG2148" s="1" t="s">
        <v>104</v>
      </c>
      <c r="CH2148" s="1" t="s">
        <v>104</v>
      </c>
      <c r="CJ2148" s="1">
        <v>0</v>
      </c>
      <c r="CK2148" s="1">
        <v>0</v>
      </c>
      <c r="CL2148" s="1">
        <v>0</v>
      </c>
      <c r="CM2148" s="1" t="s">
        <v>104</v>
      </c>
    </row>
    <row r="2149" spans="1:91" ht="14.25" customHeight="1" x14ac:dyDescent="0.3">
      <c r="A2149" s="1" t="s">
        <v>11246</v>
      </c>
      <c r="B2149" s="1" t="s">
        <v>162</v>
      </c>
      <c r="E2149" s="1" t="s">
        <v>11247</v>
      </c>
      <c r="F2149" s="1" t="s">
        <v>95</v>
      </c>
      <c r="G2149" s="1" t="s">
        <v>11248</v>
      </c>
      <c r="H2149" s="1">
        <v>0</v>
      </c>
      <c r="I2149" s="1" t="s">
        <v>128</v>
      </c>
      <c r="J2149" s="1" t="s">
        <v>2375</v>
      </c>
      <c r="M2149" s="1" t="s">
        <v>140</v>
      </c>
      <c r="N2149" s="1">
        <v>0</v>
      </c>
      <c r="O2149" s="1">
        <v>0</v>
      </c>
      <c r="P2149" s="1" t="s">
        <v>375</v>
      </c>
      <c r="Q2149" s="1" t="s">
        <v>2376</v>
      </c>
      <c r="R2149" s="1" t="s">
        <v>11249</v>
      </c>
      <c r="S2149" s="1" t="s">
        <v>10570</v>
      </c>
      <c r="T2149" s="1">
        <v>1</v>
      </c>
      <c r="U2149" s="1">
        <v>1</v>
      </c>
      <c r="V2149" s="1">
        <v>1</v>
      </c>
      <c r="W2149" s="1">
        <v>0</v>
      </c>
      <c r="X2149" s="1">
        <v>1</v>
      </c>
      <c r="Y2149" s="1">
        <v>4</v>
      </c>
      <c r="Z2149" s="1">
        <v>4</v>
      </c>
      <c r="AA2149" s="1">
        <v>4</v>
      </c>
      <c r="AB2149" s="1" t="s">
        <v>104</v>
      </c>
      <c r="AC2149" s="1" t="s">
        <v>104</v>
      </c>
      <c r="AD2149" s="1" t="s">
        <v>104</v>
      </c>
      <c r="AE2149" s="1" t="s">
        <v>104</v>
      </c>
      <c r="AF2149" s="1" t="s">
        <v>104</v>
      </c>
      <c r="AG2149" s="1">
        <v>4</v>
      </c>
      <c r="AH2149" s="1" t="s">
        <v>104</v>
      </c>
      <c r="AI2149" s="1">
        <v>4</v>
      </c>
      <c r="AJ2149" s="1">
        <v>4</v>
      </c>
      <c r="AK2149" s="1" t="s">
        <v>104</v>
      </c>
      <c r="AL2149" s="1" t="s">
        <v>104</v>
      </c>
      <c r="AM2149" s="1" t="s">
        <v>104</v>
      </c>
      <c r="AO2149" s="1">
        <v>4</v>
      </c>
      <c r="AQ2149" s="1" t="s">
        <v>11250</v>
      </c>
      <c r="AR2149" s="1">
        <v>0</v>
      </c>
      <c r="AS2149" s="1">
        <v>0</v>
      </c>
      <c r="AT2149" s="1">
        <v>0</v>
      </c>
      <c r="AU2149" s="1">
        <v>0</v>
      </c>
      <c r="AV2149" s="1">
        <v>0</v>
      </c>
      <c r="AW2149" s="1">
        <v>0</v>
      </c>
      <c r="AX2149" s="1">
        <v>0</v>
      </c>
      <c r="AY2149" s="1">
        <v>0</v>
      </c>
      <c r="AZ2149" s="1">
        <v>0</v>
      </c>
      <c r="BA2149" s="1">
        <v>0</v>
      </c>
      <c r="BB2149" s="1">
        <v>0</v>
      </c>
      <c r="BC2149" s="1">
        <v>0</v>
      </c>
      <c r="BD2149" s="1">
        <v>0</v>
      </c>
      <c r="BE2149" s="1">
        <v>0</v>
      </c>
      <c r="BF2149" s="1">
        <v>0</v>
      </c>
      <c r="BG2149" s="1">
        <v>0</v>
      </c>
      <c r="BH2149" s="1">
        <v>0</v>
      </c>
      <c r="BI2149" s="1">
        <v>0</v>
      </c>
      <c r="BJ2149" s="1">
        <v>0</v>
      </c>
      <c r="BK2149" s="1">
        <v>0</v>
      </c>
      <c r="BL2149" s="1">
        <v>0</v>
      </c>
      <c r="BM2149" s="1">
        <v>0</v>
      </c>
      <c r="BN2149" s="1">
        <v>0</v>
      </c>
      <c r="BO2149" s="1">
        <v>0</v>
      </c>
      <c r="BP2149" s="1">
        <v>0</v>
      </c>
      <c r="BQ2149" s="1" t="s">
        <v>104</v>
      </c>
      <c r="BR2149" s="1">
        <v>2265</v>
      </c>
      <c r="BS2149" s="1" t="s">
        <v>104</v>
      </c>
      <c r="BX2149" s="1">
        <v>0</v>
      </c>
      <c r="BY2149" s="1" t="s">
        <v>104</v>
      </c>
      <c r="BZ2149" s="1" t="s">
        <v>104</v>
      </c>
      <c r="CA2149" s="1" t="s">
        <v>104</v>
      </c>
      <c r="CB2149" s="1">
        <v>3</v>
      </c>
      <c r="CC2149" s="1" t="s">
        <v>104</v>
      </c>
      <c r="CD2149" s="1">
        <v>3</v>
      </c>
      <c r="CE2149" s="1" t="s">
        <v>104</v>
      </c>
      <c r="CF2149" s="1" t="s">
        <v>104</v>
      </c>
      <c r="CG2149" s="1" t="s">
        <v>104</v>
      </c>
      <c r="CH2149" s="1" t="s">
        <v>104</v>
      </c>
      <c r="CJ2149" s="1">
        <v>0</v>
      </c>
      <c r="CK2149" s="1">
        <v>0</v>
      </c>
      <c r="CL2149" s="1">
        <v>0</v>
      </c>
      <c r="CM2149" s="1">
        <v>4</v>
      </c>
    </row>
    <row r="2150" spans="1:91" ht="14.25" customHeight="1" x14ac:dyDescent="0.3">
      <c r="A2150" s="1" t="s">
        <v>11251</v>
      </c>
      <c r="B2150" s="1" t="s">
        <v>507</v>
      </c>
      <c r="C2150" s="1" t="s">
        <v>508</v>
      </c>
      <c r="E2150" s="1" t="s">
        <v>11252</v>
      </c>
      <c r="F2150" s="1" t="s">
        <v>255</v>
      </c>
      <c r="G2150" s="1" t="s">
        <v>237</v>
      </c>
      <c r="H2150" s="1">
        <v>0</v>
      </c>
      <c r="I2150" s="1" t="s">
        <v>128</v>
      </c>
      <c r="L2150" s="1" t="s">
        <v>129</v>
      </c>
      <c r="M2150" s="1" t="s">
        <v>4641</v>
      </c>
      <c r="N2150" s="1">
        <v>1</v>
      </c>
      <c r="O2150" s="1">
        <v>0</v>
      </c>
      <c r="P2150" s="1" t="s">
        <v>375</v>
      </c>
      <c r="Q2150" s="1" t="s">
        <v>131</v>
      </c>
      <c r="R2150" s="1" t="s">
        <v>11253</v>
      </c>
      <c r="S2150" s="1" t="s">
        <v>10570</v>
      </c>
      <c r="T2150" s="1">
        <v>1</v>
      </c>
      <c r="U2150" s="1">
        <v>0</v>
      </c>
      <c r="V2150" s="1">
        <v>0</v>
      </c>
      <c r="W2150" s="1">
        <v>0</v>
      </c>
      <c r="X2150" s="1">
        <v>0</v>
      </c>
      <c r="Y2150" s="1" t="s">
        <v>104</v>
      </c>
      <c r="Z2150" s="1" t="s">
        <v>104</v>
      </c>
      <c r="AA2150" s="1" t="s">
        <v>104</v>
      </c>
      <c r="AB2150" s="1" t="s">
        <v>104</v>
      </c>
      <c r="AC2150" s="1" t="s">
        <v>104</v>
      </c>
      <c r="AD2150" s="1" t="s">
        <v>104</v>
      </c>
      <c r="AE2150" s="1" t="s">
        <v>104</v>
      </c>
      <c r="AF2150" s="1" t="s">
        <v>104</v>
      </c>
      <c r="AG2150" s="1" t="s">
        <v>104</v>
      </c>
      <c r="AH2150" s="1" t="s">
        <v>104</v>
      </c>
      <c r="AI2150" s="1" t="s">
        <v>104</v>
      </c>
      <c r="AJ2150" s="1" t="s">
        <v>104</v>
      </c>
      <c r="AK2150" s="1" t="s">
        <v>104</v>
      </c>
      <c r="AL2150" s="1" t="s">
        <v>104</v>
      </c>
      <c r="AM2150" s="1" t="s">
        <v>104</v>
      </c>
      <c r="AO2150" s="1">
        <v>1</v>
      </c>
      <c r="AQ2150" s="1" t="s">
        <v>11254</v>
      </c>
      <c r="AR2150" s="1">
        <v>0</v>
      </c>
      <c r="AS2150" s="1">
        <v>0</v>
      </c>
      <c r="AT2150" s="1">
        <v>0</v>
      </c>
      <c r="AU2150" s="1">
        <v>0</v>
      </c>
      <c r="AV2150" s="1">
        <v>0</v>
      </c>
      <c r="AW2150" s="1">
        <v>0</v>
      </c>
      <c r="AX2150" s="1">
        <v>0</v>
      </c>
      <c r="AY2150" s="1">
        <v>0</v>
      </c>
      <c r="AZ2150" s="1">
        <v>0</v>
      </c>
      <c r="BA2150" s="1">
        <v>0</v>
      </c>
      <c r="BB2150" s="1">
        <v>0</v>
      </c>
      <c r="BC2150" s="1">
        <v>0</v>
      </c>
      <c r="BD2150" s="1">
        <v>0</v>
      </c>
      <c r="BE2150" s="1">
        <v>0</v>
      </c>
      <c r="BF2150" s="1">
        <v>0</v>
      </c>
      <c r="BG2150" s="1">
        <v>0</v>
      </c>
      <c r="BH2150" s="1">
        <v>0</v>
      </c>
      <c r="BI2150" s="1">
        <v>0</v>
      </c>
      <c r="BJ2150" s="1">
        <v>0</v>
      </c>
      <c r="BK2150" s="1">
        <v>0</v>
      </c>
      <c r="BL2150" s="1">
        <v>0</v>
      </c>
      <c r="BM2150" s="1">
        <v>0</v>
      </c>
      <c r="BN2150" s="1">
        <v>0</v>
      </c>
      <c r="BO2150" s="1">
        <v>0</v>
      </c>
      <c r="BP2150" s="1">
        <v>0</v>
      </c>
      <c r="BQ2150" s="1" t="s">
        <v>104</v>
      </c>
      <c r="BR2150" s="1">
        <v>2266</v>
      </c>
      <c r="BS2150" s="1" t="s">
        <v>104</v>
      </c>
      <c r="BX2150" s="1">
        <v>0</v>
      </c>
      <c r="BY2150" s="1" t="s">
        <v>104</v>
      </c>
      <c r="BZ2150" s="1" t="s">
        <v>104</v>
      </c>
      <c r="CA2150" s="1">
        <v>1</v>
      </c>
      <c r="CB2150" s="1" t="s">
        <v>104</v>
      </c>
      <c r="CC2150" s="1">
        <v>1</v>
      </c>
      <c r="CD2150" s="1" t="s">
        <v>104</v>
      </c>
      <c r="CE2150" s="1" t="s">
        <v>104</v>
      </c>
      <c r="CF2150" s="1" t="s">
        <v>104</v>
      </c>
      <c r="CG2150" s="1" t="s">
        <v>104</v>
      </c>
      <c r="CH2150" s="1" t="s">
        <v>104</v>
      </c>
      <c r="CJ2150" s="1">
        <v>0</v>
      </c>
      <c r="CK2150" s="1">
        <v>0</v>
      </c>
      <c r="CL2150" s="1">
        <v>0</v>
      </c>
      <c r="CM2150" s="1" t="s">
        <v>104</v>
      </c>
    </row>
    <row r="2151" spans="1:91" ht="14.25" customHeight="1" x14ac:dyDescent="0.3">
      <c r="A2151" s="1" t="s">
        <v>11255</v>
      </c>
      <c r="B2151" s="1" t="s">
        <v>162</v>
      </c>
      <c r="E2151" s="1" t="s">
        <v>10931</v>
      </c>
      <c r="F2151" s="1" t="s">
        <v>1502</v>
      </c>
      <c r="G2151" s="1" t="s">
        <v>237</v>
      </c>
      <c r="H2151" s="1">
        <v>0</v>
      </c>
      <c r="I2151" s="1" t="s">
        <v>157</v>
      </c>
      <c r="L2151" s="1" t="s">
        <v>158</v>
      </c>
      <c r="M2151" s="1" t="s">
        <v>255</v>
      </c>
      <c r="N2151" s="1">
        <v>0</v>
      </c>
      <c r="O2151" s="1">
        <v>0</v>
      </c>
      <c r="R2151" s="1" t="s">
        <v>11256</v>
      </c>
      <c r="S2151" s="1" t="s">
        <v>10570</v>
      </c>
      <c r="T2151" s="1">
        <v>1</v>
      </c>
      <c r="U2151" s="1">
        <v>0</v>
      </c>
      <c r="V2151" s="1">
        <v>0</v>
      </c>
      <c r="W2151" s="1">
        <v>0</v>
      </c>
      <c r="X2151" s="1">
        <v>0</v>
      </c>
      <c r="Y2151" s="1" t="s">
        <v>104</v>
      </c>
      <c r="Z2151" s="1" t="s">
        <v>104</v>
      </c>
      <c r="AA2151" s="1" t="s">
        <v>104</v>
      </c>
      <c r="AB2151" s="1" t="s">
        <v>104</v>
      </c>
      <c r="AC2151" s="1" t="s">
        <v>104</v>
      </c>
      <c r="AD2151" s="1" t="s">
        <v>104</v>
      </c>
      <c r="AE2151" s="1" t="s">
        <v>104</v>
      </c>
      <c r="AF2151" s="1" t="s">
        <v>104</v>
      </c>
      <c r="AG2151" s="1" t="s">
        <v>104</v>
      </c>
      <c r="AH2151" s="1" t="s">
        <v>104</v>
      </c>
      <c r="AI2151" s="1" t="s">
        <v>104</v>
      </c>
      <c r="AJ2151" s="1" t="s">
        <v>104</v>
      </c>
      <c r="AK2151" s="1" t="s">
        <v>104</v>
      </c>
      <c r="AL2151" s="1" t="s">
        <v>104</v>
      </c>
      <c r="AM2151" s="1" t="s">
        <v>104</v>
      </c>
      <c r="AO2151" s="1">
        <v>2</v>
      </c>
      <c r="AQ2151" s="1" t="s">
        <v>11257</v>
      </c>
      <c r="AR2151" s="1">
        <v>0</v>
      </c>
      <c r="AS2151" s="1">
        <v>0</v>
      </c>
      <c r="AT2151" s="1">
        <v>0</v>
      </c>
      <c r="AU2151" s="1">
        <v>0</v>
      </c>
      <c r="AV2151" s="1">
        <v>0</v>
      </c>
      <c r="AW2151" s="1">
        <v>0</v>
      </c>
      <c r="AX2151" s="1">
        <v>0</v>
      </c>
      <c r="AY2151" s="1">
        <v>0</v>
      </c>
      <c r="AZ2151" s="1">
        <v>0</v>
      </c>
      <c r="BA2151" s="1">
        <v>0</v>
      </c>
      <c r="BB2151" s="1">
        <v>0</v>
      </c>
      <c r="BC2151" s="1">
        <v>0</v>
      </c>
      <c r="BD2151" s="1">
        <v>0</v>
      </c>
      <c r="BE2151" s="1">
        <v>0</v>
      </c>
      <c r="BF2151" s="1">
        <v>0</v>
      </c>
      <c r="BG2151" s="1">
        <v>0</v>
      </c>
      <c r="BH2151" s="1">
        <v>0</v>
      </c>
      <c r="BI2151" s="1">
        <v>0</v>
      </c>
      <c r="BJ2151" s="1">
        <v>0</v>
      </c>
      <c r="BK2151" s="1">
        <v>0</v>
      </c>
      <c r="BL2151" s="1">
        <v>0</v>
      </c>
      <c r="BM2151" s="1">
        <v>0</v>
      </c>
      <c r="BN2151" s="1">
        <v>0</v>
      </c>
      <c r="BO2151" s="1">
        <v>0</v>
      </c>
      <c r="BP2151" s="1">
        <v>0</v>
      </c>
      <c r="BQ2151" s="1" t="s">
        <v>104</v>
      </c>
      <c r="BR2151" s="1">
        <v>2267</v>
      </c>
      <c r="BS2151" s="1" t="s">
        <v>104</v>
      </c>
      <c r="BX2151" s="1">
        <v>0</v>
      </c>
      <c r="BY2151" s="1" t="s">
        <v>104</v>
      </c>
      <c r="BZ2151" s="1" t="s">
        <v>104</v>
      </c>
      <c r="CA2151" s="1">
        <v>2</v>
      </c>
      <c r="CB2151" s="1" t="s">
        <v>104</v>
      </c>
      <c r="CC2151" s="1" t="s">
        <v>104</v>
      </c>
      <c r="CD2151" s="1" t="s">
        <v>104</v>
      </c>
      <c r="CE2151" s="1" t="s">
        <v>104</v>
      </c>
      <c r="CF2151" s="1" t="s">
        <v>104</v>
      </c>
      <c r="CG2151" s="1" t="s">
        <v>104</v>
      </c>
      <c r="CH2151" s="1" t="s">
        <v>104</v>
      </c>
      <c r="CJ2151" s="1">
        <v>0</v>
      </c>
      <c r="CK2151" s="1">
        <v>0</v>
      </c>
      <c r="CL2151" s="1">
        <v>0</v>
      </c>
      <c r="CM2151" s="1" t="s">
        <v>104</v>
      </c>
    </row>
    <row r="2152" spans="1:91" ht="14.25" customHeight="1" x14ac:dyDescent="0.3">
      <c r="A2152" s="1" t="s">
        <v>11258</v>
      </c>
      <c r="B2152" s="1" t="s">
        <v>162</v>
      </c>
      <c r="E2152" s="1" t="s">
        <v>10846</v>
      </c>
      <c r="F2152" s="1" t="s">
        <v>1502</v>
      </c>
      <c r="G2152" s="1" t="s">
        <v>237</v>
      </c>
      <c r="H2152" s="1">
        <v>0</v>
      </c>
      <c r="I2152" s="1" t="s">
        <v>157</v>
      </c>
      <c r="L2152" s="1" t="s">
        <v>158</v>
      </c>
      <c r="M2152" s="1" t="s">
        <v>255</v>
      </c>
      <c r="N2152" s="1">
        <v>0</v>
      </c>
      <c r="O2152" s="1">
        <v>0</v>
      </c>
      <c r="R2152" s="1" t="s">
        <v>11259</v>
      </c>
      <c r="S2152" s="1" t="s">
        <v>10570</v>
      </c>
      <c r="T2152" s="1">
        <v>1</v>
      </c>
      <c r="U2152" s="1">
        <v>0</v>
      </c>
      <c r="V2152" s="1">
        <v>0</v>
      </c>
      <c r="W2152" s="1">
        <v>0</v>
      </c>
      <c r="X2152" s="1">
        <v>0</v>
      </c>
      <c r="Y2152" s="1" t="s">
        <v>104</v>
      </c>
      <c r="Z2152" s="1" t="s">
        <v>104</v>
      </c>
      <c r="AA2152" s="1" t="s">
        <v>104</v>
      </c>
      <c r="AB2152" s="1" t="s">
        <v>104</v>
      </c>
      <c r="AC2152" s="1" t="s">
        <v>104</v>
      </c>
      <c r="AD2152" s="1" t="s">
        <v>104</v>
      </c>
      <c r="AE2152" s="1" t="s">
        <v>104</v>
      </c>
      <c r="AF2152" s="1" t="s">
        <v>104</v>
      </c>
      <c r="AG2152" s="1" t="s">
        <v>104</v>
      </c>
      <c r="AH2152" s="1" t="s">
        <v>104</v>
      </c>
      <c r="AI2152" s="1" t="s">
        <v>104</v>
      </c>
      <c r="AJ2152" s="1" t="s">
        <v>104</v>
      </c>
      <c r="AK2152" s="1" t="s">
        <v>104</v>
      </c>
      <c r="AL2152" s="1" t="s">
        <v>104</v>
      </c>
      <c r="AM2152" s="1" t="s">
        <v>104</v>
      </c>
      <c r="AO2152" s="1">
        <v>3</v>
      </c>
      <c r="AQ2152" s="1" t="s">
        <v>11260</v>
      </c>
      <c r="AR2152" s="1">
        <v>0</v>
      </c>
      <c r="AS2152" s="1">
        <v>0</v>
      </c>
      <c r="AT2152" s="1">
        <v>0</v>
      </c>
      <c r="AU2152" s="1">
        <v>0</v>
      </c>
      <c r="AV2152" s="1">
        <v>0</v>
      </c>
      <c r="AW2152" s="1">
        <v>0</v>
      </c>
      <c r="AX2152" s="1">
        <v>0</v>
      </c>
      <c r="AY2152" s="1">
        <v>0</v>
      </c>
      <c r="AZ2152" s="1">
        <v>0</v>
      </c>
      <c r="BA2152" s="1">
        <v>0</v>
      </c>
      <c r="BB2152" s="1">
        <v>0</v>
      </c>
      <c r="BC2152" s="1">
        <v>0</v>
      </c>
      <c r="BD2152" s="1">
        <v>0</v>
      </c>
      <c r="BE2152" s="1">
        <v>0</v>
      </c>
      <c r="BF2152" s="1">
        <v>0</v>
      </c>
      <c r="BG2152" s="1">
        <v>0</v>
      </c>
      <c r="BH2152" s="1">
        <v>0</v>
      </c>
      <c r="BI2152" s="1">
        <v>0</v>
      </c>
      <c r="BJ2152" s="1">
        <v>0</v>
      </c>
      <c r="BK2152" s="1">
        <v>0</v>
      </c>
      <c r="BL2152" s="1">
        <v>0</v>
      </c>
      <c r="BM2152" s="1">
        <v>0</v>
      </c>
      <c r="BN2152" s="1">
        <v>0</v>
      </c>
      <c r="BO2152" s="1">
        <v>0</v>
      </c>
      <c r="BP2152" s="1">
        <v>0</v>
      </c>
      <c r="BQ2152" s="1" t="s">
        <v>104</v>
      </c>
      <c r="BR2152" s="1">
        <v>2268</v>
      </c>
      <c r="BS2152" s="1" t="s">
        <v>104</v>
      </c>
      <c r="BX2152" s="1">
        <v>0</v>
      </c>
      <c r="BY2152" s="1" t="s">
        <v>104</v>
      </c>
      <c r="BZ2152" s="1" t="s">
        <v>104</v>
      </c>
      <c r="CA2152" s="1">
        <v>3</v>
      </c>
      <c r="CB2152" s="1" t="s">
        <v>104</v>
      </c>
      <c r="CC2152" s="1" t="s">
        <v>104</v>
      </c>
      <c r="CD2152" s="1" t="s">
        <v>104</v>
      </c>
      <c r="CE2152" s="1" t="s">
        <v>104</v>
      </c>
      <c r="CF2152" s="1" t="s">
        <v>104</v>
      </c>
      <c r="CG2152" s="1" t="s">
        <v>104</v>
      </c>
      <c r="CH2152" s="1" t="s">
        <v>104</v>
      </c>
      <c r="CJ2152" s="1">
        <v>0</v>
      </c>
      <c r="CK2152" s="1">
        <v>0</v>
      </c>
      <c r="CL2152" s="1">
        <v>0</v>
      </c>
      <c r="CM2152" s="1" t="s">
        <v>104</v>
      </c>
    </row>
    <row r="2153" spans="1:91" ht="14.25" customHeight="1" x14ac:dyDescent="0.3">
      <c r="A2153" s="1" t="s">
        <v>11261</v>
      </c>
      <c r="B2153" s="1" t="s">
        <v>162</v>
      </c>
      <c r="E2153" s="1" t="s">
        <v>10851</v>
      </c>
      <c r="F2153" s="1" t="s">
        <v>1502</v>
      </c>
      <c r="G2153" s="1" t="s">
        <v>237</v>
      </c>
      <c r="H2153" s="1">
        <v>0</v>
      </c>
      <c r="I2153" s="1" t="s">
        <v>157</v>
      </c>
      <c r="L2153" s="1" t="s">
        <v>158</v>
      </c>
      <c r="M2153" s="1" t="s">
        <v>255</v>
      </c>
      <c r="N2153" s="1">
        <v>0</v>
      </c>
      <c r="O2153" s="1">
        <v>0</v>
      </c>
      <c r="R2153" s="1" t="s">
        <v>11262</v>
      </c>
      <c r="S2153" s="1" t="s">
        <v>10570</v>
      </c>
      <c r="T2153" s="1">
        <v>1</v>
      </c>
      <c r="U2153" s="1">
        <v>0</v>
      </c>
      <c r="V2153" s="1">
        <v>0</v>
      </c>
      <c r="W2153" s="1">
        <v>0</v>
      </c>
      <c r="X2153" s="1">
        <v>0</v>
      </c>
      <c r="Y2153" s="1" t="s">
        <v>104</v>
      </c>
      <c r="Z2153" s="1" t="s">
        <v>104</v>
      </c>
      <c r="AA2153" s="1" t="s">
        <v>104</v>
      </c>
      <c r="AB2153" s="1" t="s">
        <v>104</v>
      </c>
      <c r="AC2153" s="1" t="s">
        <v>104</v>
      </c>
      <c r="AD2153" s="1" t="s">
        <v>104</v>
      </c>
      <c r="AE2153" s="1" t="s">
        <v>104</v>
      </c>
      <c r="AF2153" s="1" t="s">
        <v>104</v>
      </c>
      <c r="AG2153" s="1" t="s">
        <v>104</v>
      </c>
      <c r="AH2153" s="1" t="s">
        <v>104</v>
      </c>
      <c r="AI2153" s="1" t="s">
        <v>104</v>
      </c>
      <c r="AJ2153" s="1" t="s">
        <v>104</v>
      </c>
      <c r="AK2153" s="1" t="s">
        <v>104</v>
      </c>
      <c r="AL2153" s="1" t="s">
        <v>104</v>
      </c>
      <c r="AM2153" s="1" t="s">
        <v>104</v>
      </c>
      <c r="AO2153" s="1">
        <v>4</v>
      </c>
      <c r="AQ2153" s="1" t="s">
        <v>11263</v>
      </c>
      <c r="AR2153" s="1">
        <v>0</v>
      </c>
      <c r="AS2153" s="1">
        <v>0</v>
      </c>
      <c r="AT2153" s="1">
        <v>0</v>
      </c>
      <c r="AU2153" s="1">
        <v>0</v>
      </c>
      <c r="AV2153" s="1">
        <v>0</v>
      </c>
      <c r="AW2153" s="1">
        <v>0</v>
      </c>
      <c r="AX2153" s="1">
        <v>0</v>
      </c>
      <c r="AY2153" s="1">
        <v>0</v>
      </c>
      <c r="AZ2153" s="1">
        <v>0</v>
      </c>
      <c r="BA2153" s="1">
        <v>0</v>
      </c>
      <c r="BB2153" s="1">
        <v>0</v>
      </c>
      <c r="BC2153" s="1">
        <v>0</v>
      </c>
      <c r="BD2153" s="1">
        <v>0</v>
      </c>
      <c r="BE2153" s="1">
        <v>0</v>
      </c>
      <c r="BF2153" s="1">
        <v>0</v>
      </c>
      <c r="BG2153" s="1">
        <v>0</v>
      </c>
      <c r="BH2153" s="1">
        <v>0</v>
      </c>
      <c r="BI2153" s="1">
        <v>0</v>
      </c>
      <c r="BJ2153" s="1">
        <v>0</v>
      </c>
      <c r="BK2153" s="1">
        <v>0</v>
      </c>
      <c r="BL2153" s="1">
        <v>0</v>
      </c>
      <c r="BM2153" s="1">
        <v>0</v>
      </c>
      <c r="BN2153" s="1">
        <v>0</v>
      </c>
      <c r="BO2153" s="1">
        <v>0</v>
      </c>
      <c r="BP2153" s="1">
        <v>0</v>
      </c>
      <c r="BQ2153" s="1" t="s">
        <v>104</v>
      </c>
      <c r="BR2153" s="1">
        <v>2269</v>
      </c>
      <c r="BS2153" s="1" t="s">
        <v>104</v>
      </c>
      <c r="BX2153" s="1">
        <v>0</v>
      </c>
      <c r="BY2153" s="1" t="s">
        <v>104</v>
      </c>
      <c r="BZ2153" s="1" t="s">
        <v>104</v>
      </c>
      <c r="CA2153" s="1">
        <v>4</v>
      </c>
      <c r="CB2153" s="1" t="s">
        <v>104</v>
      </c>
      <c r="CC2153" s="1" t="s">
        <v>104</v>
      </c>
      <c r="CD2153" s="1" t="s">
        <v>104</v>
      </c>
      <c r="CE2153" s="1" t="s">
        <v>104</v>
      </c>
      <c r="CF2153" s="1" t="s">
        <v>104</v>
      </c>
      <c r="CG2153" s="1" t="s">
        <v>104</v>
      </c>
      <c r="CH2153" s="1" t="s">
        <v>104</v>
      </c>
      <c r="CJ2153" s="1">
        <v>0</v>
      </c>
      <c r="CK2153" s="1">
        <v>0</v>
      </c>
      <c r="CL2153" s="1">
        <v>0</v>
      </c>
      <c r="CM2153" s="1" t="s">
        <v>104</v>
      </c>
    </row>
    <row r="2154" spans="1:91" ht="14.25" customHeight="1" x14ac:dyDescent="0.3">
      <c r="A2154" s="1" t="s">
        <v>11264</v>
      </c>
      <c r="B2154" s="1" t="s">
        <v>162</v>
      </c>
      <c r="E2154" s="1" t="s">
        <v>10855</v>
      </c>
      <c r="F2154" s="1" t="s">
        <v>1502</v>
      </c>
      <c r="G2154" s="1" t="s">
        <v>237</v>
      </c>
      <c r="H2154" s="1">
        <v>0</v>
      </c>
      <c r="I2154" s="1" t="s">
        <v>157</v>
      </c>
      <c r="L2154" s="1" t="s">
        <v>158</v>
      </c>
      <c r="M2154" s="1" t="s">
        <v>255</v>
      </c>
      <c r="N2154" s="1">
        <v>0</v>
      </c>
      <c r="O2154" s="1">
        <v>0</v>
      </c>
      <c r="R2154" s="1" t="s">
        <v>11265</v>
      </c>
      <c r="S2154" s="1" t="s">
        <v>10570</v>
      </c>
      <c r="T2154" s="1">
        <v>1</v>
      </c>
      <c r="U2154" s="1">
        <v>0</v>
      </c>
      <c r="V2154" s="1">
        <v>0</v>
      </c>
      <c r="W2154" s="1">
        <v>0</v>
      </c>
      <c r="X2154" s="1">
        <v>0</v>
      </c>
      <c r="Y2154" s="1" t="s">
        <v>104</v>
      </c>
      <c r="Z2154" s="1" t="s">
        <v>104</v>
      </c>
      <c r="AA2154" s="1" t="s">
        <v>104</v>
      </c>
      <c r="AB2154" s="1" t="s">
        <v>104</v>
      </c>
      <c r="AC2154" s="1" t="s">
        <v>104</v>
      </c>
      <c r="AD2154" s="1" t="s">
        <v>104</v>
      </c>
      <c r="AE2154" s="1" t="s">
        <v>104</v>
      </c>
      <c r="AF2154" s="1" t="s">
        <v>104</v>
      </c>
      <c r="AG2154" s="1" t="s">
        <v>104</v>
      </c>
      <c r="AH2154" s="1" t="s">
        <v>104</v>
      </c>
      <c r="AI2154" s="1" t="s">
        <v>104</v>
      </c>
      <c r="AJ2154" s="1" t="s">
        <v>104</v>
      </c>
      <c r="AK2154" s="1" t="s">
        <v>104</v>
      </c>
      <c r="AL2154" s="1" t="s">
        <v>104</v>
      </c>
      <c r="AM2154" s="1" t="s">
        <v>104</v>
      </c>
      <c r="AO2154" s="1">
        <v>5</v>
      </c>
      <c r="AQ2154" s="1" t="s">
        <v>11266</v>
      </c>
      <c r="AR2154" s="1">
        <v>0</v>
      </c>
      <c r="AS2154" s="1">
        <v>0</v>
      </c>
      <c r="AT2154" s="1">
        <v>0</v>
      </c>
      <c r="AU2154" s="1">
        <v>0</v>
      </c>
      <c r="AV2154" s="1">
        <v>0</v>
      </c>
      <c r="AW2154" s="1">
        <v>0</v>
      </c>
      <c r="AX2154" s="1">
        <v>0</v>
      </c>
      <c r="AY2154" s="1">
        <v>0</v>
      </c>
      <c r="AZ2154" s="1">
        <v>0</v>
      </c>
      <c r="BA2154" s="1">
        <v>0</v>
      </c>
      <c r="BB2154" s="1">
        <v>0</v>
      </c>
      <c r="BC2154" s="1">
        <v>0</v>
      </c>
      <c r="BD2154" s="1">
        <v>0</v>
      </c>
      <c r="BE2154" s="1">
        <v>0</v>
      </c>
      <c r="BF2154" s="1">
        <v>0</v>
      </c>
      <c r="BG2154" s="1">
        <v>0</v>
      </c>
      <c r="BH2154" s="1">
        <v>0</v>
      </c>
      <c r="BI2154" s="1">
        <v>0</v>
      </c>
      <c r="BJ2154" s="1">
        <v>0</v>
      </c>
      <c r="BK2154" s="1">
        <v>0</v>
      </c>
      <c r="BL2154" s="1">
        <v>0</v>
      </c>
      <c r="BM2154" s="1">
        <v>0</v>
      </c>
      <c r="BN2154" s="1">
        <v>0</v>
      </c>
      <c r="BO2154" s="1">
        <v>0</v>
      </c>
      <c r="BP2154" s="1">
        <v>0</v>
      </c>
      <c r="BQ2154" s="1" t="s">
        <v>104</v>
      </c>
      <c r="BR2154" s="1">
        <v>2270</v>
      </c>
      <c r="BS2154" s="1" t="s">
        <v>104</v>
      </c>
      <c r="BX2154" s="1">
        <v>0</v>
      </c>
      <c r="BY2154" s="1" t="s">
        <v>104</v>
      </c>
      <c r="BZ2154" s="1" t="s">
        <v>104</v>
      </c>
      <c r="CA2154" s="1">
        <v>5</v>
      </c>
      <c r="CB2154" s="1" t="s">
        <v>104</v>
      </c>
      <c r="CC2154" s="1" t="s">
        <v>104</v>
      </c>
      <c r="CD2154" s="1" t="s">
        <v>104</v>
      </c>
      <c r="CE2154" s="1" t="s">
        <v>104</v>
      </c>
      <c r="CF2154" s="1" t="s">
        <v>104</v>
      </c>
      <c r="CG2154" s="1" t="s">
        <v>104</v>
      </c>
      <c r="CH2154" s="1" t="s">
        <v>104</v>
      </c>
      <c r="CJ2154" s="1">
        <v>0</v>
      </c>
      <c r="CK2154" s="1">
        <v>0</v>
      </c>
      <c r="CL2154" s="1">
        <v>0</v>
      </c>
      <c r="CM2154" s="1" t="s">
        <v>104</v>
      </c>
    </row>
    <row r="2155" spans="1:91" ht="14.25" customHeight="1" x14ac:dyDescent="0.3">
      <c r="A2155" s="1" t="s">
        <v>11267</v>
      </c>
      <c r="B2155" s="1" t="s">
        <v>162</v>
      </c>
      <c r="E2155" s="1" t="s">
        <v>10859</v>
      </c>
      <c r="F2155" s="1" t="s">
        <v>1502</v>
      </c>
      <c r="G2155" s="1" t="s">
        <v>237</v>
      </c>
      <c r="H2155" s="1">
        <v>0</v>
      </c>
      <c r="I2155" s="1" t="s">
        <v>157</v>
      </c>
      <c r="L2155" s="1" t="s">
        <v>158</v>
      </c>
      <c r="M2155" s="1" t="s">
        <v>6947</v>
      </c>
      <c r="N2155" s="1">
        <v>0</v>
      </c>
      <c r="O2155" s="1">
        <v>0</v>
      </c>
      <c r="R2155" s="1" t="s">
        <v>11268</v>
      </c>
      <c r="S2155" s="1" t="s">
        <v>10570</v>
      </c>
      <c r="T2155" s="1">
        <v>1</v>
      </c>
      <c r="U2155" s="1">
        <v>0</v>
      </c>
      <c r="V2155" s="1">
        <v>0</v>
      </c>
      <c r="W2155" s="1">
        <v>0</v>
      </c>
      <c r="X2155" s="1">
        <v>0</v>
      </c>
      <c r="Y2155" s="1" t="s">
        <v>104</v>
      </c>
      <c r="Z2155" s="1" t="s">
        <v>104</v>
      </c>
      <c r="AA2155" s="1" t="s">
        <v>104</v>
      </c>
      <c r="AB2155" s="1" t="s">
        <v>104</v>
      </c>
      <c r="AC2155" s="1" t="s">
        <v>104</v>
      </c>
      <c r="AD2155" s="1" t="s">
        <v>104</v>
      </c>
      <c r="AE2155" s="1" t="s">
        <v>104</v>
      </c>
      <c r="AF2155" s="1" t="s">
        <v>104</v>
      </c>
      <c r="AG2155" s="1" t="s">
        <v>104</v>
      </c>
      <c r="AH2155" s="1" t="s">
        <v>104</v>
      </c>
      <c r="AI2155" s="1" t="s">
        <v>104</v>
      </c>
      <c r="AJ2155" s="1" t="s">
        <v>104</v>
      </c>
      <c r="AK2155" s="1" t="s">
        <v>104</v>
      </c>
      <c r="AL2155" s="1" t="s">
        <v>104</v>
      </c>
      <c r="AM2155" s="1" t="s">
        <v>104</v>
      </c>
      <c r="AO2155" s="1">
        <v>6</v>
      </c>
      <c r="AQ2155" s="1" t="s">
        <v>11269</v>
      </c>
      <c r="AR2155" s="1">
        <v>0</v>
      </c>
      <c r="AS2155" s="1">
        <v>0</v>
      </c>
      <c r="AT2155" s="1">
        <v>0</v>
      </c>
      <c r="AU2155" s="1">
        <v>0</v>
      </c>
      <c r="AV2155" s="1">
        <v>0</v>
      </c>
      <c r="AW2155" s="1">
        <v>0</v>
      </c>
      <c r="AX2155" s="1">
        <v>0</v>
      </c>
      <c r="AY2155" s="1">
        <v>0</v>
      </c>
      <c r="AZ2155" s="1">
        <v>0</v>
      </c>
      <c r="BA2155" s="1">
        <v>0</v>
      </c>
      <c r="BB2155" s="1">
        <v>0</v>
      </c>
      <c r="BC2155" s="1">
        <v>0</v>
      </c>
      <c r="BD2155" s="1">
        <v>0</v>
      </c>
      <c r="BE2155" s="1">
        <v>0</v>
      </c>
      <c r="BF2155" s="1">
        <v>0</v>
      </c>
      <c r="BG2155" s="1">
        <v>0</v>
      </c>
      <c r="BH2155" s="1">
        <v>0</v>
      </c>
      <c r="BI2155" s="1">
        <v>0</v>
      </c>
      <c r="BJ2155" s="1">
        <v>0</v>
      </c>
      <c r="BK2155" s="1">
        <v>0</v>
      </c>
      <c r="BL2155" s="1">
        <v>0</v>
      </c>
      <c r="BM2155" s="1">
        <v>0</v>
      </c>
      <c r="BN2155" s="1">
        <v>0</v>
      </c>
      <c r="BO2155" s="1">
        <v>0</v>
      </c>
      <c r="BP2155" s="1">
        <v>0</v>
      </c>
      <c r="BQ2155" s="1" t="s">
        <v>104</v>
      </c>
      <c r="BR2155" s="1">
        <v>2271</v>
      </c>
      <c r="BS2155" s="1" t="s">
        <v>104</v>
      </c>
      <c r="BX2155" s="1">
        <v>0</v>
      </c>
      <c r="BY2155" s="1" t="s">
        <v>104</v>
      </c>
      <c r="BZ2155" s="1" t="s">
        <v>104</v>
      </c>
      <c r="CA2155" s="1">
        <v>6</v>
      </c>
      <c r="CB2155" s="1" t="s">
        <v>104</v>
      </c>
      <c r="CC2155" s="1" t="s">
        <v>104</v>
      </c>
      <c r="CD2155" s="1" t="s">
        <v>104</v>
      </c>
      <c r="CE2155" s="1" t="s">
        <v>104</v>
      </c>
      <c r="CF2155" s="1" t="s">
        <v>104</v>
      </c>
      <c r="CG2155" s="1" t="s">
        <v>104</v>
      </c>
      <c r="CH2155" s="1" t="s">
        <v>104</v>
      </c>
      <c r="CJ2155" s="1">
        <v>0</v>
      </c>
      <c r="CK2155" s="1">
        <v>0</v>
      </c>
      <c r="CL2155" s="1">
        <v>0</v>
      </c>
      <c r="CM2155" s="1" t="s">
        <v>104</v>
      </c>
    </row>
    <row r="2156" spans="1:91" ht="14.25" customHeight="1" x14ac:dyDescent="0.3">
      <c r="A2156" s="1" t="s">
        <v>11270</v>
      </c>
      <c r="B2156" s="1" t="s">
        <v>172</v>
      </c>
      <c r="D2156" s="1" t="s">
        <v>125</v>
      </c>
      <c r="E2156" s="1" t="s">
        <v>11271</v>
      </c>
      <c r="F2156" s="1" t="s">
        <v>95</v>
      </c>
      <c r="G2156" s="1" t="s">
        <v>11272</v>
      </c>
      <c r="H2156" s="1">
        <v>0</v>
      </c>
      <c r="I2156" s="1" t="s">
        <v>157</v>
      </c>
      <c r="L2156" s="1" t="s">
        <v>158</v>
      </c>
      <c r="M2156" s="1" t="s">
        <v>2330</v>
      </c>
      <c r="N2156" s="1">
        <v>0</v>
      </c>
      <c r="O2156" s="1">
        <v>0</v>
      </c>
      <c r="R2156" s="1" t="s">
        <v>11273</v>
      </c>
      <c r="S2156" s="1" t="s">
        <v>10570</v>
      </c>
      <c r="T2156" s="1">
        <v>1</v>
      </c>
      <c r="U2156" s="1">
        <v>0</v>
      </c>
      <c r="V2156" s="1">
        <v>1</v>
      </c>
      <c r="W2156" s="1">
        <v>0</v>
      </c>
      <c r="X2156" s="1">
        <v>0</v>
      </c>
      <c r="Y2156" s="1">
        <v>5</v>
      </c>
      <c r="Z2156" s="1">
        <v>5</v>
      </c>
      <c r="AA2156" s="1" t="s">
        <v>104</v>
      </c>
      <c r="AB2156" s="1" t="s">
        <v>104</v>
      </c>
      <c r="AC2156" s="1" t="s">
        <v>104</v>
      </c>
      <c r="AD2156" s="1" t="s">
        <v>104</v>
      </c>
      <c r="AE2156" s="1" t="s">
        <v>104</v>
      </c>
      <c r="AF2156" s="1" t="s">
        <v>104</v>
      </c>
      <c r="AG2156" s="1" t="s">
        <v>104</v>
      </c>
      <c r="AH2156" s="1" t="s">
        <v>104</v>
      </c>
      <c r="AI2156" s="1" t="s">
        <v>104</v>
      </c>
      <c r="AJ2156" s="1" t="s">
        <v>104</v>
      </c>
      <c r="AK2156" s="1" t="s">
        <v>104</v>
      </c>
      <c r="AL2156" s="1" t="s">
        <v>104</v>
      </c>
      <c r="AM2156" s="1" t="s">
        <v>104</v>
      </c>
      <c r="AO2156" s="1">
        <v>5</v>
      </c>
      <c r="AQ2156" s="1" t="s">
        <v>11274</v>
      </c>
      <c r="AR2156" s="1">
        <v>0</v>
      </c>
      <c r="AS2156" s="1">
        <v>0</v>
      </c>
      <c r="AT2156" s="1">
        <v>0</v>
      </c>
      <c r="AU2156" s="1">
        <v>0</v>
      </c>
      <c r="AV2156" s="1">
        <v>0</v>
      </c>
      <c r="AW2156" s="1">
        <v>0</v>
      </c>
      <c r="AX2156" s="1">
        <v>0</v>
      </c>
      <c r="AY2156" s="1">
        <v>0</v>
      </c>
      <c r="AZ2156" s="1">
        <v>0</v>
      </c>
      <c r="BA2156" s="1">
        <v>0</v>
      </c>
      <c r="BB2156" s="1">
        <v>0</v>
      </c>
      <c r="BC2156" s="1">
        <v>0</v>
      </c>
      <c r="BD2156" s="1">
        <v>0</v>
      </c>
      <c r="BE2156" s="1">
        <v>0</v>
      </c>
      <c r="BF2156" s="1">
        <v>0</v>
      </c>
      <c r="BG2156" s="1">
        <v>0</v>
      </c>
      <c r="BH2156" s="1">
        <v>0</v>
      </c>
      <c r="BI2156" s="1">
        <v>0</v>
      </c>
      <c r="BJ2156" s="1">
        <v>0</v>
      </c>
      <c r="BK2156" s="1">
        <v>1</v>
      </c>
      <c r="BL2156" s="1">
        <v>0</v>
      </c>
      <c r="BM2156" s="1">
        <v>0</v>
      </c>
      <c r="BN2156" s="1">
        <v>0</v>
      </c>
      <c r="BO2156" s="1">
        <v>0</v>
      </c>
      <c r="BP2156" s="1">
        <v>0</v>
      </c>
      <c r="BQ2156" s="1" t="s">
        <v>104</v>
      </c>
      <c r="BR2156" s="1">
        <v>2272</v>
      </c>
      <c r="BS2156" s="1" t="s">
        <v>104</v>
      </c>
      <c r="BX2156" s="1">
        <v>0</v>
      </c>
      <c r="BY2156" s="1" t="s">
        <v>104</v>
      </c>
      <c r="BZ2156" s="1" t="s">
        <v>104</v>
      </c>
      <c r="CA2156" s="1">
        <v>4</v>
      </c>
      <c r="CB2156" s="1">
        <v>4</v>
      </c>
      <c r="CC2156" s="1">
        <v>4</v>
      </c>
      <c r="CD2156" s="1" t="s">
        <v>104</v>
      </c>
      <c r="CE2156" s="1">
        <v>4</v>
      </c>
      <c r="CF2156" s="1" t="s">
        <v>104</v>
      </c>
      <c r="CG2156" s="1" t="s">
        <v>104</v>
      </c>
      <c r="CH2156" s="1" t="s">
        <v>104</v>
      </c>
      <c r="CJ2156" s="1">
        <v>0</v>
      </c>
      <c r="CK2156" s="1">
        <v>0</v>
      </c>
      <c r="CL2156" s="1">
        <v>0</v>
      </c>
      <c r="CM2156" s="1" t="s">
        <v>104</v>
      </c>
    </row>
    <row r="2157" spans="1:91" ht="14.25" customHeight="1" x14ac:dyDescent="0.3">
      <c r="A2157" s="1" t="s">
        <v>11275</v>
      </c>
      <c r="B2157" s="1" t="s">
        <v>162</v>
      </c>
      <c r="E2157" s="1" t="s">
        <v>10855</v>
      </c>
      <c r="F2157" s="1" t="s">
        <v>1502</v>
      </c>
      <c r="G2157" s="1" t="s">
        <v>237</v>
      </c>
      <c r="H2157" s="1">
        <v>0</v>
      </c>
      <c r="I2157" s="1" t="s">
        <v>256</v>
      </c>
      <c r="J2157" s="1" t="s">
        <v>3086</v>
      </c>
      <c r="M2157" s="1" t="s">
        <v>255</v>
      </c>
      <c r="N2157" s="1">
        <v>0</v>
      </c>
      <c r="O2157" s="1">
        <v>0</v>
      </c>
      <c r="P2157" s="1" t="s">
        <v>100</v>
      </c>
      <c r="Q2157" s="1" t="s">
        <v>131</v>
      </c>
      <c r="R2157" s="1" t="s">
        <v>11276</v>
      </c>
      <c r="S2157" s="1" t="s">
        <v>10570</v>
      </c>
      <c r="T2157" s="1">
        <v>1</v>
      </c>
      <c r="U2157" s="1">
        <v>0</v>
      </c>
      <c r="V2157" s="1">
        <v>0</v>
      </c>
      <c r="W2157" s="1">
        <v>0</v>
      </c>
      <c r="X2157" s="1">
        <v>0</v>
      </c>
      <c r="Y2157" s="1" t="s">
        <v>104</v>
      </c>
      <c r="Z2157" s="1" t="s">
        <v>104</v>
      </c>
      <c r="AA2157" s="1" t="s">
        <v>104</v>
      </c>
      <c r="AB2157" s="1" t="s">
        <v>104</v>
      </c>
      <c r="AC2157" s="1" t="s">
        <v>104</v>
      </c>
      <c r="AD2157" s="1" t="s">
        <v>104</v>
      </c>
      <c r="AE2157" s="1" t="s">
        <v>104</v>
      </c>
      <c r="AF2157" s="1" t="s">
        <v>104</v>
      </c>
      <c r="AG2157" s="1" t="s">
        <v>104</v>
      </c>
      <c r="AH2157" s="1" t="s">
        <v>104</v>
      </c>
      <c r="AI2157" s="1" t="s">
        <v>104</v>
      </c>
      <c r="AJ2157" s="1" t="s">
        <v>104</v>
      </c>
      <c r="AK2157" s="1" t="s">
        <v>104</v>
      </c>
      <c r="AL2157" s="1" t="s">
        <v>104</v>
      </c>
      <c r="AM2157" s="1" t="s">
        <v>104</v>
      </c>
      <c r="AO2157" s="1">
        <v>5</v>
      </c>
      <c r="AQ2157" s="1" t="s">
        <v>11277</v>
      </c>
      <c r="AR2157" s="1">
        <v>0</v>
      </c>
      <c r="AS2157" s="1">
        <v>0</v>
      </c>
      <c r="AT2157" s="1">
        <v>0</v>
      </c>
      <c r="AU2157" s="1">
        <v>0</v>
      </c>
      <c r="AV2157" s="1">
        <v>0</v>
      </c>
      <c r="AW2157" s="1">
        <v>0</v>
      </c>
      <c r="AX2157" s="1">
        <v>0</v>
      </c>
      <c r="AY2157" s="1">
        <v>0</v>
      </c>
      <c r="AZ2157" s="1">
        <v>0</v>
      </c>
      <c r="BA2157" s="1">
        <v>0</v>
      </c>
      <c r="BB2157" s="1">
        <v>0</v>
      </c>
      <c r="BC2157" s="1">
        <v>0</v>
      </c>
      <c r="BD2157" s="1">
        <v>0</v>
      </c>
      <c r="BE2157" s="1">
        <v>0</v>
      </c>
      <c r="BF2157" s="1">
        <v>0</v>
      </c>
      <c r="BG2157" s="1">
        <v>0</v>
      </c>
      <c r="BH2157" s="1">
        <v>0</v>
      </c>
      <c r="BI2157" s="1">
        <v>0</v>
      </c>
      <c r="BJ2157" s="1">
        <v>0</v>
      </c>
      <c r="BK2157" s="1">
        <v>0</v>
      </c>
      <c r="BL2157" s="1">
        <v>0</v>
      </c>
      <c r="BM2157" s="1">
        <v>0</v>
      </c>
      <c r="BN2157" s="1">
        <v>0</v>
      </c>
      <c r="BO2157" s="1">
        <v>0</v>
      </c>
      <c r="BP2157" s="1">
        <v>0</v>
      </c>
      <c r="BQ2157" s="1" t="s">
        <v>104</v>
      </c>
      <c r="BR2157" s="1">
        <v>2273</v>
      </c>
      <c r="BS2157" s="1" t="s">
        <v>104</v>
      </c>
      <c r="BX2157" s="1">
        <v>0</v>
      </c>
      <c r="BY2157" s="1" t="s">
        <v>104</v>
      </c>
      <c r="BZ2157" s="1" t="s">
        <v>104</v>
      </c>
      <c r="CA2157" s="1">
        <v>5</v>
      </c>
      <c r="CB2157" s="1" t="s">
        <v>104</v>
      </c>
      <c r="CC2157" s="1" t="s">
        <v>104</v>
      </c>
      <c r="CD2157" s="1" t="s">
        <v>104</v>
      </c>
      <c r="CE2157" s="1" t="s">
        <v>104</v>
      </c>
      <c r="CF2157" s="1" t="s">
        <v>104</v>
      </c>
      <c r="CG2157" s="1" t="s">
        <v>104</v>
      </c>
      <c r="CH2157" s="1" t="s">
        <v>104</v>
      </c>
      <c r="CJ2157" s="1">
        <v>0</v>
      </c>
      <c r="CK2157" s="1">
        <v>0</v>
      </c>
      <c r="CL2157" s="1">
        <v>0</v>
      </c>
      <c r="CM2157" s="1" t="s">
        <v>104</v>
      </c>
    </row>
    <row r="2158" spans="1:91" ht="14.25" customHeight="1" x14ac:dyDescent="0.3">
      <c r="A2158" s="1" t="s">
        <v>11278</v>
      </c>
      <c r="B2158" s="1" t="s">
        <v>162</v>
      </c>
      <c r="E2158" s="1" t="s">
        <v>10859</v>
      </c>
      <c r="F2158" s="1" t="s">
        <v>1502</v>
      </c>
      <c r="G2158" s="1" t="s">
        <v>237</v>
      </c>
      <c r="H2158" s="1">
        <v>0</v>
      </c>
      <c r="I2158" s="1" t="s">
        <v>256</v>
      </c>
      <c r="J2158" s="1" t="s">
        <v>3086</v>
      </c>
      <c r="M2158" s="1" t="s">
        <v>2690</v>
      </c>
      <c r="N2158" s="1">
        <v>0</v>
      </c>
      <c r="O2158" s="1">
        <v>0</v>
      </c>
      <c r="P2158" s="1" t="s">
        <v>100</v>
      </c>
      <c r="Q2158" s="1" t="s">
        <v>131</v>
      </c>
      <c r="R2158" s="1" t="s">
        <v>11279</v>
      </c>
      <c r="S2158" s="1" t="s">
        <v>10570</v>
      </c>
      <c r="T2158" s="1">
        <v>1</v>
      </c>
      <c r="U2158" s="1">
        <v>0</v>
      </c>
      <c r="V2158" s="1">
        <v>0</v>
      </c>
      <c r="W2158" s="1">
        <v>0</v>
      </c>
      <c r="X2158" s="1">
        <v>0</v>
      </c>
      <c r="Y2158" s="1" t="s">
        <v>104</v>
      </c>
      <c r="Z2158" s="1" t="s">
        <v>104</v>
      </c>
      <c r="AA2158" s="1" t="s">
        <v>104</v>
      </c>
      <c r="AB2158" s="1" t="s">
        <v>104</v>
      </c>
      <c r="AC2158" s="1" t="s">
        <v>104</v>
      </c>
      <c r="AD2158" s="1" t="s">
        <v>104</v>
      </c>
      <c r="AE2158" s="1" t="s">
        <v>104</v>
      </c>
      <c r="AF2158" s="1" t="s">
        <v>104</v>
      </c>
      <c r="AG2158" s="1" t="s">
        <v>104</v>
      </c>
      <c r="AH2158" s="1" t="s">
        <v>104</v>
      </c>
      <c r="AI2158" s="1" t="s">
        <v>104</v>
      </c>
      <c r="AJ2158" s="1" t="s">
        <v>104</v>
      </c>
      <c r="AK2158" s="1" t="s">
        <v>104</v>
      </c>
      <c r="AL2158" s="1" t="s">
        <v>104</v>
      </c>
      <c r="AM2158" s="1" t="s">
        <v>104</v>
      </c>
      <c r="AO2158" s="1">
        <v>6</v>
      </c>
      <c r="AQ2158" s="1" t="s">
        <v>11280</v>
      </c>
      <c r="AR2158" s="1">
        <v>0</v>
      </c>
      <c r="AS2158" s="1">
        <v>0</v>
      </c>
      <c r="AT2158" s="1">
        <v>0</v>
      </c>
      <c r="AU2158" s="1">
        <v>0</v>
      </c>
      <c r="AV2158" s="1">
        <v>0</v>
      </c>
      <c r="AW2158" s="1">
        <v>0</v>
      </c>
      <c r="AX2158" s="1">
        <v>0</v>
      </c>
      <c r="AY2158" s="1">
        <v>0</v>
      </c>
      <c r="AZ2158" s="1">
        <v>0</v>
      </c>
      <c r="BA2158" s="1">
        <v>0</v>
      </c>
      <c r="BB2158" s="1">
        <v>0</v>
      </c>
      <c r="BC2158" s="1">
        <v>0</v>
      </c>
      <c r="BD2158" s="1">
        <v>0</v>
      </c>
      <c r="BE2158" s="1">
        <v>0</v>
      </c>
      <c r="BF2158" s="1">
        <v>0</v>
      </c>
      <c r="BG2158" s="1">
        <v>0</v>
      </c>
      <c r="BH2158" s="1">
        <v>0</v>
      </c>
      <c r="BI2158" s="1">
        <v>0</v>
      </c>
      <c r="BJ2158" s="1">
        <v>0</v>
      </c>
      <c r="BK2158" s="1">
        <v>0</v>
      </c>
      <c r="BL2158" s="1">
        <v>0</v>
      </c>
      <c r="BM2158" s="1">
        <v>0</v>
      </c>
      <c r="BN2158" s="1">
        <v>0</v>
      </c>
      <c r="BO2158" s="1">
        <v>0</v>
      </c>
      <c r="BP2158" s="1">
        <v>0</v>
      </c>
      <c r="BQ2158" s="1" t="s">
        <v>104</v>
      </c>
      <c r="BR2158" s="1">
        <v>2274</v>
      </c>
      <c r="BS2158" s="1" t="s">
        <v>104</v>
      </c>
      <c r="BX2158" s="1">
        <v>0</v>
      </c>
      <c r="BY2158" s="1" t="s">
        <v>104</v>
      </c>
      <c r="BZ2158" s="1" t="s">
        <v>104</v>
      </c>
      <c r="CA2158" s="1">
        <v>6</v>
      </c>
      <c r="CB2158" s="1" t="s">
        <v>104</v>
      </c>
      <c r="CC2158" s="1" t="s">
        <v>104</v>
      </c>
      <c r="CD2158" s="1" t="s">
        <v>104</v>
      </c>
      <c r="CE2158" s="1" t="s">
        <v>104</v>
      </c>
      <c r="CF2158" s="1" t="s">
        <v>104</v>
      </c>
      <c r="CG2158" s="1" t="s">
        <v>104</v>
      </c>
      <c r="CH2158" s="1" t="s">
        <v>104</v>
      </c>
      <c r="CJ2158" s="1">
        <v>0</v>
      </c>
      <c r="CK2158" s="1">
        <v>0</v>
      </c>
      <c r="CL2158" s="1">
        <v>0</v>
      </c>
      <c r="CM2158" s="1" t="s">
        <v>104</v>
      </c>
    </row>
    <row r="2159" spans="1:91" ht="14.25" customHeight="1" x14ac:dyDescent="0.3">
      <c r="A2159" s="1" t="s">
        <v>11281</v>
      </c>
      <c r="B2159" s="1" t="s">
        <v>162</v>
      </c>
      <c r="E2159" s="1" t="s">
        <v>10863</v>
      </c>
      <c r="F2159" s="1" t="s">
        <v>1502</v>
      </c>
      <c r="G2159" s="1" t="s">
        <v>237</v>
      </c>
      <c r="H2159" s="1">
        <v>0</v>
      </c>
      <c r="I2159" s="1" t="s">
        <v>256</v>
      </c>
      <c r="J2159" s="1" t="s">
        <v>3086</v>
      </c>
      <c r="M2159" s="1" t="s">
        <v>1519</v>
      </c>
      <c r="N2159" s="1">
        <v>0</v>
      </c>
      <c r="O2159" s="1">
        <v>0</v>
      </c>
      <c r="P2159" s="1" t="s">
        <v>100</v>
      </c>
      <c r="Q2159" s="1" t="s">
        <v>131</v>
      </c>
      <c r="R2159" s="1" t="s">
        <v>11279</v>
      </c>
      <c r="S2159" s="1" t="s">
        <v>10570</v>
      </c>
      <c r="T2159" s="1">
        <v>1</v>
      </c>
      <c r="U2159" s="1">
        <v>0</v>
      </c>
      <c r="V2159" s="1">
        <v>0</v>
      </c>
      <c r="W2159" s="1">
        <v>0</v>
      </c>
      <c r="X2159" s="1">
        <v>0</v>
      </c>
      <c r="Y2159" s="1" t="s">
        <v>104</v>
      </c>
      <c r="Z2159" s="1" t="s">
        <v>104</v>
      </c>
      <c r="AA2159" s="1" t="s">
        <v>104</v>
      </c>
      <c r="AB2159" s="1" t="s">
        <v>104</v>
      </c>
      <c r="AC2159" s="1" t="s">
        <v>104</v>
      </c>
      <c r="AD2159" s="1" t="s">
        <v>104</v>
      </c>
      <c r="AE2159" s="1" t="s">
        <v>104</v>
      </c>
      <c r="AF2159" s="1" t="s">
        <v>104</v>
      </c>
      <c r="AG2159" s="1" t="s">
        <v>104</v>
      </c>
      <c r="AH2159" s="1" t="s">
        <v>104</v>
      </c>
      <c r="AI2159" s="1" t="s">
        <v>104</v>
      </c>
      <c r="AJ2159" s="1" t="s">
        <v>104</v>
      </c>
      <c r="AK2159" s="1" t="s">
        <v>104</v>
      </c>
      <c r="AL2159" s="1" t="s">
        <v>104</v>
      </c>
      <c r="AM2159" s="1" t="s">
        <v>104</v>
      </c>
      <c r="AO2159" s="1">
        <v>7</v>
      </c>
      <c r="AQ2159" s="1" t="s">
        <v>11282</v>
      </c>
      <c r="AR2159" s="1">
        <v>0</v>
      </c>
      <c r="AS2159" s="1">
        <v>0</v>
      </c>
      <c r="AT2159" s="1">
        <v>0</v>
      </c>
      <c r="AU2159" s="1">
        <v>0</v>
      </c>
      <c r="AV2159" s="1">
        <v>0</v>
      </c>
      <c r="AW2159" s="1">
        <v>0</v>
      </c>
      <c r="AX2159" s="1">
        <v>0</v>
      </c>
      <c r="AY2159" s="1">
        <v>0</v>
      </c>
      <c r="AZ2159" s="1">
        <v>0</v>
      </c>
      <c r="BA2159" s="1">
        <v>0</v>
      </c>
      <c r="BB2159" s="1">
        <v>0</v>
      </c>
      <c r="BC2159" s="1">
        <v>0</v>
      </c>
      <c r="BD2159" s="1">
        <v>0</v>
      </c>
      <c r="BE2159" s="1">
        <v>0</v>
      </c>
      <c r="BF2159" s="1">
        <v>0</v>
      </c>
      <c r="BG2159" s="1">
        <v>0</v>
      </c>
      <c r="BH2159" s="1">
        <v>0</v>
      </c>
      <c r="BI2159" s="1">
        <v>0</v>
      </c>
      <c r="BJ2159" s="1">
        <v>0</v>
      </c>
      <c r="BK2159" s="1">
        <v>0</v>
      </c>
      <c r="BL2159" s="1">
        <v>0</v>
      </c>
      <c r="BM2159" s="1">
        <v>0</v>
      </c>
      <c r="BN2159" s="1">
        <v>0</v>
      </c>
      <c r="BO2159" s="1">
        <v>0</v>
      </c>
      <c r="BP2159" s="1">
        <v>0</v>
      </c>
      <c r="BQ2159" s="1" t="s">
        <v>104</v>
      </c>
      <c r="BR2159" s="1">
        <v>2275</v>
      </c>
      <c r="BS2159" s="1" t="s">
        <v>104</v>
      </c>
      <c r="BT2159" s="1" t="s">
        <v>11283</v>
      </c>
      <c r="BX2159" s="1">
        <v>0</v>
      </c>
      <c r="BY2159" s="1" t="s">
        <v>104</v>
      </c>
      <c r="BZ2159" s="1" t="s">
        <v>104</v>
      </c>
      <c r="CA2159" s="1">
        <v>7</v>
      </c>
      <c r="CB2159" s="1" t="s">
        <v>104</v>
      </c>
      <c r="CC2159" s="1" t="s">
        <v>104</v>
      </c>
      <c r="CD2159" s="1" t="s">
        <v>104</v>
      </c>
      <c r="CE2159" s="1" t="s">
        <v>104</v>
      </c>
      <c r="CF2159" s="1" t="s">
        <v>104</v>
      </c>
      <c r="CG2159" s="1" t="s">
        <v>104</v>
      </c>
      <c r="CH2159" s="1" t="s">
        <v>104</v>
      </c>
      <c r="CJ2159" s="1">
        <v>0</v>
      </c>
      <c r="CK2159" s="1">
        <v>0</v>
      </c>
      <c r="CL2159" s="1">
        <v>0</v>
      </c>
      <c r="CM2159" s="1" t="s">
        <v>104</v>
      </c>
    </row>
    <row r="2160" spans="1:91" ht="14.25" customHeight="1" x14ac:dyDescent="0.3">
      <c r="A2160" s="1" t="s">
        <v>11284</v>
      </c>
      <c r="B2160" s="1" t="s">
        <v>162</v>
      </c>
      <c r="E2160" s="1" t="s">
        <v>11131</v>
      </c>
      <c r="F2160" s="1" t="s">
        <v>1502</v>
      </c>
      <c r="G2160" s="1" t="s">
        <v>237</v>
      </c>
      <c r="H2160" s="1">
        <v>0</v>
      </c>
      <c r="I2160" s="1" t="s">
        <v>256</v>
      </c>
      <c r="J2160" s="1" t="s">
        <v>3086</v>
      </c>
      <c r="M2160" s="1" t="s">
        <v>11285</v>
      </c>
      <c r="N2160" s="1">
        <v>0</v>
      </c>
      <c r="O2160" s="1">
        <v>0</v>
      </c>
      <c r="P2160" s="1" t="s">
        <v>100</v>
      </c>
      <c r="Q2160" s="1" t="s">
        <v>131</v>
      </c>
      <c r="R2160" s="1" t="s">
        <v>11279</v>
      </c>
      <c r="S2160" s="1" t="s">
        <v>10570</v>
      </c>
      <c r="T2160" s="1">
        <v>1</v>
      </c>
      <c r="U2160" s="1">
        <v>0</v>
      </c>
      <c r="V2160" s="1">
        <v>0</v>
      </c>
      <c r="W2160" s="1">
        <v>0</v>
      </c>
      <c r="X2160" s="1">
        <v>0</v>
      </c>
      <c r="Y2160" s="1" t="s">
        <v>104</v>
      </c>
      <c r="Z2160" s="1" t="s">
        <v>104</v>
      </c>
      <c r="AA2160" s="1" t="s">
        <v>104</v>
      </c>
      <c r="AB2160" s="1" t="s">
        <v>104</v>
      </c>
      <c r="AC2160" s="1" t="s">
        <v>104</v>
      </c>
      <c r="AD2160" s="1" t="s">
        <v>104</v>
      </c>
      <c r="AE2160" s="1" t="s">
        <v>104</v>
      </c>
      <c r="AF2160" s="1" t="s">
        <v>104</v>
      </c>
      <c r="AG2160" s="1" t="s">
        <v>104</v>
      </c>
      <c r="AH2160" s="1" t="s">
        <v>104</v>
      </c>
      <c r="AI2160" s="1" t="s">
        <v>104</v>
      </c>
      <c r="AJ2160" s="1" t="s">
        <v>104</v>
      </c>
      <c r="AK2160" s="1" t="s">
        <v>104</v>
      </c>
      <c r="AL2160" s="1" t="s">
        <v>104</v>
      </c>
      <c r="AM2160" s="1" t="s">
        <v>104</v>
      </c>
      <c r="AO2160" s="1">
        <v>8</v>
      </c>
      <c r="AQ2160" s="1" t="s">
        <v>11286</v>
      </c>
      <c r="AR2160" s="1">
        <v>0</v>
      </c>
      <c r="AS2160" s="1">
        <v>0</v>
      </c>
      <c r="AT2160" s="1">
        <v>0</v>
      </c>
      <c r="AU2160" s="1">
        <v>0</v>
      </c>
      <c r="AV2160" s="1">
        <v>0</v>
      </c>
      <c r="AW2160" s="1">
        <v>0</v>
      </c>
      <c r="AX2160" s="1">
        <v>0</v>
      </c>
      <c r="AY2160" s="1">
        <v>0</v>
      </c>
      <c r="AZ2160" s="1">
        <v>0</v>
      </c>
      <c r="BA2160" s="1">
        <v>0</v>
      </c>
      <c r="BB2160" s="1">
        <v>0</v>
      </c>
      <c r="BC2160" s="1">
        <v>0</v>
      </c>
      <c r="BD2160" s="1">
        <v>0</v>
      </c>
      <c r="BE2160" s="1">
        <v>0</v>
      </c>
      <c r="BF2160" s="1">
        <v>0</v>
      </c>
      <c r="BG2160" s="1">
        <v>0</v>
      </c>
      <c r="BH2160" s="1">
        <v>0</v>
      </c>
      <c r="BI2160" s="1">
        <v>0</v>
      </c>
      <c r="BJ2160" s="1">
        <v>0</v>
      </c>
      <c r="BK2160" s="1">
        <v>0</v>
      </c>
      <c r="BL2160" s="1">
        <v>0</v>
      </c>
      <c r="BM2160" s="1">
        <v>0</v>
      </c>
      <c r="BN2160" s="1">
        <v>0</v>
      </c>
      <c r="BO2160" s="1">
        <v>0</v>
      </c>
      <c r="BP2160" s="1">
        <v>0</v>
      </c>
      <c r="BQ2160" s="1" t="s">
        <v>104</v>
      </c>
      <c r="BR2160" s="1">
        <v>2276</v>
      </c>
      <c r="BS2160" s="1" t="s">
        <v>104</v>
      </c>
      <c r="BX2160" s="1">
        <v>0</v>
      </c>
      <c r="BY2160" s="1" t="s">
        <v>104</v>
      </c>
      <c r="BZ2160" s="1" t="s">
        <v>104</v>
      </c>
      <c r="CA2160" s="1">
        <v>8</v>
      </c>
      <c r="CB2160" s="1" t="s">
        <v>104</v>
      </c>
      <c r="CC2160" s="1" t="s">
        <v>104</v>
      </c>
      <c r="CD2160" s="1" t="s">
        <v>104</v>
      </c>
      <c r="CE2160" s="1" t="s">
        <v>104</v>
      </c>
      <c r="CF2160" s="1" t="s">
        <v>104</v>
      </c>
      <c r="CG2160" s="1" t="s">
        <v>104</v>
      </c>
      <c r="CH2160" s="1" t="s">
        <v>104</v>
      </c>
      <c r="CJ2160" s="1">
        <v>0</v>
      </c>
      <c r="CK2160" s="1">
        <v>0</v>
      </c>
      <c r="CL2160" s="1">
        <v>0</v>
      </c>
      <c r="CM2160" s="1" t="s">
        <v>104</v>
      </c>
    </row>
    <row r="2161" spans="1:91" ht="14.25" customHeight="1" x14ac:dyDescent="0.3">
      <c r="A2161" s="1" t="s">
        <v>11287</v>
      </c>
      <c r="B2161" s="1" t="s">
        <v>162</v>
      </c>
      <c r="E2161" s="1" t="s">
        <v>10568</v>
      </c>
      <c r="F2161" s="1" t="s">
        <v>1502</v>
      </c>
      <c r="G2161" s="1" t="s">
        <v>237</v>
      </c>
      <c r="H2161" s="1">
        <v>0</v>
      </c>
      <c r="I2161" s="1" t="s">
        <v>256</v>
      </c>
      <c r="J2161" s="1" t="s">
        <v>3086</v>
      </c>
      <c r="M2161" s="1" t="s">
        <v>5627</v>
      </c>
      <c r="N2161" s="1">
        <v>0</v>
      </c>
      <c r="O2161" s="1">
        <v>0</v>
      </c>
      <c r="P2161" s="1" t="s">
        <v>100</v>
      </c>
      <c r="Q2161" s="1" t="s">
        <v>131</v>
      </c>
      <c r="R2161" s="1" t="s">
        <v>11279</v>
      </c>
      <c r="S2161" s="1" t="s">
        <v>10570</v>
      </c>
      <c r="T2161" s="1">
        <v>1</v>
      </c>
      <c r="U2161" s="1">
        <v>0</v>
      </c>
      <c r="V2161" s="1">
        <v>0</v>
      </c>
      <c r="W2161" s="1">
        <v>0</v>
      </c>
      <c r="X2161" s="1">
        <v>0</v>
      </c>
      <c r="Y2161" s="1" t="s">
        <v>104</v>
      </c>
      <c r="Z2161" s="1" t="s">
        <v>104</v>
      </c>
      <c r="AA2161" s="1" t="s">
        <v>104</v>
      </c>
      <c r="AB2161" s="1" t="s">
        <v>104</v>
      </c>
      <c r="AC2161" s="1" t="s">
        <v>104</v>
      </c>
      <c r="AD2161" s="1" t="s">
        <v>104</v>
      </c>
      <c r="AE2161" s="1" t="s">
        <v>104</v>
      </c>
      <c r="AF2161" s="1" t="s">
        <v>104</v>
      </c>
      <c r="AG2161" s="1" t="s">
        <v>104</v>
      </c>
      <c r="AH2161" s="1" t="s">
        <v>104</v>
      </c>
      <c r="AI2161" s="1" t="s">
        <v>104</v>
      </c>
      <c r="AJ2161" s="1" t="s">
        <v>104</v>
      </c>
      <c r="AK2161" s="1" t="s">
        <v>104</v>
      </c>
      <c r="AL2161" s="1" t="s">
        <v>104</v>
      </c>
      <c r="AM2161" s="1" t="s">
        <v>104</v>
      </c>
      <c r="AO2161" s="1">
        <v>9</v>
      </c>
      <c r="AQ2161" s="1" t="s">
        <v>11288</v>
      </c>
      <c r="AR2161" s="1">
        <v>0</v>
      </c>
      <c r="AS2161" s="1">
        <v>0</v>
      </c>
      <c r="AT2161" s="1">
        <v>0</v>
      </c>
      <c r="AU2161" s="1">
        <v>0</v>
      </c>
      <c r="AV2161" s="1">
        <v>0</v>
      </c>
      <c r="AW2161" s="1">
        <v>0</v>
      </c>
      <c r="AX2161" s="1">
        <v>0</v>
      </c>
      <c r="AY2161" s="1">
        <v>0</v>
      </c>
      <c r="AZ2161" s="1">
        <v>0</v>
      </c>
      <c r="BA2161" s="1">
        <v>0</v>
      </c>
      <c r="BB2161" s="1">
        <v>0</v>
      </c>
      <c r="BC2161" s="1">
        <v>0</v>
      </c>
      <c r="BD2161" s="1">
        <v>0</v>
      </c>
      <c r="BE2161" s="1">
        <v>0</v>
      </c>
      <c r="BF2161" s="1">
        <v>0</v>
      </c>
      <c r="BG2161" s="1">
        <v>0</v>
      </c>
      <c r="BH2161" s="1">
        <v>0</v>
      </c>
      <c r="BI2161" s="1">
        <v>0</v>
      </c>
      <c r="BJ2161" s="1">
        <v>0</v>
      </c>
      <c r="BK2161" s="1">
        <v>0</v>
      </c>
      <c r="BL2161" s="1">
        <v>0</v>
      </c>
      <c r="BM2161" s="1">
        <v>0</v>
      </c>
      <c r="BN2161" s="1">
        <v>0</v>
      </c>
      <c r="BO2161" s="1">
        <v>0</v>
      </c>
      <c r="BP2161" s="1">
        <v>0</v>
      </c>
      <c r="BQ2161" s="1" t="s">
        <v>104</v>
      </c>
      <c r="BR2161" s="1">
        <v>2277</v>
      </c>
      <c r="BS2161" s="1" t="s">
        <v>104</v>
      </c>
      <c r="BX2161" s="1">
        <v>0</v>
      </c>
      <c r="BY2161" s="1" t="s">
        <v>104</v>
      </c>
      <c r="BZ2161" s="1" t="s">
        <v>104</v>
      </c>
      <c r="CA2161" s="1">
        <v>9</v>
      </c>
      <c r="CB2161" s="1" t="s">
        <v>104</v>
      </c>
      <c r="CC2161" s="1" t="s">
        <v>104</v>
      </c>
      <c r="CD2161" s="1" t="s">
        <v>104</v>
      </c>
      <c r="CE2161" s="1" t="s">
        <v>104</v>
      </c>
      <c r="CF2161" s="1" t="s">
        <v>104</v>
      </c>
      <c r="CG2161" s="1" t="s">
        <v>104</v>
      </c>
      <c r="CH2161" s="1" t="s">
        <v>104</v>
      </c>
      <c r="CJ2161" s="1">
        <v>0</v>
      </c>
      <c r="CK2161" s="1">
        <v>0</v>
      </c>
      <c r="CL2161" s="1">
        <v>0</v>
      </c>
      <c r="CM2161" s="1" t="s">
        <v>104</v>
      </c>
    </row>
    <row r="2162" spans="1:91" ht="14.25" customHeight="1" x14ac:dyDescent="0.3">
      <c r="A2162" s="1" t="s">
        <v>11289</v>
      </c>
      <c r="B2162" s="1" t="s">
        <v>123</v>
      </c>
      <c r="C2162" s="1" t="s">
        <v>124</v>
      </c>
      <c r="D2162" s="1" t="s">
        <v>6034</v>
      </c>
      <c r="E2162" s="1" t="s">
        <v>11290</v>
      </c>
      <c r="F2162" s="1" t="s">
        <v>95</v>
      </c>
      <c r="G2162" s="1" t="s">
        <v>11291</v>
      </c>
      <c r="H2162" s="1">
        <v>0</v>
      </c>
      <c r="I2162" s="1" t="s">
        <v>128</v>
      </c>
      <c r="L2162" s="1" t="s">
        <v>374</v>
      </c>
      <c r="M2162" s="1" t="s">
        <v>201</v>
      </c>
      <c r="N2162" s="1">
        <v>0</v>
      </c>
      <c r="O2162" s="1">
        <v>0</v>
      </c>
      <c r="P2162" s="1" t="s">
        <v>375</v>
      </c>
      <c r="Q2162" s="1" t="s">
        <v>131</v>
      </c>
      <c r="R2162" s="1" t="s">
        <v>11292</v>
      </c>
      <c r="S2162" s="1" t="s">
        <v>10570</v>
      </c>
      <c r="T2162" s="1">
        <v>1</v>
      </c>
      <c r="U2162" s="1">
        <v>1</v>
      </c>
      <c r="V2162" s="1">
        <v>0</v>
      </c>
      <c r="W2162" s="1">
        <v>0</v>
      </c>
      <c r="X2162" s="1">
        <v>0</v>
      </c>
      <c r="Y2162" s="1" t="s">
        <v>104</v>
      </c>
      <c r="Z2162" s="1" t="s">
        <v>104</v>
      </c>
      <c r="AA2162" s="1" t="s">
        <v>104</v>
      </c>
      <c r="AB2162" s="1" t="s">
        <v>104</v>
      </c>
      <c r="AC2162" s="1" t="s">
        <v>104</v>
      </c>
      <c r="AD2162" s="1">
        <v>5</v>
      </c>
      <c r="AE2162" s="1" t="s">
        <v>104</v>
      </c>
      <c r="AF2162" s="1" t="s">
        <v>104</v>
      </c>
      <c r="AG2162" s="1" t="s">
        <v>104</v>
      </c>
      <c r="AH2162" s="1" t="s">
        <v>104</v>
      </c>
      <c r="AI2162" s="1">
        <v>6</v>
      </c>
      <c r="AJ2162" s="1" t="s">
        <v>104</v>
      </c>
      <c r="AK2162" s="1" t="s">
        <v>104</v>
      </c>
      <c r="AL2162" s="1" t="s">
        <v>104</v>
      </c>
      <c r="AM2162" s="1" t="s">
        <v>104</v>
      </c>
      <c r="AO2162" s="1">
        <v>5</v>
      </c>
      <c r="AQ2162" s="1" t="s">
        <v>11293</v>
      </c>
      <c r="AR2162" s="1">
        <v>0</v>
      </c>
      <c r="AS2162" s="1">
        <v>0</v>
      </c>
      <c r="AT2162" s="1">
        <v>0</v>
      </c>
      <c r="AU2162" s="1">
        <v>0</v>
      </c>
      <c r="AV2162" s="1">
        <v>0</v>
      </c>
      <c r="AW2162" s="1">
        <v>0</v>
      </c>
      <c r="AX2162" s="1">
        <v>0</v>
      </c>
      <c r="AY2162" s="1">
        <v>0</v>
      </c>
      <c r="AZ2162" s="1">
        <v>0</v>
      </c>
      <c r="BA2162" s="1">
        <v>0</v>
      </c>
      <c r="BB2162" s="1">
        <v>1</v>
      </c>
      <c r="BC2162" s="1">
        <v>0</v>
      </c>
      <c r="BD2162" s="1">
        <v>0</v>
      </c>
      <c r="BE2162" s="1">
        <v>0</v>
      </c>
      <c r="BF2162" s="1">
        <v>0</v>
      </c>
      <c r="BG2162" s="1">
        <v>0</v>
      </c>
      <c r="BH2162" s="1">
        <v>0</v>
      </c>
      <c r="BI2162" s="1">
        <v>0</v>
      </c>
      <c r="BJ2162" s="1">
        <v>0</v>
      </c>
      <c r="BK2162" s="1">
        <v>1</v>
      </c>
      <c r="BL2162" s="1">
        <v>0</v>
      </c>
      <c r="BM2162" s="1">
        <v>0</v>
      </c>
      <c r="BN2162" s="1">
        <v>0</v>
      </c>
      <c r="BO2162" s="1">
        <v>0</v>
      </c>
      <c r="BP2162" s="1">
        <v>0</v>
      </c>
      <c r="BQ2162" s="1" t="s">
        <v>104</v>
      </c>
      <c r="BR2162" s="1">
        <v>2278</v>
      </c>
      <c r="BS2162" s="1" t="s">
        <v>104</v>
      </c>
      <c r="BX2162" s="1">
        <v>0</v>
      </c>
      <c r="BY2162" s="1" t="s">
        <v>104</v>
      </c>
      <c r="BZ2162" s="1" t="s">
        <v>104</v>
      </c>
      <c r="CA2162" s="1">
        <v>7</v>
      </c>
      <c r="CB2162" s="1" t="s">
        <v>104</v>
      </c>
      <c r="CC2162" s="1" t="s">
        <v>104</v>
      </c>
      <c r="CD2162" s="1" t="s">
        <v>104</v>
      </c>
      <c r="CE2162" s="1">
        <v>6</v>
      </c>
      <c r="CF2162" s="1" t="s">
        <v>104</v>
      </c>
      <c r="CG2162" s="1" t="s">
        <v>104</v>
      </c>
      <c r="CH2162" s="1" t="s">
        <v>104</v>
      </c>
      <c r="CJ2162" s="1">
        <v>0</v>
      </c>
      <c r="CK2162" s="1">
        <v>0</v>
      </c>
      <c r="CL2162" s="1">
        <v>0</v>
      </c>
      <c r="CM2162" s="1" t="s">
        <v>104</v>
      </c>
    </row>
    <row r="2163" spans="1:91" ht="14.25" customHeight="1" x14ac:dyDescent="0.3">
      <c r="A2163" s="1" t="s">
        <v>11294</v>
      </c>
      <c r="B2163" s="1" t="s">
        <v>434</v>
      </c>
      <c r="E2163" s="1" t="s">
        <v>11295</v>
      </c>
      <c r="F2163" s="1" t="s">
        <v>95</v>
      </c>
      <c r="G2163" s="1" t="s">
        <v>11296</v>
      </c>
      <c r="H2163" s="1">
        <v>0</v>
      </c>
      <c r="I2163" s="1" t="s">
        <v>117</v>
      </c>
      <c r="K2163" s="1" t="s">
        <v>11297</v>
      </c>
      <c r="M2163" s="1" t="s">
        <v>2330</v>
      </c>
      <c r="N2163" s="1">
        <v>0</v>
      </c>
      <c r="O2163" s="1">
        <v>0</v>
      </c>
      <c r="P2163" s="1" t="s">
        <v>11298</v>
      </c>
      <c r="Q2163" s="1" t="s">
        <v>184</v>
      </c>
      <c r="R2163" s="1" t="s">
        <v>11299</v>
      </c>
      <c r="S2163" s="1" t="s">
        <v>10570</v>
      </c>
      <c r="T2163" s="1">
        <v>1</v>
      </c>
      <c r="U2163" s="1">
        <v>1</v>
      </c>
      <c r="V2163" s="1">
        <v>1</v>
      </c>
      <c r="W2163" s="1">
        <v>0</v>
      </c>
      <c r="X2163" s="1">
        <v>0</v>
      </c>
      <c r="Y2163" s="1">
        <v>5</v>
      </c>
      <c r="Z2163" s="1">
        <v>5</v>
      </c>
      <c r="AA2163" s="1">
        <v>5</v>
      </c>
      <c r="AB2163" s="1" t="s">
        <v>104</v>
      </c>
      <c r="AC2163" s="1" t="s">
        <v>104</v>
      </c>
      <c r="AD2163" s="1" t="s">
        <v>104</v>
      </c>
      <c r="AE2163" s="1" t="s">
        <v>104</v>
      </c>
      <c r="AF2163" s="1" t="s">
        <v>104</v>
      </c>
      <c r="AG2163" s="1" t="s">
        <v>104</v>
      </c>
      <c r="AH2163" s="1" t="s">
        <v>104</v>
      </c>
      <c r="AI2163" s="1" t="s">
        <v>104</v>
      </c>
      <c r="AJ2163" s="1">
        <v>5</v>
      </c>
      <c r="AK2163" s="1" t="s">
        <v>104</v>
      </c>
      <c r="AL2163" s="1" t="s">
        <v>104</v>
      </c>
      <c r="AM2163" s="1" t="s">
        <v>104</v>
      </c>
      <c r="AO2163" s="1">
        <v>5</v>
      </c>
      <c r="AQ2163" s="1" t="s">
        <v>11300</v>
      </c>
      <c r="AR2163" s="1">
        <v>0</v>
      </c>
      <c r="AS2163" s="1">
        <v>0</v>
      </c>
      <c r="AT2163" s="1">
        <v>0</v>
      </c>
      <c r="AU2163" s="1">
        <v>0</v>
      </c>
      <c r="AV2163" s="1">
        <v>0</v>
      </c>
      <c r="AW2163" s="1">
        <v>0</v>
      </c>
      <c r="AX2163" s="1">
        <v>0</v>
      </c>
      <c r="AY2163" s="1">
        <v>0</v>
      </c>
      <c r="AZ2163" s="1">
        <v>0</v>
      </c>
      <c r="BA2163" s="1">
        <v>0</v>
      </c>
      <c r="BB2163" s="1">
        <v>0</v>
      </c>
      <c r="BC2163" s="1">
        <v>0</v>
      </c>
      <c r="BD2163" s="1">
        <v>0</v>
      </c>
      <c r="BE2163" s="1">
        <v>0</v>
      </c>
      <c r="BF2163" s="1">
        <v>0</v>
      </c>
      <c r="BG2163" s="1">
        <v>0</v>
      </c>
      <c r="BH2163" s="1">
        <v>0</v>
      </c>
      <c r="BI2163" s="1">
        <v>0</v>
      </c>
      <c r="BJ2163" s="1">
        <v>0</v>
      </c>
      <c r="BK2163" s="1">
        <v>0</v>
      </c>
      <c r="BL2163" s="1">
        <v>0</v>
      </c>
      <c r="BM2163" s="1">
        <v>0</v>
      </c>
      <c r="BN2163" s="1">
        <v>0</v>
      </c>
      <c r="BO2163" s="1">
        <v>0</v>
      </c>
      <c r="BP2163" s="1">
        <v>0</v>
      </c>
      <c r="BQ2163" s="1" t="s">
        <v>104</v>
      </c>
      <c r="BR2163" s="1">
        <v>2279</v>
      </c>
      <c r="BS2163" s="1" t="s">
        <v>104</v>
      </c>
      <c r="BT2163" s="1" t="s">
        <v>11301</v>
      </c>
      <c r="BX2163" s="1">
        <v>0</v>
      </c>
      <c r="BY2163" s="1" t="s">
        <v>104</v>
      </c>
      <c r="BZ2163" s="1" t="s">
        <v>104</v>
      </c>
      <c r="CA2163" s="1">
        <v>5</v>
      </c>
      <c r="CB2163" s="1" t="s">
        <v>104</v>
      </c>
      <c r="CC2163" s="1" t="s">
        <v>104</v>
      </c>
      <c r="CD2163" s="1" t="s">
        <v>104</v>
      </c>
      <c r="CE2163" s="1">
        <v>5</v>
      </c>
      <c r="CF2163" s="1" t="s">
        <v>104</v>
      </c>
      <c r="CG2163" s="1" t="s">
        <v>104</v>
      </c>
      <c r="CH2163" s="1" t="s">
        <v>104</v>
      </c>
      <c r="CJ2163" s="1">
        <v>0</v>
      </c>
      <c r="CK2163" s="1">
        <v>0</v>
      </c>
      <c r="CL2163" s="1">
        <v>0</v>
      </c>
      <c r="CM2163" s="1" t="s">
        <v>104</v>
      </c>
    </row>
    <row r="2164" spans="1:91" ht="14.25" customHeight="1" x14ac:dyDescent="0.3">
      <c r="A2164" s="1" t="s">
        <v>11302</v>
      </c>
      <c r="B2164" s="1" t="s">
        <v>216</v>
      </c>
      <c r="E2164" s="1" t="s">
        <v>11303</v>
      </c>
      <c r="F2164" s="1" t="s">
        <v>95</v>
      </c>
      <c r="G2164" s="1" t="s">
        <v>116</v>
      </c>
      <c r="H2164" s="1">
        <v>0</v>
      </c>
      <c r="I2164" s="1" t="s">
        <v>128</v>
      </c>
      <c r="L2164" s="1" t="s">
        <v>11304</v>
      </c>
      <c r="M2164" s="1" t="s">
        <v>119</v>
      </c>
      <c r="N2164" s="1">
        <v>0</v>
      </c>
      <c r="O2164" s="1">
        <v>0</v>
      </c>
      <c r="P2164" s="1" t="s">
        <v>100</v>
      </c>
      <c r="Q2164" s="1" t="s">
        <v>184</v>
      </c>
      <c r="R2164" s="1" t="s">
        <v>11305</v>
      </c>
      <c r="S2164" s="1" t="s">
        <v>10570</v>
      </c>
      <c r="T2164" s="1">
        <v>1</v>
      </c>
      <c r="U2164" s="1">
        <v>1</v>
      </c>
      <c r="V2164" s="1">
        <v>0</v>
      </c>
      <c r="W2164" s="1">
        <v>0</v>
      </c>
      <c r="X2164" s="1">
        <v>0</v>
      </c>
      <c r="Y2164" s="1" t="s">
        <v>104</v>
      </c>
      <c r="Z2164" s="1" t="s">
        <v>104</v>
      </c>
      <c r="AA2164" s="1" t="s">
        <v>104</v>
      </c>
      <c r="AB2164" s="1" t="s">
        <v>104</v>
      </c>
      <c r="AC2164" s="1" t="s">
        <v>104</v>
      </c>
      <c r="AD2164" s="1" t="s">
        <v>104</v>
      </c>
      <c r="AE2164" s="1" t="s">
        <v>104</v>
      </c>
      <c r="AF2164" s="1" t="s">
        <v>104</v>
      </c>
      <c r="AG2164" s="1" t="s">
        <v>104</v>
      </c>
      <c r="AH2164" s="1">
        <v>7</v>
      </c>
      <c r="AI2164" s="1" t="s">
        <v>104</v>
      </c>
      <c r="AJ2164" s="1" t="s">
        <v>104</v>
      </c>
      <c r="AK2164" s="1" t="s">
        <v>104</v>
      </c>
      <c r="AL2164" s="1" t="s">
        <v>104</v>
      </c>
      <c r="AM2164" s="1" t="s">
        <v>104</v>
      </c>
      <c r="AO2164" s="1" t="s">
        <v>104</v>
      </c>
      <c r="AQ2164" s="1" t="s">
        <v>11306</v>
      </c>
      <c r="AR2164" s="1">
        <v>0</v>
      </c>
      <c r="AS2164" s="1">
        <v>0</v>
      </c>
      <c r="AT2164" s="1">
        <v>0</v>
      </c>
      <c r="AU2164" s="1">
        <v>0</v>
      </c>
      <c r="AV2164" s="1">
        <v>0</v>
      </c>
      <c r="AW2164" s="1">
        <v>0</v>
      </c>
      <c r="AX2164" s="1">
        <v>0</v>
      </c>
      <c r="AY2164" s="1">
        <v>0</v>
      </c>
      <c r="AZ2164" s="1">
        <v>0</v>
      </c>
      <c r="BA2164" s="1">
        <v>0</v>
      </c>
      <c r="BB2164" s="1">
        <v>0</v>
      </c>
      <c r="BC2164" s="1">
        <v>0</v>
      </c>
      <c r="BD2164" s="1">
        <v>0</v>
      </c>
      <c r="BE2164" s="1">
        <v>0</v>
      </c>
      <c r="BF2164" s="1">
        <v>0</v>
      </c>
      <c r="BG2164" s="1">
        <v>0</v>
      </c>
      <c r="BH2164" s="1">
        <v>0</v>
      </c>
      <c r="BI2164" s="1">
        <v>0</v>
      </c>
      <c r="BJ2164" s="1">
        <v>0</v>
      </c>
      <c r="BK2164" s="1">
        <v>0</v>
      </c>
      <c r="BL2164" s="1">
        <v>0</v>
      </c>
      <c r="BM2164" s="1">
        <v>0</v>
      </c>
      <c r="BN2164" s="1">
        <v>0</v>
      </c>
      <c r="BO2164" s="1">
        <v>0</v>
      </c>
      <c r="BP2164" s="1">
        <v>0</v>
      </c>
      <c r="BQ2164" s="1" t="s">
        <v>104</v>
      </c>
      <c r="BR2164" s="1">
        <v>2280</v>
      </c>
      <c r="BS2164" s="1" t="s">
        <v>104</v>
      </c>
      <c r="BX2164" s="1">
        <v>0</v>
      </c>
      <c r="BY2164" s="1" t="s">
        <v>104</v>
      </c>
      <c r="BZ2164" s="1">
        <v>6</v>
      </c>
      <c r="CA2164" s="1">
        <v>6</v>
      </c>
      <c r="CB2164" s="1" t="s">
        <v>104</v>
      </c>
      <c r="CC2164" s="1" t="s">
        <v>104</v>
      </c>
      <c r="CD2164" s="1" t="s">
        <v>104</v>
      </c>
      <c r="CE2164" s="1">
        <v>5</v>
      </c>
      <c r="CF2164" s="1" t="s">
        <v>104</v>
      </c>
      <c r="CG2164" s="1" t="s">
        <v>104</v>
      </c>
      <c r="CH2164" s="1" t="s">
        <v>104</v>
      </c>
      <c r="CJ2164" s="1">
        <v>0</v>
      </c>
      <c r="CK2164" s="1">
        <v>0</v>
      </c>
      <c r="CL2164" s="1">
        <v>0</v>
      </c>
      <c r="CM2164" s="1" t="s">
        <v>104</v>
      </c>
    </row>
    <row r="2165" spans="1:91" ht="14.25" customHeight="1" x14ac:dyDescent="0.3">
      <c r="A2165" s="1" t="s">
        <v>11307</v>
      </c>
      <c r="B2165" s="1" t="s">
        <v>507</v>
      </c>
      <c r="C2165" s="1" t="s">
        <v>508</v>
      </c>
      <c r="E2165" s="1" t="s">
        <v>11308</v>
      </c>
      <c r="F2165" s="1" t="s">
        <v>95</v>
      </c>
      <c r="G2165" s="1" t="s">
        <v>116</v>
      </c>
      <c r="H2165" s="1">
        <v>0</v>
      </c>
      <c r="I2165" s="1" t="s">
        <v>157</v>
      </c>
      <c r="L2165" s="1" t="s">
        <v>158</v>
      </c>
      <c r="M2165" s="1" t="s">
        <v>4641</v>
      </c>
      <c r="N2165" s="1">
        <v>1</v>
      </c>
      <c r="O2165" s="1">
        <v>0</v>
      </c>
      <c r="R2165" s="1" t="s">
        <v>11309</v>
      </c>
      <c r="S2165" s="1" t="s">
        <v>11310</v>
      </c>
      <c r="T2165" s="1">
        <v>1</v>
      </c>
      <c r="U2165" s="1">
        <v>1</v>
      </c>
      <c r="V2165" s="1">
        <v>0</v>
      </c>
      <c r="W2165" s="1">
        <v>0</v>
      </c>
      <c r="X2165" s="1">
        <v>0</v>
      </c>
      <c r="Y2165" s="1" t="s">
        <v>104</v>
      </c>
      <c r="Z2165" s="1" t="s">
        <v>104</v>
      </c>
      <c r="AA2165" s="1" t="s">
        <v>104</v>
      </c>
      <c r="AB2165" s="1" t="s">
        <v>104</v>
      </c>
      <c r="AC2165" s="1" t="s">
        <v>104</v>
      </c>
      <c r="AD2165" s="1">
        <v>3</v>
      </c>
      <c r="AE2165" s="1" t="s">
        <v>104</v>
      </c>
      <c r="AF2165" s="1" t="s">
        <v>104</v>
      </c>
      <c r="AG2165" s="1" t="s">
        <v>104</v>
      </c>
      <c r="AH2165" s="1" t="s">
        <v>104</v>
      </c>
      <c r="AI2165" s="1" t="s">
        <v>104</v>
      </c>
      <c r="AJ2165" s="1" t="s">
        <v>104</v>
      </c>
      <c r="AK2165" s="1" t="s">
        <v>104</v>
      </c>
      <c r="AL2165" s="1" t="s">
        <v>104</v>
      </c>
      <c r="AM2165" s="1" t="s">
        <v>104</v>
      </c>
      <c r="AO2165" s="1">
        <v>3</v>
      </c>
      <c r="AR2165" s="1">
        <v>0</v>
      </c>
      <c r="AS2165" s="1">
        <v>0</v>
      </c>
      <c r="AT2165" s="1">
        <v>0</v>
      </c>
      <c r="AU2165" s="1">
        <v>0</v>
      </c>
      <c r="AV2165" s="1">
        <v>0</v>
      </c>
      <c r="AW2165" s="1">
        <v>0</v>
      </c>
      <c r="AX2165" s="1">
        <v>0</v>
      </c>
      <c r="AY2165" s="1">
        <v>0</v>
      </c>
      <c r="AZ2165" s="1">
        <v>0</v>
      </c>
      <c r="BA2165" s="1">
        <v>0</v>
      </c>
      <c r="BB2165" s="1">
        <v>0</v>
      </c>
      <c r="BC2165" s="1">
        <v>0</v>
      </c>
      <c r="BD2165" s="1">
        <v>0</v>
      </c>
      <c r="BE2165" s="1">
        <v>0</v>
      </c>
      <c r="BF2165" s="1">
        <v>0</v>
      </c>
      <c r="BG2165" s="1">
        <v>0</v>
      </c>
      <c r="BH2165" s="1">
        <v>0</v>
      </c>
      <c r="BI2165" s="1">
        <v>0</v>
      </c>
      <c r="BJ2165" s="1">
        <v>0</v>
      </c>
      <c r="BK2165" s="1">
        <v>0</v>
      </c>
      <c r="BL2165" s="1">
        <v>0</v>
      </c>
      <c r="BM2165" s="1">
        <v>0</v>
      </c>
      <c r="BN2165" s="1">
        <v>0</v>
      </c>
      <c r="BO2165" s="1">
        <v>0</v>
      </c>
      <c r="BP2165" s="1">
        <v>0</v>
      </c>
      <c r="BQ2165" s="1" t="s">
        <v>104</v>
      </c>
      <c r="BR2165" s="1">
        <v>2281</v>
      </c>
      <c r="BS2165" s="1" t="s">
        <v>104</v>
      </c>
      <c r="BX2165" s="1">
        <v>0</v>
      </c>
      <c r="BY2165" s="1" t="s">
        <v>104</v>
      </c>
      <c r="BZ2165" s="1" t="s">
        <v>104</v>
      </c>
      <c r="CA2165" s="1">
        <v>5</v>
      </c>
      <c r="CB2165" s="1">
        <v>3</v>
      </c>
      <c r="CC2165" s="1">
        <v>3</v>
      </c>
      <c r="CD2165" s="1" t="s">
        <v>104</v>
      </c>
      <c r="CE2165" s="1" t="s">
        <v>104</v>
      </c>
      <c r="CF2165" s="1" t="s">
        <v>104</v>
      </c>
      <c r="CG2165" s="1" t="s">
        <v>104</v>
      </c>
      <c r="CH2165" s="1" t="s">
        <v>104</v>
      </c>
      <c r="CJ2165" s="1">
        <v>0</v>
      </c>
      <c r="CK2165" s="1">
        <v>0</v>
      </c>
      <c r="CL2165" s="1">
        <v>0</v>
      </c>
      <c r="CM2165" s="1" t="s">
        <v>104</v>
      </c>
    </row>
    <row r="2166" spans="1:91" ht="14.25" customHeight="1" x14ac:dyDescent="0.3">
      <c r="A2166" s="1" t="s">
        <v>11311</v>
      </c>
      <c r="B2166" s="1" t="s">
        <v>123</v>
      </c>
      <c r="C2166" s="1" t="s">
        <v>124</v>
      </c>
      <c r="D2166" s="1" t="s">
        <v>125</v>
      </c>
      <c r="E2166" s="1" t="s">
        <v>11312</v>
      </c>
      <c r="F2166" s="1" t="s">
        <v>95</v>
      </c>
      <c r="G2166" s="1" t="s">
        <v>116</v>
      </c>
      <c r="H2166" s="1">
        <v>0</v>
      </c>
      <c r="I2166" s="1" t="s">
        <v>157</v>
      </c>
      <c r="L2166" s="1" t="s">
        <v>158</v>
      </c>
      <c r="M2166" s="1" t="s">
        <v>341</v>
      </c>
      <c r="N2166" s="1">
        <v>0</v>
      </c>
      <c r="O2166" s="1">
        <v>0</v>
      </c>
      <c r="R2166" s="1" t="s">
        <v>11313</v>
      </c>
      <c r="S2166" s="1" t="s">
        <v>11310</v>
      </c>
      <c r="T2166" s="1">
        <v>1</v>
      </c>
      <c r="U2166" s="1">
        <v>1</v>
      </c>
      <c r="V2166" s="1">
        <v>0</v>
      </c>
      <c r="W2166" s="1">
        <v>0</v>
      </c>
      <c r="X2166" s="1">
        <v>0</v>
      </c>
      <c r="Y2166" s="1">
        <v>6</v>
      </c>
      <c r="Z2166" s="1">
        <v>6</v>
      </c>
      <c r="AA2166" s="1" t="s">
        <v>104</v>
      </c>
      <c r="AB2166" s="1">
        <v>6</v>
      </c>
      <c r="AC2166" s="1" t="s">
        <v>104</v>
      </c>
      <c r="AD2166" s="1" t="s">
        <v>104</v>
      </c>
      <c r="AE2166" s="1" t="s">
        <v>104</v>
      </c>
      <c r="AF2166" s="1">
        <v>4</v>
      </c>
      <c r="AG2166" s="1" t="s">
        <v>104</v>
      </c>
      <c r="AH2166" s="1">
        <v>6</v>
      </c>
      <c r="AI2166" s="1" t="s">
        <v>104</v>
      </c>
      <c r="AJ2166" s="1" t="s">
        <v>104</v>
      </c>
      <c r="AK2166" s="1" t="s">
        <v>104</v>
      </c>
      <c r="AL2166" s="1" t="s">
        <v>104</v>
      </c>
      <c r="AM2166" s="1" t="s">
        <v>104</v>
      </c>
      <c r="AO2166" s="1">
        <v>6</v>
      </c>
      <c r="AR2166" s="1">
        <v>0</v>
      </c>
      <c r="AS2166" s="1">
        <v>0</v>
      </c>
      <c r="AT2166" s="1">
        <v>0</v>
      </c>
      <c r="AU2166" s="1">
        <v>0</v>
      </c>
      <c r="AV2166" s="1">
        <v>0</v>
      </c>
      <c r="AW2166" s="1">
        <v>0</v>
      </c>
      <c r="AX2166" s="1">
        <v>0</v>
      </c>
      <c r="AY2166" s="1">
        <v>0</v>
      </c>
      <c r="AZ2166" s="1">
        <v>0</v>
      </c>
      <c r="BA2166" s="1">
        <v>0</v>
      </c>
      <c r="BB2166" s="1">
        <v>0</v>
      </c>
      <c r="BC2166" s="1">
        <v>0</v>
      </c>
      <c r="BD2166" s="1">
        <v>0</v>
      </c>
      <c r="BE2166" s="1">
        <v>0</v>
      </c>
      <c r="BF2166" s="1">
        <v>0</v>
      </c>
      <c r="BG2166" s="1">
        <v>0</v>
      </c>
      <c r="BH2166" s="1">
        <v>0</v>
      </c>
      <c r="BI2166" s="1">
        <v>0</v>
      </c>
      <c r="BJ2166" s="1">
        <v>0</v>
      </c>
      <c r="BK2166" s="1">
        <v>1</v>
      </c>
      <c r="BL2166" s="1">
        <v>0</v>
      </c>
      <c r="BM2166" s="1">
        <v>0</v>
      </c>
      <c r="BN2166" s="1">
        <v>0</v>
      </c>
      <c r="BO2166" s="1">
        <v>0</v>
      </c>
      <c r="BP2166" s="1">
        <v>0</v>
      </c>
      <c r="BQ2166" s="1" t="s">
        <v>104</v>
      </c>
      <c r="BR2166" s="1">
        <v>2282</v>
      </c>
      <c r="BS2166" s="1" t="s">
        <v>104</v>
      </c>
      <c r="BX2166" s="1">
        <v>0</v>
      </c>
      <c r="BY2166" s="1" t="s">
        <v>104</v>
      </c>
      <c r="BZ2166" s="1" t="s">
        <v>104</v>
      </c>
      <c r="CA2166" s="1" t="s">
        <v>104</v>
      </c>
      <c r="CB2166" s="1" t="s">
        <v>104</v>
      </c>
      <c r="CC2166" s="1" t="s">
        <v>104</v>
      </c>
      <c r="CD2166" s="1" t="s">
        <v>104</v>
      </c>
      <c r="CE2166" s="1">
        <v>4</v>
      </c>
      <c r="CF2166" s="1" t="s">
        <v>104</v>
      </c>
      <c r="CG2166" s="1" t="s">
        <v>104</v>
      </c>
      <c r="CH2166" s="1">
        <v>6</v>
      </c>
      <c r="CJ2166" s="1">
        <v>0</v>
      </c>
      <c r="CK2166" s="1">
        <v>0</v>
      </c>
      <c r="CL2166" s="1">
        <v>0</v>
      </c>
      <c r="CM2166" s="1" t="s">
        <v>104</v>
      </c>
    </row>
    <row r="2167" spans="1:91" ht="14.25" customHeight="1" x14ac:dyDescent="0.3">
      <c r="A2167" s="1" t="s">
        <v>11314</v>
      </c>
      <c r="B2167" s="1" t="s">
        <v>434</v>
      </c>
      <c r="D2167" s="1" t="s">
        <v>11315</v>
      </c>
      <c r="E2167" s="1" t="s">
        <v>11316</v>
      </c>
      <c r="F2167" s="1" t="s">
        <v>95</v>
      </c>
      <c r="G2167" s="1" t="s">
        <v>116</v>
      </c>
      <c r="H2167" s="1">
        <v>0</v>
      </c>
      <c r="I2167" s="1" t="s">
        <v>97</v>
      </c>
      <c r="J2167" s="1" t="s">
        <v>11317</v>
      </c>
      <c r="M2167" s="1" t="s">
        <v>119</v>
      </c>
      <c r="N2167" s="1">
        <v>0</v>
      </c>
      <c r="O2167" s="1">
        <v>1</v>
      </c>
      <c r="P2167" s="1" t="s">
        <v>550</v>
      </c>
      <c r="Q2167" s="1" t="s">
        <v>184</v>
      </c>
      <c r="R2167" s="1" t="s">
        <v>11318</v>
      </c>
      <c r="S2167" s="1" t="s">
        <v>11310</v>
      </c>
      <c r="T2167" s="1">
        <v>1</v>
      </c>
      <c r="U2167" s="1">
        <v>1</v>
      </c>
      <c r="V2167" s="1">
        <v>0</v>
      </c>
      <c r="W2167" s="1">
        <v>0</v>
      </c>
      <c r="X2167" s="1">
        <v>0</v>
      </c>
      <c r="Y2167" s="1">
        <v>5</v>
      </c>
      <c r="Z2167" s="1">
        <v>5</v>
      </c>
      <c r="AA2167" s="1" t="s">
        <v>104</v>
      </c>
      <c r="AB2167" s="1" t="s">
        <v>104</v>
      </c>
      <c r="AC2167" s="1" t="s">
        <v>104</v>
      </c>
      <c r="AD2167" s="1" t="s">
        <v>104</v>
      </c>
      <c r="AE2167" s="1" t="s">
        <v>104</v>
      </c>
      <c r="AF2167" s="1" t="s">
        <v>104</v>
      </c>
      <c r="AG2167" s="1" t="s">
        <v>104</v>
      </c>
      <c r="AH2167" s="1" t="s">
        <v>104</v>
      </c>
      <c r="AI2167" s="1" t="s">
        <v>104</v>
      </c>
      <c r="AJ2167" s="1" t="s">
        <v>104</v>
      </c>
      <c r="AK2167" s="1" t="s">
        <v>104</v>
      </c>
      <c r="AL2167" s="1">
        <v>5</v>
      </c>
      <c r="AM2167" s="1" t="s">
        <v>104</v>
      </c>
      <c r="AO2167" s="1">
        <v>5</v>
      </c>
      <c r="AR2167" s="1">
        <v>0</v>
      </c>
      <c r="AS2167" s="1">
        <v>0</v>
      </c>
      <c r="AT2167" s="1">
        <v>0</v>
      </c>
      <c r="AU2167" s="1">
        <v>0</v>
      </c>
      <c r="AV2167" s="1">
        <v>0</v>
      </c>
      <c r="AW2167" s="1">
        <v>0</v>
      </c>
      <c r="AX2167" s="1">
        <v>0</v>
      </c>
      <c r="AY2167" s="1">
        <v>0</v>
      </c>
      <c r="AZ2167" s="1">
        <v>0</v>
      </c>
      <c r="BA2167" s="1">
        <v>0</v>
      </c>
      <c r="BB2167" s="1">
        <v>0</v>
      </c>
      <c r="BC2167" s="1">
        <v>0</v>
      </c>
      <c r="BD2167" s="1">
        <v>0</v>
      </c>
      <c r="BE2167" s="1">
        <v>1</v>
      </c>
      <c r="BF2167" s="1">
        <v>0</v>
      </c>
      <c r="BG2167" s="1">
        <v>1</v>
      </c>
      <c r="BH2167" s="1">
        <v>0</v>
      </c>
      <c r="BI2167" s="1">
        <v>0</v>
      </c>
      <c r="BJ2167" s="1">
        <v>0</v>
      </c>
      <c r="BK2167" s="1">
        <v>0</v>
      </c>
      <c r="BL2167" s="1">
        <v>0</v>
      </c>
      <c r="BM2167" s="1">
        <v>0</v>
      </c>
      <c r="BN2167" s="1">
        <v>0</v>
      </c>
      <c r="BO2167" s="1">
        <v>0</v>
      </c>
      <c r="BP2167" s="1">
        <v>0</v>
      </c>
      <c r="BQ2167" s="1" t="s">
        <v>104</v>
      </c>
      <c r="BR2167" s="1">
        <v>2283</v>
      </c>
      <c r="BS2167" s="1" t="s">
        <v>104</v>
      </c>
      <c r="BX2167" s="1">
        <v>0</v>
      </c>
      <c r="BY2167" s="1">
        <v>4</v>
      </c>
      <c r="BZ2167" s="1" t="s">
        <v>104</v>
      </c>
      <c r="CA2167" s="1" t="s">
        <v>104</v>
      </c>
      <c r="CB2167" s="1" t="s">
        <v>104</v>
      </c>
      <c r="CC2167" s="1" t="s">
        <v>104</v>
      </c>
      <c r="CD2167" s="1" t="s">
        <v>104</v>
      </c>
      <c r="CE2167" s="1" t="s">
        <v>104</v>
      </c>
      <c r="CF2167" s="1" t="s">
        <v>104</v>
      </c>
      <c r="CG2167" s="1" t="s">
        <v>104</v>
      </c>
      <c r="CH2167" s="1" t="s">
        <v>104</v>
      </c>
      <c r="CJ2167" s="1">
        <v>0</v>
      </c>
      <c r="CK2167" s="1">
        <v>0</v>
      </c>
      <c r="CL2167" s="1">
        <v>0</v>
      </c>
      <c r="CM2167" s="1" t="s">
        <v>104</v>
      </c>
    </row>
    <row r="2168" spans="1:91" ht="14.25" customHeight="1" x14ac:dyDescent="0.3">
      <c r="A2168" s="1" t="s">
        <v>11319</v>
      </c>
      <c r="B2168" s="1" t="s">
        <v>123</v>
      </c>
      <c r="C2168" s="1" t="s">
        <v>124</v>
      </c>
      <c r="D2168" s="1" t="s">
        <v>125</v>
      </c>
      <c r="E2168" s="1" t="s">
        <v>11320</v>
      </c>
      <c r="F2168" s="1" t="s">
        <v>255</v>
      </c>
      <c r="G2168" s="1" t="s">
        <v>116</v>
      </c>
      <c r="H2168" s="1">
        <v>0</v>
      </c>
      <c r="I2168" s="1" t="s">
        <v>109</v>
      </c>
      <c r="L2168" s="1" t="s">
        <v>10936</v>
      </c>
      <c r="M2168" s="1" t="s">
        <v>111</v>
      </c>
      <c r="N2168" s="1">
        <v>0</v>
      </c>
      <c r="O2168" s="1">
        <v>0</v>
      </c>
      <c r="P2168" s="1" t="s">
        <v>1902</v>
      </c>
      <c r="Q2168" s="1" t="s">
        <v>6424</v>
      </c>
      <c r="R2168" s="1" t="s">
        <v>11321</v>
      </c>
      <c r="S2168" s="1" t="s">
        <v>11310</v>
      </c>
      <c r="T2168" s="1">
        <v>1</v>
      </c>
      <c r="U2168" s="1">
        <v>1</v>
      </c>
      <c r="V2168" s="1">
        <v>0</v>
      </c>
      <c r="W2168" s="1">
        <v>0</v>
      </c>
      <c r="X2168" s="1">
        <v>0</v>
      </c>
      <c r="Y2168" s="1" t="s">
        <v>104</v>
      </c>
      <c r="Z2168" s="1" t="s">
        <v>104</v>
      </c>
      <c r="AA2168" s="1">
        <v>3</v>
      </c>
      <c r="AB2168" s="1" t="s">
        <v>104</v>
      </c>
      <c r="AC2168" s="1" t="s">
        <v>104</v>
      </c>
      <c r="AD2168" s="1">
        <v>3</v>
      </c>
      <c r="AE2168" s="1" t="s">
        <v>104</v>
      </c>
      <c r="AF2168" s="1" t="s">
        <v>104</v>
      </c>
      <c r="AG2168" s="1" t="s">
        <v>104</v>
      </c>
      <c r="AH2168" s="1" t="s">
        <v>104</v>
      </c>
      <c r="AI2168" s="1" t="s">
        <v>104</v>
      </c>
      <c r="AJ2168" s="1">
        <v>3</v>
      </c>
      <c r="AK2168" s="1" t="s">
        <v>104</v>
      </c>
      <c r="AL2168" s="1" t="s">
        <v>104</v>
      </c>
      <c r="AM2168" s="1" t="s">
        <v>104</v>
      </c>
      <c r="AO2168" s="1">
        <v>3</v>
      </c>
      <c r="AR2168" s="1">
        <v>0</v>
      </c>
      <c r="AS2168" s="1">
        <v>0</v>
      </c>
      <c r="AT2168" s="1">
        <v>0</v>
      </c>
      <c r="AU2168" s="1">
        <v>0</v>
      </c>
      <c r="AV2168" s="1">
        <v>0</v>
      </c>
      <c r="AW2168" s="1">
        <v>0</v>
      </c>
      <c r="AX2168" s="1">
        <v>0</v>
      </c>
      <c r="AY2168" s="1">
        <v>0</v>
      </c>
      <c r="AZ2168" s="1">
        <v>0</v>
      </c>
      <c r="BA2168" s="1">
        <v>0</v>
      </c>
      <c r="BB2168" s="1">
        <v>0</v>
      </c>
      <c r="BC2168" s="1">
        <v>0</v>
      </c>
      <c r="BD2168" s="1">
        <v>0</v>
      </c>
      <c r="BE2168" s="1">
        <v>0</v>
      </c>
      <c r="BF2168" s="1">
        <v>0</v>
      </c>
      <c r="BG2168" s="1">
        <v>0</v>
      </c>
      <c r="BH2168" s="1">
        <v>0</v>
      </c>
      <c r="BI2168" s="1">
        <v>0</v>
      </c>
      <c r="BJ2168" s="1">
        <v>0</v>
      </c>
      <c r="BK2168" s="1">
        <v>1</v>
      </c>
      <c r="BL2168" s="1">
        <v>0</v>
      </c>
      <c r="BM2168" s="1">
        <v>0</v>
      </c>
      <c r="BN2168" s="1">
        <v>0</v>
      </c>
      <c r="BO2168" s="1">
        <v>0</v>
      </c>
      <c r="BP2168" s="1">
        <v>0</v>
      </c>
      <c r="BQ2168" s="1" t="s">
        <v>104</v>
      </c>
      <c r="BR2168" s="1">
        <v>2284</v>
      </c>
      <c r="BS2168" s="1" t="s">
        <v>104</v>
      </c>
      <c r="BX2168" s="1">
        <v>0</v>
      </c>
      <c r="BY2168" s="1" t="s">
        <v>104</v>
      </c>
      <c r="BZ2168" s="1" t="s">
        <v>104</v>
      </c>
      <c r="CA2168" s="1" t="s">
        <v>104</v>
      </c>
      <c r="CB2168" s="1" t="s">
        <v>104</v>
      </c>
      <c r="CC2168" s="1">
        <v>3</v>
      </c>
      <c r="CD2168" s="1" t="s">
        <v>104</v>
      </c>
      <c r="CE2168" s="1" t="s">
        <v>104</v>
      </c>
      <c r="CF2168" s="1" t="s">
        <v>104</v>
      </c>
      <c r="CG2168" s="1" t="s">
        <v>104</v>
      </c>
      <c r="CH2168" s="1" t="s">
        <v>104</v>
      </c>
      <c r="CJ2168" s="1">
        <v>0</v>
      </c>
      <c r="CK2168" s="1">
        <v>0</v>
      </c>
      <c r="CL2168" s="1">
        <v>0</v>
      </c>
      <c r="CM2168" s="1" t="s">
        <v>104</v>
      </c>
    </row>
    <row r="2169" spans="1:91" ht="14.25" customHeight="1" x14ac:dyDescent="0.3">
      <c r="A2169" s="1" t="s">
        <v>11322</v>
      </c>
      <c r="B2169" s="1" t="s">
        <v>123</v>
      </c>
      <c r="C2169" s="1" t="s">
        <v>124</v>
      </c>
      <c r="D2169" s="1" t="s">
        <v>125</v>
      </c>
      <c r="E2169" s="1" t="s">
        <v>11323</v>
      </c>
      <c r="F2169" s="1" t="s">
        <v>273</v>
      </c>
      <c r="G2169" s="1" t="s">
        <v>11324</v>
      </c>
      <c r="H2169" s="1">
        <v>1</v>
      </c>
      <c r="I2169" s="1" t="s">
        <v>97</v>
      </c>
      <c r="L2169" s="1" t="s">
        <v>11325</v>
      </c>
      <c r="M2169" s="1" t="s">
        <v>298</v>
      </c>
      <c r="N2169" s="1">
        <v>0</v>
      </c>
      <c r="O2169" s="1">
        <v>0</v>
      </c>
      <c r="P2169" s="1" t="s">
        <v>211</v>
      </c>
      <c r="Q2169" s="1" t="s">
        <v>184</v>
      </c>
      <c r="R2169" s="1" t="s">
        <v>11326</v>
      </c>
      <c r="S2169" s="1" t="s">
        <v>11310</v>
      </c>
      <c r="T2169" s="1">
        <v>1</v>
      </c>
      <c r="U2169" s="1">
        <v>1</v>
      </c>
      <c r="V2169" s="1">
        <v>0</v>
      </c>
      <c r="W2169" s="1">
        <v>0</v>
      </c>
      <c r="X2169" s="1">
        <v>0</v>
      </c>
      <c r="Y2169" s="1" t="s">
        <v>104</v>
      </c>
      <c r="Z2169" s="1" t="s">
        <v>104</v>
      </c>
      <c r="AA2169" s="1" t="s">
        <v>104</v>
      </c>
      <c r="AB2169" s="1" t="s">
        <v>104</v>
      </c>
      <c r="AC2169" s="1" t="s">
        <v>104</v>
      </c>
      <c r="AD2169" s="1">
        <v>6</v>
      </c>
      <c r="AE2169" s="1" t="s">
        <v>104</v>
      </c>
      <c r="AF2169" s="1" t="s">
        <v>104</v>
      </c>
      <c r="AG2169" s="1" t="s">
        <v>104</v>
      </c>
      <c r="AH2169" s="1" t="s">
        <v>104</v>
      </c>
      <c r="AI2169" s="1" t="s">
        <v>104</v>
      </c>
      <c r="AJ2169" s="1" t="s">
        <v>104</v>
      </c>
      <c r="AK2169" s="1" t="s">
        <v>104</v>
      </c>
      <c r="AL2169" s="1" t="s">
        <v>104</v>
      </c>
      <c r="AM2169" s="1" t="s">
        <v>104</v>
      </c>
      <c r="AO2169" s="1">
        <v>6</v>
      </c>
      <c r="AR2169" s="1">
        <v>0</v>
      </c>
      <c r="AS2169" s="1">
        <v>0</v>
      </c>
      <c r="AT2169" s="1">
        <v>0</v>
      </c>
      <c r="AU2169" s="1">
        <v>0</v>
      </c>
      <c r="AV2169" s="1">
        <v>0</v>
      </c>
      <c r="AW2169" s="1">
        <v>0</v>
      </c>
      <c r="AX2169" s="1">
        <v>0</v>
      </c>
      <c r="AY2169" s="1">
        <v>0</v>
      </c>
      <c r="AZ2169" s="1">
        <v>0</v>
      </c>
      <c r="BA2169" s="1">
        <v>0</v>
      </c>
      <c r="BB2169" s="1">
        <v>0</v>
      </c>
      <c r="BC2169" s="1">
        <v>0</v>
      </c>
      <c r="BD2169" s="1">
        <v>0</v>
      </c>
      <c r="BE2169" s="1">
        <v>0</v>
      </c>
      <c r="BF2169" s="1">
        <v>0</v>
      </c>
      <c r="BG2169" s="1">
        <v>0</v>
      </c>
      <c r="BH2169" s="1">
        <v>0</v>
      </c>
      <c r="BI2169" s="1">
        <v>0</v>
      </c>
      <c r="BJ2169" s="1">
        <v>0</v>
      </c>
      <c r="BK2169" s="1">
        <v>1</v>
      </c>
      <c r="BL2169" s="1">
        <v>0</v>
      </c>
      <c r="BM2169" s="1">
        <v>0</v>
      </c>
      <c r="BN2169" s="1">
        <v>0</v>
      </c>
      <c r="BO2169" s="1">
        <v>0</v>
      </c>
      <c r="BP2169" s="1">
        <v>0</v>
      </c>
      <c r="BQ2169" s="1" t="s">
        <v>104</v>
      </c>
      <c r="BR2169" s="1">
        <v>2285</v>
      </c>
      <c r="BS2169" s="1">
        <v>5000</v>
      </c>
      <c r="BX2169" s="1">
        <v>0</v>
      </c>
      <c r="BY2169" s="1" t="s">
        <v>104</v>
      </c>
      <c r="BZ2169" s="1" t="s">
        <v>104</v>
      </c>
      <c r="CA2169" s="1">
        <v>9</v>
      </c>
      <c r="CB2169" s="1" t="s">
        <v>104</v>
      </c>
      <c r="CC2169" s="1">
        <v>6</v>
      </c>
      <c r="CD2169" s="1" t="s">
        <v>104</v>
      </c>
      <c r="CE2169" s="1" t="s">
        <v>104</v>
      </c>
      <c r="CF2169" s="1" t="s">
        <v>104</v>
      </c>
      <c r="CG2169" s="1" t="s">
        <v>104</v>
      </c>
      <c r="CH2169" s="1" t="s">
        <v>104</v>
      </c>
      <c r="CJ2169" s="1">
        <v>0</v>
      </c>
      <c r="CK2169" s="1">
        <v>0</v>
      </c>
      <c r="CL2169" s="1">
        <v>0</v>
      </c>
      <c r="CM2169" s="1" t="s">
        <v>104</v>
      </c>
    </row>
    <row r="2170" spans="1:91" ht="14.25" customHeight="1" x14ac:dyDescent="0.3">
      <c r="A2170" s="1" t="s">
        <v>11327</v>
      </c>
      <c r="B2170" s="1" t="s">
        <v>137</v>
      </c>
      <c r="D2170" s="1" t="s">
        <v>145</v>
      </c>
      <c r="E2170" s="1" t="s">
        <v>11328</v>
      </c>
      <c r="F2170" s="1" t="s">
        <v>95</v>
      </c>
      <c r="G2170" s="1" t="s">
        <v>116</v>
      </c>
      <c r="H2170" s="1">
        <v>0</v>
      </c>
      <c r="I2170" s="1" t="s">
        <v>157</v>
      </c>
      <c r="L2170" s="1" t="s">
        <v>158</v>
      </c>
      <c r="M2170" s="1" t="s">
        <v>2330</v>
      </c>
      <c r="N2170" s="1">
        <v>0</v>
      </c>
      <c r="O2170" s="1">
        <v>0</v>
      </c>
      <c r="R2170" s="1" t="s">
        <v>11329</v>
      </c>
      <c r="S2170" s="1" t="s">
        <v>11310</v>
      </c>
      <c r="T2170" s="1">
        <v>1</v>
      </c>
      <c r="U2170" s="1">
        <v>1</v>
      </c>
      <c r="V2170" s="1">
        <v>0</v>
      </c>
      <c r="W2170" s="1">
        <v>0</v>
      </c>
      <c r="X2170" s="1">
        <v>0</v>
      </c>
      <c r="Y2170" s="1">
        <v>4</v>
      </c>
      <c r="Z2170" s="1">
        <v>4</v>
      </c>
      <c r="AA2170" s="1" t="s">
        <v>104</v>
      </c>
      <c r="AB2170" s="1">
        <v>4</v>
      </c>
      <c r="AC2170" s="1">
        <v>4</v>
      </c>
      <c r="AD2170" s="1" t="s">
        <v>104</v>
      </c>
      <c r="AE2170" s="1" t="s">
        <v>104</v>
      </c>
      <c r="AF2170" s="1" t="s">
        <v>104</v>
      </c>
      <c r="AG2170" s="1" t="s">
        <v>104</v>
      </c>
      <c r="AH2170" s="1" t="s">
        <v>104</v>
      </c>
      <c r="AI2170" s="1" t="s">
        <v>104</v>
      </c>
      <c r="AJ2170" s="1" t="s">
        <v>104</v>
      </c>
      <c r="AK2170" s="1" t="s">
        <v>104</v>
      </c>
      <c r="AL2170" s="1">
        <v>4</v>
      </c>
      <c r="AM2170" s="1" t="s">
        <v>104</v>
      </c>
      <c r="AO2170" s="1">
        <v>4</v>
      </c>
      <c r="AR2170" s="1">
        <v>0</v>
      </c>
      <c r="AS2170" s="1">
        <v>0</v>
      </c>
      <c r="AT2170" s="1">
        <v>0</v>
      </c>
      <c r="AU2170" s="1">
        <v>0</v>
      </c>
      <c r="AV2170" s="1">
        <v>0</v>
      </c>
      <c r="AW2170" s="1">
        <v>0</v>
      </c>
      <c r="AX2170" s="1">
        <v>0</v>
      </c>
      <c r="AY2170" s="1">
        <v>0</v>
      </c>
      <c r="AZ2170" s="1">
        <v>0</v>
      </c>
      <c r="BA2170" s="1">
        <v>0</v>
      </c>
      <c r="BB2170" s="1">
        <v>0</v>
      </c>
      <c r="BC2170" s="1">
        <v>0</v>
      </c>
      <c r="BD2170" s="1">
        <v>0</v>
      </c>
      <c r="BE2170" s="1">
        <v>0</v>
      </c>
      <c r="BF2170" s="1">
        <v>0</v>
      </c>
      <c r="BG2170" s="1">
        <v>0</v>
      </c>
      <c r="BH2170" s="1">
        <v>0</v>
      </c>
      <c r="BI2170" s="1">
        <v>0</v>
      </c>
      <c r="BJ2170" s="1">
        <v>0</v>
      </c>
      <c r="BK2170" s="1">
        <v>0</v>
      </c>
      <c r="BL2170" s="1">
        <v>0</v>
      </c>
      <c r="BM2170" s="1">
        <v>0</v>
      </c>
      <c r="BN2170" s="1">
        <v>0</v>
      </c>
      <c r="BO2170" s="1">
        <v>0</v>
      </c>
      <c r="BP2170" s="1">
        <v>0</v>
      </c>
      <c r="BQ2170" s="1" t="s">
        <v>104</v>
      </c>
      <c r="BR2170" s="1">
        <v>2286</v>
      </c>
      <c r="BS2170" s="1" t="s">
        <v>104</v>
      </c>
      <c r="BX2170" s="1">
        <v>0</v>
      </c>
      <c r="BY2170" s="1">
        <v>4</v>
      </c>
      <c r="BZ2170" s="1" t="s">
        <v>104</v>
      </c>
      <c r="CA2170" s="1" t="s">
        <v>104</v>
      </c>
      <c r="CB2170" s="1" t="s">
        <v>104</v>
      </c>
      <c r="CC2170" s="1" t="s">
        <v>104</v>
      </c>
      <c r="CD2170" s="1" t="s">
        <v>104</v>
      </c>
      <c r="CE2170" s="1" t="s">
        <v>104</v>
      </c>
      <c r="CF2170" s="1" t="s">
        <v>104</v>
      </c>
      <c r="CG2170" s="1" t="s">
        <v>104</v>
      </c>
      <c r="CH2170" s="1">
        <v>4</v>
      </c>
      <c r="CJ2170" s="1">
        <v>0</v>
      </c>
      <c r="CK2170" s="1">
        <v>0</v>
      </c>
      <c r="CL2170" s="1">
        <v>0</v>
      </c>
      <c r="CM2170" s="1" t="s">
        <v>104</v>
      </c>
    </row>
    <row r="2171" spans="1:91" ht="14.25" customHeight="1" x14ac:dyDescent="0.3">
      <c r="A2171" s="1" t="s">
        <v>11330</v>
      </c>
      <c r="B2171" s="1" t="s">
        <v>507</v>
      </c>
      <c r="C2171" s="1" t="s">
        <v>65</v>
      </c>
      <c r="D2171" s="1" t="s">
        <v>65</v>
      </c>
      <c r="E2171" s="1" t="s">
        <v>11331</v>
      </c>
      <c r="F2171" s="1" t="s">
        <v>255</v>
      </c>
      <c r="G2171" s="1" t="s">
        <v>11332</v>
      </c>
      <c r="H2171" s="1">
        <v>0</v>
      </c>
      <c r="I2171" s="1" t="s">
        <v>117</v>
      </c>
      <c r="K2171" s="1" t="s">
        <v>11333</v>
      </c>
      <c r="M2171" s="1" t="s">
        <v>111</v>
      </c>
      <c r="N2171" s="1">
        <v>0</v>
      </c>
      <c r="O2171" s="1">
        <v>0</v>
      </c>
      <c r="P2171" s="1" t="s">
        <v>1771</v>
      </c>
      <c r="Q2171" s="1" t="s">
        <v>184</v>
      </c>
      <c r="R2171" s="1" t="s">
        <v>11334</v>
      </c>
      <c r="S2171" s="1" t="s">
        <v>11310</v>
      </c>
      <c r="T2171" s="1">
        <v>1</v>
      </c>
      <c r="U2171" s="1">
        <v>1</v>
      </c>
      <c r="V2171" s="1">
        <v>0</v>
      </c>
      <c r="W2171" s="1">
        <v>0</v>
      </c>
      <c r="X2171" s="1">
        <v>0</v>
      </c>
      <c r="Y2171" s="1" t="s">
        <v>104</v>
      </c>
      <c r="Z2171" s="1" t="s">
        <v>104</v>
      </c>
      <c r="AA2171" s="1" t="s">
        <v>104</v>
      </c>
      <c r="AB2171" s="1" t="s">
        <v>104</v>
      </c>
      <c r="AC2171" s="1" t="s">
        <v>104</v>
      </c>
      <c r="AD2171" s="1">
        <v>5</v>
      </c>
      <c r="AE2171" s="1" t="s">
        <v>104</v>
      </c>
      <c r="AF2171" s="1" t="s">
        <v>104</v>
      </c>
      <c r="AG2171" s="1" t="s">
        <v>104</v>
      </c>
      <c r="AH2171" s="1" t="s">
        <v>104</v>
      </c>
      <c r="AI2171" s="1" t="s">
        <v>104</v>
      </c>
      <c r="AJ2171" s="1" t="s">
        <v>104</v>
      </c>
      <c r="AK2171" s="1" t="s">
        <v>104</v>
      </c>
      <c r="AL2171" s="1" t="s">
        <v>104</v>
      </c>
      <c r="AM2171" s="1" t="s">
        <v>104</v>
      </c>
      <c r="AO2171" s="1">
        <v>5</v>
      </c>
      <c r="AR2171" s="1">
        <v>0</v>
      </c>
      <c r="AS2171" s="1">
        <v>0</v>
      </c>
      <c r="AT2171" s="1">
        <v>0</v>
      </c>
      <c r="AU2171" s="1">
        <v>0</v>
      </c>
      <c r="AV2171" s="1">
        <v>0</v>
      </c>
      <c r="AW2171" s="1">
        <v>0</v>
      </c>
      <c r="AX2171" s="1">
        <v>0</v>
      </c>
      <c r="AY2171" s="1">
        <v>0</v>
      </c>
      <c r="AZ2171" s="1">
        <v>0</v>
      </c>
      <c r="BA2171" s="1">
        <v>0</v>
      </c>
      <c r="BB2171" s="1">
        <v>0</v>
      </c>
      <c r="BC2171" s="1">
        <v>0</v>
      </c>
      <c r="BD2171" s="1">
        <v>0</v>
      </c>
      <c r="BE2171" s="1">
        <v>0</v>
      </c>
      <c r="BF2171" s="1">
        <v>0</v>
      </c>
      <c r="BG2171" s="1">
        <v>0</v>
      </c>
      <c r="BH2171" s="1">
        <v>0</v>
      </c>
      <c r="BI2171" s="1">
        <v>0</v>
      </c>
      <c r="BJ2171" s="1">
        <v>0</v>
      </c>
      <c r="BK2171" s="1">
        <v>0</v>
      </c>
      <c r="BL2171" s="1">
        <v>0</v>
      </c>
      <c r="BM2171" s="1">
        <v>0</v>
      </c>
      <c r="BN2171" s="1">
        <v>1</v>
      </c>
      <c r="BO2171" s="1">
        <v>0</v>
      </c>
      <c r="BP2171" s="1">
        <v>0</v>
      </c>
      <c r="BQ2171" s="1" t="s">
        <v>104</v>
      </c>
      <c r="BR2171" s="1">
        <v>2287</v>
      </c>
      <c r="BS2171" s="1" t="s">
        <v>104</v>
      </c>
      <c r="BX2171" s="1">
        <v>0</v>
      </c>
      <c r="BY2171" s="1" t="s">
        <v>104</v>
      </c>
      <c r="BZ2171" s="1" t="s">
        <v>104</v>
      </c>
      <c r="CA2171" s="1" t="s">
        <v>104</v>
      </c>
      <c r="CB2171" s="1">
        <v>4</v>
      </c>
      <c r="CC2171" s="1" t="s">
        <v>104</v>
      </c>
      <c r="CD2171" s="1" t="s">
        <v>104</v>
      </c>
      <c r="CE2171" s="1" t="s">
        <v>104</v>
      </c>
      <c r="CF2171" s="1" t="s">
        <v>104</v>
      </c>
      <c r="CG2171" s="1" t="s">
        <v>104</v>
      </c>
      <c r="CH2171" s="1" t="s">
        <v>104</v>
      </c>
      <c r="CJ2171" s="1">
        <v>0</v>
      </c>
      <c r="CK2171" s="1">
        <v>0</v>
      </c>
      <c r="CL2171" s="1">
        <v>0</v>
      </c>
      <c r="CM2171" s="1" t="s">
        <v>104</v>
      </c>
    </row>
    <row r="2172" spans="1:91" ht="14.25" customHeight="1" x14ac:dyDescent="0.3">
      <c r="A2172" s="1" t="s">
        <v>11335</v>
      </c>
      <c r="B2172" s="1" t="s">
        <v>434</v>
      </c>
      <c r="D2172" s="1" t="s">
        <v>56</v>
      </c>
      <c r="E2172" s="1" t="s">
        <v>11336</v>
      </c>
      <c r="F2172" s="1" t="s">
        <v>95</v>
      </c>
      <c r="G2172" s="1" t="s">
        <v>11337</v>
      </c>
      <c r="H2172" s="1">
        <v>0</v>
      </c>
      <c r="I2172" s="1" t="s">
        <v>157</v>
      </c>
      <c r="L2172" s="1" t="s">
        <v>158</v>
      </c>
      <c r="M2172" s="1" t="s">
        <v>111</v>
      </c>
      <c r="N2172" s="1">
        <v>0</v>
      </c>
      <c r="O2172" s="1">
        <v>0</v>
      </c>
      <c r="R2172" s="1" t="s">
        <v>11338</v>
      </c>
      <c r="S2172" s="1" t="s">
        <v>11310</v>
      </c>
      <c r="T2172" s="1">
        <v>1</v>
      </c>
      <c r="U2172" s="1">
        <v>1</v>
      </c>
      <c r="V2172" s="1">
        <v>1</v>
      </c>
      <c r="W2172" s="1">
        <v>0</v>
      </c>
      <c r="X2172" s="1">
        <v>0</v>
      </c>
      <c r="Y2172" s="1" t="s">
        <v>104</v>
      </c>
      <c r="Z2172" s="1" t="s">
        <v>104</v>
      </c>
      <c r="AA2172" s="1" t="s">
        <v>104</v>
      </c>
      <c r="AB2172" s="1" t="s">
        <v>104</v>
      </c>
      <c r="AC2172" s="1" t="s">
        <v>104</v>
      </c>
      <c r="AD2172" s="1" t="s">
        <v>104</v>
      </c>
      <c r="AE2172" s="1" t="s">
        <v>104</v>
      </c>
      <c r="AF2172" s="1">
        <v>2</v>
      </c>
      <c r="AG2172" s="1" t="s">
        <v>104</v>
      </c>
      <c r="AH2172" s="1" t="s">
        <v>104</v>
      </c>
      <c r="AI2172" s="1" t="s">
        <v>104</v>
      </c>
      <c r="AJ2172" s="1" t="s">
        <v>104</v>
      </c>
      <c r="AK2172" s="1" t="s">
        <v>104</v>
      </c>
      <c r="AL2172" s="1">
        <v>2</v>
      </c>
      <c r="AM2172" s="1" t="s">
        <v>104</v>
      </c>
      <c r="AO2172" s="1">
        <v>2</v>
      </c>
      <c r="AR2172" s="1">
        <v>0</v>
      </c>
      <c r="AS2172" s="1">
        <v>0</v>
      </c>
      <c r="AT2172" s="1">
        <v>0</v>
      </c>
      <c r="AU2172" s="1">
        <v>0</v>
      </c>
      <c r="AV2172" s="1">
        <v>0</v>
      </c>
      <c r="AW2172" s="1">
        <v>0</v>
      </c>
      <c r="AX2172" s="1">
        <v>0</v>
      </c>
      <c r="AY2172" s="1">
        <v>0</v>
      </c>
      <c r="AZ2172" s="1">
        <v>0</v>
      </c>
      <c r="BA2172" s="1">
        <v>0</v>
      </c>
      <c r="BB2172" s="1">
        <v>0</v>
      </c>
      <c r="BC2172" s="1">
        <v>0</v>
      </c>
      <c r="BD2172" s="1">
        <v>0</v>
      </c>
      <c r="BE2172" s="1">
        <v>1</v>
      </c>
      <c r="BF2172" s="1">
        <v>0</v>
      </c>
      <c r="BG2172" s="1">
        <v>0</v>
      </c>
      <c r="BH2172" s="1">
        <v>0</v>
      </c>
      <c r="BI2172" s="1">
        <v>0</v>
      </c>
      <c r="BJ2172" s="1">
        <v>0</v>
      </c>
      <c r="BK2172" s="1">
        <v>0</v>
      </c>
      <c r="BL2172" s="1">
        <v>0</v>
      </c>
      <c r="BM2172" s="1">
        <v>0</v>
      </c>
      <c r="BN2172" s="1">
        <v>0</v>
      </c>
      <c r="BO2172" s="1">
        <v>0</v>
      </c>
      <c r="BP2172" s="1">
        <v>0</v>
      </c>
      <c r="BQ2172" s="1" t="s">
        <v>104</v>
      </c>
      <c r="BR2172" s="1">
        <v>2288</v>
      </c>
      <c r="BS2172" s="1" t="s">
        <v>104</v>
      </c>
      <c r="BX2172" s="1">
        <v>0</v>
      </c>
      <c r="BY2172" s="1">
        <v>2</v>
      </c>
      <c r="BZ2172" s="1" t="s">
        <v>104</v>
      </c>
      <c r="CA2172" s="1" t="s">
        <v>104</v>
      </c>
      <c r="CB2172" s="1" t="s">
        <v>104</v>
      </c>
      <c r="CC2172" s="1" t="s">
        <v>104</v>
      </c>
      <c r="CD2172" s="1" t="s">
        <v>104</v>
      </c>
      <c r="CE2172" s="1" t="s">
        <v>104</v>
      </c>
      <c r="CF2172" s="1" t="s">
        <v>104</v>
      </c>
      <c r="CG2172" s="1" t="s">
        <v>104</v>
      </c>
      <c r="CH2172" s="1" t="s">
        <v>104</v>
      </c>
      <c r="CJ2172" s="1">
        <v>0</v>
      </c>
      <c r="CK2172" s="1">
        <v>0</v>
      </c>
      <c r="CL2172" s="1">
        <v>0</v>
      </c>
      <c r="CM2172" s="1" t="s">
        <v>104</v>
      </c>
    </row>
    <row r="2173" spans="1:91" ht="14.25" customHeight="1" x14ac:dyDescent="0.3">
      <c r="A2173" s="1" t="s">
        <v>11339</v>
      </c>
      <c r="B2173" s="1" t="s">
        <v>92</v>
      </c>
      <c r="C2173" s="1" t="s">
        <v>903</v>
      </c>
      <c r="E2173" s="1" t="s">
        <v>11340</v>
      </c>
      <c r="F2173" s="1" t="s">
        <v>255</v>
      </c>
      <c r="G2173" s="1" t="s">
        <v>3722</v>
      </c>
      <c r="H2173" s="1">
        <v>0</v>
      </c>
      <c r="I2173" s="1" t="s">
        <v>117</v>
      </c>
      <c r="K2173" s="1" t="s">
        <v>3723</v>
      </c>
      <c r="M2173" s="1" t="s">
        <v>11341</v>
      </c>
      <c r="N2173" s="1">
        <v>0</v>
      </c>
      <c r="O2173" s="1">
        <v>0</v>
      </c>
      <c r="P2173" s="1" t="s">
        <v>100</v>
      </c>
      <c r="Q2173" s="1" t="s">
        <v>101</v>
      </c>
      <c r="R2173" s="1" t="s">
        <v>11342</v>
      </c>
      <c r="S2173" s="1" t="s">
        <v>11310</v>
      </c>
      <c r="T2173" s="1">
        <v>1</v>
      </c>
      <c r="U2173" s="1">
        <v>1</v>
      </c>
      <c r="V2173" s="1">
        <v>1</v>
      </c>
      <c r="W2173" s="1">
        <v>0</v>
      </c>
      <c r="X2173" s="1">
        <v>1</v>
      </c>
      <c r="Y2173" s="1">
        <v>3</v>
      </c>
      <c r="Z2173" s="1">
        <v>3</v>
      </c>
      <c r="AA2173" s="1" t="s">
        <v>104</v>
      </c>
      <c r="AB2173" s="1" t="s">
        <v>104</v>
      </c>
      <c r="AC2173" s="1" t="s">
        <v>104</v>
      </c>
      <c r="AD2173" s="1" t="s">
        <v>104</v>
      </c>
      <c r="AE2173" s="1" t="s">
        <v>104</v>
      </c>
      <c r="AF2173" s="1" t="s">
        <v>104</v>
      </c>
      <c r="AG2173" s="1">
        <v>3</v>
      </c>
      <c r="AH2173" s="1">
        <v>3</v>
      </c>
      <c r="AI2173" s="1" t="s">
        <v>104</v>
      </c>
      <c r="AJ2173" s="1" t="s">
        <v>104</v>
      </c>
      <c r="AK2173" s="1" t="s">
        <v>104</v>
      </c>
      <c r="AL2173" s="1" t="s">
        <v>104</v>
      </c>
      <c r="AM2173" s="1" t="s">
        <v>104</v>
      </c>
      <c r="AO2173" s="1">
        <v>3</v>
      </c>
      <c r="AR2173" s="1">
        <v>0</v>
      </c>
      <c r="AS2173" s="1">
        <v>0</v>
      </c>
      <c r="AT2173" s="1">
        <v>0</v>
      </c>
      <c r="AU2173" s="1">
        <v>0</v>
      </c>
      <c r="AV2173" s="1">
        <v>0</v>
      </c>
      <c r="AW2173" s="1">
        <v>0</v>
      </c>
      <c r="AX2173" s="1">
        <v>0</v>
      </c>
      <c r="AY2173" s="1">
        <v>0</v>
      </c>
      <c r="AZ2173" s="1">
        <v>0</v>
      </c>
      <c r="BA2173" s="1">
        <v>0</v>
      </c>
      <c r="BB2173" s="1">
        <v>0</v>
      </c>
      <c r="BC2173" s="1">
        <v>0</v>
      </c>
      <c r="BD2173" s="1">
        <v>0</v>
      </c>
      <c r="BE2173" s="1">
        <v>0</v>
      </c>
      <c r="BF2173" s="1">
        <v>0</v>
      </c>
      <c r="BG2173" s="1">
        <v>0</v>
      </c>
      <c r="BH2173" s="1">
        <v>0</v>
      </c>
      <c r="BI2173" s="1">
        <v>0</v>
      </c>
      <c r="BJ2173" s="1">
        <v>0</v>
      </c>
      <c r="BK2173" s="1">
        <v>0</v>
      </c>
      <c r="BL2173" s="1">
        <v>0</v>
      </c>
      <c r="BM2173" s="1">
        <v>0</v>
      </c>
      <c r="BN2173" s="1">
        <v>0</v>
      </c>
      <c r="BO2173" s="1">
        <v>0</v>
      </c>
      <c r="BP2173" s="1">
        <v>0</v>
      </c>
      <c r="BQ2173" s="1" t="s">
        <v>104</v>
      </c>
      <c r="BR2173" s="1">
        <v>2289</v>
      </c>
      <c r="BS2173" s="1" t="s">
        <v>104</v>
      </c>
      <c r="BX2173" s="1">
        <v>0</v>
      </c>
      <c r="BY2173" s="1" t="s">
        <v>104</v>
      </c>
      <c r="BZ2173" s="1" t="s">
        <v>104</v>
      </c>
      <c r="CA2173" s="1" t="s">
        <v>104</v>
      </c>
      <c r="CB2173" s="1" t="s">
        <v>104</v>
      </c>
      <c r="CC2173" s="1" t="s">
        <v>104</v>
      </c>
      <c r="CD2173" s="1" t="s">
        <v>104</v>
      </c>
      <c r="CE2173" s="1" t="s">
        <v>104</v>
      </c>
      <c r="CF2173" s="1" t="s">
        <v>104</v>
      </c>
      <c r="CG2173" s="1" t="s">
        <v>104</v>
      </c>
      <c r="CH2173" s="1" t="s">
        <v>104</v>
      </c>
      <c r="CJ2173" s="1">
        <v>0</v>
      </c>
      <c r="CK2173" s="1">
        <v>0</v>
      </c>
      <c r="CL2173" s="1">
        <v>0</v>
      </c>
      <c r="CM2173" s="1">
        <v>3</v>
      </c>
    </row>
    <row r="2174" spans="1:91" ht="14.25" customHeight="1" x14ac:dyDescent="0.3">
      <c r="A2174" s="1" t="s">
        <v>11343</v>
      </c>
      <c r="B2174" s="1" t="s">
        <v>162</v>
      </c>
      <c r="D2174" s="1" t="s">
        <v>11315</v>
      </c>
      <c r="E2174" s="1" t="s">
        <v>11344</v>
      </c>
      <c r="F2174" s="1" t="s">
        <v>95</v>
      </c>
      <c r="G2174" s="1" t="s">
        <v>237</v>
      </c>
      <c r="H2174" s="1">
        <v>0</v>
      </c>
      <c r="I2174" s="1" t="s">
        <v>117</v>
      </c>
      <c r="J2174" s="1" t="s">
        <v>11345</v>
      </c>
      <c r="M2174" s="1" t="s">
        <v>111</v>
      </c>
      <c r="N2174" s="1">
        <v>0</v>
      </c>
      <c r="O2174" s="1">
        <v>0</v>
      </c>
      <c r="P2174" s="1" t="s">
        <v>1902</v>
      </c>
      <c r="Q2174" s="1" t="s">
        <v>184</v>
      </c>
      <c r="R2174" s="1" t="s">
        <v>11346</v>
      </c>
      <c r="S2174" s="1" t="s">
        <v>11310</v>
      </c>
      <c r="T2174" s="1">
        <v>1</v>
      </c>
      <c r="U2174" s="1">
        <v>0</v>
      </c>
      <c r="V2174" s="1">
        <v>0</v>
      </c>
      <c r="W2174" s="1">
        <v>0</v>
      </c>
      <c r="X2174" s="1">
        <v>0</v>
      </c>
      <c r="Y2174" s="1" t="s">
        <v>104</v>
      </c>
      <c r="Z2174" s="1" t="s">
        <v>104</v>
      </c>
      <c r="AA2174" s="1" t="s">
        <v>104</v>
      </c>
      <c r="AB2174" s="1" t="s">
        <v>104</v>
      </c>
      <c r="AC2174" s="1">
        <v>2</v>
      </c>
      <c r="AD2174" s="1">
        <v>2</v>
      </c>
      <c r="AE2174" s="1" t="s">
        <v>104</v>
      </c>
      <c r="AF2174" s="1" t="s">
        <v>104</v>
      </c>
      <c r="AG2174" s="1" t="s">
        <v>104</v>
      </c>
      <c r="AH2174" s="1" t="s">
        <v>104</v>
      </c>
      <c r="AI2174" s="1" t="s">
        <v>104</v>
      </c>
      <c r="AJ2174" s="1" t="s">
        <v>104</v>
      </c>
      <c r="AK2174" s="1" t="s">
        <v>104</v>
      </c>
      <c r="AL2174" s="1" t="s">
        <v>104</v>
      </c>
      <c r="AM2174" s="1" t="s">
        <v>104</v>
      </c>
      <c r="AO2174" s="1">
        <v>2</v>
      </c>
      <c r="AR2174" s="1">
        <v>0</v>
      </c>
      <c r="AS2174" s="1">
        <v>0</v>
      </c>
      <c r="AT2174" s="1">
        <v>0</v>
      </c>
      <c r="AU2174" s="1">
        <v>0</v>
      </c>
      <c r="AV2174" s="1">
        <v>0</v>
      </c>
      <c r="AW2174" s="1">
        <v>0</v>
      </c>
      <c r="AX2174" s="1">
        <v>0</v>
      </c>
      <c r="AY2174" s="1">
        <v>0</v>
      </c>
      <c r="AZ2174" s="1">
        <v>0</v>
      </c>
      <c r="BA2174" s="1">
        <v>0</v>
      </c>
      <c r="BB2174" s="1">
        <v>0</v>
      </c>
      <c r="BC2174" s="1">
        <v>0</v>
      </c>
      <c r="BD2174" s="1">
        <v>0</v>
      </c>
      <c r="BE2174" s="1">
        <v>1</v>
      </c>
      <c r="BF2174" s="1">
        <v>0</v>
      </c>
      <c r="BG2174" s="1">
        <v>1</v>
      </c>
      <c r="BH2174" s="1">
        <v>0</v>
      </c>
      <c r="BI2174" s="1">
        <v>0</v>
      </c>
      <c r="BJ2174" s="1">
        <v>0</v>
      </c>
      <c r="BK2174" s="1">
        <v>0</v>
      </c>
      <c r="BL2174" s="1">
        <v>0</v>
      </c>
      <c r="BM2174" s="1">
        <v>0</v>
      </c>
      <c r="BN2174" s="1">
        <v>0</v>
      </c>
      <c r="BO2174" s="1">
        <v>0</v>
      </c>
      <c r="BP2174" s="1">
        <v>0</v>
      </c>
      <c r="BQ2174" s="1" t="s">
        <v>104</v>
      </c>
      <c r="BR2174" s="1">
        <v>2290</v>
      </c>
      <c r="BS2174" s="1" t="s">
        <v>104</v>
      </c>
      <c r="BX2174" s="1">
        <v>0</v>
      </c>
      <c r="BY2174" s="1" t="s">
        <v>104</v>
      </c>
      <c r="BZ2174" s="1" t="s">
        <v>104</v>
      </c>
      <c r="CA2174" s="1" t="s">
        <v>104</v>
      </c>
      <c r="CB2174" s="1" t="s">
        <v>104</v>
      </c>
      <c r="CC2174" s="1" t="s">
        <v>104</v>
      </c>
      <c r="CD2174" s="1" t="s">
        <v>104</v>
      </c>
      <c r="CE2174" s="1" t="s">
        <v>104</v>
      </c>
      <c r="CF2174" s="1" t="s">
        <v>104</v>
      </c>
      <c r="CG2174" s="1" t="s">
        <v>104</v>
      </c>
      <c r="CH2174" s="1">
        <v>2</v>
      </c>
      <c r="CJ2174" s="1">
        <v>0</v>
      </c>
      <c r="CK2174" s="1">
        <v>0</v>
      </c>
      <c r="CL2174" s="1">
        <v>0</v>
      </c>
      <c r="CM2174" s="1" t="s">
        <v>104</v>
      </c>
    </row>
    <row r="2175" spans="1:91" ht="14.25" customHeight="1" x14ac:dyDescent="0.3">
      <c r="A2175" s="1" t="s">
        <v>11347</v>
      </c>
      <c r="B2175" s="1" t="s">
        <v>123</v>
      </c>
      <c r="C2175" s="1" t="s">
        <v>124</v>
      </c>
      <c r="D2175" s="1" t="s">
        <v>125</v>
      </c>
      <c r="E2175" s="1" t="s">
        <v>11348</v>
      </c>
      <c r="F2175" s="1" t="s">
        <v>95</v>
      </c>
      <c r="G2175" s="1" t="s">
        <v>116</v>
      </c>
      <c r="H2175" s="1">
        <v>0</v>
      </c>
      <c r="I2175" s="1" t="s">
        <v>97</v>
      </c>
      <c r="J2175" s="1" t="s">
        <v>11349</v>
      </c>
      <c r="M2175" s="1" t="s">
        <v>5062</v>
      </c>
      <c r="N2175" s="1">
        <v>1</v>
      </c>
      <c r="O2175" s="1">
        <v>1</v>
      </c>
      <c r="P2175" s="1" t="s">
        <v>276</v>
      </c>
      <c r="Q2175" s="1" t="s">
        <v>184</v>
      </c>
      <c r="R2175" s="1" t="s">
        <v>11350</v>
      </c>
      <c r="S2175" s="1" t="s">
        <v>11310</v>
      </c>
      <c r="T2175" s="1">
        <v>1</v>
      </c>
      <c r="U2175" s="1">
        <v>1</v>
      </c>
      <c r="V2175" s="1">
        <v>0</v>
      </c>
      <c r="W2175" s="1">
        <v>0</v>
      </c>
      <c r="X2175" s="1">
        <v>0</v>
      </c>
      <c r="Y2175" s="1">
        <v>4</v>
      </c>
      <c r="Z2175" s="1">
        <v>4</v>
      </c>
      <c r="AA2175" s="1" t="s">
        <v>104</v>
      </c>
      <c r="AB2175" s="1" t="s">
        <v>104</v>
      </c>
      <c r="AC2175" s="1" t="s">
        <v>104</v>
      </c>
      <c r="AD2175" s="1">
        <v>4</v>
      </c>
      <c r="AE2175" s="1" t="s">
        <v>104</v>
      </c>
      <c r="AF2175" s="1" t="s">
        <v>104</v>
      </c>
      <c r="AG2175" s="1" t="s">
        <v>104</v>
      </c>
      <c r="AH2175" s="1" t="s">
        <v>104</v>
      </c>
      <c r="AI2175" s="1" t="s">
        <v>104</v>
      </c>
      <c r="AJ2175" s="1" t="s">
        <v>104</v>
      </c>
      <c r="AK2175" s="1" t="s">
        <v>104</v>
      </c>
      <c r="AL2175" s="1" t="s">
        <v>104</v>
      </c>
      <c r="AM2175" s="1" t="s">
        <v>104</v>
      </c>
      <c r="AO2175" s="1">
        <v>4</v>
      </c>
      <c r="AR2175" s="1">
        <v>0</v>
      </c>
      <c r="AS2175" s="1">
        <v>0</v>
      </c>
      <c r="AT2175" s="1">
        <v>0</v>
      </c>
      <c r="AU2175" s="1">
        <v>0</v>
      </c>
      <c r="AV2175" s="1">
        <v>0</v>
      </c>
      <c r="AW2175" s="1">
        <v>0</v>
      </c>
      <c r="AX2175" s="1">
        <v>0</v>
      </c>
      <c r="AY2175" s="1">
        <v>0</v>
      </c>
      <c r="AZ2175" s="1">
        <v>0</v>
      </c>
      <c r="BA2175" s="1">
        <v>0</v>
      </c>
      <c r="BB2175" s="1">
        <v>0</v>
      </c>
      <c r="BC2175" s="1">
        <v>0</v>
      </c>
      <c r="BD2175" s="1">
        <v>0</v>
      </c>
      <c r="BE2175" s="1">
        <v>0</v>
      </c>
      <c r="BF2175" s="1">
        <v>0</v>
      </c>
      <c r="BG2175" s="1">
        <v>0</v>
      </c>
      <c r="BH2175" s="1">
        <v>0</v>
      </c>
      <c r="BI2175" s="1">
        <v>0</v>
      </c>
      <c r="BJ2175" s="1">
        <v>0</v>
      </c>
      <c r="BK2175" s="1">
        <v>1</v>
      </c>
      <c r="BL2175" s="1">
        <v>0</v>
      </c>
      <c r="BM2175" s="1">
        <v>0</v>
      </c>
      <c r="BN2175" s="1">
        <v>0</v>
      </c>
      <c r="BO2175" s="1">
        <v>0</v>
      </c>
      <c r="BP2175" s="1">
        <v>0</v>
      </c>
      <c r="BQ2175" s="1" t="s">
        <v>104</v>
      </c>
      <c r="BR2175" s="1">
        <v>2291</v>
      </c>
      <c r="BS2175" s="1" t="s">
        <v>104</v>
      </c>
      <c r="BX2175" s="1">
        <v>0</v>
      </c>
      <c r="BY2175" s="1" t="s">
        <v>104</v>
      </c>
      <c r="BZ2175" s="1" t="s">
        <v>104</v>
      </c>
      <c r="CA2175" s="1">
        <v>4</v>
      </c>
      <c r="CB2175" s="1" t="s">
        <v>104</v>
      </c>
      <c r="CC2175" s="1">
        <v>3</v>
      </c>
      <c r="CD2175" s="1" t="s">
        <v>104</v>
      </c>
      <c r="CE2175" s="1" t="s">
        <v>104</v>
      </c>
      <c r="CF2175" s="1" t="s">
        <v>104</v>
      </c>
      <c r="CG2175" s="1" t="s">
        <v>104</v>
      </c>
      <c r="CH2175" s="1" t="s">
        <v>104</v>
      </c>
      <c r="CJ2175" s="1">
        <v>0</v>
      </c>
      <c r="CK2175" s="1">
        <v>0</v>
      </c>
      <c r="CL2175" s="1">
        <v>0</v>
      </c>
      <c r="CM2175" s="1" t="s">
        <v>104</v>
      </c>
    </row>
    <row r="2176" spans="1:91" ht="14.25" customHeight="1" x14ac:dyDescent="0.3">
      <c r="A2176" s="1" t="s">
        <v>11351</v>
      </c>
      <c r="B2176" s="1" t="s">
        <v>123</v>
      </c>
      <c r="C2176" s="1" t="s">
        <v>124</v>
      </c>
      <c r="D2176" s="1" t="s">
        <v>125</v>
      </c>
      <c r="E2176" s="1" t="s">
        <v>11352</v>
      </c>
      <c r="F2176" s="1" t="s">
        <v>341</v>
      </c>
      <c r="G2176" s="1" t="s">
        <v>116</v>
      </c>
      <c r="H2176" s="1">
        <v>0</v>
      </c>
      <c r="I2176" s="1" t="s">
        <v>4126</v>
      </c>
      <c r="J2176" s="1" t="s">
        <v>11353</v>
      </c>
      <c r="M2176" s="1" t="s">
        <v>5062</v>
      </c>
      <c r="N2176" s="1">
        <v>1</v>
      </c>
      <c r="O2176" s="1">
        <v>0</v>
      </c>
      <c r="P2176" s="1" t="s">
        <v>276</v>
      </c>
      <c r="Q2176" s="1" t="s">
        <v>184</v>
      </c>
      <c r="R2176" s="1" t="s">
        <v>11354</v>
      </c>
      <c r="S2176" s="1" t="s">
        <v>11310</v>
      </c>
      <c r="T2176" s="1">
        <v>1</v>
      </c>
      <c r="U2176" s="1">
        <v>1</v>
      </c>
      <c r="V2176" s="1">
        <v>0</v>
      </c>
      <c r="W2176" s="1">
        <v>0</v>
      </c>
      <c r="X2176" s="1">
        <v>0</v>
      </c>
      <c r="Y2176" s="1">
        <v>9</v>
      </c>
      <c r="Z2176" s="1">
        <v>9</v>
      </c>
      <c r="AA2176" s="1" t="s">
        <v>104</v>
      </c>
      <c r="AB2176" s="1" t="s">
        <v>104</v>
      </c>
      <c r="AC2176" s="1" t="s">
        <v>104</v>
      </c>
      <c r="AD2176" s="1" t="s">
        <v>104</v>
      </c>
      <c r="AE2176" s="1" t="s">
        <v>104</v>
      </c>
      <c r="AF2176" s="1" t="s">
        <v>104</v>
      </c>
      <c r="AG2176" s="1" t="s">
        <v>104</v>
      </c>
      <c r="AH2176" s="1" t="s">
        <v>104</v>
      </c>
      <c r="AI2176" s="1" t="s">
        <v>104</v>
      </c>
      <c r="AJ2176" s="1" t="s">
        <v>104</v>
      </c>
      <c r="AK2176" s="1" t="s">
        <v>104</v>
      </c>
      <c r="AL2176" s="1" t="s">
        <v>104</v>
      </c>
      <c r="AM2176" s="1" t="s">
        <v>104</v>
      </c>
      <c r="AO2176" s="1">
        <v>9</v>
      </c>
      <c r="AR2176" s="1">
        <v>0</v>
      </c>
      <c r="AS2176" s="1">
        <v>0</v>
      </c>
      <c r="AT2176" s="1">
        <v>0</v>
      </c>
      <c r="AU2176" s="1">
        <v>0</v>
      </c>
      <c r="AV2176" s="1">
        <v>0</v>
      </c>
      <c r="AW2176" s="1">
        <v>0</v>
      </c>
      <c r="AX2176" s="1">
        <v>0</v>
      </c>
      <c r="AY2176" s="1">
        <v>0</v>
      </c>
      <c r="AZ2176" s="1">
        <v>0</v>
      </c>
      <c r="BA2176" s="1">
        <v>0</v>
      </c>
      <c r="BB2176" s="1">
        <v>0</v>
      </c>
      <c r="BC2176" s="1">
        <v>0</v>
      </c>
      <c r="BD2176" s="1">
        <v>0</v>
      </c>
      <c r="BE2176" s="1">
        <v>0</v>
      </c>
      <c r="BF2176" s="1">
        <v>0</v>
      </c>
      <c r="BG2176" s="1">
        <v>0</v>
      </c>
      <c r="BH2176" s="1">
        <v>0</v>
      </c>
      <c r="BI2176" s="1">
        <v>0</v>
      </c>
      <c r="BJ2176" s="1">
        <v>0</v>
      </c>
      <c r="BK2176" s="1">
        <v>1</v>
      </c>
      <c r="BL2176" s="1">
        <v>0</v>
      </c>
      <c r="BM2176" s="1">
        <v>0</v>
      </c>
      <c r="BN2176" s="1">
        <v>0</v>
      </c>
      <c r="BO2176" s="1">
        <v>0</v>
      </c>
      <c r="BP2176" s="1">
        <v>0</v>
      </c>
      <c r="BQ2176" s="1" t="s">
        <v>104</v>
      </c>
      <c r="BR2176" s="1">
        <v>2292</v>
      </c>
      <c r="BS2176" s="1" t="s">
        <v>104</v>
      </c>
      <c r="BX2176" s="1">
        <v>0</v>
      </c>
      <c r="BY2176" s="1" t="s">
        <v>104</v>
      </c>
      <c r="BZ2176" s="1" t="s">
        <v>104</v>
      </c>
      <c r="CA2176" s="1">
        <v>9</v>
      </c>
      <c r="CB2176" s="1" t="s">
        <v>104</v>
      </c>
      <c r="CC2176" s="1" t="s">
        <v>104</v>
      </c>
      <c r="CD2176" s="1" t="s">
        <v>104</v>
      </c>
      <c r="CE2176" s="1" t="s">
        <v>104</v>
      </c>
      <c r="CF2176" s="1" t="s">
        <v>104</v>
      </c>
      <c r="CG2176" s="1" t="s">
        <v>104</v>
      </c>
      <c r="CH2176" s="1" t="s">
        <v>104</v>
      </c>
      <c r="CJ2176" s="1">
        <v>0</v>
      </c>
      <c r="CK2176" s="1">
        <v>0</v>
      </c>
      <c r="CL2176" s="1">
        <v>0</v>
      </c>
      <c r="CM2176" s="1" t="s">
        <v>104</v>
      </c>
    </row>
    <row r="2177" spans="1:91" ht="14.25" customHeight="1" x14ac:dyDescent="0.3">
      <c r="A2177" s="1" t="s">
        <v>11355</v>
      </c>
      <c r="B2177" s="1" t="s">
        <v>137</v>
      </c>
      <c r="D2177" s="1" t="s">
        <v>58</v>
      </c>
      <c r="E2177" s="1" t="s">
        <v>11356</v>
      </c>
      <c r="F2177" s="1" t="s">
        <v>95</v>
      </c>
      <c r="G2177" s="1" t="s">
        <v>116</v>
      </c>
      <c r="H2177" s="1">
        <v>0</v>
      </c>
      <c r="I2177" s="1" t="s">
        <v>109</v>
      </c>
      <c r="L2177" s="1" t="s">
        <v>11357</v>
      </c>
      <c r="M2177" s="1" t="s">
        <v>2330</v>
      </c>
      <c r="N2177" s="1">
        <v>0</v>
      </c>
      <c r="O2177" s="1">
        <v>0</v>
      </c>
      <c r="P2177" s="1" t="s">
        <v>375</v>
      </c>
      <c r="Q2177" s="1" t="s">
        <v>131</v>
      </c>
      <c r="R2177" s="1" t="s">
        <v>11358</v>
      </c>
      <c r="S2177" s="1" t="s">
        <v>11310</v>
      </c>
      <c r="T2177" s="1">
        <v>1</v>
      </c>
      <c r="U2177" s="1">
        <v>1</v>
      </c>
      <c r="V2177" s="1">
        <v>0</v>
      </c>
      <c r="W2177" s="1">
        <v>0</v>
      </c>
      <c r="X2177" s="1">
        <v>0</v>
      </c>
      <c r="Y2177" s="1">
        <v>5</v>
      </c>
      <c r="Z2177" s="1">
        <v>5</v>
      </c>
      <c r="AA2177" s="1" t="s">
        <v>104</v>
      </c>
      <c r="AB2177" s="1">
        <v>5</v>
      </c>
      <c r="AC2177" s="1" t="s">
        <v>104</v>
      </c>
      <c r="AD2177" s="1" t="s">
        <v>104</v>
      </c>
      <c r="AE2177" s="1" t="s">
        <v>104</v>
      </c>
      <c r="AF2177" s="1" t="s">
        <v>104</v>
      </c>
      <c r="AG2177" s="1" t="s">
        <v>104</v>
      </c>
      <c r="AH2177" s="1" t="s">
        <v>104</v>
      </c>
      <c r="AI2177" s="1" t="s">
        <v>104</v>
      </c>
      <c r="AJ2177" s="1" t="s">
        <v>104</v>
      </c>
      <c r="AK2177" s="1" t="s">
        <v>104</v>
      </c>
      <c r="AL2177" s="1" t="s">
        <v>104</v>
      </c>
      <c r="AM2177" s="1" t="s">
        <v>104</v>
      </c>
      <c r="AO2177" s="1">
        <v>5</v>
      </c>
      <c r="AR2177" s="1">
        <v>0</v>
      </c>
      <c r="AS2177" s="1">
        <v>0</v>
      </c>
      <c r="AT2177" s="1">
        <v>0</v>
      </c>
      <c r="AU2177" s="1">
        <v>0</v>
      </c>
      <c r="AV2177" s="1">
        <v>0</v>
      </c>
      <c r="AW2177" s="1">
        <v>0</v>
      </c>
      <c r="AX2177" s="1">
        <v>0</v>
      </c>
      <c r="AY2177" s="1">
        <v>0</v>
      </c>
      <c r="AZ2177" s="1">
        <v>0</v>
      </c>
      <c r="BA2177" s="1">
        <v>0</v>
      </c>
      <c r="BB2177" s="1">
        <v>0</v>
      </c>
      <c r="BC2177" s="1">
        <v>0</v>
      </c>
      <c r="BD2177" s="1">
        <v>0</v>
      </c>
      <c r="BE2177" s="1">
        <v>0</v>
      </c>
      <c r="BF2177" s="1">
        <v>0</v>
      </c>
      <c r="BG2177" s="1">
        <v>1</v>
      </c>
      <c r="BH2177" s="1">
        <v>0</v>
      </c>
      <c r="BI2177" s="1">
        <v>0</v>
      </c>
      <c r="BJ2177" s="1">
        <v>0</v>
      </c>
      <c r="BK2177" s="1">
        <v>0</v>
      </c>
      <c r="BL2177" s="1">
        <v>0</v>
      </c>
      <c r="BM2177" s="1">
        <v>0</v>
      </c>
      <c r="BN2177" s="1">
        <v>0</v>
      </c>
      <c r="BO2177" s="1">
        <v>0</v>
      </c>
      <c r="BP2177" s="1">
        <v>0</v>
      </c>
      <c r="BQ2177" s="1" t="s">
        <v>104</v>
      </c>
      <c r="BR2177" s="1">
        <v>2293</v>
      </c>
      <c r="BS2177" s="1" t="s">
        <v>104</v>
      </c>
      <c r="BX2177" s="1">
        <v>0</v>
      </c>
      <c r="BY2177" s="1" t="s">
        <v>104</v>
      </c>
      <c r="BZ2177" s="1">
        <v>5</v>
      </c>
      <c r="CA2177" s="1" t="s">
        <v>104</v>
      </c>
      <c r="CB2177" s="1" t="s">
        <v>104</v>
      </c>
      <c r="CC2177" s="1" t="s">
        <v>104</v>
      </c>
      <c r="CD2177" s="1" t="s">
        <v>104</v>
      </c>
      <c r="CE2177" s="1" t="s">
        <v>104</v>
      </c>
      <c r="CF2177" s="1" t="s">
        <v>104</v>
      </c>
      <c r="CG2177" s="1" t="s">
        <v>104</v>
      </c>
      <c r="CH2177" s="1">
        <v>5</v>
      </c>
      <c r="CJ2177" s="1">
        <v>0</v>
      </c>
      <c r="CK2177" s="1">
        <v>0</v>
      </c>
      <c r="CL2177" s="1">
        <v>0</v>
      </c>
      <c r="CM2177" s="1" t="s">
        <v>104</v>
      </c>
    </row>
    <row r="2178" spans="1:91" ht="14.25" customHeight="1" x14ac:dyDescent="0.3">
      <c r="A2178" s="1" t="s">
        <v>11359</v>
      </c>
      <c r="B2178" s="1" t="s">
        <v>434</v>
      </c>
      <c r="E2178" s="1" t="s">
        <v>11360</v>
      </c>
      <c r="F2178" s="1" t="s">
        <v>95</v>
      </c>
      <c r="G2178" s="1" t="s">
        <v>116</v>
      </c>
      <c r="H2178" s="1">
        <v>0</v>
      </c>
      <c r="I2178" s="1" t="s">
        <v>97</v>
      </c>
      <c r="L2178" s="1" t="s">
        <v>145</v>
      </c>
      <c r="M2178" s="1" t="s">
        <v>119</v>
      </c>
      <c r="N2178" s="1">
        <v>0</v>
      </c>
      <c r="O2178" s="1">
        <v>0</v>
      </c>
      <c r="P2178" s="1" t="s">
        <v>11361</v>
      </c>
      <c r="Q2178" s="1" t="s">
        <v>3284</v>
      </c>
      <c r="R2178" s="1" t="s">
        <v>11362</v>
      </c>
      <c r="S2178" s="1" t="s">
        <v>11310</v>
      </c>
      <c r="T2178" s="1">
        <v>1</v>
      </c>
      <c r="U2178" s="1">
        <v>1</v>
      </c>
      <c r="V2178" s="1">
        <v>0</v>
      </c>
      <c r="W2178" s="1">
        <v>0</v>
      </c>
      <c r="X2178" s="1">
        <v>0</v>
      </c>
      <c r="Y2178" s="1">
        <v>4</v>
      </c>
      <c r="Z2178" s="1">
        <v>4</v>
      </c>
      <c r="AA2178" s="1" t="s">
        <v>104</v>
      </c>
      <c r="AB2178" s="1" t="s">
        <v>104</v>
      </c>
      <c r="AC2178" s="1" t="s">
        <v>104</v>
      </c>
      <c r="AD2178" s="1" t="s">
        <v>104</v>
      </c>
      <c r="AE2178" s="1" t="s">
        <v>104</v>
      </c>
      <c r="AF2178" s="1" t="s">
        <v>104</v>
      </c>
      <c r="AG2178" s="1" t="s">
        <v>104</v>
      </c>
      <c r="AH2178" s="1" t="s">
        <v>104</v>
      </c>
      <c r="AI2178" s="1" t="s">
        <v>104</v>
      </c>
      <c r="AJ2178" s="1" t="s">
        <v>104</v>
      </c>
      <c r="AK2178" s="1" t="s">
        <v>104</v>
      </c>
      <c r="AL2178" s="1">
        <v>4</v>
      </c>
      <c r="AM2178" s="1" t="s">
        <v>104</v>
      </c>
      <c r="AO2178" s="1">
        <v>4</v>
      </c>
      <c r="AR2178" s="1">
        <v>0</v>
      </c>
      <c r="AS2178" s="1">
        <v>0</v>
      </c>
      <c r="AT2178" s="1">
        <v>0</v>
      </c>
      <c r="AU2178" s="1">
        <v>0</v>
      </c>
      <c r="AV2178" s="1">
        <v>0</v>
      </c>
      <c r="AW2178" s="1">
        <v>0</v>
      </c>
      <c r="AX2178" s="1">
        <v>0</v>
      </c>
      <c r="AY2178" s="1">
        <v>0</v>
      </c>
      <c r="AZ2178" s="1">
        <v>0</v>
      </c>
      <c r="BA2178" s="1">
        <v>0</v>
      </c>
      <c r="BB2178" s="1">
        <v>0</v>
      </c>
      <c r="BC2178" s="1">
        <v>0</v>
      </c>
      <c r="BD2178" s="1">
        <v>0</v>
      </c>
      <c r="BE2178" s="1">
        <v>0</v>
      </c>
      <c r="BF2178" s="1">
        <v>0</v>
      </c>
      <c r="BG2178" s="1">
        <v>0</v>
      </c>
      <c r="BH2178" s="1">
        <v>0</v>
      </c>
      <c r="BI2178" s="1">
        <v>0</v>
      </c>
      <c r="BJ2178" s="1">
        <v>0</v>
      </c>
      <c r="BK2178" s="1">
        <v>0</v>
      </c>
      <c r="BL2178" s="1">
        <v>0</v>
      </c>
      <c r="BM2178" s="1">
        <v>0</v>
      </c>
      <c r="BN2178" s="1">
        <v>0</v>
      </c>
      <c r="BO2178" s="1">
        <v>0</v>
      </c>
      <c r="BP2178" s="1">
        <v>0</v>
      </c>
      <c r="BQ2178" s="1" t="s">
        <v>104</v>
      </c>
      <c r="BR2178" s="1">
        <v>2294</v>
      </c>
      <c r="BS2178" s="1" t="s">
        <v>104</v>
      </c>
      <c r="BX2178" s="1">
        <v>0</v>
      </c>
      <c r="BY2178" s="1" t="s">
        <v>104</v>
      </c>
      <c r="BZ2178" s="1" t="s">
        <v>104</v>
      </c>
      <c r="CA2178" s="1">
        <v>3</v>
      </c>
      <c r="CB2178" s="1" t="s">
        <v>104</v>
      </c>
      <c r="CC2178" s="1" t="s">
        <v>104</v>
      </c>
      <c r="CD2178" s="1">
        <v>4</v>
      </c>
      <c r="CE2178" s="1">
        <v>4</v>
      </c>
      <c r="CF2178" s="1" t="s">
        <v>104</v>
      </c>
      <c r="CG2178" s="1" t="s">
        <v>104</v>
      </c>
      <c r="CH2178" s="1" t="s">
        <v>104</v>
      </c>
      <c r="CJ2178" s="1">
        <v>0</v>
      </c>
      <c r="CK2178" s="1">
        <v>0</v>
      </c>
      <c r="CL2178" s="1">
        <v>0</v>
      </c>
      <c r="CM2178" s="1" t="s">
        <v>104</v>
      </c>
    </row>
    <row r="2179" spans="1:91" ht="14.25" customHeight="1" x14ac:dyDescent="0.3">
      <c r="A2179" s="1" t="s">
        <v>11363</v>
      </c>
      <c r="B2179" s="1" t="s">
        <v>123</v>
      </c>
      <c r="C2179" s="1" t="s">
        <v>124</v>
      </c>
      <c r="D2179" s="1" t="s">
        <v>347</v>
      </c>
      <c r="E2179" s="1" t="s">
        <v>11364</v>
      </c>
      <c r="F2179" s="1" t="s">
        <v>95</v>
      </c>
      <c r="G2179" s="1" t="s">
        <v>116</v>
      </c>
      <c r="H2179" s="1">
        <v>0</v>
      </c>
      <c r="I2179" s="1" t="s">
        <v>7153</v>
      </c>
      <c r="J2179" s="1" t="s">
        <v>549</v>
      </c>
      <c r="M2179" s="1" t="s">
        <v>119</v>
      </c>
      <c r="N2179" s="1">
        <v>0</v>
      </c>
      <c r="O2179" s="1">
        <v>0</v>
      </c>
      <c r="P2179" s="1" t="s">
        <v>100</v>
      </c>
      <c r="Q2179" s="1" t="s">
        <v>101</v>
      </c>
      <c r="R2179" s="1" t="s">
        <v>11365</v>
      </c>
      <c r="S2179" s="1" t="s">
        <v>11310</v>
      </c>
      <c r="T2179" s="1">
        <v>1</v>
      </c>
      <c r="U2179" s="1">
        <v>1</v>
      </c>
      <c r="V2179" s="1">
        <v>0</v>
      </c>
      <c r="W2179" s="1">
        <v>0</v>
      </c>
      <c r="X2179" s="1">
        <v>0</v>
      </c>
      <c r="Y2179" s="1" t="s">
        <v>104</v>
      </c>
      <c r="Z2179" s="1" t="s">
        <v>104</v>
      </c>
      <c r="AA2179" s="1" t="s">
        <v>104</v>
      </c>
      <c r="AB2179" s="1" t="s">
        <v>104</v>
      </c>
      <c r="AC2179" s="1" t="s">
        <v>104</v>
      </c>
      <c r="AD2179" s="1">
        <v>2</v>
      </c>
      <c r="AE2179" s="1" t="s">
        <v>104</v>
      </c>
      <c r="AF2179" s="1" t="s">
        <v>104</v>
      </c>
      <c r="AG2179" s="1" t="s">
        <v>104</v>
      </c>
      <c r="AH2179" s="1" t="s">
        <v>104</v>
      </c>
      <c r="AI2179" s="1">
        <v>3</v>
      </c>
      <c r="AJ2179" s="1" t="s">
        <v>104</v>
      </c>
      <c r="AK2179" s="1">
        <v>2</v>
      </c>
      <c r="AL2179" s="1" t="s">
        <v>104</v>
      </c>
      <c r="AM2179" s="1" t="s">
        <v>104</v>
      </c>
      <c r="AO2179" s="1">
        <v>2</v>
      </c>
      <c r="AR2179" s="1">
        <v>0</v>
      </c>
      <c r="AS2179" s="1">
        <v>0</v>
      </c>
      <c r="AT2179" s="1">
        <v>0</v>
      </c>
      <c r="AU2179" s="1">
        <v>0</v>
      </c>
      <c r="AV2179" s="1">
        <v>0</v>
      </c>
      <c r="AW2179" s="1">
        <v>0</v>
      </c>
      <c r="AX2179" s="1">
        <v>0</v>
      </c>
      <c r="AY2179" s="1">
        <v>0</v>
      </c>
      <c r="AZ2179" s="1">
        <v>0</v>
      </c>
      <c r="BA2179" s="1">
        <v>0</v>
      </c>
      <c r="BB2179" s="1">
        <v>0</v>
      </c>
      <c r="BC2179" s="1">
        <v>0</v>
      </c>
      <c r="BD2179" s="1">
        <v>1</v>
      </c>
      <c r="BE2179" s="1">
        <v>0</v>
      </c>
      <c r="BF2179" s="1">
        <v>0</v>
      </c>
      <c r="BG2179" s="1">
        <v>0</v>
      </c>
      <c r="BH2179" s="1">
        <v>0</v>
      </c>
      <c r="BI2179" s="1">
        <v>0</v>
      </c>
      <c r="BJ2179" s="1">
        <v>0</v>
      </c>
      <c r="BK2179" s="1">
        <v>1</v>
      </c>
      <c r="BL2179" s="1">
        <v>0</v>
      </c>
      <c r="BM2179" s="1">
        <v>0</v>
      </c>
      <c r="BN2179" s="1">
        <v>0</v>
      </c>
      <c r="BO2179" s="1">
        <v>0</v>
      </c>
      <c r="BP2179" s="1">
        <v>0</v>
      </c>
      <c r="BQ2179" s="1" t="s">
        <v>104</v>
      </c>
      <c r="BR2179" s="1">
        <v>2295</v>
      </c>
      <c r="BS2179" s="1" t="s">
        <v>104</v>
      </c>
      <c r="BX2179" s="1">
        <v>0</v>
      </c>
      <c r="BY2179" s="1">
        <v>2</v>
      </c>
      <c r="BZ2179" s="1" t="s">
        <v>104</v>
      </c>
      <c r="CA2179" s="1" t="s">
        <v>104</v>
      </c>
      <c r="CB2179" s="1" t="s">
        <v>104</v>
      </c>
      <c r="CC2179" s="1">
        <v>3</v>
      </c>
      <c r="CD2179" s="1" t="s">
        <v>104</v>
      </c>
      <c r="CE2179" s="1" t="s">
        <v>104</v>
      </c>
      <c r="CF2179" s="1" t="s">
        <v>104</v>
      </c>
      <c r="CG2179" s="1" t="s">
        <v>104</v>
      </c>
      <c r="CH2179" s="1" t="s">
        <v>104</v>
      </c>
      <c r="CJ2179" s="1">
        <v>0</v>
      </c>
      <c r="CK2179" s="1">
        <v>0</v>
      </c>
      <c r="CL2179" s="1">
        <v>0</v>
      </c>
      <c r="CM2179" s="1" t="s">
        <v>104</v>
      </c>
    </row>
    <row r="2180" spans="1:91" ht="14.25" customHeight="1" x14ac:dyDescent="0.3">
      <c r="A2180" s="1" t="s">
        <v>11366</v>
      </c>
      <c r="B2180" s="1" t="s">
        <v>92</v>
      </c>
      <c r="C2180" s="1" t="s">
        <v>903</v>
      </c>
      <c r="D2180" s="1" t="s">
        <v>145</v>
      </c>
      <c r="E2180" s="1" t="s">
        <v>11367</v>
      </c>
      <c r="F2180" s="1" t="s">
        <v>255</v>
      </c>
      <c r="G2180" s="1" t="s">
        <v>11368</v>
      </c>
      <c r="H2180" s="1">
        <v>0</v>
      </c>
      <c r="I2180" s="1" t="s">
        <v>109</v>
      </c>
      <c r="K2180" s="1" t="s">
        <v>11369</v>
      </c>
      <c r="M2180" s="1" t="s">
        <v>111</v>
      </c>
      <c r="N2180" s="1">
        <v>0</v>
      </c>
      <c r="O2180" s="1">
        <v>0</v>
      </c>
      <c r="P2180" s="1" t="s">
        <v>100</v>
      </c>
      <c r="Q2180" s="1" t="s">
        <v>101</v>
      </c>
      <c r="R2180" s="1" t="s">
        <v>11370</v>
      </c>
      <c r="S2180" s="1" t="s">
        <v>11310</v>
      </c>
      <c r="T2180" s="1">
        <v>1</v>
      </c>
      <c r="U2180" s="1">
        <v>1</v>
      </c>
      <c r="V2180" s="1">
        <v>0</v>
      </c>
      <c r="W2180" s="1">
        <v>0</v>
      </c>
      <c r="X2180" s="1">
        <v>0</v>
      </c>
      <c r="Y2180" s="1">
        <v>1</v>
      </c>
      <c r="Z2180" s="1">
        <v>1</v>
      </c>
      <c r="AA2180" s="1">
        <v>1</v>
      </c>
      <c r="AB2180" s="1" t="s">
        <v>104</v>
      </c>
      <c r="AC2180" s="1" t="s">
        <v>104</v>
      </c>
      <c r="AD2180" s="1" t="s">
        <v>104</v>
      </c>
      <c r="AE2180" s="1">
        <v>1</v>
      </c>
      <c r="AF2180" s="1" t="s">
        <v>104</v>
      </c>
      <c r="AG2180" s="1">
        <v>1</v>
      </c>
      <c r="AH2180" s="1">
        <v>1</v>
      </c>
      <c r="AI2180" s="1" t="s">
        <v>104</v>
      </c>
      <c r="AJ2180" s="1">
        <v>1</v>
      </c>
      <c r="AK2180" s="1">
        <v>1</v>
      </c>
      <c r="AL2180" s="1" t="s">
        <v>104</v>
      </c>
      <c r="AM2180" s="1" t="s">
        <v>104</v>
      </c>
      <c r="AO2180" s="1">
        <v>1</v>
      </c>
      <c r="AR2180" s="1">
        <v>0</v>
      </c>
      <c r="AS2180" s="1">
        <v>0</v>
      </c>
      <c r="AT2180" s="1">
        <v>0</v>
      </c>
      <c r="AU2180" s="1">
        <v>0</v>
      </c>
      <c r="AV2180" s="1">
        <v>0</v>
      </c>
      <c r="AW2180" s="1">
        <v>0</v>
      </c>
      <c r="AX2180" s="1">
        <v>0</v>
      </c>
      <c r="AY2180" s="1">
        <v>0</v>
      </c>
      <c r="AZ2180" s="1">
        <v>0</v>
      </c>
      <c r="BA2180" s="1">
        <v>0</v>
      </c>
      <c r="BB2180" s="1">
        <v>0</v>
      </c>
      <c r="BC2180" s="1">
        <v>0</v>
      </c>
      <c r="BD2180" s="1">
        <v>0</v>
      </c>
      <c r="BE2180" s="1">
        <v>0</v>
      </c>
      <c r="BF2180" s="1">
        <v>0</v>
      </c>
      <c r="BG2180" s="1">
        <v>0</v>
      </c>
      <c r="BH2180" s="1">
        <v>0</v>
      </c>
      <c r="BI2180" s="1">
        <v>0</v>
      </c>
      <c r="BJ2180" s="1">
        <v>0</v>
      </c>
      <c r="BK2180" s="1">
        <v>0</v>
      </c>
      <c r="BL2180" s="1">
        <v>0</v>
      </c>
      <c r="BM2180" s="1">
        <v>0</v>
      </c>
      <c r="BN2180" s="1">
        <v>0</v>
      </c>
      <c r="BO2180" s="1">
        <v>0</v>
      </c>
      <c r="BP2180" s="1">
        <v>0</v>
      </c>
      <c r="BQ2180" s="1" t="s">
        <v>104</v>
      </c>
      <c r="BR2180" s="1">
        <v>2296</v>
      </c>
      <c r="BS2180" s="1" t="s">
        <v>104</v>
      </c>
      <c r="BX2180" s="1">
        <v>0</v>
      </c>
      <c r="BY2180" s="1" t="s">
        <v>104</v>
      </c>
      <c r="BZ2180" s="1" t="s">
        <v>104</v>
      </c>
      <c r="CA2180" s="1" t="s">
        <v>104</v>
      </c>
      <c r="CB2180" s="1" t="s">
        <v>104</v>
      </c>
      <c r="CC2180" s="1" t="s">
        <v>104</v>
      </c>
      <c r="CD2180" s="1" t="s">
        <v>104</v>
      </c>
      <c r="CE2180" s="1" t="s">
        <v>104</v>
      </c>
      <c r="CF2180" s="1" t="s">
        <v>104</v>
      </c>
      <c r="CG2180" s="1" t="s">
        <v>104</v>
      </c>
      <c r="CH2180" s="1" t="s">
        <v>104</v>
      </c>
      <c r="CJ2180" s="1">
        <v>0</v>
      </c>
      <c r="CK2180" s="1">
        <v>0</v>
      </c>
      <c r="CL2180" s="1">
        <v>0</v>
      </c>
      <c r="CM2180" s="1">
        <v>1</v>
      </c>
    </row>
    <row r="2181" spans="1:91" ht="14.25" customHeight="1" x14ac:dyDescent="0.3">
      <c r="A2181" s="1" t="s">
        <v>11371</v>
      </c>
      <c r="B2181" s="1" t="s">
        <v>123</v>
      </c>
      <c r="C2181" s="1" t="s">
        <v>124</v>
      </c>
      <c r="D2181" s="1" t="s">
        <v>125</v>
      </c>
      <c r="E2181" s="1" t="s">
        <v>11372</v>
      </c>
      <c r="F2181" s="1" t="s">
        <v>95</v>
      </c>
      <c r="G2181" s="1" t="s">
        <v>116</v>
      </c>
      <c r="H2181" s="1">
        <v>0</v>
      </c>
      <c r="I2181" s="1" t="s">
        <v>157</v>
      </c>
      <c r="L2181" s="1" t="s">
        <v>158</v>
      </c>
      <c r="M2181" s="1" t="s">
        <v>2330</v>
      </c>
      <c r="N2181" s="1">
        <v>0</v>
      </c>
      <c r="O2181" s="1">
        <v>0</v>
      </c>
      <c r="R2181" s="1" t="s">
        <v>11373</v>
      </c>
      <c r="S2181" s="1" t="s">
        <v>11310</v>
      </c>
      <c r="T2181" s="1">
        <v>1</v>
      </c>
      <c r="U2181" s="1">
        <v>1</v>
      </c>
      <c r="V2181" s="1">
        <v>0</v>
      </c>
      <c r="W2181" s="1">
        <v>0</v>
      </c>
      <c r="X2181" s="1">
        <v>0</v>
      </c>
      <c r="Y2181" s="1" t="s">
        <v>104</v>
      </c>
      <c r="Z2181" s="1" t="s">
        <v>104</v>
      </c>
      <c r="AA2181" s="1" t="s">
        <v>104</v>
      </c>
      <c r="AB2181" s="1" t="s">
        <v>104</v>
      </c>
      <c r="AC2181" s="1" t="s">
        <v>104</v>
      </c>
      <c r="AD2181" s="1">
        <v>3</v>
      </c>
      <c r="AE2181" s="1" t="s">
        <v>104</v>
      </c>
      <c r="AF2181" s="1" t="s">
        <v>104</v>
      </c>
      <c r="AG2181" s="1" t="s">
        <v>104</v>
      </c>
      <c r="AH2181" s="1" t="s">
        <v>104</v>
      </c>
      <c r="AI2181" s="1" t="s">
        <v>104</v>
      </c>
      <c r="AJ2181" s="1" t="s">
        <v>104</v>
      </c>
      <c r="AK2181" s="1" t="s">
        <v>104</v>
      </c>
      <c r="AL2181" s="1" t="s">
        <v>104</v>
      </c>
      <c r="AM2181" s="1" t="s">
        <v>104</v>
      </c>
      <c r="AO2181" s="1">
        <v>3</v>
      </c>
      <c r="AR2181" s="1">
        <v>0</v>
      </c>
      <c r="AS2181" s="1">
        <v>0</v>
      </c>
      <c r="AT2181" s="1">
        <v>0</v>
      </c>
      <c r="AU2181" s="1">
        <v>0</v>
      </c>
      <c r="AV2181" s="1">
        <v>0</v>
      </c>
      <c r="AW2181" s="1">
        <v>0</v>
      </c>
      <c r="AX2181" s="1">
        <v>0</v>
      </c>
      <c r="AY2181" s="1">
        <v>0</v>
      </c>
      <c r="AZ2181" s="1">
        <v>0</v>
      </c>
      <c r="BA2181" s="1">
        <v>0</v>
      </c>
      <c r="BB2181" s="1">
        <v>0</v>
      </c>
      <c r="BC2181" s="1">
        <v>0</v>
      </c>
      <c r="BD2181" s="1">
        <v>0</v>
      </c>
      <c r="BE2181" s="1">
        <v>0</v>
      </c>
      <c r="BF2181" s="1">
        <v>0</v>
      </c>
      <c r="BG2181" s="1">
        <v>0</v>
      </c>
      <c r="BH2181" s="1">
        <v>0</v>
      </c>
      <c r="BI2181" s="1">
        <v>0</v>
      </c>
      <c r="BJ2181" s="1">
        <v>0</v>
      </c>
      <c r="BK2181" s="1">
        <v>1</v>
      </c>
      <c r="BL2181" s="1">
        <v>0</v>
      </c>
      <c r="BM2181" s="1">
        <v>0</v>
      </c>
      <c r="BN2181" s="1">
        <v>0</v>
      </c>
      <c r="BO2181" s="1">
        <v>0</v>
      </c>
      <c r="BP2181" s="1">
        <v>0</v>
      </c>
      <c r="BQ2181" s="1" t="s">
        <v>104</v>
      </c>
      <c r="BR2181" s="1">
        <v>2297</v>
      </c>
      <c r="BS2181" s="1" t="s">
        <v>104</v>
      </c>
      <c r="BX2181" s="1">
        <v>0</v>
      </c>
      <c r="BY2181" s="1" t="s">
        <v>104</v>
      </c>
      <c r="BZ2181" s="1" t="s">
        <v>104</v>
      </c>
      <c r="CA2181" s="1">
        <v>4</v>
      </c>
      <c r="CB2181" s="1" t="s">
        <v>104</v>
      </c>
      <c r="CC2181" s="1">
        <v>3</v>
      </c>
      <c r="CD2181" s="1" t="s">
        <v>104</v>
      </c>
      <c r="CE2181" s="1" t="s">
        <v>104</v>
      </c>
      <c r="CF2181" s="1" t="s">
        <v>104</v>
      </c>
      <c r="CG2181" s="1" t="s">
        <v>104</v>
      </c>
      <c r="CH2181" s="1" t="s">
        <v>104</v>
      </c>
      <c r="CJ2181" s="1">
        <v>0</v>
      </c>
      <c r="CK2181" s="1">
        <v>0</v>
      </c>
      <c r="CL2181" s="1">
        <v>0</v>
      </c>
      <c r="CM2181" s="1" t="s">
        <v>104</v>
      </c>
    </row>
    <row r="2182" spans="1:91" ht="14.25" customHeight="1" x14ac:dyDescent="0.3">
      <c r="A2182" s="1" t="s">
        <v>11374</v>
      </c>
      <c r="B2182" s="1" t="s">
        <v>172</v>
      </c>
      <c r="E2182" s="1" t="s">
        <v>11375</v>
      </c>
      <c r="F2182" s="1" t="s">
        <v>255</v>
      </c>
      <c r="G2182" s="1" t="s">
        <v>127</v>
      </c>
      <c r="H2182" s="1">
        <v>0</v>
      </c>
      <c r="I2182" s="1" t="s">
        <v>117</v>
      </c>
      <c r="L2182" s="1" t="s">
        <v>1065</v>
      </c>
      <c r="M2182" s="1" t="s">
        <v>119</v>
      </c>
      <c r="N2182" s="1">
        <v>0</v>
      </c>
      <c r="O2182" s="1">
        <v>0</v>
      </c>
      <c r="P2182" s="1" t="s">
        <v>211</v>
      </c>
      <c r="Q2182" s="1" t="s">
        <v>184</v>
      </c>
      <c r="R2182" s="1" t="s">
        <v>11376</v>
      </c>
      <c r="S2182" s="1" t="s">
        <v>11310</v>
      </c>
      <c r="T2182" s="1">
        <v>1</v>
      </c>
      <c r="U2182" s="1">
        <v>1</v>
      </c>
      <c r="V2182" s="1">
        <v>0</v>
      </c>
      <c r="W2182" s="1">
        <v>0</v>
      </c>
      <c r="X2182" s="1">
        <v>1</v>
      </c>
      <c r="Y2182" s="1">
        <v>4</v>
      </c>
      <c r="Z2182" s="1">
        <v>4</v>
      </c>
      <c r="AA2182" s="1">
        <v>4</v>
      </c>
      <c r="AB2182" s="1" t="s">
        <v>104</v>
      </c>
      <c r="AC2182" s="1" t="s">
        <v>104</v>
      </c>
      <c r="AD2182" s="1">
        <v>3</v>
      </c>
      <c r="AE2182" s="1" t="s">
        <v>104</v>
      </c>
      <c r="AF2182" s="1" t="s">
        <v>104</v>
      </c>
      <c r="AG2182" s="1" t="s">
        <v>104</v>
      </c>
      <c r="AH2182" s="1" t="s">
        <v>104</v>
      </c>
      <c r="AI2182" s="1">
        <v>4</v>
      </c>
      <c r="AJ2182" s="1">
        <v>4</v>
      </c>
      <c r="AK2182" s="1" t="s">
        <v>104</v>
      </c>
      <c r="AL2182" s="1" t="s">
        <v>104</v>
      </c>
      <c r="AM2182" s="1" t="s">
        <v>104</v>
      </c>
      <c r="AO2182" s="1">
        <v>4</v>
      </c>
      <c r="AR2182" s="1">
        <v>0</v>
      </c>
      <c r="AS2182" s="1">
        <v>0</v>
      </c>
      <c r="AT2182" s="1">
        <v>0</v>
      </c>
      <c r="AU2182" s="1">
        <v>0</v>
      </c>
      <c r="AV2182" s="1">
        <v>0</v>
      </c>
      <c r="AW2182" s="1">
        <v>0</v>
      </c>
      <c r="AX2182" s="1">
        <v>0</v>
      </c>
      <c r="AY2182" s="1">
        <v>0</v>
      </c>
      <c r="AZ2182" s="1">
        <v>0</v>
      </c>
      <c r="BA2182" s="1">
        <v>0</v>
      </c>
      <c r="BB2182" s="1">
        <v>0</v>
      </c>
      <c r="BC2182" s="1">
        <v>0</v>
      </c>
      <c r="BD2182" s="1">
        <v>0</v>
      </c>
      <c r="BE2182" s="1">
        <v>0</v>
      </c>
      <c r="BF2182" s="1">
        <v>0</v>
      </c>
      <c r="BG2182" s="1">
        <v>0</v>
      </c>
      <c r="BH2182" s="1">
        <v>0</v>
      </c>
      <c r="BI2182" s="1">
        <v>0</v>
      </c>
      <c r="BJ2182" s="1">
        <v>0</v>
      </c>
      <c r="BK2182" s="1">
        <v>0</v>
      </c>
      <c r="BL2182" s="1">
        <v>0</v>
      </c>
      <c r="BM2182" s="1">
        <v>0</v>
      </c>
      <c r="BN2182" s="1">
        <v>0</v>
      </c>
      <c r="BO2182" s="1">
        <v>0</v>
      </c>
      <c r="BP2182" s="1">
        <v>0</v>
      </c>
      <c r="BQ2182" s="1" t="s">
        <v>104</v>
      </c>
      <c r="BR2182" s="1">
        <v>2298</v>
      </c>
      <c r="BS2182" s="1" t="s">
        <v>104</v>
      </c>
      <c r="BX2182" s="1">
        <v>0</v>
      </c>
      <c r="BY2182" s="1" t="s">
        <v>104</v>
      </c>
      <c r="BZ2182" s="1" t="s">
        <v>104</v>
      </c>
      <c r="CA2182" s="1" t="s">
        <v>104</v>
      </c>
      <c r="CB2182" s="1">
        <v>2</v>
      </c>
      <c r="CC2182" s="1">
        <v>3</v>
      </c>
      <c r="CD2182" s="1">
        <v>3</v>
      </c>
      <c r="CE2182" s="1" t="s">
        <v>104</v>
      </c>
      <c r="CF2182" s="1" t="s">
        <v>104</v>
      </c>
      <c r="CG2182" s="1" t="s">
        <v>104</v>
      </c>
      <c r="CH2182" s="1" t="s">
        <v>104</v>
      </c>
      <c r="CJ2182" s="1">
        <v>0</v>
      </c>
      <c r="CK2182" s="1">
        <v>0</v>
      </c>
      <c r="CL2182" s="1">
        <v>0</v>
      </c>
      <c r="CM2182" s="1" t="s">
        <v>104</v>
      </c>
    </row>
    <row r="2183" spans="1:91" ht="14.25" customHeight="1" x14ac:dyDescent="0.3">
      <c r="A2183" s="1" t="s">
        <v>11377</v>
      </c>
      <c r="B2183" s="1" t="s">
        <v>507</v>
      </c>
      <c r="C2183" s="1" t="s">
        <v>508</v>
      </c>
      <c r="E2183" s="1" t="s">
        <v>11378</v>
      </c>
      <c r="F2183" s="1" t="s">
        <v>95</v>
      </c>
      <c r="G2183" s="1" t="s">
        <v>127</v>
      </c>
      <c r="H2183" s="1">
        <v>0</v>
      </c>
      <c r="I2183" s="1" t="s">
        <v>109</v>
      </c>
      <c r="L2183" s="1" t="s">
        <v>11379</v>
      </c>
      <c r="M2183" s="1" t="s">
        <v>4641</v>
      </c>
      <c r="N2183" s="1">
        <v>1</v>
      </c>
      <c r="O2183" s="1">
        <v>0</v>
      </c>
      <c r="P2183" s="1" t="s">
        <v>211</v>
      </c>
      <c r="Q2183" s="1" t="s">
        <v>184</v>
      </c>
      <c r="R2183" s="1" t="s">
        <v>11380</v>
      </c>
      <c r="S2183" s="1" t="s">
        <v>11310</v>
      </c>
      <c r="T2183" s="1">
        <v>1</v>
      </c>
      <c r="U2183" s="1">
        <v>1</v>
      </c>
      <c r="V2183" s="1">
        <v>0</v>
      </c>
      <c r="W2183" s="1">
        <v>0</v>
      </c>
      <c r="X2183" s="1">
        <v>1</v>
      </c>
      <c r="Y2183" s="1" t="s">
        <v>104</v>
      </c>
      <c r="Z2183" s="1" t="s">
        <v>104</v>
      </c>
      <c r="AA2183" s="1">
        <v>5</v>
      </c>
      <c r="AB2183" s="1" t="s">
        <v>104</v>
      </c>
      <c r="AC2183" s="1" t="s">
        <v>104</v>
      </c>
      <c r="AD2183" s="1">
        <v>3</v>
      </c>
      <c r="AE2183" s="1" t="s">
        <v>104</v>
      </c>
      <c r="AF2183" s="1" t="s">
        <v>104</v>
      </c>
      <c r="AG2183" s="1" t="s">
        <v>104</v>
      </c>
      <c r="AH2183" s="1" t="s">
        <v>104</v>
      </c>
      <c r="AI2183" s="1">
        <v>3</v>
      </c>
      <c r="AJ2183" s="1">
        <v>5</v>
      </c>
      <c r="AK2183" s="1" t="s">
        <v>104</v>
      </c>
      <c r="AL2183" s="1" t="s">
        <v>104</v>
      </c>
      <c r="AM2183" s="1" t="s">
        <v>104</v>
      </c>
      <c r="AO2183" s="1">
        <v>5</v>
      </c>
      <c r="AR2183" s="1">
        <v>0</v>
      </c>
      <c r="AS2183" s="1">
        <v>0</v>
      </c>
      <c r="AT2183" s="1">
        <v>0</v>
      </c>
      <c r="AU2183" s="1">
        <v>0</v>
      </c>
      <c r="AV2183" s="1">
        <v>0</v>
      </c>
      <c r="AW2183" s="1">
        <v>0</v>
      </c>
      <c r="AX2183" s="1">
        <v>0</v>
      </c>
      <c r="AY2183" s="1">
        <v>0</v>
      </c>
      <c r="AZ2183" s="1">
        <v>0</v>
      </c>
      <c r="BA2183" s="1">
        <v>0</v>
      </c>
      <c r="BB2183" s="1">
        <v>0</v>
      </c>
      <c r="BC2183" s="1">
        <v>0</v>
      </c>
      <c r="BD2183" s="1">
        <v>0</v>
      </c>
      <c r="BE2183" s="1">
        <v>0</v>
      </c>
      <c r="BF2183" s="1">
        <v>0</v>
      </c>
      <c r="BG2183" s="1">
        <v>0</v>
      </c>
      <c r="BH2183" s="1">
        <v>0</v>
      </c>
      <c r="BI2183" s="1">
        <v>0</v>
      </c>
      <c r="BJ2183" s="1">
        <v>0</v>
      </c>
      <c r="BK2183" s="1">
        <v>0</v>
      </c>
      <c r="BL2183" s="1">
        <v>0</v>
      </c>
      <c r="BM2183" s="1">
        <v>0</v>
      </c>
      <c r="BN2183" s="1">
        <v>0</v>
      </c>
      <c r="BO2183" s="1">
        <v>0</v>
      </c>
      <c r="BP2183" s="1">
        <v>0</v>
      </c>
      <c r="BQ2183" s="1" t="s">
        <v>104</v>
      </c>
      <c r="BR2183" s="1">
        <v>2299</v>
      </c>
      <c r="BS2183" s="1" t="s">
        <v>104</v>
      </c>
      <c r="BX2183" s="1">
        <v>0</v>
      </c>
      <c r="BY2183" s="1" t="s">
        <v>104</v>
      </c>
      <c r="BZ2183" s="1" t="s">
        <v>104</v>
      </c>
      <c r="CA2183" s="1" t="s">
        <v>104</v>
      </c>
      <c r="CB2183" s="1" t="s">
        <v>104</v>
      </c>
      <c r="CC2183" s="1" t="s">
        <v>104</v>
      </c>
      <c r="CD2183" s="1" t="s">
        <v>104</v>
      </c>
      <c r="CE2183" s="1" t="s">
        <v>104</v>
      </c>
      <c r="CF2183" s="1" t="s">
        <v>104</v>
      </c>
      <c r="CG2183" s="1" t="s">
        <v>104</v>
      </c>
      <c r="CH2183" s="1" t="s">
        <v>104</v>
      </c>
      <c r="CJ2183" s="1">
        <v>0</v>
      </c>
      <c r="CK2183" s="1">
        <v>0</v>
      </c>
      <c r="CL2183" s="1">
        <v>0</v>
      </c>
      <c r="CM2183" s="1" t="s">
        <v>104</v>
      </c>
    </row>
    <row r="2184" spans="1:91" ht="14.25" customHeight="1" x14ac:dyDescent="0.3">
      <c r="A2184" s="1" t="s">
        <v>11381</v>
      </c>
      <c r="B2184" s="1" t="s">
        <v>123</v>
      </c>
      <c r="C2184" s="1" t="s">
        <v>124</v>
      </c>
      <c r="D2184" s="1" t="s">
        <v>11382</v>
      </c>
      <c r="E2184" s="1" t="s">
        <v>11383</v>
      </c>
      <c r="F2184" s="1" t="s">
        <v>95</v>
      </c>
      <c r="G2184" s="1" t="s">
        <v>116</v>
      </c>
      <c r="H2184" s="1">
        <v>0</v>
      </c>
      <c r="I2184" s="1" t="s">
        <v>117</v>
      </c>
      <c r="L2184" s="1" t="s">
        <v>11384</v>
      </c>
      <c r="M2184" s="1" t="s">
        <v>111</v>
      </c>
      <c r="N2184" s="1">
        <v>0</v>
      </c>
      <c r="O2184" s="1">
        <v>0</v>
      </c>
      <c r="P2184" s="1" t="s">
        <v>5901</v>
      </c>
      <c r="Q2184" s="1" t="s">
        <v>184</v>
      </c>
      <c r="R2184" s="1" t="s">
        <v>11385</v>
      </c>
      <c r="S2184" s="1" t="s">
        <v>11310</v>
      </c>
      <c r="T2184" s="1">
        <v>1</v>
      </c>
      <c r="U2184" s="1">
        <v>1</v>
      </c>
      <c r="V2184" s="1">
        <v>0</v>
      </c>
      <c r="W2184" s="1">
        <v>0</v>
      </c>
      <c r="X2184" s="1">
        <v>0</v>
      </c>
      <c r="Y2184" s="1" t="s">
        <v>104</v>
      </c>
      <c r="Z2184" s="1" t="s">
        <v>104</v>
      </c>
      <c r="AA2184" s="1" t="s">
        <v>104</v>
      </c>
      <c r="AB2184" s="1" t="s">
        <v>104</v>
      </c>
      <c r="AC2184" s="1" t="s">
        <v>104</v>
      </c>
      <c r="AD2184" s="1">
        <v>4</v>
      </c>
      <c r="AE2184" s="1" t="s">
        <v>104</v>
      </c>
      <c r="AF2184" s="1" t="s">
        <v>104</v>
      </c>
      <c r="AG2184" s="1" t="s">
        <v>104</v>
      </c>
      <c r="AH2184" s="1" t="s">
        <v>104</v>
      </c>
      <c r="AI2184" s="1" t="s">
        <v>104</v>
      </c>
      <c r="AJ2184" s="1" t="s">
        <v>104</v>
      </c>
      <c r="AK2184" s="1">
        <v>4</v>
      </c>
      <c r="AL2184" s="1" t="s">
        <v>104</v>
      </c>
      <c r="AM2184" s="1" t="s">
        <v>104</v>
      </c>
      <c r="AO2184" s="1">
        <v>4</v>
      </c>
      <c r="AR2184" s="1">
        <v>0</v>
      </c>
      <c r="AS2184" s="1">
        <v>0</v>
      </c>
      <c r="AT2184" s="1">
        <v>0</v>
      </c>
      <c r="AU2184" s="1">
        <v>0</v>
      </c>
      <c r="AV2184" s="1">
        <v>0</v>
      </c>
      <c r="AW2184" s="1">
        <v>1</v>
      </c>
      <c r="AX2184" s="1">
        <v>0</v>
      </c>
      <c r="AY2184" s="1">
        <v>0</v>
      </c>
      <c r="AZ2184" s="1">
        <v>0</v>
      </c>
      <c r="BA2184" s="1">
        <v>0</v>
      </c>
      <c r="BB2184" s="1">
        <v>1</v>
      </c>
      <c r="BC2184" s="1">
        <v>1</v>
      </c>
      <c r="BD2184" s="1">
        <v>0</v>
      </c>
      <c r="BE2184" s="1">
        <v>0</v>
      </c>
      <c r="BF2184" s="1">
        <v>0</v>
      </c>
      <c r="BG2184" s="1">
        <v>0</v>
      </c>
      <c r="BH2184" s="1">
        <v>0</v>
      </c>
      <c r="BI2184" s="1">
        <v>0</v>
      </c>
      <c r="BJ2184" s="1">
        <v>0</v>
      </c>
      <c r="BK2184" s="1">
        <v>1</v>
      </c>
      <c r="BL2184" s="1">
        <v>0</v>
      </c>
      <c r="BM2184" s="1">
        <v>0</v>
      </c>
      <c r="BN2184" s="1">
        <v>0</v>
      </c>
      <c r="BO2184" s="1">
        <v>0</v>
      </c>
      <c r="BP2184" s="1">
        <v>0</v>
      </c>
      <c r="BQ2184" s="1" t="s">
        <v>104</v>
      </c>
      <c r="BR2184" s="1">
        <v>2300</v>
      </c>
      <c r="BS2184" s="1" t="s">
        <v>104</v>
      </c>
      <c r="BX2184" s="1">
        <v>0</v>
      </c>
      <c r="BY2184" s="1" t="s">
        <v>104</v>
      </c>
      <c r="BZ2184" s="1" t="s">
        <v>104</v>
      </c>
      <c r="CA2184" s="1">
        <v>6</v>
      </c>
      <c r="CB2184" s="1" t="s">
        <v>104</v>
      </c>
      <c r="CC2184" s="1">
        <v>4</v>
      </c>
      <c r="CD2184" s="1" t="s">
        <v>104</v>
      </c>
      <c r="CE2184" s="1">
        <v>4</v>
      </c>
      <c r="CF2184" s="1" t="s">
        <v>104</v>
      </c>
      <c r="CG2184" s="1" t="s">
        <v>104</v>
      </c>
      <c r="CH2184" s="1" t="s">
        <v>104</v>
      </c>
      <c r="CJ2184" s="1">
        <v>0</v>
      </c>
      <c r="CK2184" s="1">
        <v>0</v>
      </c>
      <c r="CL2184" s="1">
        <v>0</v>
      </c>
      <c r="CM2184" s="1" t="s">
        <v>104</v>
      </c>
    </row>
    <row r="2185" spans="1:91" ht="14.25" customHeight="1" x14ac:dyDescent="0.3">
      <c r="A2185" s="1" t="s">
        <v>11386</v>
      </c>
      <c r="B2185" s="1" t="s">
        <v>434</v>
      </c>
      <c r="D2185" s="1" t="s">
        <v>51</v>
      </c>
      <c r="E2185" s="1" t="s">
        <v>11387</v>
      </c>
      <c r="F2185" s="1" t="s">
        <v>255</v>
      </c>
      <c r="G2185" s="1" t="s">
        <v>116</v>
      </c>
      <c r="H2185" s="1">
        <v>0</v>
      </c>
      <c r="I2185" s="1" t="s">
        <v>97</v>
      </c>
      <c r="J2185" s="1" t="s">
        <v>11388</v>
      </c>
      <c r="M2185" s="1" t="s">
        <v>119</v>
      </c>
      <c r="N2185" s="1">
        <v>0</v>
      </c>
      <c r="O2185" s="1">
        <v>0</v>
      </c>
      <c r="P2185" s="1" t="s">
        <v>5842</v>
      </c>
      <c r="Q2185" s="1" t="s">
        <v>131</v>
      </c>
      <c r="R2185" s="1" t="s">
        <v>11389</v>
      </c>
      <c r="S2185" s="1" t="s">
        <v>11310</v>
      </c>
      <c r="T2185" s="1">
        <v>1</v>
      </c>
      <c r="U2185" s="1">
        <v>1</v>
      </c>
      <c r="V2185" s="1">
        <v>0</v>
      </c>
      <c r="W2185" s="1">
        <v>0</v>
      </c>
      <c r="X2185" s="1">
        <v>0</v>
      </c>
      <c r="Y2185" s="1" t="s">
        <v>104</v>
      </c>
      <c r="Z2185" s="1" t="s">
        <v>104</v>
      </c>
      <c r="AA2185" s="1" t="s">
        <v>104</v>
      </c>
      <c r="AB2185" s="1">
        <v>5</v>
      </c>
      <c r="AC2185" s="1">
        <v>4</v>
      </c>
      <c r="AD2185" s="1" t="s">
        <v>104</v>
      </c>
      <c r="AE2185" s="1" t="s">
        <v>104</v>
      </c>
      <c r="AF2185" s="1" t="s">
        <v>104</v>
      </c>
      <c r="AG2185" s="1" t="s">
        <v>104</v>
      </c>
      <c r="AH2185" s="1" t="s">
        <v>104</v>
      </c>
      <c r="AI2185" s="1" t="s">
        <v>104</v>
      </c>
      <c r="AJ2185" s="1" t="s">
        <v>104</v>
      </c>
      <c r="AK2185" s="1" t="s">
        <v>104</v>
      </c>
      <c r="AL2185" s="1" t="s">
        <v>104</v>
      </c>
      <c r="AM2185" s="1" t="s">
        <v>104</v>
      </c>
      <c r="AO2185" s="1">
        <v>5</v>
      </c>
      <c r="AR2185" s="1">
        <v>0</v>
      </c>
      <c r="AS2185" s="1">
        <v>0</v>
      </c>
      <c r="AT2185" s="1">
        <v>0</v>
      </c>
      <c r="AU2185" s="1">
        <v>0</v>
      </c>
      <c r="AV2185" s="1">
        <v>0</v>
      </c>
      <c r="AW2185" s="1">
        <v>0</v>
      </c>
      <c r="AX2185" s="1">
        <v>0</v>
      </c>
      <c r="AY2185" s="1">
        <v>0</v>
      </c>
      <c r="AZ2185" s="1">
        <v>1</v>
      </c>
      <c r="BA2185" s="1">
        <v>0</v>
      </c>
      <c r="BB2185" s="1">
        <v>0</v>
      </c>
      <c r="BC2185" s="1">
        <v>0</v>
      </c>
      <c r="BD2185" s="1">
        <v>0</v>
      </c>
      <c r="BE2185" s="1">
        <v>0</v>
      </c>
      <c r="BF2185" s="1">
        <v>0</v>
      </c>
      <c r="BG2185" s="1">
        <v>0</v>
      </c>
      <c r="BH2185" s="1">
        <v>0</v>
      </c>
      <c r="BI2185" s="1">
        <v>0</v>
      </c>
      <c r="BJ2185" s="1">
        <v>0</v>
      </c>
      <c r="BK2185" s="1">
        <v>0</v>
      </c>
      <c r="BL2185" s="1">
        <v>0</v>
      </c>
      <c r="BM2185" s="1">
        <v>0</v>
      </c>
      <c r="BN2185" s="1">
        <v>0</v>
      </c>
      <c r="BO2185" s="1">
        <v>0</v>
      </c>
      <c r="BP2185" s="1">
        <v>0</v>
      </c>
      <c r="BQ2185" s="1" t="s">
        <v>104</v>
      </c>
      <c r="BR2185" s="1">
        <v>2301</v>
      </c>
      <c r="BS2185" s="1" t="s">
        <v>104</v>
      </c>
      <c r="BX2185" s="1">
        <v>0</v>
      </c>
      <c r="BY2185" s="1" t="s">
        <v>104</v>
      </c>
      <c r="BZ2185" s="1">
        <v>5</v>
      </c>
      <c r="CA2185" s="1" t="s">
        <v>104</v>
      </c>
      <c r="CB2185" s="1" t="s">
        <v>104</v>
      </c>
      <c r="CC2185" s="1" t="s">
        <v>104</v>
      </c>
      <c r="CD2185" s="1" t="s">
        <v>104</v>
      </c>
      <c r="CE2185" s="1" t="s">
        <v>104</v>
      </c>
      <c r="CF2185" s="1" t="s">
        <v>104</v>
      </c>
      <c r="CG2185" s="1" t="s">
        <v>104</v>
      </c>
      <c r="CH2185" s="1">
        <v>4</v>
      </c>
      <c r="CJ2185" s="1">
        <v>0</v>
      </c>
      <c r="CK2185" s="1">
        <v>0</v>
      </c>
      <c r="CL2185" s="1">
        <v>0</v>
      </c>
      <c r="CM2185" s="1" t="s">
        <v>104</v>
      </c>
    </row>
    <row r="2186" spans="1:91" ht="14.25" customHeight="1" x14ac:dyDescent="0.3">
      <c r="A2186" s="1" t="s">
        <v>11390</v>
      </c>
      <c r="B2186" s="1" t="s">
        <v>92</v>
      </c>
      <c r="C2186" s="1" t="s">
        <v>903</v>
      </c>
      <c r="D2186" s="1" t="s">
        <v>145</v>
      </c>
      <c r="E2186" s="1" t="s">
        <v>3091</v>
      </c>
      <c r="F2186" s="1" t="s">
        <v>95</v>
      </c>
      <c r="G2186" s="1" t="s">
        <v>11391</v>
      </c>
      <c r="H2186" s="1">
        <v>0</v>
      </c>
      <c r="I2186" s="1" t="s">
        <v>117</v>
      </c>
      <c r="K2186" s="1" t="s">
        <v>11392</v>
      </c>
      <c r="M2186" s="1" t="s">
        <v>426</v>
      </c>
      <c r="N2186" s="1">
        <v>1</v>
      </c>
      <c r="O2186" s="1">
        <v>0</v>
      </c>
      <c r="P2186" s="1" t="s">
        <v>100</v>
      </c>
      <c r="Q2186" s="1" t="s">
        <v>101</v>
      </c>
      <c r="R2186" s="1" t="s">
        <v>11393</v>
      </c>
      <c r="S2186" s="1" t="s">
        <v>11310</v>
      </c>
      <c r="T2186" s="1">
        <v>1</v>
      </c>
      <c r="U2186" s="1">
        <v>1</v>
      </c>
      <c r="V2186" s="1">
        <v>0</v>
      </c>
      <c r="W2186" s="1">
        <v>0</v>
      </c>
      <c r="X2186" s="1">
        <v>1</v>
      </c>
      <c r="Y2186" s="1" t="s">
        <v>104</v>
      </c>
      <c r="Z2186" s="1" t="s">
        <v>104</v>
      </c>
      <c r="AA2186" s="1" t="s">
        <v>104</v>
      </c>
      <c r="AB2186" s="1">
        <v>6</v>
      </c>
      <c r="AC2186" s="1" t="s">
        <v>104</v>
      </c>
      <c r="AD2186" s="1" t="s">
        <v>104</v>
      </c>
      <c r="AE2186" s="1" t="s">
        <v>104</v>
      </c>
      <c r="AF2186" s="1" t="s">
        <v>104</v>
      </c>
      <c r="AG2186" s="1" t="s">
        <v>104</v>
      </c>
      <c r="AH2186" s="1" t="s">
        <v>104</v>
      </c>
      <c r="AI2186" s="1" t="s">
        <v>104</v>
      </c>
      <c r="AJ2186" s="1" t="s">
        <v>104</v>
      </c>
      <c r="AK2186" s="1" t="s">
        <v>104</v>
      </c>
      <c r="AL2186" s="1" t="s">
        <v>104</v>
      </c>
      <c r="AM2186" s="1" t="s">
        <v>104</v>
      </c>
      <c r="AO2186" s="1">
        <v>6</v>
      </c>
      <c r="AR2186" s="1">
        <v>0</v>
      </c>
      <c r="AS2186" s="1">
        <v>0</v>
      </c>
      <c r="AT2186" s="1">
        <v>0</v>
      </c>
      <c r="AU2186" s="1">
        <v>0</v>
      </c>
      <c r="AV2186" s="1">
        <v>0</v>
      </c>
      <c r="AW2186" s="1">
        <v>0</v>
      </c>
      <c r="AX2186" s="1">
        <v>0</v>
      </c>
      <c r="AY2186" s="1">
        <v>0</v>
      </c>
      <c r="AZ2186" s="1">
        <v>0</v>
      </c>
      <c r="BA2186" s="1">
        <v>0</v>
      </c>
      <c r="BB2186" s="1">
        <v>0</v>
      </c>
      <c r="BC2186" s="1">
        <v>0</v>
      </c>
      <c r="BD2186" s="1">
        <v>0</v>
      </c>
      <c r="BE2186" s="1">
        <v>0</v>
      </c>
      <c r="BF2186" s="1">
        <v>0</v>
      </c>
      <c r="BG2186" s="1">
        <v>0</v>
      </c>
      <c r="BH2186" s="1">
        <v>0</v>
      </c>
      <c r="BI2186" s="1">
        <v>0</v>
      </c>
      <c r="BJ2186" s="1">
        <v>0</v>
      </c>
      <c r="BK2186" s="1">
        <v>0</v>
      </c>
      <c r="BL2186" s="1">
        <v>0</v>
      </c>
      <c r="BM2186" s="1">
        <v>0</v>
      </c>
      <c r="BN2186" s="1">
        <v>0</v>
      </c>
      <c r="BO2186" s="1">
        <v>0</v>
      </c>
      <c r="BP2186" s="1">
        <v>0</v>
      </c>
      <c r="BQ2186" s="1" t="s">
        <v>104</v>
      </c>
      <c r="BR2186" s="1">
        <v>2302</v>
      </c>
      <c r="BS2186" s="1" t="s">
        <v>104</v>
      </c>
      <c r="BX2186" s="1">
        <v>0</v>
      </c>
      <c r="BY2186" s="1" t="s">
        <v>104</v>
      </c>
      <c r="BZ2186" s="1" t="s">
        <v>104</v>
      </c>
      <c r="CA2186" s="1" t="s">
        <v>104</v>
      </c>
      <c r="CB2186" s="1" t="s">
        <v>104</v>
      </c>
      <c r="CC2186" s="1" t="s">
        <v>104</v>
      </c>
      <c r="CD2186" s="1" t="s">
        <v>104</v>
      </c>
      <c r="CE2186" s="1" t="s">
        <v>104</v>
      </c>
      <c r="CF2186" s="1" t="s">
        <v>104</v>
      </c>
      <c r="CG2186" s="1" t="s">
        <v>104</v>
      </c>
      <c r="CH2186" s="1">
        <v>6</v>
      </c>
      <c r="CJ2186" s="1">
        <v>0</v>
      </c>
      <c r="CK2186" s="1">
        <v>0</v>
      </c>
      <c r="CL2186" s="1">
        <v>0</v>
      </c>
      <c r="CM2186" s="1" t="s">
        <v>104</v>
      </c>
    </row>
    <row r="2187" spans="1:91" ht="14.25" customHeight="1" x14ac:dyDescent="0.3">
      <c r="A2187" s="1" t="s">
        <v>11394</v>
      </c>
      <c r="B2187" s="1" t="s">
        <v>92</v>
      </c>
      <c r="C2187" s="1" t="s">
        <v>903</v>
      </c>
      <c r="D2187" s="1" t="s">
        <v>145</v>
      </c>
      <c r="E2187" s="1" t="s">
        <v>617</v>
      </c>
      <c r="F2187" s="1" t="s">
        <v>95</v>
      </c>
      <c r="G2187" s="1" t="s">
        <v>11391</v>
      </c>
      <c r="H2187" s="1">
        <v>0</v>
      </c>
      <c r="I2187" s="1" t="s">
        <v>117</v>
      </c>
      <c r="K2187" s="1" t="s">
        <v>11392</v>
      </c>
      <c r="M2187" s="1" t="s">
        <v>426</v>
      </c>
      <c r="N2187" s="1">
        <v>1</v>
      </c>
      <c r="O2187" s="1">
        <v>0</v>
      </c>
      <c r="P2187" s="1" t="s">
        <v>100</v>
      </c>
      <c r="Q2187" s="1" t="s">
        <v>101</v>
      </c>
      <c r="R2187" s="1" t="s">
        <v>11395</v>
      </c>
      <c r="S2187" s="1" t="s">
        <v>11310</v>
      </c>
      <c r="T2187" s="1">
        <v>1</v>
      </c>
      <c r="U2187" s="1">
        <v>1</v>
      </c>
      <c r="V2187" s="1">
        <v>0</v>
      </c>
      <c r="W2187" s="1">
        <v>0</v>
      </c>
      <c r="X2187" s="1">
        <v>1</v>
      </c>
      <c r="Y2187" s="1" t="s">
        <v>104</v>
      </c>
      <c r="Z2187" s="1" t="s">
        <v>104</v>
      </c>
      <c r="AA2187" s="1" t="s">
        <v>104</v>
      </c>
      <c r="AB2187" s="1">
        <v>7</v>
      </c>
      <c r="AC2187" s="1" t="s">
        <v>104</v>
      </c>
      <c r="AD2187" s="1" t="s">
        <v>104</v>
      </c>
      <c r="AE2187" s="1" t="s">
        <v>104</v>
      </c>
      <c r="AF2187" s="1" t="s">
        <v>104</v>
      </c>
      <c r="AG2187" s="1" t="s">
        <v>104</v>
      </c>
      <c r="AH2187" s="1" t="s">
        <v>104</v>
      </c>
      <c r="AI2187" s="1" t="s">
        <v>104</v>
      </c>
      <c r="AJ2187" s="1" t="s">
        <v>104</v>
      </c>
      <c r="AK2187" s="1" t="s">
        <v>104</v>
      </c>
      <c r="AL2187" s="1" t="s">
        <v>104</v>
      </c>
      <c r="AM2187" s="1" t="s">
        <v>104</v>
      </c>
      <c r="AO2187" s="1">
        <v>7</v>
      </c>
      <c r="AR2187" s="1">
        <v>0</v>
      </c>
      <c r="AS2187" s="1">
        <v>0</v>
      </c>
      <c r="AT2187" s="1">
        <v>0</v>
      </c>
      <c r="AU2187" s="1">
        <v>0</v>
      </c>
      <c r="AV2187" s="1">
        <v>0</v>
      </c>
      <c r="AW2187" s="1">
        <v>0</v>
      </c>
      <c r="AX2187" s="1">
        <v>0</v>
      </c>
      <c r="AY2187" s="1">
        <v>0</v>
      </c>
      <c r="AZ2187" s="1">
        <v>0</v>
      </c>
      <c r="BA2187" s="1">
        <v>0</v>
      </c>
      <c r="BB2187" s="1">
        <v>0</v>
      </c>
      <c r="BC2187" s="1">
        <v>0</v>
      </c>
      <c r="BD2187" s="1">
        <v>0</v>
      </c>
      <c r="BE2187" s="1">
        <v>0</v>
      </c>
      <c r="BF2187" s="1">
        <v>0</v>
      </c>
      <c r="BG2187" s="1">
        <v>0</v>
      </c>
      <c r="BH2187" s="1">
        <v>0</v>
      </c>
      <c r="BI2187" s="1">
        <v>0</v>
      </c>
      <c r="BJ2187" s="1">
        <v>0</v>
      </c>
      <c r="BK2187" s="1">
        <v>0</v>
      </c>
      <c r="BL2187" s="1">
        <v>0</v>
      </c>
      <c r="BM2187" s="1">
        <v>0</v>
      </c>
      <c r="BN2187" s="1">
        <v>0</v>
      </c>
      <c r="BO2187" s="1">
        <v>0</v>
      </c>
      <c r="BP2187" s="1">
        <v>0</v>
      </c>
      <c r="BQ2187" s="1" t="s">
        <v>104</v>
      </c>
      <c r="BR2187" s="1">
        <v>2303</v>
      </c>
      <c r="BS2187" s="1" t="s">
        <v>104</v>
      </c>
      <c r="BX2187" s="1">
        <v>0</v>
      </c>
      <c r="BY2187" s="1" t="s">
        <v>104</v>
      </c>
      <c r="BZ2187" s="1" t="s">
        <v>104</v>
      </c>
      <c r="CA2187" s="1" t="s">
        <v>104</v>
      </c>
      <c r="CB2187" s="1" t="s">
        <v>104</v>
      </c>
      <c r="CC2187" s="1" t="s">
        <v>104</v>
      </c>
      <c r="CD2187" s="1" t="s">
        <v>104</v>
      </c>
      <c r="CE2187" s="1" t="s">
        <v>104</v>
      </c>
      <c r="CF2187" s="1" t="s">
        <v>104</v>
      </c>
      <c r="CG2187" s="1" t="s">
        <v>104</v>
      </c>
      <c r="CH2187" s="1" t="s">
        <v>104</v>
      </c>
      <c r="CJ2187" s="1">
        <v>0</v>
      </c>
      <c r="CK2187" s="1">
        <v>0</v>
      </c>
      <c r="CL2187" s="1">
        <v>0</v>
      </c>
      <c r="CM2187" s="1" t="s">
        <v>104</v>
      </c>
    </row>
    <row r="2188" spans="1:91" ht="14.25" customHeight="1" x14ac:dyDescent="0.3">
      <c r="A2188" s="1" t="s">
        <v>11396</v>
      </c>
      <c r="B2188" s="1" t="s">
        <v>92</v>
      </c>
      <c r="C2188" s="1" t="s">
        <v>903</v>
      </c>
      <c r="D2188" s="1" t="s">
        <v>145</v>
      </c>
      <c r="E2188" s="1" t="s">
        <v>837</v>
      </c>
      <c r="F2188" s="1" t="s">
        <v>95</v>
      </c>
      <c r="G2188" s="1" t="s">
        <v>11391</v>
      </c>
      <c r="H2188" s="1">
        <v>0</v>
      </c>
      <c r="I2188" s="1" t="s">
        <v>117</v>
      </c>
      <c r="K2188" s="1" t="s">
        <v>11392</v>
      </c>
      <c r="M2188" s="1" t="s">
        <v>426</v>
      </c>
      <c r="N2188" s="1">
        <v>1</v>
      </c>
      <c r="O2188" s="1">
        <v>0</v>
      </c>
      <c r="P2188" s="1" t="s">
        <v>100</v>
      </c>
      <c r="Q2188" s="1" t="s">
        <v>101</v>
      </c>
      <c r="R2188" s="1" t="s">
        <v>11397</v>
      </c>
      <c r="S2188" s="1" t="s">
        <v>11310</v>
      </c>
      <c r="T2188" s="1">
        <v>1</v>
      </c>
      <c r="U2188" s="1">
        <v>1</v>
      </c>
      <c r="V2188" s="1">
        <v>0</v>
      </c>
      <c r="W2188" s="1">
        <v>0</v>
      </c>
      <c r="X2188" s="1">
        <v>1</v>
      </c>
      <c r="Y2188" s="1" t="s">
        <v>104</v>
      </c>
      <c r="Z2188" s="1" t="s">
        <v>104</v>
      </c>
      <c r="AA2188" s="1" t="s">
        <v>104</v>
      </c>
      <c r="AB2188" s="1">
        <v>8</v>
      </c>
      <c r="AC2188" s="1" t="s">
        <v>104</v>
      </c>
      <c r="AD2188" s="1" t="s">
        <v>104</v>
      </c>
      <c r="AE2188" s="1" t="s">
        <v>104</v>
      </c>
      <c r="AF2188" s="1" t="s">
        <v>104</v>
      </c>
      <c r="AG2188" s="1" t="s">
        <v>104</v>
      </c>
      <c r="AH2188" s="1" t="s">
        <v>104</v>
      </c>
      <c r="AI2188" s="1" t="s">
        <v>104</v>
      </c>
      <c r="AJ2188" s="1" t="s">
        <v>104</v>
      </c>
      <c r="AK2188" s="1" t="s">
        <v>104</v>
      </c>
      <c r="AL2188" s="1" t="s">
        <v>104</v>
      </c>
      <c r="AM2188" s="1" t="s">
        <v>104</v>
      </c>
      <c r="AO2188" s="1">
        <v>8</v>
      </c>
      <c r="AR2188" s="1">
        <v>0</v>
      </c>
      <c r="AS2188" s="1">
        <v>0</v>
      </c>
      <c r="AT2188" s="1">
        <v>0</v>
      </c>
      <c r="AU2188" s="1">
        <v>0</v>
      </c>
      <c r="AV2188" s="1">
        <v>0</v>
      </c>
      <c r="AW2188" s="1">
        <v>0</v>
      </c>
      <c r="AX2188" s="1">
        <v>0</v>
      </c>
      <c r="AY2188" s="1">
        <v>0</v>
      </c>
      <c r="AZ2188" s="1">
        <v>0</v>
      </c>
      <c r="BA2188" s="1">
        <v>0</v>
      </c>
      <c r="BB2188" s="1">
        <v>0</v>
      </c>
      <c r="BC2188" s="1">
        <v>0</v>
      </c>
      <c r="BD2188" s="1">
        <v>0</v>
      </c>
      <c r="BE2188" s="1">
        <v>0</v>
      </c>
      <c r="BF2188" s="1">
        <v>0</v>
      </c>
      <c r="BG2188" s="1">
        <v>0</v>
      </c>
      <c r="BH2188" s="1">
        <v>0</v>
      </c>
      <c r="BI2188" s="1">
        <v>0</v>
      </c>
      <c r="BJ2188" s="1">
        <v>0</v>
      </c>
      <c r="BK2188" s="1">
        <v>0</v>
      </c>
      <c r="BL2188" s="1">
        <v>0</v>
      </c>
      <c r="BM2188" s="1">
        <v>0</v>
      </c>
      <c r="BN2188" s="1">
        <v>0</v>
      </c>
      <c r="BO2188" s="1">
        <v>0</v>
      </c>
      <c r="BP2188" s="1">
        <v>0</v>
      </c>
      <c r="BQ2188" s="1" t="s">
        <v>104</v>
      </c>
      <c r="BR2188" s="1">
        <v>2304</v>
      </c>
      <c r="BS2188" s="1" t="s">
        <v>104</v>
      </c>
      <c r="BX2188" s="1">
        <v>0</v>
      </c>
      <c r="BY2188" s="1" t="s">
        <v>104</v>
      </c>
      <c r="BZ2188" s="1" t="s">
        <v>104</v>
      </c>
      <c r="CA2188" s="1" t="s">
        <v>104</v>
      </c>
      <c r="CB2188" s="1" t="s">
        <v>104</v>
      </c>
      <c r="CC2188" s="1" t="s">
        <v>104</v>
      </c>
      <c r="CD2188" s="1" t="s">
        <v>104</v>
      </c>
      <c r="CE2188" s="1" t="s">
        <v>104</v>
      </c>
      <c r="CF2188" s="1" t="s">
        <v>104</v>
      </c>
      <c r="CG2188" s="1" t="s">
        <v>104</v>
      </c>
      <c r="CH2188" s="1" t="s">
        <v>104</v>
      </c>
      <c r="CJ2188" s="1">
        <v>0</v>
      </c>
      <c r="CK2188" s="1">
        <v>0</v>
      </c>
      <c r="CL2188" s="1">
        <v>0</v>
      </c>
      <c r="CM2188" s="1" t="s">
        <v>104</v>
      </c>
    </row>
    <row r="2189" spans="1:91" ht="14.25" customHeight="1" x14ac:dyDescent="0.3">
      <c r="A2189" s="1" t="s">
        <v>11398</v>
      </c>
      <c r="B2189" s="1" t="s">
        <v>92</v>
      </c>
      <c r="E2189" s="1" t="s">
        <v>4063</v>
      </c>
      <c r="F2189" s="1" t="s">
        <v>255</v>
      </c>
      <c r="G2189" s="1" t="s">
        <v>127</v>
      </c>
      <c r="H2189" s="1">
        <v>0</v>
      </c>
      <c r="I2189" s="1" t="s">
        <v>117</v>
      </c>
      <c r="K2189" s="1" t="s">
        <v>11399</v>
      </c>
      <c r="M2189" s="1" t="s">
        <v>426</v>
      </c>
      <c r="N2189" s="1">
        <v>1</v>
      </c>
      <c r="O2189" s="1">
        <v>0</v>
      </c>
      <c r="P2189" s="1" t="s">
        <v>100</v>
      </c>
      <c r="Q2189" s="1" t="s">
        <v>101</v>
      </c>
      <c r="R2189" s="1" t="s">
        <v>11400</v>
      </c>
      <c r="S2189" s="1" t="s">
        <v>11310</v>
      </c>
      <c r="T2189" s="1">
        <v>1</v>
      </c>
      <c r="U2189" s="1">
        <v>1</v>
      </c>
      <c r="V2189" s="1">
        <v>0</v>
      </c>
      <c r="W2189" s="1">
        <v>0</v>
      </c>
      <c r="X2189" s="1">
        <v>1</v>
      </c>
      <c r="Y2189" s="1" t="s">
        <v>104</v>
      </c>
      <c r="Z2189" s="1" t="s">
        <v>104</v>
      </c>
      <c r="AA2189" s="1" t="s">
        <v>104</v>
      </c>
      <c r="AB2189" s="1">
        <v>5</v>
      </c>
      <c r="AC2189" s="1" t="s">
        <v>104</v>
      </c>
      <c r="AD2189" s="1" t="s">
        <v>104</v>
      </c>
      <c r="AE2189" s="1" t="s">
        <v>104</v>
      </c>
      <c r="AF2189" s="1" t="s">
        <v>104</v>
      </c>
      <c r="AG2189" s="1" t="s">
        <v>104</v>
      </c>
      <c r="AH2189" s="1" t="s">
        <v>104</v>
      </c>
      <c r="AI2189" s="1" t="s">
        <v>104</v>
      </c>
      <c r="AJ2189" s="1" t="s">
        <v>104</v>
      </c>
      <c r="AK2189" s="1" t="s">
        <v>104</v>
      </c>
      <c r="AL2189" s="1" t="s">
        <v>104</v>
      </c>
      <c r="AM2189" s="1" t="s">
        <v>104</v>
      </c>
      <c r="AO2189" s="1">
        <v>5</v>
      </c>
      <c r="AR2189" s="1">
        <v>0</v>
      </c>
      <c r="AS2189" s="1">
        <v>0</v>
      </c>
      <c r="AT2189" s="1">
        <v>0</v>
      </c>
      <c r="AU2189" s="1">
        <v>0</v>
      </c>
      <c r="AV2189" s="1">
        <v>0</v>
      </c>
      <c r="AW2189" s="1">
        <v>0</v>
      </c>
      <c r="AX2189" s="1">
        <v>0</v>
      </c>
      <c r="AY2189" s="1">
        <v>0</v>
      </c>
      <c r="AZ2189" s="1">
        <v>0</v>
      </c>
      <c r="BA2189" s="1">
        <v>0</v>
      </c>
      <c r="BB2189" s="1">
        <v>0</v>
      </c>
      <c r="BC2189" s="1">
        <v>0</v>
      </c>
      <c r="BD2189" s="1">
        <v>0</v>
      </c>
      <c r="BE2189" s="1">
        <v>0</v>
      </c>
      <c r="BF2189" s="1">
        <v>0</v>
      </c>
      <c r="BG2189" s="1">
        <v>0</v>
      </c>
      <c r="BH2189" s="1">
        <v>0</v>
      </c>
      <c r="BI2189" s="1">
        <v>0</v>
      </c>
      <c r="BJ2189" s="1">
        <v>0</v>
      </c>
      <c r="BK2189" s="1">
        <v>0</v>
      </c>
      <c r="BL2189" s="1">
        <v>0</v>
      </c>
      <c r="BM2189" s="1">
        <v>0</v>
      </c>
      <c r="BN2189" s="1">
        <v>0</v>
      </c>
      <c r="BO2189" s="1">
        <v>0</v>
      </c>
      <c r="BP2189" s="1">
        <v>0</v>
      </c>
      <c r="BQ2189" s="1" t="s">
        <v>104</v>
      </c>
      <c r="BR2189" s="1">
        <v>2305</v>
      </c>
      <c r="BS2189" s="1" t="s">
        <v>104</v>
      </c>
      <c r="BX2189" s="1">
        <v>0</v>
      </c>
      <c r="BY2189" s="1" t="s">
        <v>104</v>
      </c>
      <c r="BZ2189" s="1">
        <v>5</v>
      </c>
      <c r="CA2189" s="1" t="s">
        <v>104</v>
      </c>
      <c r="CB2189" s="1" t="s">
        <v>104</v>
      </c>
      <c r="CC2189" s="1" t="s">
        <v>104</v>
      </c>
      <c r="CD2189" s="1" t="s">
        <v>104</v>
      </c>
      <c r="CE2189" s="1" t="s">
        <v>104</v>
      </c>
      <c r="CF2189" s="1" t="s">
        <v>104</v>
      </c>
      <c r="CG2189" s="1" t="s">
        <v>104</v>
      </c>
      <c r="CH2189" s="1">
        <v>5</v>
      </c>
      <c r="CJ2189" s="1">
        <v>0</v>
      </c>
      <c r="CK2189" s="1">
        <v>0</v>
      </c>
      <c r="CL2189" s="1">
        <v>0</v>
      </c>
      <c r="CM2189" s="1" t="s">
        <v>104</v>
      </c>
    </row>
    <row r="2190" spans="1:91" ht="14.25" customHeight="1" x14ac:dyDescent="0.3">
      <c r="A2190" s="1" t="s">
        <v>11401</v>
      </c>
      <c r="B2190" s="1" t="s">
        <v>434</v>
      </c>
      <c r="E2190" s="1" t="s">
        <v>11402</v>
      </c>
      <c r="F2190" s="1" t="s">
        <v>95</v>
      </c>
      <c r="G2190" s="1" t="s">
        <v>11403</v>
      </c>
      <c r="H2190" s="1">
        <v>1</v>
      </c>
      <c r="I2190" s="1" t="s">
        <v>157</v>
      </c>
      <c r="L2190" s="1" t="s">
        <v>158</v>
      </c>
      <c r="M2190" s="1" t="s">
        <v>11404</v>
      </c>
      <c r="N2190" s="1">
        <v>1</v>
      </c>
      <c r="O2190" s="1">
        <v>0</v>
      </c>
      <c r="R2190" s="1" t="s">
        <v>11405</v>
      </c>
      <c r="S2190" s="1" t="s">
        <v>11310</v>
      </c>
      <c r="T2190" s="1">
        <v>1</v>
      </c>
      <c r="U2190" s="1">
        <v>1</v>
      </c>
      <c r="V2190" s="1">
        <v>0</v>
      </c>
      <c r="W2190" s="1">
        <v>0</v>
      </c>
      <c r="X2190" s="1">
        <v>0</v>
      </c>
      <c r="Y2190" s="1">
        <v>4</v>
      </c>
      <c r="Z2190" s="1">
        <v>4</v>
      </c>
      <c r="AA2190" s="1" t="s">
        <v>104</v>
      </c>
      <c r="AB2190" s="1" t="s">
        <v>104</v>
      </c>
      <c r="AC2190" s="1" t="s">
        <v>104</v>
      </c>
      <c r="AD2190" s="1" t="s">
        <v>104</v>
      </c>
      <c r="AE2190" s="1" t="s">
        <v>104</v>
      </c>
      <c r="AF2190" s="1" t="s">
        <v>104</v>
      </c>
      <c r="AG2190" s="1" t="s">
        <v>104</v>
      </c>
      <c r="AH2190" s="1" t="s">
        <v>104</v>
      </c>
      <c r="AI2190" s="1" t="s">
        <v>104</v>
      </c>
      <c r="AJ2190" s="1" t="s">
        <v>104</v>
      </c>
      <c r="AK2190" s="1" t="s">
        <v>104</v>
      </c>
      <c r="AL2190" s="1" t="s">
        <v>104</v>
      </c>
      <c r="AM2190" s="1" t="s">
        <v>104</v>
      </c>
      <c r="AO2190" s="1">
        <v>4</v>
      </c>
      <c r="AR2190" s="1">
        <v>0</v>
      </c>
      <c r="AS2190" s="1">
        <v>0</v>
      </c>
      <c r="AT2190" s="1">
        <v>0</v>
      </c>
      <c r="AU2190" s="1">
        <v>0</v>
      </c>
      <c r="AV2190" s="1">
        <v>0</v>
      </c>
      <c r="AW2190" s="1">
        <v>0</v>
      </c>
      <c r="AX2190" s="1">
        <v>0</v>
      </c>
      <c r="AY2190" s="1">
        <v>0</v>
      </c>
      <c r="AZ2190" s="1">
        <v>0</v>
      </c>
      <c r="BA2190" s="1">
        <v>0</v>
      </c>
      <c r="BB2190" s="1">
        <v>0</v>
      </c>
      <c r="BC2190" s="1">
        <v>0</v>
      </c>
      <c r="BD2190" s="1">
        <v>0</v>
      </c>
      <c r="BE2190" s="1">
        <v>0</v>
      </c>
      <c r="BF2190" s="1">
        <v>0</v>
      </c>
      <c r="BG2190" s="1">
        <v>0</v>
      </c>
      <c r="BH2190" s="1">
        <v>0</v>
      </c>
      <c r="BI2190" s="1">
        <v>0</v>
      </c>
      <c r="BJ2190" s="1">
        <v>0</v>
      </c>
      <c r="BK2190" s="1">
        <v>0</v>
      </c>
      <c r="BL2190" s="1">
        <v>0</v>
      </c>
      <c r="BM2190" s="1">
        <v>0</v>
      </c>
      <c r="BN2190" s="1">
        <v>0</v>
      </c>
      <c r="BO2190" s="1">
        <v>0</v>
      </c>
      <c r="BP2190" s="1">
        <v>0</v>
      </c>
      <c r="BQ2190" s="1" t="s">
        <v>104</v>
      </c>
      <c r="BR2190" s="1">
        <v>2306</v>
      </c>
      <c r="BS2190" s="1">
        <v>1000</v>
      </c>
      <c r="BX2190" s="1">
        <v>0</v>
      </c>
      <c r="BY2190" s="1" t="s">
        <v>104</v>
      </c>
      <c r="BZ2190" s="1" t="s">
        <v>104</v>
      </c>
      <c r="CA2190" s="1" t="s">
        <v>104</v>
      </c>
      <c r="CB2190" s="1" t="s">
        <v>104</v>
      </c>
      <c r="CC2190" s="1" t="s">
        <v>104</v>
      </c>
      <c r="CD2190" s="1">
        <v>3</v>
      </c>
      <c r="CE2190" s="1" t="s">
        <v>104</v>
      </c>
      <c r="CF2190" s="1" t="s">
        <v>104</v>
      </c>
      <c r="CG2190" s="1" t="s">
        <v>104</v>
      </c>
      <c r="CH2190" s="1" t="s">
        <v>104</v>
      </c>
      <c r="CJ2190" s="1">
        <v>0</v>
      </c>
      <c r="CK2190" s="1">
        <v>0</v>
      </c>
      <c r="CL2190" s="1">
        <v>0</v>
      </c>
      <c r="CM2190" s="1" t="s">
        <v>104</v>
      </c>
    </row>
    <row r="2191" spans="1:91" ht="14.25" customHeight="1" x14ac:dyDescent="0.3">
      <c r="A2191" s="1" t="s">
        <v>11406</v>
      </c>
      <c r="B2191" s="1" t="s">
        <v>92</v>
      </c>
      <c r="C2191" s="1" t="s">
        <v>93</v>
      </c>
      <c r="D2191" s="1" t="s">
        <v>67</v>
      </c>
      <c r="E2191" s="1" t="s">
        <v>11407</v>
      </c>
      <c r="F2191" s="1" t="s">
        <v>95</v>
      </c>
      <c r="G2191" s="1" t="s">
        <v>11408</v>
      </c>
      <c r="H2191" s="1">
        <v>0</v>
      </c>
      <c r="I2191" s="1" t="s">
        <v>109</v>
      </c>
      <c r="K2191" s="1" t="s">
        <v>4144</v>
      </c>
      <c r="M2191" s="1" t="s">
        <v>2313</v>
      </c>
      <c r="N2191" s="1">
        <v>0</v>
      </c>
      <c r="O2191" s="1">
        <v>0</v>
      </c>
      <c r="P2191" s="1" t="s">
        <v>195</v>
      </c>
      <c r="Q2191" s="1" t="s">
        <v>184</v>
      </c>
      <c r="R2191" s="1" t="s">
        <v>11409</v>
      </c>
      <c r="S2191" s="1" t="s">
        <v>11310</v>
      </c>
      <c r="T2191" s="1">
        <v>1</v>
      </c>
      <c r="U2191" s="1">
        <v>1</v>
      </c>
      <c r="V2191" s="1">
        <v>1</v>
      </c>
      <c r="W2191" s="1">
        <v>0</v>
      </c>
      <c r="X2191" s="1">
        <v>1</v>
      </c>
      <c r="Y2191" s="1">
        <v>4</v>
      </c>
      <c r="Z2191" s="1">
        <v>4</v>
      </c>
      <c r="AA2191" s="1" t="s">
        <v>104</v>
      </c>
      <c r="AB2191" s="1">
        <v>4</v>
      </c>
      <c r="AC2191" s="1">
        <v>3</v>
      </c>
      <c r="AD2191" s="1" t="s">
        <v>104</v>
      </c>
      <c r="AE2191" s="1" t="s">
        <v>104</v>
      </c>
      <c r="AF2191" s="1" t="s">
        <v>104</v>
      </c>
      <c r="AG2191" s="1" t="s">
        <v>104</v>
      </c>
      <c r="AH2191" s="1" t="s">
        <v>104</v>
      </c>
      <c r="AI2191" s="1" t="s">
        <v>104</v>
      </c>
      <c r="AJ2191" s="1" t="s">
        <v>104</v>
      </c>
      <c r="AK2191" s="1" t="s">
        <v>104</v>
      </c>
      <c r="AL2191" s="1">
        <v>4</v>
      </c>
      <c r="AM2191" s="1" t="s">
        <v>104</v>
      </c>
      <c r="AO2191" s="1">
        <v>4</v>
      </c>
      <c r="AR2191" s="1">
        <v>0</v>
      </c>
      <c r="AS2191" s="1">
        <v>0</v>
      </c>
      <c r="AT2191" s="1">
        <v>0</v>
      </c>
      <c r="AU2191" s="1">
        <v>0</v>
      </c>
      <c r="AV2191" s="1">
        <v>0</v>
      </c>
      <c r="AW2191" s="1">
        <v>0</v>
      </c>
      <c r="AX2191" s="1">
        <v>0</v>
      </c>
      <c r="AY2191" s="1">
        <v>0</v>
      </c>
      <c r="AZ2191" s="1">
        <v>0</v>
      </c>
      <c r="BA2191" s="1">
        <v>0</v>
      </c>
      <c r="BB2191" s="1">
        <v>0</v>
      </c>
      <c r="BC2191" s="1">
        <v>0</v>
      </c>
      <c r="BD2191" s="1">
        <v>0</v>
      </c>
      <c r="BE2191" s="1">
        <v>0</v>
      </c>
      <c r="BF2191" s="1">
        <v>0</v>
      </c>
      <c r="BG2191" s="1">
        <v>0</v>
      </c>
      <c r="BH2191" s="1">
        <v>0</v>
      </c>
      <c r="BI2191" s="1">
        <v>0</v>
      </c>
      <c r="BJ2191" s="1">
        <v>0</v>
      </c>
      <c r="BK2191" s="1">
        <v>0</v>
      </c>
      <c r="BL2191" s="1">
        <v>0</v>
      </c>
      <c r="BM2191" s="1">
        <v>0</v>
      </c>
      <c r="BN2191" s="1">
        <v>0</v>
      </c>
      <c r="BO2191" s="1">
        <v>0</v>
      </c>
      <c r="BP2191" s="1">
        <v>1</v>
      </c>
      <c r="BQ2191" s="1" t="s">
        <v>104</v>
      </c>
      <c r="BR2191" s="1">
        <v>2307</v>
      </c>
      <c r="BS2191" s="1" t="s">
        <v>104</v>
      </c>
      <c r="BX2191" s="1">
        <v>0</v>
      </c>
      <c r="BY2191" s="1" t="s">
        <v>104</v>
      </c>
      <c r="BZ2191" s="1">
        <v>4</v>
      </c>
      <c r="CA2191" s="1" t="s">
        <v>104</v>
      </c>
      <c r="CB2191" s="1" t="s">
        <v>104</v>
      </c>
      <c r="CC2191" s="1" t="s">
        <v>104</v>
      </c>
      <c r="CD2191" s="1" t="s">
        <v>104</v>
      </c>
      <c r="CE2191" s="1" t="s">
        <v>104</v>
      </c>
      <c r="CF2191" s="1" t="s">
        <v>104</v>
      </c>
      <c r="CG2191" s="1" t="s">
        <v>104</v>
      </c>
      <c r="CH2191" s="1">
        <v>3</v>
      </c>
      <c r="CJ2191" s="1">
        <v>0</v>
      </c>
      <c r="CK2191" s="1">
        <v>0</v>
      </c>
      <c r="CL2191" s="1">
        <v>0</v>
      </c>
      <c r="CM2191" s="1" t="s">
        <v>104</v>
      </c>
    </row>
    <row r="2192" spans="1:91" ht="14.25" customHeight="1" x14ac:dyDescent="0.3">
      <c r="A2192" s="1" t="s">
        <v>11410</v>
      </c>
      <c r="B2192" s="1" t="s">
        <v>137</v>
      </c>
      <c r="D2192" s="1" t="s">
        <v>44</v>
      </c>
      <c r="E2192" s="1" t="s">
        <v>5134</v>
      </c>
      <c r="F2192" s="1" t="s">
        <v>255</v>
      </c>
      <c r="G2192" s="1" t="s">
        <v>116</v>
      </c>
      <c r="H2192" s="1">
        <v>0</v>
      </c>
      <c r="I2192" s="1" t="s">
        <v>97</v>
      </c>
      <c r="L2192" s="1" t="s">
        <v>9262</v>
      </c>
      <c r="M2192" s="1" t="s">
        <v>2330</v>
      </c>
      <c r="N2192" s="1">
        <v>0</v>
      </c>
      <c r="O2192" s="1">
        <v>0</v>
      </c>
      <c r="P2192" s="1" t="s">
        <v>375</v>
      </c>
      <c r="Q2192" s="1" t="s">
        <v>131</v>
      </c>
      <c r="R2192" s="1" t="s">
        <v>11411</v>
      </c>
      <c r="S2192" s="1" t="s">
        <v>11310</v>
      </c>
      <c r="T2192" s="1">
        <v>1</v>
      </c>
      <c r="U2192" s="1">
        <v>1</v>
      </c>
      <c r="V2192" s="1">
        <v>0</v>
      </c>
      <c r="W2192" s="1">
        <v>0</v>
      </c>
      <c r="X2192" s="1">
        <v>0</v>
      </c>
      <c r="Y2192" s="1" t="s">
        <v>104</v>
      </c>
      <c r="Z2192" s="1" t="s">
        <v>104</v>
      </c>
      <c r="AA2192" s="1" t="s">
        <v>104</v>
      </c>
      <c r="AB2192" s="1" t="s">
        <v>104</v>
      </c>
      <c r="AC2192" s="1">
        <v>3</v>
      </c>
      <c r="AD2192" s="1" t="s">
        <v>104</v>
      </c>
      <c r="AE2192" s="1" t="s">
        <v>104</v>
      </c>
      <c r="AF2192" s="1" t="s">
        <v>104</v>
      </c>
      <c r="AG2192" s="1" t="s">
        <v>104</v>
      </c>
      <c r="AH2192" s="1" t="s">
        <v>104</v>
      </c>
      <c r="AI2192" s="1" t="s">
        <v>104</v>
      </c>
      <c r="AJ2192" s="1" t="s">
        <v>104</v>
      </c>
      <c r="AK2192" s="1" t="s">
        <v>104</v>
      </c>
      <c r="AL2192" s="1" t="s">
        <v>104</v>
      </c>
      <c r="AM2192" s="1" t="s">
        <v>104</v>
      </c>
      <c r="AO2192" s="1">
        <v>3</v>
      </c>
      <c r="AR2192" s="1">
        <v>0</v>
      </c>
      <c r="AS2192" s="1">
        <v>1</v>
      </c>
      <c r="AT2192" s="1">
        <v>0</v>
      </c>
      <c r="AU2192" s="1">
        <v>0</v>
      </c>
      <c r="AV2192" s="1">
        <v>0</v>
      </c>
      <c r="AW2192" s="1">
        <v>0</v>
      </c>
      <c r="AX2192" s="1">
        <v>0</v>
      </c>
      <c r="AY2192" s="1">
        <v>0</v>
      </c>
      <c r="AZ2192" s="1">
        <v>0</v>
      </c>
      <c r="BA2192" s="1">
        <v>0</v>
      </c>
      <c r="BB2192" s="1">
        <v>0</v>
      </c>
      <c r="BC2192" s="1">
        <v>0</v>
      </c>
      <c r="BD2192" s="1">
        <v>0</v>
      </c>
      <c r="BE2192" s="1">
        <v>0</v>
      </c>
      <c r="BF2192" s="1">
        <v>0</v>
      </c>
      <c r="BG2192" s="1">
        <v>0</v>
      </c>
      <c r="BH2192" s="1">
        <v>0</v>
      </c>
      <c r="BI2192" s="1">
        <v>0</v>
      </c>
      <c r="BJ2192" s="1">
        <v>0</v>
      </c>
      <c r="BK2192" s="1">
        <v>0</v>
      </c>
      <c r="BL2192" s="1">
        <v>0</v>
      </c>
      <c r="BM2192" s="1">
        <v>0</v>
      </c>
      <c r="BN2192" s="1">
        <v>0</v>
      </c>
      <c r="BO2192" s="1">
        <v>0</v>
      </c>
      <c r="BP2192" s="1">
        <v>0</v>
      </c>
      <c r="BQ2192" s="1" t="s">
        <v>104</v>
      </c>
      <c r="BR2192" s="1">
        <v>2308</v>
      </c>
      <c r="BS2192" s="1" t="s">
        <v>104</v>
      </c>
      <c r="BX2192" s="1">
        <v>0</v>
      </c>
      <c r="BY2192" s="1" t="s">
        <v>104</v>
      </c>
      <c r="BZ2192" s="1" t="s">
        <v>104</v>
      </c>
      <c r="CA2192" s="1" t="s">
        <v>104</v>
      </c>
      <c r="CB2192" s="1" t="s">
        <v>104</v>
      </c>
      <c r="CC2192" s="1" t="s">
        <v>104</v>
      </c>
      <c r="CD2192" s="1" t="s">
        <v>104</v>
      </c>
      <c r="CE2192" s="1" t="s">
        <v>104</v>
      </c>
      <c r="CF2192" s="1" t="s">
        <v>104</v>
      </c>
      <c r="CG2192" s="1" t="s">
        <v>104</v>
      </c>
      <c r="CH2192" s="1">
        <v>3</v>
      </c>
      <c r="CJ2192" s="1">
        <v>0</v>
      </c>
      <c r="CK2192" s="1">
        <v>0</v>
      </c>
      <c r="CL2192" s="1">
        <v>0</v>
      </c>
      <c r="CM2192" s="1" t="s">
        <v>104</v>
      </c>
    </row>
    <row r="2193" spans="1:91" ht="14.25" customHeight="1" x14ac:dyDescent="0.3">
      <c r="A2193" s="1" t="s">
        <v>11412</v>
      </c>
      <c r="B2193" s="1" t="s">
        <v>123</v>
      </c>
      <c r="D2193" s="1" t="s">
        <v>125</v>
      </c>
      <c r="E2193" s="1" t="s">
        <v>11413</v>
      </c>
      <c r="F2193" s="1" t="s">
        <v>191</v>
      </c>
      <c r="G2193" s="1" t="s">
        <v>11414</v>
      </c>
      <c r="H2193" s="1">
        <v>0</v>
      </c>
      <c r="I2193" s="1" t="s">
        <v>128</v>
      </c>
      <c r="L2193" s="1" t="s">
        <v>1065</v>
      </c>
      <c r="M2193" s="1" t="s">
        <v>341</v>
      </c>
      <c r="N2193" s="1">
        <v>0</v>
      </c>
      <c r="O2193" s="1">
        <v>0</v>
      </c>
      <c r="P2193" s="1" t="s">
        <v>418</v>
      </c>
      <c r="Q2193" s="1" t="s">
        <v>184</v>
      </c>
      <c r="R2193" s="1" t="s">
        <v>11415</v>
      </c>
      <c r="S2193" s="1" t="s">
        <v>11416</v>
      </c>
      <c r="T2193" s="1">
        <v>1</v>
      </c>
      <c r="U2193" s="1">
        <v>1</v>
      </c>
      <c r="V2193" s="1">
        <v>1</v>
      </c>
      <c r="W2193" s="1">
        <v>0</v>
      </c>
      <c r="X2193" s="1">
        <v>0</v>
      </c>
      <c r="Y2193" s="1" t="s">
        <v>104</v>
      </c>
      <c r="Z2193" s="1" t="s">
        <v>104</v>
      </c>
      <c r="AA2193" s="1" t="s">
        <v>104</v>
      </c>
      <c r="AB2193" s="1" t="s">
        <v>104</v>
      </c>
      <c r="AC2193" s="1" t="s">
        <v>104</v>
      </c>
      <c r="AD2193" s="1">
        <v>5</v>
      </c>
      <c r="AE2193" s="1" t="s">
        <v>104</v>
      </c>
      <c r="AF2193" s="1" t="s">
        <v>104</v>
      </c>
      <c r="AG2193" s="1" t="s">
        <v>104</v>
      </c>
      <c r="AH2193" s="1">
        <v>6</v>
      </c>
      <c r="AI2193" s="1" t="s">
        <v>104</v>
      </c>
      <c r="AJ2193" s="1" t="s">
        <v>104</v>
      </c>
      <c r="AK2193" s="1" t="s">
        <v>104</v>
      </c>
      <c r="AL2193" s="1" t="s">
        <v>104</v>
      </c>
      <c r="AM2193" s="1" t="s">
        <v>104</v>
      </c>
      <c r="AO2193" s="1">
        <v>5</v>
      </c>
      <c r="AR2193" s="1">
        <v>0</v>
      </c>
      <c r="AS2193" s="1">
        <v>0</v>
      </c>
      <c r="AT2193" s="1">
        <v>0</v>
      </c>
      <c r="AU2193" s="1">
        <v>0</v>
      </c>
      <c r="AV2193" s="1">
        <v>0</v>
      </c>
      <c r="AW2193" s="1">
        <v>0</v>
      </c>
      <c r="AX2193" s="1">
        <v>0</v>
      </c>
      <c r="AY2193" s="1">
        <v>0</v>
      </c>
      <c r="AZ2193" s="1">
        <v>0</v>
      </c>
      <c r="BA2193" s="1">
        <v>0</v>
      </c>
      <c r="BB2193" s="1">
        <v>0</v>
      </c>
      <c r="BC2193" s="1">
        <v>0</v>
      </c>
      <c r="BD2193" s="1">
        <v>0</v>
      </c>
      <c r="BE2193" s="1">
        <v>0</v>
      </c>
      <c r="BF2193" s="1">
        <v>0</v>
      </c>
      <c r="BG2193" s="1">
        <v>0</v>
      </c>
      <c r="BH2193" s="1">
        <v>0</v>
      </c>
      <c r="BI2193" s="1">
        <v>0</v>
      </c>
      <c r="BJ2193" s="1">
        <v>0</v>
      </c>
      <c r="BK2193" s="1">
        <v>1</v>
      </c>
      <c r="BL2193" s="1">
        <v>0</v>
      </c>
      <c r="BM2193" s="1">
        <v>0</v>
      </c>
      <c r="BN2193" s="1">
        <v>0</v>
      </c>
      <c r="BO2193" s="1">
        <v>0</v>
      </c>
      <c r="BP2193" s="1">
        <v>0</v>
      </c>
      <c r="BQ2193" s="1" t="s">
        <v>104</v>
      </c>
      <c r="BR2193" s="1">
        <v>2310</v>
      </c>
      <c r="BS2193" s="1" t="s">
        <v>104</v>
      </c>
      <c r="BX2193" s="1">
        <v>0</v>
      </c>
      <c r="BY2193" s="1" t="s">
        <v>104</v>
      </c>
      <c r="BZ2193" s="1" t="s">
        <v>104</v>
      </c>
      <c r="CA2193" s="1">
        <v>6</v>
      </c>
      <c r="CB2193" s="1" t="s">
        <v>104</v>
      </c>
      <c r="CC2193" s="1">
        <v>5</v>
      </c>
      <c r="CD2193" s="1" t="s">
        <v>104</v>
      </c>
      <c r="CE2193" s="1" t="s">
        <v>104</v>
      </c>
      <c r="CF2193" s="1" t="s">
        <v>104</v>
      </c>
      <c r="CG2193" s="1" t="s">
        <v>104</v>
      </c>
      <c r="CH2193" s="1" t="s">
        <v>104</v>
      </c>
      <c r="CJ2193" s="1">
        <v>0</v>
      </c>
      <c r="CK2193" s="1">
        <v>0</v>
      </c>
      <c r="CL2193" s="1">
        <v>0</v>
      </c>
      <c r="CM2193" s="1" t="s">
        <v>104</v>
      </c>
    </row>
    <row r="2194" spans="1:91" ht="14.25" customHeight="1" x14ac:dyDescent="0.3">
      <c r="A2194" s="1" t="s">
        <v>11417</v>
      </c>
      <c r="B2194" s="1" t="s">
        <v>507</v>
      </c>
      <c r="C2194" s="1" t="s">
        <v>508</v>
      </c>
      <c r="E2194" s="1" t="s">
        <v>11418</v>
      </c>
      <c r="F2194" s="1" t="s">
        <v>95</v>
      </c>
      <c r="G2194" s="1" t="s">
        <v>237</v>
      </c>
      <c r="H2194" s="1">
        <v>0</v>
      </c>
      <c r="I2194" s="1" t="s">
        <v>3825</v>
      </c>
      <c r="L2194" s="1" t="s">
        <v>11419</v>
      </c>
      <c r="M2194" s="1" t="s">
        <v>2330</v>
      </c>
      <c r="N2194" s="1">
        <v>0</v>
      </c>
      <c r="O2194" s="1">
        <v>0</v>
      </c>
      <c r="P2194" s="1" t="s">
        <v>1981</v>
      </c>
      <c r="Q2194" s="1" t="s">
        <v>101</v>
      </c>
      <c r="R2194" s="1" t="s">
        <v>11420</v>
      </c>
      <c r="S2194" s="1" t="s">
        <v>11416</v>
      </c>
      <c r="T2194" s="1">
        <v>1</v>
      </c>
      <c r="U2194" s="1">
        <v>0</v>
      </c>
      <c r="V2194" s="1">
        <v>0</v>
      </c>
      <c r="W2194" s="1">
        <v>0</v>
      </c>
      <c r="X2194" s="1">
        <v>0</v>
      </c>
      <c r="Y2194" s="1">
        <v>4</v>
      </c>
      <c r="Z2194" s="1">
        <v>4</v>
      </c>
      <c r="AA2194" s="1" t="s">
        <v>104</v>
      </c>
      <c r="AB2194" s="1" t="s">
        <v>104</v>
      </c>
      <c r="AC2194" s="1" t="s">
        <v>104</v>
      </c>
      <c r="AD2194" s="1" t="s">
        <v>104</v>
      </c>
      <c r="AE2194" s="1" t="s">
        <v>104</v>
      </c>
      <c r="AF2194" s="1" t="s">
        <v>104</v>
      </c>
      <c r="AG2194" s="1" t="s">
        <v>104</v>
      </c>
      <c r="AH2194" s="1" t="s">
        <v>104</v>
      </c>
      <c r="AI2194" s="1" t="s">
        <v>104</v>
      </c>
      <c r="AJ2194" s="1" t="s">
        <v>104</v>
      </c>
      <c r="AK2194" s="1" t="s">
        <v>104</v>
      </c>
      <c r="AL2194" s="1" t="s">
        <v>104</v>
      </c>
      <c r="AM2194" s="1" t="s">
        <v>104</v>
      </c>
      <c r="AO2194" s="1">
        <v>4</v>
      </c>
      <c r="AR2194" s="1">
        <v>0</v>
      </c>
      <c r="AS2194" s="1">
        <v>0</v>
      </c>
      <c r="AT2194" s="1">
        <v>0</v>
      </c>
      <c r="AU2194" s="1">
        <v>0</v>
      </c>
      <c r="AV2194" s="1">
        <v>0</v>
      </c>
      <c r="AW2194" s="1">
        <v>0</v>
      </c>
      <c r="AX2194" s="1">
        <v>0</v>
      </c>
      <c r="AY2194" s="1">
        <v>0</v>
      </c>
      <c r="AZ2194" s="1">
        <v>0</v>
      </c>
      <c r="BA2194" s="1">
        <v>0</v>
      </c>
      <c r="BB2194" s="1">
        <v>0</v>
      </c>
      <c r="BC2194" s="1">
        <v>0</v>
      </c>
      <c r="BD2194" s="1">
        <v>0</v>
      </c>
      <c r="BE2194" s="1">
        <v>0</v>
      </c>
      <c r="BF2194" s="1">
        <v>0</v>
      </c>
      <c r="BG2194" s="1">
        <v>0</v>
      </c>
      <c r="BH2194" s="1">
        <v>0</v>
      </c>
      <c r="BI2194" s="1">
        <v>0</v>
      </c>
      <c r="BJ2194" s="1">
        <v>0</v>
      </c>
      <c r="BK2194" s="1">
        <v>0</v>
      </c>
      <c r="BL2194" s="1">
        <v>0</v>
      </c>
      <c r="BM2194" s="1">
        <v>0</v>
      </c>
      <c r="BN2194" s="1">
        <v>0</v>
      </c>
      <c r="BO2194" s="1">
        <v>0</v>
      </c>
      <c r="BP2194" s="1">
        <v>0</v>
      </c>
      <c r="BQ2194" s="1" t="s">
        <v>104</v>
      </c>
      <c r="BR2194" s="1">
        <v>2311</v>
      </c>
      <c r="BS2194" s="1" t="s">
        <v>104</v>
      </c>
      <c r="BX2194" s="1">
        <v>0</v>
      </c>
      <c r="BY2194" s="1" t="s">
        <v>104</v>
      </c>
      <c r="BZ2194" s="1" t="s">
        <v>104</v>
      </c>
      <c r="CA2194" s="1">
        <v>4</v>
      </c>
      <c r="CB2194" s="1" t="s">
        <v>104</v>
      </c>
      <c r="CC2194" s="1">
        <v>3</v>
      </c>
      <c r="CD2194" s="1" t="s">
        <v>104</v>
      </c>
      <c r="CE2194" s="1" t="s">
        <v>104</v>
      </c>
      <c r="CF2194" s="1" t="s">
        <v>104</v>
      </c>
      <c r="CG2194" s="1" t="s">
        <v>104</v>
      </c>
      <c r="CH2194" s="1" t="s">
        <v>104</v>
      </c>
      <c r="CJ2194" s="1">
        <v>0</v>
      </c>
      <c r="CK2194" s="1">
        <v>0</v>
      </c>
      <c r="CL2194" s="1">
        <v>0</v>
      </c>
      <c r="CM2194" s="1" t="s">
        <v>104</v>
      </c>
    </row>
    <row r="2195" spans="1:91" ht="14.25" customHeight="1" x14ac:dyDescent="0.3">
      <c r="A2195" s="1" t="s">
        <v>11421</v>
      </c>
      <c r="B2195" s="1" t="s">
        <v>123</v>
      </c>
      <c r="C2195" s="1" t="s">
        <v>124</v>
      </c>
      <c r="D2195" s="1" t="s">
        <v>11422</v>
      </c>
      <c r="E2195" s="1" t="s">
        <v>11204</v>
      </c>
      <c r="F2195" s="1" t="s">
        <v>95</v>
      </c>
      <c r="G2195" s="1" t="s">
        <v>116</v>
      </c>
      <c r="H2195" s="1">
        <v>0</v>
      </c>
      <c r="I2195" s="1" t="s">
        <v>109</v>
      </c>
      <c r="L2195" s="1" t="s">
        <v>1065</v>
      </c>
      <c r="M2195" s="1" t="s">
        <v>194</v>
      </c>
      <c r="N2195" s="1">
        <v>0</v>
      </c>
      <c r="O2195" s="1">
        <v>0</v>
      </c>
      <c r="P2195" s="1" t="s">
        <v>211</v>
      </c>
      <c r="Q2195" s="1" t="s">
        <v>6994</v>
      </c>
      <c r="R2195" s="1" t="s">
        <v>11423</v>
      </c>
      <c r="S2195" s="1" t="s">
        <v>11416</v>
      </c>
      <c r="T2195" s="1">
        <v>1</v>
      </c>
      <c r="U2195" s="1">
        <v>1</v>
      </c>
      <c r="V2195" s="1">
        <v>0</v>
      </c>
      <c r="W2195" s="1">
        <v>0</v>
      </c>
      <c r="X2195" s="1">
        <v>0</v>
      </c>
      <c r="Y2195" s="1" t="s">
        <v>104</v>
      </c>
      <c r="Z2195" s="1" t="s">
        <v>104</v>
      </c>
      <c r="AA2195" s="1" t="s">
        <v>104</v>
      </c>
      <c r="AB2195" s="1" t="s">
        <v>104</v>
      </c>
      <c r="AC2195" s="1" t="s">
        <v>104</v>
      </c>
      <c r="AD2195" s="1" t="s">
        <v>104</v>
      </c>
      <c r="AE2195" s="1" t="s">
        <v>104</v>
      </c>
      <c r="AF2195" s="1" t="s">
        <v>104</v>
      </c>
      <c r="AG2195" s="1" t="s">
        <v>104</v>
      </c>
      <c r="AH2195" s="1" t="s">
        <v>104</v>
      </c>
      <c r="AI2195" s="1" t="s">
        <v>104</v>
      </c>
      <c r="AJ2195" s="1" t="s">
        <v>104</v>
      </c>
      <c r="AK2195" s="1" t="s">
        <v>104</v>
      </c>
      <c r="AL2195" s="1" t="s">
        <v>104</v>
      </c>
      <c r="AM2195" s="1" t="s">
        <v>104</v>
      </c>
      <c r="AO2195" s="1">
        <v>3</v>
      </c>
      <c r="AR2195" s="1">
        <v>0</v>
      </c>
      <c r="AS2195" s="1">
        <v>0</v>
      </c>
      <c r="AT2195" s="1">
        <v>0</v>
      </c>
      <c r="AU2195" s="1">
        <v>0</v>
      </c>
      <c r="AV2195" s="1">
        <v>0</v>
      </c>
      <c r="AW2195" s="1">
        <v>0</v>
      </c>
      <c r="AX2195" s="1">
        <v>0</v>
      </c>
      <c r="AY2195" s="1">
        <v>0</v>
      </c>
      <c r="AZ2195" s="1">
        <v>0</v>
      </c>
      <c r="BA2195" s="1">
        <v>0</v>
      </c>
      <c r="BB2195" s="1">
        <v>1</v>
      </c>
      <c r="BC2195" s="1">
        <v>0</v>
      </c>
      <c r="BD2195" s="1">
        <v>0</v>
      </c>
      <c r="BE2195" s="1">
        <v>0</v>
      </c>
      <c r="BF2195" s="1">
        <v>0</v>
      </c>
      <c r="BG2195" s="1">
        <v>0</v>
      </c>
      <c r="BH2195" s="1">
        <v>0</v>
      </c>
      <c r="BI2195" s="1">
        <v>0</v>
      </c>
      <c r="BJ2195" s="1">
        <v>0</v>
      </c>
      <c r="BK2195" s="1">
        <v>1</v>
      </c>
      <c r="BL2195" s="1">
        <v>0</v>
      </c>
      <c r="BM2195" s="1">
        <v>0</v>
      </c>
      <c r="BN2195" s="1">
        <v>0</v>
      </c>
      <c r="BO2195" s="1">
        <v>0</v>
      </c>
      <c r="BP2195" s="1">
        <v>0</v>
      </c>
      <c r="BQ2195" s="1" t="s">
        <v>104</v>
      </c>
      <c r="BR2195" s="1">
        <v>2312</v>
      </c>
      <c r="BS2195" s="1" t="s">
        <v>104</v>
      </c>
      <c r="BX2195" s="1">
        <v>0</v>
      </c>
      <c r="BY2195" s="1" t="s">
        <v>104</v>
      </c>
      <c r="BZ2195" s="1" t="s">
        <v>104</v>
      </c>
      <c r="CA2195" s="1">
        <v>3</v>
      </c>
      <c r="CB2195" s="1" t="s">
        <v>104</v>
      </c>
      <c r="CC2195" s="1">
        <v>3</v>
      </c>
      <c r="CD2195" s="1" t="s">
        <v>104</v>
      </c>
      <c r="CE2195" s="1" t="s">
        <v>104</v>
      </c>
      <c r="CF2195" s="1" t="s">
        <v>104</v>
      </c>
      <c r="CG2195" s="1" t="s">
        <v>104</v>
      </c>
      <c r="CH2195" s="1" t="s">
        <v>104</v>
      </c>
      <c r="CJ2195" s="1">
        <v>0</v>
      </c>
      <c r="CK2195" s="1">
        <v>0</v>
      </c>
      <c r="CL2195" s="1">
        <v>0</v>
      </c>
      <c r="CM2195" s="1" t="s">
        <v>104</v>
      </c>
    </row>
    <row r="2196" spans="1:91" ht="14.25" customHeight="1" x14ac:dyDescent="0.3">
      <c r="A2196" s="1" t="s">
        <v>11424</v>
      </c>
      <c r="B2196" s="1" t="s">
        <v>162</v>
      </c>
      <c r="E2196" s="1" t="s">
        <v>11425</v>
      </c>
      <c r="F2196" s="1" t="s">
        <v>95</v>
      </c>
      <c r="G2196" s="1" t="s">
        <v>11426</v>
      </c>
      <c r="H2196" s="1">
        <v>0</v>
      </c>
      <c r="I2196" s="1" t="s">
        <v>128</v>
      </c>
      <c r="L2196" s="1" t="s">
        <v>374</v>
      </c>
      <c r="M2196" s="1" t="s">
        <v>201</v>
      </c>
      <c r="N2196" s="1">
        <v>0</v>
      </c>
      <c r="O2196" s="1">
        <v>0</v>
      </c>
      <c r="P2196" s="1" t="s">
        <v>375</v>
      </c>
      <c r="Q2196" s="1" t="s">
        <v>101</v>
      </c>
      <c r="R2196" s="1" t="s">
        <v>11427</v>
      </c>
      <c r="S2196" s="1" t="s">
        <v>11416</v>
      </c>
      <c r="T2196" s="1">
        <v>1</v>
      </c>
      <c r="U2196" s="1">
        <v>1</v>
      </c>
      <c r="V2196" s="1">
        <v>1</v>
      </c>
      <c r="W2196" s="1">
        <v>0</v>
      </c>
      <c r="X2196" s="1">
        <v>0</v>
      </c>
      <c r="Y2196" s="1">
        <v>4</v>
      </c>
      <c r="Z2196" s="1">
        <v>4</v>
      </c>
      <c r="AA2196" s="1" t="s">
        <v>104</v>
      </c>
      <c r="AB2196" s="1" t="s">
        <v>104</v>
      </c>
      <c r="AC2196" s="1" t="s">
        <v>104</v>
      </c>
      <c r="AD2196" s="1">
        <v>2</v>
      </c>
      <c r="AE2196" s="1" t="s">
        <v>104</v>
      </c>
      <c r="AF2196" s="1">
        <v>2</v>
      </c>
      <c r="AG2196" s="1" t="s">
        <v>104</v>
      </c>
      <c r="AH2196" s="1">
        <v>4</v>
      </c>
      <c r="AI2196" s="1" t="s">
        <v>104</v>
      </c>
      <c r="AJ2196" s="1" t="s">
        <v>104</v>
      </c>
      <c r="AK2196" s="1" t="s">
        <v>104</v>
      </c>
      <c r="AL2196" s="1" t="s">
        <v>104</v>
      </c>
      <c r="AM2196" s="1" t="s">
        <v>104</v>
      </c>
      <c r="AO2196" s="1">
        <v>4</v>
      </c>
      <c r="AR2196" s="1">
        <v>0</v>
      </c>
      <c r="AS2196" s="1">
        <v>0</v>
      </c>
      <c r="AT2196" s="1">
        <v>0</v>
      </c>
      <c r="AU2196" s="1">
        <v>0</v>
      </c>
      <c r="AV2196" s="1">
        <v>0</v>
      </c>
      <c r="AW2196" s="1">
        <v>0</v>
      </c>
      <c r="AX2196" s="1">
        <v>0</v>
      </c>
      <c r="AY2196" s="1">
        <v>0</v>
      </c>
      <c r="AZ2196" s="1">
        <v>0</v>
      </c>
      <c r="BA2196" s="1">
        <v>0</v>
      </c>
      <c r="BB2196" s="1">
        <v>0</v>
      </c>
      <c r="BC2196" s="1">
        <v>0</v>
      </c>
      <c r="BD2196" s="1">
        <v>0</v>
      </c>
      <c r="BE2196" s="1">
        <v>0</v>
      </c>
      <c r="BF2196" s="1">
        <v>0</v>
      </c>
      <c r="BG2196" s="1">
        <v>0</v>
      </c>
      <c r="BH2196" s="1">
        <v>0</v>
      </c>
      <c r="BI2196" s="1">
        <v>0</v>
      </c>
      <c r="BJ2196" s="1">
        <v>0</v>
      </c>
      <c r="BK2196" s="1">
        <v>0</v>
      </c>
      <c r="BL2196" s="1">
        <v>0</v>
      </c>
      <c r="BM2196" s="1">
        <v>0</v>
      </c>
      <c r="BN2196" s="1">
        <v>0</v>
      </c>
      <c r="BO2196" s="1">
        <v>0</v>
      </c>
      <c r="BP2196" s="1">
        <v>0</v>
      </c>
      <c r="BQ2196" s="1" t="s">
        <v>104</v>
      </c>
      <c r="BR2196" s="1">
        <v>2313</v>
      </c>
      <c r="BS2196" s="1" t="s">
        <v>104</v>
      </c>
      <c r="BX2196" s="1">
        <v>0</v>
      </c>
      <c r="BY2196" s="1" t="s">
        <v>104</v>
      </c>
      <c r="BZ2196" s="1">
        <v>2</v>
      </c>
      <c r="CA2196" s="1">
        <v>3</v>
      </c>
      <c r="CB2196" s="1">
        <v>2</v>
      </c>
      <c r="CC2196" s="1">
        <v>2</v>
      </c>
      <c r="CD2196" s="1" t="s">
        <v>104</v>
      </c>
      <c r="CE2196" s="1" t="s">
        <v>104</v>
      </c>
      <c r="CF2196" s="1" t="s">
        <v>104</v>
      </c>
      <c r="CG2196" s="1" t="s">
        <v>104</v>
      </c>
      <c r="CH2196" s="1" t="s">
        <v>104</v>
      </c>
      <c r="CJ2196" s="1">
        <v>0</v>
      </c>
      <c r="CK2196" s="1">
        <v>0</v>
      </c>
      <c r="CL2196" s="1">
        <v>0</v>
      </c>
      <c r="CM2196" s="1" t="s">
        <v>104</v>
      </c>
    </row>
    <row r="2197" spans="1:91" ht="14.25" customHeight="1" x14ac:dyDescent="0.3">
      <c r="A2197" s="1" t="s">
        <v>11428</v>
      </c>
      <c r="B2197" s="1" t="s">
        <v>123</v>
      </c>
      <c r="C2197" s="1" t="s">
        <v>124</v>
      </c>
      <c r="D2197" s="1" t="s">
        <v>11422</v>
      </c>
      <c r="E2197" s="1" t="s">
        <v>11429</v>
      </c>
      <c r="F2197" s="1" t="s">
        <v>95</v>
      </c>
      <c r="G2197" s="1" t="s">
        <v>116</v>
      </c>
      <c r="H2197" s="1">
        <v>0</v>
      </c>
      <c r="I2197" s="1" t="s">
        <v>109</v>
      </c>
      <c r="L2197" s="1" t="s">
        <v>417</v>
      </c>
      <c r="M2197" s="1" t="s">
        <v>4641</v>
      </c>
      <c r="N2197" s="1">
        <v>1</v>
      </c>
      <c r="O2197" s="1">
        <v>0</v>
      </c>
      <c r="P2197" s="1" t="s">
        <v>211</v>
      </c>
      <c r="Q2197" s="1" t="s">
        <v>101</v>
      </c>
      <c r="R2197" s="1" t="s">
        <v>11430</v>
      </c>
      <c r="S2197" s="1" t="s">
        <v>11416</v>
      </c>
      <c r="T2197" s="1">
        <v>1</v>
      </c>
      <c r="U2197" s="1">
        <v>1</v>
      </c>
      <c r="V2197" s="1">
        <v>0</v>
      </c>
      <c r="W2197" s="1">
        <v>0</v>
      </c>
      <c r="X2197" s="1">
        <v>0</v>
      </c>
      <c r="Y2197" s="1" t="s">
        <v>104</v>
      </c>
      <c r="Z2197" s="1" t="s">
        <v>104</v>
      </c>
      <c r="AA2197" s="1" t="s">
        <v>104</v>
      </c>
      <c r="AB2197" s="1" t="s">
        <v>104</v>
      </c>
      <c r="AC2197" s="1" t="s">
        <v>104</v>
      </c>
      <c r="AD2197" s="1">
        <v>2</v>
      </c>
      <c r="AE2197" s="1" t="s">
        <v>104</v>
      </c>
      <c r="AF2197" s="1" t="s">
        <v>104</v>
      </c>
      <c r="AG2197" s="1" t="s">
        <v>104</v>
      </c>
      <c r="AH2197" s="1">
        <v>3</v>
      </c>
      <c r="AI2197" s="1" t="s">
        <v>104</v>
      </c>
      <c r="AJ2197" s="1" t="s">
        <v>104</v>
      </c>
      <c r="AK2197" s="1">
        <v>2</v>
      </c>
      <c r="AL2197" s="1" t="s">
        <v>104</v>
      </c>
      <c r="AM2197" s="1" t="s">
        <v>104</v>
      </c>
      <c r="AO2197" s="1">
        <v>2</v>
      </c>
      <c r="AR2197" s="1">
        <v>0</v>
      </c>
      <c r="AS2197" s="1">
        <v>0</v>
      </c>
      <c r="AT2197" s="1">
        <v>0</v>
      </c>
      <c r="AU2197" s="1">
        <v>0</v>
      </c>
      <c r="AV2197" s="1">
        <v>0</v>
      </c>
      <c r="AW2197" s="1">
        <v>0</v>
      </c>
      <c r="AX2197" s="1">
        <v>0</v>
      </c>
      <c r="AY2197" s="1">
        <v>0</v>
      </c>
      <c r="AZ2197" s="1">
        <v>0</v>
      </c>
      <c r="BA2197" s="1">
        <v>0</v>
      </c>
      <c r="BB2197" s="1">
        <v>1</v>
      </c>
      <c r="BC2197" s="1">
        <v>0</v>
      </c>
      <c r="BD2197" s="1">
        <v>0</v>
      </c>
      <c r="BE2197" s="1">
        <v>0</v>
      </c>
      <c r="BF2197" s="1">
        <v>0</v>
      </c>
      <c r="BG2197" s="1">
        <v>0</v>
      </c>
      <c r="BH2197" s="1">
        <v>0</v>
      </c>
      <c r="BI2197" s="1">
        <v>0</v>
      </c>
      <c r="BJ2197" s="1">
        <v>0</v>
      </c>
      <c r="BK2197" s="1">
        <v>1</v>
      </c>
      <c r="BL2197" s="1">
        <v>0</v>
      </c>
      <c r="BM2197" s="1">
        <v>0</v>
      </c>
      <c r="BN2197" s="1">
        <v>0</v>
      </c>
      <c r="BO2197" s="1">
        <v>0</v>
      </c>
      <c r="BP2197" s="1">
        <v>0</v>
      </c>
      <c r="BQ2197" s="1" t="s">
        <v>104</v>
      </c>
      <c r="BR2197" s="1">
        <v>2314</v>
      </c>
      <c r="BS2197" s="1" t="s">
        <v>104</v>
      </c>
      <c r="BX2197" s="1">
        <v>0</v>
      </c>
      <c r="BY2197" s="1">
        <v>2</v>
      </c>
      <c r="BZ2197" s="1">
        <v>3</v>
      </c>
      <c r="CA2197" s="1">
        <v>3</v>
      </c>
      <c r="CB2197" s="1" t="s">
        <v>104</v>
      </c>
      <c r="CC2197" s="1">
        <v>2</v>
      </c>
      <c r="CD2197" s="1" t="s">
        <v>104</v>
      </c>
      <c r="CE2197" s="1">
        <v>2</v>
      </c>
      <c r="CF2197" s="1" t="s">
        <v>104</v>
      </c>
      <c r="CG2197" s="1" t="s">
        <v>104</v>
      </c>
      <c r="CH2197" s="1" t="s">
        <v>104</v>
      </c>
      <c r="CJ2197" s="1">
        <v>0</v>
      </c>
      <c r="CK2197" s="1">
        <v>0</v>
      </c>
      <c r="CL2197" s="1">
        <v>0</v>
      </c>
      <c r="CM2197" s="1" t="s">
        <v>104</v>
      </c>
    </row>
    <row r="2198" spans="1:91" ht="14.25" customHeight="1" x14ac:dyDescent="0.3">
      <c r="A2198" s="1" t="s">
        <v>11431</v>
      </c>
      <c r="B2198" s="1" t="s">
        <v>172</v>
      </c>
      <c r="D2198" s="1" t="s">
        <v>10956</v>
      </c>
      <c r="E2198" s="1" t="s">
        <v>11432</v>
      </c>
      <c r="F2198" s="1" t="s">
        <v>95</v>
      </c>
      <c r="G2198" s="1" t="s">
        <v>116</v>
      </c>
      <c r="H2198" s="1">
        <v>0</v>
      </c>
      <c r="I2198" s="1" t="s">
        <v>157</v>
      </c>
      <c r="L2198" s="1" t="s">
        <v>158</v>
      </c>
      <c r="M2198" s="1" t="s">
        <v>426</v>
      </c>
      <c r="N2198" s="1">
        <v>1</v>
      </c>
      <c r="O2198" s="1">
        <v>0</v>
      </c>
      <c r="R2198" s="1" t="s">
        <v>11433</v>
      </c>
      <c r="S2198" s="1" t="s">
        <v>11416</v>
      </c>
      <c r="T2198" s="1">
        <v>1</v>
      </c>
      <c r="U2198" s="1">
        <v>1</v>
      </c>
      <c r="V2198" s="1">
        <v>0</v>
      </c>
      <c r="W2198" s="1">
        <v>0</v>
      </c>
      <c r="X2198" s="1">
        <v>0</v>
      </c>
      <c r="Y2198" s="1" t="s">
        <v>104</v>
      </c>
      <c r="Z2198" s="1" t="s">
        <v>104</v>
      </c>
      <c r="AA2198" s="1" t="s">
        <v>104</v>
      </c>
      <c r="AB2198" s="1" t="s">
        <v>104</v>
      </c>
      <c r="AC2198" s="1" t="s">
        <v>104</v>
      </c>
      <c r="AD2198" s="1" t="s">
        <v>104</v>
      </c>
      <c r="AE2198" s="1" t="s">
        <v>104</v>
      </c>
      <c r="AF2198" s="1" t="s">
        <v>104</v>
      </c>
      <c r="AG2198" s="1" t="s">
        <v>104</v>
      </c>
      <c r="AH2198" s="1">
        <v>2</v>
      </c>
      <c r="AI2198" s="1">
        <v>2</v>
      </c>
      <c r="AJ2198" s="1" t="s">
        <v>104</v>
      </c>
      <c r="AK2198" s="1">
        <v>2</v>
      </c>
      <c r="AL2198" s="1" t="s">
        <v>104</v>
      </c>
      <c r="AM2198" s="1" t="s">
        <v>104</v>
      </c>
      <c r="AO2198" s="1">
        <v>2</v>
      </c>
      <c r="AR2198" s="1">
        <v>0</v>
      </c>
      <c r="AS2198" s="1">
        <v>0</v>
      </c>
      <c r="AT2198" s="1">
        <v>0</v>
      </c>
      <c r="AU2198" s="1">
        <v>0</v>
      </c>
      <c r="AV2198" s="1">
        <v>0</v>
      </c>
      <c r="AW2198" s="1">
        <v>0</v>
      </c>
      <c r="AX2198" s="1">
        <v>0</v>
      </c>
      <c r="AY2198" s="1">
        <v>0</v>
      </c>
      <c r="AZ2198" s="1">
        <v>0</v>
      </c>
      <c r="BA2198" s="1">
        <v>0</v>
      </c>
      <c r="BB2198" s="1">
        <v>0</v>
      </c>
      <c r="BC2198" s="1">
        <v>0</v>
      </c>
      <c r="BD2198" s="1">
        <v>0</v>
      </c>
      <c r="BE2198" s="1">
        <v>0</v>
      </c>
      <c r="BF2198" s="1">
        <v>0</v>
      </c>
      <c r="BG2198" s="1">
        <v>0</v>
      </c>
      <c r="BH2198" s="1">
        <v>0</v>
      </c>
      <c r="BI2198" s="1">
        <v>0</v>
      </c>
      <c r="BJ2198" s="1">
        <v>0</v>
      </c>
      <c r="BK2198" s="1">
        <v>1</v>
      </c>
      <c r="BL2198" s="1">
        <v>1</v>
      </c>
      <c r="BM2198" s="1">
        <v>0</v>
      </c>
      <c r="BN2198" s="1">
        <v>0</v>
      </c>
      <c r="BO2198" s="1">
        <v>0</v>
      </c>
      <c r="BP2198" s="1">
        <v>0</v>
      </c>
      <c r="BQ2198" s="1" t="s">
        <v>104</v>
      </c>
      <c r="BR2198" s="1">
        <v>2315</v>
      </c>
      <c r="BS2198" s="1" t="s">
        <v>104</v>
      </c>
      <c r="BX2198" s="1">
        <v>0</v>
      </c>
      <c r="BY2198" s="1">
        <v>2</v>
      </c>
      <c r="BZ2198" s="1">
        <v>2</v>
      </c>
      <c r="CA2198" s="1">
        <v>2</v>
      </c>
      <c r="CB2198" s="1">
        <v>2</v>
      </c>
      <c r="CC2198" s="1" t="s">
        <v>104</v>
      </c>
      <c r="CD2198" s="1">
        <v>2</v>
      </c>
      <c r="CE2198" s="1">
        <v>2</v>
      </c>
      <c r="CF2198" s="1" t="s">
        <v>104</v>
      </c>
      <c r="CG2198" s="1" t="s">
        <v>104</v>
      </c>
      <c r="CH2198" s="1" t="s">
        <v>104</v>
      </c>
      <c r="CJ2198" s="1">
        <v>0</v>
      </c>
      <c r="CK2198" s="1">
        <v>0</v>
      </c>
      <c r="CL2198" s="1">
        <v>0</v>
      </c>
      <c r="CM2198" s="1" t="s">
        <v>104</v>
      </c>
    </row>
    <row r="2199" spans="1:91" ht="14.25" customHeight="1" x14ac:dyDescent="0.3">
      <c r="A2199" s="1" t="s">
        <v>11434</v>
      </c>
      <c r="B2199" s="1" t="s">
        <v>123</v>
      </c>
      <c r="C2199" s="1" t="s">
        <v>124</v>
      </c>
      <c r="D2199" s="1" t="s">
        <v>11422</v>
      </c>
      <c r="E2199" s="1" t="s">
        <v>11435</v>
      </c>
      <c r="F2199" s="1" t="s">
        <v>95</v>
      </c>
      <c r="G2199" s="1" t="s">
        <v>1802</v>
      </c>
      <c r="H2199" s="1">
        <v>0</v>
      </c>
      <c r="I2199" s="1" t="s">
        <v>117</v>
      </c>
      <c r="L2199" s="1" t="s">
        <v>417</v>
      </c>
      <c r="M2199" s="1" t="s">
        <v>4641</v>
      </c>
      <c r="N2199" s="1">
        <v>1</v>
      </c>
      <c r="O2199" s="1">
        <v>0</v>
      </c>
      <c r="P2199" s="1" t="s">
        <v>276</v>
      </c>
      <c r="Q2199" s="1" t="s">
        <v>184</v>
      </c>
      <c r="R2199" s="1" t="s">
        <v>11436</v>
      </c>
      <c r="S2199" s="1" t="s">
        <v>11416</v>
      </c>
      <c r="T2199" s="1">
        <v>0</v>
      </c>
      <c r="U2199" s="1">
        <v>1</v>
      </c>
      <c r="V2199" s="1">
        <v>0</v>
      </c>
      <c r="W2199" s="1">
        <v>0</v>
      </c>
      <c r="X2199" s="1">
        <v>0</v>
      </c>
      <c r="Y2199" s="1">
        <v>3</v>
      </c>
      <c r="Z2199" s="1">
        <v>3</v>
      </c>
      <c r="AA2199" s="1" t="s">
        <v>104</v>
      </c>
      <c r="AB2199" s="1" t="s">
        <v>104</v>
      </c>
      <c r="AC2199" s="1" t="s">
        <v>104</v>
      </c>
      <c r="AD2199" s="1" t="s">
        <v>104</v>
      </c>
      <c r="AE2199" s="1" t="s">
        <v>104</v>
      </c>
      <c r="AF2199" s="1" t="s">
        <v>104</v>
      </c>
      <c r="AG2199" s="1" t="s">
        <v>104</v>
      </c>
      <c r="AH2199" s="1">
        <v>2</v>
      </c>
      <c r="AI2199" s="1" t="s">
        <v>104</v>
      </c>
      <c r="AJ2199" s="1" t="s">
        <v>104</v>
      </c>
      <c r="AK2199" s="1" t="s">
        <v>104</v>
      </c>
      <c r="AL2199" s="1">
        <v>3</v>
      </c>
      <c r="AM2199" s="1" t="s">
        <v>104</v>
      </c>
      <c r="AO2199" s="1">
        <v>3</v>
      </c>
      <c r="AR2199" s="1">
        <v>0</v>
      </c>
      <c r="AS2199" s="1">
        <v>0</v>
      </c>
      <c r="AT2199" s="1">
        <v>0</v>
      </c>
      <c r="AU2199" s="1">
        <v>0</v>
      </c>
      <c r="AV2199" s="1">
        <v>0</v>
      </c>
      <c r="AW2199" s="1">
        <v>0</v>
      </c>
      <c r="AX2199" s="1">
        <v>0</v>
      </c>
      <c r="AY2199" s="1">
        <v>0</v>
      </c>
      <c r="AZ2199" s="1">
        <v>0</v>
      </c>
      <c r="BA2199" s="1">
        <v>0</v>
      </c>
      <c r="BB2199" s="1">
        <v>1</v>
      </c>
      <c r="BC2199" s="1">
        <v>0</v>
      </c>
      <c r="BD2199" s="1">
        <v>0</v>
      </c>
      <c r="BE2199" s="1">
        <v>0</v>
      </c>
      <c r="BF2199" s="1">
        <v>0</v>
      </c>
      <c r="BG2199" s="1">
        <v>0</v>
      </c>
      <c r="BH2199" s="1">
        <v>0</v>
      </c>
      <c r="BI2199" s="1">
        <v>0</v>
      </c>
      <c r="BJ2199" s="1">
        <v>0</v>
      </c>
      <c r="BK2199" s="1">
        <v>1</v>
      </c>
      <c r="BL2199" s="1">
        <v>0</v>
      </c>
      <c r="BM2199" s="1">
        <v>0</v>
      </c>
      <c r="BN2199" s="1">
        <v>0</v>
      </c>
      <c r="BO2199" s="1">
        <v>0</v>
      </c>
      <c r="BP2199" s="1">
        <v>0</v>
      </c>
      <c r="BQ2199" s="1" t="s">
        <v>104</v>
      </c>
      <c r="BR2199" s="1">
        <v>2316</v>
      </c>
      <c r="BS2199" s="1" t="s">
        <v>104</v>
      </c>
      <c r="BX2199" s="1">
        <v>0</v>
      </c>
      <c r="BY2199" s="1">
        <v>3</v>
      </c>
      <c r="BZ2199" s="1" t="s">
        <v>104</v>
      </c>
      <c r="CA2199" s="1">
        <v>2</v>
      </c>
      <c r="CB2199" s="1">
        <v>3</v>
      </c>
      <c r="CC2199" s="1">
        <v>2</v>
      </c>
      <c r="CD2199" s="1" t="s">
        <v>104</v>
      </c>
      <c r="CE2199" s="1">
        <v>2</v>
      </c>
      <c r="CF2199" s="1" t="s">
        <v>104</v>
      </c>
      <c r="CG2199" s="1" t="s">
        <v>104</v>
      </c>
      <c r="CH2199" s="1" t="s">
        <v>104</v>
      </c>
      <c r="CJ2199" s="1">
        <v>0</v>
      </c>
      <c r="CK2199" s="1">
        <v>0</v>
      </c>
      <c r="CL2199" s="1">
        <v>0</v>
      </c>
      <c r="CM2199" s="1" t="s">
        <v>104</v>
      </c>
    </row>
    <row r="2200" spans="1:91" ht="14.25" customHeight="1" x14ac:dyDescent="0.3">
      <c r="A2200" s="1" t="s">
        <v>11437</v>
      </c>
      <c r="B2200" s="1" t="s">
        <v>162</v>
      </c>
      <c r="E2200" s="1" t="s">
        <v>11438</v>
      </c>
      <c r="F2200" s="1" t="s">
        <v>95</v>
      </c>
      <c r="G2200" s="1" t="s">
        <v>116</v>
      </c>
      <c r="H2200" s="1">
        <v>0</v>
      </c>
      <c r="I2200" s="1" t="s">
        <v>117</v>
      </c>
      <c r="L2200" s="1" t="s">
        <v>1065</v>
      </c>
      <c r="M2200" s="1" t="s">
        <v>111</v>
      </c>
      <c r="N2200" s="1">
        <v>0</v>
      </c>
      <c r="O2200" s="1">
        <v>0</v>
      </c>
      <c r="P2200" s="1" t="s">
        <v>276</v>
      </c>
      <c r="Q2200" s="1" t="s">
        <v>184</v>
      </c>
      <c r="R2200" s="1" t="s">
        <v>11439</v>
      </c>
      <c r="S2200" s="1" t="s">
        <v>11416</v>
      </c>
      <c r="T2200" s="1">
        <v>1</v>
      </c>
      <c r="U2200" s="1">
        <v>1</v>
      </c>
      <c r="V2200" s="1">
        <v>0</v>
      </c>
      <c r="W2200" s="1">
        <v>0</v>
      </c>
      <c r="X2200" s="1">
        <v>0</v>
      </c>
      <c r="Y2200" s="1">
        <v>3</v>
      </c>
      <c r="Z2200" s="1">
        <v>3</v>
      </c>
      <c r="AA2200" s="1" t="s">
        <v>104</v>
      </c>
      <c r="AB2200" s="1">
        <v>3</v>
      </c>
      <c r="AC2200" s="1" t="s">
        <v>104</v>
      </c>
      <c r="AD2200" s="1" t="s">
        <v>104</v>
      </c>
      <c r="AE2200" s="1" t="s">
        <v>104</v>
      </c>
      <c r="AF2200" s="1" t="s">
        <v>104</v>
      </c>
      <c r="AG2200" s="1" t="s">
        <v>104</v>
      </c>
      <c r="AH2200" s="1">
        <v>3</v>
      </c>
      <c r="AI2200" s="1">
        <v>3</v>
      </c>
      <c r="AJ2200" s="1" t="s">
        <v>104</v>
      </c>
      <c r="AK2200" s="1" t="s">
        <v>104</v>
      </c>
      <c r="AL2200" s="1" t="s">
        <v>104</v>
      </c>
      <c r="AM2200" s="1" t="s">
        <v>104</v>
      </c>
      <c r="AO2200" s="1">
        <v>3</v>
      </c>
      <c r="AR2200" s="1">
        <v>0</v>
      </c>
      <c r="AS2200" s="1">
        <v>0</v>
      </c>
      <c r="AT2200" s="1">
        <v>0</v>
      </c>
      <c r="AU2200" s="1">
        <v>0</v>
      </c>
      <c r="AV2200" s="1">
        <v>0</v>
      </c>
      <c r="AW2200" s="1">
        <v>0</v>
      </c>
      <c r="AX2200" s="1">
        <v>0</v>
      </c>
      <c r="AY2200" s="1">
        <v>0</v>
      </c>
      <c r="AZ2200" s="1">
        <v>0</v>
      </c>
      <c r="BA2200" s="1">
        <v>0</v>
      </c>
      <c r="BB2200" s="1">
        <v>0</v>
      </c>
      <c r="BC2200" s="1">
        <v>0</v>
      </c>
      <c r="BD2200" s="1">
        <v>0</v>
      </c>
      <c r="BE2200" s="1">
        <v>0</v>
      </c>
      <c r="BF2200" s="1">
        <v>0</v>
      </c>
      <c r="BG2200" s="1">
        <v>0</v>
      </c>
      <c r="BH2200" s="1">
        <v>0</v>
      </c>
      <c r="BI2200" s="1">
        <v>0</v>
      </c>
      <c r="BJ2200" s="1">
        <v>0</v>
      </c>
      <c r="BK2200" s="1">
        <v>0</v>
      </c>
      <c r="BL2200" s="1">
        <v>0</v>
      </c>
      <c r="BM2200" s="1">
        <v>0</v>
      </c>
      <c r="BN2200" s="1">
        <v>0</v>
      </c>
      <c r="BO2200" s="1">
        <v>0</v>
      </c>
      <c r="BP2200" s="1">
        <v>0</v>
      </c>
      <c r="BQ2200" s="1" t="s">
        <v>104</v>
      </c>
      <c r="BR2200" s="1">
        <v>2317</v>
      </c>
      <c r="BS2200" s="1" t="s">
        <v>104</v>
      </c>
      <c r="BX2200" s="1">
        <v>0</v>
      </c>
      <c r="BY2200" s="1" t="s">
        <v>104</v>
      </c>
      <c r="BZ2200" s="1">
        <v>3</v>
      </c>
      <c r="CA2200" s="1">
        <v>3</v>
      </c>
      <c r="CB2200" s="1" t="s">
        <v>104</v>
      </c>
      <c r="CC2200" s="1" t="s">
        <v>104</v>
      </c>
      <c r="CD2200" s="1">
        <v>3</v>
      </c>
      <c r="CE2200" s="1" t="s">
        <v>104</v>
      </c>
      <c r="CF2200" s="1" t="s">
        <v>104</v>
      </c>
      <c r="CG2200" s="1" t="s">
        <v>104</v>
      </c>
      <c r="CH2200" s="1">
        <v>3</v>
      </c>
      <c r="CJ2200" s="1">
        <v>0</v>
      </c>
      <c r="CK2200" s="1">
        <v>0</v>
      </c>
      <c r="CL2200" s="1">
        <v>0</v>
      </c>
      <c r="CM2200" s="1" t="s">
        <v>104</v>
      </c>
    </row>
    <row r="2201" spans="1:91" ht="14.25" customHeight="1" x14ac:dyDescent="0.3">
      <c r="A2201" s="1" t="s">
        <v>11440</v>
      </c>
      <c r="B2201" s="1" t="s">
        <v>216</v>
      </c>
      <c r="D2201" s="1" t="s">
        <v>11441</v>
      </c>
      <c r="E2201" s="1" t="s">
        <v>11442</v>
      </c>
      <c r="F2201" s="1" t="s">
        <v>95</v>
      </c>
      <c r="G2201" s="1" t="s">
        <v>116</v>
      </c>
      <c r="H2201" s="1">
        <v>0</v>
      </c>
      <c r="I2201" s="1" t="s">
        <v>128</v>
      </c>
      <c r="L2201" s="1" t="s">
        <v>7756</v>
      </c>
      <c r="M2201" s="1" t="s">
        <v>11443</v>
      </c>
      <c r="N2201" s="1">
        <v>0</v>
      </c>
      <c r="O2201" s="1">
        <v>0</v>
      </c>
      <c r="P2201" s="1" t="s">
        <v>11444</v>
      </c>
      <c r="Q2201" s="1" t="s">
        <v>184</v>
      </c>
      <c r="R2201" s="1" t="s">
        <v>11445</v>
      </c>
      <c r="S2201" s="1" t="s">
        <v>11416</v>
      </c>
      <c r="T2201" s="1">
        <v>1</v>
      </c>
      <c r="U2201" s="1">
        <v>1</v>
      </c>
      <c r="V2201" s="1">
        <v>0</v>
      </c>
      <c r="W2201" s="1">
        <v>0</v>
      </c>
      <c r="X2201" s="1">
        <v>0</v>
      </c>
      <c r="Y2201" s="1" t="s">
        <v>104</v>
      </c>
      <c r="Z2201" s="1" t="s">
        <v>104</v>
      </c>
      <c r="AA2201" s="1" t="s">
        <v>104</v>
      </c>
      <c r="AB2201" s="1" t="s">
        <v>104</v>
      </c>
      <c r="AC2201" s="1" t="s">
        <v>104</v>
      </c>
      <c r="AD2201" s="1" t="s">
        <v>104</v>
      </c>
      <c r="AE2201" s="1" t="s">
        <v>104</v>
      </c>
      <c r="AF2201" s="1" t="s">
        <v>104</v>
      </c>
      <c r="AG2201" s="1" t="s">
        <v>104</v>
      </c>
      <c r="AH2201" s="1">
        <v>4</v>
      </c>
      <c r="AI2201" s="1">
        <v>3</v>
      </c>
      <c r="AJ2201" s="1" t="s">
        <v>104</v>
      </c>
      <c r="AK2201" s="1">
        <v>3</v>
      </c>
      <c r="AL2201" s="1" t="s">
        <v>104</v>
      </c>
      <c r="AM2201" s="1" t="s">
        <v>104</v>
      </c>
      <c r="AO2201" s="1" t="s">
        <v>104</v>
      </c>
      <c r="AR2201" s="1">
        <v>0</v>
      </c>
      <c r="AS2201" s="1">
        <v>0</v>
      </c>
      <c r="AT2201" s="1">
        <v>0</v>
      </c>
      <c r="AU2201" s="1">
        <v>0</v>
      </c>
      <c r="AV2201" s="1">
        <v>1</v>
      </c>
      <c r="AW2201" s="1">
        <v>0</v>
      </c>
      <c r="AX2201" s="1">
        <v>0</v>
      </c>
      <c r="AY2201" s="1">
        <v>0</v>
      </c>
      <c r="AZ2201" s="1">
        <v>0</v>
      </c>
      <c r="BA2201" s="1">
        <v>0</v>
      </c>
      <c r="BB2201" s="1">
        <v>0</v>
      </c>
      <c r="BC2201" s="1">
        <v>0</v>
      </c>
      <c r="BD2201" s="1">
        <v>0</v>
      </c>
      <c r="BE2201" s="1">
        <v>0</v>
      </c>
      <c r="BF2201" s="1">
        <v>0</v>
      </c>
      <c r="BG2201" s="1">
        <v>0</v>
      </c>
      <c r="BH2201" s="1">
        <v>0</v>
      </c>
      <c r="BI2201" s="1">
        <v>0</v>
      </c>
      <c r="BJ2201" s="1">
        <v>0</v>
      </c>
      <c r="BK2201" s="1">
        <v>0</v>
      </c>
      <c r="BL2201" s="1">
        <v>0</v>
      </c>
      <c r="BM2201" s="1">
        <v>0</v>
      </c>
      <c r="BN2201" s="1">
        <v>0</v>
      </c>
      <c r="BO2201" s="1">
        <v>0</v>
      </c>
      <c r="BP2201" s="1">
        <v>0</v>
      </c>
      <c r="BQ2201" s="1" t="s">
        <v>104</v>
      </c>
      <c r="BR2201" s="1">
        <v>2318</v>
      </c>
      <c r="BS2201" s="1" t="s">
        <v>104</v>
      </c>
      <c r="BX2201" s="1">
        <v>0</v>
      </c>
      <c r="BY2201" s="1" t="s">
        <v>104</v>
      </c>
      <c r="BZ2201" s="1" t="s">
        <v>104</v>
      </c>
      <c r="CA2201" s="1" t="s">
        <v>104</v>
      </c>
      <c r="CB2201" s="1" t="s">
        <v>104</v>
      </c>
      <c r="CC2201" s="1" t="s">
        <v>104</v>
      </c>
      <c r="CD2201" s="1">
        <v>3</v>
      </c>
      <c r="CE2201" s="1">
        <v>3</v>
      </c>
      <c r="CF2201" s="1" t="s">
        <v>104</v>
      </c>
      <c r="CG2201" s="1" t="s">
        <v>104</v>
      </c>
      <c r="CH2201" s="1" t="s">
        <v>104</v>
      </c>
      <c r="CJ2201" s="1">
        <v>0</v>
      </c>
      <c r="CK2201" s="1">
        <v>0</v>
      </c>
      <c r="CL2201" s="1">
        <v>0</v>
      </c>
      <c r="CM2201" s="1" t="s">
        <v>104</v>
      </c>
    </row>
    <row r="2202" spans="1:91" ht="14.25" customHeight="1" x14ac:dyDescent="0.3">
      <c r="A2202" s="1" t="s">
        <v>11446</v>
      </c>
      <c r="B2202" s="1" t="s">
        <v>172</v>
      </c>
      <c r="D2202" s="1" t="s">
        <v>125</v>
      </c>
      <c r="E2202" s="1" t="s">
        <v>11447</v>
      </c>
      <c r="F2202" s="1" t="s">
        <v>95</v>
      </c>
      <c r="G2202" s="1" t="s">
        <v>1802</v>
      </c>
      <c r="H2202" s="1">
        <v>0</v>
      </c>
      <c r="I2202" s="1" t="s">
        <v>157</v>
      </c>
      <c r="J2202" s="1" t="s">
        <v>3086</v>
      </c>
      <c r="M2202" s="1" t="s">
        <v>426</v>
      </c>
      <c r="N2202" s="1">
        <v>1</v>
      </c>
      <c r="O2202" s="1">
        <v>0</v>
      </c>
      <c r="P2202" s="1" t="s">
        <v>211</v>
      </c>
      <c r="Q2202" s="1" t="s">
        <v>184</v>
      </c>
      <c r="R2202" s="1" t="s">
        <v>11448</v>
      </c>
      <c r="S2202" s="1" t="s">
        <v>11416</v>
      </c>
      <c r="T2202" s="1">
        <v>0</v>
      </c>
      <c r="U2202" s="1">
        <v>1</v>
      </c>
      <c r="V2202" s="1">
        <v>0</v>
      </c>
      <c r="W2202" s="1">
        <v>0</v>
      </c>
      <c r="X2202" s="1">
        <v>0</v>
      </c>
      <c r="Y2202" s="1" t="s">
        <v>104</v>
      </c>
      <c r="Z2202" s="1" t="s">
        <v>104</v>
      </c>
      <c r="AA2202" s="1" t="s">
        <v>104</v>
      </c>
      <c r="AB2202" s="1">
        <v>4</v>
      </c>
      <c r="AC2202" s="1" t="s">
        <v>104</v>
      </c>
      <c r="AD2202" s="1" t="s">
        <v>104</v>
      </c>
      <c r="AE2202" s="1" t="s">
        <v>104</v>
      </c>
      <c r="AF2202" s="1" t="s">
        <v>104</v>
      </c>
      <c r="AG2202" s="1" t="s">
        <v>104</v>
      </c>
      <c r="AH2202" s="1">
        <v>3</v>
      </c>
      <c r="AI2202" s="1" t="s">
        <v>104</v>
      </c>
      <c r="AJ2202" s="1" t="s">
        <v>104</v>
      </c>
      <c r="AK2202" s="1" t="s">
        <v>104</v>
      </c>
      <c r="AL2202" s="1" t="s">
        <v>104</v>
      </c>
      <c r="AM2202" s="1" t="s">
        <v>104</v>
      </c>
      <c r="AO2202" s="1">
        <v>4</v>
      </c>
      <c r="AR2202" s="1">
        <v>0</v>
      </c>
      <c r="AS2202" s="1">
        <v>0</v>
      </c>
      <c r="AT2202" s="1">
        <v>0</v>
      </c>
      <c r="AU2202" s="1">
        <v>0</v>
      </c>
      <c r="AV2202" s="1">
        <v>0</v>
      </c>
      <c r="AW2202" s="1">
        <v>0</v>
      </c>
      <c r="AX2202" s="1">
        <v>0</v>
      </c>
      <c r="AY2202" s="1">
        <v>0</v>
      </c>
      <c r="AZ2202" s="1">
        <v>0</v>
      </c>
      <c r="BA2202" s="1">
        <v>0</v>
      </c>
      <c r="BB2202" s="1">
        <v>0</v>
      </c>
      <c r="BC2202" s="1">
        <v>0</v>
      </c>
      <c r="BD2202" s="1">
        <v>0</v>
      </c>
      <c r="BE2202" s="1">
        <v>0</v>
      </c>
      <c r="BF2202" s="1">
        <v>0</v>
      </c>
      <c r="BG2202" s="1">
        <v>0</v>
      </c>
      <c r="BH2202" s="1">
        <v>0</v>
      </c>
      <c r="BI2202" s="1">
        <v>0</v>
      </c>
      <c r="BJ2202" s="1">
        <v>0</v>
      </c>
      <c r="BK2202" s="1">
        <v>1</v>
      </c>
      <c r="BL2202" s="1">
        <v>0</v>
      </c>
      <c r="BM2202" s="1">
        <v>0</v>
      </c>
      <c r="BN2202" s="1">
        <v>0</v>
      </c>
      <c r="BO2202" s="1">
        <v>0</v>
      </c>
      <c r="BP2202" s="1">
        <v>0</v>
      </c>
      <c r="BQ2202" s="1" t="s">
        <v>104</v>
      </c>
      <c r="BR2202" s="1">
        <v>2319</v>
      </c>
      <c r="BS2202" s="1" t="s">
        <v>104</v>
      </c>
      <c r="BX2202" s="1">
        <v>0</v>
      </c>
      <c r="BY2202" s="1" t="s">
        <v>104</v>
      </c>
      <c r="BZ2202" s="1" t="s">
        <v>104</v>
      </c>
      <c r="CA2202" s="1">
        <v>3</v>
      </c>
      <c r="CB2202" s="1">
        <v>2</v>
      </c>
      <c r="CC2202" s="1">
        <v>3</v>
      </c>
      <c r="CD2202" s="1" t="s">
        <v>104</v>
      </c>
      <c r="CE2202" s="1" t="s">
        <v>104</v>
      </c>
      <c r="CF2202" s="1" t="s">
        <v>104</v>
      </c>
      <c r="CG2202" s="1" t="s">
        <v>104</v>
      </c>
      <c r="CH2202" s="1">
        <v>4</v>
      </c>
      <c r="CJ2202" s="1">
        <v>0</v>
      </c>
      <c r="CK2202" s="1">
        <v>0</v>
      </c>
      <c r="CL2202" s="1">
        <v>0</v>
      </c>
      <c r="CM2202" s="1" t="s">
        <v>104</v>
      </c>
    </row>
    <row r="2203" spans="1:91" ht="14.25" customHeight="1" x14ac:dyDescent="0.3">
      <c r="A2203" s="1" t="s">
        <v>11449</v>
      </c>
      <c r="B2203" s="1" t="s">
        <v>507</v>
      </c>
      <c r="C2203" s="1" t="s">
        <v>1308</v>
      </c>
      <c r="D2203" s="1" t="s">
        <v>125</v>
      </c>
      <c r="E2203" s="1" t="s">
        <v>11450</v>
      </c>
      <c r="F2203" s="1" t="s">
        <v>95</v>
      </c>
      <c r="G2203" s="1" t="s">
        <v>237</v>
      </c>
      <c r="H2203" s="1">
        <v>0</v>
      </c>
      <c r="I2203" s="1" t="s">
        <v>157</v>
      </c>
      <c r="L2203" s="1" t="s">
        <v>158</v>
      </c>
      <c r="M2203" s="1" t="s">
        <v>426</v>
      </c>
      <c r="N2203" s="1">
        <v>1</v>
      </c>
      <c r="O2203" s="1">
        <v>0</v>
      </c>
      <c r="P2203" s="1" t="s">
        <v>100</v>
      </c>
      <c r="Q2203" s="1" t="s">
        <v>100</v>
      </c>
      <c r="R2203" s="1" t="s">
        <v>11451</v>
      </c>
      <c r="S2203" s="1" t="s">
        <v>11416</v>
      </c>
      <c r="T2203" s="1">
        <v>1</v>
      </c>
      <c r="U2203" s="1">
        <v>0</v>
      </c>
      <c r="V2203" s="1">
        <v>0</v>
      </c>
      <c r="W2203" s="1">
        <v>0</v>
      </c>
      <c r="X2203" s="1">
        <v>0</v>
      </c>
      <c r="Y2203" s="1">
        <v>7</v>
      </c>
      <c r="Z2203" s="1">
        <v>7</v>
      </c>
      <c r="AA2203" s="1" t="s">
        <v>104</v>
      </c>
      <c r="AB2203" s="1" t="s">
        <v>104</v>
      </c>
      <c r="AC2203" s="1" t="s">
        <v>104</v>
      </c>
      <c r="AD2203" s="1">
        <v>6</v>
      </c>
      <c r="AE2203" s="1" t="s">
        <v>104</v>
      </c>
      <c r="AF2203" s="1" t="s">
        <v>104</v>
      </c>
      <c r="AG2203" s="1" t="s">
        <v>104</v>
      </c>
      <c r="AH2203" s="1" t="s">
        <v>104</v>
      </c>
      <c r="AI2203" s="1" t="s">
        <v>104</v>
      </c>
      <c r="AJ2203" s="1" t="s">
        <v>104</v>
      </c>
      <c r="AK2203" s="1" t="s">
        <v>104</v>
      </c>
      <c r="AL2203" s="1" t="s">
        <v>104</v>
      </c>
      <c r="AM2203" s="1" t="s">
        <v>104</v>
      </c>
      <c r="AO2203" s="1">
        <v>7</v>
      </c>
      <c r="AR2203" s="1">
        <v>0</v>
      </c>
      <c r="AS2203" s="1">
        <v>0</v>
      </c>
      <c r="AT2203" s="1">
        <v>0</v>
      </c>
      <c r="AU2203" s="1">
        <v>0</v>
      </c>
      <c r="AV2203" s="1">
        <v>0</v>
      </c>
      <c r="AW2203" s="1">
        <v>0</v>
      </c>
      <c r="AX2203" s="1">
        <v>0</v>
      </c>
      <c r="AY2203" s="1">
        <v>0</v>
      </c>
      <c r="AZ2203" s="1">
        <v>0</v>
      </c>
      <c r="BA2203" s="1">
        <v>0</v>
      </c>
      <c r="BB2203" s="1">
        <v>0</v>
      </c>
      <c r="BC2203" s="1">
        <v>0</v>
      </c>
      <c r="BD2203" s="1">
        <v>0</v>
      </c>
      <c r="BE2203" s="1">
        <v>0</v>
      </c>
      <c r="BF2203" s="1">
        <v>0</v>
      </c>
      <c r="BG2203" s="1">
        <v>0</v>
      </c>
      <c r="BH2203" s="1">
        <v>0</v>
      </c>
      <c r="BI2203" s="1">
        <v>0</v>
      </c>
      <c r="BJ2203" s="1">
        <v>0</v>
      </c>
      <c r="BK2203" s="1">
        <v>1</v>
      </c>
      <c r="BL2203" s="1">
        <v>0</v>
      </c>
      <c r="BM2203" s="1">
        <v>0</v>
      </c>
      <c r="BN2203" s="1">
        <v>0</v>
      </c>
      <c r="BO2203" s="1">
        <v>0</v>
      </c>
      <c r="BP2203" s="1">
        <v>0</v>
      </c>
      <c r="BQ2203" s="1" t="s">
        <v>104</v>
      </c>
      <c r="BR2203" s="1">
        <v>2320</v>
      </c>
      <c r="BS2203" s="1" t="s">
        <v>104</v>
      </c>
      <c r="BX2203" s="1">
        <v>0</v>
      </c>
      <c r="BY2203" s="1" t="s">
        <v>104</v>
      </c>
      <c r="BZ2203" s="1" t="s">
        <v>104</v>
      </c>
      <c r="CA2203" s="1">
        <v>6</v>
      </c>
      <c r="CB2203" s="1">
        <v>5</v>
      </c>
      <c r="CC2203" s="1">
        <v>5</v>
      </c>
      <c r="CD2203" s="1" t="s">
        <v>104</v>
      </c>
      <c r="CE2203" s="1" t="s">
        <v>104</v>
      </c>
      <c r="CF2203" s="1" t="s">
        <v>104</v>
      </c>
      <c r="CG2203" s="1" t="s">
        <v>104</v>
      </c>
      <c r="CH2203" s="1" t="s">
        <v>104</v>
      </c>
      <c r="CJ2203" s="1">
        <v>0</v>
      </c>
      <c r="CK2203" s="1">
        <v>0</v>
      </c>
      <c r="CL2203" s="1">
        <v>0</v>
      </c>
      <c r="CM2203" s="1" t="s">
        <v>104</v>
      </c>
    </row>
    <row r="2204" spans="1:91" ht="14.25" customHeight="1" x14ac:dyDescent="0.3">
      <c r="A2204" s="1" t="s">
        <v>11452</v>
      </c>
      <c r="B2204" s="1" t="s">
        <v>434</v>
      </c>
      <c r="E2204" s="1" t="s">
        <v>11453</v>
      </c>
      <c r="F2204" s="1" t="s">
        <v>95</v>
      </c>
      <c r="G2204" s="1" t="s">
        <v>116</v>
      </c>
      <c r="H2204" s="1">
        <v>0</v>
      </c>
      <c r="I2204" s="1" t="s">
        <v>4350</v>
      </c>
      <c r="K2204" s="1" t="s">
        <v>11454</v>
      </c>
      <c r="M2204" s="1" t="s">
        <v>2330</v>
      </c>
      <c r="N2204" s="1">
        <v>0</v>
      </c>
      <c r="O2204" s="1">
        <v>0</v>
      </c>
      <c r="P2204" s="1" t="s">
        <v>100</v>
      </c>
      <c r="Q2204" s="1" t="s">
        <v>101</v>
      </c>
      <c r="R2204" s="1" t="s">
        <v>11455</v>
      </c>
      <c r="S2204" s="1" t="s">
        <v>11416</v>
      </c>
      <c r="T2204" s="1">
        <v>1</v>
      </c>
      <c r="U2204" s="1">
        <v>1</v>
      </c>
      <c r="V2204" s="1">
        <v>0</v>
      </c>
      <c r="W2204" s="1">
        <v>0</v>
      </c>
      <c r="X2204" s="1">
        <v>0</v>
      </c>
      <c r="Y2204" s="1" t="s">
        <v>104</v>
      </c>
      <c r="Z2204" s="1" t="s">
        <v>104</v>
      </c>
      <c r="AA2204" s="1" t="s">
        <v>104</v>
      </c>
      <c r="AB2204" s="1" t="s">
        <v>104</v>
      </c>
      <c r="AC2204" s="1" t="s">
        <v>104</v>
      </c>
      <c r="AD2204" s="1" t="s">
        <v>104</v>
      </c>
      <c r="AE2204" s="1" t="s">
        <v>104</v>
      </c>
      <c r="AF2204" s="1" t="s">
        <v>104</v>
      </c>
      <c r="AG2204" s="1" t="s">
        <v>104</v>
      </c>
      <c r="AH2204" s="1" t="s">
        <v>104</v>
      </c>
      <c r="AI2204" s="1" t="s">
        <v>104</v>
      </c>
      <c r="AJ2204" s="1" t="s">
        <v>104</v>
      </c>
      <c r="AK2204" s="1" t="s">
        <v>104</v>
      </c>
      <c r="AL2204" s="1" t="s">
        <v>104</v>
      </c>
      <c r="AM2204" s="1" t="s">
        <v>104</v>
      </c>
      <c r="AO2204" s="1" t="s">
        <v>104</v>
      </c>
      <c r="AR2204" s="1">
        <v>0</v>
      </c>
      <c r="AS2204" s="1">
        <v>0</v>
      </c>
      <c r="AT2204" s="1">
        <v>0</v>
      </c>
      <c r="AU2204" s="1">
        <v>0</v>
      </c>
      <c r="AV2204" s="1">
        <v>0</v>
      </c>
      <c r="AW2204" s="1">
        <v>0</v>
      </c>
      <c r="AX2204" s="1">
        <v>0</v>
      </c>
      <c r="AY2204" s="1">
        <v>0</v>
      </c>
      <c r="AZ2204" s="1">
        <v>0</v>
      </c>
      <c r="BA2204" s="1">
        <v>0</v>
      </c>
      <c r="BB2204" s="1">
        <v>0</v>
      </c>
      <c r="BC2204" s="1">
        <v>0</v>
      </c>
      <c r="BD2204" s="1">
        <v>0</v>
      </c>
      <c r="BE2204" s="1">
        <v>0</v>
      </c>
      <c r="BF2204" s="1">
        <v>0</v>
      </c>
      <c r="BG2204" s="1">
        <v>0</v>
      </c>
      <c r="BH2204" s="1">
        <v>0</v>
      </c>
      <c r="BI2204" s="1">
        <v>0</v>
      </c>
      <c r="BJ2204" s="1">
        <v>0</v>
      </c>
      <c r="BK2204" s="1">
        <v>0</v>
      </c>
      <c r="BL2204" s="1">
        <v>0</v>
      </c>
      <c r="BM2204" s="1">
        <v>0</v>
      </c>
      <c r="BN2204" s="1">
        <v>0</v>
      </c>
      <c r="BO2204" s="1">
        <v>0</v>
      </c>
      <c r="BP2204" s="1">
        <v>0</v>
      </c>
      <c r="BQ2204" s="1" t="s">
        <v>104</v>
      </c>
      <c r="BR2204" s="1">
        <v>2321</v>
      </c>
      <c r="BS2204" s="1" t="s">
        <v>104</v>
      </c>
      <c r="BX2204" s="1">
        <v>0</v>
      </c>
      <c r="BY2204" s="1" t="s">
        <v>104</v>
      </c>
      <c r="BZ2204" s="1" t="s">
        <v>104</v>
      </c>
      <c r="CA2204" s="1">
        <v>5</v>
      </c>
      <c r="CB2204" s="1" t="s">
        <v>104</v>
      </c>
      <c r="CC2204" s="1" t="s">
        <v>104</v>
      </c>
      <c r="CD2204" s="1">
        <v>5</v>
      </c>
      <c r="CE2204" s="1">
        <v>4</v>
      </c>
      <c r="CF2204" s="1" t="s">
        <v>104</v>
      </c>
      <c r="CG2204" s="1" t="s">
        <v>104</v>
      </c>
      <c r="CH2204" s="1" t="s">
        <v>104</v>
      </c>
      <c r="CJ2204" s="1">
        <v>0</v>
      </c>
      <c r="CK2204" s="1">
        <v>0</v>
      </c>
      <c r="CL2204" s="1">
        <v>0</v>
      </c>
      <c r="CM2204" s="1" t="s">
        <v>104</v>
      </c>
    </row>
    <row r="2205" spans="1:91" ht="14.25" customHeight="1" x14ac:dyDescent="0.3">
      <c r="A2205" s="1" t="s">
        <v>11456</v>
      </c>
      <c r="B2205" s="1" t="s">
        <v>507</v>
      </c>
      <c r="C2205" s="1" t="s">
        <v>1308</v>
      </c>
      <c r="D2205" s="1" t="s">
        <v>11457</v>
      </c>
      <c r="E2205" s="1" t="s">
        <v>11458</v>
      </c>
      <c r="F2205" s="1" t="s">
        <v>95</v>
      </c>
      <c r="G2205" s="1" t="s">
        <v>116</v>
      </c>
      <c r="H2205" s="1">
        <v>0</v>
      </c>
      <c r="I2205" s="1" t="s">
        <v>157</v>
      </c>
      <c r="L2205" s="1" t="s">
        <v>158</v>
      </c>
      <c r="M2205" s="1" t="s">
        <v>426</v>
      </c>
      <c r="N2205" s="1">
        <v>1</v>
      </c>
      <c r="O2205" s="1">
        <v>0</v>
      </c>
      <c r="R2205" s="1" t="s">
        <v>11459</v>
      </c>
      <c r="S2205" s="1" t="s">
        <v>11416</v>
      </c>
      <c r="T2205" s="1">
        <v>1</v>
      </c>
      <c r="U2205" s="1">
        <v>1</v>
      </c>
      <c r="V2205" s="1">
        <v>0</v>
      </c>
      <c r="W2205" s="1">
        <v>0</v>
      </c>
      <c r="X2205" s="1">
        <v>0</v>
      </c>
      <c r="Y2205" s="1" t="s">
        <v>104</v>
      </c>
      <c r="Z2205" s="1" t="s">
        <v>104</v>
      </c>
      <c r="AA2205" s="1" t="s">
        <v>104</v>
      </c>
      <c r="AB2205" s="1" t="s">
        <v>104</v>
      </c>
      <c r="AC2205" s="1" t="s">
        <v>104</v>
      </c>
      <c r="AD2205" s="1" t="s">
        <v>104</v>
      </c>
      <c r="AE2205" s="1" t="s">
        <v>104</v>
      </c>
      <c r="AF2205" s="1" t="s">
        <v>104</v>
      </c>
      <c r="AG2205" s="1" t="s">
        <v>104</v>
      </c>
      <c r="AH2205" s="1" t="s">
        <v>104</v>
      </c>
      <c r="AI2205" s="1" t="s">
        <v>104</v>
      </c>
      <c r="AJ2205" s="1" t="s">
        <v>104</v>
      </c>
      <c r="AK2205" s="1" t="s">
        <v>104</v>
      </c>
      <c r="AL2205" s="1" t="s">
        <v>104</v>
      </c>
      <c r="AM2205" s="1" t="s">
        <v>104</v>
      </c>
      <c r="AO2205" s="1" t="s">
        <v>104</v>
      </c>
      <c r="AR2205" s="1">
        <v>0</v>
      </c>
      <c r="AS2205" s="1">
        <v>0</v>
      </c>
      <c r="AT2205" s="1">
        <v>0</v>
      </c>
      <c r="AU2205" s="1">
        <v>0</v>
      </c>
      <c r="AV2205" s="1">
        <v>0</v>
      </c>
      <c r="AW2205" s="1">
        <v>0</v>
      </c>
      <c r="AX2205" s="1">
        <v>0</v>
      </c>
      <c r="AY2205" s="1">
        <v>0</v>
      </c>
      <c r="AZ2205" s="1">
        <v>0</v>
      </c>
      <c r="BA2205" s="1">
        <v>0</v>
      </c>
      <c r="BB2205" s="1">
        <v>1</v>
      </c>
      <c r="BC2205" s="1">
        <v>0</v>
      </c>
      <c r="BD2205" s="1">
        <v>1</v>
      </c>
      <c r="BE2205" s="1">
        <v>0</v>
      </c>
      <c r="BF2205" s="1">
        <v>0</v>
      </c>
      <c r="BG2205" s="1">
        <v>0</v>
      </c>
      <c r="BH2205" s="1">
        <v>0</v>
      </c>
      <c r="BI2205" s="1">
        <v>0</v>
      </c>
      <c r="BJ2205" s="1">
        <v>0</v>
      </c>
      <c r="BK2205" s="1">
        <v>1</v>
      </c>
      <c r="BL2205" s="1">
        <v>0</v>
      </c>
      <c r="BM2205" s="1">
        <v>0</v>
      </c>
      <c r="BN2205" s="1">
        <v>0</v>
      </c>
      <c r="BO2205" s="1">
        <v>0</v>
      </c>
      <c r="BP2205" s="1">
        <v>0</v>
      </c>
      <c r="BQ2205" s="1" t="s">
        <v>104</v>
      </c>
      <c r="BR2205" s="1">
        <v>2322</v>
      </c>
      <c r="BS2205" s="1" t="s">
        <v>104</v>
      </c>
      <c r="BX2205" s="1">
        <v>0</v>
      </c>
      <c r="BY2205" s="1" t="s">
        <v>104</v>
      </c>
      <c r="BZ2205" s="1" t="s">
        <v>104</v>
      </c>
      <c r="CA2205" s="1">
        <v>8</v>
      </c>
      <c r="CB2205" s="1" t="s">
        <v>104</v>
      </c>
      <c r="CC2205" s="1">
        <v>6</v>
      </c>
      <c r="CD2205" s="1" t="s">
        <v>104</v>
      </c>
      <c r="CE2205" s="1" t="s">
        <v>104</v>
      </c>
      <c r="CF2205" s="1" t="s">
        <v>104</v>
      </c>
      <c r="CG2205" s="1" t="s">
        <v>104</v>
      </c>
      <c r="CH2205" s="1" t="s">
        <v>104</v>
      </c>
      <c r="CJ2205" s="1">
        <v>0</v>
      </c>
      <c r="CK2205" s="1">
        <v>0</v>
      </c>
      <c r="CL2205" s="1">
        <v>0</v>
      </c>
      <c r="CM2205" s="1" t="s">
        <v>104</v>
      </c>
    </row>
    <row r="2206" spans="1:91" ht="14.25" customHeight="1" x14ac:dyDescent="0.3">
      <c r="A2206" s="1" t="s">
        <v>11460</v>
      </c>
      <c r="B2206" s="1" t="s">
        <v>216</v>
      </c>
      <c r="E2206" s="1" t="s">
        <v>11461</v>
      </c>
      <c r="F2206" s="1" t="s">
        <v>95</v>
      </c>
      <c r="G2206" s="1" t="s">
        <v>116</v>
      </c>
      <c r="H2206" s="1">
        <v>0</v>
      </c>
      <c r="I2206" s="1" t="s">
        <v>128</v>
      </c>
      <c r="L2206" s="1" t="s">
        <v>1065</v>
      </c>
      <c r="M2206" s="1" t="s">
        <v>119</v>
      </c>
      <c r="N2206" s="1">
        <v>0</v>
      </c>
      <c r="O2206" s="1">
        <v>0</v>
      </c>
      <c r="P2206" s="1" t="s">
        <v>10293</v>
      </c>
      <c r="Q2206" s="1" t="s">
        <v>184</v>
      </c>
      <c r="R2206" s="1" t="s">
        <v>11462</v>
      </c>
      <c r="S2206" s="1" t="s">
        <v>11416</v>
      </c>
      <c r="T2206" s="1">
        <v>1</v>
      </c>
      <c r="U2206" s="1">
        <v>1</v>
      </c>
      <c r="V2206" s="1">
        <v>0</v>
      </c>
      <c r="W2206" s="1">
        <v>0</v>
      </c>
      <c r="X2206" s="1">
        <v>0</v>
      </c>
      <c r="Y2206" s="1" t="s">
        <v>104</v>
      </c>
      <c r="Z2206" s="1" t="s">
        <v>104</v>
      </c>
      <c r="AA2206" s="1" t="s">
        <v>104</v>
      </c>
      <c r="AB2206" s="1" t="s">
        <v>104</v>
      </c>
      <c r="AC2206" s="1" t="s">
        <v>104</v>
      </c>
      <c r="AD2206" s="1" t="s">
        <v>104</v>
      </c>
      <c r="AE2206" s="1" t="s">
        <v>104</v>
      </c>
      <c r="AF2206" s="1" t="s">
        <v>104</v>
      </c>
      <c r="AG2206" s="1" t="s">
        <v>104</v>
      </c>
      <c r="AH2206" s="1" t="s">
        <v>104</v>
      </c>
      <c r="AI2206" s="1" t="s">
        <v>104</v>
      </c>
      <c r="AJ2206" s="1" t="s">
        <v>104</v>
      </c>
      <c r="AK2206" s="1" t="s">
        <v>104</v>
      </c>
      <c r="AL2206" s="1" t="s">
        <v>104</v>
      </c>
      <c r="AM2206" s="1" t="s">
        <v>104</v>
      </c>
      <c r="AO2206" s="1">
        <v>2</v>
      </c>
      <c r="AR2206" s="1">
        <v>0</v>
      </c>
      <c r="AS2206" s="1">
        <v>0</v>
      </c>
      <c r="AT2206" s="1">
        <v>0</v>
      </c>
      <c r="AU2206" s="1">
        <v>0</v>
      </c>
      <c r="AV2206" s="1">
        <v>0</v>
      </c>
      <c r="AW2206" s="1">
        <v>0</v>
      </c>
      <c r="AX2206" s="1">
        <v>0</v>
      </c>
      <c r="AY2206" s="1">
        <v>0</v>
      </c>
      <c r="AZ2206" s="1">
        <v>0</v>
      </c>
      <c r="BA2206" s="1">
        <v>0</v>
      </c>
      <c r="BB2206" s="1">
        <v>0</v>
      </c>
      <c r="BC2206" s="1">
        <v>0</v>
      </c>
      <c r="BD2206" s="1">
        <v>0</v>
      </c>
      <c r="BE2206" s="1">
        <v>0</v>
      </c>
      <c r="BF2206" s="1">
        <v>0</v>
      </c>
      <c r="BG2206" s="1">
        <v>0</v>
      </c>
      <c r="BH2206" s="1">
        <v>0</v>
      </c>
      <c r="BI2206" s="1">
        <v>0</v>
      </c>
      <c r="BJ2206" s="1">
        <v>0</v>
      </c>
      <c r="BK2206" s="1">
        <v>0</v>
      </c>
      <c r="BL2206" s="1">
        <v>0</v>
      </c>
      <c r="BM2206" s="1">
        <v>0</v>
      </c>
      <c r="BN2206" s="1">
        <v>0</v>
      </c>
      <c r="BO2206" s="1">
        <v>0</v>
      </c>
      <c r="BP2206" s="1">
        <v>0</v>
      </c>
      <c r="BQ2206" s="1" t="s">
        <v>104</v>
      </c>
      <c r="BR2206" s="1">
        <v>2323</v>
      </c>
      <c r="BS2206" s="1" t="s">
        <v>104</v>
      </c>
      <c r="BX2206" s="1">
        <v>0</v>
      </c>
      <c r="BY2206" s="1" t="s">
        <v>104</v>
      </c>
      <c r="BZ2206" s="1" t="s">
        <v>104</v>
      </c>
      <c r="CA2206" s="1">
        <v>2</v>
      </c>
      <c r="CB2206" s="1" t="s">
        <v>104</v>
      </c>
      <c r="CC2206" s="1">
        <v>2</v>
      </c>
      <c r="CD2206" s="1" t="s">
        <v>104</v>
      </c>
      <c r="CE2206" s="1">
        <v>2</v>
      </c>
      <c r="CF2206" s="1" t="s">
        <v>104</v>
      </c>
      <c r="CG2206" s="1" t="s">
        <v>104</v>
      </c>
      <c r="CH2206" s="1" t="s">
        <v>104</v>
      </c>
      <c r="CJ2206" s="1">
        <v>0</v>
      </c>
      <c r="CK2206" s="1">
        <v>0</v>
      </c>
      <c r="CL2206" s="1">
        <v>0</v>
      </c>
      <c r="CM2206" s="1" t="s">
        <v>104</v>
      </c>
    </row>
    <row r="2207" spans="1:91" ht="14.25" customHeight="1" x14ac:dyDescent="0.3">
      <c r="A2207" s="1" t="s">
        <v>11463</v>
      </c>
      <c r="B2207" s="1" t="s">
        <v>123</v>
      </c>
      <c r="D2207" s="1" t="s">
        <v>125</v>
      </c>
      <c r="E2207" s="1" t="s">
        <v>11464</v>
      </c>
      <c r="F2207" s="1" t="s">
        <v>95</v>
      </c>
      <c r="G2207" s="1" t="s">
        <v>11465</v>
      </c>
      <c r="H2207" s="1">
        <v>0</v>
      </c>
      <c r="I2207" s="1" t="s">
        <v>157</v>
      </c>
      <c r="L2207" s="1" t="s">
        <v>158</v>
      </c>
      <c r="M2207" s="1" t="s">
        <v>11466</v>
      </c>
      <c r="N2207" s="1">
        <v>1</v>
      </c>
      <c r="O2207" s="1">
        <v>0</v>
      </c>
      <c r="P2207" s="1" t="s">
        <v>418</v>
      </c>
      <c r="Q2207" s="1" t="s">
        <v>3284</v>
      </c>
      <c r="R2207" s="1" t="s">
        <v>11467</v>
      </c>
      <c r="S2207" s="1" t="s">
        <v>11416</v>
      </c>
      <c r="T2207" s="1">
        <v>1</v>
      </c>
      <c r="U2207" s="1">
        <v>1</v>
      </c>
      <c r="V2207" s="1">
        <v>1</v>
      </c>
      <c r="W2207" s="1">
        <v>0</v>
      </c>
      <c r="X2207" s="1">
        <v>0</v>
      </c>
      <c r="Y2207" s="1" t="s">
        <v>104</v>
      </c>
      <c r="Z2207" s="1" t="s">
        <v>104</v>
      </c>
      <c r="AA2207" s="1" t="s">
        <v>104</v>
      </c>
      <c r="AB2207" s="1" t="s">
        <v>104</v>
      </c>
      <c r="AC2207" s="1" t="s">
        <v>104</v>
      </c>
      <c r="AD2207" s="1" t="s">
        <v>104</v>
      </c>
      <c r="AE2207" s="1" t="s">
        <v>104</v>
      </c>
      <c r="AF2207" s="1" t="s">
        <v>104</v>
      </c>
      <c r="AG2207" s="1" t="s">
        <v>104</v>
      </c>
      <c r="AH2207" s="1" t="s">
        <v>104</v>
      </c>
      <c r="AI2207" s="1" t="s">
        <v>104</v>
      </c>
      <c r="AJ2207" s="1" t="s">
        <v>104</v>
      </c>
      <c r="AK2207" s="1" t="s">
        <v>104</v>
      </c>
      <c r="AL2207" s="1" t="s">
        <v>104</v>
      </c>
      <c r="AM2207" s="1" t="s">
        <v>104</v>
      </c>
      <c r="AO2207" s="1" t="s">
        <v>104</v>
      </c>
      <c r="AR2207" s="1">
        <v>0</v>
      </c>
      <c r="AS2207" s="1">
        <v>0</v>
      </c>
      <c r="AT2207" s="1">
        <v>0</v>
      </c>
      <c r="AU2207" s="1">
        <v>0</v>
      </c>
      <c r="AV2207" s="1">
        <v>0</v>
      </c>
      <c r="AW2207" s="1">
        <v>0</v>
      </c>
      <c r="AX2207" s="1">
        <v>0</v>
      </c>
      <c r="AY2207" s="1">
        <v>0</v>
      </c>
      <c r="AZ2207" s="1">
        <v>0</v>
      </c>
      <c r="BA2207" s="1">
        <v>0</v>
      </c>
      <c r="BB2207" s="1">
        <v>0</v>
      </c>
      <c r="BC2207" s="1">
        <v>0</v>
      </c>
      <c r="BD2207" s="1">
        <v>0</v>
      </c>
      <c r="BE2207" s="1">
        <v>0</v>
      </c>
      <c r="BF2207" s="1">
        <v>0</v>
      </c>
      <c r="BG2207" s="1">
        <v>0</v>
      </c>
      <c r="BH2207" s="1">
        <v>0</v>
      </c>
      <c r="BI2207" s="1">
        <v>0</v>
      </c>
      <c r="BJ2207" s="1">
        <v>0</v>
      </c>
      <c r="BK2207" s="1">
        <v>1</v>
      </c>
      <c r="BL2207" s="1">
        <v>0</v>
      </c>
      <c r="BM2207" s="1">
        <v>0</v>
      </c>
      <c r="BN2207" s="1">
        <v>0</v>
      </c>
      <c r="BO2207" s="1">
        <v>0</v>
      </c>
      <c r="BP2207" s="1">
        <v>0</v>
      </c>
      <c r="BQ2207" s="1" t="s">
        <v>104</v>
      </c>
      <c r="BR2207" s="1">
        <v>2324</v>
      </c>
      <c r="BS2207" s="1" t="s">
        <v>104</v>
      </c>
      <c r="BX2207" s="1">
        <v>0</v>
      </c>
      <c r="BY2207" s="1" t="s">
        <v>104</v>
      </c>
      <c r="BZ2207" s="1" t="s">
        <v>104</v>
      </c>
      <c r="CA2207" s="1">
        <v>4</v>
      </c>
      <c r="CB2207" s="1">
        <v>3</v>
      </c>
      <c r="CC2207" s="1">
        <v>3</v>
      </c>
      <c r="CD2207" s="1" t="s">
        <v>104</v>
      </c>
      <c r="CE2207" s="1" t="s">
        <v>104</v>
      </c>
      <c r="CF2207" s="1" t="s">
        <v>104</v>
      </c>
      <c r="CG2207" s="1" t="s">
        <v>104</v>
      </c>
      <c r="CH2207" s="1" t="s">
        <v>104</v>
      </c>
      <c r="CJ2207" s="1">
        <v>0</v>
      </c>
      <c r="CK2207" s="1">
        <v>0</v>
      </c>
      <c r="CL2207" s="1">
        <v>0</v>
      </c>
      <c r="CM2207" s="1" t="s">
        <v>104</v>
      </c>
    </row>
    <row r="2208" spans="1:91" ht="14.25" customHeight="1" x14ac:dyDescent="0.3">
      <c r="A2208" s="1" t="s">
        <v>11468</v>
      </c>
      <c r="B2208" s="1" t="s">
        <v>216</v>
      </c>
      <c r="E2208" s="1" t="s">
        <v>10952</v>
      </c>
      <c r="F2208" s="1" t="s">
        <v>95</v>
      </c>
      <c r="G2208" s="1" t="s">
        <v>116</v>
      </c>
      <c r="H2208" s="1">
        <v>0</v>
      </c>
      <c r="I2208" s="1" t="s">
        <v>128</v>
      </c>
      <c r="L2208" s="1" t="s">
        <v>1065</v>
      </c>
      <c r="M2208" s="1" t="s">
        <v>879</v>
      </c>
      <c r="N2208" s="1">
        <v>0</v>
      </c>
      <c r="O2208" s="1">
        <v>0</v>
      </c>
      <c r="P2208" s="1" t="s">
        <v>100</v>
      </c>
      <c r="Q2208" s="1" t="s">
        <v>184</v>
      </c>
      <c r="R2208" s="1" t="s">
        <v>11469</v>
      </c>
      <c r="S2208" s="1" t="s">
        <v>11416</v>
      </c>
      <c r="T2208" s="1">
        <v>1</v>
      </c>
      <c r="U2208" s="1">
        <v>1</v>
      </c>
      <c r="V2208" s="1">
        <v>0</v>
      </c>
      <c r="W2208" s="1">
        <v>0</v>
      </c>
      <c r="X2208" s="1">
        <v>0</v>
      </c>
      <c r="Y2208" s="1" t="s">
        <v>104</v>
      </c>
      <c r="Z2208" s="1" t="s">
        <v>104</v>
      </c>
      <c r="AA2208" s="1" t="s">
        <v>104</v>
      </c>
      <c r="AB2208" s="1" t="s">
        <v>104</v>
      </c>
      <c r="AC2208" s="1" t="s">
        <v>104</v>
      </c>
      <c r="AD2208" s="1" t="s">
        <v>104</v>
      </c>
      <c r="AE2208" s="1" t="s">
        <v>104</v>
      </c>
      <c r="AF2208" s="1" t="s">
        <v>104</v>
      </c>
      <c r="AG2208" s="1" t="s">
        <v>104</v>
      </c>
      <c r="AH2208" s="1" t="s">
        <v>104</v>
      </c>
      <c r="AI2208" s="1" t="s">
        <v>104</v>
      </c>
      <c r="AJ2208" s="1" t="s">
        <v>104</v>
      </c>
      <c r="AK2208" s="1" t="s">
        <v>104</v>
      </c>
      <c r="AL2208" s="1" t="s">
        <v>104</v>
      </c>
      <c r="AM2208" s="1" t="s">
        <v>104</v>
      </c>
      <c r="AO2208" s="1" t="s">
        <v>104</v>
      </c>
      <c r="AR2208" s="1">
        <v>0</v>
      </c>
      <c r="AS2208" s="1">
        <v>0</v>
      </c>
      <c r="AT2208" s="1">
        <v>0</v>
      </c>
      <c r="AU2208" s="1">
        <v>0</v>
      </c>
      <c r="AV2208" s="1">
        <v>0</v>
      </c>
      <c r="AW2208" s="1">
        <v>0</v>
      </c>
      <c r="AX2208" s="1">
        <v>0</v>
      </c>
      <c r="AY2208" s="1">
        <v>0</v>
      </c>
      <c r="AZ2208" s="1">
        <v>0</v>
      </c>
      <c r="BA2208" s="1">
        <v>0</v>
      </c>
      <c r="BB2208" s="1">
        <v>0</v>
      </c>
      <c r="BC2208" s="1">
        <v>0</v>
      </c>
      <c r="BD2208" s="1">
        <v>0</v>
      </c>
      <c r="BE2208" s="1">
        <v>0</v>
      </c>
      <c r="BF2208" s="1">
        <v>0</v>
      </c>
      <c r="BG2208" s="1">
        <v>0</v>
      </c>
      <c r="BH2208" s="1">
        <v>0</v>
      </c>
      <c r="BI2208" s="1">
        <v>0</v>
      </c>
      <c r="BJ2208" s="1">
        <v>0</v>
      </c>
      <c r="BK2208" s="1">
        <v>0</v>
      </c>
      <c r="BL2208" s="1">
        <v>0</v>
      </c>
      <c r="BM2208" s="1">
        <v>0</v>
      </c>
      <c r="BN2208" s="1">
        <v>0</v>
      </c>
      <c r="BO2208" s="1">
        <v>0</v>
      </c>
      <c r="BP2208" s="1">
        <v>0</v>
      </c>
      <c r="BQ2208" s="1" t="s">
        <v>104</v>
      </c>
      <c r="BR2208" s="1">
        <v>2325</v>
      </c>
      <c r="BS2208" s="1" t="s">
        <v>104</v>
      </c>
      <c r="BX2208" s="1">
        <v>0</v>
      </c>
      <c r="BY2208" s="1" t="s">
        <v>104</v>
      </c>
      <c r="BZ2208" s="1" t="s">
        <v>104</v>
      </c>
      <c r="CA2208" s="1">
        <v>6</v>
      </c>
      <c r="CB2208" s="1" t="s">
        <v>104</v>
      </c>
      <c r="CC2208" s="1" t="s">
        <v>104</v>
      </c>
      <c r="CD2208" s="1" t="s">
        <v>104</v>
      </c>
      <c r="CE2208" s="1">
        <v>5</v>
      </c>
      <c r="CF2208" s="1" t="s">
        <v>104</v>
      </c>
      <c r="CG2208" s="1" t="s">
        <v>104</v>
      </c>
      <c r="CH2208" s="1" t="s">
        <v>104</v>
      </c>
      <c r="CJ2208" s="1">
        <v>0</v>
      </c>
      <c r="CK2208" s="1">
        <v>0</v>
      </c>
      <c r="CL2208" s="1">
        <v>0</v>
      </c>
      <c r="CM2208" s="1" t="s">
        <v>104</v>
      </c>
    </row>
    <row r="2209" spans="1:91" ht="14.25" customHeight="1" x14ac:dyDescent="0.3">
      <c r="A2209" s="1" t="s">
        <v>11470</v>
      </c>
      <c r="B2209" s="1" t="s">
        <v>123</v>
      </c>
      <c r="C2209" s="1" t="s">
        <v>124</v>
      </c>
      <c r="D2209" s="1" t="s">
        <v>11422</v>
      </c>
      <c r="E2209" s="1" t="s">
        <v>10931</v>
      </c>
      <c r="F2209" s="1" t="s">
        <v>95</v>
      </c>
      <c r="G2209" s="1" t="s">
        <v>11471</v>
      </c>
      <c r="H2209" s="1">
        <v>0</v>
      </c>
      <c r="I2209" s="1" t="s">
        <v>157</v>
      </c>
      <c r="L2209" s="1" t="s">
        <v>158</v>
      </c>
      <c r="M2209" s="1" t="s">
        <v>426</v>
      </c>
      <c r="N2209" s="1">
        <v>1</v>
      </c>
      <c r="O2209" s="1">
        <v>0</v>
      </c>
      <c r="P2209" s="1" t="s">
        <v>145</v>
      </c>
      <c r="Q2209" s="1" t="s">
        <v>11472</v>
      </c>
      <c r="R2209" s="1" t="s">
        <v>11473</v>
      </c>
      <c r="S2209" s="1" t="s">
        <v>11416</v>
      </c>
      <c r="T2209" s="1">
        <v>1</v>
      </c>
      <c r="U2209" s="1">
        <v>1</v>
      </c>
      <c r="V2209" s="1">
        <v>1</v>
      </c>
      <c r="W2209" s="1">
        <v>0</v>
      </c>
      <c r="X2209" s="1">
        <v>0</v>
      </c>
      <c r="Y2209" s="1" t="s">
        <v>104</v>
      </c>
      <c r="Z2209" s="1" t="s">
        <v>104</v>
      </c>
      <c r="AA2209" s="1" t="s">
        <v>104</v>
      </c>
      <c r="AB2209" s="1" t="s">
        <v>104</v>
      </c>
      <c r="AC2209" s="1" t="s">
        <v>104</v>
      </c>
      <c r="AD2209" s="1" t="s">
        <v>104</v>
      </c>
      <c r="AE2209" s="1" t="s">
        <v>104</v>
      </c>
      <c r="AF2209" s="1" t="s">
        <v>104</v>
      </c>
      <c r="AG2209" s="1" t="s">
        <v>104</v>
      </c>
      <c r="AH2209" s="1" t="s">
        <v>104</v>
      </c>
      <c r="AI2209" s="1" t="s">
        <v>104</v>
      </c>
      <c r="AJ2209" s="1" t="s">
        <v>104</v>
      </c>
      <c r="AK2209" s="1" t="s">
        <v>104</v>
      </c>
      <c r="AL2209" s="1" t="s">
        <v>104</v>
      </c>
      <c r="AM2209" s="1" t="s">
        <v>104</v>
      </c>
      <c r="AO2209" s="1">
        <v>2</v>
      </c>
      <c r="AR2209" s="1">
        <v>0</v>
      </c>
      <c r="AS2209" s="1">
        <v>0</v>
      </c>
      <c r="AT2209" s="1">
        <v>0</v>
      </c>
      <c r="AU2209" s="1">
        <v>0</v>
      </c>
      <c r="AV2209" s="1">
        <v>0</v>
      </c>
      <c r="AW2209" s="1">
        <v>0</v>
      </c>
      <c r="AX2209" s="1">
        <v>0</v>
      </c>
      <c r="AY2209" s="1">
        <v>0</v>
      </c>
      <c r="AZ2209" s="1">
        <v>0</v>
      </c>
      <c r="BA2209" s="1">
        <v>0</v>
      </c>
      <c r="BB2209" s="1">
        <v>1</v>
      </c>
      <c r="BC2209" s="1">
        <v>0</v>
      </c>
      <c r="BD2209" s="1">
        <v>0</v>
      </c>
      <c r="BE2209" s="1">
        <v>0</v>
      </c>
      <c r="BF2209" s="1">
        <v>0</v>
      </c>
      <c r="BG2209" s="1">
        <v>0</v>
      </c>
      <c r="BH2209" s="1">
        <v>0</v>
      </c>
      <c r="BI2209" s="1">
        <v>0</v>
      </c>
      <c r="BJ2209" s="1">
        <v>0</v>
      </c>
      <c r="BK2209" s="1">
        <v>1</v>
      </c>
      <c r="BL2209" s="1">
        <v>0</v>
      </c>
      <c r="BM2209" s="1">
        <v>0</v>
      </c>
      <c r="BN2209" s="1">
        <v>0</v>
      </c>
      <c r="BO2209" s="1">
        <v>0</v>
      </c>
      <c r="BP2209" s="1">
        <v>0</v>
      </c>
      <c r="BQ2209" s="1" t="s">
        <v>104</v>
      </c>
      <c r="BR2209" s="1">
        <v>2326</v>
      </c>
      <c r="BS2209" s="1" t="s">
        <v>104</v>
      </c>
      <c r="BX2209" s="1">
        <v>0</v>
      </c>
      <c r="BY2209" s="1" t="s">
        <v>104</v>
      </c>
      <c r="BZ2209" s="1" t="s">
        <v>104</v>
      </c>
      <c r="CA2209" s="1">
        <v>2</v>
      </c>
      <c r="CB2209" s="1" t="s">
        <v>104</v>
      </c>
      <c r="CC2209" s="1" t="s">
        <v>104</v>
      </c>
      <c r="CD2209" s="1" t="s">
        <v>104</v>
      </c>
      <c r="CE2209" s="1" t="s">
        <v>104</v>
      </c>
      <c r="CF2209" s="1" t="s">
        <v>104</v>
      </c>
      <c r="CG2209" s="1" t="s">
        <v>104</v>
      </c>
      <c r="CH2209" s="1" t="s">
        <v>104</v>
      </c>
      <c r="CJ2209" s="1">
        <v>0</v>
      </c>
      <c r="CK2209" s="1">
        <v>0</v>
      </c>
      <c r="CL2209" s="1">
        <v>0</v>
      </c>
      <c r="CM2209" s="1" t="s">
        <v>104</v>
      </c>
    </row>
    <row r="2210" spans="1:91" ht="14.25" customHeight="1" x14ac:dyDescent="0.3">
      <c r="A2210" s="1" t="s">
        <v>11474</v>
      </c>
      <c r="B2210" s="1" t="s">
        <v>92</v>
      </c>
      <c r="C2210" s="1" t="s">
        <v>523</v>
      </c>
      <c r="E2210" s="1" t="s">
        <v>11475</v>
      </c>
      <c r="F2210" s="1" t="s">
        <v>95</v>
      </c>
      <c r="G2210" s="1" t="s">
        <v>127</v>
      </c>
      <c r="H2210" s="1">
        <v>0</v>
      </c>
      <c r="I2210" s="1" t="s">
        <v>128</v>
      </c>
      <c r="L2210" s="1" t="s">
        <v>374</v>
      </c>
      <c r="M2210" s="1" t="s">
        <v>201</v>
      </c>
      <c r="N2210" s="1">
        <v>0</v>
      </c>
      <c r="O2210" s="1">
        <v>0</v>
      </c>
      <c r="P2210" s="1" t="s">
        <v>1058</v>
      </c>
      <c r="Q2210" s="1" t="s">
        <v>131</v>
      </c>
      <c r="R2210" s="1" t="s">
        <v>11476</v>
      </c>
      <c r="S2210" s="1" t="s">
        <v>11477</v>
      </c>
      <c r="T2210" s="1">
        <v>1</v>
      </c>
      <c r="U2210" s="1">
        <v>1</v>
      </c>
      <c r="V2210" s="1">
        <v>0</v>
      </c>
      <c r="W2210" s="1">
        <v>0</v>
      </c>
      <c r="X2210" s="1">
        <v>1</v>
      </c>
      <c r="Y2210" s="1" t="s">
        <v>104</v>
      </c>
      <c r="Z2210" s="1" t="s">
        <v>104</v>
      </c>
      <c r="AA2210" s="1">
        <v>1</v>
      </c>
      <c r="AB2210" s="1">
        <v>1</v>
      </c>
      <c r="AC2210" s="1">
        <v>1</v>
      </c>
      <c r="AD2210" s="1" t="s">
        <v>104</v>
      </c>
      <c r="AE2210" s="1">
        <v>1</v>
      </c>
      <c r="AF2210" s="1">
        <v>1</v>
      </c>
      <c r="AG2210" s="1" t="s">
        <v>104</v>
      </c>
      <c r="AH2210" s="1">
        <v>1</v>
      </c>
      <c r="AI2210" s="1" t="s">
        <v>104</v>
      </c>
      <c r="AJ2210" s="1">
        <v>1</v>
      </c>
      <c r="AK2210" s="1" t="s">
        <v>104</v>
      </c>
      <c r="AL2210" s="1" t="s">
        <v>104</v>
      </c>
      <c r="AM2210" s="1" t="s">
        <v>104</v>
      </c>
      <c r="AO2210" s="1">
        <v>1</v>
      </c>
      <c r="AR2210" s="1">
        <v>0</v>
      </c>
      <c r="AS2210" s="1">
        <v>0</v>
      </c>
      <c r="AT2210" s="1">
        <v>0</v>
      </c>
      <c r="AU2210" s="1">
        <v>0</v>
      </c>
      <c r="AV2210" s="1">
        <v>0</v>
      </c>
      <c r="AW2210" s="1">
        <v>0</v>
      </c>
      <c r="AX2210" s="1">
        <v>0</v>
      </c>
      <c r="AY2210" s="1">
        <v>0</v>
      </c>
      <c r="AZ2210" s="1">
        <v>0</v>
      </c>
      <c r="BA2210" s="1">
        <v>0</v>
      </c>
      <c r="BB2210" s="1">
        <v>0</v>
      </c>
      <c r="BC2210" s="1">
        <v>0</v>
      </c>
      <c r="BD2210" s="1">
        <v>0</v>
      </c>
      <c r="BE2210" s="1">
        <v>0</v>
      </c>
      <c r="BF2210" s="1">
        <v>0</v>
      </c>
      <c r="BG2210" s="1">
        <v>0</v>
      </c>
      <c r="BH2210" s="1">
        <v>0</v>
      </c>
      <c r="BI2210" s="1">
        <v>0</v>
      </c>
      <c r="BJ2210" s="1">
        <v>0</v>
      </c>
      <c r="BK2210" s="1">
        <v>0</v>
      </c>
      <c r="BL2210" s="1">
        <v>0</v>
      </c>
      <c r="BM2210" s="1">
        <v>0</v>
      </c>
      <c r="BN2210" s="1">
        <v>0</v>
      </c>
      <c r="BO2210" s="1">
        <v>0</v>
      </c>
      <c r="BP2210" s="1">
        <v>0</v>
      </c>
      <c r="BQ2210" s="1" t="s">
        <v>104</v>
      </c>
      <c r="BR2210" s="1">
        <v>2327</v>
      </c>
      <c r="BS2210" s="1" t="s">
        <v>104</v>
      </c>
      <c r="BX2210" s="1">
        <v>0</v>
      </c>
      <c r="BY2210" s="1" t="s">
        <v>104</v>
      </c>
      <c r="BZ2210" s="1">
        <v>1</v>
      </c>
      <c r="CA2210" s="1" t="s">
        <v>104</v>
      </c>
      <c r="CB2210" s="1" t="s">
        <v>104</v>
      </c>
      <c r="CC2210" s="1" t="s">
        <v>104</v>
      </c>
      <c r="CD2210" s="1" t="s">
        <v>104</v>
      </c>
      <c r="CE2210" s="1" t="s">
        <v>104</v>
      </c>
      <c r="CF2210" s="1" t="s">
        <v>104</v>
      </c>
      <c r="CG2210" s="1" t="s">
        <v>104</v>
      </c>
      <c r="CH2210" s="1">
        <v>1</v>
      </c>
      <c r="CJ2210" s="1">
        <v>0</v>
      </c>
      <c r="CK2210" s="1">
        <v>0</v>
      </c>
      <c r="CL2210" s="1">
        <v>0</v>
      </c>
      <c r="CM2210" s="1" t="s">
        <v>104</v>
      </c>
    </row>
    <row r="2211" spans="1:91" ht="14.25" customHeight="1" x14ac:dyDescent="0.3">
      <c r="A2211" s="1" t="s">
        <v>11478</v>
      </c>
      <c r="B2211" s="1" t="s">
        <v>137</v>
      </c>
      <c r="E2211" s="1" t="s">
        <v>11479</v>
      </c>
      <c r="F2211" s="1" t="s">
        <v>95</v>
      </c>
      <c r="G2211" s="1" t="s">
        <v>116</v>
      </c>
      <c r="H2211" s="1">
        <v>0</v>
      </c>
      <c r="I2211" s="1" t="s">
        <v>128</v>
      </c>
      <c r="L2211" s="1" t="s">
        <v>11480</v>
      </c>
      <c r="M2211" s="1" t="s">
        <v>111</v>
      </c>
      <c r="N2211" s="1">
        <v>0</v>
      </c>
      <c r="O2211" s="1">
        <v>0</v>
      </c>
      <c r="P2211" s="1" t="s">
        <v>183</v>
      </c>
      <c r="Q2211" s="1" t="s">
        <v>184</v>
      </c>
      <c r="R2211" s="1" t="s">
        <v>11481</v>
      </c>
      <c r="S2211" s="1" t="s">
        <v>11477</v>
      </c>
      <c r="T2211" s="1">
        <v>1</v>
      </c>
      <c r="U2211" s="1">
        <v>1</v>
      </c>
      <c r="V2211" s="1">
        <v>0</v>
      </c>
      <c r="W2211" s="1">
        <v>0</v>
      </c>
      <c r="X2211" s="1">
        <v>0</v>
      </c>
      <c r="Y2211" s="1" t="s">
        <v>104</v>
      </c>
      <c r="Z2211" s="1" t="s">
        <v>104</v>
      </c>
      <c r="AA2211" s="1">
        <v>3</v>
      </c>
      <c r="AB2211" s="1" t="s">
        <v>104</v>
      </c>
      <c r="AC2211" s="1" t="s">
        <v>104</v>
      </c>
      <c r="AD2211" s="1">
        <v>2</v>
      </c>
      <c r="AE2211" s="1" t="s">
        <v>104</v>
      </c>
      <c r="AF2211" s="1">
        <v>2</v>
      </c>
      <c r="AG2211" s="1" t="s">
        <v>104</v>
      </c>
      <c r="AH2211" s="1" t="s">
        <v>104</v>
      </c>
      <c r="AI2211" s="1" t="s">
        <v>104</v>
      </c>
      <c r="AJ2211" s="1">
        <v>3</v>
      </c>
      <c r="AK2211" s="1" t="s">
        <v>104</v>
      </c>
      <c r="AL2211" s="1" t="s">
        <v>104</v>
      </c>
      <c r="AM2211" s="1" t="s">
        <v>104</v>
      </c>
      <c r="AO2211" s="1">
        <v>3</v>
      </c>
      <c r="AR2211" s="1">
        <v>0</v>
      </c>
      <c r="AS2211" s="1">
        <v>0</v>
      </c>
      <c r="AT2211" s="1">
        <v>0</v>
      </c>
      <c r="AU2211" s="1">
        <v>0</v>
      </c>
      <c r="AV2211" s="1">
        <v>0</v>
      </c>
      <c r="AW2211" s="1">
        <v>0</v>
      </c>
      <c r="AX2211" s="1">
        <v>0</v>
      </c>
      <c r="AY2211" s="1">
        <v>0</v>
      </c>
      <c r="AZ2211" s="1">
        <v>0</v>
      </c>
      <c r="BA2211" s="1">
        <v>0</v>
      </c>
      <c r="BB2211" s="1">
        <v>0</v>
      </c>
      <c r="BC2211" s="1">
        <v>0</v>
      </c>
      <c r="BD2211" s="1">
        <v>0</v>
      </c>
      <c r="BE2211" s="1">
        <v>0</v>
      </c>
      <c r="BF2211" s="1">
        <v>0</v>
      </c>
      <c r="BG2211" s="1">
        <v>0</v>
      </c>
      <c r="BH2211" s="1">
        <v>0</v>
      </c>
      <c r="BI2211" s="1">
        <v>0</v>
      </c>
      <c r="BJ2211" s="1">
        <v>0</v>
      </c>
      <c r="BK2211" s="1">
        <v>0</v>
      </c>
      <c r="BL2211" s="1">
        <v>0</v>
      </c>
      <c r="BM2211" s="1">
        <v>0</v>
      </c>
      <c r="BN2211" s="1">
        <v>0</v>
      </c>
      <c r="BO2211" s="1">
        <v>0</v>
      </c>
      <c r="BP2211" s="1">
        <v>0</v>
      </c>
      <c r="BQ2211" s="1" t="s">
        <v>104</v>
      </c>
      <c r="BR2211" s="1">
        <v>2328</v>
      </c>
      <c r="BS2211" s="1" t="s">
        <v>104</v>
      </c>
      <c r="BX2211" s="1">
        <v>0</v>
      </c>
      <c r="BY2211" s="1" t="s">
        <v>104</v>
      </c>
      <c r="BZ2211" s="1">
        <v>3</v>
      </c>
      <c r="CA2211" s="1" t="s">
        <v>104</v>
      </c>
      <c r="CB2211" s="1" t="s">
        <v>104</v>
      </c>
      <c r="CC2211" s="1">
        <v>3</v>
      </c>
      <c r="CD2211" s="1" t="s">
        <v>104</v>
      </c>
      <c r="CE2211" s="1" t="s">
        <v>104</v>
      </c>
      <c r="CF2211" s="1">
        <v>3</v>
      </c>
      <c r="CG2211" s="1" t="s">
        <v>104</v>
      </c>
      <c r="CH2211" s="1" t="s">
        <v>104</v>
      </c>
      <c r="CJ2211" s="1">
        <v>0</v>
      </c>
      <c r="CK2211" s="1">
        <v>0</v>
      </c>
      <c r="CL2211" s="1">
        <v>0</v>
      </c>
      <c r="CM2211" s="1" t="s">
        <v>104</v>
      </c>
    </row>
    <row r="2212" spans="1:91" ht="14.25" customHeight="1" x14ac:dyDescent="0.3">
      <c r="A2212" s="1" t="s">
        <v>11482</v>
      </c>
      <c r="B2212" s="1" t="s">
        <v>137</v>
      </c>
      <c r="E2212" s="1" t="s">
        <v>11483</v>
      </c>
      <c r="F2212" s="1" t="s">
        <v>95</v>
      </c>
      <c r="G2212" s="1" t="s">
        <v>11484</v>
      </c>
      <c r="H2212" s="1">
        <v>0</v>
      </c>
      <c r="I2212" s="1" t="s">
        <v>128</v>
      </c>
      <c r="L2212" s="1" t="s">
        <v>417</v>
      </c>
      <c r="M2212" s="1" t="s">
        <v>119</v>
      </c>
      <c r="N2212" s="1">
        <v>0</v>
      </c>
      <c r="O2212" s="1">
        <v>0</v>
      </c>
      <c r="P2212" s="1" t="s">
        <v>183</v>
      </c>
      <c r="Q2212" s="1" t="s">
        <v>184</v>
      </c>
      <c r="R2212" s="1" t="s">
        <v>11485</v>
      </c>
      <c r="S2212" s="1" t="s">
        <v>11477</v>
      </c>
      <c r="T2212" s="1">
        <v>1</v>
      </c>
      <c r="U2212" s="1">
        <v>1</v>
      </c>
      <c r="V2212" s="1">
        <v>1</v>
      </c>
      <c r="W2212" s="1">
        <v>0</v>
      </c>
      <c r="X2212" s="1">
        <v>0</v>
      </c>
      <c r="Y2212" s="1">
        <v>3</v>
      </c>
      <c r="Z2212" s="1">
        <v>3</v>
      </c>
      <c r="AA2212" s="1" t="s">
        <v>104</v>
      </c>
      <c r="AB2212" s="1" t="s">
        <v>104</v>
      </c>
      <c r="AC2212" s="1" t="s">
        <v>104</v>
      </c>
      <c r="AD2212" s="1" t="s">
        <v>104</v>
      </c>
      <c r="AE2212" s="1" t="s">
        <v>104</v>
      </c>
      <c r="AF2212" s="1">
        <v>2</v>
      </c>
      <c r="AG2212" s="1" t="s">
        <v>104</v>
      </c>
      <c r="AH2212" s="1">
        <v>3</v>
      </c>
      <c r="AI2212" s="1" t="s">
        <v>104</v>
      </c>
      <c r="AJ2212" s="1" t="s">
        <v>104</v>
      </c>
      <c r="AK2212" s="1" t="s">
        <v>104</v>
      </c>
      <c r="AL2212" s="1" t="s">
        <v>104</v>
      </c>
      <c r="AM2212" s="1" t="s">
        <v>104</v>
      </c>
      <c r="AO2212" s="1">
        <v>3</v>
      </c>
      <c r="AR2212" s="1">
        <v>0</v>
      </c>
      <c r="AS2212" s="1">
        <v>0</v>
      </c>
      <c r="AT2212" s="1">
        <v>0</v>
      </c>
      <c r="AU2212" s="1">
        <v>0</v>
      </c>
      <c r="AV2212" s="1">
        <v>0</v>
      </c>
      <c r="AW2212" s="1">
        <v>0</v>
      </c>
      <c r="AX2212" s="1">
        <v>0</v>
      </c>
      <c r="AY2212" s="1">
        <v>0</v>
      </c>
      <c r="AZ2212" s="1">
        <v>0</v>
      </c>
      <c r="BA2212" s="1">
        <v>0</v>
      </c>
      <c r="BB2212" s="1">
        <v>0</v>
      </c>
      <c r="BC2212" s="1">
        <v>0</v>
      </c>
      <c r="BD2212" s="1">
        <v>0</v>
      </c>
      <c r="BE2212" s="1">
        <v>0</v>
      </c>
      <c r="BF2212" s="1">
        <v>0</v>
      </c>
      <c r="BG2212" s="1">
        <v>0</v>
      </c>
      <c r="BH2212" s="1">
        <v>0</v>
      </c>
      <c r="BI2212" s="1">
        <v>0</v>
      </c>
      <c r="BJ2212" s="1">
        <v>0</v>
      </c>
      <c r="BK2212" s="1">
        <v>0</v>
      </c>
      <c r="BL2212" s="1">
        <v>0</v>
      </c>
      <c r="BM2212" s="1">
        <v>0</v>
      </c>
      <c r="BN2212" s="1">
        <v>0</v>
      </c>
      <c r="BO2212" s="1">
        <v>0</v>
      </c>
      <c r="BP2212" s="1">
        <v>0</v>
      </c>
      <c r="BQ2212" s="1" t="s">
        <v>104</v>
      </c>
      <c r="BR2212" s="1">
        <v>2329</v>
      </c>
      <c r="BS2212" s="1" t="s">
        <v>104</v>
      </c>
      <c r="BX2212" s="1">
        <v>0</v>
      </c>
      <c r="BY2212" s="1" t="s">
        <v>104</v>
      </c>
      <c r="BZ2212" s="1" t="s">
        <v>104</v>
      </c>
      <c r="CA2212" s="1" t="s">
        <v>104</v>
      </c>
      <c r="CB2212" s="1" t="s">
        <v>104</v>
      </c>
      <c r="CC2212" s="1">
        <v>3</v>
      </c>
      <c r="CD2212" s="1" t="s">
        <v>104</v>
      </c>
      <c r="CE2212" s="1" t="s">
        <v>104</v>
      </c>
      <c r="CF2212" s="1" t="s">
        <v>104</v>
      </c>
      <c r="CG2212" s="1" t="s">
        <v>104</v>
      </c>
      <c r="CH2212" s="1" t="s">
        <v>104</v>
      </c>
      <c r="CJ2212" s="1">
        <v>0</v>
      </c>
      <c r="CK2212" s="1">
        <v>0</v>
      </c>
      <c r="CL2212" s="1">
        <v>0</v>
      </c>
      <c r="CM2212" s="1" t="s">
        <v>104</v>
      </c>
    </row>
    <row r="2213" spans="1:91" ht="14.25" customHeight="1" x14ac:dyDescent="0.3">
      <c r="A2213" s="1" t="s">
        <v>11486</v>
      </c>
      <c r="B2213" s="1" t="s">
        <v>216</v>
      </c>
      <c r="D2213" s="1" t="s">
        <v>11441</v>
      </c>
      <c r="E2213" s="1" t="s">
        <v>11487</v>
      </c>
      <c r="F2213" s="1" t="s">
        <v>95</v>
      </c>
      <c r="G2213" s="1" t="s">
        <v>237</v>
      </c>
      <c r="H2213" s="1">
        <v>0</v>
      </c>
      <c r="I2213" s="1" t="s">
        <v>109</v>
      </c>
      <c r="L2213" s="1" t="s">
        <v>417</v>
      </c>
      <c r="M2213" s="1" t="s">
        <v>4400</v>
      </c>
      <c r="N2213" s="1">
        <v>1</v>
      </c>
      <c r="O2213" s="1">
        <v>0</v>
      </c>
      <c r="P2213" s="1" t="s">
        <v>375</v>
      </c>
      <c r="Q2213" s="1" t="s">
        <v>101</v>
      </c>
      <c r="R2213" s="1" t="s">
        <v>11488</v>
      </c>
      <c r="S2213" s="1" t="s">
        <v>11477</v>
      </c>
      <c r="T2213" s="1">
        <v>1</v>
      </c>
      <c r="U2213" s="1">
        <v>0</v>
      </c>
      <c r="V2213" s="1">
        <v>0</v>
      </c>
      <c r="W2213" s="1">
        <v>0</v>
      </c>
      <c r="X2213" s="1">
        <v>0</v>
      </c>
      <c r="Y2213" s="1">
        <v>1</v>
      </c>
      <c r="Z2213" s="1">
        <v>1</v>
      </c>
      <c r="AA2213" s="1">
        <v>2</v>
      </c>
      <c r="AB2213" s="1" t="s">
        <v>104</v>
      </c>
      <c r="AC2213" s="1" t="s">
        <v>104</v>
      </c>
      <c r="AD2213" s="1">
        <v>1</v>
      </c>
      <c r="AE2213" s="1" t="s">
        <v>104</v>
      </c>
      <c r="AF2213" s="1" t="s">
        <v>104</v>
      </c>
      <c r="AG2213" s="1" t="s">
        <v>104</v>
      </c>
      <c r="AH2213" s="1">
        <v>1</v>
      </c>
      <c r="AI2213" s="1" t="s">
        <v>104</v>
      </c>
      <c r="AJ2213" s="1">
        <v>2</v>
      </c>
      <c r="AK2213" s="1">
        <v>1</v>
      </c>
      <c r="AL2213" s="1" t="s">
        <v>104</v>
      </c>
      <c r="AM2213" s="1" t="s">
        <v>104</v>
      </c>
      <c r="AO2213" s="1">
        <v>1</v>
      </c>
      <c r="AR2213" s="1">
        <v>0</v>
      </c>
      <c r="AS2213" s="1">
        <v>0</v>
      </c>
      <c r="AT2213" s="1">
        <v>0</v>
      </c>
      <c r="AU2213" s="1">
        <v>0</v>
      </c>
      <c r="AV2213" s="1">
        <v>1</v>
      </c>
      <c r="AW2213" s="1">
        <v>0</v>
      </c>
      <c r="AX2213" s="1">
        <v>0</v>
      </c>
      <c r="AY2213" s="1">
        <v>0</v>
      </c>
      <c r="AZ2213" s="1">
        <v>0</v>
      </c>
      <c r="BA2213" s="1">
        <v>0</v>
      </c>
      <c r="BB2213" s="1">
        <v>0</v>
      </c>
      <c r="BC2213" s="1">
        <v>0</v>
      </c>
      <c r="BD2213" s="1">
        <v>0</v>
      </c>
      <c r="BE2213" s="1">
        <v>0</v>
      </c>
      <c r="BF2213" s="1">
        <v>0</v>
      </c>
      <c r="BG2213" s="1">
        <v>0</v>
      </c>
      <c r="BH2213" s="1">
        <v>0</v>
      </c>
      <c r="BI2213" s="1">
        <v>0</v>
      </c>
      <c r="BJ2213" s="1">
        <v>0</v>
      </c>
      <c r="BK2213" s="1">
        <v>0</v>
      </c>
      <c r="BL2213" s="1">
        <v>0</v>
      </c>
      <c r="BM2213" s="1">
        <v>0</v>
      </c>
      <c r="BN2213" s="1">
        <v>0</v>
      </c>
      <c r="BO2213" s="1">
        <v>0</v>
      </c>
      <c r="BP2213" s="1">
        <v>0</v>
      </c>
      <c r="BQ2213" s="1" t="s">
        <v>104</v>
      </c>
      <c r="BR2213" s="1">
        <v>2330</v>
      </c>
      <c r="BS2213" s="1" t="s">
        <v>104</v>
      </c>
      <c r="BX2213" s="1">
        <v>0</v>
      </c>
      <c r="BY2213" s="1">
        <v>1</v>
      </c>
      <c r="BZ2213" s="1">
        <v>2</v>
      </c>
      <c r="CA2213" s="1">
        <v>1</v>
      </c>
      <c r="CB2213" s="1" t="s">
        <v>104</v>
      </c>
      <c r="CC2213" s="1">
        <v>1</v>
      </c>
      <c r="CD2213" s="1" t="s">
        <v>104</v>
      </c>
      <c r="CE2213" s="1">
        <v>2</v>
      </c>
      <c r="CF2213" s="1" t="s">
        <v>104</v>
      </c>
      <c r="CG2213" s="1" t="s">
        <v>104</v>
      </c>
      <c r="CH2213" s="1" t="s">
        <v>104</v>
      </c>
      <c r="CJ2213" s="1">
        <v>0</v>
      </c>
      <c r="CK2213" s="1">
        <v>0</v>
      </c>
      <c r="CL2213" s="1">
        <v>0</v>
      </c>
      <c r="CM2213" s="1" t="s">
        <v>104</v>
      </c>
    </row>
    <row r="2214" spans="1:91" ht="14.25" customHeight="1" x14ac:dyDescent="0.3">
      <c r="A2214" s="1" t="s">
        <v>11489</v>
      </c>
      <c r="B2214" s="1" t="s">
        <v>137</v>
      </c>
      <c r="E2214" s="1" t="s">
        <v>11490</v>
      </c>
      <c r="F2214" s="1" t="s">
        <v>95</v>
      </c>
      <c r="G2214" s="1" t="s">
        <v>11491</v>
      </c>
      <c r="H2214" s="1">
        <v>1</v>
      </c>
      <c r="I2214" s="1" t="s">
        <v>128</v>
      </c>
      <c r="L2214" s="1" t="s">
        <v>129</v>
      </c>
      <c r="M2214" s="1" t="s">
        <v>6947</v>
      </c>
      <c r="N2214" s="1">
        <v>0</v>
      </c>
      <c r="O2214" s="1">
        <v>0</v>
      </c>
      <c r="P2214" s="1" t="s">
        <v>211</v>
      </c>
      <c r="Q2214" s="1" t="s">
        <v>184</v>
      </c>
      <c r="R2214" s="1" t="s">
        <v>11492</v>
      </c>
      <c r="S2214" s="1" t="s">
        <v>11477</v>
      </c>
      <c r="T2214" s="1">
        <v>1</v>
      </c>
      <c r="U2214" s="1">
        <v>1</v>
      </c>
      <c r="V2214" s="1">
        <v>1</v>
      </c>
      <c r="W2214" s="1">
        <v>0</v>
      </c>
      <c r="X2214" s="1">
        <v>0</v>
      </c>
      <c r="Y2214" s="1">
        <v>1</v>
      </c>
      <c r="Z2214" s="1">
        <v>1</v>
      </c>
      <c r="AA2214" s="1">
        <v>1</v>
      </c>
      <c r="AB2214" s="1">
        <v>1</v>
      </c>
      <c r="AC2214" s="1" t="s">
        <v>104</v>
      </c>
      <c r="AD2214" s="1" t="s">
        <v>104</v>
      </c>
      <c r="AE2214" s="1" t="s">
        <v>104</v>
      </c>
      <c r="AF2214" s="1">
        <v>1</v>
      </c>
      <c r="AG2214" s="1">
        <v>1</v>
      </c>
      <c r="AH2214" s="1" t="s">
        <v>104</v>
      </c>
      <c r="AI2214" s="1" t="s">
        <v>104</v>
      </c>
      <c r="AJ2214" s="1">
        <v>1</v>
      </c>
      <c r="AK2214" s="1">
        <v>1</v>
      </c>
      <c r="AL2214" s="1">
        <v>1</v>
      </c>
      <c r="AM2214" s="1" t="s">
        <v>104</v>
      </c>
      <c r="AO2214" s="1">
        <v>1</v>
      </c>
      <c r="AR2214" s="1">
        <v>0</v>
      </c>
      <c r="AS2214" s="1">
        <v>0</v>
      </c>
      <c r="AT2214" s="1">
        <v>0</v>
      </c>
      <c r="AU2214" s="1">
        <v>0</v>
      </c>
      <c r="AV2214" s="1">
        <v>0</v>
      </c>
      <c r="AW2214" s="1">
        <v>0</v>
      </c>
      <c r="AX2214" s="1">
        <v>0</v>
      </c>
      <c r="AY2214" s="1">
        <v>0</v>
      </c>
      <c r="AZ2214" s="1">
        <v>0</v>
      </c>
      <c r="BA2214" s="1">
        <v>0</v>
      </c>
      <c r="BB2214" s="1">
        <v>0</v>
      </c>
      <c r="BC2214" s="1">
        <v>0</v>
      </c>
      <c r="BD2214" s="1">
        <v>0</v>
      </c>
      <c r="BE2214" s="1">
        <v>0</v>
      </c>
      <c r="BF2214" s="1">
        <v>0</v>
      </c>
      <c r="BG2214" s="1">
        <v>0</v>
      </c>
      <c r="BH2214" s="1">
        <v>0</v>
      </c>
      <c r="BI2214" s="1">
        <v>0</v>
      </c>
      <c r="BJ2214" s="1">
        <v>0</v>
      </c>
      <c r="BK2214" s="1">
        <v>0</v>
      </c>
      <c r="BL2214" s="1">
        <v>0</v>
      </c>
      <c r="BM2214" s="1">
        <v>0</v>
      </c>
      <c r="BN2214" s="1">
        <v>0</v>
      </c>
      <c r="BO2214" s="1">
        <v>0</v>
      </c>
      <c r="BP2214" s="1">
        <v>0</v>
      </c>
      <c r="BQ2214" s="1" t="s">
        <v>104</v>
      </c>
      <c r="BR2214" s="1">
        <v>2331</v>
      </c>
      <c r="BS2214" s="1">
        <v>15</v>
      </c>
      <c r="BX2214" s="1">
        <v>0</v>
      </c>
      <c r="BY2214" s="1">
        <v>1</v>
      </c>
      <c r="BZ2214" s="1">
        <v>1</v>
      </c>
      <c r="CA2214" s="1">
        <v>1</v>
      </c>
      <c r="CB2214" s="1">
        <v>1</v>
      </c>
      <c r="CC2214" s="1" t="s">
        <v>104</v>
      </c>
      <c r="CD2214" s="1" t="s">
        <v>104</v>
      </c>
      <c r="CE2214" s="1" t="s">
        <v>104</v>
      </c>
      <c r="CF2214" s="1" t="s">
        <v>104</v>
      </c>
      <c r="CG2214" s="1" t="s">
        <v>104</v>
      </c>
      <c r="CH2214" s="1">
        <v>1</v>
      </c>
      <c r="CJ2214" s="1">
        <v>0</v>
      </c>
      <c r="CK2214" s="1">
        <v>0</v>
      </c>
      <c r="CL2214" s="1">
        <v>0</v>
      </c>
      <c r="CM2214" s="1">
        <v>1</v>
      </c>
    </row>
    <row r="2215" spans="1:91" ht="14.25" customHeight="1" x14ac:dyDescent="0.3">
      <c r="A2215" s="1" t="s">
        <v>11493</v>
      </c>
      <c r="B2215" s="1" t="s">
        <v>123</v>
      </c>
      <c r="C2215" s="1" t="s">
        <v>124</v>
      </c>
      <c r="D2215" s="1" t="s">
        <v>125</v>
      </c>
      <c r="E2215" s="1" t="s">
        <v>11494</v>
      </c>
      <c r="F2215" s="1" t="s">
        <v>95</v>
      </c>
      <c r="G2215" s="1" t="s">
        <v>11495</v>
      </c>
      <c r="H2215" s="1">
        <v>0</v>
      </c>
      <c r="I2215" s="1" t="s">
        <v>128</v>
      </c>
      <c r="L2215" s="1" t="s">
        <v>1065</v>
      </c>
      <c r="M2215" s="1" t="s">
        <v>620</v>
      </c>
      <c r="N2215" s="1">
        <v>1</v>
      </c>
      <c r="O2215" s="1">
        <v>0</v>
      </c>
      <c r="P2215" s="1" t="s">
        <v>211</v>
      </c>
      <c r="Q2215" s="1" t="s">
        <v>184</v>
      </c>
      <c r="R2215" s="1" t="s">
        <v>11496</v>
      </c>
      <c r="S2215" s="1" t="s">
        <v>11477</v>
      </c>
      <c r="T2215" s="1">
        <v>1</v>
      </c>
      <c r="U2215" s="1">
        <v>1</v>
      </c>
      <c r="V2215" s="1">
        <v>1</v>
      </c>
      <c r="W2215" s="1">
        <v>0</v>
      </c>
      <c r="X2215" s="1">
        <v>0</v>
      </c>
      <c r="Y2215" s="1">
        <v>2</v>
      </c>
      <c r="Z2215" s="1">
        <v>2</v>
      </c>
      <c r="AA2215" s="1">
        <v>2</v>
      </c>
      <c r="AB2215" s="1">
        <v>2</v>
      </c>
      <c r="AC2215" s="1" t="s">
        <v>104</v>
      </c>
      <c r="AD2215" s="1">
        <v>1</v>
      </c>
      <c r="AE2215" s="1" t="s">
        <v>104</v>
      </c>
      <c r="AF2215" s="1" t="s">
        <v>104</v>
      </c>
      <c r="AG2215" s="1" t="s">
        <v>104</v>
      </c>
      <c r="AH2215" s="1">
        <v>2</v>
      </c>
      <c r="AI2215" s="1" t="s">
        <v>104</v>
      </c>
      <c r="AJ2215" s="1">
        <v>2</v>
      </c>
      <c r="AK2215" s="1" t="s">
        <v>104</v>
      </c>
      <c r="AL2215" s="1" t="s">
        <v>104</v>
      </c>
      <c r="AM2215" s="1" t="s">
        <v>104</v>
      </c>
      <c r="AO2215" s="1">
        <v>2</v>
      </c>
      <c r="AR2215" s="1">
        <v>0</v>
      </c>
      <c r="AS2215" s="1">
        <v>0</v>
      </c>
      <c r="AT2215" s="1">
        <v>0</v>
      </c>
      <c r="AU2215" s="1">
        <v>0</v>
      </c>
      <c r="AV2215" s="1">
        <v>0</v>
      </c>
      <c r="AW2215" s="1">
        <v>0</v>
      </c>
      <c r="AX2215" s="1">
        <v>0</v>
      </c>
      <c r="AY2215" s="1">
        <v>0</v>
      </c>
      <c r="AZ2215" s="1">
        <v>0</v>
      </c>
      <c r="BA2215" s="1">
        <v>0</v>
      </c>
      <c r="BB2215" s="1">
        <v>0</v>
      </c>
      <c r="BC2215" s="1">
        <v>0</v>
      </c>
      <c r="BD2215" s="1">
        <v>0</v>
      </c>
      <c r="BE2215" s="1">
        <v>0</v>
      </c>
      <c r="BF2215" s="1">
        <v>0</v>
      </c>
      <c r="BG2215" s="1">
        <v>0</v>
      </c>
      <c r="BH2215" s="1">
        <v>0</v>
      </c>
      <c r="BI2215" s="1">
        <v>0</v>
      </c>
      <c r="BJ2215" s="1">
        <v>0</v>
      </c>
      <c r="BK2215" s="1">
        <v>1</v>
      </c>
      <c r="BL2215" s="1">
        <v>0</v>
      </c>
      <c r="BM2215" s="1">
        <v>0</v>
      </c>
      <c r="BN2215" s="1">
        <v>0</v>
      </c>
      <c r="BO2215" s="1">
        <v>0</v>
      </c>
      <c r="BP2215" s="1">
        <v>0</v>
      </c>
      <c r="BQ2215" s="1" t="s">
        <v>104</v>
      </c>
      <c r="BR2215" s="1">
        <v>2333</v>
      </c>
      <c r="BS2215" s="1" t="s">
        <v>104</v>
      </c>
      <c r="BX2215" s="1">
        <v>0</v>
      </c>
      <c r="BY2215" s="1" t="s">
        <v>104</v>
      </c>
      <c r="BZ2215" s="1" t="s">
        <v>104</v>
      </c>
      <c r="CA2215" s="1" t="s">
        <v>104</v>
      </c>
      <c r="CB2215" s="1">
        <v>2</v>
      </c>
      <c r="CC2215" s="1">
        <v>2</v>
      </c>
      <c r="CD2215" s="1" t="s">
        <v>104</v>
      </c>
      <c r="CE2215" s="1" t="s">
        <v>104</v>
      </c>
      <c r="CF2215" s="1" t="s">
        <v>104</v>
      </c>
      <c r="CG2215" s="1" t="s">
        <v>104</v>
      </c>
      <c r="CH2215" s="1">
        <v>2</v>
      </c>
      <c r="CJ2215" s="1">
        <v>0</v>
      </c>
      <c r="CK2215" s="1">
        <v>0</v>
      </c>
      <c r="CL2215" s="1">
        <v>0</v>
      </c>
      <c r="CM2215" s="1" t="s">
        <v>104</v>
      </c>
    </row>
    <row r="2216" spans="1:91" ht="14.25" customHeight="1" x14ac:dyDescent="0.3">
      <c r="A2216" s="1" t="s">
        <v>11497</v>
      </c>
      <c r="B2216" s="1" t="s">
        <v>123</v>
      </c>
      <c r="C2216" s="1" t="s">
        <v>124</v>
      </c>
      <c r="D2216" s="1" t="s">
        <v>125</v>
      </c>
      <c r="E2216" s="1" t="s">
        <v>11498</v>
      </c>
      <c r="F2216" s="1" t="s">
        <v>95</v>
      </c>
      <c r="G2216" s="1" t="s">
        <v>11495</v>
      </c>
      <c r="H2216" s="1">
        <v>0</v>
      </c>
      <c r="I2216" s="1" t="s">
        <v>128</v>
      </c>
      <c r="L2216" s="1" t="s">
        <v>541</v>
      </c>
      <c r="M2216" s="1" t="s">
        <v>620</v>
      </c>
      <c r="N2216" s="1">
        <v>1</v>
      </c>
      <c r="O2216" s="1">
        <v>0</v>
      </c>
      <c r="P2216" s="1" t="s">
        <v>211</v>
      </c>
      <c r="Q2216" s="1" t="s">
        <v>184</v>
      </c>
      <c r="R2216" s="1" t="s">
        <v>11499</v>
      </c>
      <c r="S2216" s="1" t="s">
        <v>11477</v>
      </c>
      <c r="T2216" s="1">
        <v>1</v>
      </c>
      <c r="U2216" s="1">
        <v>1</v>
      </c>
      <c r="V2216" s="1">
        <v>1</v>
      </c>
      <c r="W2216" s="1">
        <v>0</v>
      </c>
      <c r="X2216" s="1">
        <v>0</v>
      </c>
      <c r="Y2216" s="1">
        <v>5</v>
      </c>
      <c r="Z2216" s="1">
        <v>5</v>
      </c>
      <c r="AA2216" s="1">
        <v>5</v>
      </c>
      <c r="AB2216" s="1">
        <v>5</v>
      </c>
      <c r="AC2216" s="1" t="s">
        <v>104</v>
      </c>
      <c r="AD2216" s="1">
        <v>4</v>
      </c>
      <c r="AE2216" s="1" t="s">
        <v>104</v>
      </c>
      <c r="AF2216" s="1" t="s">
        <v>104</v>
      </c>
      <c r="AG2216" s="1" t="s">
        <v>104</v>
      </c>
      <c r="AH2216" s="1">
        <v>5</v>
      </c>
      <c r="AI2216" s="1" t="s">
        <v>104</v>
      </c>
      <c r="AJ2216" s="1">
        <v>5</v>
      </c>
      <c r="AK2216" s="1" t="s">
        <v>104</v>
      </c>
      <c r="AL2216" s="1" t="s">
        <v>104</v>
      </c>
      <c r="AM2216" s="1" t="s">
        <v>104</v>
      </c>
      <c r="AO2216" s="1">
        <v>5</v>
      </c>
      <c r="AR2216" s="1">
        <v>0</v>
      </c>
      <c r="AS2216" s="1">
        <v>0</v>
      </c>
      <c r="AT2216" s="1">
        <v>0</v>
      </c>
      <c r="AU2216" s="1">
        <v>0</v>
      </c>
      <c r="AV2216" s="1">
        <v>0</v>
      </c>
      <c r="AW2216" s="1">
        <v>0</v>
      </c>
      <c r="AX2216" s="1">
        <v>0</v>
      </c>
      <c r="AY2216" s="1">
        <v>0</v>
      </c>
      <c r="AZ2216" s="1">
        <v>0</v>
      </c>
      <c r="BA2216" s="1">
        <v>0</v>
      </c>
      <c r="BB2216" s="1">
        <v>0</v>
      </c>
      <c r="BC2216" s="1">
        <v>0</v>
      </c>
      <c r="BD2216" s="1">
        <v>0</v>
      </c>
      <c r="BE2216" s="1">
        <v>0</v>
      </c>
      <c r="BF2216" s="1">
        <v>0</v>
      </c>
      <c r="BG2216" s="1">
        <v>0</v>
      </c>
      <c r="BH2216" s="1">
        <v>0</v>
      </c>
      <c r="BI2216" s="1">
        <v>0</v>
      </c>
      <c r="BJ2216" s="1">
        <v>0</v>
      </c>
      <c r="BK2216" s="1">
        <v>1</v>
      </c>
      <c r="BL2216" s="1">
        <v>0</v>
      </c>
      <c r="BM2216" s="1">
        <v>0</v>
      </c>
      <c r="BN2216" s="1">
        <v>0</v>
      </c>
      <c r="BO2216" s="1">
        <v>0</v>
      </c>
      <c r="BP2216" s="1">
        <v>0</v>
      </c>
      <c r="BQ2216" s="1" t="s">
        <v>104</v>
      </c>
      <c r="BR2216" s="1">
        <v>2334</v>
      </c>
      <c r="BS2216" s="1" t="s">
        <v>104</v>
      </c>
      <c r="BX2216" s="1">
        <v>0</v>
      </c>
      <c r="BY2216" s="1" t="s">
        <v>104</v>
      </c>
      <c r="BZ2216" s="1" t="s">
        <v>104</v>
      </c>
      <c r="CA2216" s="1" t="s">
        <v>104</v>
      </c>
      <c r="CB2216" s="1">
        <v>4</v>
      </c>
      <c r="CC2216" s="1">
        <v>4</v>
      </c>
      <c r="CD2216" s="1" t="s">
        <v>104</v>
      </c>
      <c r="CE2216" s="1" t="s">
        <v>104</v>
      </c>
      <c r="CF2216" s="1" t="s">
        <v>104</v>
      </c>
      <c r="CG2216" s="1" t="s">
        <v>104</v>
      </c>
      <c r="CH2216" s="1">
        <v>5</v>
      </c>
      <c r="CJ2216" s="1">
        <v>0</v>
      </c>
      <c r="CK2216" s="1">
        <v>0</v>
      </c>
      <c r="CL2216" s="1">
        <v>0</v>
      </c>
      <c r="CM2216" s="1" t="s">
        <v>104</v>
      </c>
    </row>
    <row r="2217" spans="1:91" ht="14.25" customHeight="1" x14ac:dyDescent="0.3">
      <c r="A2217" s="1" t="s">
        <v>11500</v>
      </c>
      <c r="B2217" s="1" t="s">
        <v>123</v>
      </c>
      <c r="C2217" s="1" t="s">
        <v>124</v>
      </c>
      <c r="D2217" s="1" t="s">
        <v>125</v>
      </c>
      <c r="E2217" s="1" t="s">
        <v>11501</v>
      </c>
      <c r="F2217" s="1" t="s">
        <v>95</v>
      </c>
      <c r="G2217" s="1" t="s">
        <v>237</v>
      </c>
      <c r="H2217" s="1">
        <v>0</v>
      </c>
      <c r="I2217" s="1" t="s">
        <v>117</v>
      </c>
      <c r="L2217" s="1" t="s">
        <v>1065</v>
      </c>
      <c r="M2217" s="1" t="s">
        <v>426</v>
      </c>
      <c r="N2217" s="1">
        <v>1</v>
      </c>
      <c r="O2217" s="1">
        <v>0</v>
      </c>
      <c r="P2217" s="1" t="s">
        <v>276</v>
      </c>
      <c r="Q2217" s="1" t="s">
        <v>184</v>
      </c>
      <c r="R2217" s="1" t="s">
        <v>11502</v>
      </c>
      <c r="S2217" s="1" t="s">
        <v>11477</v>
      </c>
      <c r="T2217" s="1">
        <v>1</v>
      </c>
      <c r="U2217" s="1">
        <v>0</v>
      </c>
      <c r="V2217" s="1">
        <v>0</v>
      </c>
      <c r="W2217" s="1">
        <v>0</v>
      </c>
      <c r="X2217" s="1">
        <v>0</v>
      </c>
      <c r="Y2217" s="1">
        <v>4</v>
      </c>
      <c r="Z2217" s="1">
        <v>4</v>
      </c>
      <c r="AA2217" s="1" t="s">
        <v>104</v>
      </c>
      <c r="AB2217" s="1" t="s">
        <v>104</v>
      </c>
      <c r="AC2217" s="1" t="s">
        <v>104</v>
      </c>
      <c r="AD2217" s="1">
        <v>3</v>
      </c>
      <c r="AE2217" s="1" t="s">
        <v>104</v>
      </c>
      <c r="AF2217" s="1" t="s">
        <v>104</v>
      </c>
      <c r="AG2217" s="1" t="s">
        <v>104</v>
      </c>
      <c r="AH2217" s="1" t="s">
        <v>104</v>
      </c>
      <c r="AI2217" s="1" t="s">
        <v>104</v>
      </c>
      <c r="AJ2217" s="1" t="s">
        <v>104</v>
      </c>
      <c r="AK2217" s="1" t="s">
        <v>104</v>
      </c>
      <c r="AL2217" s="1" t="s">
        <v>104</v>
      </c>
      <c r="AM2217" s="1" t="s">
        <v>104</v>
      </c>
      <c r="AO2217" s="1">
        <v>4</v>
      </c>
      <c r="AR2217" s="1">
        <v>0</v>
      </c>
      <c r="AS2217" s="1">
        <v>0</v>
      </c>
      <c r="AT2217" s="1">
        <v>0</v>
      </c>
      <c r="AU2217" s="1">
        <v>0</v>
      </c>
      <c r="AV2217" s="1">
        <v>0</v>
      </c>
      <c r="AW2217" s="1">
        <v>0</v>
      </c>
      <c r="AX2217" s="1">
        <v>0</v>
      </c>
      <c r="AY2217" s="1">
        <v>0</v>
      </c>
      <c r="AZ2217" s="1">
        <v>0</v>
      </c>
      <c r="BA2217" s="1">
        <v>0</v>
      </c>
      <c r="BB2217" s="1">
        <v>0</v>
      </c>
      <c r="BC2217" s="1">
        <v>0</v>
      </c>
      <c r="BD2217" s="1">
        <v>0</v>
      </c>
      <c r="BE2217" s="1">
        <v>0</v>
      </c>
      <c r="BF2217" s="1">
        <v>0</v>
      </c>
      <c r="BG2217" s="1">
        <v>0</v>
      </c>
      <c r="BH2217" s="1">
        <v>0</v>
      </c>
      <c r="BI2217" s="1">
        <v>0</v>
      </c>
      <c r="BJ2217" s="1">
        <v>0</v>
      </c>
      <c r="BK2217" s="1">
        <v>1</v>
      </c>
      <c r="BL2217" s="1">
        <v>0</v>
      </c>
      <c r="BM2217" s="1">
        <v>0</v>
      </c>
      <c r="BN2217" s="1">
        <v>0</v>
      </c>
      <c r="BO2217" s="1">
        <v>0</v>
      </c>
      <c r="BP2217" s="1">
        <v>0</v>
      </c>
      <c r="BQ2217" s="1" t="s">
        <v>104</v>
      </c>
      <c r="BR2217" s="1">
        <v>2335</v>
      </c>
      <c r="BS2217" s="1" t="s">
        <v>104</v>
      </c>
      <c r="BX2217" s="1">
        <v>0</v>
      </c>
      <c r="BY2217" s="1" t="s">
        <v>104</v>
      </c>
      <c r="BZ2217" s="1" t="s">
        <v>104</v>
      </c>
      <c r="CA2217" s="1">
        <v>3</v>
      </c>
      <c r="CB2217" s="1" t="s">
        <v>104</v>
      </c>
      <c r="CC2217" s="1">
        <v>2</v>
      </c>
      <c r="CD2217" s="1">
        <v>3</v>
      </c>
      <c r="CE2217" s="1" t="s">
        <v>104</v>
      </c>
      <c r="CF2217" s="1" t="s">
        <v>104</v>
      </c>
      <c r="CG2217" s="1" t="s">
        <v>104</v>
      </c>
      <c r="CH2217" s="1" t="s">
        <v>104</v>
      </c>
      <c r="CJ2217" s="1">
        <v>0</v>
      </c>
      <c r="CK2217" s="1">
        <v>0</v>
      </c>
      <c r="CL2217" s="1">
        <v>0</v>
      </c>
      <c r="CM2217" s="1" t="s">
        <v>104</v>
      </c>
    </row>
    <row r="2218" spans="1:91" ht="14.25" customHeight="1" x14ac:dyDescent="0.3">
      <c r="A2218" s="1" t="s">
        <v>11503</v>
      </c>
      <c r="B2218" s="1" t="s">
        <v>123</v>
      </c>
      <c r="C2218" s="1" t="s">
        <v>124</v>
      </c>
      <c r="D2218" s="1" t="s">
        <v>125</v>
      </c>
      <c r="E2218" s="1" t="s">
        <v>11504</v>
      </c>
      <c r="F2218" s="1" t="s">
        <v>95</v>
      </c>
      <c r="G2218" s="1" t="s">
        <v>237</v>
      </c>
      <c r="H2218" s="1">
        <v>0</v>
      </c>
      <c r="I2218" s="1" t="s">
        <v>117</v>
      </c>
      <c r="L2218" s="1" t="s">
        <v>541</v>
      </c>
      <c r="M2218" s="1" t="s">
        <v>426</v>
      </c>
      <c r="N2218" s="1">
        <v>1</v>
      </c>
      <c r="O2218" s="1">
        <v>0</v>
      </c>
      <c r="P2218" s="1" t="s">
        <v>276</v>
      </c>
      <c r="Q2218" s="1" t="s">
        <v>184</v>
      </c>
      <c r="R2218" s="1" t="s">
        <v>11505</v>
      </c>
      <c r="S2218" s="1" t="s">
        <v>11477</v>
      </c>
      <c r="T2218" s="1">
        <v>1</v>
      </c>
      <c r="U2218" s="1">
        <v>0</v>
      </c>
      <c r="V2218" s="1">
        <v>0</v>
      </c>
      <c r="W2218" s="1">
        <v>0</v>
      </c>
      <c r="X2218" s="1">
        <v>0</v>
      </c>
      <c r="Y2218" s="1">
        <v>8</v>
      </c>
      <c r="Z2218" s="1">
        <v>8</v>
      </c>
      <c r="AA2218" s="1" t="s">
        <v>104</v>
      </c>
      <c r="AB2218" s="1" t="s">
        <v>104</v>
      </c>
      <c r="AC2218" s="1" t="s">
        <v>104</v>
      </c>
      <c r="AD2218" s="1">
        <v>6</v>
      </c>
      <c r="AE2218" s="1" t="s">
        <v>104</v>
      </c>
      <c r="AF2218" s="1" t="s">
        <v>104</v>
      </c>
      <c r="AG2218" s="1" t="s">
        <v>104</v>
      </c>
      <c r="AH2218" s="1" t="s">
        <v>104</v>
      </c>
      <c r="AI2218" s="1" t="s">
        <v>104</v>
      </c>
      <c r="AJ2218" s="1" t="s">
        <v>104</v>
      </c>
      <c r="AK2218" s="1" t="s">
        <v>104</v>
      </c>
      <c r="AL2218" s="1" t="s">
        <v>104</v>
      </c>
      <c r="AM2218" s="1" t="s">
        <v>104</v>
      </c>
      <c r="AO2218" s="1">
        <v>8</v>
      </c>
      <c r="AR2218" s="1">
        <v>0</v>
      </c>
      <c r="AS2218" s="1">
        <v>0</v>
      </c>
      <c r="AT2218" s="1">
        <v>0</v>
      </c>
      <c r="AU2218" s="1">
        <v>0</v>
      </c>
      <c r="AV2218" s="1">
        <v>0</v>
      </c>
      <c r="AW2218" s="1">
        <v>0</v>
      </c>
      <c r="AX2218" s="1">
        <v>0</v>
      </c>
      <c r="AY2218" s="1">
        <v>0</v>
      </c>
      <c r="AZ2218" s="1">
        <v>0</v>
      </c>
      <c r="BA2218" s="1">
        <v>0</v>
      </c>
      <c r="BB2218" s="1">
        <v>0</v>
      </c>
      <c r="BC2218" s="1">
        <v>0</v>
      </c>
      <c r="BD2218" s="1">
        <v>0</v>
      </c>
      <c r="BE2218" s="1">
        <v>0</v>
      </c>
      <c r="BF2218" s="1">
        <v>0</v>
      </c>
      <c r="BG2218" s="1">
        <v>0</v>
      </c>
      <c r="BH2218" s="1">
        <v>0</v>
      </c>
      <c r="BI2218" s="1">
        <v>0</v>
      </c>
      <c r="BJ2218" s="1">
        <v>0</v>
      </c>
      <c r="BK2218" s="1">
        <v>1</v>
      </c>
      <c r="BL2218" s="1">
        <v>0</v>
      </c>
      <c r="BM2218" s="1">
        <v>0</v>
      </c>
      <c r="BN2218" s="1">
        <v>0</v>
      </c>
      <c r="BO2218" s="1">
        <v>0</v>
      </c>
      <c r="BP2218" s="1">
        <v>0</v>
      </c>
      <c r="BQ2218" s="1" t="s">
        <v>104</v>
      </c>
      <c r="BR2218" s="1">
        <v>2336</v>
      </c>
      <c r="BS2218" s="1" t="s">
        <v>104</v>
      </c>
      <c r="BX2218" s="1">
        <v>0</v>
      </c>
      <c r="BY2218" s="1" t="s">
        <v>104</v>
      </c>
      <c r="BZ2218" s="1" t="s">
        <v>104</v>
      </c>
      <c r="CA2218" s="1">
        <v>7</v>
      </c>
      <c r="CB2218" s="1" t="s">
        <v>104</v>
      </c>
      <c r="CC2218" s="1">
        <v>5</v>
      </c>
      <c r="CD2218" s="1">
        <v>6</v>
      </c>
      <c r="CE2218" s="1" t="s">
        <v>104</v>
      </c>
      <c r="CF2218" s="1" t="s">
        <v>104</v>
      </c>
      <c r="CG2218" s="1" t="s">
        <v>104</v>
      </c>
      <c r="CH2218" s="1" t="s">
        <v>104</v>
      </c>
      <c r="CJ2218" s="1">
        <v>0</v>
      </c>
      <c r="CK2218" s="1">
        <v>0</v>
      </c>
      <c r="CL2218" s="1">
        <v>0</v>
      </c>
      <c r="CM2218" s="1" t="s">
        <v>104</v>
      </c>
    </row>
    <row r="2219" spans="1:91" ht="14.25" customHeight="1" x14ac:dyDescent="0.3">
      <c r="A2219" s="1" t="s">
        <v>11506</v>
      </c>
      <c r="B2219" s="1" t="s">
        <v>507</v>
      </c>
      <c r="C2219" s="1" t="s">
        <v>508</v>
      </c>
      <c r="E2219" s="1" t="s">
        <v>11507</v>
      </c>
      <c r="F2219" s="1" t="s">
        <v>95</v>
      </c>
      <c r="G2219" s="1" t="s">
        <v>11508</v>
      </c>
      <c r="H2219" s="1">
        <v>0</v>
      </c>
      <c r="I2219" s="1" t="s">
        <v>128</v>
      </c>
      <c r="L2219" s="1" t="s">
        <v>1180</v>
      </c>
      <c r="M2219" s="1" t="s">
        <v>194</v>
      </c>
      <c r="N2219" s="1">
        <v>0</v>
      </c>
      <c r="O2219" s="1">
        <v>0</v>
      </c>
      <c r="P2219" s="1" t="s">
        <v>471</v>
      </c>
      <c r="Q2219" s="1" t="s">
        <v>149</v>
      </c>
      <c r="R2219" s="1" t="s">
        <v>11509</v>
      </c>
      <c r="S2219" s="1" t="s">
        <v>11477</v>
      </c>
      <c r="T2219" s="1">
        <v>1</v>
      </c>
      <c r="U2219" s="1">
        <v>1</v>
      </c>
      <c r="V2219" s="1">
        <v>1</v>
      </c>
      <c r="W2219" s="1">
        <v>0</v>
      </c>
      <c r="X2219" s="1">
        <v>0</v>
      </c>
      <c r="Y2219" s="1">
        <v>2</v>
      </c>
      <c r="Z2219" s="1">
        <v>2</v>
      </c>
      <c r="AA2219" s="1" t="s">
        <v>104</v>
      </c>
      <c r="AB2219" s="1" t="s">
        <v>104</v>
      </c>
      <c r="AC2219" s="1" t="s">
        <v>104</v>
      </c>
      <c r="AD2219" s="1">
        <v>1</v>
      </c>
      <c r="AE2219" s="1" t="s">
        <v>104</v>
      </c>
      <c r="AF2219" s="1" t="s">
        <v>104</v>
      </c>
      <c r="AG2219" s="1" t="s">
        <v>104</v>
      </c>
      <c r="AH2219" s="1">
        <v>2</v>
      </c>
      <c r="AI2219" s="1">
        <v>1</v>
      </c>
      <c r="AJ2219" s="1" t="s">
        <v>104</v>
      </c>
      <c r="AK2219" s="1" t="s">
        <v>104</v>
      </c>
      <c r="AL2219" s="1" t="s">
        <v>104</v>
      </c>
      <c r="AM2219" s="1" t="s">
        <v>104</v>
      </c>
      <c r="AO2219" s="1">
        <v>2</v>
      </c>
      <c r="AR2219" s="1">
        <v>0</v>
      </c>
      <c r="AS2219" s="1">
        <v>0</v>
      </c>
      <c r="AT2219" s="1">
        <v>0</v>
      </c>
      <c r="AU2219" s="1">
        <v>0</v>
      </c>
      <c r="AV2219" s="1">
        <v>0</v>
      </c>
      <c r="AW2219" s="1">
        <v>0</v>
      </c>
      <c r="AX2219" s="1">
        <v>0</v>
      </c>
      <c r="AY2219" s="1">
        <v>0</v>
      </c>
      <c r="AZ2219" s="1">
        <v>0</v>
      </c>
      <c r="BA2219" s="1">
        <v>0</v>
      </c>
      <c r="BB2219" s="1">
        <v>0</v>
      </c>
      <c r="BC2219" s="1">
        <v>0</v>
      </c>
      <c r="BD2219" s="1">
        <v>0</v>
      </c>
      <c r="BE2219" s="1">
        <v>0</v>
      </c>
      <c r="BF2219" s="1">
        <v>0</v>
      </c>
      <c r="BG2219" s="1">
        <v>0</v>
      </c>
      <c r="BH2219" s="1">
        <v>0</v>
      </c>
      <c r="BI2219" s="1">
        <v>0</v>
      </c>
      <c r="BJ2219" s="1">
        <v>0</v>
      </c>
      <c r="BK2219" s="1">
        <v>0</v>
      </c>
      <c r="BL2219" s="1">
        <v>0</v>
      </c>
      <c r="BM2219" s="1">
        <v>0</v>
      </c>
      <c r="BN2219" s="1">
        <v>0</v>
      </c>
      <c r="BO2219" s="1">
        <v>0</v>
      </c>
      <c r="BP2219" s="1">
        <v>0</v>
      </c>
      <c r="BQ2219" s="1" t="s">
        <v>104</v>
      </c>
      <c r="BR2219" s="1">
        <v>2337</v>
      </c>
      <c r="BS2219" s="1" t="s">
        <v>104</v>
      </c>
      <c r="BX2219" s="1">
        <v>0</v>
      </c>
      <c r="BY2219" s="1" t="s">
        <v>104</v>
      </c>
      <c r="BZ2219" s="1">
        <v>1</v>
      </c>
      <c r="CA2219" s="1" t="s">
        <v>104</v>
      </c>
      <c r="CB2219" s="1" t="s">
        <v>104</v>
      </c>
      <c r="CC2219" s="1" t="s">
        <v>104</v>
      </c>
      <c r="CD2219" s="1" t="s">
        <v>104</v>
      </c>
      <c r="CE2219" s="1" t="s">
        <v>104</v>
      </c>
      <c r="CF2219" s="1" t="s">
        <v>104</v>
      </c>
      <c r="CG2219" s="1" t="s">
        <v>104</v>
      </c>
      <c r="CH2219" s="1" t="s">
        <v>104</v>
      </c>
      <c r="CJ2219" s="1">
        <v>0</v>
      </c>
      <c r="CK2219" s="1">
        <v>0</v>
      </c>
      <c r="CL2219" s="1">
        <v>0</v>
      </c>
      <c r="CM2219" s="1" t="s">
        <v>104</v>
      </c>
    </row>
    <row r="2220" spans="1:91" ht="14.25" customHeight="1" x14ac:dyDescent="0.3">
      <c r="A2220" s="1" t="s">
        <v>11510</v>
      </c>
      <c r="B2220" s="1" t="s">
        <v>137</v>
      </c>
      <c r="D2220" s="1" t="s">
        <v>11511</v>
      </c>
      <c r="E2220" s="1" t="s">
        <v>11512</v>
      </c>
      <c r="F2220" s="1" t="s">
        <v>95</v>
      </c>
      <c r="G2220" s="1" t="s">
        <v>11513</v>
      </c>
      <c r="H2220" s="1">
        <v>0</v>
      </c>
      <c r="I2220" s="1" t="s">
        <v>128</v>
      </c>
      <c r="L2220" s="1" t="s">
        <v>1065</v>
      </c>
      <c r="M2220" s="1" t="s">
        <v>11514</v>
      </c>
      <c r="N2220" s="1">
        <v>0</v>
      </c>
      <c r="O2220" s="1">
        <v>0</v>
      </c>
      <c r="P2220" s="1" t="s">
        <v>184</v>
      </c>
      <c r="Q2220" s="1" t="s">
        <v>184</v>
      </c>
      <c r="R2220" s="1" t="s">
        <v>11515</v>
      </c>
      <c r="S2220" s="1" t="s">
        <v>11477</v>
      </c>
      <c r="T2220" s="1">
        <v>0</v>
      </c>
      <c r="U2220" s="1">
        <v>1</v>
      </c>
      <c r="V2220" s="1">
        <v>1</v>
      </c>
      <c r="W2220" s="1">
        <v>0</v>
      </c>
      <c r="X2220" s="1">
        <v>0</v>
      </c>
      <c r="Y2220" s="1" t="s">
        <v>104</v>
      </c>
      <c r="Z2220" s="1" t="s">
        <v>104</v>
      </c>
      <c r="AA2220" s="1" t="s">
        <v>104</v>
      </c>
      <c r="AB2220" s="1" t="s">
        <v>104</v>
      </c>
      <c r="AC2220" s="1" t="s">
        <v>104</v>
      </c>
      <c r="AD2220" s="1">
        <v>3</v>
      </c>
      <c r="AE2220" s="1" t="s">
        <v>104</v>
      </c>
      <c r="AF2220" s="1" t="s">
        <v>104</v>
      </c>
      <c r="AG2220" s="1" t="s">
        <v>104</v>
      </c>
      <c r="AH2220" s="1">
        <v>3</v>
      </c>
      <c r="AI2220" s="1" t="s">
        <v>104</v>
      </c>
      <c r="AJ2220" s="1" t="s">
        <v>104</v>
      </c>
      <c r="AK2220" s="1">
        <v>3</v>
      </c>
      <c r="AL2220" s="1" t="s">
        <v>104</v>
      </c>
      <c r="AM2220" s="1" t="s">
        <v>104</v>
      </c>
      <c r="AO2220" s="1">
        <v>3</v>
      </c>
      <c r="AR2220" s="1">
        <v>0</v>
      </c>
      <c r="AS2220" s="1">
        <v>0</v>
      </c>
      <c r="AT2220" s="1">
        <v>0</v>
      </c>
      <c r="AU2220" s="1">
        <v>0</v>
      </c>
      <c r="AV2220" s="1">
        <v>0</v>
      </c>
      <c r="AW2220" s="1">
        <v>0</v>
      </c>
      <c r="AX2220" s="1">
        <v>0</v>
      </c>
      <c r="AY2220" s="1">
        <v>0</v>
      </c>
      <c r="AZ2220" s="1">
        <v>0</v>
      </c>
      <c r="BA2220" s="1">
        <v>0</v>
      </c>
      <c r="BB2220" s="1">
        <v>0</v>
      </c>
      <c r="BC2220" s="1">
        <v>0</v>
      </c>
      <c r="BD2220" s="1">
        <v>0</v>
      </c>
      <c r="BE2220" s="1">
        <v>0</v>
      </c>
      <c r="BF2220" s="1">
        <v>0</v>
      </c>
      <c r="BG2220" s="1">
        <v>0</v>
      </c>
      <c r="BH2220" s="1">
        <v>1</v>
      </c>
      <c r="BI2220" s="1">
        <v>0</v>
      </c>
      <c r="BJ2220" s="1">
        <v>0</v>
      </c>
      <c r="BK2220" s="1">
        <v>0</v>
      </c>
      <c r="BL2220" s="1">
        <v>0</v>
      </c>
      <c r="BM2220" s="1">
        <v>1</v>
      </c>
      <c r="BN2220" s="1">
        <v>0</v>
      </c>
      <c r="BO2220" s="1">
        <v>0</v>
      </c>
      <c r="BP2220" s="1">
        <v>0</v>
      </c>
      <c r="BQ2220" s="1" t="s">
        <v>104</v>
      </c>
      <c r="BR2220" s="1">
        <v>2338</v>
      </c>
      <c r="BS2220" s="1" t="s">
        <v>104</v>
      </c>
      <c r="BX2220" s="1">
        <v>0</v>
      </c>
      <c r="BY2220" s="1" t="s">
        <v>104</v>
      </c>
      <c r="BZ2220" s="1">
        <v>3</v>
      </c>
      <c r="CA2220" s="1" t="s">
        <v>104</v>
      </c>
      <c r="CB2220" s="1" t="s">
        <v>104</v>
      </c>
      <c r="CC2220" s="1">
        <v>3</v>
      </c>
      <c r="CD2220" s="1" t="s">
        <v>104</v>
      </c>
      <c r="CE2220" s="1" t="s">
        <v>104</v>
      </c>
      <c r="CF2220" s="1" t="s">
        <v>104</v>
      </c>
      <c r="CG2220" s="1" t="s">
        <v>104</v>
      </c>
      <c r="CH2220" s="1" t="s">
        <v>104</v>
      </c>
      <c r="CJ2220" s="1">
        <v>0</v>
      </c>
      <c r="CK2220" s="1">
        <v>0</v>
      </c>
      <c r="CL2220" s="1">
        <v>0</v>
      </c>
      <c r="CM2220" s="1" t="s">
        <v>104</v>
      </c>
    </row>
    <row r="2221" spans="1:91" ht="14.25" customHeight="1" x14ac:dyDescent="0.3">
      <c r="A2221" s="1" t="s">
        <v>11516</v>
      </c>
      <c r="B2221" s="1" t="s">
        <v>92</v>
      </c>
      <c r="C2221" s="1" t="s">
        <v>93</v>
      </c>
      <c r="E2221" s="1" t="s">
        <v>5537</v>
      </c>
      <c r="F2221" s="1" t="s">
        <v>95</v>
      </c>
      <c r="G2221" s="1" t="s">
        <v>11517</v>
      </c>
      <c r="H2221" s="1">
        <v>0</v>
      </c>
      <c r="I2221" s="1" t="s">
        <v>128</v>
      </c>
      <c r="K2221" s="1" t="s">
        <v>11518</v>
      </c>
      <c r="M2221" s="1" t="s">
        <v>201</v>
      </c>
      <c r="N2221" s="1">
        <v>0</v>
      </c>
      <c r="O2221" s="1">
        <v>0</v>
      </c>
      <c r="P2221" s="1" t="s">
        <v>100</v>
      </c>
      <c r="Q2221" s="1" t="s">
        <v>101</v>
      </c>
      <c r="R2221" s="1" t="s">
        <v>11519</v>
      </c>
      <c r="S2221" s="1" t="s">
        <v>11477</v>
      </c>
      <c r="T2221" s="1">
        <v>1</v>
      </c>
      <c r="U2221" s="1">
        <v>0</v>
      </c>
      <c r="V2221" s="1">
        <v>0</v>
      </c>
      <c r="W2221" s="1">
        <v>0</v>
      </c>
      <c r="X2221" s="1">
        <v>0</v>
      </c>
      <c r="Y2221" s="1">
        <v>1</v>
      </c>
      <c r="Z2221" s="1">
        <v>1</v>
      </c>
      <c r="AA2221" s="1" t="s">
        <v>104</v>
      </c>
      <c r="AB2221" s="1" t="s">
        <v>104</v>
      </c>
      <c r="AC2221" s="1" t="s">
        <v>104</v>
      </c>
      <c r="AD2221" s="1" t="s">
        <v>104</v>
      </c>
      <c r="AE2221" s="1" t="s">
        <v>104</v>
      </c>
      <c r="AF2221" s="1" t="s">
        <v>104</v>
      </c>
      <c r="AG2221" s="1" t="s">
        <v>104</v>
      </c>
      <c r="AH2221" s="1" t="s">
        <v>104</v>
      </c>
      <c r="AI2221" s="1" t="s">
        <v>104</v>
      </c>
      <c r="AJ2221" s="1" t="s">
        <v>104</v>
      </c>
      <c r="AK2221" s="1" t="s">
        <v>104</v>
      </c>
      <c r="AL2221" s="1" t="s">
        <v>104</v>
      </c>
      <c r="AM2221" s="1" t="s">
        <v>104</v>
      </c>
      <c r="AO2221" s="1">
        <v>1</v>
      </c>
      <c r="AR2221" s="1">
        <v>0</v>
      </c>
      <c r="AS2221" s="1">
        <v>0</v>
      </c>
      <c r="AT2221" s="1">
        <v>0</v>
      </c>
      <c r="AU2221" s="1">
        <v>0</v>
      </c>
      <c r="AV2221" s="1">
        <v>0</v>
      </c>
      <c r="AW2221" s="1">
        <v>0</v>
      </c>
      <c r="AX2221" s="1">
        <v>0</v>
      </c>
      <c r="AY2221" s="1">
        <v>0</v>
      </c>
      <c r="AZ2221" s="1">
        <v>0</v>
      </c>
      <c r="BA2221" s="1">
        <v>0</v>
      </c>
      <c r="BB2221" s="1">
        <v>0</v>
      </c>
      <c r="BC2221" s="1">
        <v>0</v>
      </c>
      <c r="BD2221" s="1">
        <v>0</v>
      </c>
      <c r="BE2221" s="1">
        <v>0</v>
      </c>
      <c r="BF2221" s="1">
        <v>0</v>
      </c>
      <c r="BG2221" s="1">
        <v>0</v>
      </c>
      <c r="BH2221" s="1">
        <v>0</v>
      </c>
      <c r="BI2221" s="1">
        <v>0</v>
      </c>
      <c r="BJ2221" s="1">
        <v>0</v>
      </c>
      <c r="BK2221" s="1">
        <v>0</v>
      </c>
      <c r="BL2221" s="1">
        <v>0</v>
      </c>
      <c r="BM2221" s="1">
        <v>0</v>
      </c>
      <c r="BN2221" s="1">
        <v>0</v>
      </c>
      <c r="BO2221" s="1">
        <v>0</v>
      </c>
      <c r="BP2221" s="1">
        <v>0</v>
      </c>
      <c r="BQ2221" s="1" t="s">
        <v>104</v>
      </c>
      <c r="BR2221" s="1">
        <v>2339</v>
      </c>
      <c r="BS2221" s="1" t="s">
        <v>104</v>
      </c>
      <c r="BX2221" s="1">
        <v>0</v>
      </c>
      <c r="BY2221" s="1" t="s">
        <v>104</v>
      </c>
      <c r="BZ2221" s="1" t="s">
        <v>104</v>
      </c>
      <c r="CA2221" s="1" t="s">
        <v>104</v>
      </c>
      <c r="CB2221" s="1" t="s">
        <v>104</v>
      </c>
      <c r="CC2221" s="1" t="s">
        <v>104</v>
      </c>
      <c r="CD2221" s="1" t="s">
        <v>104</v>
      </c>
      <c r="CE2221" s="1" t="s">
        <v>104</v>
      </c>
      <c r="CF2221" s="1" t="s">
        <v>104</v>
      </c>
      <c r="CG2221" s="1" t="s">
        <v>104</v>
      </c>
      <c r="CH2221" s="1" t="s">
        <v>104</v>
      </c>
      <c r="CJ2221" s="1">
        <v>0</v>
      </c>
      <c r="CK2221" s="1">
        <v>0</v>
      </c>
      <c r="CL2221" s="1">
        <v>0</v>
      </c>
      <c r="CM2221" s="1" t="s">
        <v>104</v>
      </c>
    </row>
    <row r="2222" spans="1:91" ht="14.25" customHeight="1" x14ac:dyDescent="0.3">
      <c r="A2222" s="1" t="s">
        <v>11520</v>
      </c>
      <c r="B2222" s="1" t="s">
        <v>507</v>
      </c>
      <c r="C2222" s="1" t="s">
        <v>508</v>
      </c>
      <c r="E2222" s="1" t="s">
        <v>11521</v>
      </c>
      <c r="F2222" s="1" t="s">
        <v>4934</v>
      </c>
      <c r="G2222" s="1" t="s">
        <v>237</v>
      </c>
      <c r="H2222" s="1">
        <v>0</v>
      </c>
      <c r="I2222" s="1" t="s">
        <v>128</v>
      </c>
      <c r="L2222" s="1" t="s">
        <v>11522</v>
      </c>
      <c r="M2222" s="1" t="s">
        <v>426</v>
      </c>
      <c r="N2222" s="1">
        <v>1</v>
      </c>
      <c r="O2222" s="1">
        <v>0</v>
      </c>
      <c r="P2222" s="1" t="s">
        <v>418</v>
      </c>
      <c r="Q2222" s="1" t="s">
        <v>3284</v>
      </c>
      <c r="R2222" s="1" t="s">
        <v>11523</v>
      </c>
      <c r="S2222" s="1" t="s">
        <v>11477</v>
      </c>
      <c r="T2222" s="1">
        <v>1</v>
      </c>
      <c r="U2222" s="1">
        <v>0</v>
      </c>
      <c r="V2222" s="1">
        <v>0</v>
      </c>
      <c r="W2222" s="1">
        <v>0</v>
      </c>
      <c r="X2222" s="1">
        <v>0</v>
      </c>
      <c r="Y2222" s="1">
        <v>0</v>
      </c>
      <c r="Z2222" s="1">
        <v>0</v>
      </c>
      <c r="AA2222" s="1" t="s">
        <v>104</v>
      </c>
      <c r="AB2222" s="1" t="s">
        <v>104</v>
      </c>
      <c r="AC2222" s="1" t="s">
        <v>104</v>
      </c>
      <c r="AD2222" s="1">
        <v>0</v>
      </c>
      <c r="AE2222" s="1" t="s">
        <v>104</v>
      </c>
      <c r="AF2222" s="1" t="s">
        <v>104</v>
      </c>
      <c r="AG2222" s="1" t="s">
        <v>104</v>
      </c>
      <c r="AH2222" s="1" t="s">
        <v>104</v>
      </c>
      <c r="AI2222" s="1" t="s">
        <v>104</v>
      </c>
      <c r="AJ2222" s="1" t="s">
        <v>104</v>
      </c>
      <c r="AK2222" s="1" t="s">
        <v>104</v>
      </c>
      <c r="AL2222" s="1" t="s">
        <v>104</v>
      </c>
      <c r="AM2222" s="1" t="s">
        <v>104</v>
      </c>
      <c r="AO2222" s="1">
        <v>0</v>
      </c>
      <c r="AR2222" s="1">
        <v>0</v>
      </c>
      <c r="AS2222" s="1">
        <v>0</v>
      </c>
      <c r="AT2222" s="1">
        <v>0</v>
      </c>
      <c r="AU2222" s="1">
        <v>0</v>
      </c>
      <c r="AV2222" s="1">
        <v>0</v>
      </c>
      <c r="AW2222" s="1">
        <v>0</v>
      </c>
      <c r="AX2222" s="1">
        <v>0</v>
      </c>
      <c r="AY2222" s="1">
        <v>0</v>
      </c>
      <c r="AZ2222" s="1">
        <v>0</v>
      </c>
      <c r="BA2222" s="1">
        <v>0</v>
      </c>
      <c r="BB2222" s="1">
        <v>0</v>
      </c>
      <c r="BC2222" s="1">
        <v>0</v>
      </c>
      <c r="BD2222" s="1">
        <v>0</v>
      </c>
      <c r="BE2222" s="1">
        <v>0</v>
      </c>
      <c r="BF2222" s="1">
        <v>0</v>
      </c>
      <c r="BG2222" s="1">
        <v>0</v>
      </c>
      <c r="BH2222" s="1">
        <v>0</v>
      </c>
      <c r="BI2222" s="1">
        <v>0</v>
      </c>
      <c r="BJ2222" s="1">
        <v>0</v>
      </c>
      <c r="BK2222" s="1">
        <v>0</v>
      </c>
      <c r="BL2222" s="1">
        <v>0</v>
      </c>
      <c r="BM2222" s="1">
        <v>0</v>
      </c>
      <c r="BN2222" s="1">
        <v>0</v>
      </c>
      <c r="BO2222" s="1">
        <v>0</v>
      </c>
      <c r="BP2222" s="1">
        <v>0</v>
      </c>
      <c r="BQ2222" s="1" t="s">
        <v>104</v>
      </c>
      <c r="BR2222" s="1">
        <v>2340</v>
      </c>
      <c r="BS2222" s="1" t="s">
        <v>104</v>
      </c>
      <c r="BX2222" s="1">
        <v>0</v>
      </c>
      <c r="BY2222" s="1" t="s">
        <v>104</v>
      </c>
      <c r="BZ2222" s="1" t="s">
        <v>104</v>
      </c>
      <c r="CA2222" s="1" t="s">
        <v>104</v>
      </c>
      <c r="CB2222" s="1" t="s">
        <v>104</v>
      </c>
      <c r="CC2222" s="1" t="s">
        <v>104</v>
      </c>
      <c r="CD2222" s="1" t="s">
        <v>104</v>
      </c>
      <c r="CE2222" s="1" t="s">
        <v>104</v>
      </c>
      <c r="CF2222" s="1" t="s">
        <v>104</v>
      </c>
      <c r="CG2222" s="1" t="s">
        <v>104</v>
      </c>
      <c r="CH2222" s="1" t="s">
        <v>104</v>
      </c>
      <c r="CJ2222" s="1">
        <v>0</v>
      </c>
      <c r="CK2222" s="1">
        <v>0</v>
      </c>
      <c r="CL2222" s="1">
        <v>0</v>
      </c>
      <c r="CM2222" s="1" t="s">
        <v>104</v>
      </c>
    </row>
    <row r="2223" spans="1:91" ht="14.25" customHeight="1" x14ac:dyDescent="0.3">
      <c r="A2223" s="1" t="s">
        <v>11524</v>
      </c>
      <c r="B2223" s="1" t="s">
        <v>137</v>
      </c>
      <c r="E2223" s="1" t="s">
        <v>11525</v>
      </c>
      <c r="F2223" s="1" t="s">
        <v>95</v>
      </c>
      <c r="G2223" s="1" t="s">
        <v>116</v>
      </c>
      <c r="H2223" s="1">
        <v>0</v>
      </c>
      <c r="I2223" s="1" t="s">
        <v>128</v>
      </c>
      <c r="L2223" s="1" t="s">
        <v>374</v>
      </c>
      <c r="M2223" s="1" t="s">
        <v>2330</v>
      </c>
      <c r="N2223" s="1">
        <v>0</v>
      </c>
      <c r="O2223" s="1">
        <v>0</v>
      </c>
      <c r="P2223" s="1" t="s">
        <v>375</v>
      </c>
      <c r="Q2223" s="1" t="s">
        <v>131</v>
      </c>
      <c r="R2223" s="1" t="s">
        <v>11526</v>
      </c>
      <c r="S2223" s="1" t="s">
        <v>11477</v>
      </c>
      <c r="T2223" s="1">
        <v>1</v>
      </c>
      <c r="U2223" s="1">
        <v>1</v>
      </c>
      <c r="V2223" s="1">
        <v>0</v>
      </c>
      <c r="W2223" s="1">
        <v>0</v>
      </c>
      <c r="X2223" s="1">
        <v>0</v>
      </c>
      <c r="Y2223" s="1">
        <v>3</v>
      </c>
      <c r="Z2223" s="1">
        <v>3</v>
      </c>
      <c r="AA2223" s="1" t="s">
        <v>104</v>
      </c>
      <c r="AB2223" s="1" t="s">
        <v>104</v>
      </c>
      <c r="AC2223" s="1" t="s">
        <v>104</v>
      </c>
      <c r="AD2223" s="1" t="s">
        <v>104</v>
      </c>
      <c r="AE2223" s="1" t="s">
        <v>104</v>
      </c>
      <c r="AF2223" s="1" t="s">
        <v>104</v>
      </c>
      <c r="AG2223" s="1" t="s">
        <v>104</v>
      </c>
      <c r="AH2223" s="1" t="s">
        <v>104</v>
      </c>
      <c r="AI2223" s="1" t="s">
        <v>104</v>
      </c>
      <c r="AJ2223" s="1" t="s">
        <v>104</v>
      </c>
      <c r="AK2223" s="1" t="s">
        <v>104</v>
      </c>
      <c r="AL2223" s="1" t="s">
        <v>104</v>
      </c>
      <c r="AM2223" s="1" t="s">
        <v>104</v>
      </c>
      <c r="AO2223" s="1">
        <v>3</v>
      </c>
      <c r="AR2223" s="1">
        <v>0</v>
      </c>
      <c r="AS2223" s="1">
        <v>0</v>
      </c>
      <c r="AT2223" s="1">
        <v>0</v>
      </c>
      <c r="AU2223" s="1">
        <v>0</v>
      </c>
      <c r="AV2223" s="1">
        <v>0</v>
      </c>
      <c r="AW2223" s="1">
        <v>0</v>
      </c>
      <c r="AX2223" s="1">
        <v>0</v>
      </c>
      <c r="AY2223" s="1">
        <v>0</v>
      </c>
      <c r="AZ2223" s="1">
        <v>0</v>
      </c>
      <c r="BA2223" s="1">
        <v>0</v>
      </c>
      <c r="BB2223" s="1">
        <v>0</v>
      </c>
      <c r="BC2223" s="1">
        <v>0</v>
      </c>
      <c r="BD2223" s="1">
        <v>0</v>
      </c>
      <c r="BE2223" s="1">
        <v>0</v>
      </c>
      <c r="BF2223" s="1">
        <v>0</v>
      </c>
      <c r="BG2223" s="1">
        <v>0</v>
      </c>
      <c r="BH2223" s="1">
        <v>0</v>
      </c>
      <c r="BI2223" s="1">
        <v>0</v>
      </c>
      <c r="BJ2223" s="1">
        <v>0</v>
      </c>
      <c r="BK2223" s="1">
        <v>0</v>
      </c>
      <c r="BL2223" s="1">
        <v>0</v>
      </c>
      <c r="BM2223" s="1">
        <v>0</v>
      </c>
      <c r="BN2223" s="1">
        <v>0</v>
      </c>
      <c r="BO2223" s="1">
        <v>0</v>
      </c>
      <c r="BP2223" s="1">
        <v>0</v>
      </c>
      <c r="BQ2223" s="1" t="s">
        <v>104</v>
      </c>
      <c r="BR2223" s="1">
        <v>2341</v>
      </c>
      <c r="BS2223" s="1" t="s">
        <v>104</v>
      </c>
      <c r="BX2223" s="1">
        <v>0</v>
      </c>
      <c r="BY2223" s="1" t="s">
        <v>104</v>
      </c>
      <c r="BZ2223" s="1" t="s">
        <v>104</v>
      </c>
      <c r="CA2223" s="1" t="s">
        <v>104</v>
      </c>
      <c r="CB2223" s="1" t="s">
        <v>104</v>
      </c>
      <c r="CC2223" s="1" t="s">
        <v>104</v>
      </c>
      <c r="CD2223" s="1">
        <v>3</v>
      </c>
      <c r="CE2223" s="1" t="s">
        <v>104</v>
      </c>
      <c r="CF2223" s="1" t="s">
        <v>104</v>
      </c>
      <c r="CG2223" s="1" t="s">
        <v>104</v>
      </c>
      <c r="CH2223" s="1" t="s">
        <v>104</v>
      </c>
      <c r="CJ2223" s="1">
        <v>0</v>
      </c>
      <c r="CK2223" s="1">
        <v>0</v>
      </c>
      <c r="CL2223" s="1">
        <v>0</v>
      </c>
      <c r="CM2223" s="1" t="s">
        <v>104</v>
      </c>
    </row>
    <row r="2224" spans="1:91" ht="14.25" customHeight="1" x14ac:dyDescent="0.3">
      <c r="A2224" s="1" t="s">
        <v>11527</v>
      </c>
      <c r="B2224" s="1" t="s">
        <v>172</v>
      </c>
      <c r="E2224" s="1" t="s">
        <v>11528</v>
      </c>
      <c r="F2224" s="1" t="s">
        <v>95</v>
      </c>
      <c r="G2224" s="1" t="s">
        <v>11529</v>
      </c>
      <c r="H2224" s="1">
        <v>0</v>
      </c>
      <c r="I2224" s="1" t="s">
        <v>157</v>
      </c>
      <c r="M2224" s="1" t="s">
        <v>2330</v>
      </c>
      <c r="N2224" s="1">
        <v>0</v>
      </c>
      <c r="O2224" s="1">
        <v>0</v>
      </c>
      <c r="R2224" s="1" t="s">
        <v>11530</v>
      </c>
      <c r="S2224" s="1" t="s">
        <v>11477</v>
      </c>
      <c r="T2224" s="1">
        <v>1</v>
      </c>
      <c r="U2224" s="1">
        <v>1</v>
      </c>
      <c r="V2224" s="1">
        <v>1</v>
      </c>
      <c r="W2224" s="1">
        <v>0</v>
      </c>
      <c r="X2224" s="1">
        <v>1</v>
      </c>
      <c r="Y2224" s="1">
        <v>1</v>
      </c>
      <c r="Z2224" s="1">
        <v>1</v>
      </c>
      <c r="AA2224" s="1">
        <v>1</v>
      </c>
      <c r="AB2224" s="1" t="s">
        <v>104</v>
      </c>
      <c r="AC2224" s="1" t="s">
        <v>104</v>
      </c>
      <c r="AD2224" s="1" t="s">
        <v>104</v>
      </c>
      <c r="AE2224" s="1" t="s">
        <v>104</v>
      </c>
      <c r="AF2224" s="1">
        <v>1</v>
      </c>
      <c r="AG2224" s="1" t="s">
        <v>104</v>
      </c>
      <c r="AH2224" s="1" t="s">
        <v>104</v>
      </c>
      <c r="AI2224" s="1">
        <v>1</v>
      </c>
      <c r="AJ2224" s="1">
        <v>1</v>
      </c>
      <c r="AK2224" s="1" t="s">
        <v>104</v>
      </c>
      <c r="AL2224" s="1" t="s">
        <v>104</v>
      </c>
      <c r="AM2224" s="1" t="s">
        <v>104</v>
      </c>
      <c r="AO2224" s="1">
        <v>1</v>
      </c>
      <c r="AR2224" s="1">
        <v>0</v>
      </c>
      <c r="AS2224" s="1">
        <v>0</v>
      </c>
      <c r="AT2224" s="1">
        <v>0</v>
      </c>
      <c r="AU2224" s="1">
        <v>0</v>
      </c>
      <c r="AV2224" s="1">
        <v>0</v>
      </c>
      <c r="AW2224" s="1">
        <v>0</v>
      </c>
      <c r="AX2224" s="1">
        <v>0</v>
      </c>
      <c r="AY2224" s="1">
        <v>0</v>
      </c>
      <c r="AZ2224" s="1">
        <v>0</v>
      </c>
      <c r="BA2224" s="1">
        <v>0</v>
      </c>
      <c r="BB2224" s="1">
        <v>0</v>
      </c>
      <c r="BC2224" s="1">
        <v>0</v>
      </c>
      <c r="BD2224" s="1">
        <v>0</v>
      </c>
      <c r="BE2224" s="1">
        <v>0</v>
      </c>
      <c r="BF2224" s="1">
        <v>0</v>
      </c>
      <c r="BG2224" s="1">
        <v>0</v>
      </c>
      <c r="BH2224" s="1">
        <v>0</v>
      </c>
      <c r="BI2224" s="1">
        <v>0</v>
      </c>
      <c r="BJ2224" s="1">
        <v>0</v>
      </c>
      <c r="BK2224" s="1">
        <v>0</v>
      </c>
      <c r="BL2224" s="1">
        <v>0</v>
      </c>
      <c r="BM2224" s="1">
        <v>0</v>
      </c>
      <c r="BN2224" s="1">
        <v>0</v>
      </c>
      <c r="BO2224" s="1">
        <v>0</v>
      </c>
      <c r="BP2224" s="1">
        <v>0</v>
      </c>
      <c r="BQ2224" s="1" t="s">
        <v>104</v>
      </c>
      <c r="BR2224" s="1">
        <v>2342</v>
      </c>
      <c r="BS2224" s="1" t="s">
        <v>104</v>
      </c>
      <c r="BX2224" s="1">
        <v>0</v>
      </c>
      <c r="BY2224" s="1" t="s">
        <v>104</v>
      </c>
      <c r="BZ2224" s="1" t="s">
        <v>104</v>
      </c>
      <c r="CA2224" s="1" t="s">
        <v>104</v>
      </c>
      <c r="CB2224" s="1" t="s">
        <v>104</v>
      </c>
      <c r="CC2224" s="1" t="s">
        <v>104</v>
      </c>
      <c r="CD2224" s="1">
        <v>1</v>
      </c>
      <c r="CE2224" s="1" t="s">
        <v>104</v>
      </c>
      <c r="CF2224" s="1" t="s">
        <v>104</v>
      </c>
      <c r="CG2224" s="1" t="s">
        <v>104</v>
      </c>
      <c r="CH2224" s="1" t="s">
        <v>104</v>
      </c>
      <c r="CJ2224" s="1">
        <v>0</v>
      </c>
      <c r="CK2224" s="1">
        <v>0</v>
      </c>
      <c r="CL2224" s="1">
        <v>0</v>
      </c>
      <c r="CM2224" s="1" t="s">
        <v>104</v>
      </c>
    </row>
    <row r="2225" spans="1:91" ht="14.25" customHeight="1" x14ac:dyDescent="0.3">
      <c r="A2225" s="1" t="s">
        <v>11531</v>
      </c>
      <c r="B2225" s="1" t="s">
        <v>123</v>
      </c>
      <c r="C2225" s="1" t="s">
        <v>124</v>
      </c>
      <c r="D2225" s="1" t="s">
        <v>11441</v>
      </c>
      <c r="E2225" s="1" t="s">
        <v>11532</v>
      </c>
      <c r="F2225" s="1" t="s">
        <v>95</v>
      </c>
      <c r="G2225" s="1" t="s">
        <v>127</v>
      </c>
      <c r="H2225" s="1">
        <v>0</v>
      </c>
      <c r="I2225" s="1" t="s">
        <v>117</v>
      </c>
      <c r="L2225" s="1" t="s">
        <v>1065</v>
      </c>
      <c r="M2225" s="1" t="s">
        <v>194</v>
      </c>
      <c r="N2225" s="1">
        <v>0</v>
      </c>
      <c r="O2225" s="1">
        <v>0</v>
      </c>
      <c r="P2225" s="1" t="s">
        <v>211</v>
      </c>
      <c r="Q2225" s="1" t="s">
        <v>184</v>
      </c>
      <c r="R2225" s="1" t="s">
        <v>11533</v>
      </c>
      <c r="S2225" s="1" t="s">
        <v>11477</v>
      </c>
      <c r="T2225" s="1">
        <v>1</v>
      </c>
      <c r="U2225" s="1">
        <v>1</v>
      </c>
      <c r="V2225" s="1">
        <v>0</v>
      </c>
      <c r="W2225" s="1">
        <v>0</v>
      </c>
      <c r="X2225" s="1">
        <v>1</v>
      </c>
      <c r="Y2225" s="1" t="s">
        <v>104</v>
      </c>
      <c r="Z2225" s="1" t="s">
        <v>104</v>
      </c>
      <c r="AA2225" s="1" t="s">
        <v>104</v>
      </c>
      <c r="AB2225" s="1" t="s">
        <v>104</v>
      </c>
      <c r="AC2225" s="1" t="s">
        <v>104</v>
      </c>
      <c r="AD2225" s="1" t="s">
        <v>104</v>
      </c>
      <c r="AE2225" s="1" t="s">
        <v>104</v>
      </c>
      <c r="AF2225" s="1" t="s">
        <v>104</v>
      </c>
      <c r="AG2225" s="1" t="s">
        <v>104</v>
      </c>
      <c r="AH2225" s="1">
        <v>2</v>
      </c>
      <c r="AI2225" s="1" t="s">
        <v>104</v>
      </c>
      <c r="AJ2225" s="1" t="s">
        <v>104</v>
      </c>
      <c r="AK2225" s="1">
        <v>2</v>
      </c>
      <c r="AL2225" s="1" t="s">
        <v>104</v>
      </c>
      <c r="AM2225" s="1" t="s">
        <v>104</v>
      </c>
      <c r="AO2225" s="1">
        <v>2</v>
      </c>
      <c r="AR2225" s="1">
        <v>0</v>
      </c>
      <c r="AS2225" s="1">
        <v>0</v>
      </c>
      <c r="AT2225" s="1">
        <v>0</v>
      </c>
      <c r="AU2225" s="1">
        <v>0</v>
      </c>
      <c r="AV2225" s="1">
        <v>1</v>
      </c>
      <c r="AW2225" s="1">
        <v>0</v>
      </c>
      <c r="AX2225" s="1">
        <v>0</v>
      </c>
      <c r="AY2225" s="1">
        <v>0</v>
      </c>
      <c r="AZ2225" s="1">
        <v>0</v>
      </c>
      <c r="BA2225" s="1">
        <v>0</v>
      </c>
      <c r="BB2225" s="1">
        <v>0</v>
      </c>
      <c r="BC2225" s="1">
        <v>0</v>
      </c>
      <c r="BD2225" s="1">
        <v>0</v>
      </c>
      <c r="BE2225" s="1">
        <v>0</v>
      </c>
      <c r="BF2225" s="1">
        <v>0</v>
      </c>
      <c r="BG2225" s="1">
        <v>0</v>
      </c>
      <c r="BH2225" s="1">
        <v>0</v>
      </c>
      <c r="BI2225" s="1">
        <v>0</v>
      </c>
      <c r="BJ2225" s="1">
        <v>0</v>
      </c>
      <c r="BK2225" s="1">
        <v>0</v>
      </c>
      <c r="BL2225" s="1">
        <v>0</v>
      </c>
      <c r="BM2225" s="1">
        <v>0</v>
      </c>
      <c r="BN2225" s="1">
        <v>0</v>
      </c>
      <c r="BO2225" s="1">
        <v>0</v>
      </c>
      <c r="BP2225" s="1">
        <v>0</v>
      </c>
      <c r="BQ2225" s="1" t="s">
        <v>104</v>
      </c>
      <c r="BR2225" s="1">
        <v>2343</v>
      </c>
      <c r="BS2225" s="1" t="s">
        <v>104</v>
      </c>
      <c r="BX2225" s="1">
        <v>0</v>
      </c>
      <c r="BY2225" s="1" t="s">
        <v>104</v>
      </c>
      <c r="BZ2225" s="1">
        <v>2</v>
      </c>
      <c r="CA2225" s="1" t="s">
        <v>104</v>
      </c>
      <c r="CB2225" s="1" t="s">
        <v>104</v>
      </c>
      <c r="CC2225" s="1">
        <v>2</v>
      </c>
      <c r="CD2225" s="1" t="s">
        <v>104</v>
      </c>
      <c r="CE2225" s="1" t="s">
        <v>104</v>
      </c>
      <c r="CF2225" s="1" t="s">
        <v>104</v>
      </c>
      <c r="CG2225" s="1" t="s">
        <v>104</v>
      </c>
      <c r="CH2225" s="1" t="s">
        <v>104</v>
      </c>
      <c r="CJ2225" s="1">
        <v>0</v>
      </c>
      <c r="CK2225" s="1">
        <v>0</v>
      </c>
      <c r="CL2225" s="1">
        <v>0</v>
      </c>
      <c r="CM2225" s="1" t="s">
        <v>104</v>
      </c>
    </row>
    <row r="2226" spans="1:91" ht="14.25" customHeight="1" x14ac:dyDescent="0.3">
      <c r="A2226" s="1" t="s">
        <v>11534</v>
      </c>
      <c r="B2226" s="1" t="s">
        <v>92</v>
      </c>
      <c r="C2226" s="1" t="s">
        <v>93</v>
      </c>
      <c r="E2226" s="1" t="s">
        <v>11535</v>
      </c>
      <c r="F2226" s="1" t="s">
        <v>95</v>
      </c>
      <c r="G2226" s="1" t="s">
        <v>116</v>
      </c>
      <c r="H2226" s="1">
        <v>0</v>
      </c>
      <c r="I2226" s="1" t="s">
        <v>157</v>
      </c>
      <c r="M2226" s="1" t="s">
        <v>6149</v>
      </c>
      <c r="N2226" s="1">
        <v>0</v>
      </c>
      <c r="O2226" s="1">
        <v>0</v>
      </c>
      <c r="R2226" s="1" t="s">
        <v>11536</v>
      </c>
      <c r="S2226" s="1" t="s">
        <v>11477</v>
      </c>
      <c r="T2226" s="1">
        <v>1</v>
      </c>
      <c r="U2226" s="1">
        <v>1</v>
      </c>
      <c r="V2226" s="1">
        <v>0</v>
      </c>
      <c r="W2226" s="1">
        <v>0</v>
      </c>
      <c r="X2226" s="1">
        <v>0</v>
      </c>
      <c r="Y2226" s="1">
        <v>3</v>
      </c>
      <c r="Z2226" s="1">
        <v>3</v>
      </c>
      <c r="AA2226" s="1" t="s">
        <v>104</v>
      </c>
      <c r="AB2226" s="1" t="s">
        <v>104</v>
      </c>
      <c r="AC2226" s="1" t="s">
        <v>104</v>
      </c>
      <c r="AD2226" s="1" t="s">
        <v>104</v>
      </c>
      <c r="AE2226" s="1" t="s">
        <v>104</v>
      </c>
      <c r="AF2226" s="1" t="s">
        <v>104</v>
      </c>
      <c r="AG2226" s="1">
        <v>2</v>
      </c>
      <c r="AH2226" s="1">
        <v>3</v>
      </c>
      <c r="AI2226" s="1">
        <v>2</v>
      </c>
      <c r="AJ2226" s="1" t="s">
        <v>104</v>
      </c>
      <c r="AK2226" s="1" t="s">
        <v>104</v>
      </c>
      <c r="AL2226" s="1" t="s">
        <v>104</v>
      </c>
      <c r="AM2226" s="1" t="s">
        <v>104</v>
      </c>
      <c r="AO2226" s="1">
        <v>3</v>
      </c>
      <c r="AR2226" s="1">
        <v>0</v>
      </c>
      <c r="AS2226" s="1">
        <v>0</v>
      </c>
      <c r="AT2226" s="1">
        <v>0</v>
      </c>
      <c r="AU2226" s="1">
        <v>0</v>
      </c>
      <c r="AV2226" s="1">
        <v>0</v>
      </c>
      <c r="AW2226" s="1">
        <v>0</v>
      </c>
      <c r="AX2226" s="1">
        <v>0</v>
      </c>
      <c r="AY2226" s="1">
        <v>0</v>
      </c>
      <c r="AZ2226" s="1">
        <v>0</v>
      </c>
      <c r="BA2226" s="1">
        <v>0</v>
      </c>
      <c r="BB2226" s="1">
        <v>0</v>
      </c>
      <c r="BC2226" s="1">
        <v>0</v>
      </c>
      <c r="BD2226" s="1">
        <v>0</v>
      </c>
      <c r="BE2226" s="1">
        <v>0</v>
      </c>
      <c r="BF2226" s="1">
        <v>0</v>
      </c>
      <c r="BG2226" s="1">
        <v>0</v>
      </c>
      <c r="BH2226" s="1">
        <v>0</v>
      </c>
      <c r="BI2226" s="1">
        <v>0</v>
      </c>
      <c r="BJ2226" s="1">
        <v>0</v>
      </c>
      <c r="BK2226" s="1">
        <v>0</v>
      </c>
      <c r="BL2226" s="1">
        <v>0</v>
      </c>
      <c r="BM2226" s="1">
        <v>0</v>
      </c>
      <c r="BN2226" s="1">
        <v>0</v>
      </c>
      <c r="BO2226" s="1">
        <v>0</v>
      </c>
      <c r="BP2226" s="1">
        <v>0</v>
      </c>
      <c r="BQ2226" s="1" t="s">
        <v>104</v>
      </c>
      <c r="BR2226" s="1">
        <v>2344</v>
      </c>
      <c r="BS2226" s="1" t="s">
        <v>104</v>
      </c>
      <c r="BX2226" s="1">
        <v>0</v>
      </c>
      <c r="BY2226" s="1" t="s">
        <v>104</v>
      </c>
      <c r="BZ2226" s="1" t="s">
        <v>104</v>
      </c>
      <c r="CA2226" s="1" t="s">
        <v>104</v>
      </c>
      <c r="CB2226" s="1" t="s">
        <v>104</v>
      </c>
      <c r="CC2226" s="1" t="s">
        <v>104</v>
      </c>
      <c r="CD2226" s="1">
        <v>3</v>
      </c>
      <c r="CE2226" s="1" t="s">
        <v>104</v>
      </c>
      <c r="CF2226" s="1" t="s">
        <v>104</v>
      </c>
      <c r="CG2226" s="1" t="s">
        <v>104</v>
      </c>
      <c r="CH2226" s="1" t="s">
        <v>104</v>
      </c>
      <c r="CJ2226" s="1">
        <v>0</v>
      </c>
      <c r="CK2226" s="1">
        <v>0</v>
      </c>
      <c r="CL2226" s="1">
        <v>0</v>
      </c>
      <c r="CM2226" s="1">
        <v>2</v>
      </c>
    </row>
    <row r="2227" spans="1:91" ht="14.25" customHeight="1" x14ac:dyDescent="0.3">
      <c r="A2227" s="1" t="s">
        <v>11537</v>
      </c>
      <c r="B2227" s="1" t="s">
        <v>137</v>
      </c>
      <c r="E2227" s="1" t="s">
        <v>10640</v>
      </c>
      <c r="F2227" s="1" t="s">
        <v>95</v>
      </c>
      <c r="G2227" s="1" t="s">
        <v>116</v>
      </c>
      <c r="H2227" s="1">
        <v>0</v>
      </c>
      <c r="I2227" s="1" t="s">
        <v>117</v>
      </c>
      <c r="L2227" s="1" t="s">
        <v>11538</v>
      </c>
      <c r="M2227" s="1" t="s">
        <v>4641</v>
      </c>
      <c r="N2227" s="1">
        <v>1</v>
      </c>
      <c r="O2227" s="1">
        <v>0</v>
      </c>
      <c r="P2227" s="1" t="s">
        <v>11539</v>
      </c>
      <c r="Q2227" s="1" t="s">
        <v>101</v>
      </c>
      <c r="R2227" s="1" t="s">
        <v>11540</v>
      </c>
      <c r="S2227" s="1" t="s">
        <v>11477</v>
      </c>
      <c r="T2227" s="1">
        <v>1</v>
      </c>
      <c r="U2227" s="1">
        <v>1</v>
      </c>
      <c r="V2227" s="1">
        <v>0</v>
      </c>
      <c r="W2227" s="1">
        <v>0</v>
      </c>
      <c r="X2227" s="1">
        <v>0</v>
      </c>
      <c r="Y2227" s="1">
        <v>2</v>
      </c>
      <c r="Z2227" s="1">
        <v>2</v>
      </c>
      <c r="AA2227" s="1" t="s">
        <v>104</v>
      </c>
      <c r="AB2227" s="1" t="s">
        <v>104</v>
      </c>
      <c r="AC2227" s="1" t="s">
        <v>104</v>
      </c>
      <c r="AD2227" s="1">
        <v>2</v>
      </c>
      <c r="AE2227" s="1" t="s">
        <v>104</v>
      </c>
      <c r="AF2227" s="1" t="s">
        <v>104</v>
      </c>
      <c r="AG2227" s="1" t="s">
        <v>104</v>
      </c>
      <c r="AH2227" s="1" t="s">
        <v>104</v>
      </c>
      <c r="AI2227" s="1" t="s">
        <v>104</v>
      </c>
      <c r="AJ2227" s="1" t="s">
        <v>104</v>
      </c>
      <c r="AK2227" s="1" t="s">
        <v>104</v>
      </c>
      <c r="AL2227" s="1">
        <v>2</v>
      </c>
      <c r="AM2227" s="1" t="s">
        <v>104</v>
      </c>
      <c r="AO2227" s="1">
        <v>2</v>
      </c>
      <c r="AR2227" s="1">
        <v>0</v>
      </c>
      <c r="AS2227" s="1">
        <v>0</v>
      </c>
      <c r="AT2227" s="1">
        <v>0</v>
      </c>
      <c r="AU2227" s="1">
        <v>0</v>
      </c>
      <c r="AV2227" s="1">
        <v>0</v>
      </c>
      <c r="AW2227" s="1">
        <v>0</v>
      </c>
      <c r="AX2227" s="1">
        <v>0</v>
      </c>
      <c r="AY2227" s="1">
        <v>0</v>
      </c>
      <c r="AZ2227" s="1">
        <v>0</v>
      </c>
      <c r="BA2227" s="1">
        <v>0</v>
      </c>
      <c r="BB2227" s="1">
        <v>0</v>
      </c>
      <c r="BC2227" s="1">
        <v>0</v>
      </c>
      <c r="BD2227" s="1">
        <v>0</v>
      </c>
      <c r="BE2227" s="1">
        <v>0</v>
      </c>
      <c r="BF2227" s="1">
        <v>0</v>
      </c>
      <c r="BG2227" s="1">
        <v>0</v>
      </c>
      <c r="BH2227" s="1">
        <v>0</v>
      </c>
      <c r="BI2227" s="1">
        <v>0</v>
      </c>
      <c r="BJ2227" s="1">
        <v>0</v>
      </c>
      <c r="BK2227" s="1">
        <v>0</v>
      </c>
      <c r="BL2227" s="1">
        <v>0</v>
      </c>
      <c r="BM2227" s="1">
        <v>0</v>
      </c>
      <c r="BN2227" s="1">
        <v>0</v>
      </c>
      <c r="BO2227" s="1">
        <v>0</v>
      </c>
      <c r="BP2227" s="1">
        <v>0</v>
      </c>
      <c r="BQ2227" s="1" t="s">
        <v>104</v>
      </c>
      <c r="BR2227" s="1">
        <v>2345</v>
      </c>
      <c r="BS2227" s="1" t="s">
        <v>104</v>
      </c>
      <c r="BX2227" s="1">
        <v>0</v>
      </c>
      <c r="BY2227" s="1">
        <v>2</v>
      </c>
      <c r="BZ2227" s="1" t="s">
        <v>104</v>
      </c>
      <c r="CA2227" s="1" t="s">
        <v>104</v>
      </c>
      <c r="CB2227" s="1" t="s">
        <v>104</v>
      </c>
      <c r="CC2227" s="1" t="s">
        <v>104</v>
      </c>
      <c r="CD2227" s="1" t="s">
        <v>104</v>
      </c>
      <c r="CE2227" s="1" t="s">
        <v>104</v>
      </c>
      <c r="CF2227" s="1" t="s">
        <v>104</v>
      </c>
      <c r="CG2227" s="1" t="s">
        <v>104</v>
      </c>
      <c r="CH2227" s="1" t="s">
        <v>104</v>
      </c>
      <c r="CJ2227" s="1">
        <v>0</v>
      </c>
      <c r="CK2227" s="1">
        <v>0</v>
      </c>
      <c r="CL2227" s="1">
        <v>0</v>
      </c>
      <c r="CM2227" s="1" t="s">
        <v>104</v>
      </c>
    </row>
    <row r="2228" spans="1:91" ht="14.25" customHeight="1" x14ac:dyDescent="0.3">
      <c r="A2228" s="1" t="s">
        <v>11541</v>
      </c>
      <c r="B2228" s="1" t="s">
        <v>162</v>
      </c>
      <c r="D2228" s="1" t="s">
        <v>56</v>
      </c>
      <c r="E2228" s="1" t="s">
        <v>11542</v>
      </c>
      <c r="F2228" s="1" t="s">
        <v>95</v>
      </c>
      <c r="G2228" s="1" t="s">
        <v>116</v>
      </c>
      <c r="H2228" s="1">
        <v>0</v>
      </c>
      <c r="I2228" s="1" t="s">
        <v>128</v>
      </c>
      <c r="L2228" s="1" t="s">
        <v>1456</v>
      </c>
      <c r="M2228" s="1" t="s">
        <v>1567</v>
      </c>
      <c r="N2228" s="1">
        <v>1</v>
      </c>
      <c r="O2228" s="1">
        <v>0</v>
      </c>
      <c r="P2228" s="1" t="s">
        <v>3552</v>
      </c>
      <c r="Q2228" s="1" t="s">
        <v>184</v>
      </c>
      <c r="R2228" s="1" t="s">
        <v>11543</v>
      </c>
      <c r="S2228" s="1" t="s">
        <v>11477</v>
      </c>
      <c r="T2228" s="1">
        <v>1</v>
      </c>
      <c r="U2228" s="1">
        <v>1</v>
      </c>
      <c r="V2228" s="1">
        <v>0</v>
      </c>
      <c r="W2228" s="1">
        <v>0</v>
      </c>
      <c r="X2228" s="1">
        <v>0</v>
      </c>
      <c r="Y2228" s="1">
        <v>1</v>
      </c>
      <c r="Z2228" s="1">
        <v>1</v>
      </c>
      <c r="AA2228" s="1" t="s">
        <v>104</v>
      </c>
      <c r="AB2228" s="1" t="s">
        <v>104</v>
      </c>
      <c r="AC2228" s="1" t="s">
        <v>104</v>
      </c>
      <c r="AD2228" s="1" t="s">
        <v>104</v>
      </c>
      <c r="AE2228" s="1" t="s">
        <v>104</v>
      </c>
      <c r="AF2228" s="1" t="s">
        <v>104</v>
      </c>
      <c r="AG2228" s="1" t="s">
        <v>104</v>
      </c>
      <c r="AH2228" s="1" t="s">
        <v>104</v>
      </c>
      <c r="AI2228" s="1" t="s">
        <v>104</v>
      </c>
      <c r="AJ2228" s="1" t="s">
        <v>104</v>
      </c>
      <c r="AK2228" s="1" t="s">
        <v>104</v>
      </c>
      <c r="AL2228" s="1" t="s">
        <v>104</v>
      </c>
      <c r="AM2228" s="1" t="s">
        <v>104</v>
      </c>
      <c r="AO2228" s="1">
        <v>1</v>
      </c>
      <c r="AR2228" s="1">
        <v>0</v>
      </c>
      <c r="AS2228" s="1">
        <v>0</v>
      </c>
      <c r="AT2228" s="1">
        <v>0</v>
      </c>
      <c r="AU2228" s="1">
        <v>0</v>
      </c>
      <c r="AV2228" s="1">
        <v>0</v>
      </c>
      <c r="AW2228" s="1">
        <v>0</v>
      </c>
      <c r="AX2228" s="1">
        <v>0</v>
      </c>
      <c r="AY2228" s="1">
        <v>0</v>
      </c>
      <c r="AZ2228" s="1">
        <v>0</v>
      </c>
      <c r="BA2228" s="1">
        <v>0</v>
      </c>
      <c r="BB2228" s="1">
        <v>0</v>
      </c>
      <c r="BC2228" s="1">
        <v>0</v>
      </c>
      <c r="BD2228" s="1">
        <v>0</v>
      </c>
      <c r="BE2228" s="1">
        <v>1</v>
      </c>
      <c r="BF2228" s="1">
        <v>0</v>
      </c>
      <c r="BG2228" s="1">
        <v>0</v>
      </c>
      <c r="BH2228" s="1">
        <v>0</v>
      </c>
      <c r="BI2228" s="1">
        <v>0</v>
      </c>
      <c r="BJ2228" s="1">
        <v>0</v>
      </c>
      <c r="BK2228" s="1">
        <v>0</v>
      </c>
      <c r="BL2228" s="1">
        <v>0</v>
      </c>
      <c r="BM2228" s="1">
        <v>0</v>
      </c>
      <c r="BN2228" s="1">
        <v>0</v>
      </c>
      <c r="BO2228" s="1">
        <v>0</v>
      </c>
      <c r="BP2228" s="1">
        <v>0</v>
      </c>
      <c r="BQ2228" s="1" t="s">
        <v>104</v>
      </c>
      <c r="BR2228" s="1">
        <v>2346</v>
      </c>
      <c r="BS2228" s="1" t="s">
        <v>104</v>
      </c>
      <c r="BX2228" s="1">
        <v>0</v>
      </c>
      <c r="BY2228" s="1" t="s">
        <v>104</v>
      </c>
      <c r="BZ2228" s="1" t="s">
        <v>104</v>
      </c>
      <c r="CA2228" s="1" t="s">
        <v>104</v>
      </c>
      <c r="CB2228" s="1" t="s">
        <v>104</v>
      </c>
      <c r="CC2228" s="1" t="s">
        <v>104</v>
      </c>
      <c r="CD2228" s="1">
        <v>1</v>
      </c>
      <c r="CE2228" s="1" t="s">
        <v>104</v>
      </c>
      <c r="CF2228" s="1" t="s">
        <v>104</v>
      </c>
      <c r="CG2228" s="1" t="s">
        <v>104</v>
      </c>
      <c r="CH2228" s="1" t="s">
        <v>104</v>
      </c>
      <c r="CJ2228" s="1">
        <v>0</v>
      </c>
      <c r="CK2228" s="1">
        <v>0</v>
      </c>
      <c r="CL2228" s="1">
        <v>0</v>
      </c>
      <c r="CM2228" s="1" t="s">
        <v>104</v>
      </c>
    </row>
    <row r="2229" spans="1:91" ht="14.25" customHeight="1" x14ac:dyDescent="0.3">
      <c r="A2229" s="1" t="s">
        <v>11544</v>
      </c>
      <c r="B2229" s="1" t="s">
        <v>507</v>
      </c>
      <c r="C2229" s="1" t="s">
        <v>508</v>
      </c>
      <c r="E2229" s="1" t="s">
        <v>11545</v>
      </c>
      <c r="F2229" s="1" t="s">
        <v>95</v>
      </c>
      <c r="G2229" s="1" t="s">
        <v>127</v>
      </c>
      <c r="H2229" s="1">
        <v>0</v>
      </c>
      <c r="I2229" s="1" t="s">
        <v>157</v>
      </c>
      <c r="J2229" s="1" t="s">
        <v>3086</v>
      </c>
      <c r="M2229" s="1" t="s">
        <v>4292</v>
      </c>
      <c r="N2229" s="1">
        <v>0</v>
      </c>
      <c r="O2229" s="1">
        <v>0</v>
      </c>
      <c r="P2229" s="1" t="s">
        <v>176</v>
      </c>
      <c r="Q2229" s="1" t="s">
        <v>100</v>
      </c>
      <c r="R2229" s="1" t="s">
        <v>11546</v>
      </c>
      <c r="S2229" s="1" t="s">
        <v>11477</v>
      </c>
      <c r="T2229" s="1">
        <v>1</v>
      </c>
      <c r="U2229" s="1">
        <v>1</v>
      </c>
      <c r="V2229" s="1">
        <v>0</v>
      </c>
      <c r="W2229" s="1">
        <v>0</v>
      </c>
      <c r="X2229" s="1">
        <v>1</v>
      </c>
      <c r="Y2229" s="1">
        <v>2</v>
      </c>
      <c r="Z2229" s="1">
        <v>2</v>
      </c>
      <c r="AA2229" s="1" t="s">
        <v>104</v>
      </c>
      <c r="AB2229" s="1" t="s">
        <v>104</v>
      </c>
      <c r="AC2229" s="1" t="s">
        <v>104</v>
      </c>
      <c r="AD2229" s="1">
        <v>2</v>
      </c>
      <c r="AE2229" s="1" t="s">
        <v>104</v>
      </c>
      <c r="AF2229" s="1" t="s">
        <v>104</v>
      </c>
      <c r="AG2229" s="1" t="s">
        <v>104</v>
      </c>
      <c r="AH2229" s="1" t="s">
        <v>104</v>
      </c>
      <c r="AI2229" s="1" t="s">
        <v>104</v>
      </c>
      <c r="AJ2229" s="1" t="s">
        <v>104</v>
      </c>
      <c r="AK2229" s="1">
        <v>2</v>
      </c>
      <c r="AL2229" s="1" t="s">
        <v>104</v>
      </c>
      <c r="AM2229" s="1" t="s">
        <v>104</v>
      </c>
      <c r="AO2229" s="1">
        <v>2</v>
      </c>
      <c r="AR2229" s="1">
        <v>0</v>
      </c>
      <c r="AS2229" s="1">
        <v>0</v>
      </c>
      <c r="AT2229" s="1">
        <v>0</v>
      </c>
      <c r="AU2229" s="1">
        <v>0</v>
      </c>
      <c r="AV2229" s="1">
        <v>0</v>
      </c>
      <c r="AW2229" s="1">
        <v>0</v>
      </c>
      <c r="AX2229" s="1">
        <v>0</v>
      </c>
      <c r="AY2229" s="1">
        <v>0</v>
      </c>
      <c r="AZ2229" s="1">
        <v>0</v>
      </c>
      <c r="BA2229" s="1">
        <v>0</v>
      </c>
      <c r="BB2229" s="1">
        <v>0</v>
      </c>
      <c r="BC2229" s="1">
        <v>0</v>
      </c>
      <c r="BD2229" s="1">
        <v>0</v>
      </c>
      <c r="BE2229" s="1">
        <v>0</v>
      </c>
      <c r="BF2229" s="1">
        <v>0</v>
      </c>
      <c r="BG2229" s="1">
        <v>0</v>
      </c>
      <c r="BH2229" s="1">
        <v>0</v>
      </c>
      <c r="BI2229" s="1">
        <v>0</v>
      </c>
      <c r="BJ2229" s="1">
        <v>0</v>
      </c>
      <c r="BK2229" s="1">
        <v>0</v>
      </c>
      <c r="BL2229" s="1">
        <v>0</v>
      </c>
      <c r="BM2229" s="1">
        <v>0</v>
      </c>
      <c r="BN2229" s="1">
        <v>0</v>
      </c>
      <c r="BO2229" s="1">
        <v>0</v>
      </c>
      <c r="BP2229" s="1">
        <v>0</v>
      </c>
      <c r="BQ2229" s="1" t="s">
        <v>104</v>
      </c>
      <c r="BR2229" s="1">
        <v>2347</v>
      </c>
      <c r="BS2229" s="1" t="s">
        <v>104</v>
      </c>
      <c r="BX2229" s="1">
        <v>0</v>
      </c>
      <c r="BY2229" s="1" t="s">
        <v>104</v>
      </c>
      <c r="BZ2229" s="1" t="s">
        <v>104</v>
      </c>
      <c r="CA2229" s="1">
        <v>2</v>
      </c>
      <c r="CB2229" s="1" t="s">
        <v>104</v>
      </c>
      <c r="CC2229" s="1">
        <v>2</v>
      </c>
      <c r="CD2229" s="1" t="s">
        <v>104</v>
      </c>
      <c r="CE2229" s="1" t="s">
        <v>104</v>
      </c>
      <c r="CF2229" s="1" t="s">
        <v>104</v>
      </c>
      <c r="CG2229" s="1" t="s">
        <v>104</v>
      </c>
      <c r="CH2229" s="1" t="s">
        <v>104</v>
      </c>
      <c r="CJ2229" s="1">
        <v>0</v>
      </c>
      <c r="CK2229" s="1">
        <v>0</v>
      </c>
      <c r="CL2229" s="1">
        <v>0</v>
      </c>
      <c r="CM2229" s="1" t="s">
        <v>104</v>
      </c>
    </row>
    <row r="2230" spans="1:91" ht="14.25" customHeight="1" x14ac:dyDescent="0.3">
      <c r="A2230" s="1" t="s">
        <v>11547</v>
      </c>
      <c r="B2230" s="1" t="s">
        <v>137</v>
      </c>
      <c r="E2230" s="1" t="s">
        <v>4324</v>
      </c>
      <c r="F2230" s="1" t="s">
        <v>95</v>
      </c>
      <c r="G2230" s="1" t="s">
        <v>116</v>
      </c>
      <c r="H2230" s="1">
        <v>0</v>
      </c>
      <c r="I2230" s="1" t="s">
        <v>157</v>
      </c>
      <c r="L2230" s="1" t="s">
        <v>158</v>
      </c>
      <c r="M2230" s="1" t="s">
        <v>4641</v>
      </c>
      <c r="N2230" s="1">
        <v>1</v>
      </c>
      <c r="O2230" s="1">
        <v>0</v>
      </c>
      <c r="R2230" s="1" t="s">
        <v>11548</v>
      </c>
      <c r="S2230" s="1" t="s">
        <v>11477</v>
      </c>
      <c r="T2230" s="1">
        <v>1</v>
      </c>
      <c r="U2230" s="1">
        <v>1</v>
      </c>
      <c r="V2230" s="1">
        <v>0</v>
      </c>
      <c r="W2230" s="1">
        <v>0</v>
      </c>
      <c r="X2230" s="1">
        <v>0</v>
      </c>
      <c r="Y2230" s="1">
        <v>2</v>
      </c>
      <c r="Z2230" s="1">
        <v>2</v>
      </c>
      <c r="AA2230" s="1" t="s">
        <v>104</v>
      </c>
      <c r="AB2230" s="1" t="s">
        <v>104</v>
      </c>
      <c r="AC2230" s="1" t="s">
        <v>104</v>
      </c>
      <c r="AD2230" s="1">
        <v>2</v>
      </c>
      <c r="AE2230" s="1" t="s">
        <v>104</v>
      </c>
      <c r="AF2230" s="1" t="s">
        <v>104</v>
      </c>
      <c r="AG2230" s="1" t="s">
        <v>104</v>
      </c>
      <c r="AH2230" s="1" t="s">
        <v>104</v>
      </c>
      <c r="AI2230" s="1" t="s">
        <v>104</v>
      </c>
      <c r="AJ2230" s="1" t="s">
        <v>104</v>
      </c>
      <c r="AK2230" s="1" t="s">
        <v>104</v>
      </c>
      <c r="AL2230" s="1" t="s">
        <v>104</v>
      </c>
      <c r="AM2230" s="1" t="s">
        <v>104</v>
      </c>
      <c r="AO2230" s="1">
        <v>2</v>
      </c>
      <c r="AR2230" s="1">
        <v>0</v>
      </c>
      <c r="AS2230" s="1">
        <v>0</v>
      </c>
      <c r="AT2230" s="1">
        <v>0</v>
      </c>
      <c r="AU2230" s="1">
        <v>0</v>
      </c>
      <c r="AV2230" s="1">
        <v>0</v>
      </c>
      <c r="AW2230" s="1">
        <v>0</v>
      </c>
      <c r="AX2230" s="1">
        <v>0</v>
      </c>
      <c r="AY2230" s="1">
        <v>0</v>
      </c>
      <c r="AZ2230" s="1">
        <v>0</v>
      </c>
      <c r="BA2230" s="1">
        <v>0</v>
      </c>
      <c r="BB2230" s="1">
        <v>0</v>
      </c>
      <c r="BC2230" s="1">
        <v>0</v>
      </c>
      <c r="BD2230" s="1">
        <v>0</v>
      </c>
      <c r="BE2230" s="1">
        <v>0</v>
      </c>
      <c r="BF2230" s="1">
        <v>0</v>
      </c>
      <c r="BG2230" s="1">
        <v>0</v>
      </c>
      <c r="BH2230" s="1">
        <v>0</v>
      </c>
      <c r="BI2230" s="1">
        <v>0</v>
      </c>
      <c r="BJ2230" s="1">
        <v>0</v>
      </c>
      <c r="BK2230" s="1">
        <v>0</v>
      </c>
      <c r="BL2230" s="1">
        <v>0</v>
      </c>
      <c r="BM2230" s="1">
        <v>0</v>
      </c>
      <c r="BN2230" s="1">
        <v>0</v>
      </c>
      <c r="BO2230" s="1">
        <v>0</v>
      </c>
      <c r="BP2230" s="1">
        <v>0</v>
      </c>
      <c r="BQ2230" s="1" t="s">
        <v>104</v>
      </c>
      <c r="BR2230" s="1">
        <v>2348</v>
      </c>
      <c r="BS2230" s="1" t="s">
        <v>104</v>
      </c>
      <c r="BX2230" s="1">
        <v>0</v>
      </c>
      <c r="BY2230" s="1" t="s">
        <v>104</v>
      </c>
      <c r="BZ2230" s="1" t="s">
        <v>104</v>
      </c>
      <c r="CA2230" s="1" t="s">
        <v>104</v>
      </c>
      <c r="CB2230" s="1" t="s">
        <v>104</v>
      </c>
      <c r="CC2230" s="1" t="s">
        <v>104</v>
      </c>
      <c r="CD2230" s="1" t="s">
        <v>104</v>
      </c>
      <c r="CE2230" s="1" t="s">
        <v>104</v>
      </c>
      <c r="CF2230" s="1" t="s">
        <v>104</v>
      </c>
      <c r="CG2230" s="1" t="s">
        <v>104</v>
      </c>
      <c r="CH2230" s="1" t="s">
        <v>104</v>
      </c>
      <c r="CJ2230" s="1">
        <v>0</v>
      </c>
      <c r="CK2230" s="1">
        <v>0</v>
      </c>
      <c r="CL2230" s="1">
        <v>0</v>
      </c>
      <c r="CM2230" s="1" t="s">
        <v>104</v>
      </c>
    </row>
    <row r="2231" spans="1:91" ht="14.25" customHeight="1" x14ac:dyDescent="0.3">
      <c r="A2231" s="1" t="s">
        <v>11549</v>
      </c>
      <c r="B2231" s="1" t="s">
        <v>92</v>
      </c>
      <c r="C2231" s="1" t="s">
        <v>903</v>
      </c>
      <c r="E2231" s="1" t="s">
        <v>7498</v>
      </c>
      <c r="F2231" s="1" t="s">
        <v>287</v>
      </c>
      <c r="G2231" s="1" t="s">
        <v>3232</v>
      </c>
      <c r="H2231" s="1">
        <v>0</v>
      </c>
      <c r="I2231" s="1" t="s">
        <v>145</v>
      </c>
      <c r="L2231" s="1" t="s">
        <v>11550</v>
      </c>
      <c r="M2231" s="1" t="s">
        <v>3234</v>
      </c>
      <c r="N2231" s="1">
        <v>0</v>
      </c>
      <c r="O2231" s="1">
        <v>0</v>
      </c>
      <c r="P2231" s="1" t="s">
        <v>100</v>
      </c>
      <c r="Q2231" s="1" t="s">
        <v>101</v>
      </c>
      <c r="R2231" s="1" t="s">
        <v>11551</v>
      </c>
      <c r="S2231" s="1" t="s">
        <v>11477</v>
      </c>
      <c r="T2231" s="1">
        <v>1</v>
      </c>
      <c r="U2231" s="1">
        <v>1</v>
      </c>
      <c r="V2231" s="1">
        <v>0</v>
      </c>
      <c r="W2231" s="1">
        <v>0</v>
      </c>
      <c r="X2231" s="1">
        <v>0</v>
      </c>
      <c r="Y2231" s="1">
        <v>3</v>
      </c>
      <c r="Z2231" s="1">
        <v>3</v>
      </c>
      <c r="AA2231" s="1" t="s">
        <v>104</v>
      </c>
      <c r="AB2231" s="1" t="s">
        <v>104</v>
      </c>
      <c r="AC2231" s="1" t="s">
        <v>104</v>
      </c>
      <c r="AD2231" s="1" t="s">
        <v>104</v>
      </c>
      <c r="AE2231" s="1" t="s">
        <v>104</v>
      </c>
      <c r="AF2231" s="1" t="s">
        <v>104</v>
      </c>
      <c r="AG2231" s="1" t="s">
        <v>104</v>
      </c>
      <c r="AH2231" s="1">
        <v>3</v>
      </c>
      <c r="AI2231" s="1" t="s">
        <v>104</v>
      </c>
      <c r="AJ2231" s="1" t="s">
        <v>104</v>
      </c>
      <c r="AK2231" s="1" t="s">
        <v>104</v>
      </c>
      <c r="AL2231" s="1" t="s">
        <v>104</v>
      </c>
      <c r="AM2231" s="1" t="s">
        <v>104</v>
      </c>
      <c r="AO2231" s="1">
        <v>3</v>
      </c>
      <c r="AR2231" s="1">
        <v>0</v>
      </c>
      <c r="AS2231" s="1">
        <v>0</v>
      </c>
      <c r="AT2231" s="1">
        <v>0</v>
      </c>
      <c r="AU2231" s="1">
        <v>0</v>
      </c>
      <c r="AV2231" s="1">
        <v>0</v>
      </c>
      <c r="AW2231" s="1">
        <v>0</v>
      </c>
      <c r="AX2231" s="1">
        <v>0</v>
      </c>
      <c r="AY2231" s="1">
        <v>0</v>
      </c>
      <c r="AZ2231" s="1">
        <v>0</v>
      </c>
      <c r="BA2231" s="1">
        <v>0</v>
      </c>
      <c r="BB2231" s="1">
        <v>0</v>
      </c>
      <c r="BC2231" s="1">
        <v>0</v>
      </c>
      <c r="BD2231" s="1">
        <v>0</v>
      </c>
      <c r="BE2231" s="1">
        <v>0</v>
      </c>
      <c r="BF2231" s="1">
        <v>0</v>
      </c>
      <c r="BG2231" s="1">
        <v>0</v>
      </c>
      <c r="BH2231" s="1">
        <v>0</v>
      </c>
      <c r="BI2231" s="1">
        <v>0</v>
      </c>
      <c r="BJ2231" s="1">
        <v>0</v>
      </c>
      <c r="BK2231" s="1">
        <v>0</v>
      </c>
      <c r="BL2231" s="1">
        <v>0</v>
      </c>
      <c r="BM2231" s="1">
        <v>0</v>
      </c>
      <c r="BN2231" s="1">
        <v>0</v>
      </c>
      <c r="BO2231" s="1">
        <v>0</v>
      </c>
      <c r="BP2231" s="1">
        <v>0</v>
      </c>
      <c r="BQ2231" s="1" t="s">
        <v>104</v>
      </c>
      <c r="BR2231" s="1">
        <v>2349</v>
      </c>
      <c r="BS2231" s="1" t="s">
        <v>104</v>
      </c>
      <c r="BX2231" s="1">
        <v>0</v>
      </c>
      <c r="BY2231" s="1" t="s">
        <v>104</v>
      </c>
      <c r="BZ2231" s="1" t="s">
        <v>104</v>
      </c>
      <c r="CA2231" s="1" t="s">
        <v>104</v>
      </c>
      <c r="CB2231" s="1" t="s">
        <v>104</v>
      </c>
      <c r="CC2231" s="1" t="s">
        <v>104</v>
      </c>
      <c r="CD2231" s="1" t="s">
        <v>104</v>
      </c>
      <c r="CE2231" s="1" t="s">
        <v>104</v>
      </c>
      <c r="CF2231" s="1" t="s">
        <v>104</v>
      </c>
      <c r="CG2231" s="1" t="s">
        <v>104</v>
      </c>
      <c r="CH2231" s="1" t="s">
        <v>104</v>
      </c>
      <c r="CJ2231" s="1">
        <v>0</v>
      </c>
      <c r="CK2231" s="1">
        <v>0</v>
      </c>
      <c r="CL2231" s="1">
        <v>0</v>
      </c>
      <c r="CM2231" s="1" t="s">
        <v>104</v>
      </c>
    </row>
    <row r="2232" spans="1:91" ht="14.25" customHeight="1" x14ac:dyDescent="0.3">
      <c r="A2232" s="1" t="s">
        <v>11552</v>
      </c>
      <c r="B2232" s="1" t="s">
        <v>92</v>
      </c>
      <c r="C2232" s="1" t="s">
        <v>903</v>
      </c>
      <c r="E2232" s="1" t="s">
        <v>703</v>
      </c>
      <c r="F2232" s="1" t="s">
        <v>287</v>
      </c>
      <c r="G2232" s="1" t="s">
        <v>3232</v>
      </c>
      <c r="H2232" s="1">
        <v>0</v>
      </c>
      <c r="I2232" s="1" t="s">
        <v>145</v>
      </c>
      <c r="L2232" s="1" t="s">
        <v>11553</v>
      </c>
      <c r="M2232" s="1" t="s">
        <v>3234</v>
      </c>
      <c r="N2232" s="1">
        <v>0</v>
      </c>
      <c r="O2232" s="1">
        <v>0</v>
      </c>
      <c r="P2232" s="1" t="s">
        <v>100</v>
      </c>
      <c r="Q2232" s="1" t="s">
        <v>101</v>
      </c>
      <c r="R2232" s="1" t="s">
        <v>11554</v>
      </c>
      <c r="S2232" s="1" t="s">
        <v>11477</v>
      </c>
      <c r="T2232" s="1">
        <v>1</v>
      </c>
      <c r="U2232" s="1">
        <v>1</v>
      </c>
      <c r="V2232" s="1">
        <v>0</v>
      </c>
      <c r="W2232" s="1">
        <v>0</v>
      </c>
      <c r="X2232" s="1">
        <v>0</v>
      </c>
      <c r="Y2232" s="1">
        <v>8</v>
      </c>
      <c r="Z2232" s="1">
        <v>8</v>
      </c>
      <c r="AA2232" s="1" t="s">
        <v>104</v>
      </c>
      <c r="AB2232" s="1" t="s">
        <v>104</v>
      </c>
      <c r="AC2232" s="1" t="s">
        <v>104</v>
      </c>
      <c r="AD2232" s="1" t="s">
        <v>104</v>
      </c>
      <c r="AE2232" s="1" t="s">
        <v>104</v>
      </c>
      <c r="AF2232" s="1" t="s">
        <v>104</v>
      </c>
      <c r="AG2232" s="1" t="s">
        <v>104</v>
      </c>
      <c r="AH2232" s="1">
        <v>8</v>
      </c>
      <c r="AI2232" s="1" t="s">
        <v>104</v>
      </c>
      <c r="AJ2232" s="1" t="s">
        <v>104</v>
      </c>
      <c r="AK2232" s="1" t="s">
        <v>104</v>
      </c>
      <c r="AL2232" s="1" t="s">
        <v>104</v>
      </c>
      <c r="AM2232" s="1" t="s">
        <v>104</v>
      </c>
      <c r="AO2232" s="1">
        <v>8</v>
      </c>
      <c r="AR2232" s="1">
        <v>0</v>
      </c>
      <c r="AS2232" s="1">
        <v>0</v>
      </c>
      <c r="AT2232" s="1">
        <v>0</v>
      </c>
      <c r="AU2232" s="1">
        <v>0</v>
      </c>
      <c r="AV2232" s="1">
        <v>0</v>
      </c>
      <c r="AW2232" s="1">
        <v>0</v>
      </c>
      <c r="AX2232" s="1">
        <v>0</v>
      </c>
      <c r="AY2232" s="1">
        <v>0</v>
      </c>
      <c r="AZ2232" s="1">
        <v>0</v>
      </c>
      <c r="BA2232" s="1">
        <v>0</v>
      </c>
      <c r="BB2232" s="1">
        <v>0</v>
      </c>
      <c r="BC2232" s="1">
        <v>0</v>
      </c>
      <c r="BD2232" s="1">
        <v>0</v>
      </c>
      <c r="BE2232" s="1">
        <v>0</v>
      </c>
      <c r="BF2232" s="1">
        <v>0</v>
      </c>
      <c r="BG2232" s="1">
        <v>0</v>
      </c>
      <c r="BH2232" s="1">
        <v>0</v>
      </c>
      <c r="BI2232" s="1">
        <v>0</v>
      </c>
      <c r="BJ2232" s="1">
        <v>0</v>
      </c>
      <c r="BK2232" s="1">
        <v>0</v>
      </c>
      <c r="BL2232" s="1">
        <v>0</v>
      </c>
      <c r="BM2232" s="1">
        <v>0</v>
      </c>
      <c r="BN2232" s="1">
        <v>0</v>
      </c>
      <c r="BO2232" s="1">
        <v>0</v>
      </c>
      <c r="BP2232" s="1">
        <v>0</v>
      </c>
      <c r="BQ2232" s="1" t="s">
        <v>104</v>
      </c>
      <c r="BR2232" s="1">
        <v>2350</v>
      </c>
      <c r="BS2232" s="1" t="s">
        <v>104</v>
      </c>
      <c r="BX2232" s="1">
        <v>0</v>
      </c>
      <c r="BY2232" s="1" t="s">
        <v>104</v>
      </c>
      <c r="BZ2232" s="1" t="s">
        <v>104</v>
      </c>
      <c r="CA2232" s="1" t="s">
        <v>104</v>
      </c>
      <c r="CB2232" s="1" t="s">
        <v>104</v>
      </c>
      <c r="CC2232" s="1" t="s">
        <v>104</v>
      </c>
      <c r="CD2232" s="1" t="s">
        <v>104</v>
      </c>
      <c r="CE2232" s="1" t="s">
        <v>104</v>
      </c>
      <c r="CF2232" s="1" t="s">
        <v>104</v>
      </c>
      <c r="CG2232" s="1" t="s">
        <v>104</v>
      </c>
      <c r="CH2232" s="1" t="s">
        <v>104</v>
      </c>
      <c r="CJ2232" s="1">
        <v>0</v>
      </c>
      <c r="CK2232" s="1">
        <v>0</v>
      </c>
      <c r="CL2232" s="1">
        <v>0</v>
      </c>
      <c r="CM2232" s="1" t="s">
        <v>104</v>
      </c>
    </row>
    <row r="2233" spans="1:91" ht="14.25" customHeight="1" x14ac:dyDescent="0.3">
      <c r="A2233" s="1" t="s">
        <v>11555</v>
      </c>
      <c r="B2233" s="1" t="s">
        <v>507</v>
      </c>
      <c r="C2233" s="1" t="s">
        <v>65</v>
      </c>
      <c r="D2233" s="1" t="s">
        <v>11556</v>
      </c>
      <c r="E2233" s="1" t="s">
        <v>11557</v>
      </c>
      <c r="F2233" s="1" t="s">
        <v>95</v>
      </c>
      <c r="G2233" s="1" t="s">
        <v>116</v>
      </c>
      <c r="H2233" s="1">
        <v>0</v>
      </c>
      <c r="I2233" s="1" t="s">
        <v>145</v>
      </c>
      <c r="K2233" s="1" t="s">
        <v>145</v>
      </c>
      <c r="M2233" s="1" t="s">
        <v>145</v>
      </c>
      <c r="N2233" s="1">
        <v>0</v>
      </c>
      <c r="O2233" s="1">
        <v>0</v>
      </c>
      <c r="P2233" s="1" t="s">
        <v>10778</v>
      </c>
      <c r="Q2233" s="1" t="s">
        <v>184</v>
      </c>
      <c r="R2233" s="1" t="s">
        <v>11558</v>
      </c>
      <c r="S2233" s="1" t="s">
        <v>11559</v>
      </c>
      <c r="T2233" s="1">
        <v>1</v>
      </c>
      <c r="U2233" s="1">
        <v>1</v>
      </c>
      <c r="V2233" s="1">
        <v>0</v>
      </c>
      <c r="W2233" s="1">
        <v>0</v>
      </c>
      <c r="X2233" s="1">
        <v>0</v>
      </c>
      <c r="Y2233" s="1">
        <v>3</v>
      </c>
      <c r="Z2233" s="1">
        <v>3</v>
      </c>
      <c r="AA2233" s="1" t="s">
        <v>104</v>
      </c>
      <c r="AB2233" s="1" t="s">
        <v>104</v>
      </c>
      <c r="AC2233" s="1" t="s">
        <v>104</v>
      </c>
      <c r="AD2233" s="1">
        <v>3</v>
      </c>
      <c r="AE2233" s="1" t="s">
        <v>104</v>
      </c>
      <c r="AF2233" s="1" t="s">
        <v>104</v>
      </c>
      <c r="AG2233" s="1" t="s">
        <v>104</v>
      </c>
      <c r="AH2233" s="1" t="s">
        <v>104</v>
      </c>
      <c r="AI2233" s="1" t="s">
        <v>104</v>
      </c>
      <c r="AJ2233" s="1" t="s">
        <v>104</v>
      </c>
      <c r="AK2233" s="1" t="s">
        <v>104</v>
      </c>
      <c r="AL2233" s="1" t="s">
        <v>104</v>
      </c>
      <c r="AM2233" s="1" t="s">
        <v>104</v>
      </c>
      <c r="AO2233" s="1">
        <v>3</v>
      </c>
      <c r="AR2233" s="1">
        <v>0</v>
      </c>
      <c r="AS2233" s="1">
        <v>0</v>
      </c>
      <c r="AT2233" s="1">
        <v>0</v>
      </c>
      <c r="AU2233" s="1">
        <v>0</v>
      </c>
      <c r="AV2233" s="1">
        <v>0</v>
      </c>
      <c r="AW2233" s="1">
        <v>0</v>
      </c>
      <c r="AX2233" s="1">
        <v>0</v>
      </c>
      <c r="AY2233" s="1">
        <v>0</v>
      </c>
      <c r="AZ2233" s="1">
        <v>0</v>
      </c>
      <c r="BA2233" s="1">
        <v>0</v>
      </c>
      <c r="BB2233" s="1">
        <v>0</v>
      </c>
      <c r="BC2233" s="1">
        <v>0</v>
      </c>
      <c r="BD2233" s="1">
        <v>0</v>
      </c>
      <c r="BE2233" s="1">
        <v>0</v>
      </c>
      <c r="BF2233" s="1">
        <v>0</v>
      </c>
      <c r="BG2233" s="1">
        <v>0</v>
      </c>
      <c r="BH2233" s="1">
        <v>0</v>
      </c>
      <c r="BI2233" s="1">
        <v>0</v>
      </c>
      <c r="BJ2233" s="1">
        <v>0</v>
      </c>
      <c r="BK2233" s="1">
        <v>0</v>
      </c>
      <c r="BL2233" s="1">
        <v>0</v>
      </c>
      <c r="BM2233" s="1">
        <v>0</v>
      </c>
      <c r="BN2233" s="1">
        <v>1</v>
      </c>
      <c r="BO2233" s="1">
        <v>0</v>
      </c>
      <c r="BP2233" s="1">
        <v>0</v>
      </c>
      <c r="BQ2233" s="1" t="s">
        <v>104</v>
      </c>
      <c r="BR2233" s="1">
        <v>2351</v>
      </c>
      <c r="BS2233" s="1" t="s">
        <v>104</v>
      </c>
      <c r="BX2233" s="1">
        <v>0</v>
      </c>
      <c r="BY2233" s="1" t="s">
        <v>104</v>
      </c>
      <c r="BZ2233" s="1" t="s">
        <v>104</v>
      </c>
      <c r="CA2233" s="1">
        <v>3</v>
      </c>
      <c r="CB2233" s="1" t="s">
        <v>104</v>
      </c>
      <c r="CC2233" s="1">
        <v>3</v>
      </c>
      <c r="CD2233" s="1" t="s">
        <v>104</v>
      </c>
      <c r="CE2233" s="1" t="s">
        <v>104</v>
      </c>
      <c r="CF2233" s="1" t="s">
        <v>104</v>
      </c>
      <c r="CG2233" s="1" t="s">
        <v>104</v>
      </c>
      <c r="CH2233" s="1" t="s">
        <v>104</v>
      </c>
      <c r="CJ2233" s="1">
        <v>0</v>
      </c>
      <c r="CK2233" s="1">
        <v>0</v>
      </c>
      <c r="CL2233" s="1">
        <v>0</v>
      </c>
      <c r="CM2233" s="1" t="s">
        <v>104</v>
      </c>
    </row>
    <row r="2234" spans="1:91" ht="14.25" customHeight="1" x14ac:dyDescent="0.3">
      <c r="A2234" s="1" t="s">
        <v>11560</v>
      </c>
      <c r="B2234" s="1" t="s">
        <v>507</v>
      </c>
      <c r="C2234" s="1" t="s">
        <v>65</v>
      </c>
      <c r="D2234" s="1" t="s">
        <v>11556</v>
      </c>
      <c r="E2234" s="1" t="s">
        <v>11561</v>
      </c>
      <c r="F2234" s="1" t="s">
        <v>95</v>
      </c>
      <c r="G2234" s="1" t="s">
        <v>116</v>
      </c>
      <c r="H2234" s="1">
        <v>0</v>
      </c>
      <c r="I2234" s="1" t="s">
        <v>145</v>
      </c>
      <c r="K2234" s="1" t="s">
        <v>145</v>
      </c>
      <c r="M2234" s="1" t="s">
        <v>145</v>
      </c>
      <c r="N2234" s="1">
        <v>0</v>
      </c>
      <c r="O2234" s="1">
        <v>0</v>
      </c>
      <c r="P2234" s="1" t="s">
        <v>10778</v>
      </c>
      <c r="Q2234" s="1" t="s">
        <v>184</v>
      </c>
      <c r="R2234" s="1" t="s">
        <v>11562</v>
      </c>
      <c r="S2234" s="1" t="s">
        <v>11559</v>
      </c>
      <c r="T2234" s="1">
        <v>1</v>
      </c>
      <c r="U2234" s="1">
        <v>1</v>
      </c>
      <c r="V2234" s="1">
        <v>0</v>
      </c>
      <c r="W2234" s="1">
        <v>0</v>
      </c>
      <c r="X2234" s="1">
        <v>0</v>
      </c>
      <c r="Y2234" s="1">
        <v>6</v>
      </c>
      <c r="Z2234" s="1">
        <v>6</v>
      </c>
      <c r="AA2234" s="1" t="s">
        <v>104</v>
      </c>
      <c r="AB2234" s="1" t="s">
        <v>104</v>
      </c>
      <c r="AC2234" s="1" t="s">
        <v>104</v>
      </c>
      <c r="AD2234" s="1">
        <v>6</v>
      </c>
      <c r="AE2234" s="1" t="s">
        <v>104</v>
      </c>
      <c r="AF2234" s="1" t="s">
        <v>104</v>
      </c>
      <c r="AG2234" s="1" t="s">
        <v>104</v>
      </c>
      <c r="AH2234" s="1" t="s">
        <v>104</v>
      </c>
      <c r="AI2234" s="1" t="s">
        <v>104</v>
      </c>
      <c r="AJ2234" s="1" t="s">
        <v>104</v>
      </c>
      <c r="AK2234" s="1" t="s">
        <v>104</v>
      </c>
      <c r="AL2234" s="1" t="s">
        <v>104</v>
      </c>
      <c r="AM2234" s="1" t="s">
        <v>104</v>
      </c>
      <c r="AO2234" s="1">
        <v>6</v>
      </c>
      <c r="AR2234" s="1">
        <v>0</v>
      </c>
      <c r="AS2234" s="1">
        <v>0</v>
      </c>
      <c r="AT2234" s="1">
        <v>0</v>
      </c>
      <c r="AU2234" s="1">
        <v>0</v>
      </c>
      <c r="AV2234" s="1">
        <v>0</v>
      </c>
      <c r="AW2234" s="1">
        <v>0</v>
      </c>
      <c r="AX2234" s="1">
        <v>0</v>
      </c>
      <c r="AY2234" s="1">
        <v>0</v>
      </c>
      <c r="AZ2234" s="1">
        <v>0</v>
      </c>
      <c r="BA2234" s="1">
        <v>0</v>
      </c>
      <c r="BB2234" s="1">
        <v>0</v>
      </c>
      <c r="BC2234" s="1">
        <v>0</v>
      </c>
      <c r="BD2234" s="1">
        <v>0</v>
      </c>
      <c r="BE2234" s="1">
        <v>0</v>
      </c>
      <c r="BF2234" s="1">
        <v>0</v>
      </c>
      <c r="BG2234" s="1">
        <v>0</v>
      </c>
      <c r="BH2234" s="1">
        <v>0</v>
      </c>
      <c r="BI2234" s="1">
        <v>0</v>
      </c>
      <c r="BJ2234" s="1">
        <v>0</v>
      </c>
      <c r="BK2234" s="1">
        <v>0</v>
      </c>
      <c r="BL2234" s="1">
        <v>0</v>
      </c>
      <c r="BM2234" s="1">
        <v>0</v>
      </c>
      <c r="BN2234" s="1">
        <v>1</v>
      </c>
      <c r="BO2234" s="1">
        <v>0</v>
      </c>
      <c r="BP2234" s="1">
        <v>0</v>
      </c>
      <c r="BQ2234" s="1" t="s">
        <v>104</v>
      </c>
      <c r="BR2234" s="1">
        <v>2352</v>
      </c>
      <c r="BS2234" s="1" t="s">
        <v>104</v>
      </c>
      <c r="BX2234" s="1">
        <v>0</v>
      </c>
      <c r="BY2234" s="1" t="s">
        <v>104</v>
      </c>
      <c r="BZ2234" s="1" t="s">
        <v>104</v>
      </c>
      <c r="CA2234" s="1">
        <v>6</v>
      </c>
      <c r="CB2234" s="1" t="s">
        <v>104</v>
      </c>
      <c r="CC2234" s="1">
        <v>6</v>
      </c>
      <c r="CD2234" s="1" t="s">
        <v>104</v>
      </c>
      <c r="CE2234" s="1" t="s">
        <v>104</v>
      </c>
      <c r="CF2234" s="1" t="s">
        <v>104</v>
      </c>
      <c r="CG2234" s="1" t="s">
        <v>104</v>
      </c>
      <c r="CH2234" s="1" t="s">
        <v>104</v>
      </c>
      <c r="CJ2234" s="1">
        <v>0</v>
      </c>
      <c r="CK2234" s="1">
        <v>0</v>
      </c>
      <c r="CL2234" s="1">
        <v>0</v>
      </c>
      <c r="CM2234" s="1" t="s">
        <v>104</v>
      </c>
    </row>
    <row r="2235" spans="1:91" ht="14.25" customHeight="1" x14ac:dyDescent="0.3">
      <c r="A2235" s="1" t="s">
        <v>11563</v>
      </c>
      <c r="B2235" s="1" t="s">
        <v>172</v>
      </c>
      <c r="E2235" s="1" t="s">
        <v>11564</v>
      </c>
      <c r="F2235" s="1" t="s">
        <v>95</v>
      </c>
      <c r="G2235" s="1" t="s">
        <v>116</v>
      </c>
      <c r="H2235" s="1">
        <v>0</v>
      </c>
      <c r="I2235" s="1" t="s">
        <v>776</v>
      </c>
      <c r="J2235" s="1" t="s">
        <v>1030</v>
      </c>
      <c r="M2235" s="1" t="s">
        <v>4766</v>
      </c>
      <c r="N2235" s="1">
        <v>1</v>
      </c>
      <c r="O2235" s="1">
        <v>0</v>
      </c>
      <c r="P2235" s="1" t="s">
        <v>100</v>
      </c>
      <c r="Q2235" s="1" t="s">
        <v>101</v>
      </c>
      <c r="R2235" s="1" t="s">
        <v>11565</v>
      </c>
      <c r="S2235" s="1" t="s">
        <v>11566</v>
      </c>
      <c r="T2235" s="1">
        <v>1</v>
      </c>
      <c r="U2235" s="1">
        <v>1</v>
      </c>
      <c r="V2235" s="1">
        <v>0</v>
      </c>
      <c r="W2235" s="1">
        <v>0</v>
      </c>
      <c r="X2235" s="1">
        <v>0</v>
      </c>
      <c r="Y2235" s="1">
        <v>0</v>
      </c>
      <c r="Z2235" s="1">
        <v>0</v>
      </c>
      <c r="AA2235" s="1">
        <v>0</v>
      </c>
      <c r="AB2235" s="1" t="s">
        <v>104</v>
      </c>
      <c r="AC2235" s="1" t="s">
        <v>104</v>
      </c>
      <c r="AD2235" s="1">
        <v>0</v>
      </c>
      <c r="AE2235" s="1" t="s">
        <v>104</v>
      </c>
      <c r="AF2235" s="1" t="s">
        <v>104</v>
      </c>
      <c r="AG2235" s="1" t="s">
        <v>104</v>
      </c>
      <c r="AH2235" s="1">
        <v>0</v>
      </c>
      <c r="AI2235" s="1" t="s">
        <v>104</v>
      </c>
      <c r="AJ2235" s="1">
        <v>0</v>
      </c>
      <c r="AK2235" s="1" t="s">
        <v>104</v>
      </c>
      <c r="AL2235" s="1">
        <v>0</v>
      </c>
      <c r="AM2235" s="1" t="s">
        <v>104</v>
      </c>
      <c r="AO2235" s="1">
        <v>0</v>
      </c>
      <c r="AR2235" s="1">
        <v>0</v>
      </c>
      <c r="AS2235" s="1">
        <v>0</v>
      </c>
      <c r="AT2235" s="1">
        <v>0</v>
      </c>
      <c r="AU2235" s="1">
        <v>0</v>
      </c>
      <c r="AV2235" s="1">
        <v>0</v>
      </c>
      <c r="AW2235" s="1">
        <v>0</v>
      </c>
      <c r="AX2235" s="1">
        <v>0</v>
      </c>
      <c r="AY2235" s="1">
        <v>0</v>
      </c>
      <c r="AZ2235" s="1">
        <v>0</v>
      </c>
      <c r="BA2235" s="1">
        <v>0</v>
      </c>
      <c r="BB2235" s="1">
        <v>0</v>
      </c>
      <c r="BC2235" s="1">
        <v>0</v>
      </c>
      <c r="BD2235" s="1">
        <v>0</v>
      </c>
      <c r="BE2235" s="1">
        <v>0</v>
      </c>
      <c r="BF2235" s="1">
        <v>0</v>
      </c>
      <c r="BG2235" s="1">
        <v>0</v>
      </c>
      <c r="BH2235" s="1">
        <v>0</v>
      </c>
      <c r="BI2235" s="1">
        <v>0</v>
      </c>
      <c r="BJ2235" s="1">
        <v>0</v>
      </c>
      <c r="BK2235" s="1">
        <v>0</v>
      </c>
      <c r="BL2235" s="1">
        <v>0</v>
      </c>
      <c r="BM2235" s="1">
        <v>0</v>
      </c>
      <c r="BN2235" s="1">
        <v>0</v>
      </c>
      <c r="BO2235" s="1">
        <v>0</v>
      </c>
      <c r="BP2235" s="1">
        <v>0</v>
      </c>
      <c r="BQ2235" s="1" t="s">
        <v>104</v>
      </c>
      <c r="BR2235" s="1">
        <v>2353</v>
      </c>
      <c r="BS2235" s="1" t="s">
        <v>104</v>
      </c>
      <c r="BX2235" s="1">
        <v>0</v>
      </c>
      <c r="BY2235" s="1" t="s">
        <v>104</v>
      </c>
      <c r="BZ2235" s="1" t="s">
        <v>104</v>
      </c>
      <c r="CA2235" s="1" t="s">
        <v>104</v>
      </c>
      <c r="CB2235" s="1" t="s">
        <v>104</v>
      </c>
      <c r="CC2235" s="1" t="s">
        <v>104</v>
      </c>
      <c r="CD2235" s="1" t="s">
        <v>104</v>
      </c>
      <c r="CE2235" s="1" t="s">
        <v>104</v>
      </c>
      <c r="CF2235" s="1" t="s">
        <v>104</v>
      </c>
      <c r="CG2235" s="1" t="s">
        <v>104</v>
      </c>
      <c r="CH2235" s="1" t="s">
        <v>104</v>
      </c>
      <c r="CJ2235" s="1">
        <v>0</v>
      </c>
      <c r="CK2235" s="1">
        <v>0</v>
      </c>
      <c r="CL2235" s="1">
        <v>0</v>
      </c>
      <c r="CM2235" s="1" t="s">
        <v>104</v>
      </c>
    </row>
    <row r="2236" spans="1:91" ht="14.25" customHeight="1" x14ac:dyDescent="0.3">
      <c r="A2236" s="1" t="s">
        <v>11567</v>
      </c>
      <c r="B2236" s="1" t="s">
        <v>162</v>
      </c>
      <c r="D2236" s="1" t="s">
        <v>58</v>
      </c>
      <c r="E2236" s="1" t="s">
        <v>10315</v>
      </c>
      <c r="F2236" s="1" t="s">
        <v>8123</v>
      </c>
      <c r="G2236" s="1" t="s">
        <v>11568</v>
      </c>
      <c r="H2236" s="1">
        <v>1</v>
      </c>
      <c r="I2236" s="1" t="s">
        <v>128</v>
      </c>
      <c r="K2236" s="1" t="s">
        <v>11569</v>
      </c>
      <c r="M2236" s="1" t="s">
        <v>111</v>
      </c>
      <c r="N2236" s="1">
        <v>0</v>
      </c>
      <c r="O2236" s="1">
        <v>0</v>
      </c>
      <c r="P2236" s="1" t="s">
        <v>418</v>
      </c>
      <c r="Q2236" s="1" t="s">
        <v>3284</v>
      </c>
      <c r="R2236" s="1" t="s">
        <v>11570</v>
      </c>
      <c r="S2236" s="1" t="s">
        <v>11566</v>
      </c>
      <c r="T2236" s="1">
        <v>1</v>
      </c>
      <c r="U2236" s="1">
        <v>1</v>
      </c>
      <c r="V2236" s="1">
        <v>1</v>
      </c>
      <c r="W2236" s="1">
        <v>0</v>
      </c>
      <c r="X2236" s="1">
        <v>0</v>
      </c>
      <c r="Y2236" s="1">
        <v>5</v>
      </c>
      <c r="Z2236" s="1">
        <v>5</v>
      </c>
      <c r="AA2236" s="1">
        <v>4</v>
      </c>
      <c r="AB2236" s="1" t="s">
        <v>104</v>
      </c>
      <c r="AC2236" s="1" t="s">
        <v>104</v>
      </c>
      <c r="AD2236" s="1" t="s">
        <v>104</v>
      </c>
      <c r="AE2236" s="1" t="s">
        <v>104</v>
      </c>
      <c r="AF2236" s="1" t="s">
        <v>104</v>
      </c>
      <c r="AG2236" s="1" t="s">
        <v>104</v>
      </c>
      <c r="AH2236" s="1" t="s">
        <v>104</v>
      </c>
      <c r="AI2236" s="1" t="s">
        <v>104</v>
      </c>
      <c r="AJ2236" s="1">
        <v>4</v>
      </c>
      <c r="AK2236" s="1" t="s">
        <v>104</v>
      </c>
      <c r="AL2236" s="1" t="s">
        <v>104</v>
      </c>
      <c r="AM2236" s="1" t="s">
        <v>104</v>
      </c>
      <c r="AO2236" s="1">
        <v>5</v>
      </c>
      <c r="AR2236" s="1">
        <v>0</v>
      </c>
      <c r="AS2236" s="1">
        <v>0</v>
      </c>
      <c r="AT2236" s="1">
        <v>0</v>
      </c>
      <c r="AU2236" s="1">
        <v>0</v>
      </c>
      <c r="AV2236" s="1">
        <v>0</v>
      </c>
      <c r="AW2236" s="1">
        <v>0</v>
      </c>
      <c r="AX2236" s="1">
        <v>0</v>
      </c>
      <c r="AY2236" s="1">
        <v>0</v>
      </c>
      <c r="AZ2236" s="1">
        <v>0</v>
      </c>
      <c r="BA2236" s="1">
        <v>0</v>
      </c>
      <c r="BB2236" s="1">
        <v>0</v>
      </c>
      <c r="BC2236" s="1">
        <v>0</v>
      </c>
      <c r="BD2236" s="1">
        <v>0</v>
      </c>
      <c r="BE2236" s="1">
        <v>0</v>
      </c>
      <c r="BF2236" s="1">
        <v>0</v>
      </c>
      <c r="BG2236" s="1">
        <v>1</v>
      </c>
      <c r="BH2236" s="1">
        <v>0</v>
      </c>
      <c r="BI2236" s="1">
        <v>0</v>
      </c>
      <c r="BJ2236" s="1">
        <v>0</v>
      </c>
      <c r="BK2236" s="1">
        <v>0</v>
      </c>
      <c r="BL2236" s="1">
        <v>0</v>
      </c>
      <c r="BM2236" s="1">
        <v>0</v>
      </c>
      <c r="BN2236" s="1">
        <v>0</v>
      </c>
      <c r="BO2236" s="1">
        <v>0</v>
      </c>
      <c r="BP2236" s="1">
        <v>0</v>
      </c>
      <c r="BQ2236" s="1" t="s">
        <v>104</v>
      </c>
      <c r="BR2236" s="1">
        <v>2354</v>
      </c>
      <c r="BS2236" s="1">
        <v>25</v>
      </c>
      <c r="BX2236" s="1">
        <v>0</v>
      </c>
      <c r="BY2236" s="1" t="s">
        <v>104</v>
      </c>
      <c r="BZ2236" s="1" t="s">
        <v>104</v>
      </c>
      <c r="CA2236" s="1" t="s">
        <v>104</v>
      </c>
      <c r="CB2236" s="1" t="s">
        <v>104</v>
      </c>
      <c r="CC2236" s="1" t="s">
        <v>104</v>
      </c>
      <c r="CD2236" s="1" t="s">
        <v>104</v>
      </c>
      <c r="CE2236" s="1" t="s">
        <v>104</v>
      </c>
      <c r="CF2236" s="1" t="s">
        <v>104</v>
      </c>
      <c r="CG2236" s="1" t="s">
        <v>104</v>
      </c>
      <c r="CH2236" s="1" t="s">
        <v>104</v>
      </c>
      <c r="CJ2236" s="1">
        <v>0</v>
      </c>
      <c r="CK2236" s="1">
        <v>0</v>
      </c>
      <c r="CL2236" s="1">
        <v>0</v>
      </c>
      <c r="CM2236" s="1" t="s">
        <v>104</v>
      </c>
    </row>
    <row r="2237" spans="1:91" ht="14.25" customHeight="1" x14ac:dyDescent="0.3">
      <c r="A2237" s="1" t="s">
        <v>11571</v>
      </c>
      <c r="B2237" s="1" t="s">
        <v>162</v>
      </c>
      <c r="E2237" s="1" t="s">
        <v>11572</v>
      </c>
      <c r="F2237" s="1" t="s">
        <v>95</v>
      </c>
      <c r="G2237" s="1" t="s">
        <v>116</v>
      </c>
      <c r="H2237" s="1">
        <v>0</v>
      </c>
      <c r="I2237" s="1" t="s">
        <v>157</v>
      </c>
      <c r="L2237" s="1" t="s">
        <v>158</v>
      </c>
      <c r="M2237" s="1" t="s">
        <v>4992</v>
      </c>
      <c r="N2237" s="1">
        <v>1</v>
      </c>
      <c r="O2237" s="1">
        <v>0</v>
      </c>
      <c r="P2237" s="1" t="s">
        <v>11573</v>
      </c>
      <c r="Q2237" s="1" t="s">
        <v>101</v>
      </c>
      <c r="R2237" s="1" t="s">
        <v>11574</v>
      </c>
      <c r="S2237" s="1" t="s">
        <v>11566</v>
      </c>
      <c r="T2237" s="1">
        <v>1</v>
      </c>
      <c r="U2237" s="1">
        <v>1</v>
      </c>
      <c r="V2237" s="1">
        <v>0</v>
      </c>
      <c r="W2237" s="1">
        <v>0</v>
      </c>
      <c r="X2237" s="1">
        <v>0</v>
      </c>
      <c r="Y2237" s="1">
        <v>1</v>
      </c>
      <c r="Z2237" s="1">
        <v>1</v>
      </c>
      <c r="AA2237" s="1" t="s">
        <v>104</v>
      </c>
      <c r="AB2237" s="1" t="s">
        <v>104</v>
      </c>
      <c r="AC2237" s="1" t="s">
        <v>104</v>
      </c>
      <c r="AD2237" s="1" t="s">
        <v>104</v>
      </c>
      <c r="AE2237" s="1" t="s">
        <v>104</v>
      </c>
      <c r="AF2237" s="1">
        <v>1</v>
      </c>
      <c r="AG2237" s="1">
        <v>1</v>
      </c>
      <c r="AH2237" s="1" t="s">
        <v>104</v>
      </c>
      <c r="AI2237" s="1" t="s">
        <v>104</v>
      </c>
      <c r="AJ2237" s="1" t="s">
        <v>104</v>
      </c>
      <c r="AK2237" s="1" t="s">
        <v>104</v>
      </c>
      <c r="AL2237" s="1">
        <v>1</v>
      </c>
      <c r="AM2237" s="1" t="s">
        <v>104</v>
      </c>
      <c r="AO2237" s="1">
        <v>1</v>
      </c>
      <c r="AR2237" s="1">
        <v>0</v>
      </c>
      <c r="AS2237" s="1">
        <v>0</v>
      </c>
      <c r="AT2237" s="1">
        <v>0</v>
      </c>
      <c r="AU2237" s="1">
        <v>0</v>
      </c>
      <c r="AV2237" s="1">
        <v>0</v>
      </c>
      <c r="AW2237" s="1">
        <v>0</v>
      </c>
      <c r="AX2237" s="1">
        <v>0</v>
      </c>
      <c r="AY2237" s="1">
        <v>0</v>
      </c>
      <c r="AZ2237" s="1">
        <v>0</v>
      </c>
      <c r="BA2237" s="1">
        <v>0</v>
      </c>
      <c r="BB2237" s="1">
        <v>0</v>
      </c>
      <c r="BC2237" s="1">
        <v>0</v>
      </c>
      <c r="BD2237" s="1">
        <v>0</v>
      </c>
      <c r="BE2237" s="1">
        <v>0</v>
      </c>
      <c r="BF2237" s="1">
        <v>0</v>
      </c>
      <c r="BG2237" s="1">
        <v>0</v>
      </c>
      <c r="BH2237" s="1">
        <v>0</v>
      </c>
      <c r="BI2237" s="1">
        <v>0</v>
      </c>
      <c r="BJ2237" s="1">
        <v>0</v>
      </c>
      <c r="BK2237" s="1">
        <v>0</v>
      </c>
      <c r="BL2237" s="1">
        <v>0</v>
      </c>
      <c r="BM2237" s="1">
        <v>0</v>
      </c>
      <c r="BN2237" s="1">
        <v>0</v>
      </c>
      <c r="BO2237" s="1">
        <v>0</v>
      </c>
      <c r="BP2237" s="1">
        <v>0</v>
      </c>
      <c r="BQ2237" s="1" t="s">
        <v>104</v>
      </c>
      <c r="BR2237" s="1">
        <v>2355</v>
      </c>
      <c r="BS2237" s="1" t="s">
        <v>104</v>
      </c>
      <c r="BX2237" s="1">
        <v>0</v>
      </c>
      <c r="BY2237" s="1">
        <v>1</v>
      </c>
      <c r="BZ2237" s="1">
        <v>1</v>
      </c>
      <c r="CA2237" s="1" t="s">
        <v>104</v>
      </c>
      <c r="CB2237" s="1" t="s">
        <v>104</v>
      </c>
      <c r="CC2237" s="1" t="s">
        <v>104</v>
      </c>
      <c r="CD2237" s="1" t="s">
        <v>104</v>
      </c>
      <c r="CE2237" s="1">
        <v>1</v>
      </c>
      <c r="CF2237" s="1" t="s">
        <v>104</v>
      </c>
      <c r="CG2237" s="1" t="s">
        <v>104</v>
      </c>
      <c r="CH2237" s="1" t="s">
        <v>104</v>
      </c>
      <c r="CJ2237" s="1">
        <v>0</v>
      </c>
      <c r="CK2237" s="1">
        <v>0</v>
      </c>
      <c r="CL2237" s="1">
        <v>0</v>
      </c>
      <c r="CM2237" s="1">
        <v>1</v>
      </c>
    </row>
    <row r="2238" spans="1:91" ht="14.25" customHeight="1" x14ac:dyDescent="0.3">
      <c r="A2238" s="1" t="s">
        <v>11575</v>
      </c>
      <c r="B2238" s="1" t="s">
        <v>162</v>
      </c>
      <c r="D2238" s="1" t="s">
        <v>54</v>
      </c>
      <c r="E2238" s="1" t="s">
        <v>11576</v>
      </c>
      <c r="F2238" s="1" t="s">
        <v>95</v>
      </c>
      <c r="G2238" s="1" t="s">
        <v>127</v>
      </c>
      <c r="H2238" s="1">
        <v>0</v>
      </c>
      <c r="I2238" s="1" t="s">
        <v>157</v>
      </c>
      <c r="L2238" s="1" t="s">
        <v>158</v>
      </c>
      <c r="M2238" s="1" t="s">
        <v>4992</v>
      </c>
      <c r="N2238" s="1">
        <v>1</v>
      </c>
      <c r="O2238" s="1">
        <v>0</v>
      </c>
      <c r="P2238" s="1" t="s">
        <v>10299</v>
      </c>
      <c r="Q2238" s="1" t="s">
        <v>131</v>
      </c>
      <c r="R2238" s="1" t="s">
        <v>11577</v>
      </c>
      <c r="S2238" s="1" t="s">
        <v>11566</v>
      </c>
      <c r="T2238" s="1">
        <v>1</v>
      </c>
      <c r="U2238" s="1">
        <v>1</v>
      </c>
      <c r="V2238" s="1">
        <v>0</v>
      </c>
      <c r="W2238" s="1">
        <v>0</v>
      </c>
      <c r="X2238" s="1">
        <v>1</v>
      </c>
      <c r="Y2238" s="1">
        <v>4</v>
      </c>
      <c r="Z2238" s="1">
        <v>4</v>
      </c>
      <c r="AA2238" s="1">
        <v>4</v>
      </c>
      <c r="AB2238" s="1" t="s">
        <v>104</v>
      </c>
      <c r="AC2238" s="1" t="s">
        <v>104</v>
      </c>
      <c r="AD2238" s="1" t="s">
        <v>104</v>
      </c>
      <c r="AE2238" s="1" t="s">
        <v>104</v>
      </c>
      <c r="AF2238" s="1" t="s">
        <v>104</v>
      </c>
      <c r="AG2238" s="1" t="s">
        <v>104</v>
      </c>
      <c r="AH2238" s="1" t="s">
        <v>104</v>
      </c>
      <c r="AI2238" s="1">
        <v>3</v>
      </c>
      <c r="AJ2238" s="1">
        <v>4</v>
      </c>
      <c r="AK2238" s="1">
        <v>3</v>
      </c>
      <c r="AL2238" s="1" t="s">
        <v>104</v>
      </c>
      <c r="AM2238" s="1" t="s">
        <v>104</v>
      </c>
      <c r="AO2238" s="1">
        <v>4</v>
      </c>
      <c r="AR2238" s="1">
        <v>0</v>
      </c>
      <c r="AS2238" s="1">
        <v>0</v>
      </c>
      <c r="AT2238" s="1">
        <v>0</v>
      </c>
      <c r="AU2238" s="1">
        <v>0</v>
      </c>
      <c r="AV2238" s="1">
        <v>0</v>
      </c>
      <c r="AW2238" s="1">
        <v>0</v>
      </c>
      <c r="AX2238" s="1">
        <v>0</v>
      </c>
      <c r="AY2238" s="1">
        <v>0</v>
      </c>
      <c r="AZ2238" s="1">
        <v>0</v>
      </c>
      <c r="BA2238" s="1">
        <v>0</v>
      </c>
      <c r="BB2238" s="1">
        <v>0</v>
      </c>
      <c r="BC2238" s="1">
        <v>1</v>
      </c>
      <c r="BD2238" s="1">
        <v>0</v>
      </c>
      <c r="BE2238" s="1">
        <v>0</v>
      </c>
      <c r="BF2238" s="1">
        <v>0</v>
      </c>
      <c r="BG2238" s="1">
        <v>0</v>
      </c>
      <c r="BH2238" s="1">
        <v>0</v>
      </c>
      <c r="BI2238" s="1">
        <v>0</v>
      </c>
      <c r="BJ2238" s="1">
        <v>0</v>
      </c>
      <c r="BK2238" s="1">
        <v>0</v>
      </c>
      <c r="BL2238" s="1">
        <v>0</v>
      </c>
      <c r="BM2238" s="1">
        <v>0</v>
      </c>
      <c r="BN2238" s="1">
        <v>0</v>
      </c>
      <c r="BO2238" s="1">
        <v>0</v>
      </c>
      <c r="BP2238" s="1">
        <v>0</v>
      </c>
      <c r="BQ2238" s="1" t="s">
        <v>104</v>
      </c>
      <c r="BR2238" s="1">
        <v>2356</v>
      </c>
      <c r="BS2238" s="1" t="s">
        <v>104</v>
      </c>
      <c r="BX2238" s="1">
        <v>0</v>
      </c>
      <c r="BY2238" s="1" t="s">
        <v>104</v>
      </c>
      <c r="BZ2238" s="1" t="s">
        <v>104</v>
      </c>
      <c r="CA2238" s="1" t="s">
        <v>104</v>
      </c>
      <c r="CB2238" s="1" t="s">
        <v>104</v>
      </c>
      <c r="CC2238" s="1" t="s">
        <v>104</v>
      </c>
      <c r="CD2238" s="1" t="s">
        <v>104</v>
      </c>
      <c r="CE2238" s="1" t="s">
        <v>104</v>
      </c>
      <c r="CF2238" s="1" t="s">
        <v>104</v>
      </c>
      <c r="CG2238" s="1" t="s">
        <v>104</v>
      </c>
      <c r="CH2238" s="1" t="s">
        <v>104</v>
      </c>
      <c r="CJ2238" s="1">
        <v>0</v>
      </c>
      <c r="CK2238" s="1">
        <v>0</v>
      </c>
      <c r="CL2238" s="1">
        <v>0</v>
      </c>
      <c r="CM2238" s="1" t="s">
        <v>104</v>
      </c>
    </row>
    <row r="2239" spans="1:91" ht="14.25" customHeight="1" x14ac:dyDescent="0.3">
      <c r="A2239" s="1" t="s">
        <v>11578</v>
      </c>
      <c r="B2239" s="1" t="s">
        <v>216</v>
      </c>
      <c r="E2239" s="1" t="s">
        <v>11579</v>
      </c>
      <c r="F2239" s="1" t="s">
        <v>95</v>
      </c>
      <c r="G2239" s="1" t="s">
        <v>11580</v>
      </c>
      <c r="H2239" s="1">
        <v>0</v>
      </c>
      <c r="I2239" s="1" t="s">
        <v>157</v>
      </c>
      <c r="L2239" s="1" t="s">
        <v>158</v>
      </c>
      <c r="M2239" s="1" t="s">
        <v>111</v>
      </c>
      <c r="N2239" s="1">
        <v>0</v>
      </c>
      <c r="O2239" s="1">
        <v>0</v>
      </c>
      <c r="P2239" s="1" t="s">
        <v>375</v>
      </c>
      <c r="Q2239" s="1" t="s">
        <v>101</v>
      </c>
      <c r="R2239" s="1" t="s">
        <v>11581</v>
      </c>
      <c r="S2239" s="1" t="s">
        <v>11566</v>
      </c>
      <c r="T2239" s="1">
        <v>1</v>
      </c>
      <c r="U2239" s="1">
        <v>1</v>
      </c>
      <c r="V2239" s="1">
        <v>1</v>
      </c>
      <c r="W2239" s="1">
        <v>0</v>
      </c>
      <c r="X2239" s="1">
        <v>0</v>
      </c>
      <c r="Y2239" s="1">
        <v>5</v>
      </c>
      <c r="Z2239" s="1">
        <v>5</v>
      </c>
      <c r="AA2239" s="1">
        <v>5</v>
      </c>
      <c r="AB2239" s="1" t="s">
        <v>104</v>
      </c>
      <c r="AC2239" s="1" t="s">
        <v>104</v>
      </c>
      <c r="AD2239" s="1" t="s">
        <v>104</v>
      </c>
      <c r="AE2239" s="1" t="s">
        <v>104</v>
      </c>
      <c r="AF2239" s="1" t="s">
        <v>104</v>
      </c>
      <c r="AG2239" s="1">
        <v>4</v>
      </c>
      <c r="AH2239" s="1">
        <v>5</v>
      </c>
      <c r="AI2239" s="1" t="s">
        <v>104</v>
      </c>
      <c r="AJ2239" s="1">
        <v>5</v>
      </c>
      <c r="AK2239" s="1">
        <v>4</v>
      </c>
      <c r="AL2239" s="1" t="s">
        <v>104</v>
      </c>
      <c r="AM2239" s="1" t="s">
        <v>104</v>
      </c>
      <c r="AO2239" s="1">
        <v>5</v>
      </c>
      <c r="AR2239" s="1">
        <v>0</v>
      </c>
      <c r="AS2239" s="1">
        <v>0</v>
      </c>
      <c r="AT2239" s="1">
        <v>0</v>
      </c>
      <c r="AU2239" s="1">
        <v>0</v>
      </c>
      <c r="AV2239" s="1">
        <v>0</v>
      </c>
      <c r="AW2239" s="1">
        <v>0</v>
      </c>
      <c r="AX2239" s="1">
        <v>0</v>
      </c>
      <c r="AY2239" s="1">
        <v>0</v>
      </c>
      <c r="AZ2239" s="1">
        <v>0</v>
      </c>
      <c r="BA2239" s="1">
        <v>0</v>
      </c>
      <c r="BB2239" s="1">
        <v>0</v>
      </c>
      <c r="BC2239" s="1">
        <v>0</v>
      </c>
      <c r="BD2239" s="1">
        <v>0</v>
      </c>
      <c r="BE2239" s="1">
        <v>0</v>
      </c>
      <c r="BF2239" s="1">
        <v>0</v>
      </c>
      <c r="BG2239" s="1">
        <v>0</v>
      </c>
      <c r="BH2239" s="1">
        <v>0</v>
      </c>
      <c r="BI2239" s="1">
        <v>0</v>
      </c>
      <c r="BJ2239" s="1">
        <v>0</v>
      </c>
      <c r="BK2239" s="1">
        <v>0</v>
      </c>
      <c r="BL2239" s="1">
        <v>0</v>
      </c>
      <c r="BM2239" s="1">
        <v>0</v>
      </c>
      <c r="BN2239" s="1">
        <v>0</v>
      </c>
      <c r="BO2239" s="1">
        <v>0</v>
      </c>
      <c r="BP2239" s="1">
        <v>0</v>
      </c>
      <c r="BQ2239" s="1" t="s">
        <v>104</v>
      </c>
      <c r="BR2239" s="1">
        <v>2357</v>
      </c>
      <c r="BS2239" s="1" t="s">
        <v>104</v>
      </c>
      <c r="BX2239" s="1">
        <v>0</v>
      </c>
      <c r="BY2239" s="1" t="s">
        <v>104</v>
      </c>
      <c r="BZ2239" s="1">
        <v>5</v>
      </c>
      <c r="CA2239" s="1" t="s">
        <v>104</v>
      </c>
      <c r="CB2239" s="1" t="s">
        <v>104</v>
      </c>
      <c r="CC2239" s="1" t="s">
        <v>104</v>
      </c>
      <c r="CD2239" s="1" t="s">
        <v>104</v>
      </c>
      <c r="CE2239" s="1" t="s">
        <v>104</v>
      </c>
      <c r="CF2239" s="1" t="s">
        <v>104</v>
      </c>
      <c r="CG2239" s="1" t="s">
        <v>104</v>
      </c>
      <c r="CH2239" s="1" t="s">
        <v>104</v>
      </c>
      <c r="CJ2239" s="1">
        <v>0</v>
      </c>
      <c r="CK2239" s="1">
        <v>0</v>
      </c>
      <c r="CL2239" s="1">
        <v>0</v>
      </c>
      <c r="CM2239" s="1">
        <v>4</v>
      </c>
    </row>
    <row r="2240" spans="1:91" ht="14.25" customHeight="1" x14ac:dyDescent="0.3">
      <c r="A2240" s="1" t="s">
        <v>11582</v>
      </c>
      <c r="B2240" s="1" t="s">
        <v>162</v>
      </c>
      <c r="D2240" s="1" t="s">
        <v>43</v>
      </c>
      <c r="E2240" s="1" t="s">
        <v>11583</v>
      </c>
      <c r="F2240" s="1" t="s">
        <v>255</v>
      </c>
      <c r="G2240" s="1" t="s">
        <v>11584</v>
      </c>
      <c r="H2240" s="1">
        <v>0</v>
      </c>
      <c r="I2240" s="1" t="s">
        <v>128</v>
      </c>
      <c r="L2240" s="1" t="s">
        <v>983</v>
      </c>
      <c r="M2240" s="1" t="s">
        <v>620</v>
      </c>
      <c r="N2240" s="1">
        <v>1</v>
      </c>
      <c r="O2240" s="1">
        <v>0</v>
      </c>
      <c r="P2240" s="1" t="s">
        <v>6014</v>
      </c>
      <c r="Q2240" s="1" t="s">
        <v>101</v>
      </c>
      <c r="R2240" s="1" t="s">
        <v>11585</v>
      </c>
      <c r="S2240" s="1" t="s">
        <v>11566</v>
      </c>
      <c r="T2240" s="1">
        <v>1</v>
      </c>
      <c r="U2240" s="1">
        <v>1</v>
      </c>
      <c r="V2240" s="1">
        <v>1</v>
      </c>
      <c r="W2240" s="1">
        <v>0</v>
      </c>
      <c r="X2240" s="1">
        <v>0</v>
      </c>
      <c r="Y2240" s="1">
        <v>4</v>
      </c>
      <c r="Z2240" s="1">
        <v>4</v>
      </c>
      <c r="AA2240" s="1" t="s">
        <v>104</v>
      </c>
      <c r="AB2240" s="1" t="s">
        <v>104</v>
      </c>
      <c r="AC2240" s="1" t="s">
        <v>104</v>
      </c>
      <c r="AD2240" s="1" t="s">
        <v>104</v>
      </c>
      <c r="AE2240" s="1" t="s">
        <v>104</v>
      </c>
      <c r="AF2240" s="1">
        <v>3</v>
      </c>
      <c r="AG2240" s="1" t="s">
        <v>104</v>
      </c>
      <c r="AH2240" s="1" t="s">
        <v>104</v>
      </c>
      <c r="AI2240" s="1" t="s">
        <v>104</v>
      </c>
      <c r="AJ2240" s="1" t="s">
        <v>104</v>
      </c>
      <c r="AK2240" s="1" t="s">
        <v>104</v>
      </c>
      <c r="AL2240" s="1">
        <v>3</v>
      </c>
      <c r="AM2240" s="1" t="s">
        <v>104</v>
      </c>
      <c r="AO2240" s="1">
        <v>4</v>
      </c>
      <c r="AR2240" s="1">
        <v>1</v>
      </c>
      <c r="AS2240" s="1">
        <v>0</v>
      </c>
      <c r="AT2240" s="1">
        <v>0</v>
      </c>
      <c r="AU2240" s="1">
        <v>0</v>
      </c>
      <c r="AV2240" s="1">
        <v>0</v>
      </c>
      <c r="AW2240" s="1">
        <v>0</v>
      </c>
      <c r="AX2240" s="1">
        <v>0</v>
      </c>
      <c r="AY2240" s="1">
        <v>0</v>
      </c>
      <c r="AZ2240" s="1">
        <v>0</v>
      </c>
      <c r="BA2240" s="1">
        <v>0</v>
      </c>
      <c r="BB2240" s="1">
        <v>0</v>
      </c>
      <c r="BC2240" s="1">
        <v>0</v>
      </c>
      <c r="BD2240" s="1">
        <v>0</v>
      </c>
      <c r="BE2240" s="1">
        <v>0</v>
      </c>
      <c r="BF2240" s="1">
        <v>0</v>
      </c>
      <c r="BG2240" s="1">
        <v>0</v>
      </c>
      <c r="BH2240" s="1">
        <v>0</v>
      </c>
      <c r="BI2240" s="1">
        <v>0</v>
      </c>
      <c r="BJ2240" s="1">
        <v>0</v>
      </c>
      <c r="BK2240" s="1">
        <v>0</v>
      </c>
      <c r="BL2240" s="1">
        <v>0</v>
      </c>
      <c r="BM2240" s="1">
        <v>0</v>
      </c>
      <c r="BN2240" s="1">
        <v>0</v>
      </c>
      <c r="BO2240" s="1">
        <v>0</v>
      </c>
      <c r="BP2240" s="1">
        <v>0</v>
      </c>
      <c r="BQ2240" s="1" t="s">
        <v>104</v>
      </c>
      <c r="BR2240" s="1">
        <v>2358</v>
      </c>
      <c r="BS2240" s="1" t="s">
        <v>104</v>
      </c>
      <c r="BX2240" s="1">
        <v>0</v>
      </c>
      <c r="BY2240" s="1">
        <v>3</v>
      </c>
      <c r="BZ2240" s="1" t="s">
        <v>104</v>
      </c>
      <c r="CA2240" s="1" t="s">
        <v>104</v>
      </c>
      <c r="CB2240" s="1" t="s">
        <v>104</v>
      </c>
      <c r="CC2240" s="1" t="s">
        <v>104</v>
      </c>
      <c r="CD2240" s="1" t="s">
        <v>104</v>
      </c>
      <c r="CE2240" s="1" t="s">
        <v>104</v>
      </c>
      <c r="CF2240" s="1" t="s">
        <v>104</v>
      </c>
      <c r="CG2240" s="1" t="s">
        <v>104</v>
      </c>
      <c r="CH2240" s="1" t="s">
        <v>104</v>
      </c>
      <c r="CJ2240" s="1">
        <v>0</v>
      </c>
      <c r="CK2240" s="1">
        <v>0</v>
      </c>
      <c r="CL2240" s="1">
        <v>0</v>
      </c>
      <c r="CM2240" s="1" t="s">
        <v>104</v>
      </c>
    </row>
    <row r="2241" spans="1:91" ht="14.25" customHeight="1" x14ac:dyDescent="0.3">
      <c r="A2241" s="1" t="s">
        <v>11586</v>
      </c>
      <c r="B2241" s="1" t="s">
        <v>123</v>
      </c>
      <c r="D2241" s="1" t="s">
        <v>125</v>
      </c>
      <c r="E2241" s="1" t="s">
        <v>11587</v>
      </c>
      <c r="F2241" s="1" t="s">
        <v>95</v>
      </c>
      <c r="G2241" s="1" t="s">
        <v>116</v>
      </c>
      <c r="H2241" s="1">
        <v>0</v>
      </c>
      <c r="I2241" s="1" t="s">
        <v>117</v>
      </c>
      <c r="L2241" s="1" t="s">
        <v>1065</v>
      </c>
      <c r="M2241" s="1" t="s">
        <v>2330</v>
      </c>
      <c r="N2241" s="1">
        <v>0</v>
      </c>
      <c r="O2241" s="1">
        <v>0</v>
      </c>
      <c r="P2241" s="1" t="s">
        <v>375</v>
      </c>
      <c r="Q2241" s="1" t="s">
        <v>101</v>
      </c>
      <c r="R2241" s="1" t="s">
        <v>11588</v>
      </c>
      <c r="S2241" s="1" t="s">
        <v>11566</v>
      </c>
      <c r="T2241" s="1">
        <v>1</v>
      </c>
      <c r="U2241" s="1">
        <v>1</v>
      </c>
      <c r="V2241" s="1">
        <v>0</v>
      </c>
      <c r="W2241" s="1">
        <v>0</v>
      </c>
      <c r="X2241" s="1">
        <v>0</v>
      </c>
      <c r="Y2241" s="1">
        <v>1</v>
      </c>
      <c r="Z2241" s="1">
        <v>1</v>
      </c>
      <c r="AA2241" s="1">
        <v>1</v>
      </c>
      <c r="AB2241" s="1" t="s">
        <v>104</v>
      </c>
      <c r="AC2241" s="1" t="s">
        <v>104</v>
      </c>
      <c r="AD2241" s="1">
        <v>1</v>
      </c>
      <c r="AE2241" s="1" t="s">
        <v>104</v>
      </c>
      <c r="AF2241" s="1">
        <v>1</v>
      </c>
      <c r="AG2241" s="1" t="s">
        <v>104</v>
      </c>
      <c r="AH2241" s="1">
        <v>1</v>
      </c>
      <c r="AI2241" s="1" t="s">
        <v>104</v>
      </c>
      <c r="AJ2241" s="1">
        <v>1</v>
      </c>
      <c r="AK2241" s="1" t="s">
        <v>104</v>
      </c>
      <c r="AL2241" s="1" t="s">
        <v>104</v>
      </c>
      <c r="AM2241" s="1" t="s">
        <v>104</v>
      </c>
      <c r="AO2241" s="1">
        <v>1</v>
      </c>
      <c r="AR2241" s="1">
        <v>0</v>
      </c>
      <c r="AS2241" s="1">
        <v>0</v>
      </c>
      <c r="AT2241" s="1">
        <v>0</v>
      </c>
      <c r="AU2241" s="1">
        <v>0</v>
      </c>
      <c r="AV2241" s="1">
        <v>0</v>
      </c>
      <c r="AW2241" s="1">
        <v>0</v>
      </c>
      <c r="AX2241" s="1">
        <v>0</v>
      </c>
      <c r="AY2241" s="1">
        <v>0</v>
      </c>
      <c r="AZ2241" s="1">
        <v>0</v>
      </c>
      <c r="BA2241" s="1">
        <v>0</v>
      </c>
      <c r="BB2241" s="1">
        <v>0</v>
      </c>
      <c r="BC2241" s="1">
        <v>0</v>
      </c>
      <c r="BD2241" s="1">
        <v>0</v>
      </c>
      <c r="BE2241" s="1">
        <v>0</v>
      </c>
      <c r="BF2241" s="1">
        <v>0</v>
      </c>
      <c r="BG2241" s="1">
        <v>0</v>
      </c>
      <c r="BH2241" s="1">
        <v>0</v>
      </c>
      <c r="BI2241" s="1">
        <v>0</v>
      </c>
      <c r="BJ2241" s="1">
        <v>0</v>
      </c>
      <c r="BK2241" s="1">
        <v>1</v>
      </c>
      <c r="BL2241" s="1">
        <v>0</v>
      </c>
      <c r="BM2241" s="1">
        <v>0</v>
      </c>
      <c r="BN2241" s="1">
        <v>0</v>
      </c>
      <c r="BO2241" s="1">
        <v>0</v>
      </c>
      <c r="BP2241" s="1">
        <v>0</v>
      </c>
      <c r="BQ2241" s="1" t="s">
        <v>104</v>
      </c>
      <c r="BR2241" s="1">
        <v>2359</v>
      </c>
      <c r="BS2241" s="1" t="s">
        <v>104</v>
      </c>
      <c r="BX2241" s="1">
        <v>0</v>
      </c>
      <c r="BY2241" s="1" t="s">
        <v>104</v>
      </c>
      <c r="BZ2241" s="1">
        <v>1</v>
      </c>
      <c r="CA2241" s="1">
        <v>1</v>
      </c>
      <c r="CB2241" s="1" t="s">
        <v>104</v>
      </c>
      <c r="CC2241" s="1">
        <v>1</v>
      </c>
      <c r="CD2241" s="1" t="s">
        <v>104</v>
      </c>
      <c r="CE2241" s="1" t="s">
        <v>104</v>
      </c>
      <c r="CF2241" s="1" t="s">
        <v>104</v>
      </c>
      <c r="CG2241" s="1" t="s">
        <v>104</v>
      </c>
      <c r="CH2241" s="1" t="s">
        <v>104</v>
      </c>
      <c r="CJ2241" s="1">
        <v>0</v>
      </c>
      <c r="CK2241" s="1">
        <v>0</v>
      </c>
      <c r="CL2241" s="1">
        <v>0</v>
      </c>
      <c r="CM2241" s="1" t="s">
        <v>104</v>
      </c>
    </row>
    <row r="2242" spans="1:91" ht="14.25" customHeight="1" x14ac:dyDescent="0.3">
      <c r="A2242" s="1" t="s">
        <v>11589</v>
      </c>
      <c r="B2242" s="1" t="s">
        <v>507</v>
      </c>
      <c r="C2242" s="1" t="s">
        <v>1308</v>
      </c>
      <c r="D2242" s="1" t="s">
        <v>125</v>
      </c>
      <c r="E2242" s="1" t="s">
        <v>11418</v>
      </c>
      <c r="F2242" s="1" t="s">
        <v>255</v>
      </c>
      <c r="G2242" s="1" t="s">
        <v>116</v>
      </c>
      <c r="H2242" s="1">
        <v>0</v>
      </c>
      <c r="I2242" s="1" t="s">
        <v>109</v>
      </c>
      <c r="L2242" s="1" t="s">
        <v>1065</v>
      </c>
      <c r="M2242" s="1" t="s">
        <v>119</v>
      </c>
      <c r="N2242" s="1">
        <v>0</v>
      </c>
      <c r="O2242" s="1">
        <v>0</v>
      </c>
      <c r="P2242" s="1" t="s">
        <v>11590</v>
      </c>
      <c r="Q2242" s="1" t="s">
        <v>184</v>
      </c>
      <c r="R2242" s="1" t="s">
        <v>11591</v>
      </c>
      <c r="S2242" s="1" t="s">
        <v>11566</v>
      </c>
      <c r="T2242" s="1">
        <v>1</v>
      </c>
      <c r="U2242" s="1">
        <v>1</v>
      </c>
      <c r="V2242" s="1">
        <v>0</v>
      </c>
      <c r="W2242" s="1">
        <v>0</v>
      </c>
      <c r="X2242" s="1">
        <v>0</v>
      </c>
      <c r="Y2242" s="1">
        <v>4</v>
      </c>
      <c r="Z2242" s="1">
        <v>4</v>
      </c>
      <c r="AA2242" s="1" t="s">
        <v>104</v>
      </c>
      <c r="AB2242" s="1" t="s">
        <v>104</v>
      </c>
      <c r="AC2242" s="1" t="s">
        <v>104</v>
      </c>
      <c r="AD2242" s="1" t="s">
        <v>104</v>
      </c>
      <c r="AE2242" s="1" t="s">
        <v>104</v>
      </c>
      <c r="AF2242" s="1" t="s">
        <v>104</v>
      </c>
      <c r="AG2242" s="1" t="s">
        <v>104</v>
      </c>
      <c r="AH2242" s="1" t="s">
        <v>104</v>
      </c>
      <c r="AI2242" s="1" t="s">
        <v>104</v>
      </c>
      <c r="AJ2242" s="1" t="s">
        <v>104</v>
      </c>
      <c r="AK2242" s="1" t="s">
        <v>104</v>
      </c>
      <c r="AL2242" s="1" t="s">
        <v>104</v>
      </c>
      <c r="AM2242" s="1" t="s">
        <v>104</v>
      </c>
      <c r="AO2242" s="1">
        <v>4</v>
      </c>
      <c r="AR2242" s="1">
        <v>0</v>
      </c>
      <c r="AS2242" s="1">
        <v>0</v>
      </c>
      <c r="AT2242" s="1">
        <v>0</v>
      </c>
      <c r="AU2242" s="1">
        <v>0</v>
      </c>
      <c r="AV2242" s="1">
        <v>0</v>
      </c>
      <c r="AW2242" s="1">
        <v>0</v>
      </c>
      <c r="AX2242" s="1">
        <v>0</v>
      </c>
      <c r="AY2242" s="1">
        <v>0</v>
      </c>
      <c r="AZ2242" s="1">
        <v>0</v>
      </c>
      <c r="BA2242" s="1">
        <v>0</v>
      </c>
      <c r="BB2242" s="1">
        <v>0</v>
      </c>
      <c r="BC2242" s="1">
        <v>0</v>
      </c>
      <c r="BD2242" s="1">
        <v>0</v>
      </c>
      <c r="BE2242" s="1">
        <v>0</v>
      </c>
      <c r="BF2242" s="1">
        <v>0</v>
      </c>
      <c r="BG2242" s="1">
        <v>0</v>
      </c>
      <c r="BH2242" s="1">
        <v>0</v>
      </c>
      <c r="BI2242" s="1">
        <v>0</v>
      </c>
      <c r="BJ2242" s="1">
        <v>0</v>
      </c>
      <c r="BK2242" s="1">
        <v>1</v>
      </c>
      <c r="BL2242" s="1">
        <v>0</v>
      </c>
      <c r="BM2242" s="1">
        <v>0</v>
      </c>
      <c r="BN2242" s="1">
        <v>0</v>
      </c>
      <c r="BO2242" s="1">
        <v>0</v>
      </c>
      <c r="BP2242" s="1">
        <v>0</v>
      </c>
      <c r="BQ2242" s="1" t="s">
        <v>104</v>
      </c>
      <c r="BR2242" s="1">
        <v>2360</v>
      </c>
      <c r="BS2242" s="1" t="s">
        <v>104</v>
      </c>
      <c r="BX2242" s="1">
        <v>0</v>
      </c>
      <c r="BY2242" s="1" t="s">
        <v>104</v>
      </c>
      <c r="BZ2242" s="1" t="s">
        <v>104</v>
      </c>
      <c r="CA2242" s="1">
        <v>4</v>
      </c>
      <c r="CB2242" s="1" t="s">
        <v>104</v>
      </c>
      <c r="CC2242" s="1">
        <v>3</v>
      </c>
      <c r="CD2242" s="1" t="s">
        <v>104</v>
      </c>
      <c r="CE2242" s="1" t="s">
        <v>104</v>
      </c>
      <c r="CF2242" s="1" t="s">
        <v>104</v>
      </c>
      <c r="CG2242" s="1" t="s">
        <v>104</v>
      </c>
      <c r="CH2242" s="1" t="s">
        <v>104</v>
      </c>
      <c r="CJ2242" s="1">
        <v>0</v>
      </c>
      <c r="CK2242" s="1">
        <v>0</v>
      </c>
      <c r="CL2242" s="1">
        <v>0</v>
      </c>
      <c r="CM2242" s="1" t="s">
        <v>104</v>
      </c>
    </row>
    <row r="2243" spans="1:91" ht="14.25" customHeight="1" x14ac:dyDescent="0.3">
      <c r="A2243" s="1" t="s">
        <v>11592</v>
      </c>
      <c r="B2243" s="1" t="s">
        <v>123</v>
      </c>
      <c r="D2243" s="1" t="s">
        <v>125</v>
      </c>
      <c r="E2243" s="1" t="s">
        <v>11593</v>
      </c>
      <c r="F2243" s="1" t="s">
        <v>95</v>
      </c>
      <c r="G2243" s="1" t="s">
        <v>11594</v>
      </c>
      <c r="H2243" s="1">
        <v>0</v>
      </c>
      <c r="I2243" s="1" t="s">
        <v>117</v>
      </c>
      <c r="L2243" s="1" t="s">
        <v>1065</v>
      </c>
      <c r="M2243" s="1" t="s">
        <v>4292</v>
      </c>
      <c r="N2243" s="1">
        <v>0</v>
      </c>
      <c r="O2243" s="1">
        <v>0</v>
      </c>
      <c r="P2243" s="1" t="s">
        <v>211</v>
      </c>
      <c r="Q2243" s="1" t="s">
        <v>184</v>
      </c>
      <c r="R2243" s="1" t="s">
        <v>11595</v>
      </c>
      <c r="S2243" s="1" t="s">
        <v>11566</v>
      </c>
      <c r="T2243" s="1">
        <v>1</v>
      </c>
      <c r="U2243" s="1">
        <v>1</v>
      </c>
      <c r="V2243" s="1">
        <v>1</v>
      </c>
      <c r="W2243" s="1">
        <v>0</v>
      </c>
      <c r="X2243" s="1">
        <v>0</v>
      </c>
      <c r="Y2243" s="1">
        <v>4</v>
      </c>
      <c r="Z2243" s="1">
        <v>4</v>
      </c>
      <c r="AA2243" s="1" t="s">
        <v>104</v>
      </c>
      <c r="AB2243" s="1" t="s">
        <v>104</v>
      </c>
      <c r="AC2243" s="1" t="s">
        <v>104</v>
      </c>
      <c r="AD2243" s="1">
        <v>3</v>
      </c>
      <c r="AE2243" s="1" t="s">
        <v>104</v>
      </c>
      <c r="AF2243" s="1" t="s">
        <v>104</v>
      </c>
      <c r="AG2243" s="1" t="s">
        <v>104</v>
      </c>
      <c r="AH2243" s="1">
        <v>4</v>
      </c>
      <c r="AI2243" s="1" t="s">
        <v>104</v>
      </c>
      <c r="AJ2243" s="1" t="s">
        <v>104</v>
      </c>
      <c r="AK2243" s="1" t="s">
        <v>104</v>
      </c>
      <c r="AL2243" s="1" t="s">
        <v>104</v>
      </c>
      <c r="AM2243" s="1" t="s">
        <v>104</v>
      </c>
      <c r="AO2243" s="1">
        <v>4</v>
      </c>
      <c r="AR2243" s="1">
        <v>0</v>
      </c>
      <c r="AS2243" s="1">
        <v>0</v>
      </c>
      <c r="AT2243" s="1">
        <v>0</v>
      </c>
      <c r="AU2243" s="1">
        <v>0</v>
      </c>
      <c r="AV2243" s="1">
        <v>0</v>
      </c>
      <c r="AW2243" s="1">
        <v>0</v>
      </c>
      <c r="AX2243" s="1">
        <v>0</v>
      </c>
      <c r="AY2243" s="1">
        <v>0</v>
      </c>
      <c r="AZ2243" s="1">
        <v>0</v>
      </c>
      <c r="BA2243" s="1">
        <v>0</v>
      </c>
      <c r="BB2243" s="1">
        <v>0</v>
      </c>
      <c r="BC2243" s="1">
        <v>0</v>
      </c>
      <c r="BD2243" s="1">
        <v>0</v>
      </c>
      <c r="BE2243" s="1">
        <v>0</v>
      </c>
      <c r="BF2243" s="1">
        <v>0</v>
      </c>
      <c r="BG2243" s="1">
        <v>0</v>
      </c>
      <c r="BH2243" s="1">
        <v>0</v>
      </c>
      <c r="BI2243" s="1">
        <v>0</v>
      </c>
      <c r="BJ2243" s="1">
        <v>0</v>
      </c>
      <c r="BK2243" s="1">
        <v>1</v>
      </c>
      <c r="BL2243" s="1">
        <v>0</v>
      </c>
      <c r="BM2243" s="1">
        <v>0</v>
      </c>
      <c r="BN2243" s="1">
        <v>0</v>
      </c>
      <c r="BO2243" s="1">
        <v>0</v>
      </c>
      <c r="BP2243" s="1">
        <v>0</v>
      </c>
      <c r="BQ2243" s="1" t="s">
        <v>104</v>
      </c>
      <c r="BR2243" s="1">
        <v>2361</v>
      </c>
      <c r="BS2243" s="1" t="s">
        <v>104</v>
      </c>
      <c r="BX2243" s="1">
        <v>0</v>
      </c>
      <c r="BY2243" s="1" t="s">
        <v>104</v>
      </c>
      <c r="BZ2243" s="1" t="s">
        <v>104</v>
      </c>
      <c r="CA2243" s="1" t="s">
        <v>104</v>
      </c>
      <c r="CB2243" s="1" t="s">
        <v>104</v>
      </c>
      <c r="CC2243" s="1" t="s">
        <v>104</v>
      </c>
      <c r="CD2243" s="1" t="s">
        <v>104</v>
      </c>
      <c r="CE2243" s="1" t="s">
        <v>104</v>
      </c>
      <c r="CF2243" s="1" t="s">
        <v>104</v>
      </c>
      <c r="CG2243" s="1" t="s">
        <v>104</v>
      </c>
      <c r="CH2243" s="1" t="s">
        <v>104</v>
      </c>
      <c r="CJ2243" s="1">
        <v>0</v>
      </c>
      <c r="CK2243" s="1">
        <v>0</v>
      </c>
      <c r="CL2243" s="1">
        <v>0</v>
      </c>
      <c r="CM2243" s="1" t="s">
        <v>104</v>
      </c>
    </row>
    <row r="2244" spans="1:91" ht="14.25" customHeight="1" x14ac:dyDescent="0.3">
      <c r="A2244" s="1" t="s">
        <v>11596</v>
      </c>
      <c r="B2244" s="1" t="s">
        <v>434</v>
      </c>
      <c r="D2244" s="1" t="s">
        <v>56</v>
      </c>
      <c r="E2244" s="1" t="s">
        <v>11597</v>
      </c>
      <c r="F2244" s="1" t="s">
        <v>95</v>
      </c>
      <c r="G2244" s="1" t="s">
        <v>11598</v>
      </c>
      <c r="H2244" s="1">
        <v>0</v>
      </c>
      <c r="I2244" s="1" t="s">
        <v>157</v>
      </c>
      <c r="M2244" s="1" t="s">
        <v>6947</v>
      </c>
      <c r="N2244" s="1">
        <v>0</v>
      </c>
      <c r="O2244" s="1">
        <v>0</v>
      </c>
      <c r="P2244" s="1" t="s">
        <v>550</v>
      </c>
      <c r="Q2244" s="1" t="s">
        <v>184</v>
      </c>
      <c r="R2244" s="1" t="s">
        <v>11599</v>
      </c>
      <c r="S2244" s="1" t="s">
        <v>11566</v>
      </c>
      <c r="T2244" s="1">
        <v>1</v>
      </c>
      <c r="U2244" s="1">
        <v>1</v>
      </c>
      <c r="V2244" s="1">
        <v>1</v>
      </c>
      <c r="W2244" s="1">
        <v>0</v>
      </c>
      <c r="X2244" s="1">
        <v>0</v>
      </c>
      <c r="Y2244" s="1">
        <v>6</v>
      </c>
      <c r="Z2244" s="1">
        <v>6</v>
      </c>
      <c r="AA2244" s="1" t="s">
        <v>104</v>
      </c>
      <c r="AB2244" s="1" t="s">
        <v>104</v>
      </c>
      <c r="AC2244" s="1" t="s">
        <v>104</v>
      </c>
      <c r="AD2244" s="1" t="s">
        <v>104</v>
      </c>
      <c r="AE2244" s="1" t="s">
        <v>104</v>
      </c>
      <c r="AF2244" s="1" t="s">
        <v>104</v>
      </c>
      <c r="AG2244" s="1" t="s">
        <v>104</v>
      </c>
      <c r="AH2244" s="1" t="s">
        <v>104</v>
      </c>
      <c r="AI2244" s="1" t="s">
        <v>104</v>
      </c>
      <c r="AJ2244" s="1" t="s">
        <v>104</v>
      </c>
      <c r="AK2244" s="1" t="s">
        <v>104</v>
      </c>
      <c r="AL2244" s="1">
        <v>5</v>
      </c>
      <c r="AM2244" s="1" t="s">
        <v>104</v>
      </c>
      <c r="AO2244" s="1">
        <v>6</v>
      </c>
      <c r="AR2244" s="1">
        <v>0</v>
      </c>
      <c r="AS2244" s="1">
        <v>0</v>
      </c>
      <c r="AT2244" s="1">
        <v>0</v>
      </c>
      <c r="AU2244" s="1">
        <v>0</v>
      </c>
      <c r="AV2244" s="1">
        <v>0</v>
      </c>
      <c r="AW2244" s="1">
        <v>0</v>
      </c>
      <c r="AX2244" s="1">
        <v>0</v>
      </c>
      <c r="AY2244" s="1">
        <v>0</v>
      </c>
      <c r="AZ2244" s="1">
        <v>0</v>
      </c>
      <c r="BA2244" s="1">
        <v>0</v>
      </c>
      <c r="BB2244" s="1">
        <v>0</v>
      </c>
      <c r="BC2244" s="1">
        <v>0</v>
      </c>
      <c r="BD2244" s="1">
        <v>0</v>
      </c>
      <c r="BE2244" s="1">
        <v>1</v>
      </c>
      <c r="BF2244" s="1">
        <v>0</v>
      </c>
      <c r="BG2244" s="1">
        <v>0</v>
      </c>
      <c r="BH2244" s="1">
        <v>0</v>
      </c>
      <c r="BI2244" s="1">
        <v>0</v>
      </c>
      <c r="BJ2244" s="1">
        <v>0</v>
      </c>
      <c r="BK2244" s="1">
        <v>0</v>
      </c>
      <c r="BL2244" s="1">
        <v>0</v>
      </c>
      <c r="BM2244" s="1">
        <v>0</v>
      </c>
      <c r="BN2244" s="1">
        <v>0</v>
      </c>
      <c r="BO2244" s="1">
        <v>0</v>
      </c>
      <c r="BP2244" s="1">
        <v>0</v>
      </c>
      <c r="BQ2244" s="1" t="s">
        <v>104</v>
      </c>
      <c r="BR2244" s="1">
        <v>2362</v>
      </c>
      <c r="BS2244" s="1" t="s">
        <v>104</v>
      </c>
      <c r="BX2244" s="1">
        <v>0</v>
      </c>
      <c r="BY2244" s="1">
        <v>4</v>
      </c>
      <c r="BZ2244" s="1" t="s">
        <v>104</v>
      </c>
      <c r="CA2244" s="1" t="s">
        <v>104</v>
      </c>
      <c r="CB2244" s="1" t="s">
        <v>104</v>
      </c>
      <c r="CC2244" s="1" t="s">
        <v>104</v>
      </c>
      <c r="CD2244" s="1" t="s">
        <v>104</v>
      </c>
      <c r="CE2244" s="1" t="s">
        <v>104</v>
      </c>
      <c r="CF2244" s="1" t="s">
        <v>104</v>
      </c>
      <c r="CG2244" s="1" t="s">
        <v>104</v>
      </c>
      <c r="CH2244" s="1" t="s">
        <v>104</v>
      </c>
      <c r="CJ2244" s="1">
        <v>0</v>
      </c>
      <c r="CK2244" s="1">
        <v>0</v>
      </c>
      <c r="CL2244" s="1">
        <v>0</v>
      </c>
      <c r="CM2244" s="1" t="s">
        <v>104</v>
      </c>
    </row>
    <row r="2245" spans="1:91" ht="14.25" customHeight="1" x14ac:dyDescent="0.3">
      <c r="A2245" s="1" t="s">
        <v>11600</v>
      </c>
      <c r="B2245" s="1" t="s">
        <v>137</v>
      </c>
      <c r="E2245" s="1" t="s">
        <v>7238</v>
      </c>
      <c r="F2245" s="1" t="s">
        <v>95</v>
      </c>
      <c r="G2245" s="1" t="s">
        <v>11601</v>
      </c>
      <c r="H2245" s="1">
        <v>0</v>
      </c>
      <c r="I2245" s="1" t="s">
        <v>117</v>
      </c>
      <c r="L2245" s="1" t="s">
        <v>11602</v>
      </c>
      <c r="M2245" s="1" t="s">
        <v>2330</v>
      </c>
      <c r="N2245" s="1">
        <v>0</v>
      </c>
      <c r="O2245" s="1">
        <v>0</v>
      </c>
      <c r="P2245" s="1" t="s">
        <v>375</v>
      </c>
      <c r="Q2245" s="1" t="s">
        <v>184</v>
      </c>
      <c r="R2245" s="1" t="s">
        <v>11603</v>
      </c>
      <c r="S2245" s="1" t="s">
        <v>11566</v>
      </c>
      <c r="T2245" s="1">
        <v>1</v>
      </c>
      <c r="U2245" s="1">
        <v>1</v>
      </c>
      <c r="V2245" s="1">
        <v>1</v>
      </c>
      <c r="W2245" s="1">
        <v>0</v>
      </c>
      <c r="X2245" s="1">
        <v>0</v>
      </c>
      <c r="Y2245" s="1">
        <v>3</v>
      </c>
      <c r="Z2245" s="1">
        <v>3</v>
      </c>
      <c r="AA2245" s="1" t="s">
        <v>104</v>
      </c>
      <c r="AB2245" s="1" t="s">
        <v>104</v>
      </c>
      <c r="AC2245" s="1" t="s">
        <v>104</v>
      </c>
      <c r="AD2245" s="1">
        <v>2</v>
      </c>
      <c r="AE2245" s="1" t="s">
        <v>104</v>
      </c>
      <c r="AF2245" s="1" t="s">
        <v>104</v>
      </c>
      <c r="AG2245" s="1" t="s">
        <v>104</v>
      </c>
      <c r="AH2245" s="1">
        <v>3</v>
      </c>
      <c r="AI2245" s="1" t="s">
        <v>104</v>
      </c>
      <c r="AJ2245" s="1" t="s">
        <v>104</v>
      </c>
      <c r="AK2245" s="1" t="s">
        <v>104</v>
      </c>
      <c r="AL2245" s="1" t="s">
        <v>104</v>
      </c>
      <c r="AM2245" s="1" t="s">
        <v>104</v>
      </c>
      <c r="AO2245" s="1">
        <v>3</v>
      </c>
      <c r="AR2245" s="1">
        <v>0</v>
      </c>
      <c r="AS2245" s="1">
        <v>0</v>
      </c>
      <c r="AT2245" s="1">
        <v>0</v>
      </c>
      <c r="AU2245" s="1">
        <v>0</v>
      </c>
      <c r="AV2245" s="1">
        <v>0</v>
      </c>
      <c r="AW2245" s="1">
        <v>0</v>
      </c>
      <c r="AX2245" s="1">
        <v>0</v>
      </c>
      <c r="AY2245" s="1">
        <v>0</v>
      </c>
      <c r="AZ2245" s="1">
        <v>0</v>
      </c>
      <c r="BA2245" s="1">
        <v>0</v>
      </c>
      <c r="BB2245" s="1">
        <v>0</v>
      </c>
      <c r="BC2245" s="1">
        <v>0</v>
      </c>
      <c r="BD2245" s="1">
        <v>0</v>
      </c>
      <c r="BE2245" s="1">
        <v>0</v>
      </c>
      <c r="BF2245" s="1">
        <v>0</v>
      </c>
      <c r="BG2245" s="1">
        <v>0</v>
      </c>
      <c r="BH2245" s="1">
        <v>0</v>
      </c>
      <c r="BI2245" s="1">
        <v>0</v>
      </c>
      <c r="BJ2245" s="1">
        <v>0</v>
      </c>
      <c r="BK2245" s="1">
        <v>0</v>
      </c>
      <c r="BL2245" s="1">
        <v>0</v>
      </c>
      <c r="BM2245" s="1">
        <v>0</v>
      </c>
      <c r="BN2245" s="1">
        <v>0</v>
      </c>
      <c r="BO2245" s="1">
        <v>0</v>
      </c>
      <c r="BP2245" s="1">
        <v>0</v>
      </c>
      <c r="BQ2245" s="1" t="s">
        <v>104</v>
      </c>
      <c r="BR2245" s="1">
        <v>2363</v>
      </c>
      <c r="BS2245" s="1" t="s">
        <v>104</v>
      </c>
      <c r="BX2245" s="1">
        <v>0</v>
      </c>
      <c r="BY2245" s="1" t="s">
        <v>104</v>
      </c>
      <c r="BZ2245" s="1" t="s">
        <v>104</v>
      </c>
      <c r="CA2245" s="1" t="s">
        <v>104</v>
      </c>
      <c r="CB2245" s="1" t="s">
        <v>104</v>
      </c>
      <c r="CC2245" s="1" t="s">
        <v>104</v>
      </c>
      <c r="CD2245" s="1" t="s">
        <v>104</v>
      </c>
      <c r="CE2245" s="1" t="s">
        <v>104</v>
      </c>
      <c r="CF2245" s="1" t="s">
        <v>104</v>
      </c>
      <c r="CG2245" s="1" t="s">
        <v>104</v>
      </c>
      <c r="CH2245" s="1" t="s">
        <v>104</v>
      </c>
      <c r="CJ2245" s="1">
        <v>0</v>
      </c>
      <c r="CK2245" s="1">
        <v>0</v>
      </c>
      <c r="CL2245" s="1">
        <v>0</v>
      </c>
      <c r="CM2245" s="1" t="s">
        <v>104</v>
      </c>
    </row>
    <row r="2246" spans="1:91" ht="14.25" customHeight="1" x14ac:dyDescent="0.3">
      <c r="A2246" s="1" t="s">
        <v>11604</v>
      </c>
      <c r="B2246" s="1" t="s">
        <v>507</v>
      </c>
      <c r="C2246" s="1" t="s">
        <v>65</v>
      </c>
      <c r="D2246" s="1" t="s">
        <v>11556</v>
      </c>
      <c r="E2246" s="1" t="s">
        <v>11605</v>
      </c>
      <c r="F2246" s="1" t="s">
        <v>95</v>
      </c>
      <c r="G2246" s="1" t="s">
        <v>11606</v>
      </c>
      <c r="H2246" s="1">
        <v>0</v>
      </c>
      <c r="I2246" s="1" t="s">
        <v>157</v>
      </c>
      <c r="M2246" s="1" t="s">
        <v>11607</v>
      </c>
      <c r="N2246" s="1">
        <v>0</v>
      </c>
      <c r="O2246" s="1">
        <v>0</v>
      </c>
      <c r="P2246" s="1" t="s">
        <v>3283</v>
      </c>
      <c r="Q2246" s="1" t="s">
        <v>145</v>
      </c>
      <c r="R2246" s="1" t="s">
        <v>11608</v>
      </c>
      <c r="S2246" s="1" t="s">
        <v>11566</v>
      </c>
      <c r="T2246" s="1">
        <v>1</v>
      </c>
      <c r="U2246" s="1">
        <v>1</v>
      </c>
      <c r="V2246" s="1">
        <v>1</v>
      </c>
      <c r="W2246" s="1">
        <v>0</v>
      </c>
      <c r="X2246" s="1">
        <v>0</v>
      </c>
      <c r="Y2246" s="1">
        <v>6</v>
      </c>
      <c r="Z2246" s="1">
        <v>6</v>
      </c>
      <c r="AA2246" s="1" t="s">
        <v>104</v>
      </c>
      <c r="AB2246" s="1" t="s">
        <v>104</v>
      </c>
      <c r="AC2246" s="1" t="s">
        <v>104</v>
      </c>
      <c r="AD2246" s="1">
        <v>5</v>
      </c>
      <c r="AE2246" s="1" t="s">
        <v>104</v>
      </c>
      <c r="AF2246" s="1" t="s">
        <v>104</v>
      </c>
      <c r="AG2246" s="1" t="s">
        <v>104</v>
      </c>
      <c r="AH2246" s="1" t="s">
        <v>104</v>
      </c>
      <c r="AI2246" s="1" t="s">
        <v>104</v>
      </c>
      <c r="AJ2246" s="1" t="s">
        <v>104</v>
      </c>
      <c r="AK2246" s="1" t="s">
        <v>104</v>
      </c>
      <c r="AL2246" s="1" t="s">
        <v>104</v>
      </c>
      <c r="AM2246" s="1" t="s">
        <v>104</v>
      </c>
      <c r="AO2246" s="1">
        <v>6</v>
      </c>
      <c r="AR2246" s="1">
        <v>0</v>
      </c>
      <c r="AS2246" s="1">
        <v>0</v>
      </c>
      <c r="AT2246" s="1">
        <v>0</v>
      </c>
      <c r="AU2246" s="1">
        <v>0</v>
      </c>
      <c r="AV2246" s="1">
        <v>0</v>
      </c>
      <c r="AW2246" s="1">
        <v>0</v>
      </c>
      <c r="AX2246" s="1">
        <v>0</v>
      </c>
      <c r="AY2246" s="1">
        <v>0</v>
      </c>
      <c r="AZ2246" s="1">
        <v>0</v>
      </c>
      <c r="BA2246" s="1">
        <v>0</v>
      </c>
      <c r="BB2246" s="1">
        <v>0</v>
      </c>
      <c r="BC2246" s="1">
        <v>0</v>
      </c>
      <c r="BD2246" s="1">
        <v>0</v>
      </c>
      <c r="BE2246" s="1">
        <v>0</v>
      </c>
      <c r="BF2246" s="1">
        <v>0</v>
      </c>
      <c r="BG2246" s="1">
        <v>0</v>
      </c>
      <c r="BH2246" s="1">
        <v>0</v>
      </c>
      <c r="BI2246" s="1">
        <v>0</v>
      </c>
      <c r="BJ2246" s="1">
        <v>0</v>
      </c>
      <c r="BK2246" s="1">
        <v>0</v>
      </c>
      <c r="BL2246" s="1">
        <v>0</v>
      </c>
      <c r="BM2246" s="1">
        <v>0</v>
      </c>
      <c r="BN2246" s="1">
        <v>1</v>
      </c>
      <c r="BO2246" s="1">
        <v>0</v>
      </c>
      <c r="BP2246" s="1">
        <v>0</v>
      </c>
      <c r="BQ2246" s="1" t="s">
        <v>104</v>
      </c>
      <c r="BR2246" s="1">
        <v>2364</v>
      </c>
      <c r="BS2246" s="1" t="s">
        <v>104</v>
      </c>
      <c r="BX2246" s="1">
        <v>0</v>
      </c>
      <c r="BY2246" s="1" t="s">
        <v>104</v>
      </c>
      <c r="BZ2246" s="1">
        <v>5</v>
      </c>
      <c r="CA2246" s="1" t="s">
        <v>104</v>
      </c>
      <c r="CB2246" s="1" t="s">
        <v>104</v>
      </c>
      <c r="CC2246" s="1">
        <v>5</v>
      </c>
      <c r="CD2246" s="1" t="s">
        <v>104</v>
      </c>
      <c r="CE2246" s="1">
        <v>5</v>
      </c>
      <c r="CF2246" s="1" t="s">
        <v>104</v>
      </c>
      <c r="CG2246" s="1" t="s">
        <v>104</v>
      </c>
      <c r="CH2246" s="1" t="s">
        <v>104</v>
      </c>
      <c r="CJ2246" s="1">
        <v>0</v>
      </c>
      <c r="CK2246" s="1">
        <v>0</v>
      </c>
      <c r="CL2246" s="1">
        <v>0</v>
      </c>
      <c r="CM2246" s="1" t="s">
        <v>104</v>
      </c>
    </row>
    <row r="2247" spans="1:91" ht="14.25" customHeight="1" x14ac:dyDescent="0.3">
      <c r="A2247" s="1" t="s">
        <v>11609</v>
      </c>
      <c r="B2247" s="1" t="s">
        <v>162</v>
      </c>
      <c r="E2247" s="1" t="s">
        <v>11610</v>
      </c>
      <c r="F2247" s="1" t="s">
        <v>255</v>
      </c>
      <c r="G2247" s="1" t="s">
        <v>116</v>
      </c>
      <c r="H2247" s="1">
        <v>0</v>
      </c>
      <c r="I2247" s="1" t="s">
        <v>128</v>
      </c>
      <c r="L2247" s="1" t="s">
        <v>2630</v>
      </c>
      <c r="M2247" s="1" t="s">
        <v>201</v>
      </c>
      <c r="N2247" s="1">
        <v>0</v>
      </c>
      <c r="O2247" s="1">
        <v>0</v>
      </c>
      <c r="P2247" s="1" t="s">
        <v>148</v>
      </c>
      <c r="Q2247" s="1" t="s">
        <v>149</v>
      </c>
      <c r="R2247" s="1" t="s">
        <v>11611</v>
      </c>
      <c r="S2247" s="1" t="s">
        <v>11612</v>
      </c>
      <c r="T2247" s="1">
        <v>1</v>
      </c>
      <c r="U2247" s="1">
        <v>1</v>
      </c>
      <c r="V2247" s="1">
        <v>0</v>
      </c>
      <c r="W2247" s="1">
        <v>0</v>
      </c>
      <c r="X2247" s="1">
        <v>0</v>
      </c>
      <c r="Y2247" s="1">
        <v>6</v>
      </c>
      <c r="Z2247" s="1">
        <v>6</v>
      </c>
      <c r="AA2247" s="1">
        <v>6</v>
      </c>
      <c r="AB2247" s="1" t="s">
        <v>104</v>
      </c>
      <c r="AC2247" s="1" t="s">
        <v>104</v>
      </c>
      <c r="AD2247" s="1" t="s">
        <v>104</v>
      </c>
      <c r="AE2247" s="1" t="s">
        <v>104</v>
      </c>
      <c r="AF2247" s="1" t="s">
        <v>104</v>
      </c>
      <c r="AG2247" s="1" t="s">
        <v>104</v>
      </c>
      <c r="AH2247" s="1" t="s">
        <v>104</v>
      </c>
      <c r="AI2247" s="1">
        <v>6</v>
      </c>
      <c r="AJ2247" s="1">
        <v>6</v>
      </c>
      <c r="AK2247" s="1" t="s">
        <v>104</v>
      </c>
      <c r="AL2247" s="1" t="s">
        <v>104</v>
      </c>
      <c r="AM2247" s="1" t="s">
        <v>104</v>
      </c>
      <c r="AO2247" s="1">
        <v>6</v>
      </c>
      <c r="AR2247" s="1">
        <v>0</v>
      </c>
      <c r="AS2247" s="1">
        <v>0</v>
      </c>
      <c r="AT2247" s="1">
        <v>0</v>
      </c>
      <c r="AU2247" s="1">
        <v>0</v>
      </c>
      <c r="AV2247" s="1">
        <v>0</v>
      </c>
      <c r="AW2247" s="1">
        <v>0</v>
      </c>
      <c r="AX2247" s="1">
        <v>0</v>
      </c>
      <c r="AY2247" s="1">
        <v>0</v>
      </c>
      <c r="AZ2247" s="1">
        <v>0</v>
      </c>
      <c r="BA2247" s="1">
        <v>0</v>
      </c>
      <c r="BB2247" s="1">
        <v>0</v>
      </c>
      <c r="BC2247" s="1">
        <v>0</v>
      </c>
      <c r="BD2247" s="1">
        <v>0</v>
      </c>
      <c r="BE2247" s="1">
        <v>0</v>
      </c>
      <c r="BF2247" s="1">
        <v>0</v>
      </c>
      <c r="BG2247" s="1">
        <v>0</v>
      </c>
      <c r="BH2247" s="1">
        <v>0</v>
      </c>
      <c r="BI2247" s="1">
        <v>0</v>
      </c>
      <c r="BJ2247" s="1">
        <v>0</v>
      </c>
      <c r="BK2247" s="1">
        <v>0</v>
      </c>
      <c r="BL2247" s="1">
        <v>0</v>
      </c>
      <c r="BM2247" s="1">
        <v>0</v>
      </c>
      <c r="BN2247" s="1">
        <v>0</v>
      </c>
      <c r="BO2247" s="1">
        <v>0</v>
      </c>
      <c r="BP2247" s="1">
        <v>0</v>
      </c>
      <c r="BQ2247" s="1" t="s">
        <v>104</v>
      </c>
      <c r="BR2247" s="1">
        <v>2365</v>
      </c>
      <c r="BS2247" s="1" t="s">
        <v>104</v>
      </c>
      <c r="BX2247" s="1">
        <v>0</v>
      </c>
      <c r="BY2247" s="1" t="s">
        <v>104</v>
      </c>
      <c r="BZ2247" s="1" t="s">
        <v>104</v>
      </c>
      <c r="CA2247" s="1" t="s">
        <v>104</v>
      </c>
      <c r="CB2247" s="1" t="s">
        <v>104</v>
      </c>
      <c r="CC2247" s="1" t="s">
        <v>104</v>
      </c>
      <c r="CD2247" s="1" t="s">
        <v>104</v>
      </c>
      <c r="CE2247" s="1" t="s">
        <v>104</v>
      </c>
      <c r="CF2247" s="1" t="s">
        <v>104</v>
      </c>
      <c r="CG2247" s="1" t="s">
        <v>104</v>
      </c>
      <c r="CH2247" s="1" t="s">
        <v>104</v>
      </c>
      <c r="CJ2247" s="1">
        <v>0</v>
      </c>
      <c r="CK2247" s="1">
        <v>0</v>
      </c>
      <c r="CL2247" s="1">
        <v>0</v>
      </c>
      <c r="CM2247" s="1" t="s">
        <v>104</v>
      </c>
    </row>
    <row r="2248" spans="1:91" ht="14.25" customHeight="1" x14ac:dyDescent="0.3">
      <c r="A2248" s="1" t="s">
        <v>11613</v>
      </c>
      <c r="B2248" s="1" t="s">
        <v>137</v>
      </c>
      <c r="E2248" s="1" t="s">
        <v>11614</v>
      </c>
      <c r="F2248" s="1" t="s">
        <v>95</v>
      </c>
      <c r="G2248" s="1" t="s">
        <v>127</v>
      </c>
      <c r="H2248" s="1">
        <v>0</v>
      </c>
      <c r="I2248" s="1" t="s">
        <v>97</v>
      </c>
      <c r="L2248" s="1" t="s">
        <v>11615</v>
      </c>
      <c r="M2248" s="1" t="s">
        <v>201</v>
      </c>
      <c r="N2248" s="1">
        <v>0</v>
      </c>
      <c r="O2248" s="1">
        <v>0</v>
      </c>
      <c r="P2248" s="1" t="s">
        <v>148</v>
      </c>
      <c r="Q2248" s="1" t="s">
        <v>149</v>
      </c>
      <c r="R2248" s="1" t="s">
        <v>11616</v>
      </c>
      <c r="S2248" s="1" t="s">
        <v>11617</v>
      </c>
      <c r="T2248" s="1">
        <v>1</v>
      </c>
      <c r="U2248" s="1">
        <v>1</v>
      </c>
      <c r="V2248" s="1">
        <v>0</v>
      </c>
      <c r="W2248" s="1">
        <v>0</v>
      </c>
      <c r="X2248" s="1">
        <v>1</v>
      </c>
      <c r="Y2248" s="1">
        <v>7</v>
      </c>
      <c r="Z2248" s="1">
        <v>7</v>
      </c>
      <c r="AA2248" s="1" t="s">
        <v>104</v>
      </c>
      <c r="AB2248" s="1" t="s">
        <v>104</v>
      </c>
      <c r="AC2248" s="1" t="s">
        <v>104</v>
      </c>
      <c r="AD2248" s="1" t="s">
        <v>104</v>
      </c>
      <c r="AE2248" s="1" t="s">
        <v>104</v>
      </c>
      <c r="AF2248" s="1" t="s">
        <v>104</v>
      </c>
      <c r="AG2248" s="1" t="s">
        <v>104</v>
      </c>
      <c r="AH2248" s="1" t="s">
        <v>104</v>
      </c>
      <c r="AI2248" s="1" t="s">
        <v>104</v>
      </c>
      <c r="AJ2248" s="1" t="s">
        <v>104</v>
      </c>
      <c r="AK2248" s="1" t="s">
        <v>104</v>
      </c>
      <c r="AL2248" s="1" t="s">
        <v>104</v>
      </c>
      <c r="AM2248" s="1" t="s">
        <v>104</v>
      </c>
      <c r="AO2248" s="1">
        <v>7</v>
      </c>
      <c r="AR2248" s="1">
        <v>0</v>
      </c>
      <c r="AS2248" s="1">
        <v>0</v>
      </c>
      <c r="AT2248" s="1">
        <v>0</v>
      </c>
      <c r="AU2248" s="1">
        <v>0</v>
      </c>
      <c r="AV2248" s="1">
        <v>0</v>
      </c>
      <c r="AW2248" s="1">
        <v>0</v>
      </c>
      <c r="AX2248" s="1">
        <v>0</v>
      </c>
      <c r="AY2248" s="1">
        <v>0</v>
      </c>
      <c r="AZ2248" s="1">
        <v>0</v>
      </c>
      <c r="BA2248" s="1">
        <v>0</v>
      </c>
      <c r="BB2248" s="1">
        <v>0</v>
      </c>
      <c r="BC2248" s="1">
        <v>0</v>
      </c>
      <c r="BD2248" s="1">
        <v>0</v>
      </c>
      <c r="BE2248" s="1">
        <v>0</v>
      </c>
      <c r="BF2248" s="1">
        <v>0</v>
      </c>
      <c r="BG2248" s="1">
        <v>0</v>
      </c>
      <c r="BH2248" s="1">
        <v>0</v>
      </c>
      <c r="BI2248" s="1">
        <v>0</v>
      </c>
      <c r="BJ2248" s="1">
        <v>0</v>
      </c>
      <c r="BK2248" s="1">
        <v>0</v>
      </c>
      <c r="BL2248" s="1">
        <v>0</v>
      </c>
      <c r="BM2248" s="1">
        <v>0</v>
      </c>
      <c r="BN2248" s="1">
        <v>0</v>
      </c>
      <c r="BO2248" s="1">
        <v>0</v>
      </c>
      <c r="BP2248" s="1">
        <v>0</v>
      </c>
      <c r="BQ2248" s="1" t="s">
        <v>104</v>
      </c>
      <c r="BR2248" s="1">
        <v>2366</v>
      </c>
      <c r="BS2248" s="1" t="s">
        <v>104</v>
      </c>
      <c r="BX2248" s="1">
        <v>0</v>
      </c>
      <c r="BY2248" s="1" t="s">
        <v>104</v>
      </c>
      <c r="BZ2248" s="1">
        <v>8</v>
      </c>
      <c r="CA2248" s="1" t="s">
        <v>104</v>
      </c>
      <c r="CB2248" s="1" t="s">
        <v>104</v>
      </c>
      <c r="CC2248" s="1" t="s">
        <v>104</v>
      </c>
      <c r="CD2248" s="1" t="s">
        <v>104</v>
      </c>
      <c r="CE2248" s="1" t="s">
        <v>104</v>
      </c>
      <c r="CF2248" s="1" t="s">
        <v>104</v>
      </c>
      <c r="CG2248" s="1" t="s">
        <v>104</v>
      </c>
      <c r="CH2248" s="1" t="s">
        <v>104</v>
      </c>
      <c r="CJ2248" s="1">
        <v>0</v>
      </c>
      <c r="CK2248" s="1">
        <v>0</v>
      </c>
      <c r="CL2248" s="1">
        <v>0</v>
      </c>
      <c r="CM2248" s="1" t="s">
        <v>104</v>
      </c>
    </row>
    <row r="2249" spans="1:91" ht="14.25" customHeight="1" x14ac:dyDescent="0.3">
      <c r="A2249" s="1" t="s">
        <v>11618</v>
      </c>
      <c r="B2249" s="1" t="s">
        <v>137</v>
      </c>
      <c r="E2249" s="1" t="s">
        <v>11619</v>
      </c>
      <c r="F2249" s="1" t="s">
        <v>255</v>
      </c>
      <c r="G2249" s="1" t="s">
        <v>11620</v>
      </c>
      <c r="H2249" s="1">
        <v>0</v>
      </c>
      <c r="I2249" s="1" t="s">
        <v>128</v>
      </c>
      <c r="K2249" s="1" t="s">
        <v>11621</v>
      </c>
      <c r="M2249" s="1" t="s">
        <v>4292</v>
      </c>
      <c r="N2249" s="1">
        <v>0</v>
      </c>
      <c r="O2249" s="1">
        <v>0</v>
      </c>
      <c r="P2249" s="1" t="s">
        <v>148</v>
      </c>
      <c r="Q2249" s="1" t="s">
        <v>149</v>
      </c>
      <c r="R2249" s="1" t="s">
        <v>11622</v>
      </c>
      <c r="S2249" s="1" t="s">
        <v>11617</v>
      </c>
      <c r="T2249" s="1">
        <v>1</v>
      </c>
      <c r="U2249" s="1">
        <v>1</v>
      </c>
      <c r="V2249" s="1">
        <v>0</v>
      </c>
      <c r="W2249" s="1">
        <v>0</v>
      </c>
      <c r="X2249" s="1">
        <v>0</v>
      </c>
      <c r="Y2249" s="1">
        <v>3</v>
      </c>
      <c r="Z2249" s="1">
        <v>3</v>
      </c>
      <c r="AA2249" s="1" t="s">
        <v>104</v>
      </c>
      <c r="AB2249" s="1" t="s">
        <v>104</v>
      </c>
      <c r="AC2249" s="1" t="s">
        <v>104</v>
      </c>
      <c r="AD2249" s="1">
        <v>4</v>
      </c>
      <c r="AE2249" s="1" t="s">
        <v>104</v>
      </c>
      <c r="AF2249" s="1" t="s">
        <v>104</v>
      </c>
      <c r="AG2249" s="1" t="s">
        <v>104</v>
      </c>
      <c r="AH2249" s="1">
        <v>4</v>
      </c>
      <c r="AI2249" s="1" t="s">
        <v>104</v>
      </c>
      <c r="AJ2249" s="1" t="s">
        <v>104</v>
      </c>
      <c r="AK2249" s="1" t="s">
        <v>104</v>
      </c>
      <c r="AL2249" s="1">
        <v>3</v>
      </c>
      <c r="AM2249" s="1" t="s">
        <v>104</v>
      </c>
      <c r="AO2249" s="1">
        <v>3</v>
      </c>
      <c r="AR2249" s="1">
        <v>0</v>
      </c>
      <c r="AS2249" s="1">
        <v>0</v>
      </c>
      <c r="AT2249" s="1">
        <v>0</v>
      </c>
      <c r="AU2249" s="1">
        <v>0</v>
      </c>
      <c r="AV2249" s="1">
        <v>0</v>
      </c>
      <c r="AW2249" s="1">
        <v>0</v>
      </c>
      <c r="AX2249" s="1">
        <v>0</v>
      </c>
      <c r="AY2249" s="1">
        <v>0</v>
      </c>
      <c r="AZ2249" s="1">
        <v>0</v>
      </c>
      <c r="BA2249" s="1">
        <v>0</v>
      </c>
      <c r="BB2249" s="1">
        <v>0</v>
      </c>
      <c r="BC2249" s="1">
        <v>0</v>
      </c>
      <c r="BD2249" s="1">
        <v>0</v>
      </c>
      <c r="BE2249" s="1">
        <v>0</v>
      </c>
      <c r="BF2249" s="1">
        <v>0</v>
      </c>
      <c r="BG2249" s="1">
        <v>0</v>
      </c>
      <c r="BH2249" s="1">
        <v>0</v>
      </c>
      <c r="BI2249" s="1">
        <v>0</v>
      </c>
      <c r="BJ2249" s="1">
        <v>0</v>
      </c>
      <c r="BK2249" s="1">
        <v>0</v>
      </c>
      <c r="BL2249" s="1">
        <v>0</v>
      </c>
      <c r="BM2249" s="1">
        <v>0</v>
      </c>
      <c r="BN2249" s="1">
        <v>0</v>
      </c>
      <c r="BO2249" s="1">
        <v>0</v>
      </c>
      <c r="BP2249" s="1">
        <v>0</v>
      </c>
      <c r="BQ2249" s="1" t="s">
        <v>104</v>
      </c>
      <c r="BR2249" s="1">
        <v>2367</v>
      </c>
      <c r="BS2249" s="1" t="s">
        <v>104</v>
      </c>
      <c r="BX2249" s="1">
        <v>0</v>
      </c>
      <c r="BY2249" s="1">
        <v>4</v>
      </c>
      <c r="BZ2249" s="1" t="s">
        <v>104</v>
      </c>
      <c r="CA2249" s="1" t="s">
        <v>104</v>
      </c>
      <c r="CB2249" s="1" t="s">
        <v>104</v>
      </c>
      <c r="CC2249" s="1" t="s">
        <v>104</v>
      </c>
      <c r="CD2249" s="1">
        <v>4</v>
      </c>
      <c r="CE2249" s="1" t="s">
        <v>104</v>
      </c>
      <c r="CF2249" s="1" t="s">
        <v>104</v>
      </c>
      <c r="CG2249" s="1" t="s">
        <v>104</v>
      </c>
      <c r="CH2249" s="1" t="s">
        <v>104</v>
      </c>
      <c r="CJ2249" s="1">
        <v>0</v>
      </c>
      <c r="CK2249" s="1">
        <v>0</v>
      </c>
      <c r="CL2249" s="1">
        <v>0</v>
      </c>
      <c r="CM2249" s="1" t="s">
        <v>104</v>
      </c>
    </row>
    <row r="2250" spans="1:91" ht="14.25" customHeight="1" x14ac:dyDescent="0.3">
      <c r="A2250" s="1" t="s">
        <v>11623</v>
      </c>
      <c r="B2250" s="1" t="s">
        <v>162</v>
      </c>
      <c r="E2250" s="1" t="s">
        <v>11624</v>
      </c>
      <c r="F2250" s="1" t="s">
        <v>95</v>
      </c>
      <c r="G2250" s="1" t="s">
        <v>116</v>
      </c>
      <c r="H2250" s="1">
        <v>0</v>
      </c>
      <c r="I2250" s="1" t="s">
        <v>117</v>
      </c>
      <c r="K2250" s="1" t="s">
        <v>1254</v>
      </c>
      <c r="M2250" s="1" t="s">
        <v>5119</v>
      </c>
      <c r="N2250" s="1">
        <v>0</v>
      </c>
      <c r="O2250" s="1">
        <v>0</v>
      </c>
      <c r="P2250" s="1" t="s">
        <v>11625</v>
      </c>
      <c r="Q2250" s="1" t="s">
        <v>6424</v>
      </c>
      <c r="R2250" s="1" t="s">
        <v>11626</v>
      </c>
      <c r="S2250" s="1" t="s">
        <v>11617</v>
      </c>
      <c r="T2250" s="1">
        <v>1</v>
      </c>
      <c r="U2250" s="1">
        <v>1</v>
      </c>
      <c r="V2250" s="1">
        <v>0</v>
      </c>
      <c r="W2250" s="1">
        <v>0</v>
      </c>
      <c r="X2250" s="1">
        <v>0</v>
      </c>
      <c r="Y2250" s="1">
        <v>5</v>
      </c>
      <c r="Z2250" s="1">
        <v>5</v>
      </c>
      <c r="AA2250" s="1" t="s">
        <v>104</v>
      </c>
      <c r="AB2250" s="1" t="s">
        <v>104</v>
      </c>
      <c r="AC2250" s="1" t="s">
        <v>104</v>
      </c>
      <c r="AD2250" s="1" t="s">
        <v>104</v>
      </c>
      <c r="AE2250" s="1">
        <v>4</v>
      </c>
      <c r="AF2250" s="1" t="s">
        <v>104</v>
      </c>
      <c r="AG2250" s="1">
        <v>5</v>
      </c>
      <c r="AH2250" s="1" t="s">
        <v>104</v>
      </c>
      <c r="AI2250" s="1">
        <v>5</v>
      </c>
      <c r="AJ2250" s="1" t="s">
        <v>104</v>
      </c>
      <c r="AK2250" s="1">
        <v>4</v>
      </c>
      <c r="AL2250" s="1">
        <v>5</v>
      </c>
      <c r="AM2250" s="1" t="s">
        <v>104</v>
      </c>
      <c r="AO2250" s="1">
        <v>5</v>
      </c>
      <c r="AR2250" s="1">
        <v>0</v>
      </c>
      <c r="AS2250" s="1">
        <v>0</v>
      </c>
      <c r="AT2250" s="1">
        <v>0</v>
      </c>
      <c r="AU2250" s="1">
        <v>0</v>
      </c>
      <c r="AV2250" s="1">
        <v>0</v>
      </c>
      <c r="AW2250" s="1">
        <v>0</v>
      </c>
      <c r="AX2250" s="1">
        <v>0</v>
      </c>
      <c r="AY2250" s="1">
        <v>0</v>
      </c>
      <c r="AZ2250" s="1">
        <v>0</v>
      </c>
      <c r="BA2250" s="1">
        <v>0</v>
      </c>
      <c r="BB2250" s="1">
        <v>0</v>
      </c>
      <c r="BC2250" s="1">
        <v>0</v>
      </c>
      <c r="BD2250" s="1">
        <v>0</v>
      </c>
      <c r="BE2250" s="1">
        <v>0</v>
      </c>
      <c r="BF2250" s="1">
        <v>0</v>
      </c>
      <c r="BG2250" s="1">
        <v>0</v>
      </c>
      <c r="BH2250" s="1">
        <v>0</v>
      </c>
      <c r="BI2250" s="1">
        <v>0</v>
      </c>
      <c r="BJ2250" s="1">
        <v>0</v>
      </c>
      <c r="BK2250" s="1">
        <v>0</v>
      </c>
      <c r="BL2250" s="1">
        <v>0</v>
      </c>
      <c r="BM2250" s="1">
        <v>0</v>
      </c>
      <c r="BN2250" s="1">
        <v>0</v>
      </c>
      <c r="BO2250" s="1">
        <v>0</v>
      </c>
      <c r="BP2250" s="1">
        <v>0</v>
      </c>
      <c r="BQ2250" s="1" t="s">
        <v>104</v>
      </c>
      <c r="BR2250" s="1">
        <v>2368</v>
      </c>
      <c r="BS2250" s="1" t="s">
        <v>104</v>
      </c>
      <c r="BX2250" s="1">
        <v>0</v>
      </c>
      <c r="BY2250" s="1">
        <v>4</v>
      </c>
      <c r="BZ2250" s="1">
        <v>5</v>
      </c>
      <c r="CA2250" s="1" t="s">
        <v>104</v>
      </c>
      <c r="CB2250" s="1">
        <v>4</v>
      </c>
      <c r="CC2250" s="1" t="s">
        <v>104</v>
      </c>
      <c r="CD2250" s="1" t="s">
        <v>104</v>
      </c>
      <c r="CE2250" s="1">
        <v>5</v>
      </c>
      <c r="CF2250" s="1" t="s">
        <v>104</v>
      </c>
      <c r="CG2250" s="1" t="s">
        <v>104</v>
      </c>
      <c r="CH2250" s="1" t="s">
        <v>104</v>
      </c>
      <c r="CJ2250" s="1">
        <v>0</v>
      </c>
      <c r="CK2250" s="1">
        <v>0</v>
      </c>
      <c r="CL2250" s="1">
        <v>0</v>
      </c>
      <c r="CM2250" s="1">
        <v>5</v>
      </c>
    </row>
    <row r="2251" spans="1:91" ht="14.25" customHeight="1" x14ac:dyDescent="0.3">
      <c r="A2251" s="1" t="s">
        <v>11627</v>
      </c>
      <c r="B2251" s="1" t="s">
        <v>92</v>
      </c>
      <c r="C2251" s="1" t="s">
        <v>93</v>
      </c>
      <c r="E2251" s="1" t="s">
        <v>11628</v>
      </c>
      <c r="F2251" s="1" t="s">
        <v>191</v>
      </c>
      <c r="G2251" s="1" t="s">
        <v>11629</v>
      </c>
      <c r="H2251" s="1">
        <v>0</v>
      </c>
      <c r="I2251" s="1" t="s">
        <v>705</v>
      </c>
      <c r="K2251" s="1" t="s">
        <v>11630</v>
      </c>
      <c r="M2251" s="1" t="s">
        <v>119</v>
      </c>
      <c r="N2251" s="1">
        <v>0</v>
      </c>
      <c r="O2251" s="1">
        <v>0</v>
      </c>
      <c r="P2251" s="1" t="s">
        <v>100</v>
      </c>
      <c r="Q2251" s="1" t="s">
        <v>101</v>
      </c>
      <c r="R2251" s="1" t="s">
        <v>11631</v>
      </c>
      <c r="S2251" s="1" t="s">
        <v>11617</v>
      </c>
      <c r="T2251" s="1">
        <v>1</v>
      </c>
      <c r="U2251" s="1">
        <v>1</v>
      </c>
      <c r="V2251" s="1">
        <v>1</v>
      </c>
      <c r="W2251" s="1">
        <v>0</v>
      </c>
      <c r="X2251" s="1">
        <v>0</v>
      </c>
      <c r="Y2251" s="1">
        <v>4</v>
      </c>
      <c r="Z2251" s="1">
        <v>4</v>
      </c>
      <c r="AA2251" s="1" t="s">
        <v>104</v>
      </c>
      <c r="AB2251" s="1" t="s">
        <v>104</v>
      </c>
      <c r="AC2251" s="1" t="s">
        <v>104</v>
      </c>
      <c r="AD2251" s="1">
        <v>4</v>
      </c>
      <c r="AE2251" s="1" t="s">
        <v>104</v>
      </c>
      <c r="AF2251" s="1" t="s">
        <v>104</v>
      </c>
      <c r="AG2251" s="1" t="s">
        <v>104</v>
      </c>
      <c r="AH2251" s="1">
        <v>4</v>
      </c>
      <c r="AI2251" s="1" t="s">
        <v>104</v>
      </c>
      <c r="AJ2251" s="1" t="s">
        <v>104</v>
      </c>
      <c r="AK2251" s="1" t="s">
        <v>104</v>
      </c>
      <c r="AL2251" s="1" t="s">
        <v>104</v>
      </c>
      <c r="AM2251" s="1" t="s">
        <v>104</v>
      </c>
      <c r="AO2251" s="1">
        <v>4</v>
      </c>
      <c r="AR2251" s="1">
        <v>0</v>
      </c>
      <c r="AS2251" s="1">
        <v>0</v>
      </c>
      <c r="AT2251" s="1">
        <v>0</v>
      </c>
      <c r="AU2251" s="1">
        <v>0</v>
      </c>
      <c r="AV2251" s="1">
        <v>0</v>
      </c>
      <c r="AW2251" s="1">
        <v>0</v>
      </c>
      <c r="AX2251" s="1">
        <v>0</v>
      </c>
      <c r="AY2251" s="1">
        <v>0</v>
      </c>
      <c r="AZ2251" s="1">
        <v>0</v>
      </c>
      <c r="BA2251" s="1">
        <v>0</v>
      </c>
      <c r="BB2251" s="1">
        <v>0</v>
      </c>
      <c r="BC2251" s="1">
        <v>0</v>
      </c>
      <c r="BD2251" s="1">
        <v>0</v>
      </c>
      <c r="BE2251" s="1">
        <v>0</v>
      </c>
      <c r="BF2251" s="1">
        <v>0</v>
      </c>
      <c r="BG2251" s="1">
        <v>0</v>
      </c>
      <c r="BH2251" s="1">
        <v>0</v>
      </c>
      <c r="BI2251" s="1">
        <v>0</v>
      </c>
      <c r="BJ2251" s="1">
        <v>0</v>
      </c>
      <c r="BK2251" s="1">
        <v>0</v>
      </c>
      <c r="BL2251" s="1">
        <v>0</v>
      </c>
      <c r="BM2251" s="1">
        <v>0</v>
      </c>
      <c r="BN2251" s="1">
        <v>0</v>
      </c>
      <c r="BO2251" s="1">
        <v>0</v>
      </c>
      <c r="BP2251" s="1">
        <v>0</v>
      </c>
      <c r="BQ2251" s="1" t="s">
        <v>104</v>
      </c>
      <c r="BR2251" s="1">
        <v>2369</v>
      </c>
      <c r="BS2251" s="1" t="s">
        <v>104</v>
      </c>
      <c r="BX2251" s="1">
        <v>0</v>
      </c>
      <c r="BY2251" s="1" t="s">
        <v>104</v>
      </c>
      <c r="BZ2251" s="1" t="s">
        <v>104</v>
      </c>
      <c r="CA2251" s="1">
        <v>4</v>
      </c>
      <c r="CB2251" s="1">
        <v>4</v>
      </c>
      <c r="CC2251" s="1" t="s">
        <v>104</v>
      </c>
      <c r="CD2251" s="1" t="s">
        <v>104</v>
      </c>
      <c r="CE2251" s="1">
        <v>3</v>
      </c>
      <c r="CF2251" s="1" t="s">
        <v>104</v>
      </c>
      <c r="CG2251" s="1" t="s">
        <v>104</v>
      </c>
      <c r="CH2251" s="1" t="s">
        <v>104</v>
      </c>
      <c r="CJ2251" s="1">
        <v>0</v>
      </c>
      <c r="CK2251" s="1">
        <v>0</v>
      </c>
      <c r="CL2251" s="1">
        <v>0</v>
      </c>
      <c r="CM2251" s="1" t="s">
        <v>104</v>
      </c>
    </row>
    <row r="2252" spans="1:91" ht="14.25" customHeight="1" x14ac:dyDescent="0.3">
      <c r="A2252" s="1" t="s">
        <v>11632</v>
      </c>
      <c r="B2252" s="1" t="s">
        <v>92</v>
      </c>
      <c r="C2252" s="1" t="s">
        <v>93</v>
      </c>
      <c r="D2252" s="1" t="s">
        <v>51</v>
      </c>
      <c r="E2252" s="1" t="s">
        <v>4886</v>
      </c>
      <c r="F2252" s="1" t="s">
        <v>95</v>
      </c>
      <c r="G2252" s="1" t="s">
        <v>11633</v>
      </c>
      <c r="H2252" s="1">
        <v>0</v>
      </c>
      <c r="I2252" s="1" t="s">
        <v>117</v>
      </c>
      <c r="K2252" s="1" t="s">
        <v>11634</v>
      </c>
      <c r="M2252" s="1" t="s">
        <v>119</v>
      </c>
      <c r="N2252" s="1">
        <v>0</v>
      </c>
      <c r="O2252" s="1">
        <v>0</v>
      </c>
      <c r="P2252" s="1" t="s">
        <v>100</v>
      </c>
      <c r="Q2252" s="1" t="s">
        <v>101</v>
      </c>
      <c r="R2252" s="1" t="s">
        <v>11635</v>
      </c>
      <c r="S2252" s="1" t="s">
        <v>11617</v>
      </c>
      <c r="T2252" s="1">
        <v>1</v>
      </c>
      <c r="U2252" s="1">
        <v>1</v>
      </c>
      <c r="V2252" s="1">
        <v>1</v>
      </c>
      <c r="W2252" s="1">
        <v>0</v>
      </c>
      <c r="X2252" s="1">
        <v>0</v>
      </c>
      <c r="Y2252" s="1">
        <v>1</v>
      </c>
      <c r="Z2252" s="1">
        <v>1</v>
      </c>
      <c r="AA2252" s="1" t="s">
        <v>104</v>
      </c>
      <c r="AB2252" s="1">
        <v>1</v>
      </c>
      <c r="AC2252" s="1" t="s">
        <v>104</v>
      </c>
      <c r="AD2252" s="1" t="s">
        <v>104</v>
      </c>
      <c r="AE2252" s="1" t="s">
        <v>104</v>
      </c>
      <c r="AF2252" s="1" t="s">
        <v>104</v>
      </c>
      <c r="AG2252" s="1" t="s">
        <v>104</v>
      </c>
      <c r="AH2252" s="1" t="s">
        <v>104</v>
      </c>
      <c r="AI2252" s="1" t="s">
        <v>104</v>
      </c>
      <c r="AJ2252" s="1" t="s">
        <v>104</v>
      </c>
      <c r="AK2252" s="1" t="s">
        <v>104</v>
      </c>
      <c r="AL2252" s="1" t="s">
        <v>104</v>
      </c>
      <c r="AM2252" s="1" t="s">
        <v>104</v>
      </c>
      <c r="AO2252" s="1">
        <v>1</v>
      </c>
      <c r="AR2252" s="1">
        <v>0</v>
      </c>
      <c r="AS2252" s="1">
        <v>0</v>
      </c>
      <c r="AT2252" s="1">
        <v>0</v>
      </c>
      <c r="AU2252" s="1">
        <v>0</v>
      </c>
      <c r="AV2252" s="1">
        <v>0</v>
      </c>
      <c r="AW2252" s="1">
        <v>0</v>
      </c>
      <c r="AX2252" s="1">
        <v>0</v>
      </c>
      <c r="AY2252" s="1">
        <v>0</v>
      </c>
      <c r="AZ2252" s="1">
        <v>1</v>
      </c>
      <c r="BA2252" s="1">
        <v>0</v>
      </c>
      <c r="BB2252" s="1">
        <v>0</v>
      </c>
      <c r="BC2252" s="1">
        <v>0</v>
      </c>
      <c r="BD2252" s="1">
        <v>0</v>
      </c>
      <c r="BE2252" s="1">
        <v>0</v>
      </c>
      <c r="BF2252" s="1">
        <v>0</v>
      </c>
      <c r="BG2252" s="1">
        <v>0</v>
      </c>
      <c r="BH2252" s="1">
        <v>0</v>
      </c>
      <c r="BI2252" s="1">
        <v>0</v>
      </c>
      <c r="BJ2252" s="1">
        <v>0</v>
      </c>
      <c r="BK2252" s="1">
        <v>0</v>
      </c>
      <c r="BL2252" s="1">
        <v>0</v>
      </c>
      <c r="BM2252" s="1">
        <v>0</v>
      </c>
      <c r="BN2252" s="1">
        <v>0</v>
      </c>
      <c r="BO2252" s="1">
        <v>0</v>
      </c>
      <c r="BP2252" s="1">
        <v>0</v>
      </c>
      <c r="BQ2252" s="1" t="s">
        <v>104</v>
      </c>
      <c r="BR2252" s="1">
        <v>2370</v>
      </c>
      <c r="BS2252" s="1" t="s">
        <v>104</v>
      </c>
      <c r="BX2252" s="1">
        <v>0</v>
      </c>
      <c r="BY2252" s="1" t="s">
        <v>104</v>
      </c>
      <c r="BZ2252" s="1" t="s">
        <v>104</v>
      </c>
      <c r="CA2252" s="1" t="s">
        <v>104</v>
      </c>
      <c r="CB2252" s="1" t="s">
        <v>104</v>
      </c>
      <c r="CC2252" s="1" t="s">
        <v>104</v>
      </c>
      <c r="CD2252" s="1" t="s">
        <v>104</v>
      </c>
      <c r="CE2252" s="1" t="s">
        <v>104</v>
      </c>
      <c r="CF2252" s="1" t="s">
        <v>104</v>
      </c>
      <c r="CG2252" s="1" t="s">
        <v>104</v>
      </c>
      <c r="CH2252" s="1">
        <v>1</v>
      </c>
      <c r="CJ2252" s="1">
        <v>0</v>
      </c>
      <c r="CK2252" s="1">
        <v>0</v>
      </c>
      <c r="CL2252" s="1">
        <v>0</v>
      </c>
      <c r="CM2252" s="1" t="s">
        <v>104</v>
      </c>
    </row>
    <row r="2253" spans="1:91" ht="14.25" customHeight="1" x14ac:dyDescent="0.3">
      <c r="A2253" s="1" t="s">
        <v>11636</v>
      </c>
      <c r="B2253" s="1" t="s">
        <v>434</v>
      </c>
      <c r="D2253" s="1" t="s">
        <v>57</v>
      </c>
      <c r="E2253" s="1" t="s">
        <v>11637</v>
      </c>
      <c r="F2253" s="1" t="s">
        <v>95</v>
      </c>
      <c r="G2253" s="1" t="s">
        <v>116</v>
      </c>
      <c r="H2253" s="1">
        <v>0</v>
      </c>
      <c r="I2253" s="1" t="s">
        <v>705</v>
      </c>
      <c r="K2253" s="1" t="s">
        <v>11638</v>
      </c>
      <c r="M2253" s="1" t="s">
        <v>2330</v>
      </c>
      <c r="N2253" s="1">
        <v>0</v>
      </c>
      <c r="O2253" s="1">
        <v>0</v>
      </c>
      <c r="P2253" s="1" t="s">
        <v>100</v>
      </c>
      <c r="Q2253" s="1" t="s">
        <v>184</v>
      </c>
      <c r="R2253" s="1" t="s">
        <v>11639</v>
      </c>
      <c r="S2253" s="1" t="s">
        <v>11617</v>
      </c>
      <c r="T2253" s="1">
        <v>1</v>
      </c>
      <c r="U2253" s="1">
        <v>1</v>
      </c>
      <c r="V2253" s="1">
        <v>0</v>
      </c>
      <c r="W2253" s="1">
        <v>0</v>
      </c>
      <c r="X2253" s="1">
        <v>0</v>
      </c>
      <c r="Y2253" s="1">
        <v>2</v>
      </c>
      <c r="Z2253" s="1">
        <v>2</v>
      </c>
      <c r="AA2253" s="1" t="s">
        <v>104</v>
      </c>
      <c r="AB2253" s="1" t="s">
        <v>104</v>
      </c>
      <c r="AC2253" s="1" t="s">
        <v>104</v>
      </c>
      <c r="AD2253" s="1" t="s">
        <v>104</v>
      </c>
      <c r="AE2253" s="1" t="s">
        <v>104</v>
      </c>
      <c r="AF2253" s="1" t="s">
        <v>104</v>
      </c>
      <c r="AG2253" s="1" t="s">
        <v>104</v>
      </c>
      <c r="AH2253" s="1">
        <v>2</v>
      </c>
      <c r="AI2253" s="1" t="s">
        <v>104</v>
      </c>
      <c r="AJ2253" s="1" t="s">
        <v>104</v>
      </c>
      <c r="AK2253" s="1" t="s">
        <v>104</v>
      </c>
      <c r="AL2253" s="1">
        <v>2</v>
      </c>
      <c r="AM2253" s="1" t="s">
        <v>104</v>
      </c>
      <c r="AO2253" s="1">
        <v>2</v>
      </c>
      <c r="AR2253" s="1">
        <v>0</v>
      </c>
      <c r="AS2253" s="1">
        <v>0</v>
      </c>
      <c r="AT2253" s="1">
        <v>0</v>
      </c>
      <c r="AU2253" s="1">
        <v>0</v>
      </c>
      <c r="AV2253" s="1">
        <v>0</v>
      </c>
      <c r="AW2253" s="1">
        <v>0</v>
      </c>
      <c r="AX2253" s="1">
        <v>0</v>
      </c>
      <c r="AY2253" s="1">
        <v>0</v>
      </c>
      <c r="AZ2253" s="1">
        <v>0</v>
      </c>
      <c r="BA2253" s="1">
        <v>0</v>
      </c>
      <c r="BB2253" s="1">
        <v>0</v>
      </c>
      <c r="BC2253" s="1">
        <v>0</v>
      </c>
      <c r="BD2253" s="1">
        <v>0</v>
      </c>
      <c r="BE2253" s="1">
        <v>0</v>
      </c>
      <c r="BF2253" s="1">
        <v>1</v>
      </c>
      <c r="BG2253" s="1">
        <v>0</v>
      </c>
      <c r="BH2253" s="1">
        <v>0</v>
      </c>
      <c r="BI2253" s="1">
        <v>0</v>
      </c>
      <c r="BJ2253" s="1">
        <v>0</v>
      </c>
      <c r="BK2253" s="1">
        <v>0</v>
      </c>
      <c r="BL2253" s="1">
        <v>0</v>
      </c>
      <c r="BM2253" s="1">
        <v>0</v>
      </c>
      <c r="BN2253" s="1">
        <v>0</v>
      </c>
      <c r="BO2253" s="1">
        <v>0</v>
      </c>
      <c r="BP2253" s="1">
        <v>0</v>
      </c>
      <c r="BQ2253" s="1" t="s">
        <v>104</v>
      </c>
      <c r="BR2253" s="1">
        <v>2371</v>
      </c>
      <c r="BS2253" s="1" t="s">
        <v>104</v>
      </c>
      <c r="BX2253" s="1">
        <v>0</v>
      </c>
      <c r="BY2253" s="1">
        <v>2</v>
      </c>
      <c r="BZ2253" s="1" t="s">
        <v>104</v>
      </c>
      <c r="CA2253" s="1">
        <v>2</v>
      </c>
      <c r="CB2253" s="1" t="s">
        <v>104</v>
      </c>
      <c r="CC2253" s="1" t="s">
        <v>104</v>
      </c>
      <c r="CD2253" s="1">
        <v>2</v>
      </c>
      <c r="CE2253" s="1">
        <v>2</v>
      </c>
      <c r="CF2253" s="1" t="s">
        <v>104</v>
      </c>
      <c r="CG2253" s="1" t="s">
        <v>104</v>
      </c>
      <c r="CH2253" s="1" t="s">
        <v>104</v>
      </c>
      <c r="CJ2253" s="1">
        <v>0</v>
      </c>
      <c r="CK2253" s="1">
        <v>0</v>
      </c>
      <c r="CL2253" s="1">
        <v>0</v>
      </c>
      <c r="CM2253" s="1" t="s">
        <v>104</v>
      </c>
    </row>
    <row r="2254" spans="1:91" ht="14.25" customHeight="1" x14ac:dyDescent="0.3">
      <c r="A2254" s="1" t="s">
        <v>11640</v>
      </c>
      <c r="B2254" s="1" t="s">
        <v>123</v>
      </c>
      <c r="C2254" s="1" t="s">
        <v>124</v>
      </c>
      <c r="D2254" s="1" t="s">
        <v>125</v>
      </c>
      <c r="E2254" s="1" t="s">
        <v>11641</v>
      </c>
      <c r="F2254" s="1" t="s">
        <v>95</v>
      </c>
      <c r="G2254" s="1" t="s">
        <v>116</v>
      </c>
      <c r="H2254" s="1">
        <v>0</v>
      </c>
      <c r="I2254" s="1" t="s">
        <v>109</v>
      </c>
      <c r="K2254" s="1" t="s">
        <v>6465</v>
      </c>
      <c r="M2254" s="1" t="s">
        <v>7067</v>
      </c>
      <c r="N2254" s="1">
        <v>0</v>
      </c>
      <c r="O2254" s="1">
        <v>0</v>
      </c>
      <c r="P2254" s="1" t="s">
        <v>5957</v>
      </c>
      <c r="Q2254" s="1" t="s">
        <v>131</v>
      </c>
      <c r="R2254" s="1" t="s">
        <v>11642</v>
      </c>
      <c r="S2254" s="1" t="s">
        <v>11617</v>
      </c>
      <c r="T2254" s="1">
        <v>1</v>
      </c>
      <c r="U2254" s="1">
        <v>1</v>
      </c>
      <c r="V2254" s="1">
        <v>0</v>
      </c>
      <c r="W2254" s="1">
        <v>0</v>
      </c>
      <c r="X2254" s="1">
        <v>0</v>
      </c>
      <c r="Y2254" s="1">
        <v>5</v>
      </c>
      <c r="Z2254" s="1">
        <v>5</v>
      </c>
      <c r="AA2254" s="1" t="s">
        <v>104</v>
      </c>
      <c r="AB2254" s="1" t="s">
        <v>104</v>
      </c>
      <c r="AC2254" s="1" t="s">
        <v>104</v>
      </c>
      <c r="AD2254" s="1">
        <v>4</v>
      </c>
      <c r="AE2254" s="1" t="s">
        <v>104</v>
      </c>
      <c r="AF2254" s="1">
        <v>5</v>
      </c>
      <c r="AG2254" s="1">
        <v>5</v>
      </c>
      <c r="AH2254" s="1" t="s">
        <v>104</v>
      </c>
      <c r="AI2254" s="1" t="s">
        <v>104</v>
      </c>
      <c r="AJ2254" s="1" t="s">
        <v>104</v>
      </c>
      <c r="AK2254" s="1" t="s">
        <v>104</v>
      </c>
      <c r="AL2254" s="1" t="s">
        <v>104</v>
      </c>
      <c r="AM2254" s="1" t="s">
        <v>104</v>
      </c>
      <c r="AO2254" s="1">
        <v>5</v>
      </c>
      <c r="AR2254" s="1">
        <v>0</v>
      </c>
      <c r="AS2254" s="1">
        <v>0</v>
      </c>
      <c r="AT2254" s="1">
        <v>0</v>
      </c>
      <c r="AU2254" s="1">
        <v>0</v>
      </c>
      <c r="AV2254" s="1">
        <v>0</v>
      </c>
      <c r="AW2254" s="1">
        <v>0</v>
      </c>
      <c r="AX2254" s="1">
        <v>0</v>
      </c>
      <c r="AY2254" s="1">
        <v>0</v>
      </c>
      <c r="AZ2254" s="1">
        <v>0</v>
      </c>
      <c r="BA2254" s="1">
        <v>0</v>
      </c>
      <c r="BB2254" s="1">
        <v>0</v>
      </c>
      <c r="BC2254" s="1">
        <v>0</v>
      </c>
      <c r="BD2254" s="1">
        <v>0</v>
      </c>
      <c r="BE2254" s="1">
        <v>0</v>
      </c>
      <c r="BF2254" s="1">
        <v>0</v>
      </c>
      <c r="BG2254" s="1">
        <v>0</v>
      </c>
      <c r="BH2254" s="1">
        <v>0</v>
      </c>
      <c r="BI2254" s="1">
        <v>0</v>
      </c>
      <c r="BJ2254" s="1">
        <v>0</v>
      </c>
      <c r="BK2254" s="1">
        <v>1</v>
      </c>
      <c r="BL2254" s="1">
        <v>0</v>
      </c>
      <c r="BM2254" s="1">
        <v>0</v>
      </c>
      <c r="BN2254" s="1">
        <v>0</v>
      </c>
      <c r="BO2254" s="1">
        <v>0</v>
      </c>
      <c r="BP2254" s="1">
        <v>0</v>
      </c>
      <c r="BQ2254" s="1" t="s">
        <v>104</v>
      </c>
      <c r="BR2254" s="1">
        <v>2372</v>
      </c>
      <c r="BS2254" s="1" t="s">
        <v>104</v>
      </c>
      <c r="BX2254" s="1">
        <v>0</v>
      </c>
      <c r="BY2254" s="1" t="s">
        <v>104</v>
      </c>
      <c r="BZ2254" s="1" t="s">
        <v>104</v>
      </c>
      <c r="CA2254" s="1" t="s">
        <v>104</v>
      </c>
      <c r="CB2254" s="1">
        <v>4</v>
      </c>
      <c r="CC2254" s="1">
        <v>5</v>
      </c>
      <c r="CD2254" s="1" t="s">
        <v>104</v>
      </c>
      <c r="CE2254" s="1" t="s">
        <v>104</v>
      </c>
      <c r="CF2254" s="1" t="s">
        <v>104</v>
      </c>
      <c r="CG2254" s="1" t="s">
        <v>104</v>
      </c>
      <c r="CH2254" s="1" t="s">
        <v>104</v>
      </c>
      <c r="CJ2254" s="1">
        <v>0</v>
      </c>
      <c r="CK2254" s="1">
        <v>0</v>
      </c>
      <c r="CL2254" s="1">
        <v>0</v>
      </c>
      <c r="CM2254" s="1">
        <v>5</v>
      </c>
    </row>
    <row r="2255" spans="1:91" ht="14.25" customHeight="1" x14ac:dyDescent="0.3">
      <c r="A2255" s="1" t="s">
        <v>11643</v>
      </c>
      <c r="B2255" s="1" t="s">
        <v>162</v>
      </c>
      <c r="E2255" s="1" t="s">
        <v>11644</v>
      </c>
      <c r="F2255" s="1" t="s">
        <v>4199</v>
      </c>
      <c r="G2255" s="1" t="s">
        <v>11645</v>
      </c>
      <c r="H2255" s="1">
        <v>0</v>
      </c>
      <c r="I2255" s="1" t="s">
        <v>128</v>
      </c>
      <c r="J2255" s="1" t="s">
        <v>11646</v>
      </c>
      <c r="M2255" s="1" t="s">
        <v>201</v>
      </c>
      <c r="N2255" s="1">
        <v>0</v>
      </c>
      <c r="O2255" s="1">
        <v>0</v>
      </c>
      <c r="P2255" s="1" t="s">
        <v>375</v>
      </c>
      <c r="Q2255" s="1" t="s">
        <v>184</v>
      </c>
      <c r="R2255" s="1" t="s">
        <v>11647</v>
      </c>
      <c r="S2255" s="1" t="s">
        <v>11617</v>
      </c>
      <c r="T2255" s="1">
        <v>1</v>
      </c>
      <c r="U2255" s="1">
        <v>1</v>
      </c>
      <c r="V2255" s="1">
        <v>0</v>
      </c>
      <c r="W2255" s="1">
        <v>0</v>
      </c>
      <c r="X2255" s="1">
        <v>0</v>
      </c>
      <c r="Y2255" s="1">
        <v>3</v>
      </c>
      <c r="Z2255" s="1">
        <v>3</v>
      </c>
      <c r="AA2255" s="1" t="s">
        <v>104</v>
      </c>
      <c r="AB2255" s="1" t="s">
        <v>104</v>
      </c>
      <c r="AC2255" s="1" t="s">
        <v>104</v>
      </c>
      <c r="AD2255" s="1">
        <v>3</v>
      </c>
      <c r="AE2255" s="1">
        <v>3</v>
      </c>
      <c r="AF2255" s="1" t="s">
        <v>104</v>
      </c>
      <c r="AG2255" s="1" t="s">
        <v>104</v>
      </c>
      <c r="AH2255" s="1">
        <v>3</v>
      </c>
      <c r="AI2255" s="1">
        <v>3</v>
      </c>
      <c r="AJ2255" s="1" t="s">
        <v>104</v>
      </c>
      <c r="AK2255" s="1" t="s">
        <v>104</v>
      </c>
      <c r="AL2255" s="1">
        <v>3</v>
      </c>
      <c r="AM2255" s="1" t="s">
        <v>104</v>
      </c>
      <c r="AO2255" s="1">
        <v>3</v>
      </c>
      <c r="AR2255" s="1">
        <v>0</v>
      </c>
      <c r="AS2255" s="1">
        <v>0</v>
      </c>
      <c r="AT2255" s="1">
        <v>0</v>
      </c>
      <c r="AU2255" s="1">
        <v>0</v>
      </c>
      <c r="AV2255" s="1">
        <v>0</v>
      </c>
      <c r="AW2255" s="1">
        <v>0</v>
      </c>
      <c r="AX2255" s="1">
        <v>0</v>
      </c>
      <c r="AY2255" s="1">
        <v>0</v>
      </c>
      <c r="AZ2255" s="1">
        <v>0</v>
      </c>
      <c r="BA2255" s="1">
        <v>0</v>
      </c>
      <c r="BB2255" s="1">
        <v>0</v>
      </c>
      <c r="BC2255" s="1">
        <v>0</v>
      </c>
      <c r="BD2255" s="1">
        <v>0</v>
      </c>
      <c r="BE2255" s="1">
        <v>0</v>
      </c>
      <c r="BF2255" s="1">
        <v>0</v>
      </c>
      <c r="BG2255" s="1">
        <v>0</v>
      </c>
      <c r="BH2255" s="1">
        <v>0</v>
      </c>
      <c r="BI2255" s="1">
        <v>0</v>
      </c>
      <c r="BJ2255" s="1">
        <v>0</v>
      </c>
      <c r="BK2255" s="1">
        <v>0</v>
      </c>
      <c r="BL2255" s="1">
        <v>0</v>
      </c>
      <c r="BM2255" s="1">
        <v>0</v>
      </c>
      <c r="BN2255" s="1">
        <v>0</v>
      </c>
      <c r="BO2255" s="1">
        <v>0</v>
      </c>
      <c r="BP2255" s="1">
        <v>0</v>
      </c>
      <c r="BQ2255" s="1" t="s">
        <v>104</v>
      </c>
      <c r="BR2255" s="1">
        <v>2373</v>
      </c>
      <c r="BS2255" s="1" t="s">
        <v>104</v>
      </c>
      <c r="BX2255" s="1">
        <v>0</v>
      </c>
      <c r="BY2255" s="1" t="s">
        <v>104</v>
      </c>
      <c r="BZ2255" s="1">
        <v>4</v>
      </c>
      <c r="CA2255" s="1">
        <v>3</v>
      </c>
      <c r="CB2255" s="1" t="s">
        <v>104</v>
      </c>
      <c r="CC2255" s="1" t="s">
        <v>104</v>
      </c>
      <c r="CD2255" s="1">
        <v>3</v>
      </c>
      <c r="CE2255" s="1" t="s">
        <v>104</v>
      </c>
      <c r="CF2255" s="1" t="s">
        <v>104</v>
      </c>
      <c r="CG2255" s="1" t="s">
        <v>104</v>
      </c>
      <c r="CH2255" s="1" t="s">
        <v>104</v>
      </c>
      <c r="CJ2255" s="1">
        <v>0</v>
      </c>
      <c r="CK2255" s="1">
        <v>0</v>
      </c>
      <c r="CL2255" s="1">
        <v>0</v>
      </c>
      <c r="CM2255" s="1" t="s">
        <v>104</v>
      </c>
    </row>
    <row r="2256" spans="1:91" ht="14.25" customHeight="1" x14ac:dyDescent="0.3">
      <c r="A2256" s="1" t="s">
        <v>11648</v>
      </c>
      <c r="B2256" s="1" t="s">
        <v>162</v>
      </c>
      <c r="E2256" s="1" t="s">
        <v>11649</v>
      </c>
      <c r="F2256" s="1" t="s">
        <v>4199</v>
      </c>
      <c r="G2256" s="1" t="s">
        <v>11645</v>
      </c>
      <c r="H2256" s="1">
        <v>0</v>
      </c>
      <c r="I2256" s="1" t="s">
        <v>128</v>
      </c>
      <c r="J2256" s="1" t="s">
        <v>11646</v>
      </c>
      <c r="M2256" s="1" t="s">
        <v>201</v>
      </c>
      <c r="N2256" s="1">
        <v>0</v>
      </c>
      <c r="O2256" s="1">
        <v>0</v>
      </c>
      <c r="P2256" s="1" t="s">
        <v>375</v>
      </c>
      <c r="Q2256" s="1" t="s">
        <v>184</v>
      </c>
      <c r="R2256" s="1" t="s">
        <v>11650</v>
      </c>
      <c r="S2256" s="1" t="s">
        <v>11617</v>
      </c>
      <c r="T2256" s="1">
        <v>1</v>
      </c>
      <c r="U2256" s="1">
        <v>1</v>
      </c>
      <c r="V2256" s="1">
        <v>0</v>
      </c>
      <c r="W2256" s="1">
        <v>0</v>
      </c>
      <c r="X2256" s="1">
        <v>0</v>
      </c>
      <c r="Y2256" s="1">
        <v>5</v>
      </c>
      <c r="Z2256" s="1">
        <v>5</v>
      </c>
      <c r="AA2256" s="1" t="s">
        <v>104</v>
      </c>
      <c r="AB2256" s="1" t="s">
        <v>104</v>
      </c>
      <c r="AC2256" s="1" t="s">
        <v>104</v>
      </c>
      <c r="AD2256" s="1">
        <v>5</v>
      </c>
      <c r="AE2256" s="1" t="s">
        <v>104</v>
      </c>
      <c r="AF2256" s="1" t="s">
        <v>104</v>
      </c>
      <c r="AG2256" s="1" t="s">
        <v>104</v>
      </c>
      <c r="AH2256" s="1">
        <v>5</v>
      </c>
      <c r="AI2256" s="1">
        <v>5</v>
      </c>
      <c r="AJ2256" s="1" t="s">
        <v>104</v>
      </c>
      <c r="AK2256" s="1" t="s">
        <v>104</v>
      </c>
      <c r="AL2256" s="1" t="s">
        <v>104</v>
      </c>
      <c r="AM2256" s="1" t="s">
        <v>104</v>
      </c>
      <c r="AO2256" s="1">
        <v>5</v>
      </c>
      <c r="AR2256" s="1">
        <v>0</v>
      </c>
      <c r="AS2256" s="1">
        <v>0</v>
      </c>
      <c r="AT2256" s="1">
        <v>0</v>
      </c>
      <c r="AU2256" s="1">
        <v>0</v>
      </c>
      <c r="AV2256" s="1">
        <v>0</v>
      </c>
      <c r="AW2256" s="1">
        <v>0</v>
      </c>
      <c r="AX2256" s="1">
        <v>0</v>
      </c>
      <c r="AY2256" s="1">
        <v>0</v>
      </c>
      <c r="AZ2256" s="1">
        <v>0</v>
      </c>
      <c r="BA2256" s="1">
        <v>0</v>
      </c>
      <c r="BB2256" s="1">
        <v>0</v>
      </c>
      <c r="BC2256" s="1">
        <v>0</v>
      </c>
      <c r="BD2256" s="1">
        <v>0</v>
      </c>
      <c r="BE2256" s="1">
        <v>0</v>
      </c>
      <c r="BF2256" s="1">
        <v>0</v>
      </c>
      <c r="BG2256" s="1">
        <v>0</v>
      </c>
      <c r="BH2256" s="1">
        <v>0</v>
      </c>
      <c r="BI2256" s="1">
        <v>0</v>
      </c>
      <c r="BJ2256" s="1">
        <v>0</v>
      </c>
      <c r="BK2256" s="1">
        <v>0</v>
      </c>
      <c r="BL2256" s="1">
        <v>0</v>
      </c>
      <c r="BM2256" s="1">
        <v>0</v>
      </c>
      <c r="BN2256" s="1">
        <v>0</v>
      </c>
      <c r="BO2256" s="1">
        <v>0</v>
      </c>
      <c r="BP2256" s="1">
        <v>0</v>
      </c>
      <c r="BQ2256" s="1" t="s">
        <v>104</v>
      </c>
      <c r="BR2256" s="1">
        <v>2374</v>
      </c>
      <c r="BS2256" s="1" t="s">
        <v>104</v>
      </c>
      <c r="BX2256" s="1">
        <v>0</v>
      </c>
      <c r="BY2256" s="1" t="s">
        <v>104</v>
      </c>
      <c r="BZ2256" s="1" t="s">
        <v>104</v>
      </c>
      <c r="CA2256" s="1">
        <v>5</v>
      </c>
      <c r="CB2256" s="1" t="s">
        <v>104</v>
      </c>
      <c r="CC2256" s="1" t="s">
        <v>104</v>
      </c>
      <c r="CD2256" s="1">
        <v>5</v>
      </c>
      <c r="CE2256" s="1" t="s">
        <v>104</v>
      </c>
      <c r="CF2256" s="1" t="s">
        <v>104</v>
      </c>
      <c r="CG2256" s="1" t="s">
        <v>104</v>
      </c>
      <c r="CH2256" s="1" t="s">
        <v>104</v>
      </c>
      <c r="CJ2256" s="1">
        <v>0</v>
      </c>
      <c r="CK2256" s="1">
        <v>0</v>
      </c>
      <c r="CL2256" s="1">
        <v>0</v>
      </c>
      <c r="CM2256" s="1" t="s">
        <v>104</v>
      </c>
    </row>
    <row r="2257" spans="1:91" ht="14.25" customHeight="1" x14ac:dyDescent="0.3">
      <c r="A2257" s="1" t="s">
        <v>11651</v>
      </c>
      <c r="B2257" s="1" t="s">
        <v>137</v>
      </c>
      <c r="E2257" s="1" t="s">
        <v>11652</v>
      </c>
      <c r="F2257" s="1" t="s">
        <v>95</v>
      </c>
      <c r="G2257" s="1" t="s">
        <v>11653</v>
      </c>
      <c r="H2257" s="1">
        <v>0</v>
      </c>
      <c r="I2257" s="1" t="s">
        <v>128</v>
      </c>
      <c r="L2257" s="1" t="s">
        <v>374</v>
      </c>
      <c r="M2257" s="1" t="s">
        <v>2330</v>
      </c>
      <c r="N2257" s="1">
        <v>0</v>
      </c>
      <c r="O2257" s="1">
        <v>0</v>
      </c>
      <c r="P2257" s="1" t="s">
        <v>375</v>
      </c>
      <c r="Q2257" s="1" t="s">
        <v>184</v>
      </c>
      <c r="R2257" s="1" t="s">
        <v>11654</v>
      </c>
      <c r="S2257" s="1" t="s">
        <v>11617</v>
      </c>
      <c r="T2257" s="1">
        <v>1</v>
      </c>
      <c r="U2257" s="1">
        <v>1</v>
      </c>
      <c r="V2257" s="1">
        <v>1</v>
      </c>
      <c r="W2257" s="1">
        <v>0</v>
      </c>
      <c r="X2257" s="1">
        <v>0</v>
      </c>
      <c r="Y2257" s="1">
        <v>2</v>
      </c>
      <c r="Z2257" s="1">
        <v>2</v>
      </c>
      <c r="AA2257" s="1" t="s">
        <v>104</v>
      </c>
      <c r="AB2257" s="1" t="s">
        <v>104</v>
      </c>
      <c r="AC2257" s="1" t="s">
        <v>104</v>
      </c>
      <c r="AD2257" s="1">
        <v>2</v>
      </c>
      <c r="AE2257" s="1" t="s">
        <v>104</v>
      </c>
      <c r="AF2257" s="1">
        <v>2</v>
      </c>
      <c r="AG2257" s="1" t="s">
        <v>104</v>
      </c>
      <c r="AH2257" s="1" t="s">
        <v>104</v>
      </c>
      <c r="AI2257" s="1" t="s">
        <v>104</v>
      </c>
      <c r="AJ2257" s="1" t="s">
        <v>104</v>
      </c>
      <c r="AK2257" s="1" t="s">
        <v>104</v>
      </c>
      <c r="AL2257" s="1" t="s">
        <v>104</v>
      </c>
      <c r="AM2257" s="1" t="s">
        <v>104</v>
      </c>
      <c r="AO2257" s="1">
        <v>2</v>
      </c>
      <c r="AR2257" s="1">
        <v>0</v>
      </c>
      <c r="AS2257" s="1">
        <v>0</v>
      </c>
      <c r="AT2257" s="1">
        <v>0</v>
      </c>
      <c r="AU2257" s="1">
        <v>0</v>
      </c>
      <c r="AV2257" s="1">
        <v>0</v>
      </c>
      <c r="AW2257" s="1">
        <v>0</v>
      </c>
      <c r="AX2257" s="1">
        <v>0</v>
      </c>
      <c r="AY2257" s="1">
        <v>0</v>
      </c>
      <c r="AZ2257" s="1">
        <v>0</v>
      </c>
      <c r="BA2257" s="1">
        <v>0</v>
      </c>
      <c r="BB2257" s="1">
        <v>0</v>
      </c>
      <c r="BC2257" s="1">
        <v>0</v>
      </c>
      <c r="BD2257" s="1">
        <v>0</v>
      </c>
      <c r="BE2257" s="1">
        <v>0</v>
      </c>
      <c r="BF2257" s="1">
        <v>0</v>
      </c>
      <c r="BG2257" s="1">
        <v>0</v>
      </c>
      <c r="BH2257" s="1">
        <v>0</v>
      </c>
      <c r="BI2257" s="1">
        <v>0</v>
      </c>
      <c r="BJ2257" s="1">
        <v>0</v>
      </c>
      <c r="BK2257" s="1">
        <v>0</v>
      </c>
      <c r="BL2257" s="1">
        <v>0</v>
      </c>
      <c r="BM2257" s="1">
        <v>0</v>
      </c>
      <c r="BN2257" s="1">
        <v>0</v>
      </c>
      <c r="BO2257" s="1">
        <v>0</v>
      </c>
      <c r="BP2257" s="1">
        <v>0</v>
      </c>
      <c r="BQ2257" s="1" t="s">
        <v>104</v>
      </c>
      <c r="BR2257" s="1">
        <v>2375</v>
      </c>
      <c r="BS2257" s="1" t="s">
        <v>104</v>
      </c>
      <c r="BX2257" s="1">
        <v>0</v>
      </c>
      <c r="BY2257" s="1" t="s">
        <v>104</v>
      </c>
      <c r="BZ2257" s="1" t="s">
        <v>104</v>
      </c>
      <c r="CA2257" s="1">
        <v>2</v>
      </c>
      <c r="CB2257" s="1">
        <v>2</v>
      </c>
      <c r="CC2257" s="1" t="s">
        <v>104</v>
      </c>
      <c r="CD2257" s="1" t="s">
        <v>104</v>
      </c>
      <c r="CE2257" s="1" t="s">
        <v>104</v>
      </c>
      <c r="CF2257" s="1" t="s">
        <v>104</v>
      </c>
      <c r="CG2257" s="1" t="s">
        <v>104</v>
      </c>
      <c r="CH2257" s="1" t="s">
        <v>104</v>
      </c>
      <c r="CJ2257" s="1">
        <v>0</v>
      </c>
      <c r="CK2257" s="1">
        <v>0</v>
      </c>
      <c r="CL2257" s="1">
        <v>0</v>
      </c>
      <c r="CM2257" s="1" t="s">
        <v>104</v>
      </c>
    </row>
    <row r="2258" spans="1:91" ht="14.25" customHeight="1" x14ac:dyDescent="0.3">
      <c r="A2258" s="1" t="s">
        <v>11655</v>
      </c>
      <c r="B2258" s="1" t="s">
        <v>137</v>
      </c>
      <c r="E2258" s="1" t="s">
        <v>11656</v>
      </c>
      <c r="F2258" s="1" t="s">
        <v>95</v>
      </c>
      <c r="G2258" s="1" t="s">
        <v>11653</v>
      </c>
      <c r="H2258" s="1">
        <v>0</v>
      </c>
      <c r="I2258" s="1" t="s">
        <v>117</v>
      </c>
      <c r="L2258" s="1" t="s">
        <v>541</v>
      </c>
      <c r="M2258" s="1" t="s">
        <v>2330</v>
      </c>
      <c r="N2258" s="1">
        <v>0</v>
      </c>
      <c r="O2258" s="1">
        <v>0</v>
      </c>
      <c r="P2258" s="1" t="s">
        <v>375</v>
      </c>
      <c r="Q2258" s="1" t="s">
        <v>184</v>
      </c>
      <c r="R2258" s="1" t="s">
        <v>11657</v>
      </c>
      <c r="S2258" s="1" t="s">
        <v>11617</v>
      </c>
      <c r="T2258" s="1">
        <v>1</v>
      </c>
      <c r="U2258" s="1">
        <v>1</v>
      </c>
      <c r="V2258" s="1">
        <v>1</v>
      </c>
      <c r="W2258" s="1">
        <v>0</v>
      </c>
      <c r="X2258" s="1">
        <v>0</v>
      </c>
      <c r="Y2258" s="1">
        <v>6</v>
      </c>
      <c r="Z2258" s="1">
        <v>6</v>
      </c>
      <c r="AA2258" s="1" t="s">
        <v>104</v>
      </c>
      <c r="AB2258" s="1" t="s">
        <v>104</v>
      </c>
      <c r="AC2258" s="1" t="s">
        <v>104</v>
      </c>
      <c r="AD2258" s="1">
        <v>6</v>
      </c>
      <c r="AE2258" s="1" t="s">
        <v>104</v>
      </c>
      <c r="AF2258" s="1" t="s">
        <v>104</v>
      </c>
      <c r="AG2258" s="1">
        <v>6</v>
      </c>
      <c r="AH2258" s="1" t="s">
        <v>104</v>
      </c>
      <c r="AI2258" s="1" t="s">
        <v>104</v>
      </c>
      <c r="AJ2258" s="1" t="s">
        <v>104</v>
      </c>
      <c r="AK2258" s="1" t="s">
        <v>104</v>
      </c>
      <c r="AL2258" s="1" t="s">
        <v>104</v>
      </c>
      <c r="AM2258" s="1" t="s">
        <v>104</v>
      </c>
      <c r="AO2258" s="1">
        <v>6</v>
      </c>
      <c r="AR2258" s="1">
        <v>0</v>
      </c>
      <c r="AS2258" s="1">
        <v>0</v>
      </c>
      <c r="AT2258" s="1">
        <v>0</v>
      </c>
      <c r="AU2258" s="1">
        <v>0</v>
      </c>
      <c r="AV2258" s="1">
        <v>0</v>
      </c>
      <c r="AW2258" s="1">
        <v>0</v>
      </c>
      <c r="AX2258" s="1">
        <v>0</v>
      </c>
      <c r="AY2258" s="1">
        <v>0</v>
      </c>
      <c r="AZ2258" s="1">
        <v>0</v>
      </c>
      <c r="BA2258" s="1">
        <v>0</v>
      </c>
      <c r="BB2258" s="1">
        <v>0</v>
      </c>
      <c r="BC2258" s="1">
        <v>0</v>
      </c>
      <c r="BD2258" s="1">
        <v>0</v>
      </c>
      <c r="BE2258" s="1">
        <v>0</v>
      </c>
      <c r="BF2258" s="1">
        <v>0</v>
      </c>
      <c r="BG2258" s="1">
        <v>0</v>
      </c>
      <c r="BH2258" s="1">
        <v>0</v>
      </c>
      <c r="BI2258" s="1">
        <v>0</v>
      </c>
      <c r="BJ2258" s="1">
        <v>0</v>
      </c>
      <c r="BK2258" s="1">
        <v>0</v>
      </c>
      <c r="BL2258" s="1">
        <v>0</v>
      </c>
      <c r="BM2258" s="1">
        <v>0</v>
      </c>
      <c r="BN2258" s="1">
        <v>0</v>
      </c>
      <c r="BO2258" s="1">
        <v>0</v>
      </c>
      <c r="BP2258" s="1">
        <v>0</v>
      </c>
      <c r="BQ2258" s="1" t="s">
        <v>104</v>
      </c>
      <c r="BR2258" s="1">
        <v>2376</v>
      </c>
      <c r="BS2258" s="1" t="s">
        <v>104</v>
      </c>
      <c r="BX2258" s="1">
        <v>0</v>
      </c>
      <c r="BY2258" s="1" t="s">
        <v>104</v>
      </c>
      <c r="BZ2258" s="1" t="s">
        <v>104</v>
      </c>
      <c r="CA2258" s="1">
        <v>6</v>
      </c>
      <c r="CB2258" s="1" t="s">
        <v>104</v>
      </c>
      <c r="CC2258" s="1" t="s">
        <v>104</v>
      </c>
      <c r="CD2258" s="1" t="s">
        <v>104</v>
      </c>
      <c r="CE2258" s="1" t="s">
        <v>104</v>
      </c>
      <c r="CF2258" s="1" t="s">
        <v>104</v>
      </c>
      <c r="CG2258" s="1" t="s">
        <v>104</v>
      </c>
      <c r="CH2258" s="1" t="s">
        <v>104</v>
      </c>
      <c r="CJ2258" s="1">
        <v>0</v>
      </c>
      <c r="CK2258" s="1">
        <v>0</v>
      </c>
      <c r="CL2258" s="1">
        <v>0</v>
      </c>
      <c r="CM2258" s="1">
        <v>6</v>
      </c>
    </row>
    <row r="2259" spans="1:91" ht="14.25" customHeight="1" x14ac:dyDescent="0.3">
      <c r="A2259" s="1" t="s">
        <v>11658</v>
      </c>
      <c r="B2259" s="1" t="s">
        <v>434</v>
      </c>
      <c r="D2259" s="1" t="s">
        <v>57</v>
      </c>
      <c r="E2259" s="1" t="s">
        <v>11659</v>
      </c>
      <c r="F2259" s="1" t="s">
        <v>95</v>
      </c>
      <c r="G2259" s="1" t="s">
        <v>2360</v>
      </c>
      <c r="H2259" s="1">
        <v>1</v>
      </c>
      <c r="I2259" s="1" t="s">
        <v>117</v>
      </c>
      <c r="K2259" s="1" t="s">
        <v>2361</v>
      </c>
      <c r="M2259" s="1" t="s">
        <v>426</v>
      </c>
      <c r="N2259" s="1">
        <v>1</v>
      </c>
      <c r="O2259" s="1">
        <v>0</v>
      </c>
      <c r="P2259" s="1" t="s">
        <v>100</v>
      </c>
      <c r="Q2259" s="1" t="s">
        <v>184</v>
      </c>
      <c r="R2259" s="1" t="s">
        <v>11660</v>
      </c>
      <c r="S2259" s="1" t="s">
        <v>11617</v>
      </c>
      <c r="T2259" s="1">
        <v>1</v>
      </c>
      <c r="U2259" s="1">
        <v>1</v>
      </c>
      <c r="V2259" s="1">
        <v>0</v>
      </c>
      <c r="W2259" s="1">
        <v>0</v>
      </c>
      <c r="X2259" s="1">
        <v>0</v>
      </c>
      <c r="Y2259" s="1">
        <v>6</v>
      </c>
      <c r="Z2259" s="1">
        <v>6</v>
      </c>
      <c r="AA2259" s="1" t="s">
        <v>104</v>
      </c>
      <c r="AB2259" s="1" t="s">
        <v>104</v>
      </c>
      <c r="AC2259" s="1" t="s">
        <v>104</v>
      </c>
      <c r="AD2259" s="1" t="s">
        <v>104</v>
      </c>
      <c r="AE2259" s="1" t="s">
        <v>104</v>
      </c>
      <c r="AF2259" s="1" t="s">
        <v>104</v>
      </c>
      <c r="AG2259" s="1" t="s">
        <v>104</v>
      </c>
      <c r="AH2259" s="1" t="s">
        <v>104</v>
      </c>
      <c r="AI2259" s="1" t="s">
        <v>104</v>
      </c>
      <c r="AJ2259" s="1" t="s">
        <v>104</v>
      </c>
      <c r="AK2259" s="1" t="s">
        <v>104</v>
      </c>
      <c r="AL2259" s="1">
        <v>6</v>
      </c>
      <c r="AM2259" s="1" t="s">
        <v>104</v>
      </c>
      <c r="AO2259" s="1">
        <v>6</v>
      </c>
      <c r="AR2259" s="1">
        <v>0</v>
      </c>
      <c r="AS2259" s="1">
        <v>0</v>
      </c>
      <c r="AT2259" s="1">
        <v>0</v>
      </c>
      <c r="AU2259" s="1">
        <v>0</v>
      </c>
      <c r="AV2259" s="1">
        <v>0</v>
      </c>
      <c r="AW2259" s="1">
        <v>0</v>
      </c>
      <c r="AX2259" s="1">
        <v>0</v>
      </c>
      <c r="AY2259" s="1">
        <v>0</v>
      </c>
      <c r="AZ2259" s="1">
        <v>0</v>
      </c>
      <c r="BA2259" s="1">
        <v>0</v>
      </c>
      <c r="BB2259" s="1">
        <v>0</v>
      </c>
      <c r="BC2259" s="1">
        <v>0</v>
      </c>
      <c r="BD2259" s="1">
        <v>0</v>
      </c>
      <c r="BE2259" s="1">
        <v>0</v>
      </c>
      <c r="BF2259" s="1">
        <v>1</v>
      </c>
      <c r="BG2259" s="1">
        <v>0</v>
      </c>
      <c r="BH2259" s="1">
        <v>0</v>
      </c>
      <c r="BI2259" s="1">
        <v>0</v>
      </c>
      <c r="BJ2259" s="1">
        <v>0</v>
      </c>
      <c r="BK2259" s="1">
        <v>0</v>
      </c>
      <c r="BL2259" s="1">
        <v>0</v>
      </c>
      <c r="BM2259" s="1">
        <v>0</v>
      </c>
      <c r="BN2259" s="1">
        <v>0</v>
      </c>
      <c r="BO2259" s="1">
        <v>0</v>
      </c>
      <c r="BP2259" s="1">
        <v>0</v>
      </c>
      <c r="BQ2259" s="1" t="s">
        <v>104</v>
      </c>
      <c r="BR2259" s="1">
        <v>2377</v>
      </c>
      <c r="BS2259" s="1">
        <v>250</v>
      </c>
      <c r="BX2259" s="1">
        <v>0</v>
      </c>
      <c r="BY2259" s="1" t="s">
        <v>104</v>
      </c>
      <c r="BZ2259" s="1" t="s">
        <v>104</v>
      </c>
      <c r="CA2259" s="1">
        <v>7</v>
      </c>
      <c r="CB2259" s="1" t="s">
        <v>104</v>
      </c>
      <c r="CC2259" s="1" t="s">
        <v>104</v>
      </c>
      <c r="CD2259" s="1">
        <v>6</v>
      </c>
      <c r="CE2259" s="1" t="s">
        <v>104</v>
      </c>
      <c r="CF2259" s="1" t="s">
        <v>104</v>
      </c>
      <c r="CG2259" s="1" t="s">
        <v>104</v>
      </c>
      <c r="CH2259" s="1" t="s">
        <v>104</v>
      </c>
      <c r="CJ2259" s="1">
        <v>0</v>
      </c>
      <c r="CK2259" s="1">
        <v>0</v>
      </c>
      <c r="CL2259" s="1">
        <v>0</v>
      </c>
      <c r="CM2259" s="1" t="s">
        <v>104</v>
      </c>
    </row>
    <row r="2260" spans="1:91" ht="14.25" customHeight="1" x14ac:dyDescent="0.3">
      <c r="A2260" s="1" t="s">
        <v>11661</v>
      </c>
      <c r="B2260" s="1" t="s">
        <v>434</v>
      </c>
      <c r="D2260" s="1" t="s">
        <v>57</v>
      </c>
      <c r="E2260" s="1" t="s">
        <v>2513</v>
      </c>
      <c r="F2260" s="1" t="s">
        <v>95</v>
      </c>
      <c r="G2260" s="1" t="s">
        <v>2360</v>
      </c>
      <c r="H2260" s="1">
        <v>1</v>
      </c>
      <c r="I2260" s="1" t="s">
        <v>117</v>
      </c>
      <c r="K2260" s="1" t="s">
        <v>11662</v>
      </c>
      <c r="M2260" s="1" t="s">
        <v>426</v>
      </c>
      <c r="N2260" s="1">
        <v>1</v>
      </c>
      <c r="O2260" s="1">
        <v>0</v>
      </c>
      <c r="P2260" s="1" t="s">
        <v>100</v>
      </c>
      <c r="Q2260" s="1" t="s">
        <v>184</v>
      </c>
      <c r="R2260" s="1" t="s">
        <v>11663</v>
      </c>
      <c r="S2260" s="1" t="s">
        <v>11617</v>
      </c>
      <c r="T2260" s="1">
        <v>1</v>
      </c>
      <c r="U2260" s="1">
        <v>1</v>
      </c>
      <c r="V2260" s="1">
        <v>0</v>
      </c>
      <c r="W2260" s="1">
        <v>0</v>
      </c>
      <c r="X2260" s="1">
        <v>0</v>
      </c>
      <c r="Y2260" s="1">
        <v>9</v>
      </c>
      <c r="Z2260" s="1">
        <v>9</v>
      </c>
      <c r="AA2260" s="1" t="s">
        <v>104</v>
      </c>
      <c r="AB2260" s="1" t="s">
        <v>104</v>
      </c>
      <c r="AC2260" s="1" t="s">
        <v>104</v>
      </c>
      <c r="AD2260" s="1" t="s">
        <v>104</v>
      </c>
      <c r="AE2260" s="1" t="s">
        <v>104</v>
      </c>
      <c r="AF2260" s="1" t="s">
        <v>104</v>
      </c>
      <c r="AG2260" s="1" t="s">
        <v>104</v>
      </c>
      <c r="AH2260" s="1" t="s">
        <v>104</v>
      </c>
      <c r="AI2260" s="1" t="s">
        <v>104</v>
      </c>
      <c r="AJ2260" s="1" t="s">
        <v>104</v>
      </c>
      <c r="AK2260" s="1" t="s">
        <v>104</v>
      </c>
      <c r="AL2260" s="1" t="s">
        <v>104</v>
      </c>
      <c r="AM2260" s="1" t="s">
        <v>104</v>
      </c>
      <c r="AO2260" s="1">
        <v>9</v>
      </c>
      <c r="AR2260" s="1">
        <v>0</v>
      </c>
      <c r="AS2260" s="1">
        <v>0</v>
      </c>
      <c r="AT2260" s="1">
        <v>0</v>
      </c>
      <c r="AU2260" s="1">
        <v>0</v>
      </c>
      <c r="AV2260" s="1">
        <v>0</v>
      </c>
      <c r="AW2260" s="1">
        <v>0</v>
      </c>
      <c r="AX2260" s="1">
        <v>0</v>
      </c>
      <c r="AY2260" s="1">
        <v>0</v>
      </c>
      <c r="AZ2260" s="1">
        <v>0</v>
      </c>
      <c r="BA2260" s="1">
        <v>0</v>
      </c>
      <c r="BB2260" s="1">
        <v>0</v>
      </c>
      <c r="BC2260" s="1">
        <v>0</v>
      </c>
      <c r="BD2260" s="1">
        <v>0</v>
      </c>
      <c r="BE2260" s="1">
        <v>0</v>
      </c>
      <c r="BF2260" s="1">
        <v>1</v>
      </c>
      <c r="BG2260" s="1">
        <v>0</v>
      </c>
      <c r="BH2260" s="1">
        <v>0</v>
      </c>
      <c r="BI2260" s="1">
        <v>0</v>
      </c>
      <c r="BJ2260" s="1">
        <v>0</v>
      </c>
      <c r="BK2260" s="1">
        <v>0</v>
      </c>
      <c r="BL2260" s="1">
        <v>0</v>
      </c>
      <c r="BM2260" s="1">
        <v>0</v>
      </c>
      <c r="BN2260" s="1">
        <v>0</v>
      </c>
      <c r="BO2260" s="1">
        <v>0</v>
      </c>
      <c r="BP2260" s="1">
        <v>0</v>
      </c>
      <c r="BQ2260" s="1" t="s">
        <v>104</v>
      </c>
      <c r="BR2260" s="1">
        <v>2378</v>
      </c>
      <c r="BS2260" s="1">
        <v>250</v>
      </c>
      <c r="BX2260" s="1">
        <v>0</v>
      </c>
      <c r="BY2260" s="1" t="s">
        <v>104</v>
      </c>
      <c r="BZ2260" s="1" t="s">
        <v>104</v>
      </c>
      <c r="CA2260" s="1" t="s">
        <v>104</v>
      </c>
      <c r="CB2260" s="1" t="s">
        <v>104</v>
      </c>
      <c r="CC2260" s="1" t="s">
        <v>104</v>
      </c>
      <c r="CD2260" s="1" t="s">
        <v>104</v>
      </c>
      <c r="CE2260" s="1" t="s">
        <v>104</v>
      </c>
      <c r="CF2260" s="1" t="s">
        <v>104</v>
      </c>
      <c r="CG2260" s="1" t="s">
        <v>104</v>
      </c>
      <c r="CH2260" s="1" t="s">
        <v>104</v>
      </c>
      <c r="CJ2260" s="1">
        <v>0</v>
      </c>
      <c r="CK2260" s="1">
        <v>0</v>
      </c>
      <c r="CL2260" s="1">
        <v>0</v>
      </c>
      <c r="CM2260" s="1" t="s">
        <v>104</v>
      </c>
    </row>
    <row r="2261" spans="1:91" ht="14.25" customHeight="1" x14ac:dyDescent="0.3">
      <c r="A2261" s="1" t="s">
        <v>11664</v>
      </c>
      <c r="B2261" s="1" t="s">
        <v>172</v>
      </c>
      <c r="E2261" s="1" t="s">
        <v>11665</v>
      </c>
      <c r="F2261" s="1" t="s">
        <v>255</v>
      </c>
      <c r="G2261" s="1" t="s">
        <v>116</v>
      </c>
      <c r="H2261" s="1">
        <v>0</v>
      </c>
      <c r="I2261" s="1" t="s">
        <v>117</v>
      </c>
      <c r="L2261" s="1" t="s">
        <v>11666</v>
      </c>
      <c r="M2261" s="1" t="s">
        <v>4292</v>
      </c>
      <c r="N2261" s="1">
        <v>0</v>
      </c>
      <c r="O2261" s="1">
        <v>0</v>
      </c>
      <c r="P2261" s="1" t="s">
        <v>100</v>
      </c>
      <c r="Q2261" s="1" t="s">
        <v>184</v>
      </c>
      <c r="R2261" s="1" t="s">
        <v>11667</v>
      </c>
      <c r="S2261" s="1" t="s">
        <v>11617</v>
      </c>
      <c r="T2261" s="1">
        <v>1</v>
      </c>
      <c r="U2261" s="1">
        <v>1</v>
      </c>
      <c r="V2261" s="1">
        <v>0</v>
      </c>
      <c r="W2261" s="1">
        <v>0</v>
      </c>
      <c r="X2261" s="1">
        <v>0</v>
      </c>
      <c r="Y2261" s="1">
        <v>1</v>
      </c>
      <c r="Z2261" s="1">
        <v>1</v>
      </c>
      <c r="AA2261" s="1" t="s">
        <v>104</v>
      </c>
      <c r="AB2261" s="1" t="s">
        <v>104</v>
      </c>
      <c r="AC2261" s="1" t="s">
        <v>104</v>
      </c>
      <c r="AD2261" s="1">
        <v>1</v>
      </c>
      <c r="AE2261" s="1" t="s">
        <v>104</v>
      </c>
      <c r="AF2261" s="1" t="s">
        <v>104</v>
      </c>
      <c r="AG2261" s="1" t="s">
        <v>104</v>
      </c>
      <c r="AH2261" s="1">
        <v>1</v>
      </c>
      <c r="AI2261" s="1" t="s">
        <v>104</v>
      </c>
      <c r="AJ2261" s="1" t="s">
        <v>104</v>
      </c>
      <c r="AK2261" s="1" t="s">
        <v>104</v>
      </c>
      <c r="AL2261" s="1" t="s">
        <v>104</v>
      </c>
      <c r="AM2261" s="1" t="s">
        <v>104</v>
      </c>
      <c r="AO2261" s="1">
        <v>1</v>
      </c>
      <c r="AR2261" s="1">
        <v>0</v>
      </c>
      <c r="AS2261" s="1">
        <v>0</v>
      </c>
      <c r="AT2261" s="1">
        <v>0</v>
      </c>
      <c r="AU2261" s="1">
        <v>0</v>
      </c>
      <c r="AV2261" s="1">
        <v>0</v>
      </c>
      <c r="AW2261" s="1">
        <v>0</v>
      </c>
      <c r="AX2261" s="1">
        <v>0</v>
      </c>
      <c r="AY2261" s="1">
        <v>0</v>
      </c>
      <c r="AZ2261" s="1">
        <v>0</v>
      </c>
      <c r="BA2261" s="1">
        <v>0</v>
      </c>
      <c r="BB2261" s="1">
        <v>0</v>
      </c>
      <c r="BC2261" s="1">
        <v>0</v>
      </c>
      <c r="BD2261" s="1">
        <v>0</v>
      </c>
      <c r="BE2261" s="1">
        <v>0</v>
      </c>
      <c r="BF2261" s="1">
        <v>0</v>
      </c>
      <c r="BG2261" s="1">
        <v>0</v>
      </c>
      <c r="BH2261" s="1">
        <v>0</v>
      </c>
      <c r="BI2261" s="1">
        <v>0</v>
      </c>
      <c r="BJ2261" s="1">
        <v>0</v>
      </c>
      <c r="BK2261" s="1">
        <v>0</v>
      </c>
      <c r="BL2261" s="1">
        <v>0</v>
      </c>
      <c r="BM2261" s="1">
        <v>0</v>
      </c>
      <c r="BN2261" s="1">
        <v>0</v>
      </c>
      <c r="BO2261" s="1">
        <v>0</v>
      </c>
      <c r="BP2261" s="1">
        <v>0</v>
      </c>
      <c r="BQ2261" s="1" t="s">
        <v>104</v>
      </c>
      <c r="BR2261" s="1">
        <v>2379</v>
      </c>
      <c r="BS2261" s="1" t="s">
        <v>104</v>
      </c>
      <c r="BX2261" s="1">
        <v>0</v>
      </c>
      <c r="BY2261" s="1" t="s">
        <v>104</v>
      </c>
      <c r="BZ2261" s="1">
        <v>1</v>
      </c>
      <c r="CA2261" s="1">
        <v>1</v>
      </c>
      <c r="CB2261" s="1">
        <v>1</v>
      </c>
      <c r="CC2261" s="1">
        <v>1</v>
      </c>
      <c r="CD2261" s="1">
        <v>1</v>
      </c>
      <c r="CE2261" s="1" t="s">
        <v>104</v>
      </c>
      <c r="CF2261" s="1" t="s">
        <v>104</v>
      </c>
      <c r="CG2261" s="1" t="s">
        <v>104</v>
      </c>
      <c r="CH2261" s="1" t="s">
        <v>104</v>
      </c>
      <c r="CJ2261" s="1">
        <v>0</v>
      </c>
      <c r="CK2261" s="1">
        <v>0</v>
      </c>
      <c r="CL2261" s="1">
        <v>0</v>
      </c>
      <c r="CM2261" s="1" t="s">
        <v>104</v>
      </c>
    </row>
    <row r="2262" spans="1:91" ht="14.25" customHeight="1" x14ac:dyDescent="0.3">
      <c r="A2262" s="1" t="s">
        <v>11668</v>
      </c>
      <c r="B2262" s="1" t="s">
        <v>137</v>
      </c>
      <c r="E2262" s="1" t="s">
        <v>11669</v>
      </c>
      <c r="F2262" s="1" t="s">
        <v>95</v>
      </c>
      <c r="G2262" s="1" t="s">
        <v>116</v>
      </c>
      <c r="H2262" s="1">
        <v>0</v>
      </c>
      <c r="I2262" s="1" t="s">
        <v>128</v>
      </c>
      <c r="L2262" s="1" t="s">
        <v>11670</v>
      </c>
      <c r="M2262" s="1" t="s">
        <v>2330</v>
      </c>
      <c r="N2262" s="1">
        <v>0</v>
      </c>
      <c r="O2262" s="1">
        <v>0</v>
      </c>
      <c r="P2262" s="1" t="s">
        <v>183</v>
      </c>
      <c r="Q2262" s="1" t="s">
        <v>101</v>
      </c>
      <c r="R2262" s="1" t="s">
        <v>11671</v>
      </c>
      <c r="S2262" s="1" t="s">
        <v>11617</v>
      </c>
      <c r="T2262" s="1">
        <v>1</v>
      </c>
      <c r="U2262" s="1">
        <v>1</v>
      </c>
      <c r="V2262" s="1">
        <v>0</v>
      </c>
      <c r="W2262" s="1">
        <v>0</v>
      </c>
      <c r="X2262" s="1">
        <v>0</v>
      </c>
      <c r="Y2262" s="1">
        <v>2</v>
      </c>
      <c r="Z2262" s="1">
        <v>2</v>
      </c>
      <c r="AA2262" s="1" t="s">
        <v>104</v>
      </c>
      <c r="AB2262" s="1" t="s">
        <v>104</v>
      </c>
      <c r="AC2262" s="1" t="s">
        <v>104</v>
      </c>
      <c r="AD2262" s="1" t="s">
        <v>104</v>
      </c>
      <c r="AE2262" s="1" t="s">
        <v>104</v>
      </c>
      <c r="AF2262" s="1" t="s">
        <v>104</v>
      </c>
      <c r="AG2262" s="1" t="s">
        <v>104</v>
      </c>
      <c r="AH2262" s="1">
        <v>2</v>
      </c>
      <c r="AI2262" s="1" t="s">
        <v>104</v>
      </c>
      <c r="AJ2262" s="1" t="s">
        <v>104</v>
      </c>
      <c r="AK2262" s="1" t="s">
        <v>104</v>
      </c>
      <c r="AL2262" s="1">
        <v>2</v>
      </c>
      <c r="AM2262" s="1" t="s">
        <v>104</v>
      </c>
      <c r="AO2262" s="1">
        <v>2</v>
      </c>
      <c r="AR2262" s="1">
        <v>0</v>
      </c>
      <c r="AS2262" s="1">
        <v>0</v>
      </c>
      <c r="AT2262" s="1">
        <v>0</v>
      </c>
      <c r="AU2262" s="1">
        <v>0</v>
      </c>
      <c r="AV2262" s="1">
        <v>0</v>
      </c>
      <c r="AW2262" s="1">
        <v>0</v>
      </c>
      <c r="AX2262" s="1">
        <v>0</v>
      </c>
      <c r="AY2262" s="1">
        <v>0</v>
      </c>
      <c r="AZ2262" s="1">
        <v>0</v>
      </c>
      <c r="BA2262" s="1">
        <v>0</v>
      </c>
      <c r="BB2262" s="1">
        <v>0</v>
      </c>
      <c r="BC2262" s="1">
        <v>0</v>
      </c>
      <c r="BD2262" s="1">
        <v>0</v>
      </c>
      <c r="BE2262" s="1">
        <v>0</v>
      </c>
      <c r="BF2262" s="1">
        <v>0</v>
      </c>
      <c r="BG2262" s="1">
        <v>0</v>
      </c>
      <c r="BH2262" s="1">
        <v>0</v>
      </c>
      <c r="BI2262" s="1">
        <v>0</v>
      </c>
      <c r="BJ2262" s="1">
        <v>0</v>
      </c>
      <c r="BK2262" s="1">
        <v>0</v>
      </c>
      <c r="BL2262" s="1">
        <v>0</v>
      </c>
      <c r="BM2262" s="1">
        <v>0</v>
      </c>
      <c r="BN2262" s="1">
        <v>0</v>
      </c>
      <c r="BO2262" s="1">
        <v>0</v>
      </c>
      <c r="BP2262" s="1">
        <v>0</v>
      </c>
      <c r="BQ2262" s="1" t="s">
        <v>104</v>
      </c>
      <c r="BR2262" s="1">
        <v>2380</v>
      </c>
      <c r="BS2262" s="1" t="s">
        <v>104</v>
      </c>
      <c r="BX2262" s="1">
        <v>0</v>
      </c>
      <c r="BY2262" s="1">
        <v>2</v>
      </c>
      <c r="BZ2262" s="1">
        <v>2</v>
      </c>
      <c r="CA2262" s="1">
        <v>2</v>
      </c>
      <c r="CB2262" s="1" t="s">
        <v>104</v>
      </c>
      <c r="CC2262" s="1" t="s">
        <v>104</v>
      </c>
      <c r="CD2262" s="1">
        <v>2</v>
      </c>
      <c r="CE2262" s="1" t="s">
        <v>104</v>
      </c>
      <c r="CF2262" s="1" t="s">
        <v>104</v>
      </c>
      <c r="CG2262" s="1" t="s">
        <v>104</v>
      </c>
      <c r="CH2262" s="1" t="s">
        <v>104</v>
      </c>
      <c r="CJ2262" s="1">
        <v>0</v>
      </c>
      <c r="CK2262" s="1">
        <v>0</v>
      </c>
      <c r="CL2262" s="1">
        <v>0</v>
      </c>
      <c r="CM2262" s="1" t="s">
        <v>104</v>
      </c>
    </row>
    <row r="2263" spans="1:91" ht="14.25" customHeight="1" x14ac:dyDescent="0.3">
      <c r="A2263" s="1" t="s">
        <v>11672</v>
      </c>
      <c r="B2263" s="1" t="s">
        <v>137</v>
      </c>
      <c r="E2263" s="1" t="s">
        <v>11673</v>
      </c>
      <c r="F2263" s="1" t="s">
        <v>95</v>
      </c>
      <c r="G2263" s="1" t="s">
        <v>116</v>
      </c>
      <c r="H2263" s="1">
        <v>0</v>
      </c>
      <c r="I2263" s="1" t="s">
        <v>117</v>
      </c>
      <c r="L2263" s="1" t="s">
        <v>1254</v>
      </c>
      <c r="M2263" s="1" t="s">
        <v>4292</v>
      </c>
      <c r="N2263" s="1">
        <v>0</v>
      </c>
      <c r="O2263" s="1">
        <v>0</v>
      </c>
      <c r="P2263" s="1" t="s">
        <v>148</v>
      </c>
      <c r="Q2263" s="1" t="s">
        <v>149</v>
      </c>
      <c r="R2263" s="1" t="s">
        <v>11674</v>
      </c>
      <c r="S2263" s="1" t="s">
        <v>11617</v>
      </c>
      <c r="T2263" s="1">
        <v>1</v>
      </c>
      <c r="U2263" s="1">
        <v>1</v>
      </c>
      <c r="V2263" s="1">
        <v>0</v>
      </c>
      <c r="W2263" s="1">
        <v>0</v>
      </c>
      <c r="X2263" s="1">
        <v>0</v>
      </c>
      <c r="Y2263" s="1">
        <v>2</v>
      </c>
      <c r="Z2263" s="1">
        <v>2</v>
      </c>
      <c r="AA2263" s="1" t="s">
        <v>104</v>
      </c>
      <c r="AB2263" s="1" t="s">
        <v>104</v>
      </c>
      <c r="AC2263" s="1" t="s">
        <v>104</v>
      </c>
      <c r="AD2263" s="1" t="s">
        <v>104</v>
      </c>
      <c r="AE2263" s="1">
        <v>2</v>
      </c>
      <c r="AF2263" s="1" t="s">
        <v>104</v>
      </c>
      <c r="AG2263" s="1" t="s">
        <v>104</v>
      </c>
      <c r="AH2263" s="1" t="s">
        <v>104</v>
      </c>
      <c r="AI2263" s="1">
        <v>3</v>
      </c>
      <c r="AJ2263" s="1" t="s">
        <v>104</v>
      </c>
      <c r="AK2263" s="1" t="s">
        <v>104</v>
      </c>
      <c r="AL2263" s="1">
        <v>2</v>
      </c>
      <c r="AM2263" s="1" t="s">
        <v>104</v>
      </c>
      <c r="AO2263" s="1">
        <v>2</v>
      </c>
      <c r="AR2263" s="1">
        <v>0</v>
      </c>
      <c r="AS2263" s="1">
        <v>0</v>
      </c>
      <c r="AT2263" s="1">
        <v>0</v>
      </c>
      <c r="AU2263" s="1">
        <v>0</v>
      </c>
      <c r="AV2263" s="1">
        <v>0</v>
      </c>
      <c r="AW2263" s="1">
        <v>0</v>
      </c>
      <c r="AX2263" s="1">
        <v>0</v>
      </c>
      <c r="AY2263" s="1">
        <v>0</v>
      </c>
      <c r="AZ2263" s="1">
        <v>0</v>
      </c>
      <c r="BA2263" s="1">
        <v>0</v>
      </c>
      <c r="BB2263" s="1">
        <v>0</v>
      </c>
      <c r="BC2263" s="1">
        <v>0</v>
      </c>
      <c r="BD2263" s="1">
        <v>0</v>
      </c>
      <c r="BE2263" s="1">
        <v>0</v>
      </c>
      <c r="BF2263" s="1">
        <v>0</v>
      </c>
      <c r="BG2263" s="1">
        <v>0</v>
      </c>
      <c r="BH2263" s="1">
        <v>0</v>
      </c>
      <c r="BI2263" s="1">
        <v>0</v>
      </c>
      <c r="BJ2263" s="1">
        <v>0</v>
      </c>
      <c r="BK2263" s="1">
        <v>0</v>
      </c>
      <c r="BL2263" s="1">
        <v>0</v>
      </c>
      <c r="BM2263" s="1">
        <v>0</v>
      </c>
      <c r="BN2263" s="1">
        <v>0</v>
      </c>
      <c r="BO2263" s="1">
        <v>0</v>
      </c>
      <c r="BP2263" s="1">
        <v>0</v>
      </c>
      <c r="BQ2263" s="1" t="s">
        <v>104</v>
      </c>
      <c r="BR2263" s="1">
        <v>2381</v>
      </c>
      <c r="BS2263" s="1" t="s">
        <v>104</v>
      </c>
      <c r="BX2263" s="1">
        <v>0</v>
      </c>
      <c r="BY2263" s="1">
        <v>2</v>
      </c>
      <c r="BZ2263" s="1" t="s">
        <v>104</v>
      </c>
      <c r="CA2263" s="1" t="s">
        <v>104</v>
      </c>
      <c r="CB2263" s="1" t="s">
        <v>104</v>
      </c>
      <c r="CC2263" s="1" t="s">
        <v>104</v>
      </c>
      <c r="CD2263" s="1">
        <v>2</v>
      </c>
      <c r="CE2263" s="1" t="s">
        <v>104</v>
      </c>
      <c r="CF2263" s="1" t="s">
        <v>104</v>
      </c>
      <c r="CG2263" s="1" t="s">
        <v>104</v>
      </c>
      <c r="CH2263" s="1" t="s">
        <v>104</v>
      </c>
      <c r="CJ2263" s="1">
        <v>0</v>
      </c>
      <c r="CK2263" s="1">
        <v>0</v>
      </c>
      <c r="CL2263" s="1">
        <v>0</v>
      </c>
      <c r="CM2263" s="1" t="s">
        <v>104</v>
      </c>
    </row>
    <row r="2264" spans="1:91" ht="14.25" customHeight="1" x14ac:dyDescent="0.3">
      <c r="A2264" s="1" t="s">
        <v>11675</v>
      </c>
      <c r="B2264" s="1" t="s">
        <v>92</v>
      </c>
      <c r="C2264" s="1" t="s">
        <v>523</v>
      </c>
      <c r="D2264" s="1" t="s">
        <v>58</v>
      </c>
      <c r="E2264" s="1" t="s">
        <v>11676</v>
      </c>
      <c r="F2264" s="1" t="s">
        <v>255</v>
      </c>
      <c r="G2264" s="1" t="s">
        <v>11677</v>
      </c>
      <c r="H2264" s="1">
        <v>0</v>
      </c>
      <c r="I2264" s="1" t="s">
        <v>128</v>
      </c>
      <c r="L2264" s="1" t="s">
        <v>374</v>
      </c>
      <c r="M2264" s="1" t="s">
        <v>7517</v>
      </c>
      <c r="N2264" s="1">
        <v>0</v>
      </c>
      <c r="O2264" s="1">
        <v>0</v>
      </c>
      <c r="P2264" s="1" t="s">
        <v>375</v>
      </c>
      <c r="Q2264" s="1" t="s">
        <v>131</v>
      </c>
      <c r="R2264" s="1" t="s">
        <v>11678</v>
      </c>
      <c r="S2264" s="1" t="s">
        <v>11617</v>
      </c>
      <c r="T2264" s="1">
        <v>1</v>
      </c>
      <c r="U2264" s="1">
        <v>1</v>
      </c>
      <c r="V2264" s="1">
        <v>1</v>
      </c>
      <c r="W2264" s="1">
        <v>0</v>
      </c>
      <c r="X2264" s="1">
        <v>0</v>
      </c>
      <c r="Y2264" s="1">
        <v>1</v>
      </c>
      <c r="Z2264" s="1">
        <v>1</v>
      </c>
      <c r="AA2264" s="1">
        <v>1</v>
      </c>
      <c r="AB2264" s="1" t="s">
        <v>104</v>
      </c>
      <c r="AC2264" s="1" t="s">
        <v>104</v>
      </c>
      <c r="AD2264" s="1" t="s">
        <v>104</v>
      </c>
      <c r="AE2264" s="1" t="s">
        <v>104</v>
      </c>
      <c r="AF2264" s="1" t="s">
        <v>104</v>
      </c>
      <c r="AG2264" s="1">
        <v>1</v>
      </c>
      <c r="AH2264" s="1">
        <v>1</v>
      </c>
      <c r="AI2264" s="1" t="s">
        <v>104</v>
      </c>
      <c r="AJ2264" s="1">
        <v>1</v>
      </c>
      <c r="AK2264" s="1" t="s">
        <v>104</v>
      </c>
      <c r="AL2264" s="1">
        <v>1</v>
      </c>
      <c r="AM2264" s="1" t="s">
        <v>104</v>
      </c>
      <c r="AO2264" s="1">
        <v>1</v>
      </c>
      <c r="AR2264" s="1">
        <v>0</v>
      </c>
      <c r="AS2264" s="1">
        <v>0</v>
      </c>
      <c r="AT2264" s="1">
        <v>0</v>
      </c>
      <c r="AU2264" s="1">
        <v>0</v>
      </c>
      <c r="AV2264" s="1">
        <v>0</v>
      </c>
      <c r="AW2264" s="1">
        <v>0</v>
      </c>
      <c r="AX2264" s="1">
        <v>0</v>
      </c>
      <c r="AY2264" s="1">
        <v>0</v>
      </c>
      <c r="AZ2264" s="1">
        <v>0</v>
      </c>
      <c r="BA2264" s="1">
        <v>0</v>
      </c>
      <c r="BB2264" s="1">
        <v>0</v>
      </c>
      <c r="BC2264" s="1">
        <v>0</v>
      </c>
      <c r="BD2264" s="1">
        <v>0</v>
      </c>
      <c r="BE2264" s="1">
        <v>0</v>
      </c>
      <c r="BF2264" s="1">
        <v>0</v>
      </c>
      <c r="BG2264" s="1">
        <v>1</v>
      </c>
      <c r="BH2264" s="1">
        <v>0</v>
      </c>
      <c r="BI2264" s="1">
        <v>0</v>
      </c>
      <c r="BJ2264" s="1">
        <v>0</v>
      </c>
      <c r="BK2264" s="1">
        <v>0</v>
      </c>
      <c r="BL2264" s="1">
        <v>0</v>
      </c>
      <c r="BM2264" s="1">
        <v>0</v>
      </c>
      <c r="BN2264" s="1">
        <v>0</v>
      </c>
      <c r="BO2264" s="1">
        <v>0</v>
      </c>
      <c r="BP2264" s="1">
        <v>0</v>
      </c>
      <c r="BQ2264" s="1" t="s">
        <v>104</v>
      </c>
      <c r="BR2264" s="1">
        <v>2382</v>
      </c>
      <c r="BS2264" s="1" t="s">
        <v>104</v>
      </c>
      <c r="BX2264" s="1">
        <v>0</v>
      </c>
      <c r="BY2264" s="1">
        <v>1</v>
      </c>
      <c r="BZ2264" s="1" t="s">
        <v>104</v>
      </c>
      <c r="CA2264" s="1" t="s">
        <v>104</v>
      </c>
      <c r="CB2264" s="1" t="s">
        <v>104</v>
      </c>
      <c r="CC2264" s="1" t="s">
        <v>104</v>
      </c>
      <c r="CD2264" s="1" t="s">
        <v>104</v>
      </c>
      <c r="CE2264" s="1" t="s">
        <v>104</v>
      </c>
      <c r="CF2264" s="1" t="s">
        <v>104</v>
      </c>
      <c r="CG2264" s="1" t="s">
        <v>104</v>
      </c>
      <c r="CH2264" s="1" t="s">
        <v>104</v>
      </c>
      <c r="CJ2264" s="1">
        <v>0</v>
      </c>
      <c r="CK2264" s="1">
        <v>0</v>
      </c>
      <c r="CL2264" s="1">
        <v>0</v>
      </c>
      <c r="CM2264" s="1">
        <v>1</v>
      </c>
    </row>
    <row r="2265" spans="1:91" ht="14.25" customHeight="1" x14ac:dyDescent="0.3">
      <c r="A2265" s="1" t="s">
        <v>11679</v>
      </c>
      <c r="B2265" s="1" t="s">
        <v>92</v>
      </c>
      <c r="C2265" s="1" t="s">
        <v>523</v>
      </c>
      <c r="D2265" s="1" t="s">
        <v>58</v>
      </c>
      <c r="E2265" s="1" t="s">
        <v>11680</v>
      </c>
      <c r="F2265" s="1" t="s">
        <v>255</v>
      </c>
      <c r="G2265" s="1" t="s">
        <v>11677</v>
      </c>
      <c r="H2265" s="1">
        <v>0</v>
      </c>
      <c r="I2265" s="1" t="s">
        <v>128</v>
      </c>
      <c r="L2265" s="1" t="s">
        <v>374</v>
      </c>
      <c r="M2265" s="1" t="s">
        <v>7517</v>
      </c>
      <c r="N2265" s="1">
        <v>0</v>
      </c>
      <c r="O2265" s="1">
        <v>0</v>
      </c>
      <c r="P2265" s="1" t="s">
        <v>375</v>
      </c>
      <c r="Q2265" s="1" t="s">
        <v>131</v>
      </c>
      <c r="R2265" s="1" t="s">
        <v>11681</v>
      </c>
      <c r="S2265" s="1" t="s">
        <v>11617</v>
      </c>
      <c r="T2265" s="1">
        <v>1</v>
      </c>
      <c r="U2265" s="1">
        <v>1</v>
      </c>
      <c r="V2265" s="1">
        <v>1</v>
      </c>
      <c r="W2265" s="1">
        <v>0</v>
      </c>
      <c r="X2265" s="1">
        <v>0</v>
      </c>
      <c r="Y2265" s="1">
        <v>4</v>
      </c>
      <c r="Z2265" s="1">
        <v>4</v>
      </c>
      <c r="AA2265" s="1">
        <v>4</v>
      </c>
      <c r="AB2265" s="1" t="s">
        <v>104</v>
      </c>
      <c r="AC2265" s="1" t="s">
        <v>104</v>
      </c>
      <c r="AD2265" s="1" t="s">
        <v>104</v>
      </c>
      <c r="AE2265" s="1" t="s">
        <v>104</v>
      </c>
      <c r="AF2265" s="1" t="s">
        <v>104</v>
      </c>
      <c r="AG2265" s="1">
        <v>4</v>
      </c>
      <c r="AH2265" s="1">
        <v>4</v>
      </c>
      <c r="AI2265" s="1" t="s">
        <v>104</v>
      </c>
      <c r="AJ2265" s="1">
        <v>4</v>
      </c>
      <c r="AK2265" s="1" t="s">
        <v>104</v>
      </c>
      <c r="AL2265" s="1">
        <v>4</v>
      </c>
      <c r="AM2265" s="1" t="s">
        <v>104</v>
      </c>
      <c r="AO2265" s="1">
        <v>4</v>
      </c>
      <c r="AR2265" s="1">
        <v>0</v>
      </c>
      <c r="AS2265" s="1">
        <v>0</v>
      </c>
      <c r="AT2265" s="1">
        <v>0</v>
      </c>
      <c r="AU2265" s="1">
        <v>0</v>
      </c>
      <c r="AV2265" s="1">
        <v>0</v>
      </c>
      <c r="AW2265" s="1">
        <v>0</v>
      </c>
      <c r="AX2265" s="1">
        <v>0</v>
      </c>
      <c r="AY2265" s="1">
        <v>0</v>
      </c>
      <c r="AZ2265" s="1">
        <v>0</v>
      </c>
      <c r="BA2265" s="1">
        <v>0</v>
      </c>
      <c r="BB2265" s="1">
        <v>0</v>
      </c>
      <c r="BC2265" s="1">
        <v>0</v>
      </c>
      <c r="BD2265" s="1">
        <v>0</v>
      </c>
      <c r="BE2265" s="1">
        <v>0</v>
      </c>
      <c r="BF2265" s="1">
        <v>0</v>
      </c>
      <c r="BG2265" s="1">
        <v>1</v>
      </c>
      <c r="BH2265" s="1">
        <v>0</v>
      </c>
      <c r="BI2265" s="1">
        <v>0</v>
      </c>
      <c r="BJ2265" s="1">
        <v>0</v>
      </c>
      <c r="BK2265" s="1">
        <v>0</v>
      </c>
      <c r="BL2265" s="1">
        <v>0</v>
      </c>
      <c r="BM2265" s="1">
        <v>0</v>
      </c>
      <c r="BN2265" s="1">
        <v>0</v>
      </c>
      <c r="BO2265" s="1">
        <v>0</v>
      </c>
      <c r="BP2265" s="1">
        <v>0</v>
      </c>
      <c r="BQ2265" s="1" t="s">
        <v>104</v>
      </c>
      <c r="BR2265" s="1">
        <v>2383</v>
      </c>
      <c r="BS2265" s="1" t="s">
        <v>104</v>
      </c>
      <c r="BX2265" s="1">
        <v>0</v>
      </c>
      <c r="BY2265" s="1">
        <v>4</v>
      </c>
      <c r="BZ2265" s="1" t="s">
        <v>104</v>
      </c>
      <c r="CA2265" s="1" t="s">
        <v>104</v>
      </c>
      <c r="CB2265" s="1" t="s">
        <v>104</v>
      </c>
      <c r="CC2265" s="1" t="s">
        <v>104</v>
      </c>
      <c r="CD2265" s="1" t="s">
        <v>104</v>
      </c>
      <c r="CE2265" s="1" t="s">
        <v>104</v>
      </c>
      <c r="CF2265" s="1" t="s">
        <v>104</v>
      </c>
      <c r="CG2265" s="1" t="s">
        <v>104</v>
      </c>
      <c r="CH2265" s="1" t="s">
        <v>104</v>
      </c>
      <c r="CJ2265" s="1">
        <v>0</v>
      </c>
      <c r="CK2265" s="1">
        <v>0</v>
      </c>
      <c r="CL2265" s="1">
        <v>0</v>
      </c>
      <c r="CM2265" s="1">
        <v>4</v>
      </c>
    </row>
    <row r="2266" spans="1:91" ht="14.25" customHeight="1" x14ac:dyDescent="0.3">
      <c r="A2266" s="1" t="s">
        <v>11682</v>
      </c>
      <c r="B2266" s="1" t="s">
        <v>137</v>
      </c>
      <c r="E2266" s="1" t="s">
        <v>3091</v>
      </c>
      <c r="F2266" s="1" t="s">
        <v>287</v>
      </c>
      <c r="G2266" s="1" t="s">
        <v>11683</v>
      </c>
      <c r="H2266" s="1">
        <v>1</v>
      </c>
      <c r="I2266" s="1" t="s">
        <v>128</v>
      </c>
      <c r="L2266" s="1" t="s">
        <v>2992</v>
      </c>
      <c r="M2266" s="1" t="s">
        <v>119</v>
      </c>
      <c r="N2266" s="1">
        <v>0</v>
      </c>
      <c r="O2266" s="1">
        <v>0</v>
      </c>
      <c r="P2266" s="1" t="s">
        <v>2281</v>
      </c>
      <c r="Q2266" s="1" t="s">
        <v>131</v>
      </c>
      <c r="R2266" s="1" t="s">
        <v>11684</v>
      </c>
      <c r="S2266" s="1" t="s">
        <v>11617</v>
      </c>
      <c r="T2266" s="1">
        <v>1</v>
      </c>
      <c r="U2266" s="1">
        <v>1</v>
      </c>
      <c r="V2266" s="1">
        <v>1</v>
      </c>
      <c r="W2266" s="1">
        <v>0</v>
      </c>
      <c r="X2266" s="1">
        <v>1</v>
      </c>
      <c r="Y2266" s="1" t="s">
        <v>104</v>
      </c>
      <c r="Z2266" s="1" t="s">
        <v>104</v>
      </c>
      <c r="AA2266" s="1" t="s">
        <v>104</v>
      </c>
      <c r="AB2266" s="1">
        <v>6</v>
      </c>
      <c r="AC2266" s="1" t="s">
        <v>104</v>
      </c>
      <c r="AD2266" s="1" t="s">
        <v>104</v>
      </c>
      <c r="AE2266" s="1" t="s">
        <v>104</v>
      </c>
      <c r="AF2266" s="1" t="s">
        <v>104</v>
      </c>
      <c r="AG2266" s="1" t="s">
        <v>104</v>
      </c>
      <c r="AH2266" s="1" t="s">
        <v>104</v>
      </c>
      <c r="AI2266" s="1" t="s">
        <v>104</v>
      </c>
      <c r="AJ2266" s="1" t="s">
        <v>104</v>
      </c>
      <c r="AK2266" s="1" t="s">
        <v>104</v>
      </c>
      <c r="AL2266" s="1" t="s">
        <v>104</v>
      </c>
      <c r="AM2266" s="1" t="s">
        <v>104</v>
      </c>
      <c r="AO2266" s="1">
        <v>6</v>
      </c>
      <c r="AR2266" s="1">
        <v>0</v>
      </c>
      <c r="AS2266" s="1">
        <v>0</v>
      </c>
      <c r="AT2266" s="1">
        <v>0</v>
      </c>
      <c r="AU2266" s="1">
        <v>0</v>
      </c>
      <c r="AV2266" s="1">
        <v>0</v>
      </c>
      <c r="AW2266" s="1">
        <v>0</v>
      </c>
      <c r="AX2266" s="1">
        <v>0</v>
      </c>
      <c r="AY2266" s="1">
        <v>0</v>
      </c>
      <c r="AZ2266" s="1">
        <v>0</v>
      </c>
      <c r="BA2266" s="1">
        <v>0</v>
      </c>
      <c r="BB2266" s="1">
        <v>0</v>
      </c>
      <c r="BC2266" s="1">
        <v>0</v>
      </c>
      <c r="BD2266" s="1">
        <v>0</v>
      </c>
      <c r="BE2266" s="1">
        <v>0</v>
      </c>
      <c r="BF2266" s="1">
        <v>0</v>
      </c>
      <c r="BG2266" s="1">
        <v>0</v>
      </c>
      <c r="BH2266" s="1">
        <v>0</v>
      </c>
      <c r="BI2266" s="1">
        <v>0</v>
      </c>
      <c r="BJ2266" s="1">
        <v>0</v>
      </c>
      <c r="BK2266" s="1">
        <v>0</v>
      </c>
      <c r="BL2266" s="1">
        <v>0</v>
      </c>
      <c r="BM2266" s="1">
        <v>0</v>
      </c>
      <c r="BN2266" s="1">
        <v>0</v>
      </c>
      <c r="BO2266" s="1">
        <v>0</v>
      </c>
      <c r="BP2266" s="1">
        <v>0</v>
      </c>
      <c r="BQ2266" s="1" t="s">
        <v>104</v>
      </c>
      <c r="BR2266" s="1">
        <v>2384</v>
      </c>
      <c r="BS2266" s="1">
        <v>5000</v>
      </c>
      <c r="BX2266" s="1">
        <v>0</v>
      </c>
      <c r="BY2266" s="1" t="s">
        <v>104</v>
      </c>
      <c r="BZ2266" s="1" t="s">
        <v>104</v>
      </c>
      <c r="CA2266" s="1" t="s">
        <v>104</v>
      </c>
      <c r="CB2266" s="1" t="s">
        <v>104</v>
      </c>
      <c r="CC2266" s="1" t="s">
        <v>104</v>
      </c>
      <c r="CD2266" s="1" t="s">
        <v>104</v>
      </c>
      <c r="CE2266" s="1" t="s">
        <v>104</v>
      </c>
      <c r="CF2266" s="1" t="s">
        <v>104</v>
      </c>
      <c r="CG2266" s="1" t="s">
        <v>104</v>
      </c>
      <c r="CH2266" s="1">
        <v>6</v>
      </c>
      <c r="CJ2266" s="1">
        <v>0</v>
      </c>
      <c r="CK2266" s="1">
        <v>0</v>
      </c>
      <c r="CL2266" s="1">
        <v>0</v>
      </c>
      <c r="CM2266" s="1" t="s">
        <v>104</v>
      </c>
    </row>
    <row r="2267" spans="1:91" ht="14.25" customHeight="1" x14ac:dyDescent="0.3">
      <c r="A2267" s="1" t="s">
        <v>11685</v>
      </c>
      <c r="B2267" s="1" t="s">
        <v>137</v>
      </c>
      <c r="D2267" s="1" t="s">
        <v>58</v>
      </c>
      <c r="E2267" s="1" t="s">
        <v>2604</v>
      </c>
      <c r="F2267" s="1" t="s">
        <v>95</v>
      </c>
      <c r="G2267" s="1" t="s">
        <v>424</v>
      </c>
      <c r="H2267" s="1">
        <v>0</v>
      </c>
      <c r="I2267" s="1" t="s">
        <v>109</v>
      </c>
      <c r="J2267" s="1" t="s">
        <v>11686</v>
      </c>
      <c r="M2267" s="1" t="s">
        <v>426</v>
      </c>
      <c r="N2267" s="1">
        <v>1</v>
      </c>
      <c r="O2267" s="1">
        <v>0</v>
      </c>
      <c r="P2267" s="1" t="s">
        <v>100</v>
      </c>
      <c r="Q2267" s="1" t="s">
        <v>101</v>
      </c>
      <c r="R2267" s="1" t="s">
        <v>11687</v>
      </c>
      <c r="S2267" s="1" t="s">
        <v>11617</v>
      </c>
      <c r="T2267" s="1">
        <v>1</v>
      </c>
      <c r="U2267" s="1">
        <v>1</v>
      </c>
      <c r="V2267" s="1">
        <v>1</v>
      </c>
      <c r="W2267" s="1">
        <v>0</v>
      </c>
      <c r="X2267" s="1">
        <v>0</v>
      </c>
      <c r="Y2267" s="1">
        <v>6</v>
      </c>
      <c r="Z2267" s="1">
        <v>6</v>
      </c>
      <c r="AA2267" s="1" t="s">
        <v>104</v>
      </c>
      <c r="AB2267" s="1">
        <v>6</v>
      </c>
      <c r="AC2267" s="1" t="s">
        <v>104</v>
      </c>
      <c r="AD2267" s="1" t="s">
        <v>104</v>
      </c>
      <c r="AE2267" s="1" t="s">
        <v>104</v>
      </c>
      <c r="AF2267" s="1" t="s">
        <v>104</v>
      </c>
      <c r="AG2267" s="1" t="s">
        <v>104</v>
      </c>
      <c r="AH2267" s="1" t="s">
        <v>104</v>
      </c>
      <c r="AI2267" s="1" t="s">
        <v>104</v>
      </c>
      <c r="AJ2267" s="1" t="s">
        <v>104</v>
      </c>
      <c r="AK2267" s="1" t="s">
        <v>104</v>
      </c>
      <c r="AL2267" s="1" t="s">
        <v>104</v>
      </c>
      <c r="AM2267" s="1" t="s">
        <v>104</v>
      </c>
      <c r="AO2267" s="1">
        <v>6</v>
      </c>
      <c r="AR2267" s="1">
        <v>0</v>
      </c>
      <c r="AS2267" s="1">
        <v>0</v>
      </c>
      <c r="AT2267" s="1">
        <v>0</v>
      </c>
      <c r="AU2267" s="1">
        <v>0</v>
      </c>
      <c r="AV2267" s="1">
        <v>0</v>
      </c>
      <c r="AW2267" s="1">
        <v>0</v>
      </c>
      <c r="AX2267" s="1">
        <v>0</v>
      </c>
      <c r="AY2267" s="1">
        <v>0</v>
      </c>
      <c r="AZ2267" s="1">
        <v>0</v>
      </c>
      <c r="BA2267" s="1">
        <v>0</v>
      </c>
      <c r="BB2267" s="1">
        <v>0</v>
      </c>
      <c r="BC2267" s="1">
        <v>0</v>
      </c>
      <c r="BD2267" s="1">
        <v>0</v>
      </c>
      <c r="BE2267" s="1">
        <v>0</v>
      </c>
      <c r="BF2267" s="1">
        <v>0</v>
      </c>
      <c r="BG2267" s="1">
        <v>1</v>
      </c>
      <c r="BH2267" s="1">
        <v>0</v>
      </c>
      <c r="BI2267" s="1">
        <v>0</v>
      </c>
      <c r="BJ2267" s="1">
        <v>0</v>
      </c>
      <c r="BK2267" s="1">
        <v>0</v>
      </c>
      <c r="BL2267" s="1">
        <v>0</v>
      </c>
      <c r="BM2267" s="1">
        <v>0</v>
      </c>
      <c r="BN2267" s="1">
        <v>0</v>
      </c>
      <c r="BO2267" s="1">
        <v>0</v>
      </c>
      <c r="BP2267" s="1">
        <v>0</v>
      </c>
      <c r="BQ2267" s="1" t="s">
        <v>104</v>
      </c>
      <c r="BR2267" s="1">
        <v>2385</v>
      </c>
      <c r="BS2267" s="1" t="s">
        <v>104</v>
      </c>
      <c r="BX2267" s="1">
        <v>0</v>
      </c>
      <c r="BY2267" s="1" t="s">
        <v>104</v>
      </c>
      <c r="BZ2267" s="1" t="s">
        <v>104</v>
      </c>
      <c r="CA2267" s="1" t="s">
        <v>104</v>
      </c>
      <c r="CB2267" s="1" t="s">
        <v>104</v>
      </c>
      <c r="CC2267" s="1" t="s">
        <v>104</v>
      </c>
      <c r="CD2267" s="1" t="s">
        <v>104</v>
      </c>
      <c r="CE2267" s="1" t="s">
        <v>104</v>
      </c>
      <c r="CF2267" s="1" t="s">
        <v>104</v>
      </c>
      <c r="CG2267" s="1" t="s">
        <v>104</v>
      </c>
      <c r="CH2267" s="1">
        <v>6</v>
      </c>
      <c r="CJ2267" s="1">
        <v>0</v>
      </c>
      <c r="CK2267" s="1">
        <v>0</v>
      </c>
      <c r="CL2267" s="1">
        <v>0</v>
      </c>
      <c r="CM2267" s="1" t="s">
        <v>104</v>
      </c>
    </row>
    <row r="2268" spans="1:91" ht="14.25" customHeight="1" x14ac:dyDescent="0.3">
      <c r="A2268" s="1" t="s">
        <v>11688</v>
      </c>
      <c r="B2268" s="1" t="s">
        <v>137</v>
      </c>
      <c r="E2268" s="1" t="s">
        <v>11689</v>
      </c>
      <c r="F2268" s="1" t="s">
        <v>95</v>
      </c>
      <c r="G2268" s="1" t="s">
        <v>11690</v>
      </c>
      <c r="H2268" s="1">
        <v>0</v>
      </c>
      <c r="I2268" s="1" t="s">
        <v>117</v>
      </c>
      <c r="L2268" s="1" t="s">
        <v>11691</v>
      </c>
      <c r="M2268" s="1" t="s">
        <v>4641</v>
      </c>
      <c r="N2268" s="1">
        <v>1</v>
      </c>
      <c r="O2268" s="1">
        <v>0</v>
      </c>
      <c r="P2268" s="1" t="s">
        <v>471</v>
      </c>
      <c r="Q2268" s="1" t="s">
        <v>184</v>
      </c>
      <c r="R2268" s="1" t="s">
        <v>11692</v>
      </c>
      <c r="S2268" s="1" t="s">
        <v>11617</v>
      </c>
      <c r="T2268" s="1">
        <v>1</v>
      </c>
      <c r="U2268" s="1">
        <v>1</v>
      </c>
      <c r="V2268" s="1">
        <v>1</v>
      </c>
      <c r="W2268" s="1">
        <v>0</v>
      </c>
      <c r="X2268" s="1">
        <v>0</v>
      </c>
      <c r="Y2268" s="1">
        <v>7</v>
      </c>
      <c r="Z2268" s="1">
        <v>7</v>
      </c>
      <c r="AA2268" s="1">
        <v>7</v>
      </c>
      <c r="AB2268" s="1" t="s">
        <v>104</v>
      </c>
      <c r="AC2268" s="1" t="s">
        <v>104</v>
      </c>
      <c r="AD2268" s="1">
        <v>6</v>
      </c>
      <c r="AE2268" s="1" t="s">
        <v>104</v>
      </c>
      <c r="AF2268" s="1" t="s">
        <v>104</v>
      </c>
      <c r="AG2268" s="1" t="s">
        <v>104</v>
      </c>
      <c r="AH2268" s="1">
        <v>7</v>
      </c>
      <c r="AI2268" s="1">
        <v>6</v>
      </c>
      <c r="AJ2268" s="1">
        <v>7</v>
      </c>
      <c r="AK2268" s="1" t="s">
        <v>104</v>
      </c>
      <c r="AL2268" s="1" t="s">
        <v>104</v>
      </c>
      <c r="AM2268" s="1" t="s">
        <v>104</v>
      </c>
      <c r="AO2268" s="1">
        <v>7</v>
      </c>
      <c r="AR2268" s="1">
        <v>0</v>
      </c>
      <c r="AS2268" s="1">
        <v>0</v>
      </c>
      <c r="AT2268" s="1">
        <v>0</v>
      </c>
      <c r="AU2268" s="1">
        <v>0</v>
      </c>
      <c r="AV2268" s="1">
        <v>0</v>
      </c>
      <c r="AW2268" s="1">
        <v>0</v>
      </c>
      <c r="AX2268" s="1">
        <v>0</v>
      </c>
      <c r="AY2268" s="1">
        <v>0</v>
      </c>
      <c r="AZ2268" s="1">
        <v>0</v>
      </c>
      <c r="BA2268" s="1">
        <v>0</v>
      </c>
      <c r="BB2268" s="1">
        <v>0</v>
      </c>
      <c r="BC2268" s="1">
        <v>0</v>
      </c>
      <c r="BD2268" s="1">
        <v>0</v>
      </c>
      <c r="BE2268" s="1">
        <v>0</v>
      </c>
      <c r="BF2268" s="1">
        <v>0</v>
      </c>
      <c r="BG2268" s="1">
        <v>0</v>
      </c>
      <c r="BH2268" s="1">
        <v>0</v>
      </c>
      <c r="BI2268" s="1">
        <v>0</v>
      </c>
      <c r="BJ2268" s="1">
        <v>0</v>
      </c>
      <c r="BK2268" s="1">
        <v>0</v>
      </c>
      <c r="BL2268" s="1">
        <v>0</v>
      </c>
      <c r="BM2268" s="1">
        <v>0</v>
      </c>
      <c r="BN2268" s="1">
        <v>0</v>
      </c>
      <c r="BO2268" s="1">
        <v>0</v>
      </c>
      <c r="BP2268" s="1">
        <v>0</v>
      </c>
      <c r="BQ2268" s="1" t="s">
        <v>104</v>
      </c>
      <c r="BR2268" s="1">
        <v>2388</v>
      </c>
      <c r="BS2268" s="1" t="s">
        <v>104</v>
      </c>
      <c r="BX2268" s="1">
        <v>0</v>
      </c>
      <c r="BY2268" s="1" t="s">
        <v>104</v>
      </c>
      <c r="BZ2268" s="1">
        <v>7</v>
      </c>
      <c r="CA2268" s="1" t="s">
        <v>104</v>
      </c>
      <c r="CB2268" s="1" t="s">
        <v>104</v>
      </c>
      <c r="CC2268" s="1" t="s">
        <v>104</v>
      </c>
      <c r="CD2268" s="1">
        <v>6</v>
      </c>
      <c r="CE2268" s="1" t="s">
        <v>104</v>
      </c>
      <c r="CF2268" s="1" t="s">
        <v>104</v>
      </c>
      <c r="CG2268" s="1" t="s">
        <v>104</v>
      </c>
      <c r="CH2268" s="1" t="s">
        <v>104</v>
      </c>
      <c r="CJ2268" s="1">
        <v>0</v>
      </c>
      <c r="CK2268" s="1">
        <v>0</v>
      </c>
      <c r="CL2268" s="1">
        <v>0</v>
      </c>
      <c r="CM2268" s="1" t="s">
        <v>104</v>
      </c>
    </row>
    <row r="2269" spans="1:91" ht="14.25" customHeight="1" x14ac:dyDescent="0.3">
      <c r="A2269" s="1" t="s">
        <v>11693</v>
      </c>
      <c r="B2269" s="1" t="s">
        <v>137</v>
      </c>
      <c r="E2269" s="1" t="s">
        <v>11694</v>
      </c>
      <c r="F2269" s="1" t="s">
        <v>95</v>
      </c>
      <c r="G2269" s="1" t="s">
        <v>116</v>
      </c>
      <c r="H2269" s="1">
        <v>0</v>
      </c>
      <c r="I2269" s="1" t="s">
        <v>8659</v>
      </c>
      <c r="L2269" s="1" t="s">
        <v>11695</v>
      </c>
      <c r="M2269" s="1" t="s">
        <v>4292</v>
      </c>
      <c r="N2269" s="1">
        <v>0</v>
      </c>
      <c r="O2269" s="1">
        <v>0</v>
      </c>
      <c r="P2269" s="1" t="s">
        <v>11696</v>
      </c>
      <c r="Q2269" s="1" t="s">
        <v>101</v>
      </c>
      <c r="R2269" s="1" t="s">
        <v>11697</v>
      </c>
      <c r="S2269" s="1" t="s">
        <v>11617</v>
      </c>
      <c r="T2269" s="1">
        <v>1</v>
      </c>
      <c r="U2269" s="1">
        <v>1</v>
      </c>
      <c r="V2269" s="1">
        <v>0</v>
      </c>
      <c r="W2269" s="1">
        <v>0</v>
      </c>
      <c r="X2269" s="1">
        <v>0</v>
      </c>
      <c r="Y2269" s="1">
        <v>3</v>
      </c>
      <c r="Z2269" s="1">
        <v>3</v>
      </c>
      <c r="AA2269" s="1" t="s">
        <v>104</v>
      </c>
      <c r="AB2269" s="1" t="s">
        <v>104</v>
      </c>
      <c r="AC2269" s="1" t="s">
        <v>104</v>
      </c>
      <c r="AD2269" s="1">
        <v>3</v>
      </c>
      <c r="AE2269" s="1" t="s">
        <v>104</v>
      </c>
      <c r="AF2269" s="1" t="s">
        <v>104</v>
      </c>
      <c r="AG2269" s="1">
        <v>3</v>
      </c>
      <c r="AH2269" s="1" t="s">
        <v>104</v>
      </c>
      <c r="AI2269" s="1" t="s">
        <v>104</v>
      </c>
      <c r="AJ2269" s="1" t="s">
        <v>104</v>
      </c>
      <c r="AK2269" s="1" t="s">
        <v>104</v>
      </c>
      <c r="AL2269" s="1" t="s">
        <v>104</v>
      </c>
      <c r="AM2269" s="1" t="s">
        <v>104</v>
      </c>
      <c r="AO2269" s="1">
        <v>3</v>
      </c>
      <c r="AR2269" s="1">
        <v>0</v>
      </c>
      <c r="AS2269" s="1">
        <v>0</v>
      </c>
      <c r="AT2269" s="1">
        <v>0</v>
      </c>
      <c r="AU2269" s="1">
        <v>0</v>
      </c>
      <c r="AV2269" s="1">
        <v>0</v>
      </c>
      <c r="AW2269" s="1">
        <v>0</v>
      </c>
      <c r="AX2269" s="1">
        <v>0</v>
      </c>
      <c r="AY2269" s="1">
        <v>0</v>
      </c>
      <c r="AZ2269" s="1">
        <v>0</v>
      </c>
      <c r="BA2269" s="1">
        <v>0</v>
      </c>
      <c r="BB2269" s="1">
        <v>0</v>
      </c>
      <c r="BC2269" s="1">
        <v>0</v>
      </c>
      <c r="BD2269" s="1">
        <v>0</v>
      </c>
      <c r="BE2269" s="1">
        <v>0</v>
      </c>
      <c r="BF2269" s="1">
        <v>0</v>
      </c>
      <c r="BG2269" s="1">
        <v>0</v>
      </c>
      <c r="BH2269" s="1">
        <v>0</v>
      </c>
      <c r="BI2269" s="1">
        <v>0</v>
      </c>
      <c r="BJ2269" s="1">
        <v>0</v>
      </c>
      <c r="BK2269" s="1">
        <v>0</v>
      </c>
      <c r="BL2269" s="1">
        <v>0</v>
      </c>
      <c r="BM2269" s="1">
        <v>0</v>
      </c>
      <c r="BN2269" s="1">
        <v>0</v>
      </c>
      <c r="BO2269" s="1">
        <v>0</v>
      </c>
      <c r="BP2269" s="1">
        <v>0</v>
      </c>
      <c r="BQ2269" s="1" t="s">
        <v>104</v>
      </c>
      <c r="BR2269" s="1">
        <v>2389</v>
      </c>
      <c r="BS2269" s="1" t="s">
        <v>104</v>
      </c>
      <c r="BX2269" s="1">
        <v>0</v>
      </c>
      <c r="BY2269" s="1" t="s">
        <v>104</v>
      </c>
      <c r="BZ2269" s="1" t="s">
        <v>104</v>
      </c>
      <c r="CA2269" s="1">
        <v>3</v>
      </c>
      <c r="CB2269" s="1">
        <v>3</v>
      </c>
      <c r="CC2269" s="1" t="s">
        <v>104</v>
      </c>
      <c r="CD2269" s="1">
        <v>3</v>
      </c>
      <c r="CE2269" s="1">
        <v>3</v>
      </c>
      <c r="CF2269" s="1" t="s">
        <v>104</v>
      </c>
      <c r="CG2269" s="1" t="s">
        <v>104</v>
      </c>
      <c r="CH2269" s="1" t="s">
        <v>104</v>
      </c>
      <c r="CJ2269" s="1">
        <v>0</v>
      </c>
      <c r="CK2269" s="1">
        <v>0</v>
      </c>
      <c r="CL2269" s="1">
        <v>0</v>
      </c>
      <c r="CM2269" s="1">
        <v>3</v>
      </c>
    </row>
    <row r="2270" spans="1:91" ht="14.25" customHeight="1" x14ac:dyDescent="0.3">
      <c r="A2270" s="1" t="s">
        <v>11698</v>
      </c>
      <c r="B2270" s="1" t="s">
        <v>137</v>
      </c>
      <c r="E2270" s="1" t="s">
        <v>11699</v>
      </c>
      <c r="F2270" s="1" t="s">
        <v>95</v>
      </c>
      <c r="G2270" s="1" t="s">
        <v>11700</v>
      </c>
      <c r="H2270" s="1">
        <v>1</v>
      </c>
      <c r="I2270" s="1" t="s">
        <v>128</v>
      </c>
      <c r="L2270" s="1" t="s">
        <v>11701</v>
      </c>
      <c r="M2270" s="1" t="s">
        <v>4992</v>
      </c>
      <c r="N2270" s="1">
        <v>1</v>
      </c>
      <c r="O2270" s="1">
        <v>0</v>
      </c>
      <c r="P2270" s="1" t="s">
        <v>4401</v>
      </c>
      <c r="Q2270" s="1" t="s">
        <v>101</v>
      </c>
      <c r="R2270" s="1" t="s">
        <v>11702</v>
      </c>
      <c r="S2270" s="1" t="s">
        <v>11617</v>
      </c>
      <c r="T2270" s="1">
        <v>1</v>
      </c>
      <c r="U2270" s="1">
        <v>1</v>
      </c>
      <c r="V2270" s="1">
        <v>1</v>
      </c>
      <c r="W2270" s="1">
        <v>0</v>
      </c>
      <c r="X2270" s="1">
        <v>0</v>
      </c>
      <c r="Y2270" s="1">
        <v>5</v>
      </c>
      <c r="Z2270" s="1">
        <v>5</v>
      </c>
      <c r="AA2270" s="1" t="s">
        <v>104</v>
      </c>
      <c r="AB2270" s="1" t="s">
        <v>104</v>
      </c>
      <c r="AC2270" s="1" t="s">
        <v>104</v>
      </c>
      <c r="AD2270" s="1" t="s">
        <v>104</v>
      </c>
      <c r="AE2270" s="1" t="s">
        <v>104</v>
      </c>
      <c r="AF2270" s="1">
        <v>4</v>
      </c>
      <c r="AG2270" s="1">
        <v>6</v>
      </c>
      <c r="AH2270" s="1" t="s">
        <v>104</v>
      </c>
      <c r="AI2270" s="1" t="s">
        <v>104</v>
      </c>
      <c r="AJ2270" s="1" t="s">
        <v>104</v>
      </c>
      <c r="AK2270" s="1" t="s">
        <v>104</v>
      </c>
      <c r="AL2270" s="1" t="s">
        <v>104</v>
      </c>
      <c r="AM2270" s="1" t="s">
        <v>104</v>
      </c>
      <c r="AO2270" s="1">
        <v>5</v>
      </c>
      <c r="AR2270" s="1">
        <v>0</v>
      </c>
      <c r="AS2270" s="1">
        <v>0</v>
      </c>
      <c r="AT2270" s="1">
        <v>0</v>
      </c>
      <c r="AU2270" s="1">
        <v>0</v>
      </c>
      <c r="AV2270" s="1">
        <v>0</v>
      </c>
      <c r="AW2270" s="1">
        <v>0</v>
      </c>
      <c r="AX2270" s="1">
        <v>0</v>
      </c>
      <c r="AY2270" s="1">
        <v>0</v>
      </c>
      <c r="AZ2270" s="1">
        <v>0</v>
      </c>
      <c r="BA2270" s="1">
        <v>0</v>
      </c>
      <c r="BB2270" s="1">
        <v>0</v>
      </c>
      <c r="BC2270" s="1">
        <v>0</v>
      </c>
      <c r="BD2270" s="1">
        <v>0</v>
      </c>
      <c r="BE2270" s="1">
        <v>0</v>
      </c>
      <c r="BF2270" s="1">
        <v>0</v>
      </c>
      <c r="BG2270" s="1">
        <v>0</v>
      </c>
      <c r="BH2270" s="1">
        <v>0</v>
      </c>
      <c r="BI2270" s="1">
        <v>0</v>
      </c>
      <c r="BJ2270" s="1">
        <v>0</v>
      </c>
      <c r="BK2270" s="1">
        <v>0</v>
      </c>
      <c r="BL2270" s="1">
        <v>0</v>
      </c>
      <c r="BM2270" s="1">
        <v>0</v>
      </c>
      <c r="BN2270" s="1">
        <v>0</v>
      </c>
      <c r="BO2270" s="1">
        <v>0</v>
      </c>
      <c r="BP2270" s="1">
        <v>0</v>
      </c>
      <c r="BQ2270" s="1" t="s">
        <v>104</v>
      </c>
      <c r="BR2270" s="1">
        <v>2390</v>
      </c>
      <c r="BS2270" s="1">
        <v>50</v>
      </c>
      <c r="BX2270" s="1">
        <v>0</v>
      </c>
      <c r="BY2270" s="1" t="s">
        <v>104</v>
      </c>
      <c r="BZ2270" s="1" t="s">
        <v>104</v>
      </c>
      <c r="CA2270" s="1" t="s">
        <v>104</v>
      </c>
      <c r="CB2270" s="1" t="s">
        <v>104</v>
      </c>
      <c r="CC2270" s="1" t="s">
        <v>104</v>
      </c>
      <c r="CD2270" s="1" t="s">
        <v>104</v>
      </c>
      <c r="CE2270" s="1">
        <v>6</v>
      </c>
      <c r="CF2270" s="1" t="s">
        <v>104</v>
      </c>
      <c r="CG2270" s="1" t="s">
        <v>104</v>
      </c>
      <c r="CH2270" s="1" t="s">
        <v>104</v>
      </c>
      <c r="CJ2270" s="1">
        <v>0</v>
      </c>
      <c r="CK2270" s="1">
        <v>0</v>
      </c>
      <c r="CL2270" s="1">
        <v>0</v>
      </c>
      <c r="CM2270" s="1">
        <v>6</v>
      </c>
    </row>
    <row r="2271" spans="1:91" ht="14.25" customHeight="1" x14ac:dyDescent="0.3">
      <c r="A2271" s="1" t="s">
        <v>11703</v>
      </c>
      <c r="B2271" s="1" t="s">
        <v>137</v>
      </c>
      <c r="C2271" s="1" t="s">
        <v>154</v>
      </c>
      <c r="E2271" s="1" t="s">
        <v>11704</v>
      </c>
      <c r="F2271" s="1" t="s">
        <v>95</v>
      </c>
      <c r="G2271" s="1" t="s">
        <v>11705</v>
      </c>
      <c r="H2271" s="1">
        <v>0</v>
      </c>
      <c r="I2271" s="1" t="s">
        <v>128</v>
      </c>
      <c r="L2271" s="1" t="s">
        <v>11706</v>
      </c>
      <c r="M2271" s="1" t="s">
        <v>2330</v>
      </c>
      <c r="N2271" s="1">
        <v>0</v>
      </c>
      <c r="O2271" s="1">
        <v>0</v>
      </c>
      <c r="P2271" s="1" t="s">
        <v>8473</v>
      </c>
      <c r="Q2271" s="1" t="s">
        <v>101</v>
      </c>
      <c r="R2271" s="1" t="s">
        <v>11707</v>
      </c>
      <c r="S2271" s="1" t="s">
        <v>11617</v>
      </c>
      <c r="T2271" s="1">
        <v>1</v>
      </c>
      <c r="U2271" s="1">
        <v>1</v>
      </c>
      <c r="V2271" s="1">
        <v>1</v>
      </c>
      <c r="W2271" s="1">
        <v>0</v>
      </c>
      <c r="X2271" s="1">
        <v>0</v>
      </c>
      <c r="Y2271" s="1">
        <v>6</v>
      </c>
      <c r="Z2271" s="1">
        <v>6</v>
      </c>
      <c r="AA2271" s="1">
        <v>6</v>
      </c>
      <c r="AB2271" s="1" t="s">
        <v>104</v>
      </c>
      <c r="AC2271" s="1" t="s">
        <v>104</v>
      </c>
      <c r="AD2271" s="1" t="s">
        <v>104</v>
      </c>
      <c r="AE2271" s="1" t="s">
        <v>104</v>
      </c>
      <c r="AF2271" s="1" t="s">
        <v>104</v>
      </c>
      <c r="AG2271" s="1" t="s">
        <v>104</v>
      </c>
      <c r="AH2271" s="1" t="s">
        <v>104</v>
      </c>
      <c r="AI2271" s="1">
        <v>6</v>
      </c>
      <c r="AJ2271" s="1">
        <v>6</v>
      </c>
      <c r="AK2271" s="1" t="s">
        <v>104</v>
      </c>
      <c r="AL2271" s="1">
        <v>6</v>
      </c>
      <c r="AM2271" s="1" t="s">
        <v>104</v>
      </c>
      <c r="AO2271" s="1">
        <v>6</v>
      </c>
      <c r="AR2271" s="1">
        <v>0</v>
      </c>
      <c r="AS2271" s="1">
        <v>0</v>
      </c>
      <c r="AT2271" s="1">
        <v>0</v>
      </c>
      <c r="AU2271" s="1">
        <v>0</v>
      </c>
      <c r="AV2271" s="1">
        <v>0</v>
      </c>
      <c r="AW2271" s="1">
        <v>0</v>
      </c>
      <c r="AX2271" s="1">
        <v>0</v>
      </c>
      <c r="AY2271" s="1">
        <v>0</v>
      </c>
      <c r="AZ2271" s="1">
        <v>0</v>
      </c>
      <c r="BA2271" s="1">
        <v>0</v>
      </c>
      <c r="BB2271" s="1">
        <v>0</v>
      </c>
      <c r="BC2271" s="1">
        <v>0</v>
      </c>
      <c r="BD2271" s="1">
        <v>0</v>
      </c>
      <c r="BE2271" s="1">
        <v>0</v>
      </c>
      <c r="BF2271" s="1">
        <v>0</v>
      </c>
      <c r="BG2271" s="1">
        <v>0</v>
      </c>
      <c r="BH2271" s="1">
        <v>0</v>
      </c>
      <c r="BI2271" s="1">
        <v>0</v>
      </c>
      <c r="BJ2271" s="1">
        <v>0</v>
      </c>
      <c r="BK2271" s="1">
        <v>0</v>
      </c>
      <c r="BL2271" s="1">
        <v>0</v>
      </c>
      <c r="BM2271" s="1">
        <v>0</v>
      </c>
      <c r="BN2271" s="1">
        <v>0</v>
      </c>
      <c r="BO2271" s="1">
        <v>0</v>
      </c>
      <c r="BP2271" s="1">
        <v>0</v>
      </c>
      <c r="BQ2271" s="1" t="s">
        <v>104</v>
      </c>
      <c r="BR2271" s="1">
        <v>2391</v>
      </c>
      <c r="BS2271" s="1" t="s">
        <v>104</v>
      </c>
      <c r="BX2271" s="1">
        <v>0</v>
      </c>
      <c r="BY2271" s="1" t="s">
        <v>104</v>
      </c>
      <c r="BZ2271" s="1">
        <v>7</v>
      </c>
      <c r="CA2271" s="1" t="s">
        <v>104</v>
      </c>
      <c r="CB2271" s="1">
        <v>6</v>
      </c>
      <c r="CC2271" s="1" t="s">
        <v>104</v>
      </c>
      <c r="CD2271" s="1" t="s">
        <v>104</v>
      </c>
      <c r="CE2271" s="1" t="s">
        <v>104</v>
      </c>
      <c r="CF2271" s="1" t="s">
        <v>104</v>
      </c>
      <c r="CG2271" s="1" t="s">
        <v>104</v>
      </c>
      <c r="CH2271" s="1" t="s">
        <v>104</v>
      </c>
      <c r="CJ2271" s="1">
        <v>0</v>
      </c>
      <c r="CK2271" s="1">
        <v>0</v>
      </c>
      <c r="CL2271" s="1">
        <v>0</v>
      </c>
      <c r="CM2271" s="1" t="s">
        <v>104</v>
      </c>
    </row>
    <row r="2272" spans="1:91" ht="14.25" customHeight="1" x14ac:dyDescent="0.3">
      <c r="A2272" s="1" t="s">
        <v>11708</v>
      </c>
      <c r="B2272" s="1" t="s">
        <v>137</v>
      </c>
      <c r="E2272" s="1" t="s">
        <v>11709</v>
      </c>
      <c r="F2272" s="1" t="s">
        <v>4934</v>
      </c>
      <c r="G2272" s="1" t="s">
        <v>11710</v>
      </c>
      <c r="H2272" s="1">
        <v>1</v>
      </c>
      <c r="I2272" s="1" t="s">
        <v>128</v>
      </c>
      <c r="L2272" s="1" t="s">
        <v>11711</v>
      </c>
      <c r="M2272" s="1" t="s">
        <v>119</v>
      </c>
      <c r="N2272" s="1">
        <v>0</v>
      </c>
      <c r="O2272" s="1">
        <v>0</v>
      </c>
      <c r="P2272" s="1" t="s">
        <v>4401</v>
      </c>
      <c r="Q2272" s="1" t="s">
        <v>101</v>
      </c>
      <c r="R2272" s="1" t="s">
        <v>11712</v>
      </c>
      <c r="S2272" s="1" t="s">
        <v>11617</v>
      </c>
      <c r="T2272" s="1">
        <v>1</v>
      </c>
      <c r="U2272" s="1">
        <v>1</v>
      </c>
      <c r="V2272" s="1">
        <v>1</v>
      </c>
      <c r="W2272" s="1">
        <v>0</v>
      </c>
      <c r="X2272" s="1">
        <v>0</v>
      </c>
      <c r="Y2272" s="1">
        <v>2</v>
      </c>
      <c r="Z2272" s="1">
        <v>2</v>
      </c>
      <c r="AA2272" s="1" t="s">
        <v>104</v>
      </c>
      <c r="AB2272" s="1">
        <v>2</v>
      </c>
      <c r="AC2272" s="1">
        <v>3</v>
      </c>
      <c r="AD2272" s="1">
        <v>2</v>
      </c>
      <c r="AE2272" s="1" t="s">
        <v>104</v>
      </c>
      <c r="AF2272" s="1">
        <v>2</v>
      </c>
      <c r="AG2272" s="1" t="s">
        <v>104</v>
      </c>
      <c r="AH2272" s="1" t="s">
        <v>104</v>
      </c>
      <c r="AI2272" s="1">
        <v>3</v>
      </c>
      <c r="AJ2272" s="1" t="s">
        <v>104</v>
      </c>
      <c r="AK2272" s="1" t="s">
        <v>104</v>
      </c>
      <c r="AL2272" s="1" t="s">
        <v>104</v>
      </c>
      <c r="AM2272" s="1" t="s">
        <v>104</v>
      </c>
      <c r="AO2272" s="1">
        <v>2</v>
      </c>
      <c r="AR2272" s="1">
        <v>0</v>
      </c>
      <c r="AS2272" s="1">
        <v>0</v>
      </c>
      <c r="AT2272" s="1">
        <v>0</v>
      </c>
      <c r="AU2272" s="1">
        <v>0</v>
      </c>
      <c r="AV2272" s="1">
        <v>0</v>
      </c>
      <c r="AW2272" s="1">
        <v>0</v>
      </c>
      <c r="AX2272" s="1">
        <v>0</v>
      </c>
      <c r="AY2272" s="1">
        <v>0</v>
      </c>
      <c r="AZ2272" s="1">
        <v>0</v>
      </c>
      <c r="BA2272" s="1">
        <v>0</v>
      </c>
      <c r="BB2272" s="1">
        <v>0</v>
      </c>
      <c r="BC2272" s="1">
        <v>0</v>
      </c>
      <c r="BD2272" s="1">
        <v>0</v>
      </c>
      <c r="BE2272" s="1">
        <v>0</v>
      </c>
      <c r="BF2272" s="1">
        <v>0</v>
      </c>
      <c r="BG2272" s="1">
        <v>0</v>
      </c>
      <c r="BH2272" s="1">
        <v>0</v>
      </c>
      <c r="BI2272" s="1">
        <v>0</v>
      </c>
      <c r="BJ2272" s="1">
        <v>0</v>
      </c>
      <c r="BK2272" s="1">
        <v>0</v>
      </c>
      <c r="BL2272" s="1">
        <v>0</v>
      </c>
      <c r="BM2272" s="1">
        <v>0</v>
      </c>
      <c r="BN2272" s="1">
        <v>0</v>
      </c>
      <c r="BO2272" s="1">
        <v>0</v>
      </c>
      <c r="BP2272" s="1">
        <v>0</v>
      </c>
      <c r="BQ2272" s="1" t="s">
        <v>104</v>
      </c>
      <c r="BR2272" s="1">
        <v>2393</v>
      </c>
      <c r="BS2272" s="1">
        <v>1</v>
      </c>
      <c r="BX2272" s="1">
        <v>0</v>
      </c>
      <c r="BY2272" s="1" t="s">
        <v>104</v>
      </c>
      <c r="BZ2272" s="1" t="s">
        <v>104</v>
      </c>
      <c r="CA2272" s="1" t="s">
        <v>104</v>
      </c>
      <c r="CB2272" s="1" t="s">
        <v>104</v>
      </c>
      <c r="CC2272" s="1" t="s">
        <v>104</v>
      </c>
      <c r="CD2272" s="1">
        <v>3</v>
      </c>
      <c r="CE2272" s="1" t="s">
        <v>104</v>
      </c>
      <c r="CF2272" s="1" t="s">
        <v>104</v>
      </c>
      <c r="CG2272" s="1" t="s">
        <v>104</v>
      </c>
      <c r="CH2272" s="1">
        <v>2</v>
      </c>
      <c r="CJ2272" s="1">
        <v>0</v>
      </c>
      <c r="CK2272" s="1">
        <v>0</v>
      </c>
      <c r="CL2272" s="1">
        <v>0</v>
      </c>
      <c r="CM2272" s="1" t="s">
        <v>104</v>
      </c>
    </row>
    <row r="2273" spans="1:91" ht="14.25" customHeight="1" x14ac:dyDescent="0.3">
      <c r="A2273" s="1" t="s">
        <v>11713</v>
      </c>
      <c r="B2273" s="1" t="s">
        <v>137</v>
      </c>
      <c r="E2273" s="1" t="s">
        <v>11714</v>
      </c>
      <c r="F2273" s="1" t="s">
        <v>95</v>
      </c>
      <c r="G2273" s="1" t="s">
        <v>11715</v>
      </c>
      <c r="H2273" s="1">
        <v>1</v>
      </c>
      <c r="I2273" s="1" t="s">
        <v>117</v>
      </c>
      <c r="L2273" s="1" t="s">
        <v>11716</v>
      </c>
      <c r="M2273" s="1" t="s">
        <v>2330</v>
      </c>
      <c r="N2273" s="1">
        <v>0</v>
      </c>
      <c r="O2273" s="1">
        <v>0</v>
      </c>
      <c r="P2273" s="1" t="s">
        <v>1058</v>
      </c>
      <c r="Q2273" s="1" t="s">
        <v>101</v>
      </c>
      <c r="R2273" s="1" t="s">
        <v>11717</v>
      </c>
      <c r="S2273" s="1" t="s">
        <v>11617</v>
      </c>
      <c r="T2273" s="1">
        <v>1</v>
      </c>
      <c r="U2273" s="1">
        <v>1</v>
      </c>
      <c r="V2273" s="1">
        <v>1</v>
      </c>
      <c r="W2273" s="1">
        <v>0</v>
      </c>
      <c r="X2273" s="1">
        <v>0</v>
      </c>
      <c r="Y2273" s="1">
        <v>7</v>
      </c>
      <c r="Z2273" s="1">
        <v>7</v>
      </c>
      <c r="AA2273" s="1" t="s">
        <v>104</v>
      </c>
      <c r="AB2273" s="1">
        <v>7</v>
      </c>
      <c r="AC2273" s="1" t="s">
        <v>104</v>
      </c>
      <c r="AD2273" s="1" t="s">
        <v>104</v>
      </c>
      <c r="AE2273" s="1" t="s">
        <v>104</v>
      </c>
      <c r="AF2273" s="1">
        <v>6</v>
      </c>
      <c r="AG2273" s="1" t="s">
        <v>104</v>
      </c>
      <c r="AH2273" s="1">
        <v>7</v>
      </c>
      <c r="AI2273" s="1" t="s">
        <v>104</v>
      </c>
      <c r="AJ2273" s="1" t="s">
        <v>104</v>
      </c>
      <c r="AK2273" s="1" t="s">
        <v>104</v>
      </c>
      <c r="AL2273" s="1" t="s">
        <v>104</v>
      </c>
      <c r="AM2273" s="1" t="s">
        <v>104</v>
      </c>
      <c r="AO2273" s="1">
        <v>7</v>
      </c>
      <c r="AR2273" s="1">
        <v>0</v>
      </c>
      <c r="AS2273" s="1">
        <v>0</v>
      </c>
      <c r="AT2273" s="1">
        <v>0</v>
      </c>
      <c r="AU2273" s="1">
        <v>0</v>
      </c>
      <c r="AV2273" s="1">
        <v>0</v>
      </c>
      <c r="AW2273" s="1">
        <v>0</v>
      </c>
      <c r="AX2273" s="1">
        <v>0</v>
      </c>
      <c r="AY2273" s="1">
        <v>0</v>
      </c>
      <c r="AZ2273" s="1">
        <v>0</v>
      </c>
      <c r="BA2273" s="1">
        <v>0</v>
      </c>
      <c r="BB2273" s="1">
        <v>0</v>
      </c>
      <c r="BC2273" s="1">
        <v>0</v>
      </c>
      <c r="BD2273" s="1">
        <v>0</v>
      </c>
      <c r="BE2273" s="1">
        <v>0</v>
      </c>
      <c r="BF2273" s="1">
        <v>0</v>
      </c>
      <c r="BG2273" s="1">
        <v>0</v>
      </c>
      <c r="BH2273" s="1">
        <v>0</v>
      </c>
      <c r="BI2273" s="1">
        <v>0</v>
      </c>
      <c r="BJ2273" s="1">
        <v>0</v>
      </c>
      <c r="BK2273" s="1">
        <v>0</v>
      </c>
      <c r="BL2273" s="1">
        <v>0</v>
      </c>
      <c r="BM2273" s="1">
        <v>0</v>
      </c>
      <c r="BN2273" s="1">
        <v>0</v>
      </c>
      <c r="BO2273" s="1">
        <v>0</v>
      </c>
      <c r="BP2273" s="1">
        <v>0</v>
      </c>
      <c r="BQ2273" s="1" t="s">
        <v>104</v>
      </c>
      <c r="BR2273" s="1">
        <v>2394</v>
      </c>
      <c r="BS2273" s="1">
        <v>200</v>
      </c>
      <c r="BX2273" s="1">
        <v>0</v>
      </c>
      <c r="BY2273" s="1" t="s">
        <v>104</v>
      </c>
      <c r="BZ2273" s="1">
        <v>7</v>
      </c>
      <c r="CA2273" s="1" t="s">
        <v>104</v>
      </c>
      <c r="CB2273" s="1" t="s">
        <v>104</v>
      </c>
      <c r="CC2273" s="1" t="s">
        <v>104</v>
      </c>
      <c r="CD2273" s="1" t="s">
        <v>104</v>
      </c>
      <c r="CE2273" s="1" t="s">
        <v>104</v>
      </c>
      <c r="CF2273" s="1" t="s">
        <v>104</v>
      </c>
      <c r="CG2273" s="1" t="s">
        <v>104</v>
      </c>
      <c r="CH2273" s="1" t="s">
        <v>104</v>
      </c>
      <c r="CJ2273" s="1">
        <v>0</v>
      </c>
      <c r="CK2273" s="1">
        <v>0</v>
      </c>
      <c r="CL2273" s="1">
        <v>0</v>
      </c>
      <c r="CM2273" s="1" t="s">
        <v>104</v>
      </c>
    </row>
    <row r="2274" spans="1:91" ht="14.25" customHeight="1" x14ac:dyDescent="0.3">
      <c r="A2274" s="1" t="s">
        <v>11718</v>
      </c>
      <c r="B2274" s="1" t="s">
        <v>137</v>
      </c>
      <c r="E2274" s="1" t="s">
        <v>11719</v>
      </c>
      <c r="F2274" s="1" t="s">
        <v>95</v>
      </c>
      <c r="G2274" s="1" t="s">
        <v>11720</v>
      </c>
      <c r="H2274" s="1">
        <v>0</v>
      </c>
      <c r="I2274" s="1" t="s">
        <v>117</v>
      </c>
      <c r="L2274" s="1" t="s">
        <v>11721</v>
      </c>
      <c r="M2274" s="1" t="s">
        <v>426</v>
      </c>
      <c r="N2274" s="1">
        <v>1</v>
      </c>
      <c r="O2274" s="1">
        <v>0</v>
      </c>
      <c r="P2274" s="1" t="s">
        <v>4401</v>
      </c>
      <c r="Q2274" s="1" t="s">
        <v>101</v>
      </c>
      <c r="R2274" s="1" t="s">
        <v>11722</v>
      </c>
      <c r="S2274" s="1" t="s">
        <v>11617</v>
      </c>
      <c r="T2274" s="1">
        <v>1</v>
      </c>
      <c r="U2274" s="1">
        <v>1</v>
      </c>
      <c r="V2274" s="1">
        <v>1</v>
      </c>
      <c r="W2274" s="1">
        <v>0</v>
      </c>
      <c r="X2274" s="1">
        <v>0</v>
      </c>
      <c r="Y2274" s="1">
        <v>4</v>
      </c>
      <c r="Z2274" s="1">
        <v>4</v>
      </c>
      <c r="AA2274" s="1" t="s">
        <v>104</v>
      </c>
      <c r="AB2274" s="1">
        <v>4</v>
      </c>
      <c r="AC2274" s="1" t="s">
        <v>104</v>
      </c>
      <c r="AD2274" s="1">
        <v>3</v>
      </c>
      <c r="AE2274" s="1" t="s">
        <v>104</v>
      </c>
      <c r="AF2274" s="1">
        <v>3</v>
      </c>
      <c r="AG2274" s="1" t="s">
        <v>104</v>
      </c>
      <c r="AH2274" s="1" t="s">
        <v>104</v>
      </c>
      <c r="AI2274" s="1" t="s">
        <v>104</v>
      </c>
      <c r="AJ2274" s="1" t="s">
        <v>104</v>
      </c>
      <c r="AK2274" s="1" t="s">
        <v>104</v>
      </c>
      <c r="AL2274" s="1" t="s">
        <v>104</v>
      </c>
      <c r="AM2274" s="1" t="s">
        <v>104</v>
      </c>
      <c r="AO2274" s="1">
        <v>4</v>
      </c>
      <c r="AR2274" s="1">
        <v>0</v>
      </c>
      <c r="AS2274" s="1">
        <v>0</v>
      </c>
      <c r="AT2274" s="1">
        <v>0</v>
      </c>
      <c r="AU2274" s="1">
        <v>0</v>
      </c>
      <c r="AV2274" s="1">
        <v>0</v>
      </c>
      <c r="AW2274" s="1">
        <v>0</v>
      </c>
      <c r="AX2274" s="1">
        <v>0</v>
      </c>
      <c r="AY2274" s="1">
        <v>0</v>
      </c>
      <c r="AZ2274" s="1">
        <v>0</v>
      </c>
      <c r="BA2274" s="1">
        <v>0</v>
      </c>
      <c r="BB2274" s="1">
        <v>0</v>
      </c>
      <c r="BC2274" s="1">
        <v>0</v>
      </c>
      <c r="BD2274" s="1">
        <v>0</v>
      </c>
      <c r="BE2274" s="1">
        <v>0</v>
      </c>
      <c r="BF2274" s="1">
        <v>0</v>
      </c>
      <c r="BG2274" s="1">
        <v>0</v>
      </c>
      <c r="BH2274" s="1">
        <v>0</v>
      </c>
      <c r="BI2274" s="1">
        <v>0</v>
      </c>
      <c r="BJ2274" s="1">
        <v>0</v>
      </c>
      <c r="BK2274" s="1">
        <v>0</v>
      </c>
      <c r="BL2274" s="1">
        <v>0</v>
      </c>
      <c r="BM2274" s="1">
        <v>0</v>
      </c>
      <c r="BN2274" s="1">
        <v>0</v>
      </c>
      <c r="BO2274" s="1">
        <v>0</v>
      </c>
      <c r="BP2274" s="1">
        <v>0</v>
      </c>
      <c r="BQ2274" s="1" t="s">
        <v>104</v>
      </c>
      <c r="BR2274" s="1">
        <v>2395</v>
      </c>
      <c r="BS2274" s="1" t="s">
        <v>104</v>
      </c>
      <c r="BX2274" s="1">
        <v>0</v>
      </c>
      <c r="BY2274" s="1" t="s">
        <v>104</v>
      </c>
      <c r="BZ2274" s="1" t="s">
        <v>104</v>
      </c>
      <c r="CA2274" s="1" t="s">
        <v>104</v>
      </c>
      <c r="CB2274" s="1" t="s">
        <v>104</v>
      </c>
      <c r="CC2274" s="1" t="s">
        <v>104</v>
      </c>
      <c r="CD2274" s="1" t="s">
        <v>104</v>
      </c>
      <c r="CE2274" s="1" t="s">
        <v>104</v>
      </c>
      <c r="CF2274" s="1" t="s">
        <v>104</v>
      </c>
      <c r="CG2274" s="1" t="s">
        <v>104</v>
      </c>
      <c r="CH2274" s="1">
        <v>4</v>
      </c>
      <c r="CJ2274" s="1">
        <v>0</v>
      </c>
      <c r="CK2274" s="1">
        <v>0</v>
      </c>
      <c r="CL2274" s="1">
        <v>0</v>
      </c>
      <c r="CM2274" s="1" t="s">
        <v>104</v>
      </c>
    </row>
    <row r="2275" spans="1:91" ht="14.25" customHeight="1" x14ac:dyDescent="0.3">
      <c r="A2275" s="1" t="s">
        <v>11723</v>
      </c>
      <c r="B2275" s="1" t="s">
        <v>137</v>
      </c>
      <c r="E2275" s="1" t="s">
        <v>6358</v>
      </c>
      <c r="F2275" s="1" t="s">
        <v>1502</v>
      </c>
      <c r="G2275" s="1" t="s">
        <v>11724</v>
      </c>
      <c r="H2275" s="1">
        <v>0</v>
      </c>
      <c r="I2275" s="1" t="s">
        <v>128</v>
      </c>
      <c r="L2275" s="1" t="s">
        <v>2037</v>
      </c>
      <c r="M2275" s="1" t="s">
        <v>2330</v>
      </c>
      <c r="N2275" s="1">
        <v>0</v>
      </c>
      <c r="O2275" s="1">
        <v>0</v>
      </c>
      <c r="P2275" s="1" t="s">
        <v>100</v>
      </c>
      <c r="Q2275" s="1" t="s">
        <v>101</v>
      </c>
      <c r="R2275" s="1" t="s">
        <v>11725</v>
      </c>
      <c r="S2275" s="1" t="s">
        <v>11617</v>
      </c>
      <c r="T2275" s="1">
        <v>1</v>
      </c>
      <c r="U2275" s="1">
        <v>1</v>
      </c>
      <c r="V2275" s="1">
        <v>0</v>
      </c>
      <c r="W2275" s="1">
        <v>0</v>
      </c>
      <c r="X2275" s="1">
        <v>0</v>
      </c>
      <c r="Y2275" s="1">
        <v>5</v>
      </c>
      <c r="Z2275" s="1">
        <v>5</v>
      </c>
      <c r="AA2275" s="1" t="s">
        <v>104</v>
      </c>
      <c r="AB2275" s="1" t="s">
        <v>104</v>
      </c>
      <c r="AC2275" s="1" t="s">
        <v>104</v>
      </c>
      <c r="AD2275" s="1" t="s">
        <v>104</v>
      </c>
      <c r="AE2275" s="1" t="s">
        <v>104</v>
      </c>
      <c r="AF2275" s="1" t="s">
        <v>104</v>
      </c>
      <c r="AG2275" s="1" t="s">
        <v>104</v>
      </c>
      <c r="AH2275" s="1" t="s">
        <v>104</v>
      </c>
      <c r="AI2275" s="1" t="s">
        <v>104</v>
      </c>
      <c r="AJ2275" s="1" t="s">
        <v>104</v>
      </c>
      <c r="AK2275" s="1" t="s">
        <v>104</v>
      </c>
      <c r="AL2275" s="1" t="s">
        <v>104</v>
      </c>
      <c r="AM2275" s="1" t="s">
        <v>104</v>
      </c>
      <c r="AO2275" s="1">
        <v>5</v>
      </c>
      <c r="AR2275" s="1">
        <v>0</v>
      </c>
      <c r="AS2275" s="1">
        <v>0</v>
      </c>
      <c r="AT2275" s="1">
        <v>0</v>
      </c>
      <c r="AU2275" s="1">
        <v>0</v>
      </c>
      <c r="AV2275" s="1">
        <v>0</v>
      </c>
      <c r="AW2275" s="1">
        <v>0</v>
      </c>
      <c r="AX2275" s="1">
        <v>0</v>
      </c>
      <c r="AY2275" s="1">
        <v>0</v>
      </c>
      <c r="AZ2275" s="1">
        <v>0</v>
      </c>
      <c r="BA2275" s="1">
        <v>0</v>
      </c>
      <c r="BB2275" s="1">
        <v>0</v>
      </c>
      <c r="BC2275" s="1">
        <v>0</v>
      </c>
      <c r="BD2275" s="1">
        <v>0</v>
      </c>
      <c r="BE2275" s="1">
        <v>0</v>
      </c>
      <c r="BF2275" s="1">
        <v>0</v>
      </c>
      <c r="BG2275" s="1">
        <v>0</v>
      </c>
      <c r="BH2275" s="1">
        <v>0</v>
      </c>
      <c r="BI2275" s="1">
        <v>0</v>
      </c>
      <c r="BJ2275" s="1">
        <v>0</v>
      </c>
      <c r="BK2275" s="1">
        <v>0</v>
      </c>
      <c r="BL2275" s="1">
        <v>0</v>
      </c>
      <c r="BM2275" s="1">
        <v>0</v>
      </c>
      <c r="BN2275" s="1">
        <v>0</v>
      </c>
      <c r="BO2275" s="1">
        <v>0</v>
      </c>
      <c r="BP2275" s="1">
        <v>0</v>
      </c>
      <c r="BQ2275" s="1" t="s">
        <v>104</v>
      </c>
      <c r="BR2275" s="1">
        <v>2396</v>
      </c>
      <c r="BS2275" s="1" t="s">
        <v>104</v>
      </c>
      <c r="BX2275" s="1">
        <v>0</v>
      </c>
      <c r="BY2275" s="1" t="s">
        <v>104</v>
      </c>
      <c r="BZ2275" s="1" t="s">
        <v>104</v>
      </c>
      <c r="CA2275" s="1" t="s">
        <v>104</v>
      </c>
      <c r="CB2275" s="1" t="s">
        <v>104</v>
      </c>
      <c r="CC2275" s="1" t="s">
        <v>104</v>
      </c>
      <c r="CD2275" s="1" t="s">
        <v>104</v>
      </c>
      <c r="CE2275" s="1" t="s">
        <v>104</v>
      </c>
      <c r="CF2275" s="1" t="s">
        <v>104</v>
      </c>
      <c r="CG2275" s="1" t="s">
        <v>104</v>
      </c>
      <c r="CH2275" s="1" t="s">
        <v>104</v>
      </c>
      <c r="CJ2275" s="1">
        <v>0</v>
      </c>
      <c r="CK2275" s="1">
        <v>0</v>
      </c>
      <c r="CL2275" s="1">
        <v>0</v>
      </c>
      <c r="CM2275" s="1" t="s">
        <v>104</v>
      </c>
    </row>
    <row r="2276" spans="1:91" ht="14.25" customHeight="1" x14ac:dyDescent="0.3">
      <c r="A2276" s="1" t="s">
        <v>11726</v>
      </c>
      <c r="B2276" s="1" t="s">
        <v>137</v>
      </c>
      <c r="E2276" s="1" t="s">
        <v>11727</v>
      </c>
      <c r="F2276" s="1" t="s">
        <v>95</v>
      </c>
      <c r="G2276" s="1" t="s">
        <v>11728</v>
      </c>
      <c r="H2276" s="1">
        <v>0</v>
      </c>
      <c r="I2276" s="1" t="s">
        <v>128</v>
      </c>
      <c r="L2276" s="1" t="s">
        <v>11729</v>
      </c>
      <c r="M2276" s="1" t="s">
        <v>4292</v>
      </c>
      <c r="N2276" s="1">
        <v>0</v>
      </c>
      <c r="O2276" s="1">
        <v>0</v>
      </c>
      <c r="P2276" s="1" t="s">
        <v>4401</v>
      </c>
      <c r="Q2276" s="1" t="s">
        <v>101</v>
      </c>
      <c r="R2276" s="1" t="s">
        <v>11730</v>
      </c>
      <c r="S2276" s="1" t="s">
        <v>11617</v>
      </c>
      <c r="T2276" s="1">
        <v>1</v>
      </c>
      <c r="U2276" s="1">
        <v>1</v>
      </c>
      <c r="V2276" s="1">
        <v>1</v>
      </c>
      <c r="W2276" s="1">
        <v>0</v>
      </c>
      <c r="X2276" s="1">
        <v>0</v>
      </c>
      <c r="Y2276" s="1">
        <v>4</v>
      </c>
      <c r="Z2276" s="1">
        <v>4</v>
      </c>
      <c r="AA2276" s="1">
        <v>4</v>
      </c>
      <c r="AB2276" s="1" t="s">
        <v>104</v>
      </c>
      <c r="AC2276" s="1" t="s">
        <v>104</v>
      </c>
      <c r="AD2276" s="1">
        <v>3</v>
      </c>
      <c r="AE2276" s="1" t="s">
        <v>104</v>
      </c>
      <c r="AF2276" s="1">
        <v>3</v>
      </c>
      <c r="AG2276" s="1" t="s">
        <v>104</v>
      </c>
      <c r="AH2276" s="1">
        <v>4</v>
      </c>
      <c r="AI2276" s="1" t="s">
        <v>104</v>
      </c>
      <c r="AJ2276" s="1">
        <v>4</v>
      </c>
      <c r="AK2276" s="1" t="s">
        <v>104</v>
      </c>
      <c r="AL2276" s="1" t="s">
        <v>104</v>
      </c>
      <c r="AM2276" s="1" t="s">
        <v>104</v>
      </c>
      <c r="AO2276" s="1">
        <v>4</v>
      </c>
      <c r="AR2276" s="1">
        <v>0</v>
      </c>
      <c r="AS2276" s="1">
        <v>0</v>
      </c>
      <c r="AT2276" s="1">
        <v>0</v>
      </c>
      <c r="AU2276" s="1">
        <v>0</v>
      </c>
      <c r="AV2276" s="1">
        <v>0</v>
      </c>
      <c r="AW2276" s="1">
        <v>0</v>
      </c>
      <c r="AX2276" s="1">
        <v>0</v>
      </c>
      <c r="AY2276" s="1">
        <v>0</v>
      </c>
      <c r="AZ2276" s="1">
        <v>0</v>
      </c>
      <c r="BA2276" s="1">
        <v>0</v>
      </c>
      <c r="BB2276" s="1">
        <v>0</v>
      </c>
      <c r="BC2276" s="1">
        <v>0</v>
      </c>
      <c r="BD2276" s="1">
        <v>0</v>
      </c>
      <c r="BE2276" s="1">
        <v>0</v>
      </c>
      <c r="BF2276" s="1">
        <v>0</v>
      </c>
      <c r="BG2276" s="1">
        <v>0</v>
      </c>
      <c r="BH2276" s="1">
        <v>0</v>
      </c>
      <c r="BI2276" s="1">
        <v>0</v>
      </c>
      <c r="BJ2276" s="1">
        <v>0</v>
      </c>
      <c r="BK2276" s="1">
        <v>0</v>
      </c>
      <c r="BL2276" s="1">
        <v>0</v>
      </c>
      <c r="BM2276" s="1">
        <v>0</v>
      </c>
      <c r="BN2276" s="1">
        <v>0</v>
      </c>
      <c r="BO2276" s="1">
        <v>0</v>
      </c>
      <c r="BP2276" s="1">
        <v>0</v>
      </c>
      <c r="BQ2276" s="1" t="s">
        <v>104</v>
      </c>
      <c r="BR2276" s="1">
        <v>2397</v>
      </c>
      <c r="BS2276" s="1" t="s">
        <v>104</v>
      </c>
      <c r="BX2276" s="1">
        <v>0</v>
      </c>
      <c r="BY2276" s="1" t="s">
        <v>104</v>
      </c>
      <c r="BZ2276" s="1" t="s">
        <v>104</v>
      </c>
      <c r="CA2276" s="1" t="s">
        <v>104</v>
      </c>
      <c r="CB2276" s="1">
        <v>3</v>
      </c>
      <c r="CC2276" s="1" t="s">
        <v>104</v>
      </c>
      <c r="CD2276" s="1">
        <v>3</v>
      </c>
      <c r="CE2276" s="1" t="s">
        <v>104</v>
      </c>
      <c r="CF2276" s="1" t="s">
        <v>104</v>
      </c>
      <c r="CG2276" s="1" t="s">
        <v>104</v>
      </c>
      <c r="CH2276" s="1" t="s">
        <v>104</v>
      </c>
      <c r="CJ2276" s="1">
        <v>0</v>
      </c>
      <c r="CK2276" s="1">
        <v>0</v>
      </c>
      <c r="CL2276" s="1">
        <v>0</v>
      </c>
      <c r="CM2276" s="1" t="s">
        <v>104</v>
      </c>
    </row>
    <row r="2277" spans="1:91" ht="14.25" customHeight="1" x14ac:dyDescent="0.3">
      <c r="A2277" s="1" t="s">
        <v>11731</v>
      </c>
      <c r="B2277" s="1" t="s">
        <v>137</v>
      </c>
      <c r="D2277" s="1" t="s">
        <v>11441</v>
      </c>
      <c r="E2277" s="1" t="s">
        <v>11732</v>
      </c>
      <c r="F2277" s="1" t="s">
        <v>95</v>
      </c>
      <c r="G2277" s="1" t="s">
        <v>11733</v>
      </c>
      <c r="H2277" s="1">
        <v>0</v>
      </c>
      <c r="I2277" s="1" t="s">
        <v>11734</v>
      </c>
      <c r="L2277" s="1" t="s">
        <v>11735</v>
      </c>
      <c r="M2277" s="1" t="s">
        <v>119</v>
      </c>
      <c r="N2277" s="1">
        <v>0</v>
      </c>
      <c r="O2277" s="1">
        <v>0</v>
      </c>
      <c r="P2277" s="1" t="s">
        <v>4401</v>
      </c>
      <c r="Q2277" s="1" t="s">
        <v>101</v>
      </c>
      <c r="R2277" s="1" t="s">
        <v>11736</v>
      </c>
      <c r="S2277" s="1" t="s">
        <v>11617</v>
      </c>
      <c r="T2277" s="1">
        <v>1</v>
      </c>
      <c r="U2277" s="1">
        <v>1</v>
      </c>
      <c r="V2277" s="1">
        <v>1</v>
      </c>
      <c r="W2277" s="1">
        <v>0</v>
      </c>
      <c r="X2277" s="1">
        <v>0</v>
      </c>
      <c r="Y2277" s="1">
        <v>5</v>
      </c>
      <c r="Z2277" s="1">
        <v>5</v>
      </c>
      <c r="AA2277" s="1" t="s">
        <v>104</v>
      </c>
      <c r="AB2277" s="1" t="s">
        <v>104</v>
      </c>
      <c r="AC2277" s="1" t="s">
        <v>104</v>
      </c>
      <c r="AD2277" s="1">
        <v>4</v>
      </c>
      <c r="AE2277" s="1" t="s">
        <v>104</v>
      </c>
      <c r="AF2277" s="1">
        <v>4</v>
      </c>
      <c r="AG2277" s="1" t="s">
        <v>104</v>
      </c>
      <c r="AH2277" s="1">
        <v>5</v>
      </c>
      <c r="AI2277" s="1">
        <v>4</v>
      </c>
      <c r="AJ2277" s="1" t="s">
        <v>104</v>
      </c>
      <c r="AK2277" s="1" t="s">
        <v>104</v>
      </c>
      <c r="AL2277" s="1" t="s">
        <v>104</v>
      </c>
      <c r="AM2277" s="1" t="s">
        <v>104</v>
      </c>
      <c r="AO2277" s="1">
        <v>5</v>
      </c>
      <c r="AR2277" s="1">
        <v>0</v>
      </c>
      <c r="AS2277" s="1">
        <v>0</v>
      </c>
      <c r="AT2277" s="1">
        <v>0</v>
      </c>
      <c r="AU2277" s="1">
        <v>0</v>
      </c>
      <c r="AV2277" s="1">
        <v>1</v>
      </c>
      <c r="AW2277" s="1">
        <v>0</v>
      </c>
      <c r="AX2277" s="1">
        <v>0</v>
      </c>
      <c r="AY2277" s="1">
        <v>0</v>
      </c>
      <c r="AZ2277" s="1">
        <v>0</v>
      </c>
      <c r="BA2277" s="1">
        <v>0</v>
      </c>
      <c r="BB2277" s="1">
        <v>0</v>
      </c>
      <c r="BC2277" s="1">
        <v>0</v>
      </c>
      <c r="BD2277" s="1">
        <v>0</v>
      </c>
      <c r="BE2277" s="1">
        <v>0</v>
      </c>
      <c r="BF2277" s="1">
        <v>0</v>
      </c>
      <c r="BG2277" s="1">
        <v>0</v>
      </c>
      <c r="BH2277" s="1">
        <v>0</v>
      </c>
      <c r="BI2277" s="1">
        <v>0</v>
      </c>
      <c r="BJ2277" s="1">
        <v>0</v>
      </c>
      <c r="BK2277" s="1">
        <v>0</v>
      </c>
      <c r="BL2277" s="1">
        <v>0</v>
      </c>
      <c r="BM2277" s="1">
        <v>0</v>
      </c>
      <c r="BN2277" s="1">
        <v>0</v>
      </c>
      <c r="BO2277" s="1">
        <v>0</v>
      </c>
      <c r="BP2277" s="1">
        <v>0</v>
      </c>
      <c r="BQ2277" s="1" t="s">
        <v>104</v>
      </c>
      <c r="BR2277" s="1">
        <v>2398</v>
      </c>
      <c r="BS2277" s="1" t="s">
        <v>104</v>
      </c>
      <c r="BX2277" s="1">
        <v>0</v>
      </c>
      <c r="BY2277" s="1" t="s">
        <v>104</v>
      </c>
      <c r="BZ2277" s="1" t="s">
        <v>104</v>
      </c>
      <c r="CA2277" s="1" t="s">
        <v>104</v>
      </c>
      <c r="CB2277" s="1" t="s">
        <v>104</v>
      </c>
      <c r="CC2277" s="1" t="s">
        <v>104</v>
      </c>
      <c r="CD2277" s="1" t="s">
        <v>104</v>
      </c>
      <c r="CE2277" s="1" t="s">
        <v>104</v>
      </c>
      <c r="CF2277" s="1" t="s">
        <v>104</v>
      </c>
      <c r="CG2277" s="1" t="s">
        <v>104</v>
      </c>
      <c r="CH2277" s="1" t="s">
        <v>104</v>
      </c>
      <c r="CJ2277" s="1">
        <v>0</v>
      </c>
      <c r="CK2277" s="1">
        <v>0</v>
      </c>
      <c r="CL2277" s="1">
        <v>0</v>
      </c>
      <c r="CM2277" s="1" t="s">
        <v>104</v>
      </c>
    </row>
    <row r="2278" spans="1:91" ht="14.25" customHeight="1" x14ac:dyDescent="0.3">
      <c r="A2278" s="1" t="s">
        <v>11737</v>
      </c>
      <c r="B2278" s="1" t="s">
        <v>137</v>
      </c>
      <c r="E2278" s="1" t="s">
        <v>11738</v>
      </c>
      <c r="F2278" s="1" t="s">
        <v>95</v>
      </c>
      <c r="G2278" s="1" t="s">
        <v>11739</v>
      </c>
      <c r="H2278" s="1">
        <v>0</v>
      </c>
      <c r="I2278" s="1" t="s">
        <v>256</v>
      </c>
      <c r="L2278" s="1" t="s">
        <v>11740</v>
      </c>
      <c r="M2278" s="1" t="s">
        <v>4292</v>
      </c>
      <c r="N2278" s="1">
        <v>0</v>
      </c>
      <c r="O2278" s="1">
        <v>0</v>
      </c>
      <c r="P2278" s="1" t="s">
        <v>471</v>
      </c>
      <c r="Q2278" s="1" t="s">
        <v>472</v>
      </c>
      <c r="R2278" s="1" t="s">
        <v>11741</v>
      </c>
      <c r="S2278" s="1" t="s">
        <v>11617</v>
      </c>
      <c r="T2278" s="1">
        <v>1</v>
      </c>
      <c r="U2278" s="1">
        <v>1</v>
      </c>
      <c r="V2278" s="1">
        <v>1</v>
      </c>
      <c r="W2278" s="1">
        <v>0</v>
      </c>
      <c r="X2278" s="1">
        <v>0</v>
      </c>
      <c r="Y2278" s="1">
        <v>2</v>
      </c>
      <c r="Z2278" s="1">
        <v>2</v>
      </c>
      <c r="AA2278" s="1">
        <v>2</v>
      </c>
      <c r="AB2278" s="1">
        <v>1</v>
      </c>
      <c r="AC2278" s="1" t="s">
        <v>104</v>
      </c>
      <c r="AD2278" s="1">
        <v>1</v>
      </c>
      <c r="AE2278" s="1" t="s">
        <v>104</v>
      </c>
      <c r="AF2278" s="1">
        <v>1</v>
      </c>
      <c r="AG2278" s="1" t="s">
        <v>104</v>
      </c>
      <c r="AH2278" s="1">
        <v>2</v>
      </c>
      <c r="AI2278" s="1" t="s">
        <v>104</v>
      </c>
      <c r="AJ2278" s="1">
        <v>2</v>
      </c>
      <c r="AK2278" s="1" t="s">
        <v>104</v>
      </c>
      <c r="AL2278" s="1" t="s">
        <v>104</v>
      </c>
      <c r="AM2278" s="1" t="s">
        <v>104</v>
      </c>
      <c r="AO2278" s="1">
        <v>2</v>
      </c>
      <c r="AR2278" s="1">
        <v>0</v>
      </c>
      <c r="AS2278" s="1">
        <v>0</v>
      </c>
      <c r="AT2278" s="1">
        <v>0</v>
      </c>
      <c r="AU2278" s="1">
        <v>0</v>
      </c>
      <c r="AV2278" s="1">
        <v>0</v>
      </c>
      <c r="AW2278" s="1">
        <v>0</v>
      </c>
      <c r="AX2278" s="1">
        <v>0</v>
      </c>
      <c r="AY2278" s="1">
        <v>0</v>
      </c>
      <c r="AZ2278" s="1">
        <v>0</v>
      </c>
      <c r="BA2278" s="1">
        <v>0</v>
      </c>
      <c r="BB2278" s="1">
        <v>0</v>
      </c>
      <c r="BC2278" s="1">
        <v>0</v>
      </c>
      <c r="BD2278" s="1">
        <v>0</v>
      </c>
      <c r="BE2278" s="1">
        <v>0</v>
      </c>
      <c r="BF2278" s="1">
        <v>0</v>
      </c>
      <c r="BG2278" s="1">
        <v>0</v>
      </c>
      <c r="BH2278" s="1">
        <v>0</v>
      </c>
      <c r="BI2278" s="1">
        <v>0</v>
      </c>
      <c r="BJ2278" s="1">
        <v>0</v>
      </c>
      <c r="BK2278" s="1">
        <v>0</v>
      </c>
      <c r="BL2278" s="1">
        <v>0</v>
      </c>
      <c r="BM2278" s="1">
        <v>0</v>
      </c>
      <c r="BN2278" s="1">
        <v>0</v>
      </c>
      <c r="BO2278" s="1">
        <v>0</v>
      </c>
      <c r="BP2278" s="1">
        <v>0</v>
      </c>
      <c r="BQ2278" s="1" t="s">
        <v>104</v>
      </c>
      <c r="BR2278" s="1">
        <v>2399</v>
      </c>
      <c r="BS2278" s="1" t="s">
        <v>104</v>
      </c>
      <c r="BX2278" s="1">
        <v>0</v>
      </c>
      <c r="BY2278" s="1" t="s">
        <v>104</v>
      </c>
      <c r="BZ2278" s="1">
        <v>1</v>
      </c>
      <c r="CA2278" s="1" t="s">
        <v>104</v>
      </c>
      <c r="CB2278" s="1">
        <v>1</v>
      </c>
      <c r="CC2278" s="1" t="s">
        <v>104</v>
      </c>
      <c r="CD2278" s="1">
        <v>1</v>
      </c>
      <c r="CE2278" s="1" t="s">
        <v>104</v>
      </c>
      <c r="CF2278" s="1" t="s">
        <v>104</v>
      </c>
      <c r="CG2278" s="1" t="s">
        <v>104</v>
      </c>
      <c r="CH2278" s="1">
        <v>1</v>
      </c>
      <c r="CJ2278" s="1">
        <v>0</v>
      </c>
      <c r="CK2278" s="1">
        <v>0</v>
      </c>
      <c r="CL2278" s="1">
        <v>0</v>
      </c>
      <c r="CM2278" s="1" t="s">
        <v>104</v>
      </c>
    </row>
    <row r="2279" spans="1:91" ht="14.25" customHeight="1" x14ac:dyDescent="0.3">
      <c r="A2279" s="1" t="s">
        <v>11742</v>
      </c>
      <c r="B2279" s="1" t="s">
        <v>137</v>
      </c>
      <c r="C2279" s="1" t="s">
        <v>154</v>
      </c>
      <c r="E2279" s="1" t="s">
        <v>11743</v>
      </c>
      <c r="F2279" s="1" t="s">
        <v>2638</v>
      </c>
      <c r="G2279" s="1" t="s">
        <v>11744</v>
      </c>
      <c r="H2279" s="1">
        <v>0</v>
      </c>
      <c r="I2279" s="1" t="s">
        <v>128</v>
      </c>
      <c r="L2279" s="1" t="s">
        <v>11745</v>
      </c>
      <c r="M2279" s="1" t="s">
        <v>119</v>
      </c>
      <c r="N2279" s="1">
        <v>0</v>
      </c>
      <c r="O2279" s="1">
        <v>0</v>
      </c>
      <c r="P2279" s="1" t="s">
        <v>100</v>
      </c>
      <c r="Q2279" s="1" t="s">
        <v>101</v>
      </c>
      <c r="R2279" s="1" t="s">
        <v>11746</v>
      </c>
      <c r="S2279" s="1" t="s">
        <v>11617</v>
      </c>
      <c r="T2279" s="1">
        <v>1</v>
      </c>
      <c r="U2279" s="1">
        <v>1</v>
      </c>
      <c r="V2279" s="1">
        <v>1</v>
      </c>
      <c r="W2279" s="1">
        <v>0</v>
      </c>
      <c r="X2279" s="1">
        <v>0</v>
      </c>
      <c r="Y2279" s="1">
        <v>9</v>
      </c>
      <c r="Z2279" s="1">
        <v>9</v>
      </c>
      <c r="AA2279" s="1" t="s">
        <v>104</v>
      </c>
      <c r="AB2279" s="1" t="s">
        <v>104</v>
      </c>
      <c r="AC2279" s="1" t="s">
        <v>104</v>
      </c>
      <c r="AD2279" s="1" t="s">
        <v>104</v>
      </c>
      <c r="AE2279" s="1" t="s">
        <v>104</v>
      </c>
      <c r="AF2279" s="1">
        <v>6</v>
      </c>
      <c r="AG2279" s="1" t="s">
        <v>104</v>
      </c>
      <c r="AH2279" s="1" t="s">
        <v>104</v>
      </c>
      <c r="AI2279" s="1" t="s">
        <v>104</v>
      </c>
      <c r="AJ2279" s="1" t="s">
        <v>104</v>
      </c>
      <c r="AK2279" s="1" t="s">
        <v>104</v>
      </c>
      <c r="AL2279" s="1" t="s">
        <v>104</v>
      </c>
      <c r="AM2279" s="1" t="s">
        <v>104</v>
      </c>
      <c r="AO2279" s="1">
        <v>9</v>
      </c>
      <c r="AR2279" s="1">
        <v>0</v>
      </c>
      <c r="AS2279" s="1">
        <v>0</v>
      </c>
      <c r="AT2279" s="1">
        <v>0</v>
      </c>
      <c r="AU2279" s="1">
        <v>0</v>
      </c>
      <c r="AV2279" s="1">
        <v>0</v>
      </c>
      <c r="AW2279" s="1">
        <v>0</v>
      </c>
      <c r="AX2279" s="1">
        <v>0</v>
      </c>
      <c r="AY2279" s="1">
        <v>0</v>
      </c>
      <c r="AZ2279" s="1">
        <v>0</v>
      </c>
      <c r="BA2279" s="1">
        <v>0</v>
      </c>
      <c r="BB2279" s="1">
        <v>0</v>
      </c>
      <c r="BC2279" s="1">
        <v>0</v>
      </c>
      <c r="BD2279" s="1">
        <v>0</v>
      </c>
      <c r="BE2279" s="1">
        <v>0</v>
      </c>
      <c r="BF2279" s="1">
        <v>0</v>
      </c>
      <c r="BG2279" s="1">
        <v>0</v>
      </c>
      <c r="BH2279" s="1">
        <v>0</v>
      </c>
      <c r="BI2279" s="1">
        <v>0</v>
      </c>
      <c r="BJ2279" s="1">
        <v>0</v>
      </c>
      <c r="BK2279" s="1">
        <v>0</v>
      </c>
      <c r="BL2279" s="1">
        <v>0</v>
      </c>
      <c r="BM2279" s="1">
        <v>0</v>
      </c>
      <c r="BN2279" s="1">
        <v>0</v>
      </c>
      <c r="BO2279" s="1">
        <v>0</v>
      </c>
      <c r="BP2279" s="1">
        <v>0</v>
      </c>
      <c r="BQ2279" s="1" t="s">
        <v>104</v>
      </c>
      <c r="BR2279" s="1">
        <v>2400</v>
      </c>
      <c r="BS2279" s="1" t="s">
        <v>104</v>
      </c>
      <c r="BX2279" s="1">
        <v>0</v>
      </c>
      <c r="BY2279" s="1" t="s">
        <v>104</v>
      </c>
      <c r="BZ2279" s="1" t="s">
        <v>104</v>
      </c>
      <c r="CA2279" s="1" t="s">
        <v>104</v>
      </c>
      <c r="CB2279" s="1" t="s">
        <v>104</v>
      </c>
      <c r="CC2279" s="1" t="s">
        <v>104</v>
      </c>
      <c r="CD2279" s="1" t="s">
        <v>104</v>
      </c>
      <c r="CE2279" s="1" t="s">
        <v>104</v>
      </c>
      <c r="CF2279" s="1" t="s">
        <v>104</v>
      </c>
      <c r="CG2279" s="1" t="s">
        <v>104</v>
      </c>
      <c r="CH2279" s="1" t="s">
        <v>104</v>
      </c>
      <c r="CJ2279" s="1">
        <v>0</v>
      </c>
      <c r="CK2279" s="1">
        <v>0</v>
      </c>
      <c r="CL2279" s="1">
        <v>0</v>
      </c>
      <c r="CM2279" s="1" t="s">
        <v>104</v>
      </c>
    </row>
    <row r="2280" spans="1:91" ht="14.25" customHeight="1" x14ac:dyDescent="0.3">
      <c r="A2280" s="1" t="s">
        <v>11747</v>
      </c>
      <c r="B2280" s="1" t="s">
        <v>172</v>
      </c>
      <c r="E2280" s="1" t="s">
        <v>11748</v>
      </c>
      <c r="F2280" s="1" t="s">
        <v>95</v>
      </c>
      <c r="G2280" s="1" t="s">
        <v>116</v>
      </c>
      <c r="H2280" s="1">
        <v>0</v>
      </c>
      <c r="I2280" s="1" t="s">
        <v>11749</v>
      </c>
      <c r="L2280" s="1" t="s">
        <v>5827</v>
      </c>
      <c r="M2280" s="1" t="s">
        <v>119</v>
      </c>
      <c r="N2280" s="1">
        <v>0</v>
      </c>
      <c r="O2280" s="1">
        <v>0</v>
      </c>
      <c r="P2280" s="1" t="s">
        <v>100</v>
      </c>
      <c r="Q2280" s="1" t="s">
        <v>184</v>
      </c>
      <c r="R2280" s="1" t="s">
        <v>11750</v>
      </c>
      <c r="S2280" s="1" t="s">
        <v>11617</v>
      </c>
      <c r="T2280" s="1">
        <v>1</v>
      </c>
      <c r="U2280" s="1">
        <v>1</v>
      </c>
      <c r="V2280" s="1">
        <v>0</v>
      </c>
      <c r="W2280" s="1">
        <v>0</v>
      </c>
      <c r="X2280" s="1">
        <v>0</v>
      </c>
      <c r="Y2280" s="1">
        <v>3</v>
      </c>
      <c r="Z2280" s="1">
        <v>3</v>
      </c>
      <c r="AA2280" s="1" t="s">
        <v>104</v>
      </c>
      <c r="AB2280" s="1" t="s">
        <v>104</v>
      </c>
      <c r="AC2280" s="1" t="s">
        <v>104</v>
      </c>
      <c r="AD2280" s="1">
        <v>3</v>
      </c>
      <c r="AE2280" s="1" t="s">
        <v>104</v>
      </c>
      <c r="AF2280" s="1" t="s">
        <v>104</v>
      </c>
      <c r="AG2280" s="1" t="s">
        <v>104</v>
      </c>
      <c r="AH2280" s="1">
        <v>3</v>
      </c>
      <c r="AI2280" s="1">
        <v>3</v>
      </c>
      <c r="AJ2280" s="1">
        <v>3</v>
      </c>
      <c r="AK2280" s="1" t="s">
        <v>104</v>
      </c>
      <c r="AL2280" s="1">
        <v>3</v>
      </c>
      <c r="AM2280" s="1" t="s">
        <v>104</v>
      </c>
      <c r="AO2280" s="1">
        <v>3</v>
      </c>
      <c r="AR2280" s="1">
        <v>0</v>
      </c>
      <c r="AS2280" s="1">
        <v>0</v>
      </c>
      <c r="AT2280" s="1">
        <v>0</v>
      </c>
      <c r="AU2280" s="1">
        <v>0</v>
      </c>
      <c r="AV2280" s="1">
        <v>0</v>
      </c>
      <c r="AW2280" s="1">
        <v>0</v>
      </c>
      <c r="AX2280" s="1">
        <v>0</v>
      </c>
      <c r="AY2280" s="1">
        <v>0</v>
      </c>
      <c r="AZ2280" s="1">
        <v>0</v>
      </c>
      <c r="BA2280" s="1">
        <v>0</v>
      </c>
      <c r="BB2280" s="1">
        <v>0</v>
      </c>
      <c r="BC2280" s="1">
        <v>0</v>
      </c>
      <c r="BD2280" s="1">
        <v>0</v>
      </c>
      <c r="BE2280" s="1">
        <v>0</v>
      </c>
      <c r="BF2280" s="1">
        <v>0</v>
      </c>
      <c r="BG2280" s="1">
        <v>0</v>
      </c>
      <c r="BH2280" s="1">
        <v>0</v>
      </c>
      <c r="BI2280" s="1">
        <v>0</v>
      </c>
      <c r="BJ2280" s="1">
        <v>0</v>
      </c>
      <c r="BK2280" s="1">
        <v>0</v>
      </c>
      <c r="BL2280" s="1">
        <v>0</v>
      </c>
      <c r="BM2280" s="1">
        <v>0</v>
      </c>
      <c r="BN2280" s="1">
        <v>0</v>
      </c>
      <c r="BO2280" s="1">
        <v>0</v>
      </c>
      <c r="BP2280" s="1">
        <v>0</v>
      </c>
      <c r="BQ2280" s="1" t="s">
        <v>104</v>
      </c>
      <c r="BR2280" s="1">
        <v>2401</v>
      </c>
      <c r="BS2280" s="1" t="s">
        <v>104</v>
      </c>
      <c r="BX2280" s="1">
        <v>0</v>
      </c>
      <c r="BY2280" s="1">
        <v>3</v>
      </c>
      <c r="BZ2280" s="1">
        <v>3</v>
      </c>
      <c r="CA2280" s="1">
        <v>3</v>
      </c>
      <c r="CB2280" s="1">
        <v>3</v>
      </c>
      <c r="CC2280" s="1" t="s">
        <v>104</v>
      </c>
      <c r="CD2280" s="1" t="s">
        <v>104</v>
      </c>
      <c r="CE2280" s="1" t="s">
        <v>104</v>
      </c>
      <c r="CF2280" s="1" t="s">
        <v>104</v>
      </c>
      <c r="CG2280" s="1" t="s">
        <v>104</v>
      </c>
      <c r="CH2280" s="1" t="s">
        <v>104</v>
      </c>
      <c r="CJ2280" s="1">
        <v>0</v>
      </c>
      <c r="CK2280" s="1">
        <v>0</v>
      </c>
      <c r="CL2280" s="1">
        <v>0</v>
      </c>
      <c r="CM2280" s="1" t="s">
        <v>104</v>
      </c>
    </row>
    <row r="2281" spans="1:91" ht="14.25" customHeight="1" x14ac:dyDescent="0.3">
      <c r="A2281" s="1" t="s">
        <v>11751</v>
      </c>
      <c r="B2281" s="1" t="s">
        <v>172</v>
      </c>
      <c r="E2281" s="1" t="s">
        <v>11752</v>
      </c>
      <c r="F2281" s="1" t="s">
        <v>4934</v>
      </c>
      <c r="G2281" s="1" t="s">
        <v>116</v>
      </c>
      <c r="H2281" s="1">
        <v>0</v>
      </c>
      <c r="I2281" s="1" t="s">
        <v>157</v>
      </c>
      <c r="L2281" s="1" t="s">
        <v>158</v>
      </c>
      <c r="M2281" s="1" t="s">
        <v>119</v>
      </c>
      <c r="N2281" s="1">
        <v>0</v>
      </c>
      <c r="O2281" s="1">
        <v>0</v>
      </c>
      <c r="R2281" s="1" t="s">
        <v>11753</v>
      </c>
      <c r="S2281" s="1" t="s">
        <v>11617</v>
      </c>
      <c r="T2281" s="1">
        <v>1</v>
      </c>
      <c r="U2281" s="1">
        <v>1</v>
      </c>
      <c r="V2281" s="1">
        <v>0</v>
      </c>
      <c r="W2281" s="1">
        <v>0</v>
      </c>
      <c r="X2281" s="1">
        <v>0</v>
      </c>
      <c r="Y2281" s="1">
        <v>5</v>
      </c>
      <c r="Z2281" s="1">
        <v>5</v>
      </c>
      <c r="AA2281" s="1" t="s">
        <v>104</v>
      </c>
      <c r="AB2281" s="1" t="s">
        <v>104</v>
      </c>
      <c r="AC2281" s="1" t="s">
        <v>104</v>
      </c>
      <c r="AD2281" s="1">
        <v>4</v>
      </c>
      <c r="AE2281" s="1" t="s">
        <v>104</v>
      </c>
      <c r="AF2281" s="1" t="s">
        <v>104</v>
      </c>
      <c r="AG2281" s="1" t="s">
        <v>104</v>
      </c>
      <c r="AH2281" s="1">
        <v>4</v>
      </c>
      <c r="AI2281" s="1" t="s">
        <v>104</v>
      </c>
      <c r="AJ2281" s="1">
        <v>4</v>
      </c>
      <c r="AK2281" s="1" t="s">
        <v>104</v>
      </c>
      <c r="AL2281" s="1" t="s">
        <v>104</v>
      </c>
      <c r="AM2281" s="1" t="s">
        <v>104</v>
      </c>
      <c r="AO2281" s="1">
        <v>5</v>
      </c>
      <c r="AR2281" s="1">
        <v>0</v>
      </c>
      <c r="AS2281" s="1">
        <v>0</v>
      </c>
      <c r="AT2281" s="1">
        <v>0</v>
      </c>
      <c r="AU2281" s="1">
        <v>0</v>
      </c>
      <c r="AV2281" s="1">
        <v>0</v>
      </c>
      <c r="AW2281" s="1">
        <v>0</v>
      </c>
      <c r="AX2281" s="1">
        <v>0</v>
      </c>
      <c r="AY2281" s="1">
        <v>0</v>
      </c>
      <c r="AZ2281" s="1">
        <v>0</v>
      </c>
      <c r="BA2281" s="1">
        <v>0</v>
      </c>
      <c r="BB2281" s="1">
        <v>0</v>
      </c>
      <c r="BC2281" s="1">
        <v>0</v>
      </c>
      <c r="BD2281" s="1">
        <v>0</v>
      </c>
      <c r="BE2281" s="1">
        <v>0</v>
      </c>
      <c r="BF2281" s="1">
        <v>0</v>
      </c>
      <c r="BG2281" s="1">
        <v>0</v>
      </c>
      <c r="BH2281" s="1">
        <v>0</v>
      </c>
      <c r="BI2281" s="1">
        <v>0</v>
      </c>
      <c r="BJ2281" s="1">
        <v>0</v>
      </c>
      <c r="BK2281" s="1">
        <v>0</v>
      </c>
      <c r="BL2281" s="1">
        <v>0</v>
      </c>
      <c r="BM2281" s="1">
        <v>0</v>
      </c>
      <c r="BN2281" s="1">
        <v>0</v>
      </c>
      <c r="BO2281" s="1">
        <v>0</v>
      </c>
      <c r="BP2281" s="1">
        <v>0</v>
      </c>
      <c r="BQ2281" s="1" t="s">
        <v>104</v>
      </c>
      <c r="BR2281" s="1">
        <v>2402</v>
      </c>
      <c r="BS2281" s="1" t="s">
        <v>104</v>
      </c>
      <c r="BX2281" s="1">
        <v>0</v>
      </c>
      <c r="BY2281" s="1" t="s">
        <v>104</v>
      </c>
      <c r="BZ2281" s="1" t="s">
        <v>104</v>
      </c>
      <c r="CA2281" s="1">
        <v>4</v>
      </c>
      <c r="CB2281" s="1" t="s">
        <v>104</v>
      </c>
      <c r="CC2281" s="1" t="s">
        <v>104</v>
      </c>
      <c r="CD2281" s="1">
        <v>5</v>
      </c>
      <c r="CE2281" s="1" t="s">
        <v>104</v>
      </c>
      <c r="CF2281" s="1" t="s">
        <v>104</v>
      </c>
      <c r="CG2281" s="1" t="s">
        <v>104</v>
      </c>
      <c r="CH2281" s="1" t="s">
        <v>104</v>
      </c>
      <c r="CJ2281" s="1">
        <v>0</v>
      </c>
      <c r="CK2281" s="1">
        <v>0</v>
      </c>
      <c r="CL2281" s="1">
        <v>0</v>
      </c>
      <c r="CM2281" s="1" t="s">
        <v>104</v>
      </c>
    </row>
    <row r="2282" spans="1:91" ht="14.25" customHeight="1" x14ac:dyDescent="0.3">
      <c r="A2282" s="1" t="s">
        <v>11754</v>
      </c>
      <c r="B2282" s="1" t="s">
        <v>172</v>
      </c>
      <c r="E2282" s="1" t="s">
        <v>11755</v>
      </c>
      <c r="F2282" s="1" t="s">
        <v>95</v>
      </c>
      <c r="G2282" s="1" t="s">
        <v>11756</v>
      </c>
      <c r="H2282" s="1">
        <v>0</v>
      </c>
      <c r="I2282" s="1" t="s">
        <v>11757</v>
      </c>
      <c r="L2282" s="1" t="s">
        <v>541</v>
      </c>
      <c r="M2282" s="1" t="s">
        <v>111</v>
      </c>
      <c r="N2282" s="1">
        <v>0</v>
      </c>
      <c r="O2282" s="1">
        <v>0</v>
      </c>
      <c r="P2282" s="1" t="s">
        <v>375</v>
      </c>
      <c r="Q2282" s="1" t="s">
        <v>131</v>
      </c>
      <c r="R2282" s="1" t="s">
        <v>11758</v>
      </c>
      <c r="S2282" s="1" t="s">
        <v>11617</v>
      </c>
      <c r="T2282" s="1">
        <v>1</v>
      </c>
      <c r="U2282" s="1">
        <v>1</v>
      </c>
      <c r="V2282" s="1">
        <v>1</v>
      </c>
      <c r="W2282" s="1">
        <v>0</v>
      </c>
      <c r="X2282" s="1">
        <v>0</v>
      </c>
      <c r="Y2282" s="1">
        <v>3</v>
      </c>
      <c r="Z2282" s="1">
        <v>3</v>
      </c>
      <c r="AA2282" s="1" t="s">
        <v>104</v>
      </c>
      <c r="AB2282" s="1" t="s">
        <v>104</v>
      </c>
      <c r="AC2282" s="1" t="s">
        <v>104</v>
      </c>
      <c r="AD2282" s="1">
        <v>2</v>
      </c>
      <c r="AE2282" s="1" t="s">
        <v>104</v>
      </c>
      <c r="AF2282" s="1" t="s">
        <v>104</v>
      </c>
      <c r="AG2282" s="1" t="s">
        <v>104</v>
      </c>
      <c r="AH2282" s="1">
        <v>3</v>
      </c>
      <c r="AI2282" s="1" t="s">
        <v>104</v>
      </c>
      <c r="AJ2282" s="1" t="s">
        <v>104</v>
      </c>
      <c r="AK2282" s="1" t="s">
        <v>104</v>
      </c>
      <c r="AL2282" s="1">
        <v>3</v>
      </c>
      <c r="AM2282" s="1" t="s">
        <v>104</v>
      </c>
      <c r="AO2282" s="1">
        <v>3</v>
      </c>
      <c r="AR2282" s="1">
        <v>0</v>
      </c>
      <c r="AS2282" s="1">
        <v>0</v>
      </c>
      <c r="AT2282" s="1">
        <v>0</v>
      </c>
      <c r="AU2282" s="1">
        <v>0</v>
      </c>
      <c r="AV2282" s="1">
        <v>0</v>
      </c>
      <c r="AW2282" s="1">
        <v>0</v>
      </c>
      <c r="AX2282" s="1">
        <v>0</v>
      </c>
      <c r="AY2282" s="1">
        <v>0</v>
      </c>
      <c r="AZ2282" s="1">
        <v>0</v>
      </c>
      <c r="BA2282" s="1">
        <v>0</v>
      </c>
      <c r="BB2282" s="1">
        <v>0</v>
      </c>
      <c r="BC2282" s="1">
        <v>0</v>
      </c>
      <c r="BD2282" s="1">
        <v>0</v>
      </c>
      <c r="BE2282" s="1">
        <v>0</v>
      </c>
      <c r="BF2282" s="1">
        <v>0</v>
      </c>
      <c r="BG2282" s="1">
        <v>0</v>
      </c>
      <c r="BH2282" s="1">
        <v>0</v>
      </c>
      <c r="BI2282" s="1">
        <v>0</v>
      </c>
      <c r="BJ2282" s="1">
        <v>0</v>
      </c>
      <c r="BK2282" s="1">
        <v>0</v>
      </c>
      <c r="BL2282" s="1">
        <v>0</v>
      </c>
      <c r="BM2282" s="1">
        <v>0</v>
      </c>
      <c r="BN2282" s="1">
        <v>0</v>
      </c>
      <c r="BO2282" s="1">
        <v>0</v>
      </c>
      <c r="BP2282" s="1">
        <v>0</v>
      </c>
      <c r="BQ2282" s="1" t="s">
        <v>104</v>
      </c>
      <c r="BR2282" s="1">
        <v>2403</v>
      </c>
      <c r="BS2282" s="1" t="s">
        <v>104</v>
      </c>
      <c r="BX2282" s="1">
        <v>0</v>
      </c>
      <c r="BY2282" s="1">
        <v>2</v>
      </c>
      <c r="BZ2282" s="1" t="s">
        <v>104</v>
      </c>
      <c r="CA2282" s="1">
        <v>3</v>
      </c>
      <c r="CB2282" s="1" t="s">
        <v>104</v>
      </c>
      <c r="CC2282" s="1" t="s">
        <v>104</v>
      </c>
      <c r="CD2282" s="1" t="s">
        <v>104</v>
      </c>
      <c r="CE2282" s="1" t="s">
        <v>104</v>
      </c>
      <c r="CF2282" s="1" t="s">
        <v>104</v>
      </c>
      <c r="CG2282" s="1" t="s">
        <v>104</v>
      </c>
      <c r="CH2282" s="1" t="s">
        <v>104</v>
      </c>
      <c r="CJ2282" s="1">
        <v>0</v>
      </c>
      <c r="CK2282" s="1">
        <v>0</v>
      </c>
      <c r="CL2282" s="1">
        <v>0</v>
      </c>
      <c r="CM2282" s="1" t="s">
        <v>104</v>
      </c>
    </row>
    <row r="2283" spans="1:91" ht="14.25" customHeight="1" x14ac:dyDescent="0.3">
      <c r="A2283" s="1" t="s">
        <v>11759</v>
      </c>
      <c r="B2283" s="1" t="s">
        <v>123</v>
      </c>
      <c r="C2283" s="1" t="s">
        <v>124</v>
      </c>
      <c r="D2283" s="1" t="s">
        <v>11422</v>
      </c>
      <c r="E2283" s="1" t="s">
        <v>11760</v>
      </c>
      <c r="F2283" s="1" t="s">
        <v>95</v>
      </c>
      <c r="G2283" s="1" t="s">
        <v>11761</v>
      </c>
      <c r="H2283" s="1">
        <v>0</v>
      </c>
      <c r="I2283" s="1" t="s">
        <v>109</v>
      </c>
      <c r="L2283" s="1" t="s">
        <v>5827</v>
      </c>
      <c r="M2283" s="1" t="s">
        <v>2330</v>
      </c>
      <c r="N2283" s="1">
        <v>0</v>
      </c>
      <c r="O2283" s="1">
        <v>0</v>
      </c>
      <c r="P2283" s="1" t="s">
        <v>211</v>
      </c>
      <c r="Q2283" s="1" t="s">
        <v>184</v>
      </c>
      <c r="R2283" s="1" t="s">
        <v>11762</v>
      </c>
      <c r="S2283" s="1" t="s">
        <v>11617</v>
      </c>
      <c r="T2283" s="1">
        <v>1</v>
      </c>
      <c r="U2283" s="1">
        <v>1</v>
      </c>
      <c r="V2283" s="1">
        <v>1</v>
      </c>
      <c r="W2283" s="1">
        <v>0</v>
      </c>
      <c r="X2283" s="1">
        <v>0</v>
      </c>
      <c r="Y2283" s="1">
        <v>2</v>
      </c>
      <c r="Z2283" s="1">
        <v>2</v>
      </c>
      <c r="AA2283" s="1" t="s">
        <v>104</v>
      </c>
      <c r="AB2283" s="1" t="s">
        <v>104</v>
      </c>
      <c r="AC2283" s="1" t="s">
        <v>104</v>
      </c>
      <c r="AD2283" s="1">
        <v>2</v>
      </c>
      <c r="AE2283" s="1" t="s">
        <v>104</v>
      </c>
      <c r="AF2283" s="1" t="s">
        <v>104</v>
      </c>
      <c r="AG2283" s="1" t="s">
        <v>104</v>
      </c>
      <c r="AH2283" s="1" t="s">
        <v>104</v>
      </c>
      <c r="AI2283" s="1" t="s">
        <v>104</v>
      </c>
      <c r="AJ2283" s="1" t="s">
        <v>104</v>
      </c>
      <c r="AK2283" s="1" t="s">
        <v>104</v>
      </c>
      <c r="AL2283" s="1">
        <v>3</v>
      </c>
      <c r="AM2283" s="1" t="s">
        <v>104</v>
      </c>
      <c r="AO2283" s="1">
        <v>2</v>
      </c>
      <c r="AR2283" s="1">
        <v>0</v>
      </c>
      <c r="AS2283" s="1">
        <v>0</v>
      </c>
      <c r="AT2283" s="1">
        <v>0</v>
      </c>
      <c r="AU2283" s="1">
        <v>0</v>
      </c>
      <c r="AV2283" s="1">
        <v>0</v>
      </c>
      <c r="AW2283" s="1">
        <v>0</v>
      </c>
      <c r="AX2283" s="1">
        <v>0</v>
      </c>
      <c r="AY2283" s="1">
        <v>0</v>
      </c>
      <c r="AZ2283" s="1">
        <v>0</v>
      </c>
      <c r="BA2283" s="1">
        <v>0</v>
      </c>
      <c r="BB2283" s="1">
        <v>1</v>
      </c>
      <c r="BC2283" s="1">
        <v>0</v>
      </c>
      <c r="BD2283" s="1">
        <v>0</v>
      </c>
      <c r="BE2283" s="1">
        <v>0</v>
      </c>
      <c r="BF2283" s="1">
        <v>0</v>
      </c>
      <c r="BG2283" s="1">
        <v>0</v>
      </c>
      <c r="BH2283" s="1">
        <v>0</v>
      </c>
      <c r="BI2283" s="1">
        <v>0</v>
      </c>
      <c r="BJ2283" s="1">
        <v>0</v>
      </c>
      <c r="BK2283" s="1">
        <v>1</v>
      </c>
      <c r="BL2283" s="1">
        <v>0</v>
      </c>
      <c r="BM2283" s="1">
        <v>0</v>
      </c>
      <c r="BN2283" s="1">
        <v>0</v>
      </c>
      <c r="BO2283" s="1">
        <v>0</v>
      </c>
      <c r="BP2283" s="1">
        <v>0</v>
      </c>
      <c r="BQ2283" s="1" t="s">
        <v>104</v>
      </c>
      <c r="BR2283" s="1">
        <v>2404</v>
      </c>
      <c r="BS2283" s="1" t="s">
        <v>104</v>
      </c>
      <c r="BX2283" s="1">
        <v>0</v>
      </c>
      <c r="BY2283" s="1">
        <v>2</v>
      </c>
      <c r="BZ2283" s="1" t="s">
        <v>104</v>
      </c>
      <c r="CA2283" s="1">
        <v>2</v>
      </c>
      <c r="CB2283" s="1" t="s">
        <v>104</v>
      </c>
      <c r="CC2283" s="1">
        <v>2</v>
      </c>
      <c r="CD2283" s="1" t="s">
        <v>104</v>
      </c>
      <c r="CE2283" s="1" t="s">
        <v>104</v>
      </c>
      <c r="CF2283" s="1" t="s">
        <v>104</v>
      </c>
      <c r="CG2283" s="1" t="s">
        <v>104</v>
      </c>
      <c r="CH2283" s="1" t="s">
        <v>104</v>
      </c>
      <c r="CJ2283" s="1">
        <v>0</v>
      </c>
      <c r="CK2283" s="1">
        <v>0</v>
      </c>
      <c r="CL2283" s="1">
        <v>0</v>
      </c>
      <c r="CM2283" s="1" t="s">
        <v>104</v>
      </c>
    </row>
    <row r="2284" spans="1:91" ht="14.25" customHeight="1" x14ac:dyDescent="0.3">
      <c r="A2284" s="1" t="s">
        <v>11763</v>
      </c>
      <c r="B2284" s="1" t="s">
        <v>123</v>
      </c>
      <c r="C2284" s="1" t="s">
        <v>124</v>
      </c>
      <c r="D2284" s="1" t="s">
        <v>11457</v>
      </c>
      <c r="E2284" s="1" t="s">
        <v>11764</v>
      </c>
      <c r="F2284" s="1" t="s">
        <v>95</v>
      </c>
      <c r="G2284" s="1" t="s">
        <v>116</v>
      </c>
      <c r="H2284" s="1">
        <v>0</v>
      </c>
      <c r="I2284" s="1" t="s">
        <v>109</v>
      </c>
      <c r="L2284" s="1" t="s">
        <v>11765</v>
      </c>
      <c r="M2284" s="1" t="s">
        <v>111</v>
      </c>
      <c r="N2284" s="1">
        <v>0</v>
      </c>
      <c r="O2284" s="1">
        <v>0</v>
      </c>
      <c r="P2284" s="1" t="s">
        <v>211</v>
      </c>
      <c r="Q2284" s="1" t="s">
        <v>184</v>
      </c>
      <c r="R2284" s="1" t="s">
        <v>11766</v>
      </c>
      <c r="S2284" s="1" t="s">
        <v>11617</v>
      </c>
      <c r="T2284" s="1">
        <v>1</v>
      </c>
      <c r="U2284" s="1">
        <v>1</v>
      </c>
      <c r="V2284" s="1">
        <v>0</v>
      </c>
      <c r="W2284" s="1">
        <v>0</v>
      </c>
      <c r="X2284" s="1">
        <v>0</v>
      </c>
      <c r="Y2284" s="1">
        <v>3</v>
      </c>
      <c r="Z2284" s="1">
        <v>3</v>
      </c>
      <c r="AA2284" s="1" t="s">
        <v>104</v>
      </c>
      <c r="AB2284" s="1" t="s">
        <v>104</v>
      </c>
      <c r="AC2284" s="1" t="s">
        <v>104</v>
      </c>
      <c r="AD2284" s="1">
        <v>3</v>
      </c>
      <c r="AE2284" s="1" t="s">
        <v>104</v>
      </c>
      <c r="AF2284" s="1" t="s">
        <v>104</v>
      </c>
      <c r="AG2284" s="1" t="s">
        <v>104</v>
      </c>
      <c r="AH2284" s="1">
        <v>3</v>
      </c>
      <c r="AI2284" s="1">
        <v>3</v>
      </c>
      <c r="AJ2284" s="1" t="s">
        <v>104</v>
      </c>
      <c r="AK2284" s="1">
        <v>3</v>
      </c>
      <c r="AL2284" s="1" t="s">
        <v>104</v>
      </c>
      <c r="AM2284" s="1" t="s">
        <v>104</v>
      </c>
      <c r="AO2284" s="1">
        <v>3</v>
      </c>
      <c r="AR2284" s="1">
        <v>0</v>
      </c>
      <c r="AS2284" s="1">
        <v>0</v>
      </c>
      <c r="AT2284" s="1">
        <v>0</v>
      </c>
      <c r="AU2284" s="1">
        <v>0</v>
      </c>
      <c r="AV2284" s="1">
        <v>0</v>
      </c>
      <c r="AW2284" s="1">
        <v>0</v>
      </c>
      <c r="AX2284" s="1">
        <v>0</v>
      </c>
      <c r="AY2284" s="1">
        <v>0</v>
      </c>
      <c r="AZ2284" s="1">
        <v>0</v>
      </c>
      <c r="BA2284" s="1">
        <v>0</v>
      </c>
      <c r="BB2284" s="1">
        <v>1</v>
      </c>
      <c r="BC2284" s="1">
        <v>0</v>
      </c>
      <c r="BD2284" s="1">
        <v>1</v>
      </c>
      <c r="BE2284" s="1">
        <v>0</v>
      </c>
      <c r="BF2284" s="1">
        <v>0</v>
      </c>
      <c r="BG2284" s="1">
        <v>0</v>
      </c>
      <c r="BH2284" s="1">
        <v>0</v>
      </c>
      <c r="BI2284" s="1">
        <v>0</v>
      </c>
      <c r="BJ2284" s="1">
        <v>0</v>
      </c>
      <c r="BK2284" s="1">
        <v>1</v>
      </c>
      <c r="BL2284" s="1">
        <v>0</v>
      </c>
      <c r="BM2284" s="1">
        <v>0</v>
      </c>
      <c r="BN2284" s="1">
        <v>0</v>
      </c>
      <c r="BO2284" s="1">
        <v>0</v>
      </c>
      <c r="BP2284" s="1">
        <v>0</v>
      </c>
      <c r="BQ2284" s="1" t="s">
        <v>104</v>
      </c>
      <c r="BR2284" s="1">
        <v>2405</v>
      </c>
      <c r="BS2284" s="1" t="s">
        <v>104</v>
      </c>
      <c r="BX2284" s="1">
        <v>0</v>
      </c>
      <c r="BY2284" s="1" t="s">
        <v>104</v>
      </c>
      <c r="BZ2284" s="1" t="s">
        <v>104</v>
      </c>
      <c r="CA2284" s="1">
        <v>3</v>
      </c>
      <c r="CB2284" s="1" t="s">
        <v>104</v>
      </c>
      <c r="CC2284" s="1">
        <v>3</v>
      </c>
      <c r="CD2284" s="1" t="s">
        <v>104</v>
      </c>
      <c r="CE2284" s="1" t="s">
        <v>104</v>
      </c>
      <c r="CF2284" s="1" t="s">
        <v>104</v>
      </c>
      <c r="CG2284" s="1" t="s">
        <v>104</v>
      </c>
      <c r="CH2284" s="1" t="s">
        <v>104</v>
      </c>
      <c r="CJ2284" s="1">
        <v>0</v>
      </c>
      <c r="CK2284" s="1">
        <v>0</v>
      </c>
      <c r="CL2284" s="1">
        <v>0</v>
      </c>
      <c r="CM2284" s="1" t="s">
        <v>104</v>
      </c>
    </row>
    <row r="2285" spans="1:91" ht="14.25" customHeight="1" x14ac:dyDescent="0.3">
      <c r="A2285" s="1" t="s">
        <v>11767</v>
      </c>
      <c r="B2285" s="1" t="s">
        <v>162</v>
      </c>
      <c r="E2285" s="1" t="s">
        <v>11768</v>
      </c>
      <c r="F2285" s="1" t="s">
        <v>95</v>
      </c>
      <c r="G2285" s="1" t="s">
        <v>116</v>
      </c>
      <c r="H2285" s="1">
        <v>0</v>
      </c>
      <c r="I2285" s="1" t="s">
        <v>109</v>
      </c>
      <c r="L2285" s="1" t="s">
        <v>5956</v>
      </c>
      <c r="M2285" s="1" t="s">
        <v>4292</v>
      </c>
      <c r="N2285" s="1">
        <v>0</v>
      </c>
      <c r="O2285" s="1">
        <v>0</v>
      </c>
      <c r="P2285" s="1" t="s">
        <v>375</v>
      </c>
      <c r="Q2285" s="1" t="s">
        <v>131</v>
      </c>
      <c r="R2285" s="1" t="s">
        <v>11769</v>
      </c>
      <c r="S2285" s="1" t="s">
        <v>11617</v>
      </c>
      <c r="T2285" s="1">
        <v>1</v>
      </c>
      <c r="U2285" s="1">
        <v>1</v>
      </c>
      <c r="V2285" s="1">
        <v>0</v>
      </c>
      <c r="W2285" s="1">
        <v>0</v>
      </c>
      <c r="X2285" s="1">
        <v>0</v>
      </c>
      <c r="Y2285" s="1">
        <v>4</v>
      </c>
      <c r="Z2285" s="1">
        <v>4</v>
      </c>
      <c r="AA2285" s="1" t="s">
        <v>104</v>
      </c>
      <c r="AB2285" s="1" t="s">
        <v>104</v>
      </c>
      <c r="AC2285" s="1" t="s">
        <v>104</v>
      </c>
      <c r="AD2285" s="1">
        <v>4</v>
      </c>
      <c r="AE2285" s="1" t="s">
        <v>104</v>
      </c>
      <c r="AF2285" s="1" t="s">
        <v>104</v>
      </c>
      <c r="AG2285" s="1" t="s">
        <v>104</v>
      </c>
      <c r="AH2285" s="1">
        <v>3</v>
      </c>
      <c r="AI2285" s="1">
        <v>4</v>
      </c>
      <c r="AJ2285" s="1" t="s">
        <v>104</v>
      </c>
      <c r="AK2285" s="1" t="s">
        <v>104</v>
      </c>
      <c r="AL2285" s="1" t="s">
        <v>104</v>
      </c>
      <c r="AM2285" s="1" t="s">
        <v>104</v>
      </c>
      <c r="AO2285" s="1">
        <v>4</v>
      </c>
      <c r="AR2285" s="1">
        <v>0</v>
      </c>
      <c r="AS2285" s="1">
        <v>0</v>
      </c>
      <c r="AT2285" s="1">
        <v>0</v>
      </c>
      <c r="AU2285" s="1">
        <v>0</v>
      </c>
      <c r="AV2285" s="1">
        <v>0</v>
      </c>
      <c r="AW2285" s="1">
        <v>0</v>
      </c>
      <c r="AX2285" s="1">
        <v>0</v>
      </c>
      <c r="AY2285" s="1">
        <v>0</v>
      </c>
      <c r="AZ2285" s="1">
        <v>0</v>
      </c>
      <c r="BA2285" s="1">
        <v>0</v>
      </c>
      <c r="BB2285" s="1">
        <v>0</v>
      </c>
      <c r="BC2285" s="1">
        <v>0</v>
      </c>
      <c r="BD2285" s="1">
        <v>0</v>
      </c>
      <c r="BE2285" s="1">
        <v>0</v>
      </c>
      <c r="BF2285" s="1">
        <v>0</v>
      </c>
      <c r="BG2285" s="1">
        <v>0</v>
      </c>
      <c r="BH2285" s="1">
        <v>0</v>
      </c>
      <c r="BI2285" s="1">
        <v>0</v>
      </c>
      <c r="BJ2285" s="1">
        <v>0</v>
      </c>
      <c r="BK2285" s="1">
        <v>0</v>
      </c>
      <c r="BL2285" s="1">
        <v>0</v>
      </c>
      <c r="BM2285" s="1">
        <v>0</v>
      </c>
      <c r="BN2285" s="1">
        <v>0</v>
      </c>
      <c r="BO2285" s="1">
        <v>0</v>
      </c>
      <c r="BP2285" s="1">
        <v>0</v>
      </c>
      <c r="BQ2285" s="1" t="s">
        <v>104</v>
      </c>
      <c r="BR2285" s="1">
        <v>2406</v>
      </c>
      <c r="BS2285" s="1" t="s">
        <v>104</v>
      </c>
      <c r="BX2285" s="1">
        <v>0</v>
      </c>
      <c r="BY2285" s="1" t="s">
        <v>104</v>
      </c>
      <c r="BZ2285" s="1" t="s">
        <v>104</v>
      </c>
      <c r="CA2285" s="1">
        <v>3</v>
      </c>
      <c r="CB2285" s="1" t="s">
        <v>104</v>
      </c>
      <c r="CC2285" s="1">
        <v>4</v>
      </c>
      <c r="CD2285" s="1" t="s">
        <v>104</v>
      </c>
      <c r="CE2285" s="1" t="s">
        <v>104</v>
      </c>
      <c r="CF2285" s="1" t="s">
        <v>104</v>
      </c>
      <c r="CG2285" s="1" t="s">
        <v>104</v>
      </c>
      <c r="CH2285" s="1" t="s">
        <v>104</v>
      </c>
      <c r="CJ2285" s="1">
        <v>0</v>
      </c>
      <c r="CK2285" s="1">
        <v>0</v>
      </c>
      <c r="CL2285" s="1">
        <v>0</v>
      </c>
      <c r="CM2285" s="1" t="s">
        <v>104</v>
      </c>
    </row>
    <row r="2286" spans="1:91" ht="14.25" customHeight="1" x14ac:dyDescent="0.3">
      <c r="A2286" s="1" t="s">
        <v>11770</v>
      </c>
      <c r="B2286" s="1" t="s">
        <v>137</v>
      </c>
      <c r="C2286" s="1" t="s">
        <v>154</v>
      </c>
      <c r="E2286" s="1" t="s">
        <v>11771</v>
      </c>
      <c r="F2286" s="1" t="s">
        <v>95</v>
      </c>
      <c r="G2286" s="1" t="s">
        <v>116</v>
      </c>
      <c r="H2286" s="1">
        <v>0</v>
      </c>
      <c r="I2286" s="1" t="s">
        <v>128</v>
      </c>
      <c r="L2286" s="1" t="s">
        <v>11772</v>
      </c>
      <c r="M2286" s="1" t="s">
        <v>5573</v>
      </c>
      <c r="N2286" s="1">
        <v>1</v>
      </c>
      <c r="O2286" s="1">
        <v>0</v>
      </c>
      <c r="P2286" s="1" t="s">
        <v>375</v>
      </c>
      <c r="Q2286" s="1" t="s">
        <v>131</v>
      </c>
      <c r="R2286" s="1" t="s">
        <v>11773</v>
      </c>
      <c r="S2286" s="1" t="s">
        <v>11774</v>
      </c>
      <c r="T2286" s="1">
        <v>1</v>
      </c>
      <c r="U2286" s="1">
        <v>1</v>
      </c>
      <c r="V2286" s="1">
        <v>0</v>
      </c>
      <c r="W2286" s="1">
        <v>0</v>
      </c>
      <c r="X2286" s="1">
        <v>0</v>
      </c>
      <c r="Y2286" s="1">
        <v>3</v>
      </c>
      <c r="Z2286" s="1">
        <v>3</v>
      </c>
      <c r="AA2286" s="1">
        <v>2</v>
      </c>
      <c r="AB2286" s="1" t="s">
        <v>104</v>
      </c>
      <c r="AC2286" s="1" t="s">
        <v>104</v>
      </c>
      <c r="AD2286" s="1" t="s">
        <v>104</v>
      </c>
      <c r="AE2286" s="1" t="s">
        <v>104</v>
      </c>
      <c r="AF2286" s="1">
        <v>2</v>
      </c>
      <c r="AG2286" s="1" t="s">
        <v>104</v>
      </c>
      <c r="AH2286" s="1">
        <v>2</v>
      </c>
      <c r="AI2286" s="1" t="s">
        <v>104</v>
      </c>
      <c r="AJ2286" s="1">
        <v>2</v>
      </c>
      <c r="AK2286" s="1">
        <v>3</v>
      </c>
      <c r="AL2286" s="1" t="s">
        <v>104</v>
      </c>
      <c r="AM2286" s="1" t="s">
        <v>104</v>
      </c>
      <c r="AO2286" s="1">
        <v>3</v>
      </c>
      <c r="AR2286" s="1">
        <v>0</v>
      </c>
      <c r="AS2286" s="1">
        <v>0</v>
      </c>
      <c r="AT2286" s="1">
        <v>0</v>
      </c>
      <c r="AU2286" s="1">
        <v>0</v>
      </c>
      <c r="AV2286" s="1">
        <v>0</v>
      </c>
      <c r="AW2286" s="1">
        <v>0</v>
      </c>
      <c r="AX2286" s="1">
        <v>0</v>
      </c>
      <c r="AY2286" s="1">
        <v>0</v>
      </c>
      <c r="AZ2286" s="1">
        <v>0</v>
      </c>
      <c r="BA2286" s="1">
        <v>0</v>
      </c>
      <c r="BB2286" s="1">
        <v>0</v>
      </c>
      <c r="BC2286" s="1">
        <v>0</v>
      </c>
      <c r="BD2286" s="1">
        <v>0</v>
      </c>
      <c r="BE2286" s="1">
        <v>0</v>
      </c>
      <c r="BF2286" s="1">
        <v>0</v>
      </c>
      <c r="BG2286" s="1">
        <v>0</v>
      </c>
      <c r="BH2286" s="1">
        <v>0</v>
      </c>
      <c r="BI2286" s="1">
        <v>0</v>
      </c>
      <c r="BJ2286" s="1">
        <v>0</v>
      </c>
      <c r="BK2286" s="1">
        <v>0</v>
      </c>
      <c r="BL2286" s="1">
        <v>0</v>
      </c>
      <c r="BM2286" s="1">
        <v>0</v>
      </c>
      <c r="BN2286" s="1">
        <v>0</v>
      </c>
      <c r="BO2286" s="1">
        <v>0</v>
      </c>
      <c r="BP2286" s="1">
        <v>0</v>
      </c>
      <c r="BQ2286" s="1" t="s">
        <v>104</v>
      </c>
      <c r="BR2286" s="1">
        <v>2407</v>
      </c>
      <c r="BS2286" s="1" t="s">
        <v>104</v>
      </c>
      <c r="BX2286" s="1">
        <v>0</v>
      </c>
      <c r="BY2286" s="1" t="s">
        <v>104</v>
      </c>
      <c r="BZ2286" s="1" t="s">
        <v>104</v>
      </c>
      <c r="CA2286" s="1">
        <v>2</v>
      </c>
      <c r="CB2286" s="1">
        <v>2</v>
      </c>
      <c r="CC2286" s="1" t="s">
        <v>104</v>
      </c>
      <c r="CD2286" s="1" t="s">
        <v>104</v>
      </c>
      <c r="CE2286" s="1" t="s">
        <v>104</v>
      </c>
      <c r="CF2286" s="1" t="s">
        <v>104</v>
      </c>
      <c r="CG2286" s="1" t="s">
        <v>104</v>
      </c>
      <c r="CH2286" s="1" t="s">
        <v>104</v>
      </c>
      <c r="CJ2286" s="1">
        <v>0</v>
      </c>
      <c r="CK2286" s="1">
        <v>0</v>
      </c>
      <c r="CL2286" s="1">
        <v>0</v>
      </c>
      <c r="CM2286" s="1" t="s">
        <v>104</v>
      </c>
    </row>
    <row r="2287" spans="1:91" ht="14.25" customHeight="1" x14ac:dyDescent="0.3">
      <c r="A2287" s="1" t="s">
        <v>11775</v>
      </c>
      <c r="B2287" s="1" t="s">
        <v>162</v>
      </c>
      <c r="E2287" s="1" t="s">
        <v>11776</v>
      </c>
      <c r="F2287" s="1" t="s">
        <v>95</v>
      </c>
      <c r="G2287" s="1" t="s">
        <v>11777</v>
      </c>
      <c r="H2287" s="1">
        <v>0</v>
      </c>
      <c r="I2287" s="1" t="s">
        <v>117</v>
      </c>
      <c r="J2287" s="1" t="s">
        <v>5210</v>
      </c>
      <c r="M2287" s="1" t="s">
        <v>341</v>
      </c>
      <c r="N2287" s="1">
        <v>0</v>
      </c>
      <c r="O2287" s="1">
        <v>0</v>
      </c>
      <c r="P2287" s="1" t="s">
        <v>100</v>
      </c>
      <c r="Q2287" s="1" t="s">
        <v>101</v>
      </c>
      <c r="R2287" s="1" t="s">
        <v>11778</v>
      </c>
      <c r="S2287" s="1" t="s">
        <v>11774</v>
      </c>
      <c r="T2287" s="1">
        <v>1</v>
      </c>
      <c r="U2287" s="1">
        <v>1</v>
      </c>
      <c r="V2287" s="1">
        <v>1</v>
      </c>
      <c r="W2287" s="1">
        <v>0</v>
      </c>
      <c r="X2287" s="1">
        <v>0</v>
      </c>
      <c r="Y2287" s="1">
        <v>5</v>
      </c>
      <c r="Z2287" s="1">
        <v>5</v>
      </c>
      <c r="AA2287" s="1">
        <v>5</v>
      </c>
      <c r="AB2287" s="1">
        <v>5</v>
      </c>
      <c r="AC2287" s="1" t="s">
        <v>104</v>
      </c>
      <c r="AD2287" s="1" t="s">
        <v>104</v>
      </c>
      <c r="AE2287" s="1" t="s">
        <v>104</v>
      </c>
      <c r="AF2287" s="1">
        <v>3</v>
      </c>
      <c r="AG2287" s="1" t="s">
        <v>104</v>
      </c>
      <c r="AH2287" s="1">
        <v>5</v>
      </c>
      <c r="AI2287" s="1" t="s">
        <v>104</v>
      </c>
      <c r="AJ2287" s="1">
        <v>5</v>
      </c>
      <c r="AK2287" s="1" t="s">
        <v>104</v>
      </c>
      <c r="AL2287" s="1" t="s">
        <v>104</v>
      </c>
      <c r="AM2287" s="1" t="s">
        <v>104</v>
      </c>
      <c r="AO2287" s="1">
        <v>5</v>
      </c>
      <c r="AR2287" s="1">
        <v>0</v>
      </c>
      <c r="AS2287" s="1">
        <v>0</v>
      </c>
      <c r="AT2287" s="1">
        <v>0</v>
      </c>
      <c r="AU2287" s="1">
        <v>0</v>
      </c>
      <c r="AV2287" s="1">
        <v>0</v>
      </c>
      <c r="AW2287" s="1">
        <v>0</v>
      </c>
      <c r="AX2287" s="1">
        <v>0</v>
      </c>
      <c r="AY2287" s="1">
        <v>0</v>
      </c>
      <c r="AZ2287" s="1">
        <v>0</v>
      </c>
      <c r="BA2287" s="1">
        <v>0</v>
      </c>
      <c r="BB2287" s="1">
        <v>0</v>
      </c>
      <c r="BC2287" s="1">
        <v>0</v>
      </c>
      <c r="BD2287" s="1">
        <v>0</v>
      </c>
      <c r="BE2287" s="1">
        <v>0</v>
      </c>
      <c r="BF2287" s="1">
        <v>0</v>
      </c>
      <c r="BG2287" s="1">
        <v>0</v>
      </c>
      <c r="BH2287" s="1">
        <v>0</v>
      </c>
      <c r="BI2287" s="1">
        <v>0</v>
      </c>
      <c r="BJ2287" s="1">
        <v>0</v>
      </c>
      <c r="BK2287" s="1">
        <v>0</v>
      </c>
      <c r="BL2287" s="1">
        <v>0</v>
      </c>
      <c r="BM2287" s="1">
        <v>0</v>
      </c>
      <c r="BN2287" s="1">
        <v>0</v>
      </c>
      <c r="BO2287" s="1">
        <v>0</v>
      </c>
      <c r="BP2287" s="1">
        <v>0</v>
      </c>
      <c r="BQ2287" s="1" t="s">
        <v>104</v>
      </c>
      <c r="BR2287" s="1">
        <v>2408</v>
      </c>
      <c r="BS2287" s="1" t="s">
        <v>104</v>
      </c>
      <c r="BX2287" s="1">
        <v>0</v>
      </c>
      <c r="BY2287" s="1" t="s">
        <v>104</v>
      </c>
      <c r="BZ2287" s="1">
        <v>5</v>
      </c>
      <c r="CA2287" s="1">
        <v>5</v>
      </c>
      <c r="CB2287" s="1" t="s">
        <v>104</v>
      </c>
      <c r="CC2287" s="1" t="s">
        <v>104</v>
      </c>
      <c r="CD2287" s="1" t="s">
        <v>104</v>
      </c>
      <c r="CE2287" s="1" t="s">
        <v>104</v>
      </c>
      <c r="CF2287" s="1" t="s">
        <v>104</v>
      </c>
      <c r="CG2287" s="1" t="s">
        <v>104</v>
      </c>
      <c r="CH2287" s="1">
        <v>5</v>
      </c>
      <c r="CJ2287" s="1">
        <v>0</v>
      </c>
      <c r="CK2287" s="1">
        <v>0</v>
      </c>
      <c r="CL2287" s="1">
        <v>0</v>
      </c>
      <c r="CM2287" s="1" t="s">
        <v>104</v>
      </c>
    </row>
    <row r="2288" spans="1:91" ht="14.25" customHeight="1" x14ac:dyDescent="0.3">
      <c r="A2288" s="1" t="s">
        <v>11779</v>
      </c>
      <c r="B2288" s="1" t="s">
        <v>137</v>
      </c>
      <c r="E2288" s="1" t="s">
        <v>11780</v>
      </c>
      <c r="F2288" s="1" t="s">
        <v>95</v>
      </c>
      <c r="G2288" s="1" t="s">
        <v>11781</v>
      </c>
      <c r="H2288" s="1">
        <v>0</v>
      </c>
      <c r="I2288" s="1" t="s">
        <v>109</v>
      </c>
      <c r="L2288" s="1" t="s">
        <v>5447</v>
      </c>
      <c r="M2288" s="1" t="s">
        <v>111</v>
      </c>
      <c r="N2288" s="1">
        <v>0</v>
      </c>
      <c r="O2288" s="1">
        <v>0</v>
      </c>
      <c r="P2288" s="1" t="s">
        <v>183</v>
      </c>
      <c r="Q2288" s="1" t="s">
        <v>184</v>
      </c>
      <c r="R2288" s="1" t="s">
        <v>11782</v>
      </c>
      <c r="S2288" s="1" t="s">
        <v>11774</v>
      </c>
      <c r="T2288" s="1">
        <v>1</v>
      </c>
      <c r="U2288" s="1">
        <v>1</v>
      </c>
      <c r="V2288" s="1">
        <v>1</v>
      </c>
      <c r="W2288" s="1">
        <v>0</v>
      </c>
      <c r="X2288" s="1">
        <v>0</v>
      </c>
      <c r="Y2288" s="1">
        <v>2</v>
      </c>
      <c r="Z2288" s="1">
        <v>2</v>
      </c>
      <c r="AA2288" s="1">
        <v>2</v>
      </c>
      <c r="AB2288" s="1">
        <v>2</v>
      </c>
      <c r="AC2288" s="1" t="s">
        <v>104</v>
      </c>
      <c r="AD2288" s="1" t="s">
        <v>104</v>
      </c>
      <c r="AE2288" s="1" t="s">
        <v>104</v>
      </c>
      <c r="AF2288" s="1" t="s">
        <v>104</v>
      </c>
      <c r="AG2288" s="1" t="s">
        <v>104</v>
      </c>
      <c r="AH2288" s="1">
        <v>2</v>
      </c>
      <c r="AI2288" s="1">
        <v>2</v>
      </c>
      <c r="AJ2288" s="1">
        <v>2</v>
      </c>
      <c r="AK2288" s="1">
        <v>1</v>
      </c>
      <c r="AL2288" s="1" t="s">
        <v>104</v>
      </c>
      <c r="AM2288" s="1" t="s">
        <v>104</v>
      </c>
      <c r="AO2288" s="1">
        <v>2</v>
      </c>
      <c r="AR2288" s="1">
        <v>0</v>
      </c>
      <c r="AS2288" s="1">
        <v>0</v>
      </c>
      <c r="AT2288" s="1">
        <v>0</v>
      </c>
      <c r="AU2288" s="1">
        <v>0</v>
      </c>
      <c r="AV2288" s="1">
        <v>0</v>
      </c>
      <c r="AW2288" s="1">
        <v>0</v>
      </c>
      <c r="AX2288" s="1">
        <v>0</v>
      </c>
      <c r="AY2288" s="1">
        <v>0</v>
      </c>
      <c r="AZ2288" s="1">
        <v>0</v>
      </c>
      <c r="BA2288" s="1">
        <v>0</v>
      </c>
      <c r="BB2288" s="1">
        <v>0</v>
      </c>
      <c r="BC2288" s="1">
        <v>0</v>
      </c>
      <c r="BD2288" s="1">
        <v>0</v>
      </c>
      <c r="BE2288" s="1">
        <v>0</v>
      </c>
      <c r="BF2288" s="1">
        <v>0</v>
      </c>
      <c r="BG2288" s="1">
        <v>0</v>
      </c>
      <c r="BH2288" s="1">
        <v>0</v>
      </c>
      <c r="BI2288" s="1">
        <v>0</v>
      </c>
      <c r="BJ2288" s="1">
        <v>0</v>
      </c>
      <c r="BK2288" s="1">
        <v>0</v>
      </c>
      <c r="BL2288" s="1">
        <v>0</v>
      </c>
      <c r="BM2288" s="1">
        <v>0</v>
      </c>
      <c r="BN2288" s="1">
        <v>0</v>
      </c>
      <c r="BO2288" s="1">
        <v>0</v>
      </c>
      <c r="BP2288" s="1">
        <v>0</v>
      </c>
      <c r="BQ2288" s="1" t="s">
        <v>104</v>
      </c>
      <c r="BR2288" s="1">
        <v>2409</v>
      </c>
      <c r="BS2288" s="1" t="s">
        <v>104</v>
      </c>
      <c r="BX2288" s="1">
        <v>0</v>
      </c>
      <c r="BY2288" s="1">
        <v>1</v>
      </c>
      <c r="BZ2288" s="1">
        <v>2</v>
      </c>
      <c r="CA2288" s="1">
        <v>2</v>
      </c>
      <c r="CB2288" s="1" t="s">
        <v>104</v>
      </c>
      <c r="CC2288" s="1" t="s">
        <v>104</v>
      </c>
      <c r="CD2288" s="1">
        <v>2</v>
      </c>
      <c r="CE2288" s="1" t="s">
        <v>104</v>
      </c>
      <c r="CF2288" s="1" t="s">
        <v>104</v>
      </c>
      <c r="CG2288" s="1" t="s">
        <v>104</v>
      </c>
      <c r="CH2288" s="1">
        <v>2</v>
      </c>
      <c r="CJ2288" s="1">
        <v>0</v>
      </c>
      <c r="CK2288" s="1">
        <v>0</v>
      </c>
      <c r="CL2288" s="1">
        <v>0</v>
      </c>
      <c r="CM2288" s="1" t="s">
        <v>104</v>
      </c>
    </row>
    <row r="2289" spans="1:91" ht="14.25" customHeight="1" x14ac:dyDescent="0.3">
      <c r="A2289" s="1" t="s">
        <v>11783</v>
      </c>
      <c r="B2289" s="1" t="s">
        <v>137</v>
      </c>
      <c r="C2289" s="1" t="s">
        <v>154</v>
      </c>
      <c r="E2289" s="1" t="s">
        <v>11784</v>
      </c>
      <c r="F2289" s="1" t="s">
        <v>95</v>
      </c>
      <c r="G2289" s="1" t="s">
        <v>11785</v>
      </c>
      <c r="H2289" s="1">
        <v>0</v>
      </c>
      <c r="I2289" s="1" t="s">
        <v>128</v>
      </c>
      <c r="L2289" s="1" t="s">
        <v>11786</v>
      </c>
      <c r="M2289" s="1" t="s">
        <v>341</v>
      </c>
      <c r="N2289" s="1">
        <v>0</v>
      </c>
      <c r="O2289" s="1">
        <v>0</v>
      </c>
      <c r="P2289" s="1" t="s">
        <v>1058</v>
      </c>
      <c r="Q2289" s="1" t="s">
        <v>101</v>
      </c>
      <c r="R2289" s="1" t="s">
        <v>11787</v>
      </c>
      <c r="S2289" s="1" t="s">
        <v>11774</v>
      </c>
      <c r="T2289" s="1">
        <v>1</v>
      </c>
      <c r="U2289" s="1">
        <v>1</v>
      </c>
      <c r="V2289" s="1">
        <v>1</v>
      </c>
      <c r="W2289" s="1">
        <v>0</v>
      </c>
      <c r="X2289" s="1">
        <v>0</v>
      </c>
      <c r="Y2289" s="1">
        <v>4</v>
      </c>
      <c r="Z2289" s="1">
        <v>4</v>
      </c>
      <c r="AA2289" s="1" t="s">
        <v>104</v>
      </c>
      <c r="AB2289" s="1">
        <v>3</v>
      </c>
      <c r="AC2289" s="1">
        <v>2</v>
      </c>
      <c r="AD2289" s="1">
        <v>2</v>
      </c>
      <c r="AE2289" s="1" t="s">
        <v>104</v>
      </c>
      <c r="AF2289" s="1">
        <v>2</v>
      </c>
      <c r="AG2289" s="1" t="s">
        <v>104</v>
      </c>
      <c r="AH2289" s="1">
        <v>4</v>
      </c>
      <c r="AI2289" s="1" t="s">
        <v>104</v>
      </c>
      <c r="AJ2289" s="1" t="s">
        <v>104</v>
      </c>
      <c r="AK2289" s="1">
        <v>2</v>
      </c>
      <c r="AL2289" s="1" t="s">
        <v>104</v>
      </c>
      <c r="AM2289" s="1" t="s">
        <v>104</v>
      </c>
      <c r="AO2289" s="1">
        <v>4</v>
      </c>
      <c r="AR2289" s="1">
        <v>0</v>
      </c>
      <c r="AS2289" s="1">
        <v>0</v>
      </c>
      <c r="AT2289" s="1">
        <v>0</v>
      </c>
      <c r="AU2289" s="1">
        <v>0</v>
      </c>
      <c r="AV2289" s="1">
        <v>0</v>
      </c>
      <c r="AW2289" s="1">
        <v>0</v>
      </c>
      <c r="AX2289" s="1">
        <v>0</v>
      </c>
      <c r="AY2289" s="1">
        <v>0</v>
      </c>
      <c r="AZ2289" s="1">
        <v>0</v>
      </c>
      <c r="BA2289" s="1">
        <v>0</v>
      </c>
      <c r="BB2289" s="1">
        <v>0</v>
      </c>
      <c r="BC2289" s="1">
        <v>0</v>
      </c>
      <c r="BD2289" s="1">
        <v>0</v>
      </c>
      <c r="BE2289" s="1">
        <v>0</v>
      </c>
      <c r="BF2289" s="1">
        <v>0</v>
      </c>
      <c r="BG2289" s="1">
        <v>0</v>
      </c>
      <c r="BH2289" s="1">
        <v>0</v>
      </c>
      <c r="BI2289" s="1">
        <v>0</v>
      </c>
      <c r="BJ2289" s="1">
        <v>0</v>
      </c>
      <c r="BK2289" s="1">
        <v>0</v>
      </c>
      <c r="BL2289" s="1">
        <v>0</v>
      </c>
      <c r="BM2289" s="1">
        <v>0</v>
      </c>
      <c r="BN2289" s="1">
        <v>0</v>
      </c>
      <c r="BO2289" s="1">
        <v>0</v>
      </c>
      <c r="BP2289" s="1">
        <v>0</v>
      </c>
      <c r="BQ2289" s="1" t="s">
        <v>104</v>
      </c>
      <c r="BR2289" s="1">
        <v>2410</v>
      </c>
      <c r="BS2289" s="1" t="s">
        <v>104</v>
      </c>
      <c r="BX2289" s="1">
        <v>0</v>
      </c>
      <c r="BY2289" s="1" t="s">
        <v>104</v>
      </c>
      <c r="BZ2289" s="1" t="s">
        <v>104</v>
      </c>
      <c r="CA2289" s="1" t="s">
        <v>104</v>
      </c>
      <c r="CB2289" s="1">
        <v>2</v>
      </c>
      <c r="CC2289" s="1" t="s">
        <v>104</v>
      </c>
      <c r="CD2289" s="1" t="s">
        <v>104</v>
      </c>
      <c r="CE2289" s="1" t="s">
        <v>104</v>
      </c>
      <c r="CF2289" s="1" t="s">
        <v>104</v>
      </c>
      <c r="CG2289" s="1" t="s">
        <v>104</v>
      </c>
      <c r="CH2289" s="1">
        <v>2</v>
      </c>
      <c r="CJ2289" s="1">
        <v>0</v>
      </c>
      <c r="CK2289" s="1">
        <v>0</v>
      </c>
      <c r="CL2289" s="1">
        <v>0</v>
      </c>
      <c r="CM2289" s="1" t="s">
        <v>104</v>
      </c>
    </row>
    <row r="2290" spans="1:91" ht="14.25" customHeight="1" x14ac:dyDescent="0.3">
      <c r="A2290" s="1" t="s">
        <v>11788</v>
      </c>
      <c r="B2290" s="1" t="s">
        <v>507</v>
      </c>
      <c r="D2290" s="1" t="s">
        <v>1308</v>
      </c>
      <c r="E2290" s="1" t="s">
        <v>11789</v>
      </c>
      <c r="F2290" s="1" t="s">
        <v>95</v>
      </c>
      <c r="G2290" s="1" t="s">
        <v>11790</v>
      </c>
      <c r="H2290" s="1">
        <v>0</v>
      </c>
      <c r="I2290" s="1" t="s">
        <v>109</v>
      </c>
      <c r="L2290" s="1" t="s">
        <v>5447</v>
      </c>
      <c r="M2290" s="1" t="s">
        <v>2330</v>
      </c>
      <c r="N2290" s="1">
        <v>0</v>
      </c>
      <c r="O2290" s="1">
        <v>0</v>
      </c>
      <c r="P2290" s="1" t="s">
        <v>211</v>
      </c>
      <c r="Q2290" s="1" t="s">
        <v>184</v>
      </c>
      <c r="R2290" s="1" t="s">
        <v>11791</v>
      </c>
      <c r="S2290" s="1" t="s">
        <v>11774</v>
      </c>
      <c r="T2290" s="1">
        <v>1</v>
      </c>
      <c r="U2290" s="1">
        <v>1</v>
      </c>
      <c r="V2290" s="1">
        <v>1</v>
      </c>
      <c r="W2290" s="1">
        <v>0</v>
      </c>
      <c r="X2290" s="1">
        <v>0</v>
      </c>
      <c r="Y2290" s="1">
        <v>3</v>
      </c>
      <c r="Z2290" s="1">
        <v>3</v>
      </c>
      <c r="AA2290" s="1">
        <v>3</v>
      </c>
      <c r="AB2290" s="1">
        <v>3</v>
      </c>
      <c r="AC2290" s="1" t="s">
        <v>104</v>
      </c>
      <c r="AD2290" s="1" t="s">
        <v>104</v>
      </c>
      <c r="AE2290" s="1" t="s">
        <v>104</v>
      </c>
      <c r="AF2290" s="1" t="s">
        <v>104</v>
      </c>
      <c r="AG2290" s="1" t="s">
        <v>104</v>
      </c>
      <c r="AH2290" s="1">
        <v>2</v>
      </c>
      <c r="AI2290" s="1">
        <v>2</v>
      </c>
      <c r="AJ2290" s="1">
        <v>3</v>
      </c>
      <c r="AK2290" s="1">
        <v>2</v>
      </c>
      <c r="AL2290" s="1" t="s">
        <v>104</v>
      </c>
      <c r="AM2290" s="1" t="s">
        <v>104</v>
      </c>
      <c r="AO2290" s="1">
        <v>3</v>
      </c>
      <c r="AR2290" s="1">
        <v>0</v>
      </c>
      <c r="AS2290" s="1">
        <v>0</v>
      </c>
      <c r="AT2290" s="1">
        <v>0</v>
      </c>
      <c r="AU2290" s="1">
        <v>0</v>
      </c>
      <c r="AV2290" s="1">
        <v>0</v>
      </c>
      <c r="AW2290" s="1">
        <v>0</v>
      </c>
      <c r="AX2290" s="1">
        <v>0</v>
      </c>
      <c r="AY2290" s="1">
        <v>0</v>
      </c>
      <c r="AZ2290" s="1">
        <v>0</v>
      </c>
      <c r="BA2290" s="1">
        <v>0</v>
      </c>
      <c r="BB2290" s="1">
        <v>0</v>
      </c>
      <c r="BC2290" s="1">
        <v>0</v>
      </c>
      <c r="BD2290" s="1">
        <v>0</v>
      </c>
      <c r="BE2290" s="1">
        <v>0</v>
      </c>
      <c r="BF2290" s="1">
        <v>0</v>
      </c>
      <c r="BG2290" s="1">
        <v>0</v>
      </c>
      <c r="BH2290" s="1">
        <v>0</v>
      </c>
      <c r="BI2290" s="1">
        <v>0</v>
      </c>
      <c r="BJ2290" s="1">
        <v>0</v>
      </c>
      <c r="BK2290" s="1">
        <v>0</v>
      </c>
      <c r="BL2290" s="1">
        <v>0</v>
      </c>
      <c r="BM2290" s="1">
        <v>0</v>
      </c>
      <c r="BN2290" s="1">
        <v>0</v>
      </c>
      <c r="BO2290" s="1">
        <v>0</v>
      </c>
      <c r="BP2290" s="1">
        <v>0</v>
      </c>
      <c r="BQ2290" s="1" t="s">
        <v>104</v>
      </c>
      <c r="BR2290" s="1">
        <v>2411</v>
      </c>
      <c r="BS2290" s="1" t="s">
        <v>104</v>
      </c>
      <c r="BX2290" s="1">
        <v>0</v>
      </c>
      <c r="BY2290" s="1" t="s">
        <v>104</v>
      </c>
      <c r="BZ2290" s="1">
        <v>3</v>
      </c>
      <c r="CA2290" s="1">
        <v>3</v>
      </c>
      <c r="CB2290" s="1" t="s">
        <v>104</v>
      </c>
      <c r="CC2290" s="1">
        <v>3</v>
      </c>
      <c r="CD2290" s="1">
        <v>3</v>
      </c>
      <c r="CE2290" s="1" t="s">
        <v>104</v>
      </c>
      <c r="CF2290" s="1" t="s">
        <v>104</v>
      </c>
      <c r="CG2290" s="1" t="s">
        <v>104</v>
      </c>
      <c r="CH2290" s="1">
        <v>3</v>
      </c>
      <c r="CJ2290" s="1">
        <v>0</v>
      </c>
      <c r="CK2290" s="1">
        <v>0</v>
      </c>
      <c r="CL2290" s="1">
        <v>0</v>
      </c>
      <c r="CM2290" s="1" t="s">
        <v>104</v>
      </c>
    </row>
    <row r="2291" spans="1:91" ht="14.25" customHeight="1" x14ac:dyDescent="0.3">
      <c r="A2291" s="1" t="s">
        <v>11792</v>
      </c>
      <c r="B2291" s="1" t="s">
        <v>216</v>
      </c>
      <c r="C2291" s="1" t="s">
        <v>65</v>
      </c>
      <c r="D2291" s="1" t="s">
        <v>48</v>
      </c>
      <c r="E2291" s="1" t="s">
        <v>11793</v>
      </c>
      <c r="F2291" s="1" t="s">
        <v>95</v>
      </c>
      <c r="G2291" s="1" t="s">
        <v>11794</v>
      </c>
      <c r="H2291" s="1">
        <v>0</v>
      </c>
      <c r="I2291" s="1" t="s">
        <v>109</v>
      </c>
      <c r="L2291" s="1" t="s">
        <v>5827</v>
      </c>
      <c r="M2291" s="1" t="s">
        <v>111</v>
      </c>
      <c r="N2291" s="1">
        <v>0</v>
      </c>
      <c r="O2291" s="1">
        <v>0</v>
      </c>
      <c r="P2291" s="1" t="s">
        <v>1080</v>
      </c>
      <c r="Q2291" s="1" t="s">
        <v>184</v>
      </c>
      <c r="R2291" s="1" t="s">
        <v>11795</v>
      </c>
      <c r="S2291" s="1" t="s">
        <v>11774</v>
      </c>
      <c r="T2291" s="1">
        <v>1</v>
      </c>
      <c r="U2291" s="1">
        <v>1</v>
      </c>
      <c r="V2291" s="1">
        <v>1</v>
      </c>
      <c r="W2291" s="1">
        <v>0</v>
      </c>
      <c r="X2291" s="1">
        <v>0</v>
      </c>
      <c r="Y2291" s="1">
        <v>7</v>
      </c>
      <c r="Z2291" s="1">
        <v>7</v>
      </c>
      <c r="AA2291" s="1">
        <v>7</v>
      </c>
      <c r="AB2291" s="1">
        <v>7</v>
      </c>
      <c r="AC2291" s="1" t="s">
        <v>104</v>
      </c>
      <c r="AD2291" s="1" t="s">
        <v>104</v>
      </c>
      <c r="AE2291" s="1" t="s">
        <v>104</v>
      </c>
      <c r="AF2291" s="1" t="s">
        <v>104</v>
      </c>
      <c r="AG2291" s="1" t="s">
        <v>104</v>
      </c>
      <c r="AH2291" s="1">
        <v>7</v>
      </c>
      <c r="AI2291" s="1">
        <v>6</v>
      </c>
      <c r="AJ2291" s="1">
        <v>7</v>
      </c>
      <c r="AK2291" s="1" t="s">
        <v>104</v>
      </c>
      <c r="AL2291" s="1">
        <v>6</v>
      </c>
      <c r="AM2291" s="1" t="s">
        <v>104</v>
      </c>
      <c r="AO2291" s="1">
        <v>7</v>
      </c>
      <c r="AR2291" s="1">
        <v>0</v>
      </c>
      <c r="AS2291" s="1">
        <v>0</v>
      </c>
      <c r="AT2291" s="1">
        <v>0</v>
      </c>
      <c r="AU2291" s="1">
        <v>0</v>
      </c>
      <c r="AV2291" s="1">
        <v>0</v>
      </c>
      <c r="AW2291" s="1">
        <v>1</v>
      </c>
      <c r="AX2291" s="1">
        <v>0</v>
      </c>
      <c r="AY2291" s="1">
        <v>0</v>
      </c>
      <c r="AZ2291" s="1">
        <v>0</v>
      </c>
      <c r="BA2291" s="1">
        <v>0</v>
      </c>
      <c r="BB2291" s="1">
        <v>0</v>
      </c>
      <c r="BC2291" s="1">
        <v>0</v>
      </c>
      <c r="BD2291" s="1">
        <v>0</v>
      </c>
      <c r="BE2291" s="1">
        <v>0</v>
      </c>
      <c r="BF2291" s="1">
        <v>0</v>
      </c>
      <c r="BG2291" s="1">
        <v>0</v>
      </c>
      <c r="BH2291" s="1">
        <v>0</v>
      </c>
      <c r="BI2291" s="1">
        <v>0</v>
      </c>
      <c r="BJ2291" s="1">
        <v>0</v>
      </c>
      <c r="BK2291" s="1">
        <v>0</v>
      </c>
      <c r="BL2291" s="1">
        <v>0</v>
      </c>
      <c r="BM2291" s="1">
        <v>0</v>
      </c>
      <c r="BN2291" s="1">
        <v>0</v>
      </c>
      <c r="BO2291" s="1">
        <v>0</v>
      </c>
      <c r="BP2291" s="1">
        <v>0</v>
      </c>
      <c r="BQ2291" s="1" t="s">
        <v>104</v>
      </c>
      <c r="BR2291" s="1">
        <v>2412</v>
      </c>
      <c r="BS2291" s="1" t="s">
        <v>104</v>
      </c>
      <c r="BX2291" s="1">
        <v>0</v>
      </c>
      <c r="BY2291" s="1" t="s">
        <v>104</v>
      </c>
      <c r="BZ2291" s="1">
        <v>7</v>
      </c>
      <c r="CA2291" s="1">
        <v>7</v>
      </c>
      <c r="CB2291" s="1" t="s">
        <v>104</v>
      </c>
      <c r="CC2291" s="1" t="s">
        <v>104</v>
      </c>
      <c r="CD2291" s="1">
        <v>6</v>
      </c>
      <c r="CE2291" s="1">
        <v>6</v>
      </c>
      <c r="CF2291" s="1" t="s">
        <v>104</v>
      </c>
      <c r="CG2291" s="1" t="s">
        <v>104</v>
      </c>
      <c r="CH2291" s="1" t="s">
        <v>104</v>
      </c>
      <c r="CJ2291" s="1">
        <v>0</v>
      </c>
      <c r="CK2291" s="1">
        <v>0</v>
      </c>
      <c r="CL2291" s="1">
        <v>0</v>
      </c>
      <c r="CM2291" s="1" t="s">
        <v>104</v>
      </c>
    </row>
    <row r="2292" spans="1:91" ht="14.25" customHeight="1" x14ac:dyDescent="0.3">
      <c r="A2292" s="1" t="s">
        <v>11796</v>
      </c>
      <c r="B2292" s="1" t="s">
        <v>434</v>
      </c>
      <c r="D2292" s="1" t="s">
        <v>11797</v>
      </c>
      <c r="E2292" s="1" t="s">
        <v>11798</v>
      </c>
      <c r="F2292" s="1" t="s">
        <v>95</v>
      </c>
      <c r="G2292" s="1" t="s">
        <v>116</v>
      </c>
      <c r="H2292" s="1">
        <v>0</v>
      </c>
      <c r="I2292" s="1" t="s">
        <v>109</v>
      </c>
      <c r="K2292" s="1" t="s">
        <v>11799</v>
      </c>
      <c r="M2292" s="1" t="s">
        <v>4641</v>
      </c>
      <c r="N2292" s="1">
        <v>1</v>
      </c>
      <c r="O2292" s="1">
        <v>0</v>
      </c>
      <c r="P2292" s="1" t="s">
        <v>100</v>
      </c>
      <c r="Q2292" s="1" t="s">
        <v>101</v>
      </c>
      <c r="R2292" s="1" t="s">
        <v>11800</v>
      </c>
      <c r="S2292" s="1" t="s">
        <v>11774</v>
      </c>
      <c r="T2292" s="1">
        <v>1</v>
      </c>
      <c r="U2292" s="1">
        <v>1</v>
      </c>
      <c r="V2292" s="1">
        <v>0</v>
      </c>
      <c r="W2292" s="1">
        <v>0</v>
      </c>
      <c r="X2292" s="1">
        <v>0</v>
      </c>
      <c r="Y2292" s="1">
        <v>1</v>
      </c>
      <c r="Z2292" s="1">
        <v>1</v>
      </c>
      <c r="AA2292" s="1" t="s">
        <v>104</v>
      </c>
      <c r="AB2292" s="1" t="s">
        <v>104</v>
      </c>
      <c r="AC2292" s="1" t="s">
        <v>104</v>
      </c>
      <c r="AD2292" s="1">
        <v>1</v>
      </c>
      <c r="AE2292" s="1" t="s">
        <v>104</v>
      </c>
      <c r="AF2292" s="1" t="s">
        <v>104</v>
      </c>
      <c r="AG2292" s="1" t="s">
        <v>104</v>
      </c>
      <c r="AH2292" s="1">
        <v>1</v>
      </c>
      <c r="AI2292" s="1" t="s">
        <v>104</v>
      </c>
      <c r="AJ2292" s="1" t="s">
        <v>104</v>
      </c>
      <c r="AK2292" s="1">
        <v>1</v>
      </c>
      <c r="AL2292" s="1">
        <v>1</v>
      </c>
      <c r="AM2292" s="1" t="s">
        <v>104</v>
      </c>
      <c r="AO2292" s="1">
        <v>1</v>
      </c>
      <c r="AR2292" s="1">
        <v>0</v>
      </c>
      <c r="AS2292" s="1">
        <v>0</v>
      </c>
      <c r="AT2292" s="1">
        <v>0</v>
      </c>
      <c r="AU2292" s="1">
        <v>0</v>
      </c>
      <c r="AV2292" s="1">
        <v>0</v>
      </c>
      <c r="AW2292" s="1">
        <v>1</v>
      </c>
      <c r="AX2292" s="1">
        <v>0</v>
      </c>
      <c r="AY2292" s="1">
        <v>0</v>
      </c>
      <c r="AZ2292" s="1">
        <v>0</v>
      </c>
      <c r="BA2292" s="1">
        <v>0</v>
      </c>
      <c r="BB2292" s="1">
        <v>0</v>
      </c>
      <c r="BC2292" s="1">
        <v>0</v>
      </c>
      <c r="BD2292" s="1">
        <v>0</v>
      </c>
      <c r="BE2292" s="1">
        <v>0</v>
      </c>
      <c r="BF2292" s="1">
        <v>0</v>
      </c>
      <c r="BG2292" s="1">
        <v>0</v>
      </c>
      <c r="BH2292" s="1">
        <v>0</v>
      </c>
      <c r="BI2292" s="1">
        <v>0</v>
      </c>
      <c r="BJ2292" s="1">
        <v>0</v>
      </c>
      <c r="BK2292" s="1">
        <v>0</v>
      </c>
      <c r="BL2292" s="1">
        <v>0</v>
      </c>
      <c r="BM2292" s="1">
        <v>0</v>
      </c>
      <c r="BN2292" s="1">
        <v>1</v>
      </c>
      <c r="BO2292" s="1">
        <v>0</v>
      </c>
      <c r="BP2292" s="1">
        <v>0</v>
      </c>
      <c r="BQ2292" s="1" t="s">
        <v>104</v>
      </c>
      <c r="BR2292" s="1">
        <v>2413</v>
      </c>
      <c r="BS2292" s="1" t="s">
        <v>104</v>
      </c>
      <c r="BX2292" s="1">
        <v>0</v>
      </c>
      <c r="BY2292" s="1" t="s">
        <v>104</v>
      </c>
      <c r="BZ2292" s="1">
        <v>1</v>
      </c>
      <c r="CA2292" s="1">
        <v>1</v>
      </c>
      <c r="CB2292" s="1" t="s">
        <v>104</v>
      </c>
      <c r="CC2292" s="1" t="s">
        <v>104</v>
      </c>
      <c r="CD2292" s="1" t="s">
        <v>104</v>
      </c>
      <c r="CE2292" s="1">
        <v>1</v>
      </c>
      <c r="CF2292" s="1" t="s">
        <v>104</v>
      </c>
      <c r="CG2292" s="1" t="s">
        <v>104</v>
      </c>
      <c r="CH2292" s="1" t="s">
        <v>104</v>
      </c>
      <c r="CJ2292" s="1">
        <v>0</v>
      </c>
      <c r="CK2292" s="1">
        <v>0</v>
      </c>
      <c r="CL2292" s="1">
        <v>0</v>
      </c>
      <c r="CM2292" s="1" t="s">
        <v>104</v>
      </c>
    </row>
    <row r="2293" spans="1:91" ht="14.25" customHeight="1" x14ac:dyDescent="0.3">
      <c r="A2293" s="1" t="s">
        <v>11801</v>
      </c>
      <c r="B2293" s="1" t="s">
        <v>434</v>
      </c>
      <c r="D2293" s="1" t="s">
        <v>11802</v>
      </c>
      <c r="E2293" s="1" t="s">
        <v>11803</v>
      </c>
      <c r="F2293" s="1" t="s">
        <v>95</v>
      </c>
      <c r="G2293" s="1" t="s">
        <v>116</v>
      </c>
      <c r="H2293" s="1">
        <v>0</v>
      </c>
      <c r="I2293" s="1" t="s">
        <v>109</v>
      </c>
      <c r="K2293" s="1" t="s">
        <v>11804</v>
      </c>
      <c r="M2293" s="1" t="s">
        <v>7000</v>
      </c>
      <c r="N2293" s="1">
        <v>1</v>
      </c>
      <c r="O2293" s="1">
        <v>0</v>
      </c>
      <c r="P2293" s="1" t="s">
        <v>100</v>
      </c>
      <c r="Q2293" s="1" t="s">
        <v>101</v>
      </c>
      <c r="R2293" s="1" t="s">
        <v>11805</v>
      </c>
      <c r="S2293" s="1" t="s">
        <v>11774</v>
      </c>
      <c r="T2293" s="1">
        <v>1</v>
      </c>
      <c r="U2293" s="1">
        <v>1</v>
      </c>
      <c r="V2293" s="1">
        <v>0</v>
      </c>
      <c r="W2293" s="1">
        <v>0</v>
      </c>
      <c r="X2293" s="1">
        <v>0</v>
      </c>
      <c r="Y2293" s="1">
        <v>3</v>
      </c>
      <c r="Z2293" s="1">
        <v>3</v>
      </c>
      <c r="AA2293" s="1" t="s">
        <v>104</v>
      </c>
      <c r="AB2293" s="1" t="s">
        <v>104</v>
      </c>
      <c r="AC2293" s="1" t="s">
        <v>104</v>
      </c>
      <c r="AD2293" s="1">
        <v>3</v>
      </c>
      <c r="AE2293" s="1" t="s">
        <v>104</v>
      </c>
      <c r="AF2293" s="1" t="s">
        <v>104</v>
      </c>
      <c r="AG2293" s="1" t="s">
        <v>104</v>
      </c>
      <c r="AH2293" s="1">
        <v>3</v>
      </c>
      <c r="AI2293" s="1" t="s">
        <v>104</v>
      </c>
      <c r="AJ2293" s="1" t="s">
        <v>104</v>
      </c>
      <c r="AK2293" s="1" t="s">
        <v>104</v>
      </c>
      <c r="AL2293" s="1">
        <v>3</v>
      </c>
      <c r="AM2293" s="1" t="s">
        <v>104</v>
      </c>
      <c r="AO2293" s="1">
        <v>3</v>
      </c>
      <c r="AR2293" s="1">
        <v>0</v>
      </c>
      <c r="AS2293" s="1">
        <v>0</v>
      </c>
      <c r="AT2293" s="1">
        <v>0</v>
      </c>
      <c r="AU2293" s="1">
        <v>0</v>
      </c>
      <c r="AV2293" s="1">
        <v>0</v>
      </c>
      <c r="AW2293" s="1">
        <v>1</v>
      </c>
      <c r="AX2293" s="1">
        <v>0</v>
      </c>
      <c r="AY2293" s="1">
        <v>0</v>
      </c>
      <c r="AZ2293" s="1">
        <v>0</v>
      </c>
      <c r="BA2293" s="1">
        <v>0</v>
      </c>
      <c r="BB2293" s="1">
        <v>0</v>
      </c>
      <c r="BC2293" s="1">
        <v>0</v>
      </c>
      <c r="BD2293" s="1">
        <v>0</v>
      </c>
      <c r="BE2293" s="1">
        <v>0</v>
      </c>
      <c r="BF2293" s="1">
        <v>0</v>
      </c>
      <c r="BG2293" s="1">
        <v>0</v>
      </c>
      <c r="BH2293" s="1">
        <v>0</v>
      </c>
      <c r="BI2293" s="1">
        <v>0</v>
      </c>
      <c r="BJ2293" s="1">
        <v>1</v>
      </c>
      <c r="BK2293" s="1">
        <v>0</v>
      </c>
      <c r="BL2293" s="1">
        <v>0</v>
      </c>
      <c r="BM2293" s="1">
        <v>0</v>
      </c>
      <c r="BN2293" s="1">
        <v>0</v>
      </c>
      <c r="BO2293" s="1">
        <v>0</v>
      </c>
      <c r="BP2293" s="1">
        <v>0</v>
      </c>
      <c r="BQ2293" s="1" t="s">
        <v>104</v>
      </c>
      <c r="BR2293" s="1">
        <v>2414</v>
      </c>
      <c r="BS2293" s="1" t="s">
        <v>104</v>
      </c>
      <c r="BX2293" s="1">
        <v>0</v>
      </c>
      <c r="BY2293" s="1" t="s">
        <v>104</v>
      </c>
      <c r="BZ2293" s="1">
        <v>3</v>
      </c>
      <c r="CA2293" s="1">
        <v>3</v>
      </c>
      <c r="CB2293" s="1">
        <v>3</v>
      </c>
      <c r="CC2293" s="1">
        <v>3</v>
      </c>
      <c r="CD2293" s="1">
        <v>3</v>
      </c>
      <c r="CE2293" s="1" t="s">
        <v>104</v>
      </c>
      <c r="CF2293" s="1" t="s">
        <v>104</v>
      </c>
      <c r="CG2293" s="1" t="s">
        <v>104</v>
      </c>
      <c r="CH2293" s="1" t="s">
        <v>104</v>
      </c>
      <c r="CJ2293" s="1">
        <v>0</v>
      </c>
      <c r="CK2293" s="1">
        <v>0</v>
      </c>
      <c r="CL2293" s="1">
        <v>0</v>
      </c>
      <c r="CM2293" s="1" t="s">
        <v>104</v>
      </c>
    </row>
    <row r="2294" spans="1:91" ht="14.25" customHeight="1" x14ac:dyDescent="0.3">
      <c r="A2294" s="1" t="s">
        <v>11806</v>
      </c>
      <c r="B2294" s="1" t="s">
        <v>434</v>
      </c>
      <c r="D2294" s="1" t="s">
        <v>11802</v>
      </c>
      <c r="E2294" s="1" t="s">
        <v>11807</v>
      </c>
      <c r="F2294" s="1" t="s">
        <v>95</v>
      </c>
      <c r="G2294" s="1" t="s">
        <v>116</v>
      </c>
      <c r="H2294" s="1">
        <v>0</v>
      </c>
      <c r="I2294" s="1" t="s">
        <v>117</v>
      </c>
      <c r="L2294" s="1" t="s">
        <v>417</v>
      </c>
      <c r="M2294" s="1" t="s">
        <v>111</v>
      </c>
      <c r="N2294" s="1">
        <v>0</v>
      </c>
      <c r="O2294" s="1">
        <v>0</v>
      </c>
      <c r="P2294" s="1" t="s">
        <v>211</v>
      </c>
      <c r="Q2294" s="1" t="s">
        <v>184</v>
      </c>
      <c r="R2294" s="1" t="s">
        <v>11808</v>
      </c>
      <c r="S2294" s="1" t="s">
        <v>11774</v>
      </c>
      <c r="T2294" s="1">
        <v>1</v>
      </c>
      <c r="U2294" s="1">
        <v>1</v>
      </c>
      <c r="V2294" s="1">
        <v>0</v>
      </c>
      <c r="W2294" s="1">
        <v>0</v>
      </c>
      <c r="X2294" s="1">
        <v>0</v>
      </c>
      <c r="Y2294" s="1">
        <v>4</v>
      </c>
      <c r="Z2294" s="1">
        <v>4</v>
      </c>
      <c r="AA2294" s="1" t="s">
        <v>104</v>
      </c>
      <c r="AB2294" s="1" t="s">
        <v>104</v>
      </c>
      <c r="AC2294" s="1" t="s">
        <v>104</v>
      </c>
      <c r="AD2294" s="1">
        <v>3</v>
      </c>
      <c r="AE2294" s="1" t="s">
        <v>104</v>
      </c>
      <c r="AF2294" s="1" t="s">
        <v>104</v>
      </c>
      <c r="AG2294" s="1" t="s">
        <v>104</v>
      </c>
      <c r="AH2294" s="1">
        <v>4</v>
      </c>
      <c r="AI2294" s="1" t="s">
        <v>104</v>
      </c>
      <c r="AJ2294" s="1" t="s">
        <v>104</v>
      </c>
      <c r="AK2294" s="1" t="s">
        <v>104</v>
      </c>
      <c r="AL2294" s="1" t="s">
        <v>104</v>
      </c>
      <c r="AM2294" s="1" t="s">
        <v>104</v>
      </c>
      <c r="AO2294" s="1">
        <v>4</v>
      </c>
      <c r="AR2294" s="1">
        <v>0</v>
      </c>
      <c r="AS2294" s="1">
        <v>0</v>
      </c>
      <c r="AT2294" s="1">
        <v>0</v>
      </c>
      <c r="AU2294" s="1">
        <v>0</v>
      </c>
      <c r="AV2294" s="1">
        <v>0</v>
      </c>
      <c r="AW2294" s="1">
        <v>1</v>
      </c>
      <c r="AX2294" s="1">
        <v>0</v>
      </c>
      <c r="AY2294" s="1">
        <v>0</v>
      </c>
      <c r="AZ2294" s="1">
        <v>0</v>
      </c>
      <c r="BA2294" s="1">
        <v>0</v>
      </c>
      <c r="BB2294" s="1">
        <v>0</v>
      </c>
      <c r="BC2294" s="1">
        <v>0</v>
      </c>
      <c r="BD2294" s="1">
        <v>0</v>
      </c>
      <c r="BE2294" s="1">
        <v>0</v>
      </c>
      <c r="BF2294" s="1">
        <v>0</v>
      </c>
      <c r="BG2294" s="1">
        <v>0</v>
      </c>
      <c r="BH2294" s="1">
        <v>0</v>
      </c>
      <c r="BI2294" s="1">
        <v>0</v>
      </c>
      <c r="BJ2294" s="1">
        <v>1</v>
      </c>
      <c r="BK2294" s="1">
        <v>0</v>
      </c>
      <c r="BL2294" s="1">
        <v>0</v>
      </c>
      <c r="BM2294" s="1">
        <v>0</v>
      </c>
      <c r="BN2294" s="1">
        <v>0</v>
      </c>
      <c r="BO2294" s="1">
        <v>0</v>
      </c>
      <c r="BP2294" s="1">
        <v>0</v>
      </c>
      <c r="BQ2294" s="1" t="s">
        <v>104</v>
      </c>
      <c r="BR2294" s="1">
        <v>2415</v>
      </c>
      <c r="BS2294" s="1" t="s">
        <v>104</v>
      </c>
      <c r="BX2294" s="1">
        <v>0</v>
      </c>
      <c r="BY2294" s="1" t="s">
        <v>104</v>
      </c>
      <c r="BZ2294" s="1" t="s">
        <v>104</v>
      </c>
      <c r="CA2294" s="1">
        <v>3</v>
      </c>
      <c r="CB2294" s="1" t="s">
        <v>104</v>
      </c>
      <c r="CC2294" s="1">
        <v>3</v>
      </c>
      <c r="CD2294" s="1" t="s">
        <v>104</v>
      </c>
      <c r="CE2294" s="1" t="s">
        <v>104</v>
      </c>
      <c r="CF2294" s="1" t="s">
        <v>104</v>
      </c>
      <c r="CG2294" s="1" t="s">
        <v>104</v>
      </c>
      <c r="CH2294" s="1" t="s">
        <v>104</v>
      </c>
      <c r="CJ2294" s="1">
        <v>0</v>
      </c>
      <c r="CK2294" s="1">
        <v>0</v>
      </c>
      <c r="CL2294" s="1">
        <v>0</v>
      </c>
      <c r="CM2294" s="1" t="s">
        <v>104</v>
      </c>
    </row>
    <row r="2295" spans="1:91" ht="14.25" customHeight="1" x14ac:dyDescent="0.3">
      <c r="A2295" s="1" t="s">
        <v>11809</v>
      </c>
      <c r="B2295" s="1" t="s">
        <v>434</v>
      </c>
      <c r="D2295" s="1" t="s">
        <v>11802</v>
      </c>
      <c r="E2295" s="1" t="s">
        <v>11810</v>
      </c>
      <c r="F2295" s="1" t="s">
        <v>95</v>
      </c>
      <c r="G2295" s="1" t="s">
        <v>116</v>
      </c>
      <c r="H2295" s="1">
        <v>0</v>
      </c>
      <c r="I2295" s="1" t="s">
        <v>117</v>
      </c>
      <c r="L2295" s="1" t="s">
        <v>11220</v>
      </c>
      <c r="M2295" s="1" t="s">
        <v>111</v>
      </c>
      <c r="N2295" s="1">
        <v>0</v>
      </c>
      <c r="O2295" s="1">
        <v>0</v>
      </c>
      <c r="P2295" s="1" t="s">
        <v>211</v>
      </c>
      <c r="Q2295" s="1" t="s">
        <v>184</v>
      </c>
      <c r="R2295" s="1" t="s">
        <v>11811</v>
      </c>
      <c r="S2295" s="1" t="s">
        <v>11774</v>
      </c>
      <c r="T2295" s="1">
        <v>1</v>
      </c>
      <c r="U2295" s="1">
        <v>1</v>
      </c>
      <c r="V2295" s="1">
        <v>0</v>
      </c>
      <c r="W2295" s="1">
        <v>0</v>
      </c>
      <c r="X2295" s="1">
        <v>0</v>
      </c>
      <c r="Y2295" s="1">
        <v>7</v>
      </c>
      <c r="Z2295" s="1">
        <v>7</v>
      </c>
      <c r="AA2295" s="1" t="s">
        <v>104</v>
      </c>
      <c r="AB2295" s="1" t="s">
        <v>104</v>
      </c>
      <c r="AC2295" s="1" t="s">
        <v>104</v>
      </c>
      <c r="AD2295" s="1">
        <v>5</v>
      </c>
      <c r="AE2295" s="1" t="s">
        <v>104</v>
      </c>
      <c r="AF2295" s="1" t="s">
        <v>104</v>
      </c>
      <c r="AG2295" s="1" t="s">
        <v>104</v>
      </c>
      <c r="AH2295" s="1">
        <v>7</v>
      </c>
      <c r="AI2295" s="1" t="s">
        <v>104</v>
      </c>
      <c r="AJ2295" s="1" t="s">
        <v>104</v>
      </c>
      <c r="AK2295" s="1" t="s">
        <v>104</v>
      </c>
      <c r="AL2295" s="1" t="s">
        <v>104</v>
      </c>
      <c r="AM2295" s="1" t="s">
        <v>104</v>
      </c>
      <c r="AO2295" s="1">
        <v>7</v>
      </c>
      <c r="AR2295" s="1">
        <v>0</v>
      </c>
      <c r="AS2295" s="1">
        <v>0</v>
      </c>
      <c r="AT2295" s="1">
        <v>0</v>
      </c>
      <c r="AU2295" s="1">
        <v>0</v>
      </c>
      <c r="AV2295" s="1">
        <v>0</v>
      </c>
      <c r="AW2295" s="1">
        <v>1</v>
      </c>
      <c r="AX2295" s="1">
        <v>0</v>
      </c>
      <c r="AY2295" s="1">
        <v>0</v>
      </c>
      <c r="AZ2295" s="1">
        <v>0</v>
      </c>
      <c r="BA2295" s="1">
        <v>0</v>
      </c>
      <c r="BB2295" s="1">
        <v>0</v>
      </c>
      <c r="BC2295" s="1">
        <v>0</v>
      </c>
      <c r="BD2295" s="1">
        <v>0</v>
      </c>
      <c r="BE2295" s="1">
        <v>0</v>
      </c>
      <c r="BF2295" s="1">
        <v>0</v>
      </c>
      <c r="BG2295" s="1">
        <v>0</v>
      </c>
      <c r="BH2295" s="1">
        <v>0</v>
      </c>
      <c r="BI2295" s="1">
        <v>0</v>
      </c>
      <c r="BJ2295" s="1">
        <v>1</v>
      </c>
      <c r="BK2295" s="1">
        <v>0</v>
      </c>
      <c r="BL2295" s="1">
        <v>0</v>
      </c>
      <c r="BM2295" s="1">
        <v>0</v>
      </c>
      <c r="BN2295" s="1">
        <v>0</v>
      </c>
      <c r="BO2295" s="1">
        <v>0</v>
      </c>
      <c r="BP2295" s="1">
        <v>0</v>
      </c>
      <c r="BQ2295" s="1" t="s">
        <v>104</v>
      </c>
      <c r="BR2295" s="1">
        <v>2416</v>
      </c>
      <c r="BS2295" s="1" t="s">
        <v>104</v>
      </c>
      <c r="BX2295" s="1">
        <v>0</v>
      </c>
      <c r="BY2295" s="1" t="s">
        <v>104</v>
      </c>
      <c r="BZ2295" s="1" t="s">
        <v>104</v>
      </c>
      <c r="CA2295" s="1">
        <v>6</v>
      </c>
      <c r="CB2295" s="1" t="s">
        <v>104</v>
      </c>
      <c r="CC2295" s="1">
        <v>5</v>
      </c>
      <c r="CD2295" s="1" t="s">
        <v>104</v>
      </c>
      <c r="CE2295" s="1" t="s">
        <v>104</v>
      </c>
      <c r="CF2295" s="1" t="s">
        <v>104</v>
      </c>
      <c r="CG2295" s="1" t="s">
        <v>104</v>
      </c>
      <c r="CH2295" s="1" t="s">
        <v>104</v>
      </c>
      <c r="CJ2295" s="1">
        <v>0</v>
      </c>
      <c r="CK2295" s="1">
        <v>0</v>
      </c>
      <c r="CL2295" s="1">
        <v>0</v>
      </c>
      <c r="CM2295" s="1" t="s">
        <v>104</v>
      </c>
    </row>
    <row r="2296" spans="1:91" ht="14.25" customHeight="1" x14ac:dyDescent="0.3">
      <c r="A2296" s="1" t="s">
        <v>11812</v>
      </c>
      <c r="B2296" s="1" t="s">
        <v>92</v>
      </c>
      <c r="D2296" s="1" t="s">
        <v>11556</v>
      </c>
      <c r="E2296" s="1" t="s">
        <v>11813</v>
      </c>
      <c r="F2296" s="1" t="s">
        <v>95</v>
      </c>
      <c r="G2296" s="1" t="s">
        <v>116</v>
      </c>
      <c r="H2296" s="1">
        <v>0</v>
      </c>
      <c r="I2296" s="1" t="s">
        <v>128</v>
      </c>
      <c r="L2296" s="1" t="s">
        <v>374</v>
      </c>
      <c r="M2296" s="1" t="s">
        <v>4992</v>
      </c>
      <c r="N2296" s="1">
        <v>1</v>
      </c>
      <c r="O2296" s="1">
        <v>0</v>
      </c>
      <c r="P2296" s="1" t="s">
        <v>100</v>
      </c>
      <c r="Q2296" s="1" t="s">
        <v>101</v>
      </c>
      <c r="R2296" s="1" t="s">
        <v>11814</v>
      </c>
      <c r="S2296" s="1" t="s">
        <v>11774</v>
      </c>
      <c r="T2296" s="1">
        <v>1</v>
      </c>
      <c r="U2296" s="1">
        <v>1</v>
      </c>
      <c r="V2296" s="1">
        <v>0</v>
      </c>
      <c r="W2296" s="1">
        <v>0</v>
      </c>
      <c r="X2296" s="1">
        <v>0</v>
      </c>
      <c r="Y2296" s="1">
        <v>3</v>
      </c>
      <c r="Z2296" s="1">
        <v>3</v>
      </c>
      <c r="AA2296" s="1" t="s">
        <v>104</v>
      </c>
      <c r="AB2296" s="1" t="s">
        <v>104</v>
      </c>
      <c r="AC2296" s="1" t="s">
        <v>104</v>
      </c>
      <c r="AD2296" s="1">
        <v>3</v>
      </c>
      <c r="AE2296" s="1" t="s">
        <v>104</v>
      </c>
      <c r="AF2296" s="1">
        <v>3</v>
      </c>
      <c r="AG2296" s="1" t="s">
        <v>104</v>
      </c>
      <c r="AH2296" s="1">
        <v>3</v>
      </c>
      <c r="AI2296" s="1">
        <v>3</v>
      </c>
      <c r="AJ2296" s="1" t="s">
        <v>104</v>
      </c>
      <c r="AK2296" s="1" t="s">
        <v>104</v>
      </c>
      <c r="AL2296" s="1" t="s">
        <v>104</v>
      </c>
      <c r="AM2296" s="1" t="s">
        <v>104</v>
      </c>
      <c r="AO2296" s="1">
        <v>3</v>
      </c>
      <c r="AR2296" s="1">
        <v>0</v>
      </c>
      <c r="AS2296" s="1">
        <v>0</v>
      </c>
      <c r="AT2296" s="1">
        <v>0</v>
      </c>
      <c r="AU2296" s="1">
        <v>0</v>
      </c>
      <c r="AV2296" s="1">
        <v>0</v>
      </c>
      <c r="AW2296" s="1">
        <v>0</v>
      </c>
      <c r="AX2296" s="1">
        <v>0</v>
      </c>
      <c r="AY2296" s="1">
        <v>0</v>
      </c>
      <c r="AZ2296" s="1">
        <v>0</v>
      </c>
      <c r="BA2296" s="1">
        <v>0</v>
      </c>
      <c r="BB2296" s="1">
        <v>0</v>
      </c>
      <c r="BC2296" s="1">
        <v>0</v>
      </c>
      <c r="BD2296" s="1">
        <v>0</v>
      </c>
      <c r="BE2296" s="1">
        <v>0</v>
      </c>
      <c r="BF2296" s="1">
        <v>0</v>
      </c>
      <c r="BG2296" s="1">
        <v>0</v>
      </c>
      <c r="BH2296" s="1">
        <v>0</v>
      </c>
      <c r="BI2296" s="1">
        <v>0</v>
      </c>
      <c r="BJ2296" s="1">
        <v>0</v>
      </c>
      <c r="BK2296" s="1">
        <v>0</v>
      </c>
      <c r="BL2296" s="1">
        <v>0</v>
      </c>
      <c r="BM2296" s="1">
        <v>0</v>
      </c>
      <c r="BN2296" s="1">
        <v>1</v>
      </c>
      <c r="BO2296" s="1">
        <v>0</v>
      </c>
      <c r="BP2296" s="1">
        <v>0</v>
      </c>
      <c r="BQ2296" s="1" t="s">
        <v>104</v>
      </c>
      <c r="BR2296" s="1">
        <v>2417</v>
      </c>
      <c r="BS2296" s="1" t="s">
        <v>104</v>
      </c>
      <c r="BX2296" s="1">
        <v>0</v>
      </c>
      <c r="BY2296" s="1" t="s">
        <v>104</v>
      </c>
      <c r="BZ2296" s="1" t="s">
        <v>104</v>
      </c>
      <c r="CA2296" s="1" t="s">
        <v>104</v>
      </c>
      <c r="CB2296" s="1" t="s">
        <v>104</v>
      </c>
      <c r="CC2296" s="1">
        <v>3</v>
      </c>
      <c r="CD2296" s="1">
        <v>3</v>
      </c>
      <c r="CE2296" s="1" t="s">
        <v>104</v>
      </c>
      <c r="CF2296" s="1" t="s">
        <v>104</v>
      </c>
      <c r="CG2296" s="1" t="s">
        <v>104</v>
      </c>
      <c r="CH2296" s="1" t="s">
        <v>104</v>
      </c>
      <c r="CJ2296" s="1">
        <v>0</v>
      </c>
      <c r="CK2296" s="1">
        <v>0</v>
      </c>
      <c r="CL2296" s="1">
        <v>0</v>
      </c>
      <c r="CM2296" s="1" t="s">
        <v>104</v>
      </c>
    </row>
    <row r="2297" spans="1:91" ht="14.25" customHeight="1" x14ac:dyDescent="0.3">
      <c r="A2297" s="1" t="s">
        <v>11815</v>
      </c>
      <c r="B2297" s="1" t="s">
        <v>434</v>
      </c>
      <c r="D2297" s="1" t="s">
        <v>11797</v>
      </c>
      <c r="E2297" s="1" t="s">
        <v>11816</v>
      </c>
      <c r="F2297" s="1" t="s">
        <v>95</v>
      </c>
      <c r="G2297" s="1" t="s">
        <v>237</v>
      </c>
      <c r="H2297" s="1">
        <v>0</v>
      </c>
      <c r="I2297" s="1" t="s">
        <v>157</v>
      </c>
      <c r="L2297" s="1" t="s">
        <v>158</v>
      </c>
      <c r="M2297" s="1" t="s">
        <v>426</v>
      </c>
      <c r="N2297" s="1">
        <v>1</v>
      </c>
      <c r="O2297" s="1">
        <v>0</v>
      </c>
      <c r="P2297" s="1" t="s">
        <v>100</v>
      </c>
      <c r="Q2297" s="1" t="s">
        <v>101</v>
      </c>
      <c r="R2297" s="1" t="s">
        <v>11817</v>
      </c>
      <c r="S2297" s="1" t="s">
        <v>11774</v>
      </c>
      <c r="T2297" s="1">
        <v>1</v>
      </c>
      <c r="U2297" s="1">
        <v>0</v>
      </c>
      <c r="V2297" s="1">
        <v>0</v>
      </c>
      <c r="W2297" s="1">
        <v>0</v>
      </c>
      <c r="X2297" s="1">
        <v>0</v>
      </c>
      <c r="Y2297" s="1" t="s">
        <v>104</v>
      </c>
      <c r="Z2297" s="1" t="s">
        <v>104</v>
      </c>
      <c r="AA2297" s="1">
        <v>3</v>
      </c>
      <c r="AB2297" s="1" t="s">
        <v>104</v>
      </c>
      <c r="AC2297" s="1" t="s">
        <v>104</v>
      </c>
      <c r="AD2297" s="1" t="s">
        <v>104</v>
      </c>
      <c r="AE2297" s="1" t="s">
        <v>104</v>
      </c>
      <c r="AF2297" s="1" t="s">
        <v>104</v>
      </c>
      <c r="AG2297" s="1" t="s">
        <v>104</v>
      </c>
      <c r="AH2297" s="1" t="s">
        <v>104</v>
      </c>
      <c r="AI2297" s="1">
        <v>3</v>
      </c>
      <c r="AJ2297" s="1">
        <v>3</v>
      </c>
      <c r="AK2297" s="1">
        <v>3</v>
      </c>
      <c r="AL2297" s="1" t="s">
        <v>104</v>
      </c>
      <c r="AM2297" s="1" t="s">
        <v>104</v>
      </c>
      <c r="AO2297" s="1">
        <v>3</v>
      </c>
      <c r="AR2297" s="1">
        <v>0</v>
      </c>
      <c r="AS2297" s="1">
        <v>0</v>
      </c>
      <c r="AT2297" s="1">
        <v>0</v>
      </c>
      <c r="AU2297" s="1">
        <v>0</v>
      </c>
      <c r="AV2297" s="1">
        <v>0</v>
      </c>
      <c r="AW2297" s="1">
        <v>1</v>
      </c>
      <c r="AX2297" s="1">
        <v>0</v>
      </c>
      <c r="AY2297" s="1">
        <v>0</v>
      </c>
      <c r="AZ2297" s="1">
        <v>0</v>
      </c>
      <c r="BA2297" s="1">
        <v>0</v>
      </c>
      <c r="BB2297" s="1">
        <v>0</v>
      </c>
      <c r="BC2297" s="1">
        <v>0</v>
      </c>
      <c r="BD2297" s="1">
        <v>0</v>
      </c>
      <c r="BE2297" s="1">
        <v>0</v>
      </c>
      <c r="BF2297" s="1">
        <v>0</v>
      </c>
      <c r="BG2297" s="1">
        <v>0</v>
      </c>
      <c r="BH2297" s="1">
        <v>0</v>
      </c>
      <c r="BI2297" s="1">
        <v>0</v>
      </c>
      <c r="BJ2297" s="1">
        <v>0</v>
      </c>
      <c r="BK2297" s="1">
        <v>0</v>
      </c>
      <c r="BL2297" s="1">
        <v>0</v>
      </c>
      <c r="BM2297" s="1">
        <v>0</v>
      </c>
      <c r="BN2297" s="1">
        <v>1</v>
      </c>
      <c r="BO2297" s="1">
        <v>0</v>
      </c>
      <c r="BP2297" s="1">
        <v>0</v>
      </c>
      <c r="BQ2297" s="1" t="s">
        <v>104</v>
      </c>
      <c r="BR2297" s="1">
        <v>2418</v>
      </c>
      <c r="BS2297" s="1" t="s">
        <v>104</v>
      </c>
      <c r="BX2297" s="1">
        <v>0</v>
      </c>
      <c r="BY2297" s="1" t="s">
        <v>104</v>
      </c>
      <c r="BZ2297" s="1">
        <v>3</v>
      </c>
      <c r="CA2297" s="1" t="s">
        <v>104</v>
      </c>
      <c r="CB2297" s="1" t="s">
        <v>104</v>
      </c>
      <c r="CC2297" s="1" t="s">
        <v>104</v>
      </c>
      <c r="CD2297" s="1" t="s">
        <v>104</v>
      </c>
      <c r="CE2297" s="1">
        <v>3</v>
      </c>
      <c r="CF2297" s="1" t="s">
        <v>104</v>
      </c>
      <c r="CG2297" s="1" t="s">
        <v>104</v>
      </c>
      <c r="CH2297" s="1" t="s">
        <v>104</v>
      </c>
      <c r="CJ2297" s="1">
        <v>0</v>
      </c>
      <c r="CK2297" s="1">
        <v>0</v>
      </c>
      <c r="CL2297" s="1">
        <v>0</v>
      </c>
      <c r="CM2297" s="1" t="s">
        <v>104</v>
      </c>
    </row>
    <row r="2298" spans="1:91" ht="14.25" customHeight="1" x14ac:dyDescent="0.3">
      <c r="A2298" s="1" t="s">
        <v>11818</v>
      </c>
      <c r="B2298" s="1" t="s">
        <v>434</v>
      </c>
      <c r="D2298" s="1" t="s">
        <v>11802</v>
      </c>
      <c r="E2298" s="1" t="s">
        <v>11819</v>
      </c>
      <c r="F2298" s="1" t="s">
        <v>95</v>
      </c>
      <c r="G2298" s="1" t="s">
        <v>116</v>
      </c>
      <c r="H2298" s="1">
        <v>0</v>
      </c>
      <c r="I2298" s="1" t="s">
        <v>97</v>
      </c>
      <c r="L2298" s="1" t="s">
        <v>1065</v>
      </c>
      <c r="M2298" s="1" t="s">
        <v>4641</v>
      </c>
      <c r="N2298" s="1">
        <v>1</v>
      </c>
      <c r="O2298" s="1">
        <v>0</v>
      </c>
      <c r="P2298" s="1" t="s">
        <v>3552</v>
      </c>
      <c r="Q2298" s="1" t="s">
        <v>184</v>
      </c>
      <c r="R2298" s="1" t="s">
        <v>11820</v>
      </c>
      <c r="S2298" s="1" t="s">
        <v>11774</v>
      </c>
      <c r="T2298" s="1">
        <v>1</v>
      </c>
      <c r="U2298" s="1">
        <v>1</v>
      </c>
      <c r="V2298" s="1">
        <v>0</v>
      </c>
      <c r="W2298" s="1">
        <v>0</v>
      </c>
      <c r="X2298" s="1">
        <v>0</v>
      </c>
      <c r="Y2298" s="1">
        <v>3</v>
      </c>
      <c r="Z2298" s="1">
        <v>3</v>
      </c>
      <c r="AA2298" s="1">
        <v>3</v>
      </c>
      <c r="AB2298" s="1">
        <v>3</v>
      </c>
      <c r="AC2298" s="1" t="s">
        <v>104</v>
      </c>
      <c r="AD2298" s="1">
        <v>3</v>
      </c>
      <c r="AE2298" s="1">
        <v>3</v>
      </c>
      <c r="AF2298" s="1" t="s">
        <v>104</v>
      </c>
      <c r="AG2298" s="1" t="s">
        <v>104</v>
      </c>
      <c r="AH2298" s="1">
        <v>3</v>
      </c>
      <c r="AI2298" s="1">
        <v>3</v>
      </c>
      <c r="AJ2298" s="1">
        <v>3</v>
      </c>
      <c r="AK2298" s="1" t="s">
        <v>104</v>
      </c>
      <c r="AL2298" s="1">
        <v>3</v>
      </c>
      <c r="AM2298" s="1" t="s">
        <v>104</v>
      </c>
      <c r="AO2298" s="1">
        <v>3</v>
      </c>
      <c r="AR2298" s="1">
        <v>0</v>
      </c>
      <c r="AS2298" s="1">
        <v>0</v>
      </c>
      <c r="AT2298" s="1">
        <v>0</v>
      </c>
      <c r="AU2298" s="1">
        <v>0</v>
      </c>
      <c r="AV2298" s="1">
        <v>0</v>
      </c>
      <c r="AW2298" s="1">
        <v>1</v>
      </c>
      <c r="AX2298" s="1">
        <v>0</v>
      </c>
      <c r="AY2298" s="1">
        <v>0</v>
      </c>
      <c r="AZ2298" s="1">
        <v>0</v>
      </c>
      <c r="BA2298" s="1">
        <v>0</v>
      </c>
      <c r="BB2298" s="1">
        <v>0</v>
      </c>
      <c r="BC2298" s="1">
        <v>0</v>
      </c>
      <c r="BD2298" s="1">
        <v>0</v>
      </c>
      <c r="BE2298" s="1">
        <v>0</v>
      </c>
      <c r="BF2298" s="1">
        <v>0</v>
      </c>
      <c r="BG2298" s="1">
        <v>0</v>
      </c>
      <c r="BH2298" s="1">
        <v>0</v>
      </c>
      <c r="BI2298" s="1">
        <v>0</v>
      </c>
      <c r="BJ2298" s="1">
        <v>1</v>
      </c>
      <c r="BK2298" s="1">
        <v>0</v>
      </c>
      <c r="BL2298" s="1">
        <v>0</v>
      </c>
      <c r="BM2298" s="1">
        <v>0</v>
      </c>
      <c r="BN2298" s="1">
        <v>0</v>
      </c>
      <c r="BO2298" s="1">
        <v>0</v>
      </c>
      <c r="BP2298" s="1">
        <v>0</v>
      </c>
      <c r="BQ2298" s="1" t="s">
        <v>104</v>
      </c>
      <c r="BR2298" s="1">
        <v>2419</v>
      </c>
      <c r="BS2298" s="1" t="s">
        <v>104</v>
      </c>
      <c r="BX2298" s="1">
        <v>0</v>
      </c>
      <c r="BY2298" s="1" t="s">
        <v>104</v>
      </c>
      <c r="BZ2298" s="1">
        <v>3</v>
      </c>
      <c r="CA2298" s="1" t="s">
        <v>104</v>
      </c>
      <c r="CB2298" s="1" t="s">
        <v>104</v>
      </c>
      <c r="CC2298" s="1" t="s">
        <v>104</v>
      </c>
      <c r="CD2298" s="1">
        <v>3</v>
      </c>
      <c r="CE2298" s="1" t="s">
        <v>104</v>
      </c>
      <c r="CF2298" s="1" t="s">
        <v>104</v>
      </c>
      <c r="CG2298" s="1" t="s">
        <v>104</v>
      </c>
      <c r="CH2298" s="1">
        <v>3</v>
      </c>
      <c r="CJ2298" s="1">
        <v>0</v>
      </c>
      <c r="CK2298" s="1">
        <v>0</v>
      </c>
      <c r="CL2298" s="1">
        <v>0</v>
      </c>
      <c r="CM2298" s="1" t="s">
        <v>104</v>
      </c>
    </row>
    <row r="2299" spans="1:91" ht="14.25" customHeight="1" x14ac:dyDescent="0.3">
      <c r="A2299" s="1" t="s">
        <v>11821</v>
      </c>
      <c r="B2299" s="1" t="s">
        <v>216</v>
      </c>
      <c r="D2299" s="1" t="s">
        <v>11797</v>
      </c>
      <c r="E2299" s="1" t="s">
        <v>11822</v>
      </c>
      <c r="F2299" s="1" t="s">
        <v>95</v>
      </c>
      <c r="G2299" s="1" t="s">
        <v>237</v>
      </c>
      <c r="H2299" s="1">
        <v>0</v>
      </c>
      <c r="I2299" s="1" t="s">
        <v>128</v>
      </c>
      <c r="L2299" s="1" t="s">
        <v>667</v>
      </c>
      <c r="M2299" s="1" t="s">
        <v>5942</v>
      </c>
      <c r="N2299" s="1">
        <v>0</v>
      </c>
      <c r="O2299" s="1">
        <v>0</v>
      </c>
      <c r="P2299" s="1" t="s">
        <v>183</v>
      </c>
      <c r="Q2299" s="1" t="s">
        <v>6994</v>
      </c>
      <c r="R2299" s="1" t="s">
        <v>11823</v>
      </c>
      <c r="S2299" s="1" t="s">
        <v>11774</v>
      </c>
      <c r="T2299" s="1">
        <v>1</v>
      </c>
      <c r="U2299" s="1">
        <v>0</v>
      </c>
      <c r="V2299" s="1">
        <v>0</v>
      </c>
      <c r="W2299" s="1">
        <v>0</v>
      </c>
      <c r="X2299" s="1">
        <v>0</v>
      </c>
      <c r="Y2299" s="1">
        <v>1</v>
      </c>
      <c r="Z2299" s="1">
        <v>1</v>
      </c>
      <c r="AA2299" s="1">
        <v>1</v>
      </c>
      <c r="AB2299" s="1" t="s">
        <v>104</v>
      </c>
      <c r="AC2299" s="1" t="s">
        <v>104</v>
      </c>
      <c r="AD2299" s="1">
        <v>1</v>
      </c>
      <c r="AE2299" s="1" t="s">
        <v>104</v>
      </c>
      <c r="AF2299" s="1" t="s">
        <v>104</v>
      </c>
      <c r="AG2299" s="1" t="s">
        <v>104</v>
      </c>
      <c r="AH2299" s="1">
        <v>1</v>
      </c>
      <c r="AI2299" s="1" t="s">
        <v>104</v>
      </c>
      <c r="AJ2299" s="1">
        <v>1</v>
      </c>
      <c r="AK2299" s="1">
        <v>1</v>
      </c>
      <c r="AL2299" s="1" t="s">
        <v>104</v>
      </c>
      <c r="AM2299" s="1" t="s">
        <v>104</v>
      </c>
      <c r="AO2299" s="1">
        <v>1</v>
      </c>
      <c r="AR2299" s="1">
        <v>0</v>
      </c>
      <c r="AS2299" s="1">
        <v>0</v>
      </c>
      <c r="AT2299" s="1">
        <v>0</v>
      </c>
      <c r="AU2299" s="1">
        <v>0</v>
      </c>
      <c r="AV2299" s="1">
        <v>0</v>
      </c>
      <c r="AW2299" s="1">
        <v>1</v>
      </c>
      <c r="AX2299" s="1">
        <v>0</v>
      </c>
      <c r="AY2299" s="1">
        <v>0</v>
      </c>
      <c r="AZ2299" s="1">
        <v>0</v>
      </c>
      <c r="BA2299" s="1">
        <v>0</v>
      </c>
      <c r="BB2299" s="1">
        <v>0</v>
      </c>
      <c r="BC2299" s="1">
        <v>0</v>
      </c>
      <c r="BD2299" s="1">
        <v>0</v>
      </c>
      <c r="BE2299" s="1">
        <v>0</v>
      </c>
      <c r="BF2299" s="1">
        <v>0</v>
      </c>
      <c r="BG2299" s="1">
        <v>0</v>
      </c>
      <c r="BH2299" s="1">
        <v>0</v>
      </c>
      <c r="BI2299" s="1">
        <v>0</v>
      </c>
      <c r="BJ2299" s="1">
        <v>0</v>
      </c>
      <c r="BK2299" s="1">
        <v>0</v>
      </c>
      <c r="BL2299" s="1">
        <v>0</v>
      </c>
      <c r="BM2299" s="1">
        <v>0</v>
      </c>
      <c r="BN2299" s="1">
        <v>1</v>
      </c>
      <c r="BO2299" s="1">
        <v>0</v>
      </c>
      <c r="BP2299" s="1">
        <v>0</v>
      </c>
      <c r="BQ2299" s="1" t="s">
        <v>104</v>
      </c>
      <c r="BR2299" s="1">
        <v>2420</v>
      </c>
      <c r="BS2299" s="1" t="s">
        <v>104</v>
      </c>
      <c r="BX2299" s="1">
        <v>0</v>
      </c>
      <c r="BY2299" s="1" t="s">
        <v>104</v>
      </c>
      <c r="BZ2299" s="1">
        <v>1</v>
      </c>
      <c r="CA2299" s="1" t="s">
        <v>104</v>
      </c>
      <c r="CB2299" s="1" t="s">
        <v>104</v>
      </c>
      <c r="CC2299" s="1" t="s">
        <v>104</v>
      </c>
      <c r="CD2299" s="1" t="s">
        <v>104</v>
      </c>
      <c r="CE2299" s="1" t="s">
        <v>104</v>
      </c>
      <c r="CF2299" s="1" t="s">
        <v>104</v>
      </c>
      <c r="CG2299" s="1" t="s">
        <v>104</v>
      </c>
      <c r="CH2299" s="1" t="s">
        <v>104</v>
      </c>
      <c r="CJ2299" s="1">
        <v>0</v>
      </c>
      <c r="CK2299" s="1">
        <v>0</v>
      </c>
      <c r="CL2299" s="1">
        <v>0</v>
      </c>
      <c r="CM2299" s="1" t="s">
        <v>104</v>
      </c>
    </row>
    <row r="2300" spans="1:91" ht="14.25" customHeight="1" x14ac:dyDescent="0.3">
      <c r="A2300" s="1" t="s">
        <v>11824</v>
      </c>
      <c r="B2300" s="1" t="s">
        <v>434</v>
      </c>
      <c r="D2300" s="1" t="s">
        <v>11802</v>
      </c>
      <c r="E2300" s="1" t="s">
        <v>11825</v>
      </c>
      <c r="F2300" s="1" t="s">
        <v>95</v>
      </c>
      <c r="G2300" s="1" t="s">
        <v>116</v>
      </c>
      <c r="H2300" s="1">
        <v>0</v>
      </c>
      <c r="I2300" s="1" t="s">
        <v>109</v>
      </c>
      <c r="K2300" s="1" t="s">
        <v>11826</v>
      </c>
      <c r="M2300" s="1" t="s">
        <v>4641</v>
      </c>
      <c r="N2300" s="1">
        <v>1</v>
      </c>
      <c r="O2300" s="1">
        <v>0</v>
      </c>
      <c r="P2300" s="1" t="s">
        <v>100</v>
      </c>
      <c r="Q2300" s="1" t="s">
        <v>101</v>
      </c>
      <c r="R2300" s="1" t="s">
        <v>11827</v>
      </c>
      <c r="S2300" s="1" t="s">
        <v>11774</v>
      </c>
      <c r="T2300" s="1">
        <v>1</v>
      </c>
      <c r="U2300" s="1">
        <v>1</v>
      </c>
      <c r="V2300" s="1">
        <v>0</v>
      </c>
      <c r="W2300" s="1">
        <v>0</v>
      </c>
      <c r="X2300" s="1">
        <v>0</v>
      </c>
      <c r="Y2300" s="1">
        <v>3</v>
      </c>
      <c r="Z2300" s="1">
        <v>3</v>
      </c>
      <c r="AA2300" s="1">
        <v>3</v>
      </c>
      <c r="AB2300" s="1" t="s">
        <v>104</v>
      </c>
      <c r="AC2300" s="1" t="s">
        <v>104</v>
      </c>
      <c r="AD2300" s="1">
        <v>3</v>
      </c>
      <c r="AE2300" s="1" t="s">
        <v>104</v>
      </c>
      <c r="AF2300" s="1" t="s">
        <v>104</v>
      </c>
      <c r="AG2300" s="1" t="s">
        <v>104</v>
      </c>
      <c r="AH2300" s="1" t="s">
        <v>104</v>
      </c>
      <c r="AI2300" s="1">
        <v>3</v>
      </c>
      <c r="AJ2300" s="1">
        <v>3</v>
      </c>
      <c r="AK2300" s="1" t="s">
        <v>104</v>
      </c>
      <c r="AL2300" s="1">
        <v>3</v>
      </c>
      <c r="AM2300" s="1" t="s">
        <v>104</v>
      </c>
      <c r="AO2300" s="1">
        <v>3</v>
      </c>
      <c r="AR2300" s="1">
        <v>0</v>
      </c>
      <c r="AS2300" s="1">
        <v>0</v>
      </c>
      <c r="AT2300" s="1">
        <v>0</v>
      </c>
      <c r="AU2300" s="1">
        <v>0</v>
      </c>
      <c r="AV2300" s="1">
        <v>0</v>
      </c>
      <c r="AW2300" s="1">
        <v>1</v>
      </c>
      <c r="AX2300" s="1">
        <v>0</v>
      </c>
      <c r="AY2300" s="1">
        <v>0</v>
      </c>
      <c r="AZ2300" s="1">
        <v>0</v>
      </c>
      <c r="BA2300" s="1">
        <v>0</v>
      </c>
      <c r="BB2300" s="1">
        <v>0</v>
      </c>
      <c r="BC2300" s="1">
        <v>0</v>
      </c>
      <c r="BD2300" s="1">
        <v>0</v>
      </c>
      <c r="BE2300" s="1">
        <v>0</v>
      </c>
      <c r="BF2300" s="1">
        <v>0</v>
      </c>
      <c r="BG2300" s="1">
        <v>0</v>
      </c>
      <c r="BH2300" s="1">
        <v>0</v>
      </c>
      <c r="BI2300" s="1">
        <v>0</v>
      </c>
      <c r="BJ2300" s="1">
        <v>1</v>
      </c>
      <c r="BK2300" s="1">
        <v>0</v>
      </c>
      <c r="BL2300" s="1">
        <v>0</v>
      </c>
      <c r="BM2300" s="1">
        <v>0</v>
      </c>
      <c r="BN2300" s="1">
        <v>0</v>
      </c>
      <c r="BO2300" s="1">
        <v>0</v>
      </c>
      <c r="BP2300" s="1">
        <v>0</v>
      </c>
      <c r="BQ2300" s="1" t="s">
        <v>104</v>
      </c>
      <c r="BR2300" s="1">
        <v>2421</v>
      </c>
      <c r="BS2300" s="1" t="s">
        <v>104</v>
      </c>
      <c r="BX2300" s="1">
        <v>0</v>
      </c>
      <c r="BY2300" s="1" t="s">
        <v>104</v>
      </c>
      <c r="BZ2300" s="1">
        <v>3</v>
      </c>
      <c r="CA2300" s="1" t="s">
        <v>104</v>
      </c>
      <c r="CB2300" s="1" t="s">
        <v>104</v>
      </c>
      <c r="CC2300" s="1" t="s">
        <v>104</v>
      </c>
      <c r="CD2300" s="1">
        <v>3</v>
      </c>
      <c r="CE2300" s="1" t="s">
        <v>104</v>
      </c>
      <c r="CF2300" s="1" t="s">
        <v>104</v>
      </c>
      <c r="CG2300" s="1" t="s">
        <v>104</v>
      </c>
      <c r="CH2300" s="1" t="s">
        <v>104</v>
      </c>
      <c r="CJ2300" s="1">
        <v>0</v>
      </c>
      <c r="CK2300" s="1">
        <v>0</v>
      </c>
      <c r="CL2300" s="1">
        <v>0</v>
      </c>
      <c r="CM2300" s="1" t="s">
        <v>104</v>
      </c>
    </row>
    <row r="2301" spans="1:91" ht="14.25" customHeight="1" x14ac:dyDescent="0.3">
      <c r="A2301" s="1" t="s">
        <v>11828</v>
      </c>
      <c r="B2301" s="1" t="s">
        <v>507</v>
      </c>
      <c r="C2301" s="1" t="s">
        <v>65</v>
      </c>
      <c r="D2301" s="1" t="s">
        <v>11556</v>
      </c>
      <c r="E2301" s="1" t="s">
        <v>11829</v>
      </c>
      <c r="F2301" s="1" t="s">
        <v>95</v>
      </c>
      <c r="G2301" s="1" t="s">
        <v>116</v>
      </c>
      <c r="H2301" s="1">
        <v>0</v>
      </c>
      <c r="I2301" s="1" t="s">
        <v>117</v>
      </c>
      <c r="L2301" s="1" t="s">
        <v>1065</v>
      </c>
      <c r="M2301" s="1" t="s">
        <v>298</v>
      </c>
      <c r="N2301" s="1">
        <v>0</v>
      </c>
      <c r="O2301" s="1">
        <v>0</v>
      </c>
      <c r="P2301" s="1" t="s">
        <v>11830</v>
      </c>
      <c r="Q2301" s="1" t="s">
        <v>184</v>
      </c>
      <c r="R2301" s="1" t="s">
        <v>11831</v>
      </c>
      <c r="S2301" s="1" t="s">
        <v>11774</v>
      </c>
      <c r="T2301" s="1">
        <v>1</v>
      </c>
      <c r="U2301" s="1">
        <v>1</v>
      </c>
      <c r="V2301" s="1">
        <v>0</v>
      </c>
      <c r="W2301" s="1">
        <v>0</v>
      </c>
      <c r="X2301" s="1">
        <v>0</v>
      </c>
      <c r="Y2301" s="1">
        <v>6</v>
      </c>
      <c r="Z2301" s="1">
        <v>6</v>
      </c>
      <c r="AA2301" s="1" t="s">
        <v>104</v>
      </c>
      <c r="AB2301" s="1">
        <v>7</v>
      </c>
      <c r="AC2301" s="1" t="s">
        <v>104</v>
      </c>
      <c r="AD2301" s="1">
        <v>6</v>
      </c>
      <c r="AE2301" s="1" t="s">
        <v>104</v>
      </c>
      <c r="AF2301" s="1">
        <v>6</v>
      </c>
      <c r="AG2301" s="1">
        <v>6</v>
      </c>
      <c r="AH2301" s="1">
        <v>6</v>
      </c>
      <c r="AI2301" s="1" t="s">
        <v>104</v>
      </c>
      <c r="AJ2301" s="1" t="s">
        <v>104</v>
      </c>
      <c r="AK2301" s="1" t="s">
        <v>104</v>
      </c>
      <c r="AL2301" s="1" t="s">
        <v>104</v>
      </c>
      <c r="AM2301" s="1" t="s">
        <v>104</v>
      </c>
      <c r="AO2301" s="1">
        <v>6</v>
      </c>
      <c r="AR2301" s="1">
        <v>0</v>
      </c>
      <c r="AS2301" s="1">
        <v>0</v>
      </c>
      <c r="AT2301" s="1">
        <v>0</v>
      </c>
      <c r="AU2301" s="1">
        <v>0</v>
      </c>
      <c r="AV2301" s="1">
        <v>0</v>
      </c>
      <c r="AW2301" s="1">
        <v>0</v>
      </c>
      <c r="AX2301" s="1">
        <v>0</v>
      </c>
      <c r="AY2301" s="1">
        <v>0</v>
      </c>
      <c r="AZ2301" s="1">
        <v>0</v>
      </c>
      <c r="BA2301" s="1">
        <v>0</v>
      </c>
      <c r="BB2301" s="1">
        <v>0</v>
      </c>
      <c r="BC2301" s="1">
        <v>0</v>
      </c>
      <c r="BD2301" s="1">
        <v>0</v>
      </c>
      <c r="BE2301" s="1">
        <v>0</v>
      </c>
      <c r="BF2301" s="1">
        <v>0</v>
      </c>
      <c r="BG2301" s="1">
        <v>0</v>
      </c>
      <c r="BH2301" s="1">
        <v>0</v>
      </c>
      <c r="BI2301" s="1">
        <v>0</v>
      </c>
      <c r="BJ2301" s="1">
        <v>0</v>
      </c>
      <c r="BK2301" s="1">
        <v>0</v>
      </c>
      <c r="BL2301" s="1">
        <v>0</v>
      </c>
      <c r="BM2301" s="1">
        <v>0</v>
      </c>
      <c r="BN2301" s="1">
        <v>1</v>
      </c>
      <c r="BO2301" s="1">
        <v>0</v>
      </c>
      <c r="BP2301" s="1">
        <v>0</v>
      </c>
      <c r="BQ2301" s="1" t="s">
        <v>104</v>
      </c>
      <c r="BR2301" s="1">
        <v>2422</v>
      </c>
      <c r="BS2301" s="1" t="s">
        <v>104</v>
      </c>
      <c r="BX2301" s="1">
        <v>0</v>
      </c>
      <c r="BY2301" s="1" t="s">
        <v>104</v>
      </c>
      <c r="BZ2301" s="1">
        <v>6</v>
      </c>
      <c r="CA2301" s="1" t="s">
        <v>104</v>
      </c>
      <c r="CB2301" s="1">
        <v>6</v>
      </c>
      <c r="CC2301" s="1" t="s">
        <v>104</v>
      </c>
      <c r="CD2301" s="1" t="s">
        <v>104</v>
      </c>
      <c r="CE2301" s="1">
        <v>6</v>
      </c>
      <c r="CF2301" s="1" t="s">
        <v>104</v>
      </c>
      <c r="CG2301" s="1" t="s">
        <v>104</v>
      </c>
      <c r="CH2301" s="1" t="s">
        <v>104</v>
      </c>
      <c r="CJ2301" s="1">
        <v>0</v>
      </c>
      <c r="CK2301" s="1">
        <v>0</v>
      </c>
      <c r="CL2301" s="1">
        <v>0</v>
      </c>
      <c r="CM2301" s="1">
        <v>6</v>
      </c>
    </row>
    <row r="2302" spans="1:91" ht="14.25" customHeight="1" x14ac:dyDescent="0.3">
      <c r="A2302" s="1" t="s">
        <v>11832</v>
      </c>
      <c r="B2302" s="1" t="s">
        <v>216</v>
      </c>
      <c r="D2302" s="1" t="s">
        <v>11833</v>
      </c>
      <c r="E2302" s="1" t="s">
        <v>11834</v>
      </c>
      <c r="F2302" s="1" t="s">
        <v>95</v>
      </c>
      <c r="G2302" s="1" t="s">
        <v>116</v>
      </c>
      <c r="H2302" s="1">
        <v>0</v>
      </c>
      <c r="I2302" s="1" t="s">
        <v>4350</v>
      </c>
      <c r="L2302" s="1" t="s">
        <v>1065</v>
      </c>
      <c r="M2302" s="1" t="s">
        <v>426</v>
      </c>
      <c r="N2302" s="1">
        <v>1</v>
      </c>
      <c r="O2302" s="1">
        <v>0</v>
      </c>
      <c r="P2302" s="1" t="s">
        <v>11835</v>
      </c>
      <c r="Q2302" s="1" t="s">
        <v>184</v>
      </c>
      <c r="R2302" s="1" t="s">
        <v>11836</v>
      </c>
      <c r="S2302" s="1" t="s">
        <v>11774</v>
      </c>
      <c r="T2302" s="1">
        <v>1</v>
      </c>
      <c r="U2302" s="1">
        <v>1</v>
      </c>
      <c r="V2302" s="1">
        <v>0</v>
      </c>
      <c r="W2302" s="1">
        <v>0</v>
      </c>
      <c r="X2302" s="1">
        <v>0</v>
      </c>
      <c r="Y2302" s="1">
        <v>4</v>
      </c>
      <c r="Z2302" s="1">
        <v>4</v>
      </c>
      <c r="AA2302" s="1" t="s">
        <v>104</v>
      </c>
      <c r="AB2302" s="1" t="s">
        <v>104</v>
      </c>
      <c r="AC2302" s="1" t="s">
        <v>104</v>
      </c>
      <c r="AD2302" s="1" t="s">
        <v>104</v>
      </c>
      <c r="AE2302" s="1" t="s">
        <v>104</v>
      </c>
      <c r="AF2302" s="1" t="s">
        <v>104</v>
      </c>
      <c r="AG2302" s="1" t="s">
        <v>104</v>
      </c>
      <c r="AH2302" s="1">
        <v>4</v>
      </c>
      <c r="AI2302" s="1" t="s">
        <v>104</v>
      </c>
      <c r="AJ2302" s="1" t="s">
        <v>104</v>
      </c>
      <c r="AK2302" s="1">
        <v>4</v>
      </c>
      <c r="AL2302" s="1">
        <v>4</v>
      </c>
      <c r="AM2302" s="1" t="s">
        <v>104</v>
      </c>
      <c r="AO2302" s="1">
        <v>4</v>
      </c>
      <c r="AR2302" s="1">
        <v>0</v>
      </c>
      <c r="AS2302" s="1">
        <v>0</v>
      </c>
      <c r="AT2302" s="1">
        <v>0</v>
      </c>
      <c r="AU2302" s="1">
        <v>0</v>
      </c>
      <c r="AV2302" s="1">
        <v>0</v>
      </c>
      <c r="AW2302" s="1">
        <v>0</v>
      </c>
      <c r="AX2302" s="1">
        <v>0</v>
      </c>
      <c r="AY2302" s="1">
        <v>0</v>
      </c>
      <c r="AZ2302" s="1">
        <v>0</v>
      </c>
      <c r="BA2302" s="1">
        <v>0</v>
      </c>
      <c r="BB2302" s="1">
        <v>0</v>
      </c>
      <c r="BC2302" s="1">
        <v>1</v>
      </c>
      <c r="BD2302" s="1">
        <v>0</v>
      </c>
      <c r="BE2302" s="1">
        <v>0</v>
      </c>
      <c r="BF2302" s="1">
        <v>0</v>
      </c>
      <c r="BG2302" s="1">
        <v>0</v>
      </c>
      <c r="BH2302" s="1">
        <v>0</v>
      </c>
      <c r="BI2302" s="1">
        <v>0</v>
      </c>
      <c r="BJ2302" s="1">
        <v>0</v>
      </c>
      <c r="BK2302" s="1">
        <v>0</v>
      </c>
      <c r="BL2302" s="1">
        <v>0</v>
      </c>
      <c r="BM2302" s="1">
        <v>0</v>
      </c>
      <c r="BN2302" s="1">
        <v>1</v>
      </c>
      <c r="BO2302" s="1">
        <v>0</v>
      </c>
      <c r="BP2302" s="1">
        <v>0</v>
      </c>
      <c r="BQ2302" s="1" t="s">
        <v>104</v>
      </c>
      <c r="BR2302" s="1">
        <v>2423</v>
      </c>
      <c r="BS2302" s="1" t="s">
        <v>104</v>
      </c>
      <c r="BX2302" s="1">
        <v>0</v>
      </c>
      <c r="BY2302" s="1">
        <v>4</v>
      </c>
      <c r="BZ2302" s="1">
        <v>4</v>
      </c>
      <c r="CA2302" s="1" t="s">
        <v>104</v>
      </c>
      <c r="CB2302" s="1" t="s">
        <v>104</v>
      </c>
      <c r="CC2302" s="1" t="s">
        <v>104</v>
      </c>
      <c r="CD2302" s="1">
        <v>4</v>
      </c>
      <c r="CE2302" s="1" t="s">
        <v>104</v>
      </c>
      <c r="CF2302" s="1" t="s">
        <v>104</v>
      </c>
      <c r="CG2302" s="1" t="s">
        <v>104</v>
      </c>
      <c r="CH2302" s="1" t="s">
        <v>104</v>
      </c>
      <c r="CJ2302" s="1">
        <v>0</v>
      </c>
      <c r="CK2302" s="1">
        <v>0</v>
      </c>
      <c r="CL2302" s="1">
        <v>0</v>
      </c>
      <c r="CM2302" s="1" t="s">
        <v>104</v>
      </c>
    </row>
    <row r="2303" spans="1:91" ht="14.25" customHeight="1" x14ac:dyDescent="0.3">
      <c r="A2303" s="1" t="s">
        <v>11837</v>
      </c>
      <c r="B2303" s="1" t="s">
        <v>507</v>
      </c>
      <c r="C2303" s="1" t="s">
        <v>65</v>
      </c>
      <c r="D2303" s="1" t="s">
        <v>11556</v>
      </c>
      <c r="E2303" s="1" t="s">
        <v>11838</v>
      </c>
      <c r="F2303" s="1" t="s">
        <v>95</v>
      </c>
      <c r="G2303" s="1" t="s">
        <v>116</v>
      </c>
      <c r="H2303" s="1">
        <v>0</v>
      </c>
      <c r="I2303" s="1" t="s">
        <v>145</v>
      </c>
      <c r="L2303" s="1" t="s">
        <v>145</v>
      </c>
      <c r="M2303" s="1" t="s">
        <v>145</v>
      </c>
      <c r="N2303" s="1">
        <v>0</v>
      </c>
      <c r="O2303" s="1">
        <v>0</v>
      </c>
      <c r="P2303" s="1" t="s">
        <v>3283</v>
      </c>
      <c r="Q2303" s="1" t="s">
        <v>3284</v>
      </c>
      <c r="R2303" s="1" t="s">
        <v>11839</v>
      </c>
      <c r="S2303" s="1" t="s">
        <v>11774</v>
      </c>
      <c r="T2303" s="1">
        <v>1</v>
      </c>
      <c r="U2303" s="1">
        <v>1</v>
      </c>
      <c r="V2303" s="1">
        <v>0</v>
      </c>
      <c r="W2303" s="1">
        <v>0</v>
      </c>
      <c r="X2303" s="1">
        <v>0</v>
      </c>
      <c r="Y2303" s="1">
        <v>6</v>
      </c>
      <c r="Z2303" s="1">
        <v>6</v>
      </c>
      <c r="AA2303" s="1" t="s">
        <v>104</v>
      </c>
      <c r="AB2303" s="1" t="s">
        <v>104</v>
      </c>
      <c r="AC2303" s="1" t="s">
        <v>104</v>
      </c>
      <c r="AD2303" s="1">
        <v>6</v>
      </c>
      <c r="AE2303" s="1" t="s">
        <v>104</v>
      </c>
      <c r="AF2303" s="1" t="s">
        <v>104</v>
      </c>
      <c r="AG2303" s="1">
        <v>6</v>
      </c>
      <c r="AH2303" s="1">
        <v>6</v>
      </c>
      <c r="AI2303" s="1" t="s">
        <v>104</v>
      </c>
      <c r="AJ2303" s="1" t="s">
        <v>104</v>
      </c>
      <c r="AK2303" s="1" t="s">
        <v>104</v>
      </c>
      <c r="AL2303" s="1" t="s">
        <v>104</v>
      </c>
      <c r="AM2303" s="1" t="s">
        <v>104</v>
      </c>
      <c r="AO2303" s="1">
        <v>6</v>
      </c>
      <c r="AR2303" s="1">
        <v>0</v>
      </c>
      <c r="AS2303" s="1">
        <v>0</v>
      </c>
      <c r="AT2303" s="1">
        <v>0</v>
      </c>
      <c r="AU2303" s="1">
        <v>0</v>
      </c>
      <c r="AV2303" s="1">
        <v>0</v>
      </c>
      <c r="AW2303" s="1">
        <v>0</v>
      </c>
      <c r="AX2303" s="1">
        <v>0</v>
      </c>
      <c r="AY2303" s="1">
        <v>0</v>
      </c>
      <c r="AZ2303" s="1">
        <v>0</v>
      </c>
      <c r="BA2303" s="1">
        <v>0</v>
      </c>
      <c r="BB2303" s="1">
        <v>0</v>
      </c>
      <c r="BC2303" s="1">
        <v>0</v>
      </c>
      <c r="BD2303" s="1">
        <v>0</v>
      </c>
      <c r="BE2303" s="1">
        <v>0</v>
      </c>
      <c r="BF2303" s="1">
        <v>0</v>
      </c>
      <c r="BG2303" s="1">
        <v>0</v>
      </c>
      <c r="BH2303" s="1">
        <v>0</v>
      </c>
      <c r="BI2303" s="1">
        <v>0</v>
      </c>
      <c r="BJ2303" s="1">
        <v>0</v>
      </c>
      <c r="BK2303" s="1">
        <v>0</v>
      </c>
      <c r="BL2303" s="1">
        <v>0</v>
      </c>
      <c r="BM2303" s="1">
        <v>0</v>
      </c>
      <c r="BN2303" s="1">
        <v>1</v>
      </c>
      <c r="BO2303" s="1">
        <v>0</v>
      </c>
      <c r="BP2303" s="1">
        <v>0</v>
      </c>
      <c r="BQ2303" s="1" t="s">
        <v>104</v>
      </c>
      <c r="BR2303" s="1">
        <v>2424</v>
      </c>
      <c r="BS2303" s="1" t="s">
        <v>104</v>
      </c>
      <c r="BX2303" s="1">
        <v>0</v>
      </c>
      <c r="BY2303" s="1" t="s">
        <v>104</v>
      </c>
      <c r="BZ2303" s="1">
        <v>6</v>
      </c>
      <c r="CA2303" s="1" t="s">
        <v>104</v>
      </c>
      <c r="CB2303" s="1">
        <v>6</v>
      </c>
      <c r="CC2303" s="1" t="s">
        <v>104</v>
      </c>
      <c r="CD2303" s="1" t="s">
        <v>104</v>
      </c>
      <c r="CE2303" s="1">
        <v>6</v>
      </c>
      <c r="CF2303" s="1" t="s">
        <v>104</v>
      </c>
      <c r="CG2303" s="1" t="s">
        <v>104</v>
      </c>
      <c r="CH2303" s="1" t="s">
        <v>104</v>
      </c>
      <c r="CJ2303" s="1">
        <v>0</v>
      </c>
      <c r="CK2303" s="1">
        <v>0</v>
      </c>
      <c r="CL2303" s="1">
        <v>0</v>
      </c>
      <c r="CM2303" s="1">
        <v>6</v>
      </c>
    </row>
    <row r="2304" spans="1:91" ht="14.25" customHeight="1" x14ac:dyDescent="0.3">
      <c r="A2304" s="1" t="s">
        <v>11840</v>
      </c>
      <c r="B2304" s="1" t="s">
        <v>507</v>
      </c>
      <c r="C2304" s="1" t="s">
        <v>65</v>
      </c>
      <c r="D2304" s="1" t="s">
        <v>11556</v>
      </c>
      <c r="E2304" s="1" t="s">
        <v>11841</v>
      </c>
      <c r="F2304" s="1" t="s">
        <v>95</v>
      </c>
      <c r="G2304" s="1" t="s">
        <v>116</v>
      </c>
      <c r="H2304" s="1">
        <v>0</v>
      </c>
      <c r="I2304" s="1" t="s">
        <v>145</v>
      </c>
      <c r="L2304" s="1" t="s">
        <v>145</v>
      </c>
      <c r="M2304" s="1" t="s">
        <v>145</v>
      </c>
      <c r="N2304" s="1">
        <v>0</v>
      </c>
      <c r="O2304" s="1">
        <v>0</v>
      </c>
      <c r="P2304" s="1" t="s">
        <v>3283</v>
      </c>
      <c r="Q2304" s="1" t="s">
        <v>3284</v>
      </c>
      <c r="R2304" s="1" t="s">
        <v>11842</v>
      </c>
      <c r="S2304" s="1" t="s">
        <v>11774</v>
      </c>
      <c r="T2304" s="1">
        <v>1</v>
      </c>
      <c r="U2304" s="1">
        <v>1</v>
      </c>
      <c r="V2304" s="1">
        <v>0</v>
      </c>
      <c r="W2304" s="1">
        <v>0</v>
      </c>
      <c r="X2304" s="1">
        <v>0</v>
      </c>
      <c r="Y2304" s="1">
        <v>9</v>
      </c>
      <c r="Z2304" s="1">
        <v>9</v>
      </c>
      <c r="AA2304" s="1" t="s">
        <v>104</v>
      </c>
      <c r="AB2304" s="1" t="s">
        <v>104</v>
      </c>
      <c r="AC2304" s="1" t="s">
        <v>104</v>
      </c>
      <c r="AD2304" s="1" t="s">
        <v>104</v>
      </c>
      <c r="AE2304" s="1" t="s">
        <v>104</v>
      </c>
      <c r="AF2304" s="1" t="s">
        <v>104</v>
      </c>
      <c r="AG2304" s="1" t="s">
        <v>104</v>
      </c>
      <c r="AH2304" s="1">
        <v>9</v>
      </c>
      <c r="AI2304" s="1" t="s">
        <v>104</v>
      </c>
      <c r="AJ2304" s="1" t="s">
        <v>104</v>
      </c>
      <c r="AK2304" s="1" t="s">
        <v>104</v>
      </c>
      <c r="AL2304" s="1" t="s">
        <v>104</v>
      </c>
      <c r="AM2304" s="1" t="s">
        <v>104</v>
      </c>
      <c r="AO2304" s="1">
        <v>9</v>
      </c>
      <c r="AR2304" s="1">
        <v>0</v>
      </c>
      <c r="AS2304" s="1">
        <v>0</v>
      </c>
      <c r="AT2304" s="1">
        <v>0</v>
      </c>
      <c r="AU2304" s="1">
        <v>0</v>
      </c>
      <c r="AV2304" s="1">
        <v>0</v>
      </c>
      <c r="AW2304" s="1">
        <v>0</v>
      </c>
      <c r="AX2304" s="1">
        <v>0</v>
      </c>
      <c r="AY2304" s="1">
        <v>0</v>
      </c>
      <c r="AZ2304" s="1">
        <v>0</v>
      </c>
      <c r="BA2304" s="1">
        <v>0</v>
      </c>
      <c r="BB2304" s="1">
        <v>0</v>
      </c>
      <c r="BC2304" s="1">
        <v>0</v>
      </c>
      <c r="BD2304" s="1">
        <v>0</v>
      </c>
      <c r="BE2304" s="1">
        <v>0</v>
      </c>
      <c r="BF2304" s="1">
        <v>0</v>
      </c>
      <c r="BG2304" s="1">
        <v>0</v>
      </c>
      <c r="BH2304" s="1">
        <v>0</v>
      </c>
      <c r="BI2304" s="1">
        <v>0</v>
      </c>
      <c r="BJ2304" s="1">
        <v>0</v>
      </c>
      <c r="BK2304" s="1">
        <v>0</v>
      </c>
      <c r="BL2304" s="1">
        <v>0</v>
      </c>
      <c r="BM2304" s="1">
        <v>0</v>
      </c>
      <c r="BN2304" s="1">
        <v>1</v>
      </c>
      <c r="BO2304" s="1">
        <v>0</v>
      </c>
      <c r="BP2304" s="1">
        <v>0</v>
      </c>
      <c r="BQ2304" s="1" t="s">
        <v>104</v>
      </c>
      <c r="BR2304" s="1">
        <v>2425</v>
      </c>
      <c r="BS2304" s="1" t="s">
        <v>104</v>
      </c>
      <c r="BX2304" s="1">
        <v>0</v>
      </c>
      <c r="BY2304" s="1" t="s">
        <v>104</v>
      </c>
      <c r="BZ2304" s="1">
        <v>9</v>
      </c>
      <c r="CA2304" s="1" t="s">
        <v>104</v>
      </c>
      <c r="CB2304" s="1" t="s">
        <v>104</v>
      </c>
      <c r="CC2304" s="1" t="s">
        <v>104</v>
      </c>
      <c r="CD2304" s="1" t="s">
        <v>104</v>
      </c>
      <c r="CE2304" s="1" t="s">
        <v>104</v>
      </c>
      <c r="CF2304" s="1" t="s">
        <v>104</v>
      </c>
      <c r="CG2304" s="1" t="s">
        <v>104</v>
      </c>
      <c r="CH2304" s="1" t="s">
        <v>104</v>
      </c>
      <c r="CJ2304" s="1">
        <v>0</v>
      </c>
      <c r="CK2304" s="1">
        <v>0</v>
      </c>
      <c r="CL2304" s="1">
        <v>0</v>
      </c>
      <c r="CM2304" s="1" t="s">
        <v>104</v>
      </c>
    </row>
    <row r="2305" spans="1:91" ht="14.25" customHeight="1" x14ac:dyDescent="0.3">
      <c r="A2305" s="1" t="s">
        <v>11843</v>
      </c>
      <c r="B2305" s="1" t="s">
        <v>507</v>
      </c>
      <c r="C2305" s="1" t="s">
        <v>65</v>
      </c>
      <c r="E2305" s="1" t="s">
        <v>11844</v>
      </c>
      <c r="F2305" s="1" t="s">
        <v>95</v>
      </c>
      <c r="G2305" s="1" t="s">
        <v>116</v>
      </c>
      <c r="H2305" s="1">
        <v>0</v>
      </c>
      <c r="I2305" s="1" t="s">
        <v>4350</v>
      </c>
      <c r="L2305" s="1" t="s">
        <v>1065</v>
      </c>
      <c r="M2305" s="1" t="s">
        <v>426</v>
      </c>
      <c r="N2305" s="1">
        <v>1</v>
      </c>
      <c r="O2305" s="1">
        <v>0</v>
      </c>
      <c r="P2305" s="1" t="s">
        <v>211</v>
      </c>
      <c r="Q2305" s="1" t="s">
        <v>184</v>
      </c>
      <c r="R2305" s="1" t="s">
        <v>11845</v>
      </c>
      <c r="S2305" s="1" t="s">
        <v>11774</v>
      </c>
      <c r="T2305" s="1">
        <v>1</v>
      </c>
      <c r="U2305" s="1">
        <v>1</v>
      </c>
      <c r="V2305" s="1">
        <v>0</v>
      </c>
      <c r="W2305" s="1">
        <v>0</v>
      </c>
      <c r="X2305" s="1">
        <v>0</v>
      </c>
      <c r="Y2305" s="1">
        <v>1</v>
      </c>
      <c r="Z2305" s="1">
        <v>1</v>
      </c>
      <c r="AA2305" s="1">
        <v>1</v>
      </c>
      <c r="AB2305" s="1" t="s">
        <v>104</v>
      </c>
      <c r="AC2305" s="1" t="s">
        <v>104</v>
      </c>
      <c r="AD2305" s="1">
        <v>1</v>
      </c>
      <c r="AE2305" s="1" t="s">
        <v>104</v>
      </c>
      <c r="AF2305" s="1" t="s">
        <v>104</v>
      </c>
      <c r="AG2305" s="1" t="s">
        <v>104</v>
      </c>
      <c r="AH2305" s="1">
        <v>1</v>
      </c>
      <c r="AI2305" s="1" t="s">
        <v>104</v>
      </c>
      <c r="AJ2305" s="1">
        <v>1</v>
      </c>
      <c r="AK2305" s="1">
        <v>1</v>
      </c>
      <c r="AL2305" s="1" t="s">
        <v>104</v>
      </c>
      <c r="AM2305" s="1" t="s">
        <v>104</v>
      </c>
      <c r="AO2305" s="1">
        <v>1</v>
      </c>
      <c r="AR2305" s="1">
        <v>0</v>
      </c>
      <c r="AS2305" s="1">
        <v>0</v>
      </c>
      <c r="AT2305" s="1">
        <v>0</v>
      </c>
      <c r="AU2305" s="1">
        <v>0</v>
      </c>
      <c r="AV2305" s="1">
        <v>0</v>
      </c>
      <c r="AW2305" s="1">
        <v>0</v>
      </c>
      <c r="AX2305" s="1">
        <v>0</v>
      </c>
      <c r="AY2305" s="1">
        <v>0</v>
      </c>
      <c r="AZ2305" s="1">
        <v>0</v>
      </c>
      <c r="BA2305" s="1">
        <v>0</v>
      </c>
      <c r="BB2305" s="1">
        <v>0</v>
      </c>
      <c r="BC2305" s="1">
        <v>0</v>
      </c>
      <c r="BD2305" s="1">
        <v>0</v>
      </c>
      <c r="BE2305" s="1">
        <v>0</v>
      </c>
      <c r="BF2305" s="1">
        <v>0</v>
      </c>
      <c r="BG2305" s="1">
        <v>0</v>
      </c>
      <c r="BH2305" s="1">
        <v>0</v>
      </c>
      <c r="BI2305" s="1">
        <v>0</v>
      </c>
      <c r="BJ2305" s="1">
        <v>0</v>
      </c>
      <c r="BK2305" s="1">
        <v>0</v>
      </c>
      <c r="BL2305" s="1">
        <v>0</v>
      </c>
      <c r="BM2305" s="1">
        <v>0</v>
      </c>
      <c r="BN2305" s="1">
        <v>0</v>
      </c>
      <c r="BO2305" s="1">
        <v>0</v>
      </c>
      <c r="BP2305" s="1">
        <v>0</v>
      </c>
      <c r="BQ2305" s="1" t="s">
        <v>104</v>
      </c>
      <c r="BR2305" s="1">
        <v>2426</v>
      </c>
      <c r="BS2305" s="1" t="s">
        <v>104</v>
      </c>
      <c r="BX2305" s="1">
        <v>0</v>
      </c>
      <c r="BY2305" s="1">
        <v>1</v>
      </c>
      <c r="BZ2305" s="1">
        <v>1</v>
      </c>
      <c r="CA2305" s="1">
        <v>1</v>
      </c>
      <c r="CB2305" s="1" t="s">
        <v>104</v>
      </c>
      <c r="CC2305" s="1">
        <v>1</v>
      </c>
      <c r="CD2305" s="1">
        <v>1</v>
      </c>
      <c r="CE2305" s="1" t="s">
        <v>104</v>
      </c>
      <c r="CF2305" s="1" t="s">
        <v>104</v>
      </c>
      <c r="CG2305" s="1" t="s">
        <v>104</v>
      </c>
      <c r="CH2305" s="1" t="s">
        <v>104</v>
      </c>
      <c r="CJ2305" s="1">
        <v>0</v>
      </c>
      <c r="CK2305" s="1">
        <v>0</v>
      </c>
      <c r="CL2305" s="1">
        <v>0</v>
      </c>
      <c r="CM2305" s="1" t="s">
        <v>104</v>
      </c>
    </row>
    <row r="2306" spans="1:91" ht="14.25" customHeight="1" x14ac:dyDescent="0.3">
      <c r="A2306" s="1" t="s">
        <v>11846</v>
      </c>
      <c r="B2306" s="1" t="s">
        <v>507</v>
      </c>
      <c r="C2306" s="1" t="s">
        <v>65</v>
      </c>
      <c r="D2306" s="1" t="s">
        <v>11556</v>
      </c>
      <c r="E2306" s="1" t="s">
        <v>11847</v>
      </c>
      <c r="F2306" s="1" t="s">
        <v>95</v>
      </c>
      <c r="G2306" s="1" t="s">
        <v>116</v>
      </c>
      <c r="H2306" s="1">
        <v>0</v>
      </c>
      <c r="I2306" s="1" t="s">
        <v>128</v>
      </c>
      <c r="L2306" s="1" t="s">
        <v>374</v>
      </c>
      <c r="M2306" s="1" t="s">
        <v>426</v>
      </c>
      <c r="N2306" s="1">
        <v>1</v>
      </c>
      <c r="O2306" s="1">
        <v>0</v>
      </c>
      <c r="P2306" s="1" t="s">
        <v>1902</v>
      </c>
      <c r="Q2306" s="1" t="s">
        <v>184</v>
      </c>
      <c r="R2306" s="1" t="s">
        <v>11848</v>
      </c>
      <c r="S2306" s="1" t="s">
        <v>11774</v>
      </c>
      <c r="T2306" s="1">
        <v>1</v>
      </c>
      <c r="U2306" s="1">
        <v>1</v>
      </c>
      <c r="V2306" s="1">
        <v>0</v>
      </c>
      <c r="W2306" s="1">
        <v>0</v>
      </c>
      <c r="X2306" s="1">
        <v>0</v>
      </c>
      <c r="Y2306" s="1">
        <v>4</v>
      </c>
      <c r="Z2306" s="1">
        <v>4</v>
      </c>
      <c r="AA2306" s="1" t="s">
        <v>104</v>
      </c>
      <c r="AB2306" s="1" t="s">
        <v>104</v>
      </c>
      <c r="AC2306" s="1" t="s">
        <v>104</v>
      </c>
      <c r="AD2306" s="1">
        <v>4</v>
      </c>
      <c r="AE2306" s="1" t="s">
        <v>104</v>
      </c>
      <c r="AF2306" s="1" t="s">
        <v>104</v>
      </c>
      <c r="AG2306" s="1" t="s">
        <v>104</v>
      </c>
      <c r="AH2306" s="1">
        <v>4</v>
      </c>
      <c r="AI2306" s="1" t="s">
        <v>104</v>
      </c>
      <c r="AJ2306" s="1" t="s">
        <v>104</v>
      </c>
      <c r="AK2306" s="1">
        <v>4</v>
      </c>
      <c r="AL2306" s="1" t="s">
        <v>104</v>
      </c>
      <c r="AM2306" s="1" t="s">
        <v>104</v>
      </c>
      <c r="AO2306" s="1">
        <v>4</v>
      </c>
      <c r="AR2306" s="1">
        <v>0</v>
      </c>
      <c r="AS2306" s="1">
        <v>0</v>
      </c>
      <c r="AT2306" s="1">
        <v>0</v>
      </c>
      <c r="AU2306" s="1">
        <v>0</v>
      </c>
      <c r="AV2306" s="1">
        <v>0</v>
      </c>
      <c r="AW2306" s="1">
        <v>0</v>
      </c>
      <c r="AX2306" s="1">
        <v>0</v>
      </c>
      <c r="AY2306" s="1">
        <v>0</v>
      </c>
      <c r="AZ2306" s="1">
        <v>0</v>
      </c>
      <c r="BA2306" s="1">
        <v>0</v>
      </c>
      <c r="BB2306" s="1">
        <v>0</v>
      </c>
      <c r="BC2306" s="1">
        <v>0</v>
      </c>
      <c r="BD2306" s="1">
        <v>0</v>
      </c>
      <c r="BE2306" s="1">
        <v>0</v>
      </c>
      <c r="BF2306" s="1">
        <v>0</v>
      </c>
      <c r="BG2306" s="1">
        <v>0</v>
      </c>
      <c r="BH2306" s="1">
        <v>0</v>
      </c>
      <c r="BI2306" s="1">
        <v>0</v>
      </c>
      <c r="BJ2306" s="1">
        <v>0</v>
      </c>
      <c r="BK2306" s="1">
        <v>0</v>
      </c>
      <c r="BL2306" s="1">
        <v>0</v>
      </c>
      <c r="BM2306" s="1">
        <v>0</v>
      </c>
      <c r="BN2306" s="1">
        <v>1</v>
      </c>
      <c r="BO2306" s="1">
        <v>0</v>
      </c>
      <c r="BP2306" s="1">
        <v>0</v>
      </c>
      <c r="BQ2306" s="1" t="s">
        <v>104</v>
      </c>
      <c r="BR2306" s="1">
        <v>2427</v>
      </c>
      <c r="BS2306" s="1" t="s">
        <v>104</v>
      </c>
      <c r="BX2306" s="1">
        <v>0</v>
      </c>
      <c r="BY2306" s="1" t="s">
        <v>104</v>
      </c>
      <c r="BZ2306" s="1" t="s">
        <v>104</v>
      </c>
      <c r="CA2306" s="1">
        <v>4</v>
      </c>
      <c r="CB2306" s="1" t="s">
        <v>104</v>
      </c>
      <c r="CC2306" s="1">
        <v>4</v>
      </c>
      <c r="CD2306" s="1" t="s">
        <v>104</v>
      </c>
      <c r="CE2306" s="1">
        <v>4</v>
      </c>
      <c r="CF2306" s="1" t="s">
        <v>104</v>
      </c>
      <c r="CG2306" s="1" t="s">
        <v>104</v>
      </c>
      <c r="CH2306" s="1" t="s">
        <v>104</v>
      </c>
      <c r="CJ2306" s="1">
        <v>0</v>
      </c>
      <c r="CK2306" s="1">
        <v>0</v>
      </c>
      <c r="CL2306" s="1">
        <v>0</v>
      </c>
      <c r="CM2306" s="1" t="s">
        <v>104</v>
      </c>
    </row>
    <row r="2307" spans="1:91" ht="14.25" customHeight="1" x14ac:dyDescent="0.3">
      <c r="A2307" s="1" t="s">
        <v>11849</v>
      </c>
      <c r="B2307" s="1" t="s">
        <v>216</v>
      </c>
      <c r="D2307" s="1" t="s">
        <v>11556</v>
      </c>
      <c r="E2307" s="1" t="s">
        <v>11850</v>
      </c>
      <c r="F2307" s="1" t="s">
        <v>95</v>
      </c>
      <c r="G2307" s="1" t="s">
        <v>116</v>
      </c>
      <c r="H2307" s="1">
        <v>0</v>
      </c>
      <c r="I2307" s="1" t="s">
        <v>117</v>
      </c>
      <c r="L2307" s="1" t="s">
        <v>11851</v>
      </c>
      <c r="M2307" s="1" t="s">
        <v>2330</v>
      </c>
      <c r="N2307" s="1">
        <v>0</v>
      </c>
      <c r="O2307" s="1">
        <v>0</v>
      </c>
      <c r="P2307" s="1" t="s">
        <v>211</v>
      </c>
      <c r="Q2307" s="1" t="s">
        <v>184</v>
      </c>
      <c r="R2307" s="1" t="s">
        <v>11852</v>
      </c>
      <c r="S2307" s="1" t="s">
        <v>11774</v>
      </c>
      <c r="T2307" s="1">
        <v>1</v>
      </c>
      <c r="U2307" s="1">
        <v>1</v>
      </c>
      <c r="V2307" s="1">
        <v>0</v>
      </c>
      <c r="W2307" s="1">
        <v>0</v>
      </c>
      <c r="X2307" s="1">
        <v>0</v>
      </c>
      <c r="Y2307" s="1">
        <v>4</v>
      </c>
      <c r="Z2307" s="1">
        <v>4</v>
      </c>
      <c r="AA2307" s="1">
        <v>4</v>
      </c>
      <c r="AB2307" s="1" t="s">
        <v>104</v>
      </c>
      <c r="AC2307" s="1" t="s">
        <v>104</v>
      </c>
      <c r="AD2307" s="1" t="s">
        <v>104</v>
      </c>
      <c r="AE2307" s="1" t="s">
        <v>104</v>
      </c>
      <c r="AF2307" s="1">
        <v>4</v>
      </c>
      <c r="AG2307" s="1" t="s">
        <v>104</v>
      </c>
      <c r="AH2307" s="1">
        <v>4</v>
      </c>
      <c r="AI2307" s="1" t="s">
        <v>104</v>
      </c>
      <c r="AJ2307" s="1">
        <v>4</v>
      </c>
      <c r="AK2307" s="1">
        <v>4</v>
      </c>
      <c r="AL2307" s="1" t="s">
        <v>104</v>
      </c>
      <c r="AM2307" s="1" t="s">
        <v>104</v>
      </c>
      <c r="AO2307" s="1">
        <v>4</v>
      </c>
      <c r="AR2307" s="1">
        <v>0</v>
      </c>
      <c r="AS2307" s="1">
        <v>0</v>
      </c>
      <c r="AT2307" s="1">
        <v>0</v>
      </c>
      <c r="AU2307" s="1">
        <v>0</v>
      </c>
      <c r="AV2307" s="1">
        <v>0</v>
      </c>
      <c r="AW2307" s="1">
        <v>0</v>
      </c>
      <c r="AX2307" s="1">
        <v>0</v>
      </c>
      <c r="AY2307" s="1">
        <v>0</v>
      </c>
      <c r="AZ2307" s="1">
        <v>0</v>
      </c>
      <c r="BA2307" s="1">
        <v>0</v>
      </c>
      <c r="BB2307" s="1">
        <v>0</v>
      </c>
      <c r="BC2307" s="1">
        <v>0</v>
      </c>
      <c r="BD2307" s="1">
        <v>0</v>
      </c>
      <c r="BE2307" s="1">
        <v>0</v>
      </c>
      <c r="BF2307" s="1">
        <v>0</v>
      </c>
      <c r="BG2307" s="1">
        <v>0</v>
      </c>
      <c r="BH2307" s="1">
        <v>0</v>
      </c>
      <c r="BI2307" s="1">
        <v>0</v>
      </c>
      <c r="BJ2307" s="1">
        <v>0</v>
      </c>
      <c r="BK2307" s="1">
        <v>0</v>
      </c>
      <c r="BL2307" s="1">
        <v>0</v>
      </c>
      <c r="BM2307" s="1">
        <v>0</v>
      </c>
      <c r="BN2307" s="1">
        <v>1</v>
      </c>
      <c r="BO2307" s="1">
        <v>0</v>
      </c>
      <c r="BP2307" s="1">
        <v>0</v>
      </c>
      <c r="BQ2307" s="1" t="s">
        <v>104</v>
      </c>
      <c r="BR2307" s="1">
        <v>2428</v>
      </c>
      <c r="BS2307" s="1" t="s">
        <v>104</v>
      </c>
      <c r="BX2307" s="1">
        <v>0</v>
      </c>
      <c r="BY2307" s="1" t="s">
        <v>104</v>
      </c>
      <c r="BZ2307" s="1">
        <v>4</v>
      </c>
      <c r="CA2307" s="1">
        <v>4</v>
      </c>
      <c r="CB2307" s="1" t="s">
        <v>104</v>
      </c>
      <c r="CC2307" s="1" t="s">
        <v>104</v>
      </c>
      <c r="CD2307" s="1">
        <v>4</v>
      </c>
      <c r="CE2307" s="1" t="s">
        <v>104</v>
      </c>
      <c r="CF2307" s="1" t="s">
        <v>104</v>
      </c>
      <c r="CG2307" s="1" t="s">
        <v>104</v>
      </c>
      <c r="CH2307" s="1" t="s">
        <v>104</v>
      </c>
      <c r="CJ2307" s="1">
        <v>0</v>
      </c>
      <c r="CK2307" s="1">
        <v>0</v>
      </c>
      <c r="CL2307" s="1">
        <v>0</v>
      </c>
      <c r="CM2307" s="1" t="s">
        <v>104</v>
      </c>
    </row>
    <row r="2308" spans="1:91" ht="14.25" customHeight="1" x14ac:dyDescent="0.3">
      <c r="A2308" s="1" t="s">
        <v>11853</v>
      </c>
      <c r="B2308" s="1" t="s">
        <v>216</v>
      </c>
      <c r="D2308" s="1" t="s">
        <v>11556</v>
      </c>
      <c r="E2308" s="1" t="s">
        <v>9011</v>
      </c>
      <c r="F2308" s="1" t="s">
        <v>95</v>
      </c>
      <c r="G2308" s="1" t="s">
        <v>116</v>
      </c>
      <c r="H2308" s="1">
        <v>0</v>
      </c>
      <c r="I2308" s="1" t="s">
        <v>117</v>
      </c>
      <c r="L2308" s="1" t="s">
        <v>11854</v>
      </c>
      <c r="M2308" s="1" t="s">
        <v>2330</v>
      </c>
      <c r="N2308" s="1">
        <v>0</v>
      </c>
      <c r="O2308" s="1">
        <v>0</v>
      </c>
      <c r="P2308" s="1" t="s">
        <v>211</v>
      </c>
      <c r="Q2308" s="1" t="s">
        <v>184</v>
      </c>
      <c r="R2308" s="1" t="s">
        <v>11855</v>
      </c>
      <c r="S2308" s="1" t="s">
        <v>11774</v>
      </c>
      <c r="T2308" s="1">
        <v>1</v>
      </c>
      <c r="U2308" s="1">
        <v>1</v>
      </c>
      <c r="V2308" s="1">
        <v>0</v>
      </c>
      <c r="W2308" s="1">
        <v>0</v>
      </c>
      <c r="X2308" s="1">
        <v>0</v>
      </c>
      <c r="Y2308" s="1">
        <v>8</v>
      </c>
      <c r="Z2308" s="1">
        <v>8</v>
      </c>
      <c r="AA2308" s="1">
        <v>8</v>
      </c>
      <c r="AB2308" s="1" t="s">
        <v>104</v>
      </c>
      <c r="AC2308" s="1" t="s">
        <v>104</v>
      </c>
      <c r="AD2308" s="1" t="s">
        <v>104</v>
      </c>
      <c r="AE2308" s="1" t="s">
        <v>104</v>
      </c>
      <c r="AF2308" s="1" t="s">
        <v>104</v>
      </c>
      <c r="AG2308" s="1" t="s">
        <v>104</v>
      </c>
      <c r="AH2308" s="1">
        <v>8</v>
      </c>
      <c r="AI2308" s="1" t="s">
        <v>104</v>
      </c>
      <c r="AJ2308" s="1">
        <v>8</v>
      </c>
      <c r="AK2308" s="1" t="s">
        <v>104</v>
      </c>
      <c r="AL2308" s="1" t="s">
        <v>104</v>
      </c>
      <c r="AM2308" s="1" t="s">
        <v>104</v>
      </c>
      <c r="AO2308" s="1">
        <v>8</v>
      </c>
      <c r="AR2308" s="1">
        <v>0</v>
      </c>
      <c r="AS2308" s="1">
        <v>0</v>
      </c>
      <c r="AT2308" s="1">
        <v>0</v>
      </c>
      <c r="AU2308" s="1">
        <v>0</v>
      </c>
      <c r="AV2308" s="1">
        <v>0</v>
      </c>
      <c r="AW2308" s="1">
        <v>0</v>
      </c>
      <c r="AX2308" s="1">
        <v>0</v>
      </c>
      <c r="AY2308" s="1">
        <v>0</v>
      </c>
      <c r="AZ2308" s="1">
        <v>0</v>
      </c>
      <c r="BA2308" s="1">
        <v>0</v>
      </c>
      <c r="BB2308" s="1">
        <v>0</v>
      </c>
      <c r="BC2308" s="1">
        <v>0</v>
      </c>
      <c r="BD2308" s="1">
        <v>0</v>
      </c>
      <c r="BE2308" s="1">
        <v>0</v>
      </c>
      <c r="BF2308" s="1">
        <v>0</v>
      </c>
      <c r="BG2308" s="1">
        <v>0</v>
      </c>
      <c r="BH2308" s="1">
        <v>0</v>
      </c>
      <c r="BI2308" s="1">
        <v>0</v>
      </c>
      <c r="BJ2308" s="1">
        <v>0</v>
      </c>
      <c r="BK2308" s="1">
        <v>0</v>
      </c>
      <c r="BL2308" s="1">
        <v>0</v>
      </c>
      <c r="BM2308" s="1">
        <v>0</v>
      </c>
      <c r="BN2308" s="1">
        <v>1</v>
      </c>
      <c r="BO2308" s="1">
        <v>0</v>
      </c>
      <c r="BP2308" s="1">
        <v>0</v>
      </c>
      <c r="BQ2308" s="1" t="s">
        <v>104</v>
      </c>
      <c r="BR2308" s="1">
        <v>2429</v>
      </c>
      <c r="BS2308" s="1" t="s">
        <v>104</v>
      </c>
      <c r="BX2308" s="1">
        <v>0</v>
      </c>
      <c r="BY2308" s="1" t="s">
        <v>104</v>
      </c>
      <c r="BZ2308" s="1" t="s">
        <v>104</v>
      </c>
      <c r="CA2308" s="1" t="s">
        <v>104</v>
      </c>
      <c r="CB2308" s="1" t="s">
        <v>104</v>
      </c>
      <c r="CC2308" s="1" t="s">
        <v>104</v>
      </c>
      <c r="CD2308" s="1" t="s">
        <v>104</v>
      </c>
      <c r="CE2308" s="1" t="s">
        <v>104</v>
      </c>
      <c r="CF2308" s="1" t="s">
        <v>104</v>
      </c>
      <c r="CG2308" s="1" t="s">
        <v>104</v>
      </c>
      <c r="CH2308" s="1" t="s">
        <v>104</v>
      </c>
      <c r="CJ2308" s="1">
        <v>0</v>
      </c>
      <c r="CK2308" s="1">
        <v>0</v>
      </c>
      <c r="CL2308" s="1">
        <v>0</v>
      </c>
      <c r="CM2308" s="1" t="s">
        <v>104</v>
      </c>
    </row>
    <row r="2309" spans="1:91" ht="14.25" customHeight="1" x14ac:dyDescent="0.3">
      <c r="A2309" s="1" t="s">
        <v>11856</v>
      </c>
      <c r="B2309" s="1" t="s">
        <v>162</v>
      </c>
      <c r="E2309" s="1" t="s">
        <v>8904</v>
      </c>
      <c r="F2309" s="1" t="s">
        <v>255</v>
      </c>
      <c r="G2309" s="1" t="s">
        <v>11857</v>
      </c>
      <c r="H2309" s="1">
        <v>0</v>
      </c>
      <c r="I2309" s="1" t="s">
        <v>128</v>
      </c>
      <c r="L2309" s="1" t="s">
        <v>129</v>
      </c>
      <c r="M2309" s="1" t="s">
        <v>119</v>
      </c>
      <c r="N2309" s="1">
        <v>0</v>
      </c>
      <c r="O2309" s="1">
        <v>0</v>
      </c>
      <c r="P2309" s="1" t="s">
        <v>100</v>
      </c>
      <c r="Q2309" s="1" t="s">
        <v>101</v>
      </c>
      <c r="R2309" s="1" t="s">
        <v>11858</v>
      </c>
      <c r="S2309" s="1" t="s">
        <v>11859</v>
      </c>
      <c r="T2309" s="1">
        <v>1</v>
      </c>
      <c r="U2309" s="1">
        <v>1</v>
      </c>
      <c r="V2309" s="1">
        <v>1</v>
      </c>
      <c r="W2309" s="1">
        <v>0</v>
      </c>
      <c r="X2309" s="1">
        <v>1</v>
      </c>
      <c r="Y2309" s="1" t="s">
        <v>104</v>
      </c>
      <c r="Z2309" s="1" t="s">
        <v>104</v>
      </c>
      <c r="AA2309" s="1">
        <v>4</v>
      </c>
      <c r="AB2309" s="1" t="s">
        <v>104</v>
      </c>
      <c r="AC2309" s="1" t="s">
        <v>104</v>
      </c>
      <c r="AD2309" s="1" t="s">
        <v>104</v>
      </c>
      <c r="AE2309" s="1">
        <v>4</v>
      </c>
      <c r="AF2309" s="1" t="s">
        <v>104</v>
      </c>
      <c r="AG2309" s="1" t="s">
        <v>104</v>
      </c>
      <c r="AH2309" s="1" t="s">
        <v>104</v>
      </c>
      <c r="AI2309" s="1" t="s">
        <v>104</v>
      </c>
      <c r="AJ2309" s="1">
        <v>4</v>
      </c>
      <c r="AK2309" s="1" t="s">
        <v>104</v>
      </c>
      <c r="AL2309" s="1" t="s">
        <v>104</v>
      </c>
      <c r="AM2309" s="1" t="s">
        <v>104</v>
      </c>
      <c r="AO2309" s="1">
        <v>4</v>
      </c>
      <c r="AQ2309" s="1" t="s">
        <v>11860</v>
      </c>
      <c r="AR2309" s="1">
        <v>0</v>
      </c>
      <c r="AS2309" s="1">
        <v>0</v>
      </c>
      <c r="AT2309" s="1">
        <v>0</v>
      </c>
      <c r="AU2309" s="1">
        <v>0</v>
      </c>
      <c r="AV2309" s="1">
        <v>0</v>
      </c>
      <c r="AW2309" s="1">
        <v>0</v>
      </c>
      <c r="AX2309" s="1">
        <v>0</v>
      </c>
      <c r="AY2309" s="1">
        <v>0</v>
      </c>
      <c r="AZ2309" s="1">
        <v>0</v>
      </c>
      <c r="BA2309" s="1">
        <v>0</v>
      </c>
      <c r="BB2309" s="1">
        <v>0</v>
      </c>
      <c r="BC2309" s="1">
        <v>0</v>
      </c>
      <c r="BD2309" s="1">
        <v>0</v>
      </c>
      <c r="BE2309" s="1">
        <v>0</v>
      </c>
      <c r="BF2309" s="1">
        <v>0</v>
      </c>
      <c r="BG2309" s="1">
        <v>0</v>
      </c>
      <c r="BH2309" s="1">
        <v>0</v>
      </c>
      <c r="BI2309" s="1">
        <v>0</v>
      </c>
      <c r="BJ2309" s="1">
        <v>0</v>
      </c>
      <c r="BK2309" s="1">
        <v>0</v>
      </c>
      <c r="BL2309" s="1">
        <v>0</v>
      </c>
      <c r="BM2309" s="1">
        <v>0</v>
      </c>
      <c r="BN2309" s="1">
        <v>0</v>
      </c>
      <c r="BO2309" s="1">
        <v>0</v>
      </c>
      <c r="BP2309" s="1">
        <v>0</v>
      </c>
      <c r="BQ2309" s="1" t="s">
        <v>104</v>
      </c>
      <c r="BR2309" s="1">
        <v>2430</v>
      </c>
      <c r="BS2309" s="1" t="s">
        <v>104</v>
      </c>
      <c r="BX2309" s="1">
        <v>0</v>
      </c>
      <c r="BY2309" s="1" t="s">
        <v>104</v>
      </c>
      <c r="BZ2309" s="1" t="s">
        <v>104</v>
      </c>
      <c r="CA2309" s="1" t="s">
        <v>104</v>
      </c>
      <c r="CB2309" s="1" t="s">
        <v>104</v>
      </c>
      <c r="CC2309" s="1" t="s">
        <v>104</v>
      </c>
      <c r="CD2309" s="1" t="s">
        <v>104</v>
      </c>
      <c r="CE2309" s="1" t="s">
        <v>104</v>
      </c>
      <c r="CF2309" s="1" t="s">
        <v>104</v>
      </c>
      <c r="CG2309" s="1" t="s">
        <v>104</v>
      </c>
      <c r="CH2309" s="1" t="s">
        <v>104</v>
      </c>
      <c r="CJ2309" s="1">
        <v>0</v>
      </c>
      <c r="CK2309" s="1">
        <v>0</v>
      </c>
      <c r="CL2309" s="1">
        <v>0</v>
      </c>
      <c r="CM2309" s="1" t="s">
        <v>104</v>
      </c>
    </row>
    <row r="2310" spans="1:91" ht="14.25" customHeight="1" x14ac:dyDescent="0.3">
      <c r="A2310" s="1" t="s">
        <v>11861</v>
      </c>
      <c r="B2310" s="1" t="s">
        <v>172</v>
      </c>
      <c r="D2310" s="1" t="s">
        <v>44</v>
      </c>
      <c r="E2310" s="1" t="s">
        <v>11862</v>
      </c>
      <c r="F2310" s="1" t="s">
        <v>95</v>
      </c>
      <c r="G2310" s="1" t="s">
        <v>116</v>
      </c>
      <c r="H2310" s="1">
        <v>0</v>
      </c>
      <c r="I2310" s="1" t="s">
        <v>109</v>
      </c>
      <c r="J2310" s="1" t="s">
        <v>11863</v>
      </c>
      <c r="M2310" s="1" t="s">
        <v>201</v>
      </c>
      <c r="N2310" s="1">
        <v>0</v>
      </c>
      <c r="O2310" s="1">
        <v>0</v>
      </c>
      <c r="P2310" s="1" t="s">
        <v>100</v>
      </c>
      <c r="Q2310" s="1" t="s">
        <v>101</v>
      </c>
      <c r="R2310" s="1" t="s">
        <v>11864</v>
      </c>
      <c r="S2310" s="1" t="s">
        <v>11859</v>
      </c>
      <c r="T2310" s="1">
        <v>1</v>
      </c>
      <c r="U2310" s="1">
        <v>1</v>
      </c>
      <c r="V2310" s="1">
        <v>0</v>
      </c>
      <c r="W2310" s="1">
        <v>0</v>
      </c>
      <c r="X2310" s="1">
        <v>0</v>
      </c>
      <c r="Y2310" s="1" t="s">
        <v>104</v>
      </c>
      <c r="Z2310" s="1" t="s">
        <v>104</v>
      </c>
      <c r="AA2310" s="1" t="s">
        <v>104</v>
      </c>
      <c r="AB2310" s="1">
        <v>4</v>
      </c>
      <c r="AC2310" s="1">
        <v>3</v>
      </c>
      <c r="AD2310" s="1" t="s">
        <v>104</v>
      </c>
      <c r="AE2310" s="1" t="s">
        <v>104</v>
      </c>
      <c r="AF2310" s="1" t="s">
        <v>104</v>
      </c>
      <c r="AG2310" s="1" t="s">
        <v>104</v>
      </c>
      <c r="AH2310" s="1" t="s">
        <v>104</v>
      </c>
      <c r="AI2310" s="1">
        <v>4</v>
      </c>
      <c r="AJ2310" s="1" t="s">
        <v>104</v>
      </c>
      <c r="AK2310" s="1" t="s">
        <v>104</v>
      </c>
      <c r="AL2310" s="1" t="s">
        <v>104</v>
      </c>
      <c r="AM2310" s="1" t="s">
        <v>104</v>
      </c>
      <c r="AO2310" s="1">
        <v>4</v>
      </c>
      <c r="AQ2310" s="1" t="s">
        <v>11865</v>
      </c>
      <c r="AR2310" s="1">
        <v>0</v>
      </c>
      <c r="AS2310" s="1">
        <v>1</v>
      </c>
      <c r="AT2310" s="1">
        <v>0</v>
      </c>
      <c r="AU2310" s="1">
        <v>0</v>
      </c>
      <c r="AV2310" s="1">
        <v>0</v>
      </c>
      <c r="AW2310" s="1">
        <v>0</v>
      </c>
      <c r="AX2310" s="1">
        <v>0</v>
      </c>
      <c r="AY2310" s="1">
        <v>0</v>
      </c>
      <c r="AZ2310" s="1">
        <v>0</v>
      </c>
      <c r="BA2310" s="1">
        <v>0</v>
      </c>
      <c r="BB2310" s="1">
        <v>0</v>
      </c>
      <c r="BC2310" s="1">
        <v>0</v>
      </c>
      <c r="BD2310" s="1">
        <v>0</v>
      </c>
      <c r="BE2310" s="1">
        <v>0</v>
      </c>
      <c r="BF2310" s="1">
        <v>0</v>
      </c>
      <c r="BG2310" s="1">
        <v>0</v>
      </c>
      <c r="BH2310" s="1">
        <v>0</v>
      </c>
      <c r="BI2310" s="1">
        <v>0</v>
      </c>
      <c r="BJ2310" s="1">
        <v>0</v>
      </c>
      <c r="BK2310" s="1">
        <v>0</v>
      </c>
      <c r="BL2310" s="1">
        <v>0</v>
      </c>
      <c r="BM2310" s="1">
        <v>0</v>
      </c>
      <c r="BN2310" s="1">
        <v>0</v>
      </c>
      <c r="BO2310" s="1">
        <v>0</v>
      </c>
      <c r="BP2310" s="1">
        <v>0</v>
      </c>
      <c r="BQ2310" s="1" t="s">
        <v>104</v>
      </c>
      <c r="BR2310" s="1">
        <v>2431</v>
      </c>
      <c r="BS2310" s="1" t="s">
        <v>104</v>
      </c>
      <c r="BX2310" s="1">
        <v>0</v>
      </c>
      <c r="BY2310" s="1" t="s">
        <v>104</v>
      </c>
      <c r="BZ2310" s="1">
        <v>4</v>
      </c>
      <c r="CA2310" s="1" t="s">
        <v>104</v>
      </c>
      <c r="CB2310" s="1" t="s">
        <v>104</v>
      </c>
      <c r="CC2310" s="1" t="s">
        <v>104</v>
      </c>
      <c r="CD2310" s="1" t="s">
        <v>104</v>
      </c>
      <c r="CE2310" s="1" t="s">
        <v>104</v>
      </c>
      <c r="CF2310" s="1" t="s">
        <v>104</v>
      </c>
      <c r="CG2310" s="1" t="s">
        <v>104</v>
      </c>
      <c r="CH2310" s="1">
        <v>3</v>
      </c>
      <c r="CJ2310" s="1">
        <v>0</v>
      </c>
      <c r="CK2310" s="1">
        <v>0</v>
      </c>
      <c r="CL2310" s="1">
        <v>0</v>
      </c>
      <c r="CM2310" s="1" t="s">
        <v>104</v>
      </c>
    </row>
    <row r="2311" spans="1:91" ht="14.25" customHeight="1" x14ac:dyDescent="0.3">
      <c r="A2311" s="1" t="s">
        <v>11866</v>
      </c>
      <c r="B2311" s="1" t="s">
        <v>123</v>
      </c>
      <c r="C2311" s="1" t="s">
        <v>124</v>
      </c>
      <c r="D2311" s="1" t="s">
        <v>125</v>
      </c>
      <c r="E2311" s="1" t="s">
        <v>11867</v>
      </c>
      <c r="F2311" s="1" t="s">
        <v>287</v>
      </c>
      <c r="G2311" s="1" t="s">
        <v>192</v>
      </c>
      <c r="H2311" s="1">
        <v>0</v>
      </c>
      <c r="I2311" s="1" t="s">
        <v>117</v>
      </c>
      <c r="L2311" s="1" t="s">
        <v>11868</v>
      </c>
      <c r="M2311" s="1" t="s">
        <v>11869</v>
      </c>
      <c r="N2311" s="1">
        <v>0</v>
      </c>
      <c r="O2311" s="1">
        <v>0</v>
      </c>
      <c r="P2311" s="1" t="s">
        <v>6053</v>
      </c>
      <c r="Q2311" s="1" t="s">
        <v>101</v>
      </c>
      <c r="R2311" s="1" t="s">
        <v>11870</v>
      </c>
      <c r="S2311" s="1" t="s">
        <v>11859</v>
      </c>
      <c r="T2311" s="1">
        <v>1</v>
      </c>
      <c r="U2311" s="1">
        <v>1</v>
      </c>
      <c r="V2311" s="1">
        <v>1</v>
      </c>
      <c r="W2311" s="1">
        <v>0</v>
      </c>
      <c r="X2311" s="1">
        <v>0</v>
      </c>
      <c r="Y2311" s="1" t="s">
        <v>104</v>
      </c>
      <c r="Z2311" s="1" t="s">
        <v>104</v>
      </c>
      <c r="AA2311" s="1" t="s">
        <v>104</v>
      </c>
      <c r="AB2311" s="1">
        <v>4</v>
      </c>
      <c r="AC2311" s="1">
        <v>3</v>
      </c>
      <c r="AD2311" s="1">
        <v>4</v>
      </c>
      <c r="AE2311" s="1" t="s">
        <v>104</v>
      </c>
      <c r="AF2311" s="1" t="s">
        <v>104</v>
      </c>
      <c r="AG2311" s="1" t="s">
        <v>104</v>
      </c>
      <c r="AH2311" s="1" t="s">
        <v>104</v>
      </c>
      <c r="AI2311" s="1" t="s">
        <v>104</v>
      </c>
      <c r="AJ2311" s="1" t="s">
        <v>104</v>
      </c>
      <c r="AK2311" s="1" t="s">
        <v>104</v>
      </c>
      <c r="AL2311" s="1" t="s">
        <v>104</v>
      </c>
      <c r="AM2311" s="1" t="s">
        <v>104</v>
      </c>
      <c r="AO2311" s="1">
        <v>4</v>
      </c>
      <c r="AQ2311" s="1" t="s">
        <v>11871</v>
      </c>
      <c r="AR2311" s="1">
        <v>0</v>
      </c>
      <c r="AS2311" s="1">
        <v>0</v>
      </c>
      <c r="AT2311" s="1">
        <v>0</v>
      </c>
      <c r="AU2311" s="1">
        <v>0</v>
      </c>
      <c r="AV2311" s="1">
        <v>0</v>
      </c>
      <c r="AW2311" s="1">
        <v>0</v>
      </c>
      <c r="AX2311" s="1">
        <v>0</v>
      </c>
      <c r="AY2311" s="1">
        <v>0</v>
      </c>
      <c r="AZ2311" s="1">
        <v>0</v>
      </c>
      <c r="BA2311" s="1">
        <v>0</v>
      </c>
      <c r="BB2311" s="1">
        <v>0</v>
      </c>
      <c r="BC2311" s="1">
        <v>0</v>
      </c>
      <c r="BD2311" s="1">
        <v>0</v>
      </c>
      <c r="BE2311" s="1">
        <v>0</v>
      </c>
      <c r="BF2311" s="1">
        <v>0</v>
      </c>
      <c r="BG2311" s="1">
        <v>0</v>
      </c>
      <c r="BH2311" s="1">
        <v>0</v>
      </c>
      <c r="BI2311" s="1">
        <v>0</v>
      </c>
      <c r="BJ2311" s="1">
        <v>0</v>
      </c>
      <c r="BK2311" s="1">
        <v>1</v>
      </c>
      <c r="BL2311" s="1">
        <v>0</v>
      </c>
      <c r="BM2311" s="1">
        <v>0</v>
      </c>
      <c r="BN2311" s="1">
        <v>0</v>
      </c>
      <c r="BO2311" s="1">
        <v>0</v>
      </c>
      <c r="BP2311" s="1">
        <v>0</v>
      </c>
      <c r="BQ2311" s="1" t="s">
        <v>104</v>
      </c>
      <c r="BR2311" s="1">
        <v>2432</v>
      </c>
      <c r="BS2311" s="1" t="s">
        <v>104</v>
      </c>
      <c r="BX2311" s="1">
        <v>0</v>
      </c>
      <c r="BY2311" s="1" t="s">
        <v>104</v>
      </c>
      <c r="BZ2311" s="1">
        <v>4</v>
      </c>
      <c r="CA2311" s="1" t="s">
        <v>104</v>
      </c>
      <c r="CB2311" s="1" t="s">
        <v>104</v>
      </c>
      <c r="CC2311" s="1" t="s">
        <v>104</v>
      </c>
      <c r="CD2311" s="1" t="s">
        <v>104</v>
      </c>
      <c r="CE2311" s="1" t="s">
        <v>104</v>
      </c>
      <c r="CF2311" s="1" t="s">
        <v>104</v>
      </c>
      <c r="CG2311" s="1" t="s">
        <v>104</v>
      </c>
      <c r="CH2311" s="1">
        <v>3</v>
      </c>
      <c r="CJ2311" s="1">
        <v>0</v>
      </c>
      <c r="CK2311" s="1">
        <v>0</v>
      </c>
      <c r="CL2311" s="1">
        <v>0</v>
      </c>
      <c r="CM2311" s="1" t="s">
        <v>104</v>
      </c>
    </row>
    <row r="2312" spans="1:91" ht="14.25" customHeight="1" x14ac:dyDescent="0.3">
      <c r="A2312" s="1" t="s">
        <v>11872</v>
      </c>
      <c r="B2312" s="1" t="s">
        <v>123</v>
      </c>
      <c r="C2312" s="1" t="s">
        <v>124</v>
      </c>
      <c r="D2312" s="1" t="s">
        <v>125</v>
      </c>
      <c r="E2312" s="1" t="s">
        <v>11873</v>
      </c>
      <c r="F2312" s="1" t="s">
        <v>95</v>
      </c>
      <c r="G2312" s="1" t="s">
        <v>116</v>
      </c>
      <c r="H2312" s="1">
        <v>0</v>
      </c>
      <c r="I2312" s="1" t="s">
        <v>11874</v>
      </c>
      <c r="L2312" s="1" t="s">
        <v>1065</v>
      </c>
      <c r="M2312" s="1" t="s">
        <v>111</v>
      </c>
      <c r="N2312" s="1">
        <v>0</v>
      </c>
      <c r="O2312" s="1">
        <v>0</v>
      </c>
      <c r="P2312" s="1" t="s">
        <v>1902</v>
      </c>
      <c r="Q2312" s="1" t="s">
        <v>184</v>
      </c>
      <c r="R2312" s="1" t="s">
        <v>11875</v>
      </c>
      <c r="S2312" s="1" t="s">
        <v>11859</v>
      </c>
      <c r="T2312" s="1">
        <v>1</v>
      </c>
      <c r="U2312" s="1">
        <v>1</v>
      </c>
      <c r="V2312" s="1">
        <v>0</v>
      </c>
      <c r="W2312" s="1">
        <v>0</v>
      </c>
      <c r="X2312" s="1">
        <v>0</v>
      </c>
      <c r="Y2312" s="1">
        <v>1</v>
      </c>
      <c r="Z2312" s="1">
        <v>1</v>
      </c>
      <c r="AA2312" s="1" t="s">
        <v>104</v>
      </c>
      <c r="AB2312" s="1" t="s">
        <v>104</v>
      </c>
      <c r="AC2312" s="1" t="s">
        <v>104</v>
      </c>
      <c r="AD2312" s="1">
        <v>1</v>
      </c>
      <c r="AE2312" s="1" t="s">
        <v>104</v>
      </c>
      <c r="AF2312" s="1" t="s">
        <v>104</v>
      </c>
      <c r="AG2312" s="1" t="s">
        <v>104</v>
      </c>
      <c r="AH2312" s="1">
        <v>1</v>
      </c>
      <c r="AI2312" s="1" t="s">
        <v>104</v>
      </c>
      <c r="AJ2312" s="1" t="s">
        <v>104</v>
      </c>
      <c r="AK2312" s="1" t="s">
        <v>104</v>
      </c>
      <c r="AL2312" s="1" t="s">
        <v>104</v>
      </c>
      <c r="AM2312" s="1" t="s">
        <v>104</v>
      </c>
      <c r="AO2312" s="1">
        <v>1</v>
      </c>
      <c r="AQ2312" s="1" t="s">
        <v>11876</v>
      </c>
      <c r="AR2312" s="1">
        <v>0</v>
      </c>
      <c r="AS2312" s="1">
        <v>0</v>
      </c>
      <c r="AT2312" s="1">
        <v>0</v>
      </c>
      <c r="AU2312" s="1">
        <v>0</v>
      </c>
      <c r="AV2312" s="1">
        <v>0</v>
      </c>
      <c r="AW2312" s="1">
        <v>0</v>
      </c>
      <c r="AX2312" s="1">
        <v>0</v>
      </c>
      <c r="AY2312" s="1">
        <v>0</v>
      </c>
      <c r="AZ2312" s="1">
        <v>0</v>
      </c>
      <c r="BA2312" s="1">
        <v>0</v>
      </c>
      <c r="BB2312" s="1">
        <v>0</v>
      </c>
      <c r="BC2312" s="1">
        <v>0</v>
      </c>
      <c r="BD2312" s="1">
        <v>0</v>
      </c>
      <c r="BE2312" s="1">
        <v>0</v>
      </c>
      <c r="BF2312" s="1">
        <v>0</v>
      </c>
      <c r="BG2312" s="1">
        <v>0</v>
      </c>
      <c r="BH2312" s="1">
        <v>0</v>
      </c>
      <c r="BI2312" s="1">
        <v>0</v>
      </c>
      <c r="BJ2312" s="1">
        <v>0</v>
      </c>
      <c r="BK2312" s="1">
        <v>1</v>
      </c>
      <c r="BL2312" s="1">
        <v>0</v>
      </c>
      <c r="BM2312" s="1">
        <v>0</v>
      </c>
      <c r="BN2312" s="1">
        <v>0</v>
      </c>
      <c r="BO2312" s="1">
        <v>0</v>
      </c>
      <c r="BP2312" s="1">
        <v>0</v>
      </c>
      <c r="BQ2312" s="1" t="s">
        <v>104</v>
      </c>
      <c r="BR2312" s="1">
        <v>2433</v>
      </c>
      <c r="BS2312" s="1" t="s">
        <v>104</v>
      </c>
      <c r="BX2312" s="1">
        <v>0</v>
      </c>
      <c r="BY2312" s="1" t="s">
        <v>104</v>
      </c>
      <c r="BZ2312" s="1" t="s">
        <v>104</v>
      </c>
      <c r="CA2312" s="1">
        <v>1</v>
      </c>
      <c r="CB2312" s="1" t="s">
        <v>104</v>
      </c>
      <c r="CC2312" s="1">
        <v>1</v>
      </c>
      <c r="CD2312" s="1" t="s">
        <v>104</v>
      </c>
      <c r="CE2312" s="1" t="s">
        <v>104</v>
      </c>
      <c r="CF2312" s="1" t="s">
        <v>104</v>
      </c>
      <c r="CG2312" s="1" t="s">
        <v>104</v>
      </c>
      <c r="CH2312" s="1" t="s">
        <v>104</v>
      </c>
      <c r="CJ2312" s="1">
        <v>0</v>
      </c>
      <c r="CK2312" s="1">
        <v>0</v>
      </c>
      <c r="CL2312" s="1">
        <v>0</v>
      </c>
      <c r="CM2312" s="1" t="s">
        <v>104</v>
      </c>
    </row>
    <row r="2313" spans="1:91" ht="14.25" customHeight="1" x14ac:dyDescent="0.3">
      <c r="A2313" s="1" t="s">
        <v>11877</v>
      </c>
      <c r="B2313" s="1" t="s">
        <v>507</v>
      </c>
      <c r="C2313" s="1" t="s">
        <v>1308</v>
      </c>
      <c r="D2313" s="1" t="s">
        <v>125</v>
      </c>
      <c r="E2313" s="1" t="s">
        <v>11878</v>
      </c>
      <c r="F2313" s="1" t="s">
        <v>95</v>
      </c>
      <c r="G2313" s="1" t="s">
        <v>1802</v>
      </c>
      <c r="H2313" s="1">
        <v>0</v>
      </c>
      <c r="I2313" s="1" t="s">
        <v>97</v>
      </c>
      <c r="L2313" s="1" t="s">
        <v>541</v>
      </c>
      <c r="M2313" s="1" t="s">
        <v>210</v>
      </c>
      <c r="N2313" s="1">
        <v>0</v>
      </c>
      <c r="O2313" s="1">
        <v>0</v>
      </c>
      <c r="P2313" s="1" t="s">
        <v>1771</v>
      </c>
      <c r="Q2313" s="1" t="s">
        <v>184</v>
      </c>
      <c r="R2313" s="1" t="s">
        <v>11879</v>
      </c>
      <c r="S2313" s="1" t="s">
        <v>11859</v>
      </c>
      <c r="T2313" s="1">
        <v>0</v>
      </c>
      <c r="U2313" s="1">
        <v>1</v>
      </c>
      <c r="V2313" s="1">
        <v>0</v>
      </c>
      <c r="W2313" s="1">
        <v>0</v>
      </c>
      <c r="X2313" s="1">
        <v>0</v>
      </c>
      <c r="Y2313" s="1">
        <v>1</v>
      </c>
      <c r="Z2313" s="1">
        <v>1</v>
      </c>
      <c r="AA2313" s="1" t="s">
        <v>104</v>
      </c>
      <c r="AB2313" s="1" t="s">
        <v>104</v>
      </c>
      <c r="AC2313" s="1" t="s">
        <v>104</v>
      </c>
      <c r="AD2313" s="1">
        <v>1</v>
      </c>
      <c r="AE2313" s="1" t="s">
        <v>104</v>
      </c>
      <c r="AF2313" s="1" t="s">
        <v>104</v>
      </c>
      <c r="AG2313" s="1" t="s">
        <v>104</v>
      </c>
      <c r="AH2313" s="1" t="s">
        <v>104</v>
      </c>
      <c r="AI2313" s="1" t="s">
        <v>104</v>
      </c>
      <c r="AJ2313" s="1" t="s">
        <v>104</v>
      </c>
      <c r="AK2313" s="1" t="s">
        <v>104</v>
      </c>
      <c r="AL2313" s="1">
        <v>1</v>
      </c>
      <c r="AM2313" s="1" t="s">
        <v>104</v>
      </c>
      <c r="AO2313" s="1">
        <v>1</v>
      </c>
      <c r="AQ2313" s="1" t="s">
        <v>11880</v>
      </c>
      <c r="AR2313" s="1">
        <v>0</v>
      </c>
      <c r="AS2313" s="1">
        <v>0</v>
      </c>
      <c r="AT2313" s="1">
        <v>0</v>
      </c>
      <c r="AU2313" s="1">
        <v>0</v>
      </c>
      <c r="AV2313" s="1">
        <v>0</v>
      </c>
      <c r="AW2313" s="1">
        <v>0</v>
      </c>
      <c r="AX2313" s="1">
        <v>0</v>
      </c>
      <c r="AY2313" s="1">
        <v>0</v>
      </c>
      <c r="AZ2313" s="1">
        <v>0</v>
      </c>
      <c r="BA2313" s="1">
        <v>0</v>
      </c>
      <c r="BB2313" s="1">
        <v>0</v>
      </c>
      <c r="BC2313" s="1">
        <v>0</v>
      </c>
      <c r="BD2313" s="1">
        <v>0</v>
      </c>
      <c r="BE2313" s="1">
        <v>0</v>
      </c>
      <c r="BF2313" s="1">
        <v>0</v>
      </c>
      <c r="BG2313" s="1">
        <v>0</v>
      </c>
      <c r="BH2313" s="1">
        <v>0</v>
      </c>
      <c r="BI2313" s="1">
        <v>0</v>
      </c>
      <c r="BJ2313" s="1">
        <v>0</v>
      </c>
      <c r="BK2313" s="1">
        <v>1</v>
      </c>
      <c r="BL2313" s="1">
        <v>0</v>
      </c>
      <c r="BM2313" s="1">
        <v>0</v>
      </c>
      <c r="BN2313" s="1">
        <v>0</v>
      </c>
      <c r="BO2313" s="1">
        <v>0</v>
      </c>
      <c r="BP2313" s="1">
        <v>0</v>
      </c>
      <c r="BQ2313" s="1" t="s">
        <v>104</v>
      </c>
      <c r="BR2313" s="1">
        <v>2434</v>
      </c>
      <c r="BS2313" s="1" t="s">
        <v>104</v>
      </c>
      <c r="BX2313" s="1">
        <v>0</v>
      </c>
      <c r="BY2313" s="1" t="s">
        <v>104</v>
      </c>
      <c r="BZ2313" s="1" t="s">
        <v>104</v>
      </c>
      <c r="CA2313" s="1">
        <v>1</v>
      </c>
      <c r="CB2313" s="1">
        <v>1</v>
      </c>
      <c r="CC2313" s="1">
        <v>1</v>
      </c>
      <c r="CD2313" s="1">
        <v>1</v>
      </c>
      <c r="CE2313" s="1" t="s">
        <v>104</v>
      </c>
      <c r="CF2313" s="1" t="s">
        <v>104</v>
      </c>
      <c r="CG2313" s="1" t="s">
        <v>104</v>
      </c>
      <c r="CH2313" s="1" t="s">
        <v>104</v>
      </c>
      <c r="CJ2313" s="1">
        <v>0</v>
      </c>
      <c r="CK2313" s="1">
        <v>0</v>
      </c>
      <c r="CL2313" s="1">
        <v>0</v>
      </c>
      <c r="CM2313" s="1" t="s">
        <v>104</v>
      </c>
    </row>
    <row r="2314" spans="1:91" ht="14.25" customHeight="1" x14ac:dyDescent="0.3">
      <c r="A2314" s="1" t="s">
        <v>11881</v>
      </c>
      <c r="B2314" s="1" t="s">
        <v>507</v>
      </c>
      <c r="C2314" s="1" t="s">
        <v>1308</v>
      </c>
      <c r="D2314" s="1" t="s">
        <v>125</v>
      </c>
      <c r="E2314" s="1" t="s">
        <v>11882</v>
      </c>
      <c r="F2314" s="1" t="s">
        <v>95</v>
      </c>
      <c r="G2314" s="1" t="s">
        <v>1802</v>
      </c>
      <c r="H2314" s="1">
        <v>0</v>
      </c>
      <c r="I2314" s="1" t="s">
        <v>97</v>
      </c>
      <c r="L2314" s="1" t="s">
        <v>541</v>
      </c>
      <c r="M2314" s="1" t="s">
        <v>11883</v>
      </c>
      <c r="N2314" s="1">
        <v>1</v>
      </c>
      <c r="O2314" s="1">
        <v>0</v>
      </c>
      <c r="P2314" s="1" t="s">
        <v>1771</v>
      </c>
      <c r="Q2314" s="1" t="s">
        <v>184</v>
      </c>
      <c r="R2314" s="1" t="s">
        <v>11884</v>
      </c>
      <c r="S2314" s="1" t="s">
        <v>11859</v>
      </c>
      <c r="T2314" s="1">
        <v>0</v>
      </c>
      <c r="U2314" s="1">
        <v>1</v>
      </c>
      <c r="V2314" s="1">
        <v>0</v>
      </c>
      <c r="W2314" s="1">
        <v>0</v>
      </c>
      <c r="X2314" s="1">
        <v>0</v>
      </c>
      <c r="Y2314" s="1">
        <v>3</v>
      </c>
      <c r="Z2314" s="1">
        <v>3</v>
      </c>
      <c r="AA2314" s="1" t="s">
        <v>104</v>
      </c>
      <c r="AB2314" s="1" t="s">
        <v>104</v>
      </c>
      <c r="AC2314" s="1" t="s">
        <v>104</v>
      </c>
      <c r="AD2314" s="1">
        <v>3</v>
      </c>
      <c r="AE2314" s="1" t="s">
        <v>104</v>
      </c>
      <c r="AF2314" s="1" t="s">
        <v>104</v>
      </c>
      <c r="AG2314" s="1" t="s">
        <v>104</v>
      </c>
      <c r="AH2314" s="1" t="s">
        <v>104</v>
      </c>
      <c r="AI2314" s="1" t="s">
        <v>104</v>
      </c>
      <c r="AJ2314" s="1" t="s">
        <v>104</v>
      </c>
      <c r="AK2314" s="1" t="s">
        <v>104</v>
      </c>
      <c r="AL2314" s="1">
        <v>3</v>
      </c>
      <c r="AM2314" s="1" t="s">
        <v>104</v>
      </c>
      <c r="AO2314" s="1">
        <v>3</v>
      </c>
      <c r="AQ2314" s="1" t="s">
        <v>11885</v>
      </c>
      <c r="AR2314" s="1">
        <v>0</v>
      </c>
      <c r="AS2314" s="1">
        <v>0</v>
      </c>
      <c r="AT2314" s="1">
        <v>0</v>
      </c>
      <c r="AU2314" s="1">
        <v>0</v>
      </c>
      <c r="AV2314" s="1">
        <v>0</v>
      </c>
      <c r="AW2314" s="1">
        <v>0</v>
      </c>
      <c r="AX2314" s="1">
        <v>0</v>
      </c>
      <c r="AY2314" s="1">
        <v>0</v>
      </c>
      <c r="AZ2314" s="1">
        <v>0</v>
      </c>
      <c r="BA2314" s="1">
        <v>0</v>
      </c>
      <c r="BB2314" s="1">
        <v>0</v>
      </c>
      <c r="BC2314" s="1">
        <v>0</v>
      </c>
      <c r="BD2314" s="1">
        <v>0</v>
      </c>
      <c r="BE2314" s="1">
        <v>0</v>
      </c>
      <c r="BF2314" s="1">
        <v>0</v>
      </c>
      <c r="BG2314" s="1">
        <v>0</v>
      </c>
      <c r="BH2314" s="1">
        <v>0</v>
      </c>
      <c r="BI2314" s="1">
        <v>0</v>
      </c>
      <c r="BJ2314" s="1">
        <v>0</v>
      </c>
      <c r="BK2314" s="1">
        <v>1</v>
      </c>
      <c r="BL2314" s="1">
        <v>0</v>
      </c>
      <c r="BM2314" s="1">
        <v>0</v>
      </c>
      <c r="BN2314" s="1">
        <v>0</v>
      </c>
      <c r="BO2314" s="1">
        <v>0</v>
      </c>
      <c r="BP2314" s="1">
        <v>0</v>
      </c>
      <c r="BQ2314" s="1" t="s">
        <v>104</v>
      </c>
      <c r="BR2314" s="1">
        <v>2435</v>
      </c>
      <c r="BS2314" s="1" t="s">
        <v>104</v>
      </c>
      <c r="BX2314" s="1">
        <v>0</v>
      </c>
      <c r="BY2314" s="1" t="s">
        <v>104</v>
      </c>
      <c r="BZ2314" s="1" t="s">
        <v>104</v>
      </c>
      <c r="CA2314" s="1">
        <v>3</v>
      </c>
      <c r="CB2314" s="1">
        <v>2</v>
      </c>
      <c r="CC2314" s="1">
        <v>3</v>
      </c>
      <c r="CD2314" s="1">
        <v>3</v>
      </c>
      <c r="CE2314" s="1" t="s">
        <v>104</v>
      </c>
      <c r="CF2314" s="1" t="s">
        <v>104</v>
      </c>
      <c r="CG2314" s="1" t="s">
        <v>104</v>
      </c>
      <c r="CH2314" s="1" t="s">
        <v>104</v>
      </c>
      <c r="CJ2314" s="1">
        <v>0</v>
      </c>
      <c r="CK2314" s="1">
        <v>0</v>
      </c>
      <c r="CL2314" s="1">
        <v>0</v>
      </c>
      <c r="CM2314" s="1" t="s">
        <v>104</v>
      </c>
    </row>
    <row r="2315" spans="1:91" ht="14.25" customHeight="1" x14ac:dyDescent="0.3">
      <c r="A2315" s="1" t="s">
        <v>11886</v>
      </c>
      <c r="B2315" s="1" t="s">
        <v>123</v>
      </c>
      <c r="C2315" s="1" t="s">
        <v>124</v>
      </c>
      <c r="D2315" s="1" t="s">
        <v>125</v>
      </c>
      <c r="E2315" s="1" t="s">
        <v>11887</v>
      </c>
      <c r="F2315" s="1" t="s">
        <v>95</v>
      </c>
      <c r="G2315" s="1" t="s">
        <v>11888</v>
      </c>
      <c r="H2315" s="1">
        <v>0</v>
      </c>
      <c r="I2315" s="1" t="s">
        <v>914</v>
      </c>
      <c r="L2315" s="1" t="s">
        <v>11889</v>
      </c>
      <c r="M2315" s="1" t="s">
        <v>11890</v>
      </c>
      <c r="N2315" s="1">
        <v>1</v>
      </c>
      <c r="O2315" s="1">
        <v>0</v>
      </c>
      <c r="P2315" s="1" t="s">
        <v>211</v>
      </c>
      <c r="Q2315" s="1" t="s">
        <v>184</v>
      </c>
      <c r="R2315" s="1" t="s">
        <v>11891</v>
      </c>
      <c r="S2315" s="1" t="s">
        <v>11859</v>
      </c>
      <c r="T2315" s="1">
        <v>1</v>
      </c>
      <c r="U2315" s="1">
        <v>1</v>
      </c>
      <c r="V2315" s="1">
        <v>1</v>
      </c>
      <c r="W2315" s="1">
        <v>0</v>
      </c>
      <c r="X2315" s="1">
        <v>0</v>
      </c>
      <c r="Y2315" s="1">
        <v>4</v>
      </c>
      <c r="Z2315" s="1">
        <v>4</v>
      </c>
      <c r="AA2315" s="1" t="s">
        <v>104</v>
      </c>
      <c r="AB2315" s="1" t="s">
        <v>104</v>
      </c>
      <c r="AC2315" s="1" t="s">
        <v>104</v>
      </c>
      <c r="AD2315" s="1">
        <v>3</v>
      </c>
      <c r="AE2315" s="1" t="s">
        <v>104</v>
      </c>
      <c r="AF2315" s="1" t="s">
        <v>104</v>
      </c>
      <c r="AG2315" s="1" t="s">
        <v>104</v>
      </c>
      <c r="AH2315" s="1" t="s">
        <v>104</v>
      </c>
      <c r="AI2315" s="1" t="s">
        <v>104</v>
      </c>
      <c r="AJ2315" s="1" t="s">
        <v>104</v>
      </c>
      <c r="AK2315" s="1" t="s">
        <v>104</v>
      </c>
      <c r="AL2315" s="1" t="s">
        <v>104</v>
      </c>
      <c r="AM2315" s="1" t="s">
        <v>104</v>
      </c>
      <c r="AO2315" s="1">
        <v>4</v>
      </c>
      <c r="AQ2315" s="1" t="s">
        <v>11892</v>
      </c>
      <c r="AR2315" s="1">
        <v>0</v>
      </c>
      <c r="AS2315" s="1">
        <v>0</v>
      </c>
      <c r="AT2315" s="1">
        <v>0</v>
      </c>
      <c r="AU2315" s="1">
        <v>0</v>
      </c>
      <c r="AV2315" s="1">
        <v>0</v>
      </c>
      <c r="AW2315" s="1">
        <v>0</v>
      </c>
      <c r="AX2315" s="1">
        <v>0</v>
      </c>
      <c r="AY2315" s="1">
        <v>0</v>
      </c>
      <c r="AZ2315" s="1">
        <v>0</v>
      </c>
      <c r="BA2315" s="1">
        <v>0</v>
      </c>
      <c r="BB2315" s="1">
        <v>0</v>
      </c>
      <c r="BC2315" s="1">
        <v>0</v>
      </c>
      <c r="BD2315" s="1">
        <v>0</v>
      </c>
      <c r="BE2315" s="1">
        <v>0</v>
      </c>
      <c r="BF2315" s="1">
        <v>0</v>
      </c>
      <c r="BG2315" s="1">
        <v>0</v>
      </c>
      <c r="BH2315" s="1">
        <v>0</v>
      </c>
      <c r="BI2315" s="1">
        <v>0</v>
      </c>
      <c r="BJ2315" s="1">
        <v>0</v>
      </c>
      <c r="BK2315" s="1">
        <v>1</v>
      </c>
      <c r="BL2315" s="1">
        <v>0</v>
      </c>
      <c r="BM2315" s="1">
        <v>0</v>
      </c>
      <c r="BN2315" s="1">
        <v>0</v>
      </c>
      <c r="BO2315" s="1">
        <v>0</v>
      </c>
      <c r="BP2315" s="1">
        <v>0</v>
      </c>
      <c r="BQ2315" s="1" t="s">
        <v>104</v>
      </c>
      <c r="BR2315" s="1">
        <v>2436</v>
      </c>
      <c r="BS2315" s="1" t="s">
        <v>104</v>
      </c>
      <c r="BX2315" s="1">
        <v>0</v>
      </c>
      <c r="BY2315" s="1" t="s">
        <v>104</v>
      </c>
      <c r="BZ2315" s="1" t="s">
        <v>104</v>
      </c>
      <c r="CA2315" s="1">
        <v>3</v>
      </c>
      <c r="CB2315" s="1">
        <v>2</v>
      </c>
      <c r="CC2315" s="1">
        <v>3</v>
      </c>
      <c r="CD2315" s="1" t="s">
        <v>104</v>
      </c>
      <c r="CE2315" s="1" t="s">
        <v>104</v>
      </c>
      <c r="CF2315" s="1" t="s">
        <v>104</v>
      </c>
      <c r="CG2315" s="1" t="s">
        <v>104</v>
      </c>
      <c r="CH2315" s="1" t="s">
        <v>104</v>
      </c>
      <c r="CJ2315" s="1">
        <v>0</v>
      </c>
      <c r="CK2315" s="1">
        <v>0</v>
      </c>
      <c r="CL2315" s="1">
        <v>0</v>
      </c>
      <c r="CM2315" s="1" t="s">
        <v>104</v>
      </c>
    </row>
    <row r="2316" spans="1:91" ht="14.25" customHeight="1" x14ac:dyDescent="0.3">
      <c r="A2316" s="1" t="s">
        <v>11893</v>
      </c>
      <c r="B2316" s="1" t="s">
        <v>92</v>
      </c>
      <c r="C2316" s="1" t="s">
        <v>93</v>
      </c>
      <c r="E2316" s="1" t="s">
        <v>11894</v>
      </c>
      <c r="F2316" s="1" t="s">
        <v>287</v>
      </c>
      <c r="G2316" s="1" t="s">
        <v>11895</v>
      </c>
      <c r="H2316" s="1">
        <v>0</v>
      </c>
      <c r="I2316" s="1" t="s">
        <v>117</v>
      </c>
      <c r="K2316" s="1" t="s">
        <v>11896</v>
      </c>
      <c r="M2316" s="1" t="s">
        <v>11897</v>
      </c>
      <c r="N2316" s="1">
        <v>0</v>
      </c>
      <c r="O2316" s="1">
        <v>0</v>
      </c>
      <c r="P2316" s="1" t="s">
        <v>100</v>
      </c>
      <c r="Q2316" s="1" t="s">
        <v>101</v>
      </c>
      <c r="R2316" s="1" t="s">
        <v>11898</v>
      </c>
      <c r="S2316" s="1" t="s">
        <v>11859</v>
      </c>
      <c r="T2316" s="1">
        <v>1</v>
      </c>
      <c r="U2316" s="1">
        <v>1</v>
      </c>
      <c r="V2316" s="1">
        <v>1</v>
      </c>
      <c r="W2316" s="1">
        <v>0</v>
      </c>
      <c r="X2316" s="1">
        <v>0</v>
      </c>
      <c r="Y2316" s="1" t="s">
        <v>104</v>
      </c>
      <c r="Z2316" s="1" t="s">
        <v>104</v>
      </c>
      <c r="AA2316" s="1">
        <v>4</v>
      </c>
      <c r="AB2316" s="1">
        <v>4</v>
      </c>
      <c r="AC2316" s="1" t="s">
        <v>104</v>
      </c>
      <c r="AD2316" s="1">
        <v>4</v>
      </c>
      <c r="AE2316" s="1" t="s">
        <v>104</v>
      </c>
      <c r="AF2316" s="1" t="s">
        <v>104</v>
      </c>
      <c r="AG2316" s="1" t="s">
        <v>104</v>
      </c>
      <c r="AH2316" s="1" t="s">
        <v>104</v>
      </c>
      <c r="AI2316" s="1" t="s">
        <v>104</v>
      </c>
      <c r="AJ2316" s="1">
        <v>4</v>
      </c>
      <c r="AK2316" s="1" t="s">
        <v>104</v>
      </c>
      <c r="AL2316" s="1" t="s">
        <v>104</v>
      </c>
      <c r="AM2316" s="1" t="s">
        <v>104</v>
      </c>
      <c r="AO2316" s="1">
        <v>4</v>
      </c>
      <c r="AQ2316" s="1" t="s">
        <v>11899</v>
      </c>
      <c r="AR2316" s="1">
        <v>0</v>
      </c>
      <c r="AS2316" s="1">
        <v>0</v>
      </c>
      <c r="AT2316" s="1">
        <v>0</v>
      </c>
      <c r="AU2316" s="1">
        <v>0</v>
      </c>
      <c r="AV2316" s="1">
        <v>0</v>
      </c>
      <c r="AW2316" s="1">
        <v>0</v>
      </c>
      <c r="AX2316" s="1">
        <v>0</v>
      </c>
      <c r="AY2316" s="1">
        <v>0</v>
      </c>
      <c r="AZ2316" s="1">
        <v>0</v>
      </c>
      <c r="BA2316" s="1">
        <v>0</v>
      </c>
      <c r="BB2316" s="1">
        <v>0</v>
      </c>
      <c r="BC2316" s="1">
        <v>0</v>
      </c>
      <c r="BD2316" s="1">
        <v>0</v>
      </c>
      <c r="BE2316" s="1">
        <v>0</v>
      </c>
      <c r="BF2316" s="1">
        <v>0</v>
      </c>
      <c r="BG2316" s="1">
        <v>0</v>
      </c>
      <c r="BH2316" s="1">
        <v>0</v>
      </c>
      <c r="BI2316" s="1">
        <v>0</v>
      </c>
      <c r="BJ2316" s="1">
        <v>0</v>
      </c>
      <c r="BK2316" s="1">
        <v>0</v>
      </c>
      <c r="BL2316" s="1">
        <v>0</v>
      </c>
      <c r="BM2316" s="1">
        <v>0</v>
      </c>
      <c r="BN2316" s="1">
        <v>0</v>
      </c>
      <c r="BO2316" s="1">
        <v>0</v>
      </c>
      <c r="BP2316" s="1">
        <v>0</v>
      </c>
      <c r="BQ2316" s="1" t="s">
        <v>104</v>
      </c>
      <c r="BR2316" s="1">
        <v>2437</v>
      </c>
      <c r="BS2316" s="1" t="s">
        <v>104</v>
      </c>
      <c r="BX2316" s="1">
        <v>0</v>
      </c>
      <c r="BY2316" s="1" t="s">
        <v>104</v>
      </c>
      <c r="BZ2316" s="1">
        <v>4</v>
      </c>
      <c r="CA2316" s="1" t="s">
        <v>104</v>
      </c>
      <c r="CB2316" s="1" t="s">
        <v>104</v>
      </c>
      <c r="CC2316" s="1" t="s">
        <v>104</v>
      </c>
      <c r="CD2316" s="1" t="s">
        <v>104</v>
      </c>
      <c r="CE2316" s="1" t="s">
        <v>104</v>
      </c>
      <c r="CF2316" s="1" t="s">
        <v>104</v>
      </c>
      <c r="CG2316" s="1" t="s">
        <v>104</v>
      </c>
      <c r="CH2316" s="1">
        <v>4</v>
      </c>
      <c r="CJ2316" s="1">
        <v>0</v>
      </c>
      <c r="CK2316" s="1">
        <v>0</v>
      </c>
      <c r="CL2316" s="1">
        <v>0</v>
      </c>
      <c r="CM2316" s="1" t="s">
        <v>104</v>
      </c>
    </row>
    <row r="2317" spans="1:91" ht="14.25" customHeight="1" x14ac:dyDescent="0.3">
      <c r="A2317" s="1" t="s">
        <v>11900</v>
      </c>
      <c r="B2317" s="1" t="s">
        <v>137</v>
      </c>
      <c r="E2317" s="1" t="s">
        <v>11901</v>
      </c>
      <c r="F2317" s="1" t="s">
        <v>255</v>
      </c>
      <c r="G2317" s="1" t="s">
        <v>11902</v>
      </c>
      <c r="H2317" s="1">
        <v>1</v>
      </c>
      <c r="I2317" s="1" t="s">
        <v>914</v>
      </c>
      <c r="L2317" s="1" t="s">
        <v>11903</v>
      </c>
      <c r="M2317" s="1" t="s">
        <v>119</v>
      </c>
      <c r="N2317" s="1">
        <v>0</v>
      </c>
      <c r="O2317" s="1">
        <v>0</v>
      </c>
      <c r="P2317" s="1" t="s">
        <v>100</v>
      </c>
      <c r="Q2317" s="1" t="s">
        <v>472</v>
      </c>
      <c r="R2317" s="1" t="s">
        <v>11904</v>
      </c>
      <c r="S2317" s="1" t="s">
        <v>11859</v>
      </c>
      <c r="T2317" s="1">
        <v>1</v>
      </c>
      <c r="U2317" s="1">
        <v>1</v>
      </c>
      <c r="V2317" s="1">
        <v>1</v>
      </c>
      <c r="W2317" s="1">
        <v>0</v>
      </c>
      <c r="X2317" s="1">
        <v>0</v>
      </c>
      <c r="Y2317" s="1">
        <v>6</v>
      </c>
      <c r="Z2317" s="1">
        <v>6</v>
      </c>
      <c r="AA2317" s="1" t="s">
        <v>104</v>
      </c>
      <c r="AB2317" s="1" t="s">
        <v>104</v>
      </c>
      <c r="AC2317" s="1" t="s">
        <v>104</v>
      </c>
      <c r="AD2317" s="1" t="s">
        <v>104</v>
      </c>
      <c r="AE2317" s="1" t="s">
        <v>104</v>
      </c>
      <c r="AF2317" s="1" t="s">
        <v>104</v>
      </c>
      <c r="AG2317" s="1" t="s">
        <v>104</v>
      </c>
      <c r="AH2317" s="1" t="s">
        <v>104</v>
      </c>
      <c r="AI2317" s="1" t="s">
        <v>104</v>
      </c>
      <c r="AJ2317" s="1" t="s">
        <v>104</v>
      </c>
      <c r="AK2317" s="1" t="s">
        <v>104</v>
      </c>
      <c r="AL2317" s="1" t="s">
        <v>104</v>
      </c>
      <c r="AM2317" s="1" t="s">
        <v>104</v>
      </c>
      <c r="AO2317" s="1">
        <v>6</v>
      </c>
      <c r="AQ2317" s="1" t="s">
        <v>11905</v>
      </c>
      <c r="AR2317" s="1">
        <v>0</v>
      </c>
      <c r="AS2317" s="1">
        <v>0</v>
      </c>
      <c r="AT2317" s="1">
        <v>0</v>
      </c>
      <c r="AU2317" s="1">
        <v>0</v>
      </c>
      <c r="AV2317" s="1">
        <v>0</v>
      </c>
      <c r="AW2317" s="1">
        <v>0</v>
      </c>
      <c r="AX2317" s="1">
        <v>0</v>
      </c>
      <c r="AY2317" s="1">
        <v>0</v>
      </c>
      <c r="AZ2317" s="1">
        <v>0</v>
      </c>
      <c r="BA2317" s="1">
        <v>0</v>
      </c>
      <c r="BB2317" s="1">
        <v>0</v>
      </c>
      <c r="BC2317" s="1">
        <v>0</v>
      </c>
      <c r="BD2317" s="1">
        <v>0</v>
      </c>
      <c r="BE2317" s="1">
        <v>0</v>
      </c>
      <c r="BF2317" s="1">
        <v>0</v>
      </c>
      <c r="BG2317" s="1">
        <v>0</v>
      </c>
      <c r="BH2317" s="1">
        <v>0</v>
      </c>
      <c r="BI2317" s="1">
        <v>0</v>
      </c>
      <c r="BJ2317" s="1">
        <v>0</v>
      </c>
      <c r="BK2317" s="1">
        <v>0</v>
      </c>
      <c r="BL2317" s="1">
        <v>0</v>
      </c>
      <c r="BM2317" s="1">
        <v>0</v>
      </c>
      <c r="BN2317" s="1">
        <v>0</v>
      </c>
      <c r="BO2317" s="1">
        <v>0</v>
      </c>
      <c r="BP2317" s="1">
        <v>0</v>
      </c>
      <c r="BQ2317" s="1" t="s">
        <v>104</v>
      </c>
      <c r="BR2317" s="1">
        <v>2438</v>
      </c>
      <c r="BS2317" s="1">
        <v>100</v>
      </c>
      <c r="BX2317" s="1">
        <v>0</v>
      </c>
      <c r="BY2317" s="1">
        <v>4</v>
      </c>
      <c r="BZ2317" s="1" t="s">
        <v>104</v>
      </c>
      <c r="CA2317" s="1">
        <v>6</v>
      </c>
      <c r="CB2317" s="1" t="s">
        <v>104</v>
      </c>
      <c r="CC2317" s="1" t="s">
        <v>104</v>
      </c>
      <c r="CD2317" s="1">
        <v>6</v>
      </c>
      <c r="CE2317" s="1" t="s">
        <v>104</v>
      </c>
      <c r="CF2317" s="1" t="s">
        <v>104</v>
      </c>
      <c r="CG2317" s="1" t="s">
        <v>104</v>
      </c>
      <c r="CH2317" s="1" t="s">
        <v>104</v>
      </c>
      <c r="CJ2317" s="1">
        <v>0</v>
      </c>
      <c r="CK2317" s="1">
        <v>0</v>
      </c>
      <c r="CL2317" s="1">
        <v>0</v>
      </c>
      <c r="CM2317" s="1" t="s">
        <v>104</v>
      </c>
    </row>
    <row r="2318" spans="1:91" ht="14.25" customHeight="1" x14ac:dyDescent="0.3">
      <c r="A2318" s="1" t="s">
        <v>11906</v>
      </c>
      <c r="B2318" s="1" t="s">
        <v>172</v>
      </c>
      <c r="E2318" s="1" t="s">
        <v>11907</v>
      </c>
      <c r="F2318" s="1" t="s">
        <v>95</v>
      </c>
      <c r="G2318" s="1" t="s">
        <v>11908</v>
      </c>
      <c r="H2318" s="1">
        <v>0</v>
      </c>
      <c r="I2318" s="1" t="s">
        <v>117</v>
      </c>
      <c r="L2318" s="1" t="s">
        <v>1065</v>
      </c>
      <c r="M2318" s="1" t="s">
        <v>3378</v>
      </c>
      <c r="N2318" s="1">
        <v>0</v>
      </c>
      <c r="O2318" s="1">
        <v>0</v>
      </c>
      <c r="P2318" s="1" t="s">
        <v>211</v>
      </c>
      <c r="Q2318" s="1" t="s">
        <v>184</v>
      </c>
      <c r="R2318" s="1" t="s">
        <v>11909</v>
      </c>
      <c r="S2318" s="1" t="s">
        <v>11859</v>
      </c>
      <c r="T2318" s="1">
        <v>1</v>
      </c>
      <c r="U2318" s="1">
        <v>1</v>
      </c>
      <c r="V2318" s="1">
        <v>1</v>
      </c>
      <c r="W2318" s="1">
        <v>0</v>
      </c>
      <c r="X2318" s="1">
        <v>0</v>
      </c>
      <c r="Y2318" s="1" t="s">
        <v>104</v>
      </c>
      <c r="Z2318" s="1" t="s">
        <v>104</v>
      </c>
      <c r="AA2318" s="1">
        <v>2</v>
      </c>
      <c r="AB2318" s="1" t="s">
        <v>104</v>
      </c>
      <c r="AC2318" s="1" t="s">
        <v>104</v>
      </c>
      <c r="AD2318" s="1">
        <v>2</v>
      </c>
      <c r="AE2318" s="1">
        <v>1</v>
      </c>
      <c r="AF2318" s="1" t="s">
        <v>104</v>
      </c>
      <c r="AG2318" s="1" t="s">
        <v>104</v>
      </c>
      <c r="AH2318" s="1" t="s">
        <v>104</v>
      </c>
      <c r="AI2318" s="1">
        <v>2</v>
      </c>
      <c r="AJ2318" s="1">
        <v>2</v>
      </c>
      <c r="AK2318" s="1" t="s">
        <v>104</v>
      </c>
      <c r="AL2318" s="1" t="s">
        <v>104</v>
      </c>
      <c r="AM2318" s="1" t="s">
        <v>104</v>
      </c>
      <c r="AO2318" s="1">
        <v>2</v>
      </c>
      <c r="AQ2318" s="1" t="s">
        <v>11910</v>
      </c>
      <c r="AR2318" s="1">
        <v>0</v>
      </c>
      <c r="AS2318" s="1">
        <v>0</v>
      </c>
      <c r="AT2318" s="1">
        <v>0</v>
      </c>
      <c r="AU2318" s="1">
        <v>0</v>
      </c>
      <c r="AV2318" s="1">
        <v>0</v>
      </c>
      <c r="AW2318" s="1">
        <v>0</v>
      </c>
      <c r="AX2318" s="1">
        <v>0</v>
      </c>
      <c r="AY2318" s="1">
        <v>0</v>
      </c>
      <c r="AZ2318" s="1">
        <v>0</v>
      </c>
      <c r="BA2318" s="1">
        <v>0</v>
      </c>
      <c r="BB2318" s="1">
        <v>0</v>
      </c>
      <c r="BC2318" s="1">
        <v>0</v>
      </c>
      <c r="BD2318" s="1">
        <v>0</v>
      </c>
      <c r="BE2318" s="1">
        <v>0</v>
      </c>
      <c r="BF2318" s="1">
        <v>0</v>
      </c>
      <c r="BG2318" s="1">
        <v>0</v>
      </c>
      <c r="BH2318" s="1">
        <v>0</v>
      </c>
      <c r="BI2318" s="1">
        <v>0</v>
      </c>
      <c r="BJ2318" s="1">
        <v>0</v>
      </c>
      <c r="BK2318" s="1">
        <v>0</v>
      </c>
      <c r="BL2318" s="1">
        <v>0</v>
      </c>
      <c r="BM2318" s="1">
        <v>0</v>
      </c>
      <c r="BN2318" s="1">
        <v>0</v>
      </c>
      <c r="BO2318" s="1">
        <v>0</v>
      </c>
      <c r="BP2318" s="1">
        <v>0</v>
      </c>
      <c r="BQ2318" s="1" t="s">
        <v>104</v>
      </c>
      <c r="BR2318" s="1">
        <v>2439</v>
      </c>
      <c r="BS2318" s="1" t="s">
        <v>104</v>
      </c>
      <c r="BX2318" s="1">
        <v>0</v>
      </c>
      <c r="BY2318" s="1" t="s">
        <v>104</v>
      </c>
      <c r="BZ2318" s="1" t="s">
        <v>104</v>
      </c>
      <c r="CA2318" s="1">
        <v>2</v>
      </c>
      <c r="CB2318" s="1" t="s">
        <v>104</v>
      </c>
      <c r="CC2318" s="1">
        <v>2</v>
      </c>
      <c r="CD2318" s="1" t="s">
        <v>104</v>
      </c>
      <c r="CE2318" s="1" t="s">
        <v>104</v>
      </c>
      <c r="CF2318" s="1" t="s">
        <v>104</v>
      </c>
      <c r="CG2318" s="1" t="s">
        <v>104</v>
      </c>
      <c r="CH2318" s="1" t="s">
        <v>104</v>
      </c>
      <c r="CJ2318" s="1">
        <v>0</v>
      </c>
      <c r="CK2318" s="1">
        <v>0</v>
      </c>
      <c r="CL2318" s="1">
        <v>0</v>
      </c>
      <c r="CM2318" s="1" t="s">
        <v>104</v>
      </c>
    </row>
    <row r="2319" spans="1:91" ht="14.25" customHeight="1" x14ac:dyDescent="0.3">
      <c r="A2319" s="1" t="s">
        <v>11911</v>
      </c>
      <c r="B2319" s="1" t="s">
        <v>123</v>
      </c>
      <c r="C2319" s="1" t="s">
        <v>635</v>
      </c>
      <c r="D2319" s="1" t="s">
        <v>125</v>
      </c>
      <c r="E2319" s="1" t="s">
        <v>11912</v>
      </c>
      <c r="F2319" s="1" t="s">
        <v>95</v>
      </c>
      <c r="G2319" s="1" t="s">
        <v>116</v>
      </c>
      <c r="H2319" s="1">
        <v>0</v>
      </c>
      <c r="I2319" s="1" t="s">
        <v>117</v>
      </c>
      <c r="L2319" s="1" t="s">
        <v>2013</v>
      </c>
      <c r="M2319" s="1" t="s">
        <v>201</v>
      </c>
      <c r="N2319" s="1">
        <v>0</v>
      </c>
      <c r="O2319" s="1">
        <v>0</v>
      </c>
      <c r="P2319" s="1" t="s">
        <v>211</v>
      </c>
      <c r="Q2319" s="1" t="s">
        <v>184</v>
      </c>
      <c r="R2319" s="1" t="s">
        <v>11913</v>
      </c>
      <c r="S2319" s="1" t="s">
        <v>11859</v>
      </c>
      <c r="T2319" s="1">
        <v>1</v>
      </c>
      <c r="U2319" s="1">
        <v>1</v>
      </c>
      <c r="V2319" s="1">
        <v>0</v>
      </c>
      <c r="W2319" s="1">
        <v>0</v>
      </c>
      <c r="X2319" s="1">
        <v>0</v>
      </c>
      <c r="Y2319" s="1">
        <v>5</v>
      </c>
      <c r="Z2319" s="1">
        <v>5</v>
      </c>
      <c r="AA2319" s="1" t="s">
        <v>104</v>
      </c>
      <c r="AB2319" s="1" t="s">
        <v>104</v>
      </c>
      <c r="AC2319" s="1" t="s">
        <v>104</v>
      </c>
      <c r="AD2319" s="1">
        <v>4</v>
      </c>
      <c r="AE2319" s="1" t="s">
        <v>104</v>
      </c>
      <c r="AF2319" s="1" t="s">
        <v>104</v>
      </c>
      <c r="AG2319" s="1" t="s">
        <v>104</v>
      </c>
      <c r="AH2319" s="1">
        <v>5</v>
      </c>
      <c r="AI2319" s="1" t="s">
        <v>104</v>
      </c>
      <c r="AJ2319" s="1" t="s">
        <v>104</v>
      </c>
      <c r="AK2319" s="1" t="s">
        <v>104</v>
      </c>
      <c r="AL2319" s="1" t="s">
        <v>104</v>
      </c>
      <c r="AM2319" s="1" t="s">
        <v>104</v>
      </c>
      <c r="AO2319" s="1">
        <v>5</v>
      </c>
      <c r="AQ2319" s="1" t="s">
        <v>11914</v>
      </c>
      <c r="AR2319" s="1">
        <v>0</v>
      </c>
      <c r="AS2319" s="1">
        <v>0</v>
      </c>
      <c r="AT2319" s="1">
        <v>0</v>
      </c>
      <c r="AU2319" s="1">
        <v>0</v>
      </c>
      <c r="AV2319" s="1">
        <v>0</v>
      </c>
      <c r="AW2319" s="1">
        <v>0</v>
      </c>
      <c r="AX2319" s="1">
        <v>0</v>
      </c>
      <c r="AY2319" s="1">
        <v>0</v>
      </c>
      <c r="AZ2319" s="1">
        <v>0</v>
      </c>
      <c r="BA2319" s="1">
        <v>0</v>
      </c>
      <c r="BB2319" s="1">
        <v>0</v>
      </c>
      <c r="BC2319" s="1">
        <v>0</v>
      </c>
      <c r="BD2319" s="1">
        <v>0</v>
      </c>
      <c r="BE2319" s="1">
        <v>0</v>
      </c>
      <c r="BF2319" s="1">
        <v>0</v>
      </c>
      <c r="BG2319" s="1">
        <v>0</v>
      </c>
      <c r="BH2319" s="1">
        <v>0</v>
      </c>
      <c r="BI2319" s="1">
        <v>0</v>
      </c>
      <c r="BJ2319" s="1">
        <v>0</v>
      </c>
      <c r="BK2319" s="1">
        <v>1</v>
      </c>
      <c r="BL2319" s="1">
        <v>0</v>
      </c>
      <c r="BM2319" s="1">
        <v>0</v>
      </c>
      <c r="BN2319" s="1">
        <v>0</v>
      </c>
      <c r="BO2319" s="1">
        <v>0</v>
      </c>
      <c r="BP2319" s="1">
        <v>0</v>
      </c>
      <c r="BQ2319" s="1" t="s">
        <v>104</v>
      </c>
      <c r="BR2319" s="1">
        <v>2440</v>
      </c>
      <c r="BS2319" s="1" t="s">
        <v>104</v>
      </c>
      <c r="BX2319" s="1">
        <v>0</v>
      </c>
      <c r="BY2319" s="1" t="s">
        <v>104</v>
      </c>
      <c r="BZ2319" s="1">
        <v>5</v>
      </c>
      <c r="CA2319" s="1">
        <v>5</v>
      </c>
      <c r="CB2319" s="1" t="s">
        <v>104</v>
      </c>
      <c r="CC2319" s="1">
        <v>4</v>
      </c>
      <c r="CD2319" s="1">
        <v>4</v>
      </c>
      <c r="CE2319" s="1" t="s">
        <v>104</v>
      </c>
      <c r="CF2319" s="1" t="s">
        <v>104</v>
      </c>
      <c r="CG2319" s="1" t="s">
        <v>104</v>
      </c>
      <c r="CH2319" s="1" t="s">
        <v>104</v>
      </c>
      <c r="CJ2319" s="1">
        <v>0</v>
      </c>
      <c r="CK2319" s="1">
        <v>0</v>
      </c>
      <c r="CL2319" s="1">
        <v>0</v>
      </c>
      <c r="CM2319" s="1" t="s">
        <v>104</v>
      </c>
    </row>
    <row r="2320" spans="1:91" ht="14.25" customHeight="1" x14ac:dyDescent="0.3">
      <c r="A2320" s="1" t="s">
        <v>11915</v>
      </c>
      <c r="B2320" s="1" t="s">
        <v>137</v>
      </c>
      <c r="E2320" s="1" t="s">
        <v>11916</v>
      </c>
      <c r="F2320" s="1" t="s">
        <v>95</v>
      </c>
      <c r="G2320" s="1" t="s">
        <v>11917</v>
      </c>
      <c r="H2320" s="1">
        <v>0</v>
      </c>
      <c r="I2320" s="1" t="s">
        <v>117</v>
      </c>
      <c r="L2320" s="1" t="s">
        <v>11918</v>
      </c>
      <c r="M2320" s="1" t="s">
        <v>265</v>
      </c>
      <c r="N2320" s="1">
        <v>1</v>
      </c>
      <c r="O2320" s="1">
        <v>0</v>
      </c>
      <c r="P2320" s="1" t="s">
        <v>100</v>
      </c>
      <c r="Q2320" s="1" t="s">
        <v>101</v>
      </c>
      <c r="R2320" s="1" t="s">
        <v>11919</v>
      </c>
      <c r="S2320" s="1" t="s">
        <v>11859</v>
      </c>
      <c r="T2320" s="1">
        <v>1</v>
      </c>
      <c r="U2320" s="1">
        <v>1</v>
      </c>
      <c r="V2320" s="1">
        <v>1</v>
      </c>
      <c r="W2320" s="1">
        <v>0</v>
      </c>
      <c r="X2320" s="1">
        <v>0</v>
      </c>
      <c r="Y2320" s="1">
        <v>2</v>
      </c>
      <c r="Z2320" s="1">
        <v>2</v>
      </c>
      <c r="AA2320" s="1" t="s">
        <v>104</v>
      </c>
      <c r="AB2320" s="1" t="s">
        <v>104</v>
      </c>
      <c r="AC2320" s="1" t="s">
        <v>104</v>
      </c>
      <c r="AD2320" s="1">
        <v>2</v>
      </c>
      <c r="AE2320" s="1" t="s">
        <v>104</v>
      </c>
      <c r="AF2320" s="1" t="s">
        <v>104</v>
      </c>
      <c r="AG2320" s="1" t="s">
        <v>104</v>
      </c>
      <c r="AH2320" s="1" t="s">
        <v>104</v>
      </c>
      <c r="AI2320" s="1" t="s">
        <v>104</v>
      </c>
      <c r="AJ2320" s="1" t="s">
        <v>104</v>
      </c>
      <c r="AK2320" s="1" t="s">
        <v>104</v>
      </c>
      <c r="AL2320" s="1" t="s">
        <v>104</v>
      </c>
      <c r="AM2320" s="1" t="s">
        <v>104</v>
      </c>
      <c r="AO2320" s="1">
        <v>2</v>
      </c>
      <c r="AQ2320" s="1" t="s">
        <v>11920</v>
      </c>
      <c r="AR2320" s="1">
        <v>0</v>
      </c>
      <c r="AS2320" s="1">
        <v>0</v>
      </c>
      <c r="AT2320" s="1">
        <v>0</v>
      </c>
      <c r="AU2320" s="1">
        <v>0</v>
      </c>
      <c r="AV2320" s="1">
        <v>0</v>
      </c>
      <c r="AW2320" s="1">
        <v>0</v>
      </c>
      <c r="AX2320" s="1">
        <v>0</v>
      </c>
      <c r="AY2320" s="1">
        <v>0</v>
      </c>
      <c r="AZ2320" s="1">
        <v>0</v>
      </c>
      <c r="BA2320" s="1">
        <v>0</v>
      </c>
      <c r="BB2320" s="1">
        <v>0</v>
      </c>
      <c r="BC2320" s="1">
        <v>0</v>
      </c>
      <c r="BD2320" s="1">
        <v>0</v>
      </c>
      <c r="BE2320" s="1">
        <v>0</v>
      </c>
      <c r="BF2320" s="1">
        <v>0</v>
      </c>
      <c r="BG2320" s="1">
        <v>0</v>
      </c>
      <c r="BH2320" s="1">
        <v>0</v>
      </c>
      <c r="BI2320" s="1">
        <v>0</v>
      </c>
      <c r="BJ2320" s="1">
        <v>0</v>
      </c>
      <c r="BK2320" s="1">
        <v>0</v>
      </c>
      <c r="BL2320" s="1">
        <v>0</v>
      </c>
      <c r="BM2320" s="1">
        <v>0</v>
      </c>
      <c r="BN2320" s="1">
        <v>0</v>
      </c>
      <c r="BO2320" s="1">
        <v>0</v>
      </c>
      <c r="BP2320" s="1">
        <v>0</v>
      </c>
      <c r="BQ2320" s="1" t="s">
        <v>104</v>
      </c>
      <c r="BR2320" s="1">
        <v>2441</v>
      </c>
      <c r="BS2320" s="1" t="s">
        <v>104</v>
      </c>
      <c r="BX2320" s="1">
        <v>0</v>
      </c>
      <c r="BY2320" s="1" t="s">
        <v>104</v>
      </c>
      <c r="BZ2320" s="1" t="s">
        <v>104</v>
      </c>
      <c r="CA2320" s="1">
        <v>2</v>
      </c>
      <c r="CB2320" s="1">
        <v>2</v>
      </c>
      <c r="CC2320" s="1">
        <v>2</v>
      </c>
      <c r="CD2320" s="1">
        <v>2</v>
      </c>
      <c r="CE2320" s="1" t="s">
        <v>104</v>
      </c>
      <c r="CF2320" s="1" t="s">
        <v>104</v>
      </c>
      <c r="CG2320" s="1" t="s">
        <v>104</v>
      </c>
      <c r="CH2320" s="1" t="s">
        <v>104</v>
      </c>
      <c r="CJ2320" s="1">
        <v>0</v>
      </c>
      <c r="CK2320" s="1">
        <v>0</v>
      </c>
      <c r="CL2320" s="1">
        <v>0</v>
      </c>
      <c r="CM2320" s="1" t="s">
        <v>104</v>
      </c>
    </row>
    <row r="2321" spans="1:91" ht="14.25" customHeight="1" x14ac:dyDescent="0.3">
      <c r="A2321" s="1" t="s">
        <v>11921</v>
      </c>
      <c r="B2321" s="1" t="s">
        <v>507</v>
      </c>
      <c r="C2321" s="1" t="s">
        <v>1308</v>
      </c>
      <c r="D2321" s="1" t="s">
        <v>125</v>
      </c>
      <c r="E2321" s="1" t="s">
        <v>11922</v>
      </c>
      <c r="F2321" s="1" t="s">
        <v>95</v>
      </c>
      <c r="G2321" s="1" t="s">
        <v>1802</v>
      </c>
      <c r="H2321" s="1">
        <v>0</v>
      </c>
      <c r="I2321" s="1" t="s">
        <v>97</v>
      </c>
      <c r="L2321" s="1" t="s">
        <v>541</v>
      </c>
      <c r="M2321" s="1" t="s">
        <v>9550</v>
      </c>
      <c r="N2321" s="1">
        <v>0</v>
      </c>
      <c r="O2321" s="1">
        <v>0</v>
      </c>
      <c r="P2321" s="1" t="s">
        <v>1771</v>
      </c>
      <c r="Q2321" s="1" t="s">
        <v>184</v>
      </c>
      <c r="R2321" s="1" t="s">
        <v>11923</v>
      </c>
      <c r="S2321" s="1" t="s">
        <v>11859</v>
      </c>
      <c r="T2321" s="1">
        <v>0</v>
      </c>
      <c r="U2321" s="1">
        <v>1</v>
      </c>
      <c r="V2321" s="1">
        <v>0</v>
      </c>
      <c r="W2321" s="1">
        <v>0</v>
      </c>
      <c r="X2321" s="1">
        <v>0</v>
      </c>
      <c r="Y2321" s="1">
        <v>4</v>
      </c>
      <c r="Z2321" s="1">
        <v>4</v>
      </c>
      <c r="AA2321" s="1" t="s">
        <v>104</v>
      </c>
      <c r="AB2321" s="1" t="s">
        <v>104</v>
      </c>
      <c r="AC2321" s="1" t="s">
        <v>104</v>
      </c>
      <c r="AD2321" s="1">
        <v>4</v>
      </c>
      <c r="AE2321" s="1" t="s">
        <v>104</v>
      </c>
      <c r="AF2321" s="1" t="s">
        <v>104</v>
      </c>
      <c r="AG2321" s="1" t="s">
        <v>104</v>
      </c>
      <c r="AH2321" s="1">
        <v>4</v>
      </c>
      <c r="AI2321" s="1" t="s">
        <v>104</v>
      </c>
      <c r="AJ2321" s="1" t="s">
        <v>104</v>
      </c>
      <c r="AK2321" s="1" t="s">
        <v>104</v>
      </c>
      <c r="AL2321" s="1">
        <v>4</v>
      </c>
      <c r="AM2321" s="1" t="s">
        <v>104</v>
      </c>
      <c r="AO2321" s="1">
        <v>4</v>
      </c>
      <c r="AQ2321" s="1" t="s">
        <v>11924</v>
      </c>
      <c r="AR2321" s="1">
        <v>0</v>
      </c>
      <c r="AS2321" s="1">
        <v>0</v>
      </c>
      <c r="AT2321" s="1">
        <v>0</v>
      </c>
      <c r="AU2321" s="1">
        <v>0</v>
      </c>
      <c r="AV2321" s="1">
        <v>0</v>
      </c>
      <c r="AW2321" s="1">
        <v>0</v>
      </c>
      <c r="AX2321" s="1">
        <v>0</v>
      </c>
      <c r="AY2321" s="1">
        <v>0</v>
      </c>
      <c r="AZ2321" s="1">
        <v>0</v>
      </c>
      <c r="BA2321" s="1">
        <v>0</v>
      </c>
      <c r="BB2321" s="1">
        <v>0</v>
      </c>
      <c r="BC2321" s="1">
        <v>0</v>
      </c>
      <c r="BD2321" s="1">
        <v>0</v>
      </c>
      <c r="BE2321" s="1">
        <v>0</v>
      </c>
      <c r="BF2321" s="1">
        <v>0</v>
      </c>
      <c r="BG2321" s="1">
        <v>0</v>
      </c>
      <c r="BH2321" s="1">
        <v>0</v>
      </c>
      <c r="BI2321" s="1">
        <v>0</v>
      </c>
      <c r="BJ2321" s="1">
        <v>0</v>
      </c>
      <c r="BK2321" s="1">
        <v>1</v>
      </c>
      <c r="BL2321" s="1">
        <v>0</v>
      </c>
      <c r="BM2321" s="1">
        <v>0</v>
      </c>
      <c r="BN2321" s="1">
        <v>0</v>
      </c>
      <c r="BO2321" s="1">
        <v>0</v>
      </c>
      <c r="BP2321" s="1">
        <v>0</v>
      </c>
      <c r="BQ2321" s="1" t="s">
        <v>104</v>
      </c>
      <c r="BR2321" s="1">
        <v>2442</v>
      </c>
      <c r="BS2321" s="1" t="s">
        <v>104</v>
      </c>
      <c r="BX2321" s="1">
        <v>0</v>
      </c>
      <c r="BY2321" s="1" t="s">
        <v>104</v>
      </c>
      <c r="BZ2321" s="1" t="s">
        <v>104</v>
      </c>
      <c r="CA2321" s="1">
        <v>4</v>
      </c>
      <c r="CB2321" s="1">
        <v>3</v>
      </c>
      <c r="CC2321" s="1">
        <v>4</v>
      </c>
      <c r="CD2321" s="1">
        <v>4</v>
      </c>
      <c r="CE2321" s="1" t="s">
        <v>104</v>
      </c>
      <c r="CF2321" s="1" t="s">
        <v>104</v>
      </c>
      <c r="CG2321" s="1" t="s">
        <v>104</v>
      </c>
      <c r="CH2321" s="1" t="s">
        <v>104</v>
      </c>
      <c r="CJ2321" s="1">
        <v>0</v>
      </c>
      <c r="CK2321" s="1">
        <v>0</v>
      </c>
      <c r="CL2321" s="1">
        <v>0</v>
      </c>
      <c r="CM2321" s="1" t="s">
        <v>104</v>
      </c>
    </row>
    <row r="2322" spans="1:91" ht="14.25" customHeight="1" x14ac:dyDescent="0.3">
      <c r="A2322" s="1" t="s">
        <v>11925</v>
      </c>
      <c r="B2322" s="1" t="s">
        <v>123</v>
      </c>
      <c r="C2322" s="1" t="s">
        <v>124</v>
      </c>
      <c r="D2322" s="1" t="s">
        <v>125</v>
      </c>
      <c r="E2322" s="1" t="s">
        <v>11926</v>
      </c>
      <c r="F2322" s="1" t="s">
        <v>95</v>
      </c>
      <c r="G2322" s="1" t="s">
        <v>116</v>
      </c>
      <c r="H2322" s="1">
        <v>0</v>
      </c>
      <c r="I2322" s="1" t="s">
        <v>128</v>
      </c>
      <c r="L2322" s="1" t="s">
        <v>374</v>
      </c>
      <c r="M2322" s="1" t="s">
        <v>620</v>
      </c>
      <c r="N2322" s="1">
        <v>1</v>
      </c>
      <c r="O2322" s="1">
        <v>0</v>
      </c>
      <c r="P2322" s="1" t="s">
        <v>211</v>
      </c>
      <c r="Q2322" s="1" t="s">
        <v>184</v>
      </c>
      <c r="R2322" s="1" t="s">
        <v>11927</v>
      </c>
      <c r="S2322" s="1" t="s">
        <v>11859</v>
      </c>
      <c r="T2322" s="1">
        <v>1</v>
      </c>
      <c r="U2322" s="1">
        <v>1</v>
      </c>
      <c r="V2322" s="1">
        <v>0</v>
      </c>
      <c r="W2322" s="1">
        <v>0</v>
      </c>
      <c r="X2322" s="1">
        <v>0</v>
      </c>
      <c r="Y2322" s="1">
        <v>2</v>
      </c>
      <c r="Z2322" s="1">
        <v>2</v>
      </c>
      <c r="AA2322" s="1" t="s">
        <v>104</v>
      </c>
      <c r="AB2322" s="1" t="s">
        <v>104</v>
      </c>
      <c r="AC2322" s="1" t="s">
        <v>104</v>
      </c>
      <c r="AD2322" s="1">
        <v>1</v>
      </c>
      <c r="AE2322" s="1" t="s">
        <v>104</v>
      </c>
      <c r="AF2322" s="1" t="s">
        <v>104</v>
      </c>
      <c r="AG2322" s="1" t="s">
        <v>104</v>
      </c>
      <c r="AH2322" s="1">
        <v>2</v>
      </c>
      <c r="AI2322" s="1" t="s">
        <v>104</v>
      </c>
      <c r="AJ2322" s="1" t="s">
        <v>104</v>
      </c>
      <c r="AK2322" s="1" t="s">
        <v>104</v>
      </c>
      <c r="AL2322" s="1" t="s">
        <v>104</v>
      </c>
      <c r="AM2322" s="1" t="s">
        <v>104</v>
      </c>
      <c r="AO2322" s="1">
        <v>2</v>
      </c>
      <c r="AQ2322" s="1" t="s">
        <v>11928</v>
      </c>
      <c r="AR2322" s="1">
        <v>0</v>
      </c>
      <c r="AS2322" s="1">
        <v>0</v>
      </c>
      <c r="AT2322" s="1">
        <v>0</v>
      </c>
      <c r="AU2322" s="1">
        <v>0</v>
      </c>
      <c r="AV2322" s="1">
        <v>0</v>
      </c>
      <c r="AW2322" s="1">
        <v>0</v>
      </c>
      <c r="AX2322" s="1">
        <v>0</v>
      </c>
      <c r="AY2322" s="1">
        <v>0</v>
      </c>
      <c r="AZ2322" s="1">
        <v>0</v>
      </c>
      <c r="BA2322" s="1">
        <v>0</v>
      </c>
      <c r="BB2322" s="1">
        <v>0</v>
      </c>
      <c r="BC2322" s="1">
        <v>0</v>
      </c>
      <c r="BD2322" s="1">
        <v>0</v>
      </c>
      <c r="BE2322" s="1">
        <v>0</v>
      </c>
      <c r="BF2322" s="1">
        <v>0</v>
      </c>
      <c r="BG2322" s="1">
        <v>0</v>
      </c>
      <c r="BH2322" s="1">
        <v>0</v>
      </c>
      <c r="BI2322" s="1">
        <v>0</v>
      </c>
      <c r="BJ2322" s="1">
        <v>0</v>
      </c>
      <c r="BK2322" s="1">
        <v>1</v>
      </c>
      <c r="BL2322" s="1">
        <v>0</v>
      </c>
      <c r="BM2322" s="1">
        <v>0</v>
      </c>
      <c r="BN2322" s="1">
        <v>0</v>
      </c>
      <c r="BO2322" s="1">
        <v>0</v>
      </c>
      <c r="BP2322" s="1">
        <v>0</v>
      </c>
      <c r="BQ2322" s="1" t="s">
        <v>104</v>
      </c>
      <c r="BR2322" s="1">
        <v>2443</v>
      </c>
      <c r="BS2322" s="1" t="s">
        <v>104</v>
      </c>
      <c r="BX2322" s="1">
        <v>0</v>
      </c>
      <c r="BY2322" s="1" t="s">
        <v>104</v>
      </c>
      <c r="BZ2322" s="1" t="s">
        <v>104</v>
      </c>
      <c r="CA2322" s="1">
        <v>2</v>
      </c>
      <c r="CB2322" s="1" t="s">
        <v>104</v>
      </c>
      <c r="CC2322" s="1">
        <v>1</v>
      </c>
      <c r="CD2322" s="1" t="s">
        <v>104</v>
      </c>
      <c r="CE2322" s="1" t="s">
        <v>104</v>
      </c>
      <c r="CF2322" s="1" t="s">
        <v>104</v>
      </c>
      <c r="CG2322" s="1" t="s">
        <v>104</v>
      </c>
      <c r="CH2322" s="1" t="s">
        <v>104</v>
      </c>
      <c r="CJ2322" s="1">
        <v>0</v>
      </c>
      <c r="CK2322" s="1">
        <v>0</v>
      </c>
      <c r="CL2322" s="1">
        <v>0</v>
      </c>
      <c r="CM2322" s="1" t="s">
        <v>104</v>
      </c>
    </row>
    <row r="2323" spans="1:91" ht="14.25" customHeight="1" x14ac:dyDescent="0.3">
      <c r="A2323" s="1" t="s">
        <v>11929</v>
      </c>
      <c r="B2323" s="1" t="s">
        <v>216</v>
      </c>
      <c r="D2323" s="1" t="s">
        <v>11441</v>
      </c>
      <c r="E2323" s="1" t="s">
        <v>11930</v>
      </c>
      <c r="F2323" s="1" t="s">
        <v>95</v>
      </c>
      <c r="G2323" s="1" t="s">
        <v>116</v>
      </c>
      <c r="H2323" s="1">
        <v>0</v>
      </c>
      <c r="I2323" s="1" t="s">
        <v>117</v>
      </c>
      <c r="L2323" s="1" t="s">
        <v>1065</v>
      </c>
      <c r="M2323" s="1" t="s">
        <v>8646</v>
      </c>
      <c r="N2323" s="1">
        <v>0</v>
      </c>
      <c r="O2323" s="1">
        <v>0</v>
      </c>
      <c r="P2323" s="1" t="s">
        <v>211</v>
      </c>
      <c r="Q2323" s="1" t="s">
        <v>184</v>
      </c>
      <c r="R2323" s="1" t="s">
        <v>11931</v>
      </c>
      <c r="S2323" s="1" t="s">
        <v>11859</v>
      </c>
      <c r="T2323" s="1">
        <v>1</v>
      </c>
      <c r="U2323" s="1">
        <v>1</v>
      </c>
      <c r="V2323" s="1">
        <v>0</v>
      </c>
      <c r="W2323" s="1">
        <v>0</v>
      </c>
      <c r="X2323" s="1">
        <v>0</v>
      </c>
      <c r="Y2323" s="1">
        <v>5</v>
      </c>
      <c r="Z2323" s="1">
        <v>5</v>
      </c>
      <c r="AA2323" s="1">
        <v>4</v>
      </c>
      <c r="AB2323" s="1" t="s">
        <v>104</v>
      </c>
      <c r="AC2323" s="1" t="s">
        <v>104</v>
      </c>
      <c r="AD2323" s="1" t="s">
        <v>104</v>
      </c>
      <c r="AE2323" s="1" t="s">
        <v>104</v>
      </c>
      <c r="AF2323" s="1" t="s">
        <v>104</v>
      </c>
      <c r="AG2323" s="1" t="s">
        <v>104</v>
      </c>
      <c r="AH2323" s="1">
        <v>4</v>
      </c>
      <c r="AI2323" s="1">
        <v>4</v>
      </c>
      <c r="AJ2323" s="1">
        <v>4</v>
      </c>
      <c r="AK2323" s="1">
        <v>4</v>
      </c>
      <c r="AL2323" s="1" t="s">
        <v>104</v>
      </c>
      <c r="AM2323" s="1" t="s">
        <v>104</v>
      </c>
      <c r="AO2323" s="1">
        <v>5</v>
      </c>
      <c r="AQ2323" s="1" t="s">
        <v>11932</v>
      </c>
      <c r="AR2323" s="1">
        <v>0</v>
      </c>
      <c r="AS2323" s="1">
        <v>0</v>
      </c>
      <c r="AT2323" s="1">
        <v>0</v>
      </c>
      <c r="AU2323" s="1">
        <v>0</v>
      </c>
      <c r="AV2323" s="1">
        <v>1</v>
      </c>
      <c r="AW2323" s="1">
        <v>0</v>
      </c>
      <c r="AX2323" s="1">
        <v>0</v>
      </c>
      <c r="AY2323" s="1">
        <v>0</v>
      </c>
      <c r="AZ2323" s="1">
        <v>0</v>
      </c>
      <c r="BA2323" s="1">
        <v>0</v>
      </c>
      <c r="BB2323" s="1">
        <v>0</v>
      </c>
      <c r="BC2323" s="1">
        <v>0</v>
      </c>
      <c r="BD2323" s="1">
        <v>0</v>
      </c>
      <c r="BE2323" s="1">
        <v>0</v>
      </c>
      <c r="BF2323" s="1">
        <v>0</v>
      </c>
      <c r="BG2323" s="1">
        <v>0</v>
      </c>
      <c r="BH2323" s="1">
        <v>0</v>
      </c>
      <c r="BI2323" s="1">
        <v>0</v>
      </c>
      <c r="BJ2323" s="1">
        <v>0</v>
      </c>
      <c r="BK2323" s="1">
        <v>0</v>
      </c>
      <c r="BL2323" s="1">
        <v>0</v>
      </c>
      <c r="BM2323" s="1">
        <v>0</v>
      </c>
      <c r="BN2323" s="1">
        <v>0</v>
      </c>
      <c r="BO2323" s="1">
        <v>0</v>
      </c>
      <c r="BP2323" s="1">
        <v>0</v>
      </c>
      <c r="BQ2323" s="1" t="s">
        <v>104</v>
      </c>
      <c r="BR2323" s="1">
        <v>2444</v>
      </c>
      <c r="BS2323" s="1" t="s">
        <v>104</v>
      </c>
      <c r="BX2323" s="1">
        <v>0</v>
      </c>
      <c r="BY2323" s="1" t="s">
        <v>104</v>
      </c>
      <c r="BZ2323" s="1">
        <v>4</v>
      </c>
      <c r="CA2323" s="1">
        <v>5</v>
      </c>
      <c r="CB2323" s="1">
        <v>3</v>
      </c>
      <c r="CC2323" s="1">
        <v>3</v>
      </c>
      <c r="CD2323" s="1">
        <v>4</v>
      </c>
      <c r="CE2323" s="1">
        <v>5</v>
      </c>
      <c r="CF2323" s="1" t="s">
        <v>104</v>
      </c>
      <c r="CG2323" s="1" t="s">
        <v>104</v>
      </c>
      <c r="CH2323" s="1" t="s">
        <v>104</v>
      </c>
      <c r="CJ2323" s="1">
        <v>0</v>
      </c>
      <c r="CK2323" s="1">
        <v>0</v>
      </c>
      <c r="CL2323" s="1">
        <v>0</v>
      </c>
      <c r="CM2323" s="1" t="s">
        <v>104</v>
      </c>
    </row>
    <row r="2324" spans="1:91" ht="14.25" customHeight="1" x14ac:dyDescent="0.3">
      <c r="A2324" s="1" t="s">
        <v>11933</v>
      </c>
      <c r="B2324" s="1" t="s">
        <v>162</v>
      </c>
      <c r="E2324" s="1" t="s">
        <v>11934</v>
      </c>
      <c r="F2324" s="1" t="s">
        <v>4934</v>
      </c>
      <c r="G2324" s="1" t="s">
        <v>237</v>
      </c>
      <c r="H2324" s="1">
        <v>0</v>
      </c>
      <c r="L2324" s="1" t="s">
        <v>5827</v>
      </c>
      <c r="M2324" s="1" t="s">
        <v>4400</v>
      </c>
      <c r="N2324" s="1">
        <v>1</v>
      </c>
      <c r="O2324" s="1">
        <v>0</v>
      </c>
      <c r="P2324" s="1" t="s">
        <v>8160</v>
      </c>
      <c r="Q2324" s="1" t="s">
        <v>184</v>
      </c>
      <c r="R2324" s="1" t="s">
        <v>11935</v>
      </c>
      <c r="S2324" s="1" t="s">
        <v>11859</v>
      </c>
      <c r="T2324" s="1">
        <v>1</v>
      </c>
      <c r="U2324" s="1">
        <v>0</v>
      </c>
      <c r="V2324" s="1">
        <v>0</v>
      </c>
      <c r="W2324" s="1">
        <v>0</v>
      </c>
      <c r="X2324" s="1">
        <v>0</v>
      </c>
      <c r="Y2324" s="1" t="s">
        <v>104</v>
      </c>
      <c r="Z2324" s="1" t="s">
        <v>104</v>
      </c>
      <c r="AA2324" s="1">
        <v>2</v>
      </c>
      <c r="AB2324" s="1" t="s">
        <v>104</v>
      </c>
      <c r="AC2324" s="1" t="s">
        <v>104</v>
      </c>
      <c r="AD2324" s="1">
        <v>2</v>
      </c>
      <c r="AE2324" s="1">
        <v>1</v>
      </c>
      <c r="AF2324" s="1" t="s">
        <v>104</v>
      </c>
      <c r="AG2324" s="1" t="s">
        <v>104</v>
      </c>
      <c r="AH2324" s="1">
        <v>2</v>
      </c>
      <c r="AI2324" s="1">
        <v>2</v>
      </c>
      <c r="AJ2324" s="1">
        <v>2</v>
      </c>
      <c r="AK2324" s="1">
        <v>1</v>
      </c>
      <c r="AL2324" s="1" t="s">
        <v>104</v>
      </c>
      <c r="AM2324" s="1" t="s">
        <v>104</v>
      </c>
      <c r="AO2324" s="1">
        <v>2</v>
      </c>
      <c r="AQ2324" s="1" t="s">
        <v>11936</v>
      </c>
      <c r="AR2324" s="1">
        <v>0</v>
      </c>
      <c r="AS2324" s="1">
        <v>0</v>
      </c>
      <c r="AT2324" s="1">
        <v>0</v>
      </c>
      <c r="AU2324" s="1">
        <v>0</v>
      </c>
      <c r="AV2324" s="1">
        <v>0</v>
      </c>
      <c r="AW2324" s="1">
        <v>0</v>
      </c>
      <c r="AX2324" s="1">
        <v>0</v>
      </c>
      <c r="AY2324" s="1">
        <v>0</v>
      </c>
      <c r="AZ2324" s="1">
        <v>0</v>
      </c>
      <c r="BA2324" s="1">
        <v>0</v>
      </c>
      <c r="BB2324" s="1">
        <v>0</v>
      </c>
      <c r="BC2324" s="1">
        <v>0</v>
      </c>
      <c r="BD2324" s="1">
        <v>0</v>
      </c>
      <c r="BE2324" s="1">
        <v>0</v>
      </c>
      <c r="BF2324" s="1">
        <v>0</v>
      </c>
      <c r="BG2324" s="1">
        <v>0</v>
      </c>
      <c r="BH2324" s="1">
        <v>0</v>
      </c>
      <c r="BI2324" s="1">
        <v>0</v>
      </c>
      <c r="BJ2324" s="1">
        <v>0</v>
      </c>
      <c r="BK2324" s="1">
        <v>0</v>
      </c>
      <c r="BL2324" s="1">
        <v>0</v>
      </c>
      <c r="BM2324" s="1">
        <v>0</v>
      </c>
      <c r="BN2324" s="1">
        <v>0</v>
      </c>
      <c r="BO2324" s="1">
        <v>0</v>
      </c>
      <c r="BP2324" s="1">
        <v>0</v>
      </c>
      <c r="BQ2324" s="1" t="s">
        <v>104</v>
      </c>
      <c r="BR2324" s="1">
        <v>2445</v>
      </c>
      <c r="BS2324" s="1" t="s">
        <v>104</v>
      </c>
      <c r="BX2324" s="1">
        <v>0</v>
      </c>
      <c r="BY2324" s="1" t="s">
        <v>104</v>
      </c>
      <c r="BZ2324" s="1" t="s">
        <v>104</v>
      </c>
      <c r="CA2324" s="1" t="s">
        <v>104</v>
      </c>
      <c r="CB2324" s="1" t="s">
        <v>104</v>
      </c>
      <c r="CC2324" s="1">
        <v>2</v>
      </c>
      <c r="CD2324" s="1">
        <v>2</v>
      </c>
      <c r="CE2324" s="1" t="s">
        <v>104</v>
      </c>
      <c r="CF2324" s="1" t="s">
        <v>104</v>
      </c>
      <c r="CG2324" s="1" t="s">
        <v>104</v>
      </c>
      <c r="CH2324" s="1" t="s">
        <v>104</v>
      </c>
      <c r="CJ2324" s="1">
        <v>0</v>
      </c>
      <c r="CK2324" s="1">
        <v>0</v>
      </c>
      <c r="CL2324" s="1">
        <v>0</v>
      </c>
      <c r="CM2324" s="1" t="s">
        <v>104</v>
      </c>
    </row>
    <row r="2325" spans="1:91" ht="14.25" customHeight="1" x14ac:dyDescent="0.3">
      <c r="A2325" s="1" t="s">
        <v>11937</v>
      </c>
      <c r="B2325" s="1" t="s">
        <v>162</v>
      </c>
      <c r="E2325" s="1" t="s">
        <v>11938</v>
      </c>
      <c r="F2325" s="1" t="s">
        <v>1502</v>
      </c>
      <c r="G2325" s="1" t="s">
        <v>1802</v>
      </c>
      <c r="H2325" s="1">
        <v>0</v>
      </c>
      <c r="I2325" s="1" t="s">
        <v>109</v>
      </c>
      <c r="J2325" s="1" t="s">
        <v>11939</v>
      </c>
      <c r="M2325" s="1" t="s">
        <v>255</v>
      </c>
      <c r="N2325" s="1">
        <v>0</v>
      </c>
      <c r="O2325" s="1">
        <v>0</v>
      </c>
      <c r="P2325" s="1" t="s">
        <v>5901</v>
      </c>
      <c r="Q2325" s="1" t="s">
        <v>472</v>
      </c>
      <c r="R2325" s="1" t="s">
        <v>11940</v>
      </c>
      <c r="S2325" s="1" t="s">
        <v>11859</v>
      </c>
      <c r="T2325" s="1">
        <v>0</v>
      </c>
      <c r="U2325" s="1">
        <v>1</v>
      </c>
      <c r="V2325" s="1">
        <v>0</v>
      </c>
      <c r="W2325" s="1">
        <v>0</v>
      </c>
      <c r="X2325" s="1">
        <v>0</v>
      </c>
      <c r="Y2325" s="1">
        <v>4</v>
      </c>
      <c r="Z2325" s="1">
        <v>4</v>
      </c>
      <c r="AA2325" s="1" t="s">
        <v>104</v>
      </c>
      <c r="AB2325" s="1" t="s">
        <v>104</v>
      </c>
      <c r="AC2325" s="1" t="s">
        <v>104</v>
      </c>
      <c r="AD2325" s="1">
        <v>4</v>
      </c>
      <c r="AE2325" s="1" t="s">
        <v>104</v>
      </c>
      <c r="AF2325" s="1" t="s">
        <v>104</v>
      </c>
      <c r="AG2325" s="1">
        <v>3</v>
      </c>
      <c r="AH2325" s="1">
        <v>4</v>
      </c>
      <c r="AI2325" s="1" t="s">
        <v>104</v>
      </c>
      <c r="AJ2325" s="1" t="s">
        <v>104</v>
      </c>
      <c r="AK2325" s="1" t="s">
        <v>104</v>
      </c>
      <c r="AL2325" s="1">
        <v>3</v>
      </c>
      <c r="AM2325" s="1" t="s">
        <v>104</v>
      </c>
      <c r="AO2325" s="1">
        <v>4</v>
      </c>
      <c r="AQ2325" s="1" t="s">
        <v>11941</v>
      </c>
      <c r="AR2325" s="1">
        <v>0</v>
      </c>
      <c r="AS2325" s="1">
        <v>0</v>
      </c>
      <c r="AT2325" s="1">
        <v>0</v>
      </c>
      <c r="AU2325" s="1">
        <v>0</v>
      </c>
      <c r="AV2325" s="1">
        <v>0</v>
      </c>
      <c r="AW2325" s="1">
        <v>0</v>
      </c>
      <c r="AX2325" s="1">
        <v>0</v>
      </c>
      <c r="AY2325" s="1">
        <v>0</v>
      </c>
      <c r="AZ2325" s="1">
        <v>0</v>
      </c>
      <c r="BA2325" s="1">
        <v>0</v>
      </c>
      <c r="BB2325" s="1">
        <v>0</v>
      </c>
      <c r="BC2325" s="1">
        <v>0</v>
      </c>
      <c r="BD2325" s="1">
        <v>0</v>
      </c>
      <c r="BE2325" s="1">
        <v>0</v>
      </c>
      <c r="BF2325" s="1">
        <v>0</v>
      </c>
      <c r="BG2325" s="1">
        <v>0</v>
      </c>
      <c r="BH2325" s="1">
        <v>0</v>
      </c>
      <c r="BI2325" s="1">
        <v>0</v>
      </c>
      <c r="BJ2325" s="1">
        <v>0</v>
      </c>
      <c r="BK2325" s="1">
        <v>0</v>
      </c>
      <c r="BL2325" s="1">
        <v>0</v>
      </c>
      <c r="BM2325" s="1">
        <v>0</v>
      </c>
      <c r="BN2325" s="1">
        <v>0</v>
      </c>
      <c r="BO2325" s="1">
        <v>0</v>
      </c>
      <c r="BP2325" s="1">
        <v>0</v>
      </c>
      <c r="BQ2325" s="1" t="s">
        <v>104</v>
      </c>
      <c r="BR2325" s="1">
        <v>2446</v>
      </c>
      <c r="BS2325" s="1" t="s">
        <v>104</v>
      </c>
      <c r="BX2325" s="1">
        <v>0</v>
      </c>
      <c r="BY2325" s="1" t="s">
        <v>104</v>
      </c>
      <c r="BZ2325" s="1" t="s">
        <v>104</v>
      </c>
      <c r="CA2325" s="1">
        <v>4</v>
      </c>
      <c r="CB2325" s="1">
        <v>4</v>
      </c>
      <c r="CC2325" s="1" t="s">
        <v>104</v>
      </c>
      <c r="CD2325" s="1">
        <v>4</v>
      </c>
      <c r="CE2325" s="1">
        <v>4</v>
      </c>
      <c r="CF2325" s="1" t="s">
        <v>104</v>
      </c>
      <c r="CG2325" s="1" t="s">
        <v>104</v>
      </c>
      <c r="CH2325" s="1" t="s">
        <v>104</v>
      </c>
      <c r="CJ2325" s="1">
        <v>0</v>
      </c>
      <c r="CK2325" s="1">
        <v>0</v>
      </c>
      <c r="CL2325" s="1">
        <v>0</v>
      </c>
      <c r="CM2325" s="1">
        <v>3</v>
      </c>
    </row>
    <row r="2326" spans="1:91" ht="14.25" customHeight="1" x14ac:dyDescent="0.3">
      <c r="A2326" s="1" t="s">
        <v>11942</v>
      </c>
      <c r="B2326" s="1" t="s">
        <v>92</v>
      </c>
      <c r="C2326" s="1" t="s">
        <v>93</v>
      </c>
      <c r="E2326" s="1" t="s">
        <v>11943</v>
      </c>
      <c r="F2326" s="1" t="s">
        <v>255</v>
      </c>
      <c r="G2326" s="1" t="s">
        <v>11944</v>
      </c>
      <c r="H2326" s="1">
        <v>0</v>
      </c>
      <c r="I2326" s="1" t="s">
        <v>117</v>
      </c>
      <c r="K2326" s="1" t="s">
        <v>11945</v>
      </c>
      <c r="M2326" s="1" t="s">
        <v>620</v>
      </c>
      <c r="N2326" s="1">
        <v>1</v>
      </c>
      <c r="O2326" s="1">
        <v>0</v>
      </c>
      <c r="P2326" s="1" t="s">
        <v>100</v>
      </c>
      <c r="Q2326" s="1" t="s">
        <v>101</v>
      </c>
      <c r="R2326" s="1" t="s">
        <v>11946</v>
      </c>
      <c r="S2326" s="1" t="s">
        <v>11859</v>
      </c>
      <c r="T2326" s="1">
        <v>1</v>
      </c>
      <c r="U2326" s="1">
        <v>1</v>
      </c>
      <c r="V2326" s="1">
        <v>1</v>
      </c>
      <c r="W2326" s="1">
        <v>0</v>
      </c>
      <c r="X2326" s="1">
        <v>0</v>
      </c>
      <c r="Y2326" s="1">
        <v>3</v>
      </c>
      <c r="Z2326" s="1">
        <v>3</v>
      </c>
      <c r="AA2326" s="1" t="s">
        <v>104</v>
      </c>
      <c r="AB2326" s="1" t="s">
        <v>104</v>
      </c>
      <c r="AC2326" s="1" t="s">
        <v>104</v>
      </c>
      <c r="AD2326" s="1">
        <v>3</v>
      </c>
      <c r="AE2326" s="1" t="s">
        <v>104</v>
      </c>
      <c r="AF2326" s="1" t="s">
        <v>104</v>
      </c>
      <c r="AG2326" s="1">
        <v>3</v>
      </c>
      <c r="AH2326" s="1">
        <v>3</v>
      </c>
      <c r="AI2326" s="1" t="s">
        <v>104</v>
      </c>
      <c r="AJ2326" s="1" t="s">
        <v>104</v>
      </c>
      <c r="AK2326" s="1" t="s">
        <v>104</v>
      </c>
      <c r="AL2326" s="1">
        <v>3</v>
      </c>
      <c r="AM2326" s="1" t="s">
        <v>104</v>
      </c>
      <c r="AO2326" s="1">
        <v>3</v>
      </c>
      <c r="AQ2326" s="1" t="s">
        <v>11947</v>
      </c>
      <c r="AR2326" s="1">
        <v>0</v>
      </c>
      <c r="AS2326" s="1">
        <v>0</v>
      </c>
      <c r="AT2326" s="1">
        <v>0</v>
      </c>
      <c r="AU2326" s="1">
        <v>0</v>
      </c>
      <c r="AV2326" s="1">
        <v>0</v>
      </c>
      <c r="AW2326" s="1">
        <v>0</v>
      </c>
      <c r="AX2326" s="1">
        <v>0</v>
      </c>
      <c r="AY2326" s="1">
        <v>0</v>
      </c>
      <c r="AZ2326" s="1">
        <v>0</v>
      </c>
      <c r="BA2326" s="1">
        <v>0</v>
      </c>
      <c r="BB2326" s="1">
        <v>0</v>
      </c>
      <c r="BC2326" s="1">
        <v>0</v>
      </c>
      <c r="BD2326" s="1">
        <v>0</v>
      </c>
      <c r="BE2326" s="1">
        <v>0</v>
      </c>
      <c r="BF2326" s="1">
        <v>0</v>
      </c>
      <c r="BG2326" s="1">
        <v>0</v>
      </c>
      <c r="BH2326" s="1">
        <v>0</v>
      </c>
      <c r="BI2326" s="1">
        <v>0</v>
      </c>
      <c r="BJ2326" s="1">
        <v>0</v>
      </c>
      <c r="BK2326" s="1">
        <v>0</v>
      </c>
      <c r="BL2326" s="1">
        <v>0</v>
      </c>
      <c r="BM2326" s="1">
        <v>0</v>
      </c>
      <c r="BN2326" s="1">
        <v>0</v>
      </c>
      <c r="BO2326" s="1">
        <v>0</v>
      </c>
      <c r="BP2326" s="1">
        <v>0</v>
      </c>
      <c r="BQ2326" s="1" t="s">
        <v>104</v>
      </c>
      <c r="BR2326" s="1">
        <v>2447</v>
      </c>
      <c r="BS2326" s="1" t="s">
        <v>104</v>
      </c>
      <c r="BX2326" s="1">
        <v>0</v>
      </c>
      <c r="BY2326" s="1" t="s">
        <v>104</v>
      </c>
      <c r="BZ2326" s="1" t="s">
        <v>104</v>
      </c>
      <c r="CA2326" s="1" t="s">
        <v>104</v>
      </c>
      <c r="CB2326" s="1" t="s">
        <v>104</v>
      </c>
      <c r="CC2326" s="1" t="s">
        <v>104</v>
      </c>
      <c r="CD2326" s="1" t="s">
        <v>104</v>
      </c>
      <c r="CE2326" s="1" t="s">
        <v>104</v>
      </c>
      <c r="CF2326" s="1" t="s">
        <v>104</v>
      </c>
      <c r="CG2326" s="1" t="s">
        <v>104</v>
      </c>
      <c r="CH2326" s="1" t="s">
        <v>104</v>
      </c>
      <c r="CJ2326" s="1">
        <v>0</v>
      </c>
      <c r="CK2326" s="1">
        <v>0</v>
      </c>
      <c r="CL2326" s="1">
        <v>0</v>
      </c>
      <c r="CM2326" s="1">
        <v>3</v>
      </c>
    </row>
    <row r="2327" spans="1:91" ht="14.25" customHeight="1" x14ac:dyDescent="0.3">
      <c r="A2327" s="1" t="s">
        <v>11948</v>
      </c>
      <c r="B2327" s="1" t="s">
        <v>216</v>
      </c>
      <c r="D2327" s="1" t="s">
        <v>10510</v>
      </c>
      <c r="E2327" s="1" t="s">
        <v>11949</v>
      </c>
      <c r="F2327" s="1" t="s">
        <v>95</v>
      </c>
      <c r="G2327" s="1" t="s">
        <v>11950</v>
      </c>
      <c r="H2327" s="1">
        <v>1</v>
      </c>
      <c r="I2327" s="1" t="s">
        <v>128</v>
      </c>
      <c r="L2327" s="1" t="s">
        <v>11951</v>
      </c>
      <c r="M2327" s="1" t="s">
        <v>1567</v>
      </c>
      <c r="N2327" s="1">
        <v>1</v>
      </c>
      <c r="O2327" s="1">
        <v>0</v>
      </c>
      <c r="P2327" s="1" t="s">
        <v>183</v>
      </c>
      <c r="Q2327" s="1" t="s">
        <v>184</v>
      </c>
      <c r="R2327" s="1" t="s">
        <v>11952</v>
      </c>
      <c r="S2327" s="1" t="s">
        <v>11859</v>
      </c>
      <c r="T2327" s="1">
        <v>1</v>
      </c>
      <c r="U2327" s="1">
        <v>1</v>
      </c>
      <c r="V2327" s="1">
        <v>1</v>
      </c>
      <c r="W2327" s="1">
        <v>0</v>
      </c>
      <c r="X2327" s="1">
        <v>0</v>
      </c>
      <c r="Y2327" s="1">
        <v>4</v>
      </c>
      <c r="Z2327" s="1">
        <v>4</v>
      </c>
      <c r="AA2327" s="1" t="s">
        <v>104</v>
      </c>
      <c r="AB2327" s="1" t="s">
        <v>104</v>
      </c>
      <c r="AC2327" s="1" t="s">
        <v>104</v>
      </c>
      <c r="AD2327" s="1" t="s">
        <v>104</v>
      </c>
      <c r="AE2327" s="1" t="s">
        <v>104</v>
      </c>
      <c r="AF2327" s="1" t="s">
        <v>104</v>
      </c>
      <c r="AG2327" s="1" t="s">
        <v>104</v>
      </c>
      <c r="AH2327" s="1" t="s">
        <v>104</v>
      </c>
      <c r="AI2327" s="1" t="s">
        <v>104</v>
      </c>
      <c r="AJ2327" s="1" t="s">
        <v>104</v>
      </c>
      <c r="AK2327" s="1" t="s">
        <v>104</v>
      </c>
      <c r="AL2327" s="1" t="s">
        <v>104</v>
      </c>
      <c r="AM2327" s="1" t="s">
        <v>104</v>
      </c>
      <c r="AO2327" s="1">
        <v>4</v>
      </c>
      <c r="AQ2327" s="1" t="s">
        <v>11953</v>
      </c>
      <c r="AR2327" s="1">
        <v>0</v>
      </c>
      <c r="AS2327" s="1">
        <v>0</v>
      </c>
      <c r="AT2327" s="1">
        <v>0</v>
      </c>
      <c r="AU2327" s="1">
        <v>0</v>
      </c>
      <c r="AV2327" s="1">
        <v>0</v>
      </c>
      <c r="AW2327" s="1">
        <v>0</v>
      </c>
      <c r="AX2327" s="1">
        <v>0</v>
      </c>
      <c r="AY2327" s="1">
        <v>0</v>
      </c>
      <c r="AZ2327" s="1">
        <v>0</v>
      </c>
      <c r="BA2327" s="1">
        <v>0</v>
      </c>
      <c r="BB2327" s="1">
        <v>0</v>
      </c>
      <c r="BC2327" s="1">
        <v>0</v>
      </c>
      <c r="BD2327" s="1">
        <v>0</v>
      </c>
      <c r="BE2327" s="1">
        <v>0</v>
      </c>
      <c r="BF2327" s="1">
        <v>0</v>
      </c>
      <c r="BG2327" s="1">
        <v>0</v>
      </c>
      <c r="BH2327" s="1">
        <v>0</v>
      </c>
      <c r="BI2327" s="1">
        <v>0</v>
      </c>
      <c r="BJ2327" s="1">
        <v>0</v>
      </c>
      <c r="BK2327" s="1">
        <v>0</v>
      </c>
      <c r="BL2327" s="1">
        <v>0</v>
      </c>
      <c r="BM2327" s="1">
        <v>1</v>
      </c>
      <c r="BN2327" s="1">
        <v>0</v>
      </c>
      <c r="BO2327" s="1">
        <v>0</v>
      </c>
      <c r="BP2327" s="1">
        <v>0</v>
      </c>
      <c r="BQ2327" s="1" t="s">
        <v>104</v>
      </c>
      <c r="BR2327" s="1">
        <v>2448</v>
      </c>
      <c r="BS2327" s="1">
        <v>100</v>
      </c>
      <c r="BX2327" s="1">
        <v>0</v>
      </c>
      <c r="BY2327" s="1" t="s">
        <v>104</v>
      </c>
      <c r="BZ2327" s="1">
        <v>4</v>
      </c>
      <c r="CA2327" s="1" t="s">
        <v>104</v>
      </c>
      <c r="CB2327" s="1" t="s">
        <v>104</v>
      </c>
      <c r="CC2327" s="1" t="s">
        <v>104</v>
      </c>
      <c r="CD2327" s="1" t="s">
        <v>104</v>
      </c>
      <c r="CE2327" s="1" t="s">
        <v>104</v>
      </c>
      <c r="CF2327" s="1" t="s">
        <v>104</v>
      </c>
      <c r="CG2327" s="1" t="s">
        <v>104</v>
      </c>
      <c r="CH2327" s="1" t="s">
        <v>104</v>
      </c>
      <c r="CJ2327" s="1">
        <v>0</v>
      </c>
      <c r="CK2327" s="1">
        <v>0</v>
      </c>
      <c r="CL2327" s="1">
        <v>0</v>
      </c>
      <c r="CM2327" s="1" t="s">
        <v>104</v>
      </c>
    </row>
    <row r="2328" spans="1:91" ht="14.25" customHeight="1" x14ac:dyDescent="0.3">
      <c r="A2328" s="1" t="s">
        <v>11954</v>
      </c>
      <c r="B2328" s="1" t="s">
        <v>434</v>
      </c>
      <c r="D2328" s="1" t="s">
        <v>11955</v>
      </c>
      <c r="E2328" s="1" t="s">
        <v>11956</v>
      </c>
      <c r="F2328" s="1" t="s">
        <v>95</v>
      </c>
      <c r="G2328" s="1" t="s">
        <v>1050</v>
      </c>
      <c r="H2328" s="1">
        <v>0</v>
      </c>
      <c r="I2328" s="1" t="s">
        <v>97</v>
      </c>
      <c r="J2328" s="1" t="s">
        <v>8972</v>
      </c>
      <c r="M2328" s="1" t="s">
        <v>119</v>
      </c>
      <c r="N2328" s="1">
        <v>0</v>
      </c>
      <c r="O2328" s="1">
        <v>0</v>
      </c>
      <c r="P2328" s="1" t="s">
        <v>550</v>
      </c>
      <c r="Q2328" s="1" t="s">
        <v>184</v>
      </c>
      <c r="R2328" s="1" t="s">
        <v>11957</v>
      </c>
      <c r="S2328" s="1" t="s">
        <v>11859</v>
      </c>
      <c r="T2328" s="1">
        <v>1</v>
      </c>
      <c r="U2328" s="1">
        <v>1</v>
      </c>
      <c r="V2328" s="1">
        <v>1</v>
      </c>
      <c r="W2328" s="1">
        <v>0</v>
      </c>
      <c r="X2328" s="1">
        <v>0</v>
      </c>
      <c r="Y2328" s="1">
        <v>4</v>
      </c>
      <c r="Z2328" s="1">
        <v>4</v>
      </c>
      <c r="AA2328" s="1" t="s">
        <v>104</v>
      </c>
      <c r="AB2328" s="1" t="s">
        <v>104</v>
      </c>
      <c r="AC2328" s="1" t="s">
        <v>104</v>
      </c>
      <c r="AD2328" s="1" t="s">
        <v>104</v>
      </c>
      <c r="AE2328" s="1" t="s">
        <v>104</v>
      </c>
      <c r="AF2328" s="1" t="s">
        <v>104</v>
      </c>
      <c r="AG2328" s="1" t="s">
        <v>104</v>
      </c>
      <c r="AH2328" s="1" t="s">
        <v>104</v>
      </c>
      <c r="AI2328" s="1" t="s">
        <v>104</v>
      </c>
      <c r="AJ2328" s="1" t="s">
        <v>104</v>
      </c>
      <c r="AK2328" s="1" t="s">
        <v>104</v>
      </c>
      <c r="AL2328" s="1">
        <v>4</v>
      </c>
      <c r="AM2328" s="1" t="s">
        <v>104</v>
      </c>
      <c r="AO2328" s="1">
        <v>4</v>
      </c>
      <c r="AQ2328" s="1" t="s">
        <v>11958</v>
      </c>
      <c r="AR2328" s="1">
        <v>0</v>
      </c>
      <c r="AS2328" s="1">
        <v>0</v>
      </c>
      <c r="AT2328" s="1">
        <v>0</v>
      </c>
      <c r="AU2328" s="1">
        <v>0</v>
      </c>
      <c r="AV2328" s="1">
        <v>0</v>
      </c>
      <c r="AW2328" s="1">
        <v>0</v>
      </c>
      <c r="AX2328" s="1">
        <v>0</v>
      </c>
      <c r="AY2328" s="1">
        <v>0</v>
      </c>
      <c r="AZ2328" s="1">
        <v>0</v>
      </c>
      <c r="BA2328" s="1">
        <v>0</v>
      </c>
      <c r="BB2328" s="1">
        <v>0</v>
      </c>
      <c r="BC2328" s="1">
        <v>0</v>
      </c>
      <c r="BD2328" s="1">
        <v>0</v>
      </c>
      <c r="BE2328" s="1">
        <v>1</v>
      </c>
      <c r="BF2328" s="1">
        <v>0</v>
      </c>
      <c r="BG2328" s="1">
        <v>0</v>
      </c>
      <c r="BH2328" s="1">
        <v>0</v>
      </c>
      <c r="BI2328" s="1">
        <v>0</v>
      </c>
      <c r="BJ2328" s="1">
        <v>0</v>
      </c>
      <c r="BK2328" s="1">
        <v>0</v>
      </c>
      <c r="BL2328" s="1">
        <v>0</v>
      </c>
      <c r="BM2328" s="1">
        <v>0</v>
      </c>
      <c r="BN2328" s="1">
        <v>0</v>
      </c>
      <c r="BO2328" s="1">
        <v>0</v>
      </c>
      <c r="BP2328" s="1">
        <v>0</v>
      </c>
      <c r="BQ2328" s="1" t="s">
        <v>104</v>
      </c>
      <c r="BR2328" s="1">
        <v>2449</v>
      </c>
      <c r="BS2328" s="1" t="s">
        <v>104</v>
      </c>
      <c r="BX2328" s="1">
        <v>0</v>
      </c>
      <c r="BY2328" s="1">
        <v>4</v>
      </c>
      <c r="BZ2328" s="1" t="s">
        <v>104</v>
      </c>
      <c r="CA2328" s="1" t="s">
        <v>104</v>
      </c>
      <c r="CB2328" s="1" t="s">
        <v>104</v>
      </c>
      <c r="CC2328" s="1" t="s">
        <v>104</v>
      </c>
      <c r="CD2328" s="1">
        <v>4</v>
      </c>
      <c r="CE2328" s="1" t="s">
        <v>104</v>
      </c>
      <c r="CF2328" s="1" t="s">
        <v>104</v>
      </c>
      <c r="CG2328" s="1" t="s">
        <v>104</v>
      </c>
      <c r="CH2328" s="1" t="s">
        <v>104</v>
      </c>
      <c r="CJ2328" s="1">
        <v>1</v>
      </c>
      <c r="CK2328" s="1">
        <v>0</v>
      </c>
      <c r="CL2328" s="1">
        <v>0</v>
      </c>
      <c r="CM2328" s="1" t="s">
        <v>104</v>
      </c>
    </row>
    <row r="2329" spans="1:91" ht="14.25" customHeight="1" x14ac:dyDescent="0.3">
      <c r="A2329" s="1" t="s">
        <v>11959</v>
      </c>
      <c r="B2329" s="1" t="s">
        <v>123</v>
      </c>
      <c r="C2329" s="1" t="s">
        <v>124</v>
      </c>
      <c r="D2329" s="1" t="s">
        <v>125</v>
      </c>
      <c r="E2329" s="1" t="s">
        <v>11960</v>
      </c>
      <c r="F2329" s="1" t="s">
        <v>95</v>
      </c>
      <c r="G2329" s="1" t="s">
        <v>11961</v>
      </c>
      <c r="H2329" s="1">
        <v>0</v>
      </c>
      <c r="I2329" s="1" t="s">
        <v>117</v>
      </c>
      <c r="L2329" s="1" t="s">
        <v>1065</v>
      </c>
      <c r="M2329" s="1" t="s">
        <v>255</v>
      </c>
      <c r="N2329" s="1">
        <v>0</v>
      </c>
      <c r="O2329" s="1">
        <v>0</v>
      </c>
      <c r="P2329" s="1" t="s">
        <v>211</v>
      </c>
      <c r="Q2329" s="1" t="s">
        <v>184</v>
      </c>
      <c r="R2329" s="1" t="s">
        <v>11962</v>
      </c>
      <c r="S2329" s="1" t="s">
        <v>11859</v>
      </c>
      <c r="T2329" s="1">
        <v>1</v>
      </c>
      <c r="U2329" s="1">
        <v>1</v>
      </c>
      <c r="V2329" s="1">
        <v>1</v>
      </c>
      <c r="W2329" s="1">
        <v>0</v>
      </c>
      <c r="X2329" s="1">
        <v>0</v>
      </c>
      <c r="Y2329" s="1" t="s">
        <v>104</v>
      </c>
      <c r="Z2329" s="1" t="s">
        <v>104</v>
      </c>
      <c r="AA2329" s="1" t="s">
        <v>104</v>
      </c>
      <c r="AB2329" s="1" t="s">
        <v>104</v>
      </c>
      <c r="AC2329" s="1" t="s">
        <v>104</v>
      </c>
      <c r="AD2329" s="1" t="s">
        <v>104</v>
      </c>
      <c r="AE2329" s="1" t="s">
        <v>104</v>
      </c>
      <c r="AF2329" s="1" t="s">
        <v>104</v>
      </c>
      <c r="AG2329" s="1" t="s">
        <v>104</v>
      </c>
      <c r="AH2329" s="1" t="s">
        <v>104</v>
      </c>
      <c r="AI2329" s="1" t="s">
        <v>104</v>
      </c>
      <c r="AJ2329" s="1" t="s">
        <v>104</v>
      </c>
      <c r="AK2329" s="1">
        <v>1</v>
      </c>
      <c r="AL2329" s="1" t="s">
        <v>104</v>
      </c>
      <c r="AM2329" s="1" t="s">
        <v>104</v>
      </c>
      <c r="AO2329" s="1">
        <v>1</v>
      </c>
      <c r="AQ2329" s="1" t="s">
        <v>11963</v>
      </c>
      <c r="AR2329" s="1">
        <v>0</v>
      </c>
      <c r="AS2329" s="1">
        <v>0</v>
      </c>
      <c r="AT2329" s="1">
        <v>0</v>
      </c>
      <c r="AU2329" s="1">
        <v>0</v>
      </c>
      <c r="AV2329" s="1">
        <v>0</v>
      </c>
      <c r="AW2329" s="1">
        <v>0</v>
      </c>
      <c r="AX2329" s="1">
        <v>0</v>
      </c>
      <c r="AY2329" s="1">
        <v>0</v>
      </c>
      <c r="AZ2329" s="1">
        <v>0</v>
      </c>
      <c r="BA2329" s="1">
        <v>0</v>
      </c>
      <c r="BB2329" s="1">
        <v>0</v>
      </c>
      <c r="BC2329" s="1">
        <v>0</v>
      </c>
      <c r="BD2329" s="1">
        <v>0</v>
      </c>
      <c r="BE2329" s="1">
        <v>0</v>
      </c>
      <c r="BF2329" s="1">
        <v>0</v>
      </c>
      <c r="BG2329" s="1">
        <v>0</v>
      </c>
      <c r="BH2329" s="1">
        <v>0</v>
      </c>
      <c r="BI2329" s="1">
        <v>0</v>
      </c>
      <c r="BJ2329" s="1">
        <v>0</v>
      </c>
      <c r="BK2329" s="1">
        <v>1</v>
      </c>
      <c r="BL2329" s="1">
        <v>0</v>
      </c>
      <c r="BM2329" s="1">
        <v>0</v>
      </c>
      <c r="BN2329" s="1">
        <v>0</v>
      </c>
      <c r="BO2329" s="1">
        <v>0</v>
      </c>
      <c r="BP2329" s="1">
        <v>0</v>
      </c>
      <c r="BQ2329" s="1" t="s">
        <v>104</v>
      </c>
      <c r="BR2329" s="1">
        <v>2450</v>
      </c>
      <c r="BS2329" s="1" t="s">
        <v>104</v>
      </c>
      <c r="BX2329" s="1">
        <v>0</v>
      </c>
      <c r="BY2329" s="1" t="s">
        <v>104</v>
      </c>
      <c r="BZ2329" s="1" t="s">
        <v>104</v>
      </c>
      <c r="CA2329" s="1" t="s">
        <v>104</v>
      </c>
      <c r="CB2329" s="1" t="s">
        <v>104</v>
      </c>
      <c r="CC2329" s="1">
        <v>1</v>
      </c>
      <c r="CD2329" s="1" t="s">
        <v>104</v>
      </c>
      <c r="CE2329" s="1" t="s">
        <v>104</v>
      </c>
      <c r="CF2329" s="1" t="s">
        <v>104</v>
      </c>
      <c r="CG2329" s="1" t="s">
        <v>104</v>
      </c>
      <c r="CH2329" s="1" t="s">
        <v>104</v>
      </c>
      <c r="CJ2329" s="1">
        <v>0</v>
      </c>
      <c r="CK2329" s="1">
        <v>0</v>
      </c>
      <c r="CL2329" s="1">
        <v>0</v>
      </c>
      <c r="CM2329" s="1" t="s">
        <v>104</v>
      </c>
    </row>
    <row r="2330" spans="1:91" ht="14.25" customHeight="1" x14ac:dyDescent="0.3">
      <c r="A2330" s="1" t="s">
        <v>11964</v>
      </c>
      <c r="B2330" s="1" t="s">
        <v>123</v>
      </c>
      <c r="C2330" s="1" t="s">
        <v>124</v>
      </c>
      <c r="D2330" s="1" t="s">
        <v>125</v>
      </c>
      <c r="E2330" s="1" t="s">
        <v>11965</v>
      </c>
      <c r="F2330" s="1" t="s">
        <v>95</v>
      </c>
      <c r="G2330" s="1" t="s">
        <v>11966</v>
      </c>
      <c r="H2330" s="1">
        <v>0</v>
      </c>
      <c r="I2330" s="1" t="s">
        <v>109</v>
      </c>
      <c r="L2330" s="1" t="s">
        <v>541</v>
      </c>
      <c r="M2330" s="1" t="s">
        <v>426</v>
      </c>
      <c r="N2330" s="1">
        <v>1</v>
      </c>
      <c r="O2330" s="1">
        <v>0</v>
      </c>
      <c r="P2330" s="1" t="s">
        <v>211</v>
      </c>
      <c r="Q2330" s="1" t="s">
        <v>184</v>
      </c>
      <c r="R2330" s="1" t="s">
        <v>11967</v>
      </c>
      <c r="S2330" s="1" t="s">
        <v>11859</v>
      </c>
      <c r="T2330" s="1">
        <v>1</v>
      </c>
      <c r="U2330" s="1">
        <v>1</v>
      </c>
      <c r="V2330" s="1">
        <v>1</v>
      </c>
      <c r="W2330" s="1">
        <v>0</v>
      </c>
      <c r="X2330" s="1">
        <v>0</v>
      </c>
      <c r="Y2330" s="1">
        <v>7</v>
      </c>
      <c r="Z2330" s="1">
        <v>7</v>
      </c>
      <c r="AA2330" s="1" t="s">
        <v>104</v>
      </c>
      <c r="AB2330" s="1" t="s">
        <v>104</v>
      </c>
      <c r="AC2330" s="1" t="s">
        <v>104</v>
      </c>
      <c r="AD2330" s="1">
        <v>5</v>
      </c>
      <c r="AE2330" s="1" t="s">
        <v>104</v>
      </c>
      <c r="AF2330" s="1" t="s">
        <v>104</v>
      </c>
      <c r="AG2330" s="1" t="s">
        <v>104</v>
      </c>
      <c r="AH2330" s="1" t="s">
        <v>104</v>
      </c>
      <c r="AI2330" s="1" t="s">
        <v>104</v>
      </c>
      <c r="AJ2330" s="1" t="s">
        <v>104</v>
      </c>
      <c r="AK2330" s="1">
        <v>4</v>
      </c>
      <c r="AL2330" s="1" t="s">
        <v>104</v>
      </c>
      <c r="AM2330" s="1" t="s">
        <v>104</v>
      </c>
      <c r="AO2330" s="1">
        <v>7</v>
      </c>
      <c r="AQ2330" s="1" t="s">
        <v>11968</v>
      </c>
      <c r="AR2330" s="1">
        <v>0</v>
      </c>
      <c r="AS2330" s="1">
        <v>0</v>
      </c>
      <c r="AT2330" s="1">
        <v>0</v>
      </c>
      <c r="AU2330" s="1">
        <v>0</v>
      </c>
      <c r="AV2330" s="1">
        <v>0</v>
      </c>
      <c r="AW2330" s="1">
        <v>0</v>
      </c>
      <c r="AX2330" s="1">
        <v>0</v>
      </c>
      <c r="AY2330" s="1">
        <v>0</v>
      </c>
      <c r="AZ2330" s="1">
        <v>0</v>
      </c>
      <c r="BA2330" s="1">
        <v>0</v>
      </c>
      <c r="BB2330" s="1">
        <v>0</v>
      </c>
      <c r="BC2330" s="1">
        <v>0</v>
      </c>
      <c r="BD2330" s="1">
        <v>0</v>
      </c>
      <c r="BE2330" s="1">
        <v>0</v>
      </c>
      <c r="BF2330" s="1">
        <v>0</v>
      </c>
      <c r="BG2330" s="1">
        <v>0</v>
      </c>
      <c r="BH2330" s="1">
        <v>0</v>
      </c>
      <c r="BI2330" s="1">
        <v>0</v>
      </c>
      <c r="BJ2330" s="1">
        <v>0</v>
      </c>
      <c r="BK2330" s="1">
        <v>1</v>
      </c>
      <c r="BL2330" s="1">
        <v>0</v>
      </c>
      <c r="BM2330" s="1">
        <v>0</v>
      </c>
      <c r="BN2330" s="1">
        <v>0</v>
      </c>
      <c r="BO2330" s="1">
        <v>0</v>
      </c>
      <c r="BP2330" s="1">
        <v>0</v>
      </c>
      <c r="BQ2330" s="1" t="s">
        <v>104</v>
      </c>
      <c r="BR2330" s="1">
        <v>2451</v>
      </c>
      <c r="BS2330" s="1" t="s">
        <v>104</v>
      </c>
      <c r="BX2330" s="1">
        <v>0</v>
      </c>
      <c r="BY2330" s="1" t="s">
        <v>104</v>
      </c>
      <c r="BZ2330" s="1" t="s">
        <v>104</v>
      </c>
      <c r="CA2330" s="1">
        <v>7</v>
      </c>
      <c r="CB2330" s="1" t="s">
        <v>104</v>
      </c>
      <c r="CC2330" s="1">
        <v>5</v>
      </c>
      <c r="CD2330" s="1" t="s">
        <v>104</v>
      </c>
      <c r="CE2330" s="1" t="s">
        <v>104</v>
      </c>
      <c r="CF2330" s="1" t="s">
        <v>104</v>
      </c>
      <c r="CG2330" s="1" t="s">
        <v>104</v>
      </c>
      <c r="CH2330" s="1" t="s">
        <v>104</v>
      </c>
      <c r="CJ2330" s="1">
        <v>0</v>
      </c>
      <c r="CK2330" s="1">
        <v>0</v>
      </c>
      <c r="CL2330" s="1">
        <v>0</v>
      </c>
      <c r="CM2330" s="1" t="s">
        <v>104</v>
      </c>
    </row>
    <row r="2331" spans="1:91" ht="14.25" customHeight="1" x14ac:dyDescent="0.3">
      <c r="A2331" s="1" t="s">
        <v>11969</v>
      </c>
      <c r="B2331" s="1" t="s">
        <v>172</v>
      </c>
      <c r="E2331" s="1" t="s">
        <v>11970</v>
      </c>
      <c r="F2331" s="1" t="s">
        <v>95</v>
      </c>
      <c r="G2331" s="1" t="s">
        <v>11971</v>
      </c>
      <c r="H2331" s="1">
        <v>0</v>
      </c>
      <c r="I2331" s="1" t="s">
        <v>157</v>
      </c>
      <c r="L2331" s="1" t="s">
        <v>158</v>
      </c>
      <c r="M2331" s="1" t="s">
        <v>4292</v>
      </c>
      <c r="N2331" s="1">
        <v>0</v>
      </c>
      <c r="O2331" s="1">
        <v>0</v>
      </c>
      <c r="R2331" s="1" t="s">
        <v>11972</v>
      </c>
      <c r="S2331" s="1" t="s">
        <v>11859</v>
      </c>
      <c r="T2331" s="1">
        <v>1</v>
      </c>
      <c r="U2331" s="1">
        <v>1</v>
      </c>
      <c r="V2331" s="1">
        <v>1</v>
      </c>
      <c r="W2331" s="1">
        <v>0</v>
      </c>
      <c r="X2331" s="1">
        <v>1</v>
      </c>
      <c r="Y2331" s="1">
        <v>1</v>
      </c>
      <c r="Z2331" s="1">
        <v>1</v>
      </c>
      <c r="AA2331" s="1">
        <v>1</v>
      </c>
      <c r="AB2331" s="1" t="s">
        <v>104</v>
      </c>
      <c r="AC2331" s="1" t="s">
        <v>104</v>
      </c>
      <c r="AD2331" s="1">
        <v>1</v>
      </c>
      <c r="AE2331" s="1" t="s">
        <v>104</v>
      </c>
      <c r="AF2331" s="1" t="s">
        <v>104</v>
      </c>
      <c r="AG2331" s="1" t="s">
        <v>104</v>
      </c>
      <c r="AH2331" s="1" t="s">
        <v>104</v>
      </c>
      <c r="AI2331" s="1" t="s">
        <v>104</v>
      </c>
      <c r="AJ2331" s="1">
        <v>1</v>
      </c>
      <c r="AK2331" s="1" t="s">
        <v>104</v>
      </c>
      <c r="AL2331" s="1" t="s">
        <v>104</v>
      </c>
      <c r="AM2331" s="1" t="s">
        <v>104</v>
      </c>
      <c r="AO2331" s="1">
        <v>1</v>
      </c>
      <c r="AQ2331" s="1" t="s">
        <v>11973</v>
      </c>
      <c r="AR2331" s="1">
        <v>0</v>
      </c>
      <c r="AS2331" s="1">
        <v>0</v>
      </c>
      <c r="AT2331" s="1">
        <v>0</v>
      </c>
      <c r="AU2331" s="1">
        <v>0</v>
      </c>
      <c r="AV2331" s="1">
        <v>0</v>
      </c>
      <c r="AW2331" s="1">
        <v>0</v>
      </c>
      <c r="AX2331" s="1">
        <v>0</v>
      </c>
      <c r="AY2331" s="1">
        <v>0</v>
      </c>
      <c r="AZ2331" s="1">
        <v>0</v>
      </c>
      <c r="BA2331" s="1">
        <v>0</v>
      </c>
      <c r="BB2331" s="1">
        <v>0</v>
      </c>
      <c r="BC2331" s="1">
        <v>0</v>
      </c>
      <c r="BD2331" s="1">
        <v>0</v>
      </c>
      <c r="BE2331" s="1">
        <v>0</v>
      </c>
      <c r="BF2331" s="1">
        <v>0</v>
      </c>
      <c r="BG2331" s="1">
        <v>0</v>
      </c>
      <c r="BH2331" s="1">
        <v>0</v>
      </c>
      <c r="BI2331" s="1">
        <v>0</v>
      </c>
      <c r="BJ2331" s="1">
        <v>0</v>
      </c>
      <c r="BK2331" s="1">
        <v>0</v>
      </c>
      <c r="BL2331" s="1">
        <v>0</v>
      </c>
      <c r="BM2331" s="1">
        <v>0</v>
      </c>
      <c r="BN2331" s="1">
        <v>0</v>
      </c>
      <c r="BO2331" s="1">
        <v>0</v>
      </c>
      <c r="BP2331" s="1">
        <v>0</v>
      </c>
      <c r="BQ2331" s="1" t="s">
        <v>104</v>
      </c>
      <c r="BR2331" s="1">
        <v>2452</v>
      </c>
      <c r="BS2331" s="1" t="s">
        <v>104</v>
      </c>
      <c r="BX2331" s="1">
        <v>0</v>
      </c>
      <c r="BY2331" s="1" t="s">
        <v>104</v>
      </c>
      <c r="BZ2331" s="1" t="s">
        <v>104</v>
      </c>
      <c r="CA2331" s="1">
        <v>1</v>
      </c>
      <c r="CB2331" s="1">
        <v>1</v>
      </c>
      <c r="CC2331" s="1" t="s">
        <v>104</v>
      </c>
      <c r="CD2331" s="1">
        <v>1</v>
      </c>
      <c r="CE2331" s="1" t="s">
        <v>104</v>
      </c>
      <c r="CF2331" s="1" t="s">
        <v>104</v>
      </c>
      <c r="CG2331" s="1" t="s">
        <v>104</v>
      </c>
      <c r="CH2331" s="1" t="s">
        <v>104</v>
      </c>
      <c r="CJ2331" s="1">
        <v>0</v>
      </c>
      <c r="CK2331" s="1">
        <v>0</v>
      </c>
      <c r="CL2331" s="1">
        <v>0</v>
      </c>
      <c r="CM2331" s="1" t="s">
        <v>104</v>
      </c>
    </row>
    <row r="2332" spans="1:91" ht="14.25" customHeight="1" x14ac:dyDescent="0.3">
      <c r="A2332" s="1" t="s">
        <v>11974</v>
      </c>
      <c r="B2332" s="1" t="s">
        <v>123</v>
      </c>
      <c r="C2332" s="1" t="s">
        <v>124</v>
      </c>
      <c r="D2332" s="1" t="s">
        <v>11975</v>
      </c>
      <c r="E2332" s="1" t="s">
        <v>11976</v>
      </c>
      <c r="F2332" s="1" t="s">
        <v>95</v>
      </c>
      <c r="G2332" s="1" t="s">
        <v>11977</v>
      </c>
      <c r="H2332" s="1">
        <v>0</v>
      </c>
      <c r="I2332" s="1" t="s">
        <v>117</v>
      </c>
      <c r="L2332" s="1" t="s">
        <v>1065</v>
      </c>
      <c r="M2332" s="1" t="s">
        <v>298</v>
      </c>
      <c r="N2332" s="1">
        <v>0</v>
      </c>
      <c r="O2332" s="1">
        <v>0</v>
      </c>
      <c r="P2332" s="1" t="s">
        <v>211</v>
      </c>
      <c r="Q2332" s="1" t="s">
        <v>184</v>
      </c>
      <c r="R2332" s="1" t="s">
        <v>11978</v>
      </c>
      <c r="S2332" s="1" t="s">
        <v>11859</v>
      </c>
      <c r="T2332" s="1">
        <v>1</v>
      </c>
      <c r="U2332" s="1">
        <v>1</v>
      </c>
      <c r="V2332" s="1">
        <v>1</v>
      </c>
      <c r="W2332" s="1">
        <v>0</v>
      </c>
      <c r="X2332" s="1">
        <v>0</v>
      </c>
      <c r="Y2332" s="1" t="s">
        <v>104</v>
      </c>
      <c r="Z2332" s="1" t="s">
        <v>104</v>
      </c>
      <c r="AA2332" s="1">
        <v>6</v>
      </c>
      <c r="AB2332" s="1" t="s">
        <v>104</v>
      </c>
      <c r="AC2332" s="1" t="s">
        <v>104</v>
      </c>
      <c r="AD2332" s="1">
        <v>4</v>
      </c>
      <c r="AE2332" s="1" t="s">
        <v>104</v>
      </c>
      <c r="AF2332" s="1" t="s">
        <v>104</v>
      </c>
      <c r="AG2332" s="1" t="s">
        <v>104</v>
      </c>
      <c r="AH2332" s="1">
        <v>6</v>
      </c>
      <c r="AI2332" s="1">
        <v>4</v>
      </c>
      <c r="AJ2332" s="1">
        <v>6</v>
      </c>
      <c r="AK2332" s="1" t="s">
        <v>104</v>
      </c>
      <c r="AL2332" s="1" t="s">
        <v>104</v>
      </c>
      <c r="AM2332" s="1" t="s">
        <v>104</v>
      </c>
      <c r="AO2332" s="1">
        <v>6</v>
      </c>
      <c r="AQ2332" s="1" t="s">
        <v>11979</v>
      </c>
      <c r="AR2332" s="1">
        <v>0</v>
      </c>
      <c r="AS2332" s="1">
        <v>0</v>
      </c>
      <c r="AT2332" s="1">
        <v>0</v>
      </c>
      <c r="AU2332" s="1">
        <v>0</v>
      </c>
      <c r="AV2332" s="1">
        <v>1</v>
      </c>
      <c r="AW2332" s="1">
        <v>0</v>
      </c>
      <c r="AX2332" s="1">
        <v>0</v>
      </c>
      <c r="AY2332" s="1">
        <v>0</v>
      </c>
      <c r="AZ2332" s="1">
        <v>0</v>
      </c>
      <c r="BA2332" s="1">
        <v>0</v>
      </c>
      <c r="BB2332" s="1">
        <v>1</v>
      </c>
      <c r="BC2332" s="1">
        <v>0</v>
      </c>
      <c r="BD2332" s="1">
        <v>0</v>
      </c>
      <c r="BE2332" s="1">
        <v>0</v>
      </c>
      <c r="BF2332" s="1">
        <v>0</v>
      </c>
      <c r="BG2332" s="1">
        <v>0</v>
      </c>
      <c r="BH2332" s="1">
        <v>0</v>
      </c>
      <c r="BI2332" s="1">
        <v>0</v>
      </c>
      <c r="BJ2332" s="1">
        <v>0</v>
      </c>
      <c r="BK2332" s="1">
        <v>1</v>
      </c>
      <c r="BL2332" s="1">
        <v>0</v>
      </c>
      <c r="BM2332" s="1">
        <v>0</v>
      </c>
      <c r="BN2332" s="1">
        <v>0</v>
      </c>
      <c r="BO2332" s="1">
        <v>0</v>
      </c>
      <c r="BP2332" s="1">
        <v>0</v>
      </c>
      <c r="BQ2332" s="1" t="s">
        <v>104</v>
      </c>
      <c r="BR2332" s="1">
        <v>2453</v>
      </c>
      <c r="BS2332" s="1" t="s">
        <v>104</v>
      </c>
      <c r="BX2332" s="1">
        <v>0</v>
      </c>
      <c r="BY2332" s="1" t="s">
        <v>104</v>
      </c>
      <c r="BZ2332" s="1">
        <v>6</v>
      </c>
      <c r="CA2332" s="1" t="s">
        <v>104</v>
      </c>
      <c r="CB2332" s="1" t="s">
        <v>104</v>
      </c>
      <c r="CC2332" s="1">
        <v>4</v>
      </c>
      <c r="CD2332" s="1" t="s">
        <v>104</v>
      </c>
      <c r="CE2332" s="1" t="s">
        <v>104</v>
      </c>
      <c r="CF2332" s="1" t="s">
        <v>104</v>
      </c>
      <c r="CG2332" s="1" t="s">
        <v>104</v>
      </c>
      <c r="CH2332" s="1" t="s">
        <v>104</v>
      </c>
      <c r="CJ2332" s="1">
        <v>0</v>
      </c>
      <c r="CK2332" s="1">
        <v>0</v>
      </c>
      <c r="CL2332" s="1">
        <v>0</v>
      </c>
      <c r="CM2332" s="1" t="s">
        <v>104</v>
      </c>
    </row>
    <row r="2333" spans="1:91" ht="14.25" customHeight="1" x14ac:dyDescent="0.3">
      <c r="A2333" s="1" t="s">
        <v>11980</v>
      </c>
      <c r="B2333" s="1" t="s">
        <v>507</v>
      </c>
      <c r="C2333" s="1" t="s">
        <v>65</v>
      </c>
      <c r="D2333" s="1" t="s">
        <v>11981</v>
      </c>
      <c r="E2333" s="1" t="s">
        <v>11982</v>
      </c>
      <c r="F2333" s="1" t="s">
        <v>95</v>
      </c>
      <c r="G2333" s="1" t="s">
        <v>11983</v>
      </c>
      <c r="H2333" s="1">
        <v>0</v>
      </c>
      <c r="I2333" s="1" t="s">
        <v>11984</v>
      </c>
      <c r="L2333" s="1" t="s">
        <v>2509</v>
      </c>
      <c r="M2333" s="1" t="s">
        <v>4992</v>
      </c>
      <c r="N2333" s="1">
        <v>1</v>
      </c>
      <c r="O2333" s="1">
        <v>0</v>
      </c>
      <c r="P2333" s="1" t="s">
        <v>100</v>
      </c>
      <c r="Q2333" s="1" t="s">
        <v>184</v>
      </c>
      <c r="R2333" s="1" t="s">
        <v>11985</v>
      </c>
      <c r="S2333" s="1" t="s">
        <v>11859</v>
      </c>
      <c r="T2333" s="1">
        <v>1</v>
      </c>
      <c r="U2333" s="1">
        <v>1</v>
      </c>
      <c r="V2333" s="1">
        <v>0</v>
      </c>
      <c r="W2333" s="1">
        <v>0</v>
      </c>
      <c r="X2333" s="1">
        <v>1</v>
      </c>
      <c r="Y2333" s="1">
        <v>2</v>
      </c>
      <c r="Z2333" s="1">
        <v>2</v>
      </c>
      <c r="AA2333" s="1">
        <v>2</v>
      </c>
      <c r="AB2333" s="1" t="s">
        <v>104</v>
      </c>
      <c r="AC2333" s="1" t="s">
        <v>104</v>
      </c>
      <c r="AD2333" s="1">
        <v>2</v>
      </c>
      <c r="AE2333" s="1" t="s">
        <v>104</v>
      </c>
      <c r="AF2333" s="1" t="s">
        <v>104</v>
      </c>
      <c r="AG2333" s="1">
        <v>2</v>
      </c>
      <c r="AH2333" s="1">
        <v>2</v>
      </c>
      <c r="AI2333" s="1" t="s">
        <v>104</v>
      </c>
      <c r="AJ2333" s="1">
        <v>2</v>
      </c>
      <c r="AK2333" s="1">
        <v>1</v>
      </c>
      <c r="AL2333" s="1" t="s">
        <v>104</v>
      </c>
      <c r="AM2333" s="1" t="s">
        <v>104</v>
      </c>
      <c r="AO2333" s="1">
        <v>2</v>
      </c>
      <c r="AQ2333" s="1" t="s">
        <v>11986</v>
      </c>
      <c r="AR2333" s="1">
        <v>0</v>
      </c>
      <c r="AS2333" s="1">
        <v>0</v>
      </c>
      <c r="AT2333" s="1">
        <v>0</v>
      </c>
      <c r="AU2333" s="1">
        <v>0</v>
      </c>
      <c r="AV2333" s="1">
        <v>0</v>
      </c>
      <c r="AW2333" s="1">
        <v>0</v>
      </c>
      <c r="AX2333" s="1">
        <v>0</v>
      </c>
      <c r="AY2333" s="1">
        <v>0</v>
      </c>
      <c r="AZ2333" s="1">
        <v>0</v>
      </c>
      <c r="BA2333" s="1">
        <v>0</v>
      </c>
      <c r="BB2333" s="1">
        <v>0</v>
      </c>
      <c r="BC2333" s="1">
        <v>0</v>
      </c>
      <c r="BD2333" s="1">
        <v>0</v>
      </c>
      <c r="BE2333" s="1">
        <v>0</v>
      </c>
      <c r="BF2333" s="1">
        <v>0</v>
      </c>
      <c r="BG2333" s="1">
        <v>0</v>
      </c>
      <c r="BH2333" s="1">
        <v>1</v>
      </c>
      <c r="BI2333" s="1">
        <v>0</v>
      </c>
      <c r="BJ2333" s="1">
        <v>0</v>
      </c>
      <c r="BK2333" s="1">
        <v>0</v>
      </c>
      <c r="BL2333" s="1">
        <v>0</v>
      </c>
      <c r="BM2333" s="1">
        <v>0</v>
      </c>
      <c r="BN2333" s="1">
        <v>1</v>
      </c>
      <c r="BO2333" s="1">
        <v>0</v>
      </c>
      <c r="BP2333" s="1">
        <v>0</v>
      </c>
      <c r="BQ2333" s="1" t="s">
        <v>104</v>
      </c>
      <c r="BR2333" s="1">
        <v>2454</v>
      </c>
      <c r="BS2333" s="1" t="s">
        <v>104</v>
      </c>
      <c r="BX2333" s="1">
        <v>0</v>
      </c>
      <c r="BY2333" s="1" t="s">
        <v>104</v>
      </c>
      <c r="BZ2333" s="1" t="s">
        <v>104</v>
      </c>
      <c r="CA2333" s="1" t="s">
        <v>104</v>
      </c>
      <c r="CB2333" s="1" t="s">
        <v>104</v>
      </c>
      <c r="CC2333" s="1" t="s">
        <v>104</v>
      </c>
      <c r="CD2333" s="1" t="s">
        <v>104</v>
      </c>
      <c r="CE2333" s="1" t="s">
        <v>104</v>
      </c>
      <c r="CF2333" s="1" t="s">
        <v>104</v>
      </c>
      <c r="CG2333" s="1" t="s">
        <v>104</v>
      </c>
      <c r="CH2333" s="1" t="s">
        <v>104</v>
      </c>
      <c r="CJ2333" s="1">
        <v>0</v>
      </c>
      <c r="CK2333" s="1">
        <v>0</v>
      </c>
      <c r="CL2333" s="1">
        <v>0</v>
      </c>
      <c r="CM2333" s="1">
        <v>2</v>
      </c>
    </row>
    <row r="2334" spans="1:91" ht="14.25" customHeight="1" x14ac:dyDescent="0.3">
      <c r="A2334" s="1" t="s">
        <v>11987</v>
      </c>
      <c r="B2334" s="1" t="s">
        <v>434</v>
      </c>
      <c r="E2334" s="1" t="s">
        <v>11988</v>
      </c>
      <c r="F2334" s="1" t="s">
        <v>11989</v>
      </c>
      <c r="G2334" s="1" t="s">
        <v>11990</v>
      </c>
      <c r="H2334" s="1">
        <v>1</v>
      </c>
      <c r="I2334" s="1" t="s">
        <v>157</v>
      </c>
      <c r="L2334" s="1" t="s">
        <v>158</v>
      </c>
      <c r="M2334" s="1" t="s">
        <v>11991</v>
      </c>
      <c r="N2334" s="1">
        <v>1</v>
      </c>
      <c r="O2334" s="1">
        <v>0</v>
      </c>
      <c r="R2334" s="1" t="s">
        <v>11992</v>
      </c>
      <c r="S2334" s="1" t="s">
        <v>11859</v>
      </c>
      <c r="T2334" s="1">
        <v>1</v>
      </c>
      <c r="U2334" s="1">
        <v>1</v>
      </c>
      <c r="V2334" s="1">
        <v>1</v>
      </c>
      <c r="W2334" s="1">
        <v>0</v>
      </c>
      <c r="X2334" s="1">
        <v>0</v>
      </c>
      <c r="Y2334" s="1">
        <v>4</v>
      </c>
      <c r="Z2334" s="1">
        <v>4</v>
      </c>
      <c r="AA2334" s="1">
        <v>4</v>
      </c>
      <c r="AB2334" s="1" t="s">
        <v>104</v>
      </c>
      <c r="AC2334" s="1" t="s">
        <v>104</v>
      </c>
      <c r="AD2334" s="1">
        <v>4</v>
      </c>
      <c r="AE2334" s="1" t="s">
        <v>104</v>
      </c>
      <c r="AF2334" s="1" t="s">
        <v>104</v>
      </c>
      <c r="AG2334" s="1" t="s">
        <v>104</v>
      </c>
      <c r="AH2334" s="1">
        <v>4</v>
      </c>
      <c r="AI2334" s="1" t="s">
        <v>104</v>
      </c>
      <c r="AJ2334" s="1">
        <v>4</v>
      </c>
      <c r="AK2334" s="1" t="s">
        <v>104</v>
      </c>
      <c r="AL2334" s="1" t="s">
        <v>104</v>
      </c>
      <c r="AM2334" s="1" t="s">
        <v>104</v>
      </c>
      <c r="AO2334" s="1">
        <v>4</v>
      </c>
      <c r="AQ2334" s="1" t="s">
        <v>11993</v>
      </c>
      <c r="AR2334" s="1">
        <v>0</v>
      </c>
      <c r="AS2334" s="1">
        <v>0</v>
      </c>
      <c r="AT2334" s="1">
        <v>0</v>
      </c>
      <c r="AU2334" s="1">
        <v>0</v>
      </c>
      <c r="AV2334" s="1">
        <v>0</v>
      </c>
      <c r="AW2334" s="1">
        <v>0</v>
      </c>
      <c r="AX2334" s="1">
        <v>0</v>
      </c>
      <c r="AY2334" s="1">
        <v>0</v>
      </c>
      <c r="AZ2334" s="1">
        <v>0</v>
      </c>
      <c r="BA2334" s="1">
        <v>0</v>
      </c>
      <c r="BB2334" s="1">
        <v>0</v>
      </c>
      <c r="BC2334" s="1">
        <v>0</v>
      </c>
      <c r="BD2334" s="1">
        <v>0</v>
      </c>
      <c r="BE2334" s="1">
        <v>0</v>
      </c>
      <c r="BF2334" s="1">
        <v>0</v>
      </c>
      <c r="BG2334" s="1">
        <v>0</v>
      </c>
      <c r="BH2334" s="1">
        <v>0</v>
      </c>
      <c r="BI2334" s="1">
        <v>0</v>
      </c>
      <c r="BJ2334" s="1">
        <v>0</v>
      </c>
      <c r="BK2334" s="1">
        <v>0</v>
      </c>
      <c r="BL2334" s="1">
        <v>0</v>
      </c>
      <c r="BM2334" s="1">
        <v>0</v>
      </c>
      <c r="BN2334" s="1">
        <v>0</v>
      </c>
      <c r="BO2334" s="1">
        <v>0</v>
      </c>
      <c r="BP2334" s="1">
        <v>0</v>
      </c>
      <c r="BQ2334" s="1" t="s">
        <v>104</v>
      </c>
      <c r="BR2334" s="1">
        <v>2455</v>
      </c>
      <c r="BS2334" s="1">
        <v>1500</v>
      </c>
      <c r="BX2334" s="1">
        <v>0</v>
      </c>
      <c r="BY2334" s="1" t="s">
        <v>104</v>
      </c>
      <c r="BZ2334" s="1" t="s">
        <v>104</v>
      </c>
      <c r="CA2334" s="1">
        <v>4</v>
      </c>
      <c r="CB2334" s="1" t="s">
        <v>104</v>
      </c>
      <c r="CC2334" s="1" t="s">
        <v>104</v>
      </c>
      <c r="CD2334" s="1" t="s">
        <v>104</v>
      </c>
      <c r="CE2334" s="1" t="s">
        <v>104</v>
      </c>
      <c r="CF2334" s="1" t="s">
        <v>104</v>
      </c>
      <c r="CG2334" s="1" t="s">
        <v>104</v>
      </c>
      <c r="CH2334" s="1" t="s">
        <v>104</v>
      </c>
      <c r="CJ2334" s="1">
        <v>0</v>
      </c>
      <c r="CK2334" s="1">
        <v>0</v>
      </c>
      <c r="CL2334" s="1">
        <v>0</v>
      </c>
      <c r="CM2334" s="1" t="s">
        <v>104</v>
      </c>
    </row>
    <row r="2335" spans="1:91" ht="14.25" customHeight="1" x14ac:dyDescent="0.3">
      <c r="A2335" s="1" t="s">
        <v>11994</v>
      </c>
      <c r="B2335" s="1" t="s">
        <v>507</v>
      </c>
      <c r="C2335" s="1" t="s">
        <v>508</v>
      </c>
      <c r="E2335" s="1" t="s">
        <v>11995</v>
      </c>
      <c r="F2335" s="1" t="s">
        <v>95</v>
      </c>
      <c r="G2335" s="1" t="s">
        <v>116</v>
      </c>
      <c r="H2335" s="1">
        <v>0</v>
      </c>
      <c r="I2335" s="1" t="s">
        <v>117</v>
      </c>
      <c r="L2335" s="1" t="s">
        <v>1065</v>
      </c>
      <c r="M2335" s="1" t="s">
        <v>4992</v>
      </c>
      <c r="N2335" s="1">
        <v>1</v>
      </c>
      <c r="O2335" s="1">
        <v>0</v>
      </c>
      <c r="P2335" s="1" t="s">
        <v>211</v>
      </c>
      <c r="Q2335" s="1" t="s">
        <v>184</v>
      </c>
      <c r="R2335" s="1" t="s">
        <v>11996</v>
      </c>
      <c r="S2335" s="1" t="s">
        <v>11859</v>
      </c>
      <c r="T2335" s="1">
        <v>1</v>
      </c>
      <c r="U2335" s="1">
        <v>1</v>
      </c>
      <c r="V2335" s="1">
        <v>0</v>
      </c>
      <c r="W2335" s="1">
        <v>0</v>
      </c>
      <c r="X2335" s="1">
        <v>0</v>
      </c>
      <c r="Y2335" s="1" t="s">
        <v>104</v>
      </c>
      <c r="Z2335" s="1" t="s">
        <v>104</v>
      </c>
      <c r="AA2335" s="1" t="s">
        <v>104</v>
      </c>
      <c r="AB2335" s="1" t="s">
        <v>104</v>
      </c>
      <c r="AC2335" s="1" t="s">
        <v>104</v>
      </c>
      <c r="AD2335" s="1">
        <v>4</v>
      </c>
      <c r="AE2335" s="1" t="s">
        <v>104</v>
      </c>
      <c r="AF2335" s="1" t="s">
        <v>104</v>
      </c>
      <c r="AG2335" s="1" t="s">
        <v>104</v>
      </c>
      <c r="AH2335" s="1">
        <v>5</v>
      </c>
      <c r="AI2335" s="1">
        <v>4</v>
      </c>
      <c r="AJ2335" s="1" t="s">
        <v>104</v>
      </c>
      <c r="AK2335" s="1">
        <v>3</v>
      </c>
      <c r="AL2335" s="1" t="s">
        <v>104</v>
      </c>
      <c r="AM2335" s="1" t="s">
        <v>104</v>
      </c>
      <c r="AO2335" s="1">
        <v>4</v>
      </c>
      <c r="AQ2335" s="1" t="s">
        <v>11997</v>
      </c>
      <c r="AR2335" s="1">
        <v>0</v>
      </c>
      <c r="AS2335" s="1">
        <v>0</v>
      </c>
      <c r="AT2335" s="1">
        <v>0</v>
      </c>
      <c r="AU2335" s="1">
        <v>0</v>
      </c>
      <c r="AV2335" s="1">
        <v>0</v>
      </c>
      <c r="AW2335" s="1">
        <v>0</v>
      </c>
      <c r="AX2335" s="1">
        <v>0</v>
      </c>
      <c r="AY2335" s="1">
        <v>0</v>
      </c>
      <c r="AZ2335" s="1">
        <v>0</v>
      </c>
      <c r="BA2335" s="1">
        <v>0</v>
      </c>
      <c r="BB2335" s="1">
        <v>0</v>
      </c>
      <c r="BC2335" s="1">
        <v>0</v>
      </c>
      <c r="BD2335" s="1">
        <v>0</v>
      </c>
      <c r="BE2335" s="1">
        <v>0</v>
      </c>
      <c r="BF2335" s="1">
        <v>0</v>
      </c>
      <c r="BG2335" s="1">
        <v>0</v>
      </c>
      <c r="BH2335" s="1">
        <v>0</v>
      </c>
      <c r="BI2335" s="1">
        <v>0</v>
      </c>
      <c r="BJ2335" s="1">
        <v>0</v>
      </c>
      <c r="BK2335" s="1">
        <v>0</v>
      </c>
      <c r="BL2335" s="1">
        <v>0</v>
      </c>
      <c r="BM2335" s="1">
        <v>0</v>
      </c>
      <c r="BN2335" s="1">
        <v>0</v>
      </c>
      <c r="BO2335" s="1">
        <v>0</v>
      </c>
      <c r="BP2335" s="1">
        <v>0</v>
      </c>
      <c r="BQ2335" s="1" t="s">
        <v>104</v>
      </c>
      <c r="BR2335" s="1">
        <v>2456</v>
      </c>
      <c r="BS2335" s="1" t="s">
        <v>104</v>
      </c>
      <c r="BX2335" s="1">
        <v>0</v>
      </c>
      <c r="BY2335" s="1" t="s">
        <v>104</v>
      </c>
      <c r="BZ2335" s="1" t="s">
        <v>104</v>
      </c>
      <c r="CA2335" s="1">
        <v>4</v>
      </c>
      <c r="CB2335" s="1">
        <v>3</v>
      </c>
      <c r="CC2335" s="1">
        <v>4</v>
      </c>
      <c r="CD2335" s="1" t="s">
        <v>104</v>
      </c>
      <c r="CE2335" s="1" t="s">
        <v>104</v>
      </c>
      <c r="CF2335" s="1" t="s">
        <v>104</v>
      </c>
      <c r="CG2335" s="1" t="s">
        <v>104</v>
      </c>
      <c r="CH2335" s="1" t="s">
        <v>104</v>
      </c>
      <c r="CJ2335" s="1">
        <v>0</v>
      </c>
      <c r="CK2335" s="1">
        <v>0</v>
      </c>
      <c r="CL2335" s="1">
        <v>0</v>
      </c>
      <c r="CM2335" s="1" t="s">
        <v>104</v>
      </c>
    </row>
    <row r="2336" spans="1:91" ht="14.25" customHeight="1" x14ac:dyDescent="0.3">
      <c r="A2336" s="1" t="s">
        <v>11998</v>
      </c>
      <c r="B2336" s="1" t="s">
        <v>123</v>
      </c>
      <c r="C2336" s="1" t="s">
        <v>124</v>
      </c>
      <c r="D2336" s="1" t="s">
        <v>125</v>
      </c>
      <c r="E2336" s="1" t="s">
        <v>11999</v>
      </c>
      <c r="F2336" s="1" t="s">
        <v>1502</v>
      </c>
      <c r="G2336" s="1" t="s">
        <v>116</v>
      </c>
      <c r="H2336" s="1">
        <v>0</v>
      </c>
      <c r="I2336" s="1" t="s">
        <v>117</v>
      </c>
      <c r="L2336" s="1" t="s">
        <v>1065</v>
      </c>
      <c r="M2336" s="1" t="s">
        <v>119</v>
      </c>
      <c r="N2336" s="1">
        <v>0</v>
      </c>
      <c r="O2336" s="1">
        <v>0</v>
      </c>
      <c r="P2336" s="1" t="s">
        <v>211</v>
      </c>
      <c r="Q2336" s="1" t="s">
        <v>184</v>
      </c>
      <c r="R2336" s="1" t="s">
        <v>12000</v>
      </c>
      <c r="S2336" s="1" t="s">
        <v>11859</v>
      </c>
      <c r="T2336" s="1">
        <v>1</v>
      </c>
      <c r="U2336" s="1">
        <v>1</v>
      </c>
      <c r="V2336" s="1">
        <v>0</v>
      </c>
      <c r="W2336" s="1">
        <v>0</v>
      </c>
      <c r="X2336" s="1">
        <v>0</v>
      </c>
      <c r="Y2336" s="1">
        <v>3</v>
      </c>
      <c r="Z2336" s="1">
        <v>3</v>
      </c>
      <c r="AA2336" s="1" t="s">
        <v>104</v>
      </c>
      <c r="AB2336" s="1" t="s">
        <v>104</v>
      </c>
      <c r="AC2336" s="1" t="s">
        <v>104</v>
      </c>
      <c r="AD2336" s="1">
        <v>2</v>
      </c>
      <c r="AE2336" s="1" t="s">
        <v>104</v>
      </c>
      <c r="AF2336" s="1" t="s">
        <v>104</v>
      </c>
      <c r="AG2336" s="1" t="s">
        <v>104</v>
      </c>
      <c r="AH2336" s="1" t="s">
        <v>104</v>
      </c>
      <c r="AI2336" s="1" t="s">
        <v>104</v>
      </c>
      <c r="AJ2336" s="1" t="s">
        <v>104</v>
      </c>
      <c r="AK2336" s="1" t="s">
        <v>104</v>
      </c>
      <c r="AL2336" s="1" t="s">
        <v>104</v>
      </c>
      <c r="AM2336" s="1" t="s">
        <v>104</v>
      </c>
      <c r="AO2336" s="1">
        <v>3</v>
      </c>
      <c r="AQ2336" s="1" t="s">
        <v>12001</v>
      </c>
      <c r="AR2336" s="1">
        <v>0</v>
      </c>
      <c r="AS2336" s="1">
        <v>0</v>
      </c>
      <c r="AT2336" s="1">
        <v>0</v>
      </c>
      <c r="AU2336" s="1">
        <v>0</v>
      </c>
      <c r="AV2336" s="1">
        <v>0</v>
      </c>
      <c r="AW2336" s="1">
        <v>0</v>
      </c>
      <c r="AX2336" s="1">
        <v>0</v>
      </c>
      <c r="AY2336" s="1">
        <v>0</v>
      </c>
      <c r="AZ2336" s="1">
        <v>0</v>
      </c>
      <c r="BA2336" s="1">
        <v>0</v>
      </c>
      <c r="BB2336" s="1">
        <v>0</v>
      </c>
      <c r="BC2336" s="1">
        <v>0</v>
      </c>
      <c r="BD2336" s="1">
        <v>0</v>
      </c>
      <c r="BE2336" s="1">
        <v>0</v>
      </c>
      <c r="BF2336" s="1">
        <v>0</v>
      </c>
      <c r="BG2336" s="1">
        <v>0</v>
      </c>
      <c r="BH2336" s="1">
        <v>0</v>
      </c>
      <c r="BI2336" s="1">
        <v>0</v>
      </c>
      <c r="BJ2336" s="1">
        <v>0</v>
      </c>
      <c r="BK2336" s="1">
        <v>1</v>
      </c>
      <c r="BL2336" s="1">
        <v>0</v>
      </c>
      <c r="BM2336" s="1">
        <v>0</v>
      </c>
      <c r="BN2336" s="1">
        <v>0</v>
      </c>
      <c r="BO2336" s="1">
        <v>0</v>
      </c>
      <c r="BP2336" s="1">
        <v>0</v>
      </c>
      <c r="BQ2336" s="1" t="s">
        <v>104</v>
      </c>
      <c r="BR2336" s="1">
        <v>2457</v>
      </c>
      <c r="BS2336" s="1" t="s">
        <v>104</v>
      </c>
      <c r="BX2336" s="1">
        <v>0</v>
      </c>
      <c r="BY2336" s="1" t="s">
        <v>104</v>
      </c>
      <c r="BZ2336" s="1" t="s">
        <v>104</v>
      </c>
      <c r="CA2336" s="1">
        <v>2</v>
      </c>
      <c r="CB2336" s="1" t="s">
        <v>104</v>
      </c>
      <c r="CC2336" s="1">
        <v>2</v>
      </c>
      <c r="CD2336" s="1" t="s">
        <v>104</v>
      </c>
      <c r="CE2336" s="1" t="s">
        <v>104</v>
      </c>
      <c r="CF2336" s="1" t="s">
        <v>104</v>
      </c>
      <c r="CG2336" s="1" t="s">
        <v>104</v>
      </c>
      <c r="CH2336" s="1" t="s">
        <v>104</v>
      </c>
      <c r="CJ2336" s="1">
        <v>0</v>
      </c>
      <c r="CK2336" s="1">
        <v>0</v>
      </c>
      <c r="CL2336" s="1">
        <v>0</v>
      </c>
      <c r="CM2336" s="1" t="s">
        <v>104</v>
      </c>
    </row>
    <row r="2337" spans="1:91" ht="14.25" customHeight="1" x14ac:dyDescent="0.3">
      <c r="A2337" s="1" t="s">
        <v>12002</v>
      </c>
      <c r="B2337" s="1" t="s">
        <v>123</v>
      </c>
      <c r="C2337" s="1" t="s">
        <v>124</v>
      </c>
      <c r="D2337" s="1" t="s">
        <v>728</v>
      </c>
      <c r="E2337" s="1" t="s">
        <v>12003</v>
      </c>
      <c r="F2337" s="1" t="s">
        <v>95</v>
      </c>
      <c r="G2337" s="1" t="s">
        <v>2508</v>
      </c>
      <c r="H2337" s="1">
        <v>0</v>
      </c>
      <c r="I2337" s="1" t="s">
        <v>109</v>
      </c>
      <c r="L2337" s="1" t="s">
        <v>2509</v>
      </c>
      <c r="M2337" s="1" t="s">
        <v>12004</v>
      </c>
      <c r="N2337" s="1">
        <v>1</v>
      </c>
      <c r="O2337" s="1">
        <v>0</v>
      </c>
      <c r="P2337" s="1" t="s">
        <v>1902</v>
      </c>
      <c r="Q2337" s="1" t="s">
        <v>3284</v>
      </c>
      <c r="R2337" s="1" t="s">
        <v>12005</v>
      </c>
      <c r="S2337" s="1" t="s">
        <v>11859</v>
      </c>
      <c r="T2337" s="1">
        <v>1</v>
      </c>
      <c r="U2337" s="1">
        <v>1</v>
      </c>
      <c r="V2337" s="1">
        <v>0</v>
      </c>
      <c r="W2337" s="1">
        <v>0</v>
      </c>
      <c r="X2337" s="1">
        <v>0</v>
      </c>
      <c r="Y2337" s="1">
        <v>4</v>
      </c>
      <c r="Z2337" s="1">
        <v>4</v>
      </c>
      <c r="AA2337" s="1" t="s">
        <v>104</v>
      </c>
      <c r="AB2337" s="1" t="s">
        <v>104</v>
      </c>
      <c r="AC2337" s="1" t="s">
        <v>104</v>
      </c>
      <c r="AD2337" s="1">
        <v>3</v>
      </c>
      <c r="AE2337" s="1" t="s">
        <v>104</v>
      </c>
      <c r="AF2337" s="1" t="s">
        <v>104</v>
      </c>
      <c r="AG2337" s="1" t="s">
        <v>104</v>
      </c>
      <c r="AH2337" s="1">
        <v>4</v>
      </c>
      <c r="AI2337" s="1" t="s">
        <v>104</v>
      </c>
      <c r="AJ2337" s="1" t="s">
        <v>104</v>
      </c>
      <c r="AK2337" s="1" t="s">
        <v>104</v>
      </c>
      <c r="AL2337" s="1" t="s">
        <v>104</v>
      </c>
      <c r="AM2337" s="1" t="s">
        <v>104</v>
      </c>
      <c r="AO2337" s="1">
        <v>4</v>
      </c>
      <c r="AQ2337" s="1" t="s">
        <v>12006</v>
      </c>
      <c r="AR2337" s="1">
        <v>0</v>
      </c>
      <c r="AS2337" s="1">
        <v>0</v>
      </c>
      <c r="AT2337" s="1">
        <v>0</v>
      </c>
      <c r="AU2337" s="1">
        <v>0</v>
      </c>
      <c r="AV2337" s="1">
        <v>0</v>
      </c>
      <c r="AW2337" s="1">
        <v>0</v>
      </c>
      <c r="AX2337" s="1">
        <v>0</v>
      </c>
      <c r="AY2337" s="1">
        <v>0</v>
      </c>
      <c r="AZ2337" s="1">
        <v>0</v>
      </c>
      <c r="BA2337" s="1">
        <v>0</v>
      </c>
      <c r="BB2337" s="1">
        <v>0</v>
      </c>
      <c r="BC2337" s="1">
        <v>0</v>
      </c>
      <c r="BD2337" s="1">
        <v>0</v>
      </c>
      <c r="BE2337" s="1">
        <v>0</v>
      </c>
      <c r="BF2337" s="1">
        <v>0</v>
      </c>
      <c r="BG2337" s="1">
        <v>0</v>
      </c>
      <c r="BH2337" s="1">
        <v>1</v>
      </c>
      <c r="BI2337" s="1">
        <v>0</v>
      </c>
      <c r="BJ2337" s="1">
        <v>0</v>
      </c>
      <c r="BK2337" s="1">
        <v>1</v>
      </c>
      <c r="BL2337" s="1">
        <v>0</v>
      </c>
      <c r="BM2337" s="1">
        <v>0</v>
      </c>
      <c r="BN2337" s="1">
        <v>0</v>
      </c>
      <c r="BO2337" s="1">
        <v>0</v>
      </c>
      <c r="BP2337" s="1">
        <v>0</v>
      </c>
      <c r="BQ2337" s="1" t="s">
        <v>104</v>
      </c>
      <c r="BR2337" s="1">
        <v>2458</v>
      </c>
      <c r="BS2337" s="1" t="s">
        <v>104</v>
      </c>
      <c r="BX2337" s="1">
        <v>0</v>
      </c>
      <c r="BY2337" s="1" t="s">
        <v>104</v>
      </c>
      <c r="BZ2337" s="1" t="s">
        <v>104</v>
      </c>
      <c r="CA2337" s="1">
        <v>3</v>
      </c>
      <c r="CB2337" s="1">
        <v>3</v>
      </c>
      <c r="CC2337" s="1">
        <v>3</v>
      </c>
      <c r="CD2337" s="1">
        <v>4</v>
      </c>
      <c r="CE2337" s="1" t="s">
        <v>104</v>
      </c>
      <c r="CF2337" s="1" t="s">
        <v>104</v>
      </c>
      <c r="CG2337" s="1" t="s">
        <v>104</v>
      </c>
      <c r="CH2337" s="1" t="s">
        <v>104</v>
      </c>
      <c r="CJ2337" s="1">
        <v>0</v>
      </c>
      <c r="CK2337" s="1">
        <v>0</v>
      </c>
      <c r="CL2337" s="1">
        <v>0</v>
      </c>
      <c r="CM2337" s="1" t="s">
        <v>104</v>
      </c>
    </row>
    <row r="2338" spans="1:91" ht="14.25" customHeight="1" x14ac:dyDescent="0.3">
      <c r="A2338" s="1" t="s">
        <v>12007</v>
      </c>
      <c r="B2338" s="1" t="s">
        <v>123</v>
      </c>
      <c r="C2338" s="1" t="s">
        <v>124</v>
      </c>
      <c r="D2338" s="1" t="s">
        <v>728</v>
      </c>
      <c r="E2338" s="1" t="s">
        <v>12008</v>
      </c>
      <c r="F2338" s="1" t="s">
        <v>95</v>
      </c>
      <c r="G2338" s="1" t="s">
        <v>2508</v>
      </c>
      <c r="H2338" s="1">
        <v>0</v>
      </c>
      <c r="I2338" s="1" t="s">
        <v>109</v>
      </c>
      <c r="L2338" s="1" t="s">
        <v>2509</v>
      </c>
      <c r="M2338" s="1" t="s">
        <v>12004</v>
      </c>
      <c r="N2338" s="1">
        <v>1</v>
      </c>
      <c r="O2338" s="1">
        <v>0</v>
      </c>
      <c r="P2338" s="1" t="s">
        <v>1902</v>
      </c>
      <c r="Q2338" s="1" t="s">
        <v>3284</v>
      </c>
      <c r="R2338" s="1" t="s">
        <v>12009</v>
      </c>
      <c r="S2338" s="1" t="s">
        <v>11859</v>
      </c>
      <c r="T2338" s="1">
        <v>1</v>
      </c>
      <c r="U2338" s="1">
        <v>1</v>
      </c>
      <c r="V2338" s="1">
        <v>0</v>
      </c>
      <c r="W2338" s="1">
        <v>0</v>
      </c>
      <c r="X2338" s="1">
        <v>0</v>
      </c>
      <c r="Y2338" s="1">
        <v>7</v>
      </c>
      <c r="Z2338" s="1">
        <v>7</v>
      </c>
      <c r="AA2338" s="1" t="s">
        <v>104</v>
      </c>
      <c r="AB2338" s="1" t="s">
        <v>104</v>
      </c>
      <c r="AC2338" s="1" t="s">
        <v>104</v>
      </c>
      <c r="AD2338" s="1">
        <v>6</v>
      </c>
      <c r="AE2338" s="1" t="s">
        <v>104</v>
      </c>
      <c r="AF2338" s="1" t="s">
        <v>104</v>
      </c>
      <c r="AG2338" s="1" t="s">
        <v>104</v>
      </c>
      <c r="AH2338" s="1">
        <v>7</v>
      </c>
      <c r="AI2338" s="1" t="s">
        <v>104</v>
      </c>
      <c r="AJ2338" s="1" t="s">
        <v>104</v>
      </c>
      <c r="AK2338" s="1" t="s">
        <v>104</v>
      </c>
      <c r="AL2338" s="1" t="s">
        <v>104</v>
      </c>
      <c r="AM2338" s="1" t="s">
        <v>104</v>
      </c>
      <c r="AO2338" s="1">
        <v>7</v>
      </c>
      <c r="AQ2338" s="1" t="s">
        <v>12010</v>
      </c>
      <c r="AR2338" s="1">
        <v>0</v>
      </c>
      <c r="AS2338" s="1">
        <v>0</v>
      </c>
      <c r="AT2338" s="1">
        <v>0</v>
      </c>
      <c r="AU2338" s="1">
        <v>0</v>
      </c>
      <c r="AV2338" s="1">
        <v>0</v>
      </c>
      <c r="AW2338" s="1">
        <v>0</v>
      </c>
      <c r="AX2338" s="1">
        <v>0</v>
      </c>
      <c r="AY2338" s="1">
        <v>0</v>
      </c>
      <c r="AZ2338" s="1">
        <v>0</v>
      </c>
      <c r="BA2338" s="1">
        <v>0</v>
      </c>
      <c r="BB2338" s="1">
        <v>0</v>
      </c>
      <c r="BC2338" s="1">
        <v>0</v>
      </c>
      <c r="BD2338" s="1">
        <v>0</v>
      </c>
      <c r="BE2338" s="1">
        <v>0</v>
      </c>
      <c r="BF2338" s="1">
        <v>0</v>
      </c>
      <c r="BG2338" s="1">
        <v>0</v>
      </c>
      <c r="BH2338" s="1">
        <v>1</v>
      </c>
      <c r="BI2338" s="1">
        <v>0</v>
      </c>
      <c r="BJ2338" s="1">
        <v>0</v>
      </c>
      <c r="BK2338" s="1">
        <v>1</v>
      </c>
      <c r="BL2338" s="1">
        <v>0</v>
      </c>
      <c r="BM2338" s="1">
        <v>0</v>
      </c>
      <c r="BN2338" s="1">
        <v>0</v>
      </c>
      <c r="BO2338" s="1">
        <v>0</v>
      </c>
      <c r="BP2338" s="1">
        <v>0</v>
      </c>
      <c r="BQ2338" s="1" t="s">
        <v>104</v>
      </c>
      <c r="BR2338" s="1">
        <v>2459</v>
      </c>
      <c r="BS2338" s="1" t="s">
        <v>104</v>
      </c>
      <c r="BX2338" s="1">
        <v>0</v>
      </c>
      <c r="BY2338" s="1" t="s">
        <v>104</v>
      </c>
      <c r="BZ2338" s="1" t="s">
        <v>104</v>
      </c>
      <c r="CA2338" s="1">
        <v>6</v>
      </c>
      <c r="CB2338" s="1" t="s">
        <v>104</v>
      </c>
      <c r="CC2338" s="1">
        <v>6</v>
      </c>
      <c r="CD2338" s="1">
        <v>6</v>
      </c>
      <c r="CE2338" s="1" t="s">
        <v>104</v>
      </c>
      <c r="CF2338" s="1" t="s">
        <v>104</v>
      </c>
      <c r="CG2338" s="1" t="s">
        <v>104</v>
      </c>
      <c r="CH2338" s="1" t="s">
        <v>104</v>
      </c>
      <c r="CJ2338" s="1">
        <v>0</v>
      </c>
      <c r="CK2338" s="1">
        <v>0</v>
      </c>
      <c r="CL2338" s="1">
        <v>0</v>
      </c>
      <c r="CM2338" s="1" t="s">
        <v>104</v>
      </c>
    </row>
    <row r="2339" spans="1:91" ht="14.25" customHeight="1" x14ac:dyDescent="0.3">
      <c r="A2339" s="1" t="s">
        <v>12011</v>
      </c>
      <c r="B2339" s="1" t="s">
        <v>92</v>
      </c>
      <c r="C2339" s="1" t="s">
        <v>93</v>
      </c>
      <c r="E2339" s="1" t="s">
        <v>12012</v>
      </c>
      <c r="F2339" s="1" t="s">
        <v>4934</v>
      </c>
      <c r="G2339" s="1" t="s">
        <v>237</v>
      </c>
      <c r="H2339" s="1">
        <v>0</v>
      </c>
      <c r="I2339" s="1" t="s">
        <v>157</v>
      </c>
      <c r="K2339" s="1" t="s">
        <v>12013</v>
      </c>
      <c r="M2339" s="1" t="s">
        <v>2330</v>
      </c>
      <c r="N2339" s="1">
        <v>0</v>
      </c>
      <c r="O2339" s="1">
        <v>0</v>
      </c>
      <c r="P2339" s="1" t="s">
        <v>100</v>
      </c>
      <c r="Q2339" s="1" t="s">
        <v>101</v>
      </c>
      <c r="R2339" s="1" t="s">
        <v>12014</v>
      </c>
      <c r="S2339" s="1" t="s">
        <v>11859</v>
      </c>
      <c r="T2339" s="1">
        <v>1</v>
      </c>
      <c r="U2339" s="1">
        <v>0</v>
      </c>
      <c r="V2339" s="1">
        <v>0</v>
      </c>
      <c r="W2339" s="1">
        <v>0</v>
      </c>
      <c r="X2339" s="1">
        <v>0</v>
      </c>
      <c r="Y2339" s="1">
        <v>1</v>
      </c>
      <c r="Z2339" s="1">
        <v>1</v>
      </c>
      <c r="AA2339" s="1">
        <v>1</v>
      </c>
      <c r="AB2339" s="1" t="s">
        <v>104</v>
      </c>
      <c r="AC2339" s="1">
        <v>1</v>
      </c>
      <c r="AD2339" s="1">
        <v>1</v>
      </c>
      <c r="AE2339" s="1" t="s">
        <v>104</v>
      </c>
      <c r="AF2339" s="1" t="s">
        <v>104</v>
      </c>
      <c r="AG2339" s="1" t="s">
        <v>104</v>
      </c>
      <c r="AH2339" s="1" t="s">
        <v>104</v>
      </c>
      <c r="AI2339" s="1">
        <v>1</v>
      </c>
      <c r="AJ2339" s="1">
        <v>1</v>
      </c>
      <c r="AK2339" s="1">
        <v>1</v>
      </c>
      <c r="AL2339" s="1">
        <v>1</v>
      </c>
      <c r="AM2339" s="1" t="s">
        <v>104</v>
      </c>
      <c r="AO2339" s="1">
        <v>1</v>
      </c>
      <c r="AQ2339" s="1" t="s">
        <v>12015</v>
      </c>
      <c r="AR2339" s="1">
        <v>0</v>
      </c>
      <c r="AS2339" s="1">
        <v>0</v>
      </c>
      <c r="AT2339" s="1">
        <v>0</v>
      </c>
      <c r="AU2339" s="1">
        <v>0</v>
      </c>
      <c r="AV2339" s="1">
        <v>0</v>
      </c>
      <c r="AW2339" s="1">
        <v>0</v>
      </c>
      <c r="AX2339" s="1">
        <v>0</v>
      </c>
      <c r="AY2339" s="1">
        <v>0</v>
      </c>
      <c r="AZ2339" s="1">
        <v>0</v>
      </c>
      <c r="BA2339" s="1">
        <v>0</v>
      </c>
      <c r="BB2339" s="1">
        <v>0</v>
      </c>
      <c r="BC2339" s="1">
        <v>0</v>
      </c>
      <c r="BD2339" s="1">
        <v>0</v>
      </c>
      <c r="BE2339" s="1">
        <v>0</v>
      </c>
      <c r="BF2339" s="1">
        <v>0</v>
      </c>
      <c r="BG2339" s="1">
        <v>0</v>
      </c>
      <c r="BH2339" s="1">
        <v>0</v>
      </c>
      <c r="BI2339" s="1">
        <v>0</v>
      </c>
      <c r="BJ2339" s="1">
        <v>0</v>
      </c>
      <c r="BK2339" s="1">
        <v>0</v>
      </c>
      <c r="BL2339" s="1">
        <v>0</v>
      </c>
      <c r="BM2339" s="1">
        <v>0</v>
      </c>
      <c r="BN2339" s="1">
        <v>0</v>
      </c>
      <c r="BO2339" s="1">
        <v>0</v>
      </c>
      <c r="BP2339" s="1">
        <v>0</v>
      </c>
      <c r="BQ2339" s="1" t="s">
        <v>104</v>
      </c>
      <c r="BR2339" s="1">
        <v>2460</v>
      </c>
      <c r="BS2339" s="1" t="s">
        <v>104</v>
      </c>
      <c r="BX2339" s="1">
        <v>0</v>
      </c>
      <c r="BY2339" s="1">
        <v>1</v>
      </c>
      <c r="BZ2339" s="1" t="s">
        <v>104</v>
      </c>
      <c r="CA2339" s="1" t="s">
        <v>104</v>
      </c>
      <c r="CB2339" s="1" t="s">
        <v>104</v>
      </c>
      <c r="CC2339" s="1" t="s">
        <v>104</v>
      </c>
      <c r="CD2339" s="1">
        <v>1</v>
      </c>
      <c r="CE2339" s="1" t="s">
        <v>104</v>
      </c>
      <c r="CF2339" s="1" t="s">
        <v>104</v>
      </c>
      <c r="CG2339" s="1" t="s">
        <v>104</v>
      </c>
      <c r="CH2339" s="1">
        <v>1</v>
      </c>
      <c r="CJ2339" s="1">
        <v>0</v>
      </c>
      <c r="CK2339" s="1">
        <v>0</v>
      </c>
      <c r="CL2339" s="1">
        <v>0</v>
      </c>
      <c r="CM2339" s="1" t="s">
        <v>104</v>
      </c>
    </row>
    <row r="2340" spans="1:91" ht="14.25" customHeight="1" x14ac:dyDescent="0.3">
      <c r="A2340" s="1" t="s">
        <v>12016</v>
      </c>
      <c r="B2340" s="1" t="s">
        <v>172</v>
      </c>
      <c r="D2340" s="1" t="s">
        <v>125</v>
      </c>
      <c r="E2340" s="1" t="s">
        <v>12017</v>
      </c>
      <c r="F2340" s="1" t="s">
        <v>95</v>
      </c>
      <c r="G2340" s="1" t="s">
        <v>12018</v>
      </c>
      <c r="H2340" s="1">
        <v>0</v>
      </c>
      <c r="I2340" s="1" t="s">
        <v>776</v>
      </c>
      <c r="J2340" s="1" t="s">
        <v>1030</v>
      </c>
      <c r="M2340" s="1" t="s">
        <v>8629</v>
      </c>
      <c r="N2340" s="1">
        <v>1</v>
      </c>
      <c r="O2340" s="1">
        <v>0</v>
      </c>
      <c r="P2340" s="1" t="s">
        <v>1902</v>
      </c>
      <c r="Q2340" s="1" t="s">
        <v>101</v>
      </c>
      <c r="R2340" s="1" t="s">
        <v>12019</v>
      </c>
      <c r="S2340" s="1" t="s">
        <v>11859</v>
      </c>
      <c r="T2340" s="1">
        <v>1</v>
      </c>
      <c r="U2340" s="1">
        <v>1</v>
      </c>
      <c r="V2340" s="1">
        <v>0</v>
      </c>
      <c r="W2340" s="1">
        <v>0</v>
      </c>
      <c r="X2340" s="1">
        <v>1</v>
      </c>
      <c r="Y2340" s="1">
        <v>3</v>
      </c>
      <c r="Z2340" s="1">
        <v>3</v>
      </c>
      <c r="AA2340" s="1">
        <v>3</v>
      </c>
      <c r="AB2340" s="1" t="s">
        <v>104</v>
      </c>
      <c r="AC2340" s="1" t="s">
        <v>104</v>
      </c>
      <c r="AD2340" s="1">
        <v>3</v>
      </c>
      <c r="AE2340" s="1">
        <v>3</v>
      </c>
      <c r="AF2340" s="1" t="s">
        <v>104</v>
      </c>
      <c r="AG2340" s="1" t="s">
        <v>104</v>
      </c>
      <c r="AH2340" s="1">
        <v>3</v>
      </c>
      <c r="AI2340" s="1">
        <v>3</v>
      </c>
      <c r="AJ2340" s="1">
        <v>3</v>
      </c>
      <c r="AK2340" s="1">
        <v>2</v>
      </c>
      <c r="AL2340" s="1" t="s">
        <v>104</v>
      </c>
      <c r="AM2340" s="1" t="s">
        <v>104</v>
      </c>
      <c r="AO2340" s="1">
        <v>3</v>
      </c>
      <c r="AQ2340" s="1" t="s">
        <v>12020</v>
      </c>
      <c r="AR2340" s="1">
        <v>0</v>
      </c>
      <c r="AS2340" s="1">
        <v>0</v>
      </c>
      <c r="AT2340" s="1">
        <v>0</v>
      </c>
      <c r="AU2340" s="1">
        <v>0</v>
      </c>
      <c r="AV2340" s="1">
        <v>0</v>
      </c>
      <c r="AW2340" s="1">
        <v>0</v>
      </c>
      <c r="AX2340" s="1">
        <v>0</v>
      </c>
      <c r="AY2340" s="1">
        <v>0</v>
      </c>
      <c r="AZ2340" s="1">
        <v>0</v>
      </c>
      <c r="BA2340" s="1">
        <v>0</v>
      </c>
      <c r="BB2340" s="1">
        <v>0</v>
      </c>
      <c r="BC2340" s="1">
        <v>0</v>
      </c>
      <c r="BD2340" s="1">
        <v>0</v>
      </c>
      <c r="BE2340" s="1">
        <v>0</v>
      </c>
      <c r="BF2340" s="1">
        <v>0</v>
      </c>
      <c r="BG2340" s="1">
        <v>0</v>
      </c>
      <c r="BH2340" s="1">
        <v>0</v>
      </c>
      <c r="BI2340" s="1">
        <v>0</v>
      </c>
      <c r="BJ2340" s="1">
        <v>0</v>
      </c>
      <c r="BK2340" s="1">
        <v>1</v>
      </c>
      <c r="BL2340" s="1">
        <v>0</v>
      </c>
      <c r="BM2340" s="1">
        <v>0</v>
      </c>
      <c r="BN2340" s="1">
        <v>0</v>
      </c>
      <c r="BO2340" s="1">
        <v>0</v>
      </c>
      <c r="BP2340" s="1">
        <v>0</v>
      </c>
      <c r="BQ2340" s="1" t="s">
        <v>104</v>
      </c>
      <c r="BR2340" s="1">
        <v>2461</v>
      </c>
      <c r="BS2340" s="1" t="s">
        <v>104</v>
      </c>
      <c r="BX2340" s="1">
        <v>0</v>
      </c>
      <c r="BY2340" s="1" t="s">
        <v>104</v>
      </c>
      <c r="BZ2340" s="1" t="s">
        <v>104</v>
      </c>
      <c r="CA2340" s="1">
        <v>2</v>
      </c>
      <c r="CB2340" s="1">
        <v>2</v>
      </c>
      <c r="CC2340" s="1">
        <v>2</v>
      </c>
      <c r="CD2340" s="1" t="s">
        <v>104</v>
      </c>
      <c r="CE2340" s="1">
        <v>3</v>
      </c>
      <c r="CF2340" s="1" t="s">
        <v>104</v>
      </c>
      <c r="CG2340" s="1" t="s">
        <v>104</v>
      </c>
      <c r="CH2340" s="1" t="s">
        <v>104</v>
      </c>
      <c r="CJ2340" s="1">
        <v>0</v>
      </c>
      <c r="CK2340" s="1">
        <v>0</v>
      </c>
      <c r="CL2340" s="1">
        <v>0</v>
      </c>
      <c r="CM2340" s="1" t="s">
        <v>104</v>
      </c>
    </row>
    <row r="2341" spans="1:91" ht="14.25" customHeight="1" x14ac:dyDescent="0.3">
      <c r="A2341" s="1" t="s">
        <v>12021</v>
      </c>
      <c r="B2341" s="1" t="s">
        <v>172</v>
      </c>
      <c r="D2341" s="1" t="s">
        <v>125</v>
      </c>
      <c r="E2341" s="1" t="s">
        <v>12022</v>
      </c>
      <c r="F2341" s="1" t="s">
        <v>95</v>
      </c>
      <c r="G2341" s="1" t="s">
        <v>12018</v>
      </c>
      <c r="H2341" s="1">
        <v>0</v>
      </c>
      <c r="I2341" s="1" t="s">
        <v>776</v>
      </c>
      <c r="J2341" s="1" t="s">
        <v>1030</v>
      </c>
      <c r="M2341" s="1" t="s">
        <v>8629</v>
      </c>
      <c r="N2341" s="1">
        <v>1</v>
      </c>
      <c r="O2341" s="1">
        <v>0</v>
      </c>
      <c r="P2341" s="1" t="s">
        <v>1902</v>
      </c>
      <c r="Q2341" s="1" t="s">
        <v>101</v>
      </c>
      <c r="R2341" s="1" t="s">
        <v>12023</v>
      </c>
      <c r="S2341" s="1" t="s">
        <v>11859</v>
      </c>
      <c r="T2341" s="1">
        <v>1</v>
      </c>
      <c r="U2341" s="1">
        <v>1</v>
      </c>
      <c r="V2341" s="1">
        <v>0</v>
      </c>
      <c r="W2341" s="1">
        <v>0</v>
      </c>
      <c r="X2341" s="1">
        <v>1</v>
      </c>
      <c r="Y2341" s="1">
        <v>3</v>
      </c>
      <c r="Z2341" s="1">
        <v>3</v>
      </c>
      <c r="AA2341" s="1">
        <v>3</v>
      </c>
      <c r="AB2341" s="1" t="s">
        <v>104</v>
      </c>
      <c r="AC2341" s="1" t="s">
        <v>104</v>
      </c>
      <c r="AD2341" s="1">
        <v>2</v>
      </c>
      <c r="AE2341" s="1">
        <v>3</v>
      </c>
      <c r="AF2341" s="1" t="s">
        <v>104</v>
      </c>
      <c r="AG2341" s="1" t="s">
        <v>104</v>
      </c>
      <c r="AH2341" s="1">
        <v>3</v>
      </c>
      <c r="AI2341" s="1">
        <v>3</v>
      </c>
      <c r="AJ2341" s="1">
        <v>3</v>
      </c>
      <c r="AK2341" s="1">
        <v>2</v>
      </c>
      <c r="AL2341" s="1" t="s">
        <v>104</v>
      </c>
      <c r="AM2341" s="1" t="s">
        <v>104</v>
      </c>
      <c r="AO2341" s="1">
        <v>3</v>
      </c>
      <c r="AQ2341" s="1" t="s">
        <v>12024</v>
      </c>
      <c r="AR2341" s="1">
        <v>0</v>
      </c>
      <c r="AS2341" s="1">
        <v>0</v>
      </c>
      <c r="AT2341" s="1">
        <v>0</v>
      </c>
      <c r="AU2341" s="1">
        <v>0</v>
      </c>
      <c r="AV2341" s="1">
        <v>0</v>
      </c>
      <c r="AW2341" s="1">
        <v>0</v>
      </c>
      <c r="AX2341" s="1">
        <v>0</v>
      </c>
      <c r="AY2341" s="1">
        <v>0</v>
      </c>
      <c r="AZ2341" s="1">
        <v>0</v>
      </c>
      <c r="BA2341" s="1">
        <v>0</v>
      </c>
      <c r="BB2341" s="1">
        <v>0</v>
      </c>
      <c r="BC2341" s="1">
        <v>0</v>
      </c>
      <c r="BD2341" s="1">
        <v>0</v>
      </c>
      <c r="BE2341" s="1">
        <v>0</v>
      </c>
      <c r="BF2341" s="1">
        <v>0</v>
      </c>
      <c r="BG2341" s="1">
        <v>0</v>
      </c>
      <c r="BH2341" s="1">
        <v>0</v>
      </c>
      <c r="BI2341" s="1">
        <v>0</v>
      </c>
      <c r="BJ2341" s="1">
        <v>0</v>
      </c>
      <c r="BK2341" s="1">
        <v>1</v>
      </c>
      <c r="BL2341" s="1">
        <v>0</v>
      </c>
      <c r="BM2341" s="1">
        <v>0</v>
      </c>
      <c r="BN2341" s="1">
        <v>0</v>
      </c>
      <c r="BO2341" s="1">
        <v>0</v>
      </c>
      <c r="BP2341" s="1">
        <v>0</v>
      </c>
      <c r="BQ2341" s="1" t="s">
        <v>104</v>
      </c>
      <c r="BR2341" s="1">
        <v>2462</v>
      </c>
      <c r="BS2341" s="1" t="s">
        <v>104</v>
      </c>
      <c r="BX2341" s="1">
        <v>0</v>
      </c>
      <c r="BY2341" s="1" t="s">
        <v>104</v>
      </c>
      <c r="BZ2341" s="1" t="s">
        <v>104</v>
      </c>
      <c r="CA2341" s="1">
        <v>2</v>
      </c>
      <c r="CB2341" s="1">
        <v>2</v>
      </c>
      <c r="CC2341" s="1">
        <v>3</v>
      </c>
      <c r="CD2341" s="1" t="s">
        <v>104</v>
      </c>
      <c r="CE2341" s="1">
        <v>3</v>
      </c>
      <c r="CF2341" s="1" t="s">
        <v>104</v>
      </c>
      <c r="CG2341" s="1" t="s">
        <v>104</v>
      </c>
      <c r="CH2341" s="1" t="s">
        <v>104</v>
      </c>
      <c r="CJ2341" s="1">
        <v>0</v>
      </c>
      <c r="CK2341" s="1">
        <v>0</v>
      </c>
      <c r="CL2341" s="1">
        <v>0</v>
      </c>
      <c r="CM2341" s="1" t="s">
        <v>104</v>
      </c>
    </row>
    <row r="2342" spans="1:91" ht="14.25" customHeight="1" x14ac:dyDescent="0.3">
      <c r="A2342" s="1" t="s">
        <v>12025</v>
      </c>
      <c r="B2342" s="1" t="s">
        <v>172</v>
      </c>
      <c r="E2342" s="1" t="s">
        <v>12026</v>
      </c>
      <c r="F2342" s="1" t="s">
        <v>95</v>
      </c>
      <c r="G2342" s="1" t="s">
        <v>116</v>
      </c>
      <c r="H2342" s="1">
        <v>0</v>
      </c>
      <c r="I2342" s="1" t="s">
        <v>776</v>
      </c>
      <c r="J2342" s="1" t="s">
        <v>1030</v>
      </c>
      <c r="M2342" s="1" t="s">
        <v>8629</v>
      </c>
      <c r="N2342" s="1">
        <v>1</v>
      </c>
      <c r="O2342" s="1">
        <v>0</v>
      </c>
      <c r="P2342" s="1" t="s">
        <v>100</v>
      </c>
      <c r="Q2342" s="1" t="s">
        <v>101</v>
      </c>
      <c r="R2342" s="1" t="s">
        <v>12027</v>
      </c>
      <c r="S2342" s="1" t="s">
        <v>11859</v>
      </c>
      <c r="T2342" s="1">
        <v>1</v>
      </c>
      <c r="U2342" s="1">
        <v>1</v>
      </c>
      <c r="V2342" s="1">
        <v>0</v>
      </c>
      <c r="W2342" s="1">
        <v>0</v>
      </c>
      <c r="X2342" s="1">
        <v>0</v>
      </c>
      <c r="Y2342" s="1">
        <v>2</v>
      </c>
      <c r="Z2342" s="1">
        <v>2</v>
      </c>
      <c r="AA2342" s="1">
        <v>2</v>
      </c>
      <c r="AB2342" s="1">
        <v>2</v>
      </c>
      <c r="AC2342" s="1" t="s">
        <v>104</v>
      </c>
      <c r="AD2342" s="1">
        <v>2</v>
      </c>
      <c r="AE2342" s="1" t="s">
        <v>104</v>
      </c>
      <c r="AF2342" s="1" t="s">
        <v>104</v>
      </c>
      <c r="AG2342" s="1">
        <v>2</v>
      </c>
      <c r="AH2342" s="1">
        <v>2</v>
      </c>
      <c r="AI2342" s="1">
        <v>2</v>
      </c>
      <c r="AJ2342" s="1">
        <v>2</v>
      </c>
      <c r="AK2342" s="1" t="s">
        <v>104</v>
      </c>
      <c r="AL2342" s="1">
        <v>2</v>
      </c>
      <c r="AM2342" s="1" t="s">
        <v>104</v>
      </c>
      <c r="AO2342" s="1">
        <v>2</v>
      </c>
      <c r="AQ2342" s="1" t="s">
        <v>12028</v>
      </c>
      <c r="AR2342" s="1">
        <v>0</v>
      </c>
      <c r="AS2342" s="1">
        <v>0</v>
      </c>
      <c r="AT2342" s="1">
        <v>0</v>
      </c>
      <c r="AU2342" s="1">
        <v>0</v>
      </c>
      <c r="AV2342" s="1">
        <v>0</v>
      </c>
      <c r="AW2342" s="1">
        <v>0</v>
      </c>
      <c r="AX2342" s="1">
        <v>0</v>
      </c>
      <c r="AY2342" s="1">
        <v>0</v>
      </c>
      <c r="AZ2342" s="1">
        <v>0</v>
      </c>
      <c r="BA2342" s="1">
        <v>0</v>
      </c>
      <c r="BB2342" s="1">
        <v>0</v>
      </c>
      <c r="BC2342" s="1">
        <v>0</v>
      </c>
      <c r="BD2342" s="1">
        <v>0</v>
      </c>
      <c r="BE2342" s="1">
        <v>0</v>
      </c>
      <c r="BF2342" s="1">
        <v>0</v>
      </c>
      <c r="BG2342" s="1">
        <v>0</v>
      </c>
      <c r="BH2342" s="1">
        <v>0</v>
      </c>
      <c r="BI2342" s="1">
        <v>0</v>
      </c>
      <c r="BJ2342" s="1">
        <v>0</v>
      </c>
      <c r="BK2342" s="1">
        <v>0</v>
      </c>
      <c r="BL2342" s="1">
        <v>0</v>
      </c>
      <c r="BM2342" s="1">
        <v>0</v>
      </c>
      <c r="BN2342" s="1">
        <v>0</v>
      </c>
      <c r="BO2342" s="1">
        <v>0</v>
      </c>
      <c r="BP2342" s="1">
        <v>0</v>
      </c>
      <c r="BQ2342" s="1" t="s">
        <v>104</v>
      </c>
      <c r="BR2342" s="1">
        <v>2463</v>
      </c>
      <c r="BS2342" s="1" t="s">
        <v>104</v>
      </c>
      <c r="BX2342" s="1">
        <v>0</v>
      </c>
      <c r="BY2342" s="1" t="s">
        <v>104</v>
      </c>
      <c r="BZ2342" s="1">
        <v>2</v>
      </c>
      <c r="CA2342" s="1">
        <v>2</v>
      </c>
      <c r="CB2342" s="1">
        <v>2</v>
      </c>
      <c r="CC2342" s="1">
        <v>2</v>
      </c>
      <c r="CD2342" s="1">
        <v>2</v>
      </c>
      <c r="CE2342" s="1">
        <v>2</v>
      </c>
      <c r="CF2342" s="1" t="s">
        <v>104</v>
      </c>
      <c r="CG2342" s="1" t="s">
        <v>104</v>
      </c>
      <c r="CH2342" s="1">
        <v>2</v>
      </c>
      <c r="CJ2342" s="1">
        <v>0</v>
      </c>
      <c r="CK2342" s="1">
        <v>0</v>
      </c>
      <c r="CL2342" s="1">
        <v>0</v>
      </c>
      <c r="CM2342" s="1">
        <v>2</v>
      </c>
    </row>
    <row r="2343" spans="1:91" ht="14.25" customHeight="1" x14ac:dyDescent="0.3">
      <c r="A2343" s="1" t="s">
        <v>12029</v>
      </c>
      <c r="B2343" s="1" t="s">
        <v>172</v>
      </c>
      <c r="E2343" s="1" t="s">
        <v>12030</v>
      </c>
      <c r="F2343" s="1" t="s">
        <v>95</v>
      </c>
      <c r="G2343" s="1" t="s">
        <v>127</v>
      </c>
      <c r="H2343" s="1">
        <v>0</v>
      </c>
      <c r="I2343" s="1" t="s">
        <v>776</v>
      </c>
      <c r="J2343" s="1" t="s">
        <v>1030</v>
      </c>
      <c r="M2343" s="1" t="s">
        <v>8629</v>
      </c>
      <c r="N2343" s="1">
        <v>1</v>
      </c>
      <c r="O2343" s="1">
        <v>0</v>
      </c>
      <c r="P2343" s="1" t="s">
        <v>100</v>
      </c>
      <c r="Q2343" s="1" t="s">
        <v>101</v>
      </c>
      <c r="R2343" s="1" t="s">
        <v>12031</v>
      </c>
      <c r="S2343" s="1" t="s">
        <v>11859</v>
      </c>
      <c r="T2343" s="1">
        <v>1</v>
      </c>
      <c r="U2343" s="1">
        <v>1</v>
      </c>
      <c r="V2343" s="1">
        <v>0</v>
      </c>
      <c r="W2343" s="1">
        <v>0</v>
      </c>
      <c r="X2343" s="1">
        <v>1</v>
      </c>
      <c r="Y2343" s="1" t="s">
        <v>104</v>
      </c>
      <c r="Z2343" s="1" t="s">
        <v>104</v>
      </c>
      <c r="AA2343" s="1">
        <v>1</v>
      </c>
      <c r="AB2343" s="1">
        <v>1</v>
      </c>
      <c r="AC2343" s="1">
        <v>1</v>
      </c>
      <c r="AD2343" s="1" t="s">
        <v>104</v>
      </c>
      <c r="AE2343" s="1">
        <v>1</v>
      </c>
      <c r="AF2343" s="1" t="s">
        <v>104</v>
      </c>
      <c r="AG2343" s="1" t="s">
        <v>104</v>
      </c>
      <c r="AH2343" s="1" t="s">
        <v>104</v>
      </c>
      <c r="AI2343" s="1">
        <v>1</v>
      </c>
      <c r="AJ2343" s="1">
        <v>1</v>
      </c>
      <c r="AK2343" s="1">
        <v>1</v>
      </c>
      <c r="AL2343" s="1" t="s">
        <v>104</v>
      </c>
      <c r="AM2343" s="1" t="s">
        <v>104</v>
      </c>
      <c r="AO2343" s="1">
        <v>1</v>
      </c>
      <c r="AQ2343" s="1" t="s">
        <v>12032</v>
      </c>
      <c r="AR2343" s="1">
        <v>0</v>
      </c>
      <c r="AS2343" s="1">
        <v>0</v>
      </c>
      <c r="AT2343" s="1">
        <v>0</v>
      </c>
      <c r="AU2343" s="1">
        <v>0</v>
      </c>
      <c r="AV2343" s="1">
        <v>0</v>
      </c>
      <c r="AW2343" s="1">
        <v>0</v>
      </c>
      <c r="AX2343" s="1">
        <v>0</v>
      </c>
      <c r="AY2343" s="1">
        <v>0</v>
      </c>
      <c r="AZ2343" s="1">
        <v>0</v>
      </c>
      <c r="BA2343" s="1">
        <v>0</v>
      </c>
      <c r="BB2343" s="1">
        <v>0</v>
      </c>
      <c r="BC2343" s="1">
        <v>0</v>
      </c>
      <c r="BD2343" s="1">
        <v>0</v>
      </c>
      <c r="BE2343" s="1">
        <v>0</v>
      </c>
      <c r="BF2343" s="1">
        <v>0</v>
      </c>
      <c r="BG2343" s="1">
        <v>0</v>
      </c>
      <c r="BH2343" s="1">
        <v>0</v>
      </c>
      <c r="BI2343" s="1">
        <v>0</v>
      </c>
      <c r="BJ2343" s="1">
        <v>0</v>
      </c>
      <c r="BK2343" s="1">
        <v>0</v>
      </c>
      <c r="BL2343" s="1">
        <v>0</v>
      </c>
      <c r="BM2343" s="1">
        <v>0</v>
      </c>
      <c r="BN2343" s="1">
        <v>0</v>
      </c>
      <c r="BO2343" s="1">
        <v>0</v>
      </c>
      <c r="BP2343" s="1">
        <v>0</v>
      </c>
      <c r="BQ2343" s="1" t="s">
        <v>104</v>
      </c>
      <c r="BR2343" s="1">
        <v>2464</v>
      </c>
      <c r="BS2343" s="1" t="s">
        <v>104</v>
      </c>
      <c r="BX2343" s="1">
        <v>0</v>
      </c>
      <c r="BY2343" s="1" t="s">
        <v>104</v>
      </c>
      <c r="BZ2343" s="1">
        <v>1</v>
      </c>
      <c r="CA2343" s="1" t="s">
        <v>104</v>
      </c>
      <c r="CB2343" s="1" t="s">
        <v>104</v>
      </c>
      <c r="CC2343" s="1" t="s">
        <v>104</v>
      </c>
      <c r="CD2343" s="1" t="s">
        <v>104</v>
      </c>
      <c r="CE2343" s="1" t="s">
        <v>104</v>
      </c>
      <c r="CF2343" s="1" t="s">
        <v>104</v>
      </c>
      <c r="CG2343" s="1" t="s">
        <v>104</v>
      </c>
      <c r="CH2343" s="1">
        <v>1</v>
      </c>
      <c r="CJ2343" s="1">
        <v>0</v>
      </c>
      <c r="CK2343" s="1">
        <v>0</v>
      </c>
      <c r="CL2343" s="1">
        <v>0</v>
      </c>
      <c r="CM2343" s="1" t="s">
        <v>104</v>
      </c>
    </row>
    <row r="2344" spans="1:91" ht="14.25" customHeight="1" x14ac:dyDescent="0.3">
      <c r="A2344" s="1" t="s">
        <v>12033</v>
      </c>
      <c r="B2344" s="1" t="s">
        <v>162</v>
      </c>
      <c r="E2344" s="1" t="s">
        <v>12034</v>
      </c>
      <c r="F2344" s="1" t="s">
        <v>95</v>
      </c>
      <c r="G2344" s="1" t="s">
        <v>12035</v>
      </c>
      <c r="H2344" s="1">
        <v>0</v>
      </c>
      <c r="I2344" s="1" t="s">
        <v>128</v>
      </c>
      <c r="J2344" s="1" t="s">
        <v>12036</v>
      </c>
      <c r="M2344" s="1" t="s">
        <v>426</v>
      </c>
      <c r="N2344" s="1">
        <v>1</v>
      </c>
      <c r="O2344" s="1">
        <v>0</v>
      </c>
      <c r="P2344" s="1" t="s">
        <v>211</v>
      </c>
      <c r="Q2344" s="1" t="s">
        <v>184</v>
      </c>
      <c r="R2344" s="1" t="s">
        <v>12037</v>
      </c>
      <c r="S2344" s="1" t="s">
        <v>11859</v>
      </c>
      <c r="T2344" s="1">
        <v>0</v>
      </c>
      <c r="U2344" s="1">
        <v>1</v>
      </c>
      <c r="V2344" s="1">
        <v>1</v>
      </c>
      <c r="W2344" s="1">
        <v>0</v>
      </c>
      <c r="X2344" s="1">
        <v>0</v>
      </c>
      <c r="Y2344" s="1" t="s">
        <v>104</v>
      </c>
      <c r="Z2344" s="1" t="s">
        <v>104</v>
      </c>
      <c r="AA2344" s="1">
        <v>3</v>
      </c>
      <c r="AB2344" s="1" t="s">
        <v>104</v>
      </c>
      <c r="AC2344" s="1" t="s">
        <v>104</v>
      </c>
      <c r="AD2344" s="1">
        <v>2</v>
      </c>
      <c r="AE2344" s="1" t="s">
        <v>104</v>
      </c>
      <c r="AF2344" s="1" t="s">
        <v>104</v>
      </c>
      <c r="AG2344" s="1" t="s">
        <v>104</v>
      </c>
      <c r="AH2344" s="1" t="s">
        <v>104</v>
      </c>
      <c r="AI2344" s="1">
        <v>3</v>
      </c>
      <c r="AJ2344" s="1">
        <v>3</v>
      </c>
      <c r="AK2344" s="1" t="s">
        <v>104</v>
      </c>
      <c r="AL2344" s="1" t="s">
        <v>104</v>
      </c>
      <c r="AM2344" s="1" t="s">
        <v>104</v>
      </c>
      <c r="AO2344" s="1">
        <v>3</v>
      </c>
      <c r="AQ2344" s="1" t="s">
        <v>12038</v>
      </c>
      <c r="AR2344" s="1">
        <v>0</v>
      </c>
      <c r="AS2344" s="1">
        <v>0</v>
      </c>
      <c r="AT2344" s="1">
        <v>0</v>
      </c>
      <c r="AU2344" s="1">
        <v>0</v>
      </c>
      <c r="AV2344" s="1">
        <v>0</v>
      </c>
      <c r="AW2344" s="1">
        <v>0</v>
      </c>
      <c r="AX2344" s="1">
        <v>0</v>
      </c>
      <c r="AY2344" s="1">
        <v>0</v>
      </c>
      <c r="AZ2344" s="1">
        <v>0</v>
      </c>
      <c r="BA2344" s="1">
        <v>0</v>
      </c>
      <c r="BB2344" s="1">
        <v>0</v>
      </c>
      <c r="BC2344" s="1">
        <v>0</v>
      </c>
      <c r="BD2344" s="1">
        <v>0</v>
      </c>
      <c r="BE2344" s="1">
        <v>0</v>
      </c>
      <c r="BF2344" s="1">
        <v>0</v>
      </c>
      <c r="BG2344" s="1">
        <v>0</v>
      </c>
      <c r="BH2344" s="1">
        <v>0</v>
      </c>
      <c r="BI2344" s="1">
        <v>0</v>
      </c>
      <c r="BJ2344" s="1">
        <v>0</v>
      </c>
      <c r="BK2344" s="1">
        <v>0</v>
      </c>
      <c r="BL2344" s="1">
        <v>0</v>
      </c>
      <c r="BM2344" s="1">
        <v>0</v>
      </c>
      <c r="BN2344" s="1">
        <v>0</v>
      </c>
      <c r="BO2344" s="1">
        <v>0</v>
      </c>
      <c r="BP2344" s="1">
        <v>0</v>
      </c>
      <c r="BQ2344" s="1" t="s">
        <v>104</v>
      </c>
      <c r="BR2344" s="1">
        <v>2465</v>
      </c>
      <c r="BS2344" s="1" t="s">
        <v>104</v>
      </c>
      <c r="BX2344" s="1">
        <v>0</v>
      </c>
      <c r="BY2344" s="1" t="s">
        <v>104</v>
      </c>
      <c r="BZ2344" s="1" t="s">
        <v>104</v>
      </c>
      <c r="CA2344" s="1">
        <v>3</v>
      </c>
      <c r="CB2344" s="1" t="s">
        <v>104</v>
      </c>
      <c r="CC2344" s="1" t="s">
        <v>104</v>
      </c>
      <c r="CD2344" s="1" t="s">
        <v>104</v>
      </c>
      <c r="CE2344" s="1" t="s">
        <v>104</v>
      </c>
      <c r="CF2344" s="1" t="s">
        <v>104</v>
      </c>
      <c r="CG2344" s="1" t="s">
        <v>104</v>
      </c>
      <c r="CH2344" s="1" t="s">
        <v>104</v>
      </c>
      <c r="CJ2344" s="1">
        <v>0</v>
      </c>
      <c r="CK2344" s="1">
        <v>0</v>
      </c>
      <c r="CL2344" s="1">
        <v>0</v>
      </c>
      <c r="CM2344" s="1" t="s">
        <v>104</v>
      </c>
    </row>
    <row r="2345" spans="1:91" ht="14.25" customHeight="1" x14ac:dyDescent="0.3">
      <c r="A2345" s="1" t="s">
        <v>12039</v>
      </c>
      <c r="B2345" s="1" t="s">
        <v>216</v>
      </c>
      <c r="E2345" s="1" t="s">
        <v>6975</v>
      </c>
      <c r="F2345" s="1" t="s">
        <v>95</v>
      </c>
      <c r="G2345" s="1" t="s">
        <v>12040</v>
      </c>
      <c r="H2345" s="1">
        <v>0</v>
      </c>
      <c r="I2345" s="1" t="s">
        <v>128</v>
      </c>
      <c r="L2345" s="1" t="s">
        <v>1762</v>
      </c>
      <c r="M2345" s="1" t="s">
        <v>119</v>
      </c>
      <c r="N2345" s="1">
        <v>0</v>
      </c>
      <c r="O2345" s="1">
        <v>0</v>
      </c>
      <c r="P2345" s="1" t="s">
        <v>100</v>
      </c>
      <c r="Q2345" s="1" t="s">
        <v>101</v>
      </c>
      <c r="R2345" s="1" t="s">
        <v>12041</v>
      </c>
      <c r="S2345" s="1" t="s">
        <v>11859</v>
      </c>
      <c r="T2345" s="1">
        <v>1</v>
      </c>
      <c r="U2345" s="1">
        <v>1</v>
      </c>
      <c r="V2345" s="1">
        <v>1</v>
      </c>
      <c r="W2345" s="1">
        <v>0</v>
      </c>
      <c r="X2345" s="1">
        <v>0</v>
      </c>
      <c r="Y2345" s="1">
        <v>2</v>
      </c>
      <c r="Z2345" s="1">
        <v>2</v>
      </c>
      <c r="AA2345" s="1">
        <v>2</v>
      </c>
      <c r="AB2345" s="1" t="s">
        <v>104</v>
      </c>
      <c r="AC2345" s="1" t="s">
        <v>104</v>
      </c>
      <c r="AD2345" s="1" t="s">
        <v>104</v>
      </c>
      <c r="AE2345" s="1" t="s">
        <v>104</v>
      </c>
      <c r="AF2345" s="1" t="s">
        <v>104</v>
      </c>
      <c r="AG2345" s="1" t="s">
        <v>104</v>
      </c>
      <c r="AH2345" s="1">
        <v>2</v>
      </c>
      <c r="AI2345" s="1" t="s">
        <v>104</v>
      </c>
      <c r="AJ2345" s="1">
        <v>2</v>
      </c>
      <c r="AK2345" s="1" t="s">
        <v>104</v>
      </c>
      <c r="AL2345" s="1" t="s">
        <v>104</v>
      </c>
      <c r="AM2345" s="1" t="s">
        <v>104</v>
      </c>
      <c r="AO2345" s="1">
        <v>2</v>
      </c>
      <c r="AQ2345" s="1" t="s">
        <v>12042</v>
      </c>
      <c r="AR2345" s="1">
        <v>0</v>
      </c>
      <c r="AS2345" s="1">
        <v>0</v>
      </c>
      <c r="AT2345" s="1">
        <v>0</v>
      </c>
      <c r="AU2345" s="1">
        <v>0</v>
      </c>
      <c r="AV2345" s="1">
        <v>0</v>
      </c>
      <c r="AW2345" s="1">
        <v>0</v>
      </c>
      <c r="AX2345" s="1">
        <v>0</v>
      </c>
      <c r="AY2345" s="1">
        <v>0</v>
      </c>
      <c r="AZ2345" s="1">
        <v>0</v>
      </c>
      <c r="BA2345" s="1">
        <v>0</v>
      </c>
      <c r="BB2345" s="1">
        <v>0</v>
      </c>
      <c r="BC2345" s="1">
        <v>0</v>
      </c>
      <c r="BD2345" s="1">
        <v>0</v>
      </c>
      <c r="BE2345" s="1">
        <v>0</v>
      </c>
      <c r="BF2345" s="1">
        <v>0</v>
      </c>
      <c r="BG2345" s="1">
        <v>0</v>
      </c>
      <c r="BH2345" s="1">
        <v>0</v>
      </c>
      <c r="BI2345" s="1">
        <v>0</v>
      </c>
      <c r="BJ2345" s="1">
        <v>0</v>
      </c>
      <c r="BK2345" s="1">
        <v>0</v>
      </c>
      <c r="BL2345" s="1">
        <v>0</v>
      </c>
      <c r="BM2345" s="1">
        <v>0</v>
      </c>
      <c r="BN2345" s="1">
        <v>0</v>
      </c>
      <c r="BO2345" s="1">
        <v>0</v>
      </c>
      <c r="BP2345" s="1">
        <v>0</v>
      </c>
      <c r="BQ2345" s="1" t="s">
        <v>104</v>
      </c>
      <c r="BR2345" s="1">
        <v>2466</v>
      </c>
      <c r="BS2345" s="1" t="s">
        <v>104</v>
      </c>
      <c r="BX2345" s="1">
        <v>0</v>
      </c>
      <c r="BY2345" s="1" t="s">
        <v>104</v>
      </c>
      <c r="BZ2345" s="1" t="s">
        <v>104</v>
      </c>
      <c r="CA2345" s="1" t="s">
        <v>104</v>
      </c>
      <c r="CB2345" s="1" t="s">
        <v>104</v>
      </c>
      <c r="CC2345" s="1" t="s">
        <v>104</v>
      </c>
      <c r="CD2345" s="1" t="s">
        <v>104</v>
      </c>
      <c r="CE2345" s="1" t="s">
        <v>104</v>
      </c>
      <c r="CF2345" s="1" t="s">
        <v>104</v>
      </c>
      <c r="CG2345" s="1" t="s">
        <v>104</v>
      </c>
      <c r="CH2345" s="1" t="s">
        <v>104</v>
      </c>
      <c r="CJ2345" s="1">
        <v>0</v>
      </c>
      <c r="CK2345" s="1">
        <v>0</v>
      </c>
      <c r="CL2345" s="1">
        <v>0</v>
      </c>
      <c r="CM2345" s="1" t="s">
        <v>104</v>
      </c>
    </row>
    <row r="2346" spans="1:91" ht="14.25" customHeight="1" x14ac:dyDescent="0.3">
      <c r="A2346" s="1" t="s">
        <v>12043</v>
      </c>
      <c r="B2346" s="1" t="s">
        <v>92</v>
      </c>
      <c r="C2346" s="1" t="s">
        <v>2732</v>
      </c>
      <c r="E2346" s="1" t="s">
        <v>12044</v>
      </c>
      <c r="F2346" s="1" t="s">
        <v>287</v>
      </c>
      <c r="G2346" s="1" t="s">
        <v>2741</v>
      </c>
      <c r="H2346" s="1">
        <v>1</v>
      </c>
      <c r="I2346" s="1" t="s">
        <v>117</v>
      </c>
      <c r="K2346" s="1" t="s">
        <v>12045</v>
      </c>
      <c r="M2346" s="1" t="s">
        <v>119</v>
      </c>
      <c r="N2346" s="1">
        <v>0</v>
      </c>
      <c r="O2346" s="1">
        <v>0</v>
      </c>
      <c r="P2346" s="1" t="s">
        <v>100</v>
      </c>
      <c r="Q2346" s="1" t="s">
        <v>101</v>
      </c>
      <c r="R2346" s="1" t="s">
        <v>12046</v>
      </c>
      <c r="S2346" s="1" t="s">
        <v>11859</v>
      </c>
      <c r="T2346" s="1">
        <v>1</v>
      </c>
      <c r="U2346" s="1">
        <v>1</v>
      </c>
      <c r="V2346" s="1">
        <v>1</v>
      </c>
      <c r="W2346" s="1">
        <v>0</v>
      </c>
      <c r="X2346" s="1">
        <v>1</v>
      </c>
      <c r="Y2346" s="1" t="s">
        <v>104</v>
      </c>
      <c r="Z2346" s="1" t="s">
        <v>104</v>
      </c>
      <c r="AA2346" s="1" t="s">
        <v>104</v>
      </c>
      <c r="AB2346" s="1">
        <v>7</v>
      </c>
      <c r="AC2346" s="1" t="s">
        <v>104</v>
      </c>
      <c r="AD2346" s="1">
        <v>6</v>
      </c>
      <c r="AE2346" s="1" t="s">
        <v>104</v>
      </c>
      <c r="AF2346" s="1" t="s">
        <v>104</v>
      </c>
      <c r="AG2346" s="1" t="s">
        <v>104</v>
      </c>
      <c r="AH2346" s="1" t="s">
        <v>104</v>
      </c>
      <c r="AI2346" s="1" t="s">
        <v>104</v>
      </c>
      <c r="AJ2346" s="1" t="s">
        <v>104</v>
      </c>
      <c r="AK2346" s="1" t="s">
        <v>104</v>
      </c>
      <c r="AL2346" s="1" t="s">
        <v>104</v>
      </c>
      <c r="AM2346" s="1" t="s">
        <v>104</v>
      </c>
      <c r="AO2346" s="1">
        <v>7</v>
      </c>
      <c r="AQ2346" s="1" t="s">
        <v>12047</v>
      </c>
      <c r="AR2346" s="1">
        <v>0</v>
      </c>
      <c r="AS2346" s="1">
        <v>0</v>
      </c>
      <c r="AT2346" s="1">
        <v>0</v>
      </c>
      <c r="AU2346" s="1">
        <v>0</v>
      </c>
      <c r="AV2346" s="1">
        <v>0</v>
      </c>
      <c r="AW2346" s="1">
        <v>0</v>
      </c>
      <c r="AX2346" s="1">
        <v>0</v>
      </c>
      <c r="AY2346" s="1">
        <v>0</v>
      </c>
      <c r="AZ2346" s="1">
        <v>0</v>
      </c>
      <c r="BA2346" s="1">
        <v>0</v>
      </c>
      <c r="BB2346" s="1">
        <v>0</v>
      </c>
      <c r="BC2346" s="1">
        <v>0</v>
      </c>
      <c r="BD2346" s="1">
        <v>0</v>
      </c>
      <c r="BE2346" s="1">
        <v>0</v>
      </c>
      <c r="BF2346" s="1">
        <v>0</v>
      </c>
      <c r="BG2346" s="1">
        <v>0</v>
      </c>
      <c r="BH2346" s="1">
        <v>0</v>
      </c>
      <c r="BI2346" s="1">
        <v>0</v>
      </c>
      <c r="BJ2346" s="1">
        <v>0</v>
      </c>
      <c r="BK2346" s="1">
        <v>0</v>
      </c>
      <c r="BL2346" s="1">
        <v>0</v>
      </c>
      <c r="BM2346" s="1">
        <v>0</v>
      </c>
      <c r="BN2346" s="1">
        <v>0</v>
      </c>
      <c r="BO2346" s="1">
        <v>0</v>
      </c>
      <c r="BP2346" s="1">
        <v>0</v>
      </c>
      <c r="BQ2346" s="1" t="s">
        <v>104</v>
      </c>
      <c r="BR2346" s="1">
        <v>2467</v>
      </c>
      <c r="BS2346" s="1">
        <v>1250</v>
      </c>
      <c r="BX2346" s="1">
        <v>0</v>
      </c>
      <c r="BY2346" s="1" t="s">
        <v>104</v>
      </c>
      <c r="BZ2346" s="1">
        <v>7</v>
      </c>
      <c r="CA2346" s="1" t="s">
        <v>104</v>
      </c>
      <c r="CB2346" s="1" t="s">
        <v>104</v>
      </c>
      <c r="CC2346" s="1" t="s">
        <v>104</v>
      </c>
      <c r="CD2346" s="1" t="s">
        <v>104</v>
      </c>
      <c r="CE2346" s="1" t="s">
        <v>104</v>
      </c>
      <c r="CF2346" s="1" t="s">
        <v>104</v>
      </c>
      <c r="CG2346" s="1" t="s">
        <v>104</v>
      </c>
      <c r="CH2346" s="1" t="s">
        <v>104</v>
      </c>
      <c r="CJ2346" s="1">
        <v>0</v>
      </c>
      <c r="CK2346" s="1">
        <v>0</v>
      </c>
      <c r="CL2346" s="1">
        <v>0</v>
      </c>
      <c r="CM2346" s="1" t="s">
        <v>104</v>
      </c>
    </row>
    <row r="2347" spans="1:91" ht="14.25" customHeight="1" x14ac:dyDescent="0.3">
      <c r="A2347" s="1" t="s">
        <v>12048</v>
      </c>
      <c r="B2347" s="1" t="s">
        <v>92</v>
      </c>
      <c r="C2347" s="1" t="s">
        <v>2732</v>
      </c>
      <c r="E2347" s="1" t="s">
        <v>3321</v>
      </c>
      <c r="F2347" s="1" t="s">
        <v>287</v>
      </c>
      <c r="G2347" s="1" t="s">
        <v>2749</v>
      </c>
      <c r="H2347" s="1">
        <v>1</v>
      </c>
      <c r="I2347" s="1" t="s">
        <v>117</v>
      </c>
      <c r="K2347" s="1" t="s">
        <v>12049</v>
      </c>
      <c r="M2347" s="1" t="s">
        <v>119</v>
      </c>
      <c r="N2347" s="1">
        <v>0</v>
      </c>
      <c r="O2347" s="1">
        <v>0</v>
      </c>
      <c r="P2347" s="1" t="s">
        <v>100</v>
      </c>
      <c r="Q2347" s="1" t="s">
        <v>101</v>
      </c>
      <c r="R2347" s="1" t="s">
        <v>12050</v>
      </c>
      <c r="S2347" s="1" t="s">
        <v>11859</v>
      </c>
      <c r="T2347" s="1">
        <v>1</v>
      </c>
      <c r="U2347" s="1">
        <v>1</v>
      </c>
      <c r="V2347" s="1">
        <v>1</v>
      </c>
      <c r="W2347" s="1">
        <v>0</v>
      </c>
      <c r="X2347" s="1">
        <v>1</v>
      </c>
      <c r="Y2347" s="1" t="s">
        <v>104</v>
      </c>
      <c r="Z2347" s="1" t="s">
        <v>104</v>
      </c>
      <c r="AA2347" s="1" t="s">
        <v>104</v>
      </c>
      <c r="AB2347" s="1">
        <v>9</v>
      </c>
      <c r="AC2347" s="1" t="s">
        <v>104</v>
      </c>
      <c r="AD2347" s="1" t="s">
        <v>104</v>
      </c>
      <c r="AE2347" s="1" t="s">
        <v>104</v>
      </c>
      <c r="AF2347" s="1" t="s">
        <v>104</v>
      </c>
      <c r="AG2347" s="1" t="s">
        <v>104</v>
      </c>
      <c r="AH2347" s="1" t="s">
        <v>104</v>
      </c>
      <c r="AI2347" s="1" t="s">
        <v>104</v>
      </c>
      <c r="AJ2347" s="1" t="s">
        <v>104</v>
      </c>
      <c r="AK2347" s="1" t="s">
        <v>104</v>
      </c>
      <c r="AL2347" s="1" t="s">
        <v>104</v>
      </c>
      <c r="AM2347" s="1" t="s">
        <v>104</v>
      </c>
      <c r="AO2347" s="1">
        <v>9</v>
      </c>
      <c r="AQ2347" s="1" t="s">
        <v>12051</v>
      </c>
      <c r="AR2347" s="1">
        <v>0</v>
      </c>
      <c r="AS2347" s="1">
        <v>0</v>
      </c>
      <c r="AT2347" s="1">
        <v>0</v>
      </c>
      <c r="AU2347" s="1">
        <v>0</v>
      </c>
      <c r="AV2347" s="1">
        <v>0</v>
      </c>
      <c r="AW2347" s="1">
        <v>0</v>
      </c>
      <c r="AX2347" s="1">
        <v>0</v>
      </c>
      <c r="AY2347" s="1">
        <v>0</v>
      </c>
      <c r="AZ2347" s="1">
        <v>0</v>
      </c>
      <c r="BA2347" s="1">
        <v>0</v>
      </c>
      <c r="BB2347" s="1">
        <v>0</v>
      </c>
      <c r="BC2347" s="1">
        <v>0</v>
      </c>
      <c r="BD2347" s="1">
        <v>0</v>
      </c>
      <c r="BE2347" s="1">
        <v>0</v>
      </c>
      <c r="BF2347" s="1">
        <v>0</v>
      </c>
      <c r="BG2347" s="1">
        <v>0</v>
      </c>
      <c r="BH2347" s="1">
        <v>0</v>
      </c>
      <c r="BI2347" s="1">
        <v>0</v>
      </c>
      <c r="BJ2347" s="1">
        <v>0</v>
      </c>
      <c r="BK2347" s="1">
        <v>0</v>
      </c>
      <c r="BL2347" s="1">
        <v>0</v>
      </c>
      <c r="BM2347" s="1">
        <v>0</v>
      </c>
      <c r="BN2347" s="1">
        <v>0</v>
      </c>
      <c r="BO2347" s="1">
        <v>0</v>
      </c>
      <c r="BP2347" s="1">
        <v>0</v>
      </c>
      <c r="BQ2347" s="1" t="s">
        <v>104</v>
      </c>
      <c r="BR2347" s="1">
        <v>2468</v>
      </c>
      <c r="BS2347" s="1">
        <v>2500</v>
      </c>
      <c r="BX2347" s="1">
        <v>0</v>
      </c>
      <c r="BY2347" s="1" t="s">
        <v>104</v>
      </c>
      <c r="BZ2347" s="1">
        <v>9</v>
      </c>
      <c r="CA2347" s="1" t="s">
        <v>104</v>
      </c>
      <c r="CB2347" s="1" t="s">
        <v>104</v>
      </c>
      <c r="CC2347" s="1" t="s">
        <v>104</v>
      </c>
      <c r="CD2347" s="1" t="s">
        <v>104</v>
      </c>
      <c r="CE2347" s="1" t="s">
        <v>104</v>
      </c>
      <c r="CF2347" s="1" t="s">
        <v>104</v>
      </c>
      <c r="CG2347" s="1" t="s">
        <v>104</v>
      </c>
      <c r="CH2347" s="1" t="s">
        <v>104</v>
      </c>
      <c r="CJ2347" s="1">
        <v>0</v>
      </c>
      <c r="CK2347" s="1">
        <v>0</v>
      </c>
      <c r="CL2347" s="1">
        <v>0</v>
      </c>
      <c r="CM2347" s="1" t="s">
        <v>104</v>
      </c>
    </row>
    <row r="2348" spans="1:91" ht="14.25" customHeight="1" x14ac:dyDescent="0.3">
      <c r="A2348" s="1" t="s">
        <v>12052</v>
      </c>
      <c r="B2348" s="1" t="s">
        <v>92</v>
      </c>
      <c r="C2348" s="1" t="s">
        <v>2732</v>
      </c>
      <c r="E2348" s="1" t="s">
        <v>12053</v>
      </c>
      <c r="F2348" s="1" t="s">
        <v>287</v>
      </c>
      <c r="G2348" s="1" t="s">
        <v>2734</v>
      </c>
      <c r="H2348" s="1">
        <v>1</v>
      </c>
      <c r="I2348" s="1" t="s">
        <v>117</v>
      </c>
      <c r="K2348" s="1" t="s">
        <v>12054</v>
      </c>
      <c r="M2348" s="1" t="s">
        <v>119</v>
      </c>
      <c r="N2348" s="1">
        <v>0</v>
      </c>
      <c r="O2348" s="1">
        <v>0</v>
      </c>
      <c r="P2348" s="1" t="s">
        <v>100</v>
      </c>
      <c r="Q2348" s="1" t="s">
        <v>101</v>
      </c>
      <c r="R2348" s="1" t="s">
        <v>12055</v>
      </c>
      <c r="S2348" s="1" t="s">
        <v>11859</v>
      </c>
      <c r="T2348" s="1">
        <v>1</v>
      </c>
      <c r="U2348" s="1">
        <v>1</v>
      </c>
      <c r="V2348" s="1">
        <v>1</v>
      </c>
      <c r="W2348" s="1">
        <v>0</v>
      </c>
      <c r="X2348" s="1">
        <v>1</v>
      </c>
      <c r="Y2348" s="1" t="s">
        <v>104</v>
      </c>
      <c r="Z2348" s="1" t="s">
        <v>104</v>
      </c>
      <c r="AA2348" s="1" t="s">
        <v>104</v>
      </c>
      <c r="AB2348" s="1">
        <v>5</v>
      </c>
      <c r="AC2348" s="1">
        <v>4</v>
      </c>
      <c r="AD2348" s="1">
        <v>4</v>
      </c>
      <c r="AE2348" s="1" t="s">
        <v>104</v>
      </c>
      <c r="AF2348" s="1" t="s">
        <v>104</v>
      </c>
      <c r="AG2348" s="1" t="s">
        <v>104</v>
      </c>
      <c r="AH2348" s="1" t="s">
        <v>104</v>
      </c>
      <c r="AI2348" s="1" t="s">
        <v>104</v>
      </c>
      <c r="AJ2348" s="1" t="s">
        <v>104</v>
      </c>
      <c r="AK2348" s="1" t="s">
        <v>104</v>
      </c>
      <c r="AL2348" s="1" t="s">
        <v>104</v>
      </c>
      <c r="AM2348" s="1" t="s">
        <v>104</v>
      </c>
      <c r="AO2348" s="1">
        <v>5</v>
      </c>
      <c r="AQ2348" s="1" t="s">
        <v>12056</v>
      </c>
      <c r="AR2348" s="1">
        <v>0</v>
      </c>
      <c r="AS2348" s="1">
        <v>0</v>
      </c>
      <c r="AT2348" s="1">
        <v>0</v>
      </c>
      <c r="AU2348" s="1">
        <v>0</v>
      </c>
      <c r="AV2348" s="1">
        <v>0</v>
      </c>
      <c r="AW2348" s="1">
        <v>0</v>
      </c>
      <c r="AX2348" s="1">
        <v>0</v>
      </c>
      <c r="AY2348" s="1">
        <v>0</v>
      </c>
      <c r="AZ2348" s="1">
        <v>0</v>
      </c>
      <c r="BA2348" s="1">
        <v>0</v>
      </c>
      <c r="BB2348" s="1">
        <v>0</v>
      </c>
      <c r="BC2348" s="1">
        <v>0</v>
      </c>
      <c r="BD2348" s="1">
        <v>0</v>
      </c>
      <c r="BE2348" s="1">
        <v>0</v>
      </c>
      <c r="BF2348" s="1">
        <v>0</v>
      </c>
      <c r="BG2348" s="1">
        <v>0</v>
      </c>
      <c r="BH2348" s="1">
        <v>0</v>
      </c>
      <c r="BI2348" s="1">
        <v>0</v>
      </c>
      <c r="BJ2348" s="1">
        <v>0</v>
      </c>
      <c r="BK2348" s="1">
        <v>0</v>
      </c>
      <c r="BL2348" s="1">
        <v>0</v>
      </c>
      <c r="BM2348" s="1">
        <v>0</v>
      </c>
      <c r="BN2348" s="1">
        <v>0</v>
      </c>
      <c r="BO2348" s="1">
        <v>0</v>
      </c>
      <c r="BP2348" s="1">
        <v>0</v>
      </c>
      <c r="BQ2348" s="1" t="s">
        <v>104</v>
      </c>
      <c r="BR2348" s="1">
        <v>2469</v>
      </c>
      <c r="BS2348" s="1">
        <v>500</v>
      </c>
      <c r="BX2348" s="1">
        <v>0</v>
      </c>
      <c r="BY2348" s="1" t="s">
        <v>104</v>
      </c>
      <c r="BZ2348" s="1">
        <v>5</v>
      </c>
      <c r="CA2348" s="1" t="s">
        <v>104</v>
      </c>
      <c r="CB2348" s="1">
        <v>3</v>
      </c>
      <c r="CC2348" s="1" t="s">
        <v>104</v>
      </c>
      <c r="CD2348" s="1" t="s">
        <v>104</v>
      </c>
      <c r="CE2348" s="1" t="s">
        <v>104</v>
      </c>
      <c r="CF2348" s="1" t="s">
        <v>104</v>
      </c>
      <c r="CG2348" s="1" t="s">
        <v>104</v>
      </c>
      <c r="CH2348" s="1">
        <v>4</v>
      </c>
      <c r="CJ2348" s="1">
        <v>0</v>
      </c>
      <c r="CK2348" s="1">
        <v>0</v>
      </c>
      <c r="CL2348" s="1">
        <v>0</v>
      </c>
      <c r="CM2348" s="1" t="s">
        <v>104</v>
      </c>
    </row>
    <row r="2349" spans="1:91" ht="14.25" customHeight="1" x14ac:dyDescent="0.3">
      <c r="A2349" s="1" t="s">
        <v>12057</v>
      </c>
      <c r="B2349" s="1" t="s">
        <v>137</v>
      </c>
      <c r="E2349" s="1" t="s">
        <v>12058</v>
      </c>
      <c r="F2349" s="1" t="s">
        <v>95</v>
      </c>
      <c r="G2349" s="1" t="s">
        <v>1802</v>
      </c>
      <c r="H2349" s="1">
        <v>0</v>
      </c>
      <c r="I2349" s="1" t="s">
        <v>157</v>
      </c>
      <c r="L2349" s="1" t="s">
        <v>158</v>
      </c>
      <c r="M2349" s="1" t="s">
        <v>119</v>
      </c>
      <c r="N2349" s="1">
        <v>0</v>
      </c>
      <c r="O2349" s="1">
        <v>0</v>
      </c>
      <c r="R2349" s="1" t="s">
        <v>12059</v>
      </c>
      <c r="S2349" s="1" t="s">
        <v>11859</v>
      </c>
      <c r="T2349" s="1">
        <v>0</v>
      </c>
      <c r="U2349" s="1">
        <v>1</v>
      </c>
      <c r="V2349" s="1">
        <v>0</v>
      </c>
      <c r="W2349" s="1">
        <v>0</v>
      </c>
      <c r="X2349" s="1">
        <v>0</v>
      </c>
      <c r="Y2349" s="1">
        <v>1</v>
      </c>
      <c r="Z2349" s="1">
        <v>1</v>
      </c>
      <c r="AA2349" s="1" t="s">
        <v>104</v>
      </c>
      <c r="AB2349" s="1" t="s">
        <v>104</v>
      </c>
      <c r="AC2349" s="1" t="s">
        <v>104</v>
      </c>
      <c r="AD2349" s="1">
        <v>1</v>
      </c>
      <c r="AE2349" s="1" t="s">
        <v>104</v>
      </c>
      <c r="AF2349" s="1">
        <v>1</v>
      </c>
      <c r="AG2349" s="1" t="s">
        <v>104</v>
      </c>
      <c r="AH2349" s="1">
        <v>1</v>
      </c>
      <c r="AI2349" s="1">
        <v>1</v>
      </c>
      <c r="AJ2349" s="1" t="s">
        <v>104</v>
      </c>
      <c r="AK2349" s="1">
        <v>1</v>
      </c>
      <c r="AL2349" s="1" t="s">
        <v>104</v>
      </c>
      <c r="AM2349" s="1" t="s">
        <v>104</v>
      </c>
      <c r="AO2349" s="1">
        <v>1</v>
      </c>
      <c r="AQ2349" s="1" t="s">
        <v>12060</v>
      </c>
      <c r="AR2349" s="1">
        <v>0</v>
      </c>
      <c r="AS2349" s="1">
        <v>0</v>
      </c>
      <c r="AT2349" s="1">
        <v>0</v>
      </c>
      <c r="AU2349" s="1">
        <v>0</v>
      </c>
      <c r="AV2349" s="1">
        <v>0</v>
      </c>
      <c r="AW2349" s="1">
        <v>0</v>
      </c>
      <c r="AX2349" s="1">
        <v>0</v>
      </c>
      <c r="AY2349" s="1">
        <v>0</v>
      </c>
      <c r="AZ2349" s="1">
        <v>0</v>
      </c>
      <c r="BA2349" s="1">
        <v>0</v>
      </c>
      <c r="BB2349" s="1">
        <v>0</v>
      </c>
      <c r="BC2349" s="1">
        <v>0</v>
      </c>
      <c r="BD2349" s="1">
        <v>0</v>
      </c>
      <c r="BE2349" s="1">
        <v>0</v>
      </c>
      <c r="BF2349" s="1">
        <v>0</v>
      </c>
      <c r="BG2349" s="1">
        <v>0</v>
      </c>
      <c r="BH2349" s="1">
        <v>0</v>
      </c>
      <c r="BI2349" s="1">
        <v>0</v>
      </c>
      <c r="BJ2349" s="1">
        <v>0</v>
      </c>
      <c r="BK2349" s="1">
        <v>0</v>
      </c>
      <c r="BL2349" s="1">
        <v>0</v>
      </c>
      <c r="BM2349" s="1">
        <v>0</v>
      </c>
      <c r="BN2349" s="1">
        <v>0</v>
      </c>
      <c r="BO2349" s="1">
        <v>0</v>
      </c>
      <c r="BP2349" s="1">
        <v>0</v>
      </c>
      <c r="BQ2349" s="1" t="s">
        <v>104</v>
      </c>
      <c r="BR2349" s="1">
        <v>2470</v>
      </c>
      <c r="BS2349" s="1" t="s">
        <v>104</v>
      </c>
      <c r="BX2349" s="1">
        <v>0</v>
      </c>
      <c r="BY2349" s="1" t="s">
        <v>104</v>
      </c>
      <c r="BZ2349" s="1" t="s">
        <v>104</v>
      </c>
      <c r="CA2349" s="1">
        <v>1</v>
      </c>
      <c r="CB2349" s="1" t="s">
        <v>104</v>
      </c>
      <c r="CC2349" s="1" t="s">
        <v>104</v>
      </c>
      <c r="CD2349" s="1" t="s">
        <v>104</v>
      </c>
      <c r="CE2349" s="1" t="s">
        <v>104</v>
      </c>
      <c r="CF2349" s="1" t="s">
        <v>104</v>
      </c>
      <c r="CG2349" s="1" t="s">
        <v>104</v>
      </c>
      <c r="CH2349" s="1" t="s">
        <v>104</v>
      </c>
      <c r="CJ2349" s="1">
        <v>0</v>
      </c>
      <c r="CK2349" s="1">
        <v>0</v>
      </c>
      <c r="CL2349" s="1">
        <v>0</v>
      </c>
      <c r="CM2349" s="1" t="s">
        <v>104</v>
      </c>
    </row>
    <row r="2350" spans="1:91" ht="14.25" customHeight="1" x14ac:dyDescent="0.3">
      <c r="A2350" s="1" t="s">
        <v>12061</v>
      </c>
      <c r="B2350" s="1" t="s">
        <v>123</v>
      </c>
      <c r="C2350" s="1" t="s">
        <v>124</v>
      </c>
      <c r="D2350" s="1" t="s">
        <v>125</v>
      </c>
      <c r="E2350" s="1" t="s">
        <v>12062</v>
      </c>
      <c r="F2350" s="1" t="s">
        <v>12063</v>
      </c>
      <c r="G2350" s="1" t="s">
        <v>12064</v>
      </c>
      <c r="H2350" s="1">
        <v>0</v>
      </c>
      <c r="I2350" s="1" t="s">
        <v>128</v>
      </c>
      <c r="L2350" s="1" t="s">
        <v>4274</v>
      </c>
      <c r="M2350" s="1" t="s">
        <v>201</v>
      </c>
      <c r="N2350" s="1">
        <v>0</v>
      </c>
      <c r="O2350" s="1">
        <v>0</v>
      </c>
      <c r="P2350" s="1" t="s">
        <v>100</v>
      </c>
      <c r="Q2350" s="1" t="s">
        <v>184</v>
      </c>
      <c r="R2350" s="1" t="s">
        <v>12065</v>
      </c>
      <c r="S2350" s="1" t="s">
        <v>11859</v>
      </c>
      <c r="T2350" s="1">
        <v>1</v>
      </c>
      <c r="U2350" s="1">
        <v>1</v>
      </c>
      <c r="V2350" s="1">
        <v>1</v>
      </c>
      <c r="W2350" s="1">
        <v>0</v>
      </c>
      <c r="X2350" s="1">
        <v>0</v>
      </c>
      <c r="Y2350" s="1" t="s">
        <v>104</v>
      </c>
      <c r="Z2350" s="1" t="s">
        <v>104</v>
      </c>
      <c r="AA2350" s="1" t="s">
        <v>104</v>
      </c>
      <c r="AB2350" s="1" t="s">
        <v>104</v>
      </c>
      <c r="AC2350" s="1" t="s">
        <v>104</v>
      </c>
      <c r="AD2350" s="1">
        <v>2</v>
      </c>
      <c r="AE2350" s="1" t="s">
        <v>104</v>
      </c>
      <c r="AF2350" s="1" t="s">
        <v>104</v>
      </c>
      <c r="AG2350" s="1" t="s">
        <v>104</v>
      </c>
      <c r="AH2350" s="1" t="s">
        <v>104</v>
      </c>
      <c r="AI2350" s="1" t="s">
        <v>104</v>
      </c>
      <c r="AJ2350" s="1" t="s">
        <v>104</v>
      </c>
      <c r="AK2350" s="1" t="s">
        <v>104</v>
      </c>
      <c r="AL2350" s="1" t="s">
        <v>104</v>
      </c>
      <c r="AM2350" s="1" t="s">
        <v>104</v>
      </c>
      <c r="AO2350" s="1">
        <v>2</v>
      </c>
      <c r="AQ2350" s="1" t="s">
        <v>12066</v>
      </c>
      <c r="AR2350" s="1">
        <v>0</v>
      </c>
      <c r="AS2350" s="1">
        <v>0</v>
      </c>
      <c r="AT2350" s="1">
        <v>0</v>
      </c>
      <c r="AU2350" s="1">
        <v>0</v>
      </c>
      <c r="AV2350" s="1">
        <v>0</v>
      </c>
      <c r="AW2350" s="1">
        <v>0</v>
      </c>
      <c r="AX2350" s="1">
        <v>0</v>
      </c>
      <c r="AY2350" s="1">
        <v>0</v>
      </c>
      <c r="AZ2350" s="1">
        <v>0</v>
      </c>
      <c r="BA2350" s="1">
        <v>0</v>
      </c>
      <c r="BB2350" s="1">
        <v>0</v>
      </c>
      <c r="BC2350" s="1">
        <v>0</v>
      </c>
      <c r="BD2350" s="1">
        <v>0</v>
      </c>
      <c r="BE2350" s="1">
        <v>0</v>
      </c>
      <c r="BF2350" s="1">
        <v>0</v>
      </c>
      <c r="BG2350" s="1">
        <v>0</v>
      </c>
      <c r="BH2350" s="1">
        <v>0</v>
      </c>
      <c r="BI2350" s="1">
        <v>0</v>
      </c>
      <c r="BJ2350" s="1">
        <v>0</v>
      </c>
      <c r="BK2350" s="1">
        <v>1</v>
      </c>
      <c r="BL2350" s="1">
        <v>0</v>
      </c>
      <c r="BM2350" s="1">
        <v>0</v>
      </c>
      <c r="BN2350" s="1">
        <v>0</v>
      </c>
      <c r="BO2350" s="1">
        <v>0</v>
      </c>
      <c r="BP2350" s="1">
        <v>0</v>
      </c>
      <c r="BQ2350" s="1" t="s">
        <v>104</v>
      </c>
      <c r="BR2350" s="1">
        <v>2471</v>
      </c>
      <c r="BS2350" s="1" t="s">
        <v>104</v>
      </c>
      <c r="BX2350" s="1">
        <v>0</v>
      </c>
      <c r="BY2350" s="1" t="s">
        <v>104</v>
      </c>
      <c r="BZ2350" s="1" t="s">
        <v>104</v>
      </c>
      <c r="CA2350" s="1">
        <v>2</v>
      </c>
      <c r="CB2350" s="1" t="s">
        <v>104</v>
      </c>
      <c r="CC2350" s="1">
        <v>2</v>
      </c>
      <c r="CD2350" s="1" t="s">
        <v>104</v>
      </c>
      <c r="CE2350" s="1" t="s">
        <v>104</v>
      </c>
      <c r="CF2350" s="1" t="s">
        <v>104</v>
      </c>
      <c r="CG2350" s="1" t="s">
        <v>104</v>
      </c>
      <c r="CH2350" s="1" t="s">
        <v>104</v>
      </c>
      <c r="CJ2350" s="1">
        <v>0</v>
      </c>
      <c r="CK2350" s="1">
        <v>0</v>
      </c>
      <c r="CL2350" s="1">
        <v>0</v>
      </c>
      <c r="CM2350" s="1" t="s">
        <v>104</v>
      </c>
    </row>
    <row r="2351" spans="1:91" ht="14.25" customHeight="1" x14ac:dyDescent="0.3">
      <c r="A2351" s="1" t="s">
        <v>12067</v>
      </c>
      <c r="B2351" s="1" t="s">
        <v>507</v>
      </c>
      <c r="C2351" s="1" t="s">
        <v>508</v>
      </c>
      <c r="E2351" s="1" t="s">
        <v>12068</v>
      </c>
      <c r="F2351" s="1" t="s">
        <v>95</v>
      </c>
      <c r="G2351" s="1" t="s">
        <v>12069</v>
      </c>
      <c r="H2351" s="1">
        <v>1</v>
      </c>
      <c r="I2351" s="1" t="s">
        <v>128</v>
      </c>
      <c r="L2351" s="1" t="s">
        <v>2630</v>
      </c>
      <c r="M2351" s="1" t="s">
        <v>620</v>
      </c>
      <c r="N2351" s="1">
        <v>1</v>
      </c>
      <c r="O2351" s="1">
        <v>0</v>
      </c>
      <c r="P2351" s="1" t="s">
        <v>12070</v>
      </c>
      <c r="Q2351" s="1" t="s">
        <v>184</v>
      </c>
      <c r="R2351" s="1" t="s">
        <v>12071</v>
      </c>
      <c r="S2351" s="1" t="s">
        <v>11859</v>
      </c>
      <c r="T2351" s="1">
        <v>1</v>
      </c>
      <c r="U2351" s="1">
        <v>1</v>
      </c>
      <c r="V2351" s="1">
        <v>1</v>
      </c>
      <c r="W2351" s="1">
        <v>0</v>
      </c>
      <c r="X2351" s="1">
        <v>0</v>
      </c>
      <c r="Y2351" s="1">
        <v>5</v>
      </c>
      <c r="Z2351" s="1">
        <v>5</v>
      </c>
      <c r="AA2351" s="1">
        <v>4</v>
      </c>
      <c r="AB2351" s="1" t="s">
        <v>104</v>
      </c>
      <c r="AC2351" s="1" t="s">
        <v>104</v>
      </c>
      <c r="AD2351" s="1">
        <v>3</v>
      </c>
      <c r="AE2351" s="1" t="s">
        <v>104</v>
      </c>
      <c r="AF2351" s="1" t="s">
        <v>104</v>
      </c>
      <c r="AG2351" s="1" t="s">
        <v>104</v>
      </c>
      <c r="AH2351" s="1">
        <v>4</v>
      </c>
      <c r="AI2351" s="1" t="s">
        <v>104</v>
      </c>
      <c r="AJ2351" s="1">
        <v>4</v>
      </c>
      <c r="AK2351" s="1" t="s">
        <v>104</v>
      </c>
      <c r="AL2351" s="1" t="s">
        <v>104</v>
      </c>
      <c r="AM2351" s="1" t="s">
        <v>104</v>
      </c>
      <c r="AO2351" s="1">
        <v>5</v>
      </c>
      <c r="AQ2351" s="1" t="s">
        <v>12072</v>
      </c>
      <c r="AR2351" s="1">
        <v>0</v>
      </c>
      <c r="AS2351" s="1">
        <v>0</v>
      </c>
      <c r="AT2351" s="1">
        <v>0</v>
      </c>
      <c r="AU2351" s="1">
        <v>0</v>
      </c>
      <c r="AV2351" s="1">
        <v>0</v>
      </c>
      <c r="AW2351" s="1">
        <v>0</v>
      </c>
      <c r="AX2351" s="1">
        <v>0</v>
      </c>
      <c r="AY2351" s="1">
        <v>0</v>
      </c>
      <c r="AZ2351" s="1">
        <v>0</v>
      </c>
      <c r="BA2351" s="1">
        <v>0</v>
      </c>
      <c r="BB2351" s="1">
        <v>0</v>
      </c>
      <c r="BC2351" s="1">
        <v>0</v>
      </c>
      <c r="BD2351" s="1">
        <v>0</v>
      </c>
      <c r="BE2351" s="1">
        <v>0</v>
      </c>
      <c r="BF2351" s="1">
        <v>0</v>
      </c>
      <c r="BG2351" s="1">
        <v>0</v>
      </c>
      <c r="BH2351" s="1">
        <v>0</v>
      </c>
      <c r="BI2351" s="1">
        <v>0</v>
      </c>
      <c r="BJ2351" s="1">
        <v>0</v>
      </c>
      <c r="BK2351" s="1">
        <v>0</v>
      </c>
      <c r="BL2351" s="1">
        <v>0</v>
      </c>
      <c r="BM2351" s="1">
        <v>0</v>
      </c>
      <c r="BN2351" s="1">
        <v>0</v>
      </c>
      <c r="BO2351" s="1">
        <v>0</v>
      </c>
      <c r="BP2351" s="1">
        <v>0</v>
      </c>
      <c r="BQ2351" s="1" t="s">
        <v>104</v>
      </c>
      <c r="BR2351" s="1">
        <v>2472</v>
      </c>
      <c r="BS2351" s="1">
        <v>100</v>
      </c>
      <c r="BX2351" s="1">
        <v>0</v>
      </c>
      <c r="BY2351" s="1" t="s">
        <v>104</v>
      </c>
      <c r="BZ2351" s="1">
        <v>4</v>
      </c>
      <c r="CA2351" s="1">
        <v>4</v>
      </c>
      <c r="CB2351" s="1">
        <v>3</v>
      </c>
      <c r="CC2351" s="1">
        <v>3</v>
      </c>
      <c r="CD2351" s="1" t="s">
        <v>104</v>
      </c>
      <c r="CE2351" s="1">
        <v>4</v>
      </c>
      <c r="CF2351" s="1" t="s">
        <v>104</v>
      </c>
      <c r="CG2351" s="1" t="s">
        <v>104</v>
      </c>
      <c r="CH2351" s="1" t="s">
        <v>104</v>
      </c>
      <c r="CJ2351" s="1">
        <v>0</v>
      </c>
      <c r="CK2351" s="1">
        <v>0</v>
      </c>
      <c r="CL2351" s="1">
        <v>0</v>
      </c>
      <c r="CM2351" s="1" t="s">
        <v>104</v>
      </c>
    </row>
    <row r="2352" spans="1:91" ht="14.25" customHeight="1" x14ac:dyDescent="0.3">
      <c r="A2352" s="1" t="s">
        <v>12073</v>
      </c>
      <c r="B2352" s="1" t="s">
        <v>92</v>
      </c>
      <c r="C2352" s="1" t="s">
        <v>2732</v>
      </c>
      <c r="D2352" s="1" t="s">
        <v>12074</v>
      </c>
      <c r="E2352" s="1" t="s">
        <v>12075</v>
      </c>
      <c r="F2352" s="1" t="s">
        <v>191</v>
      </c>
      <c r="G2352" s="1" t="s">
        <v>3143</v>
      </c>
      <c r="H2352" s="1">
        <v>1</v>
      </c>
      <c r="I2352" s="1" t="s">
        <v>128</v>
      </c>
      <c r="L2352" s="1" t="s">
        <v>2992</v>
      </c>
      <c r="M2352" s="1" t="s">
        <v>194</v>
      </c>
      <c r="N2352" s="1">
        <v>0</v>
      </c>
      <c r="O2352" s="1">
        <v>0</v>
      </c>
      <c r="P2352" s="1" t="s">
        <v>100</v>
      </c>
      <c r="Q2352" s="1" t="s">
        <v>131</v>
      </c>
      <c r="R2352" s="1" t="s">
        <v>12076</v>
      </c>
      <c r="S2352" s="1" t="s">
        <v>11859</v>
      </c>
      <c r="T2352" s="1">
        <v>1</v>
      </c>
      <c r="U2352" s="1">
        <v>1</v>
      </c>
      <c r="V2352" s="1">
        <v>1</v>
      </c>
      <c r="W2352" s="1">
        <v>0</v>
      </c>
      <c r="X2352" s="1">
        <v>1</v>
      </c>
      <c r="Y2352" s="1" t="s">
        <v>104</v>
      </c>
      <c r="Z2352" s="1" t="s">
        <v>104</v>
      </c>
      <c r="AA2352" s="1">
        <v>7</v>
      </c>
      <c r="AB2352" s="1" t="s">
        <v>104</v>
      </c>
      <c r="AC2352" s="1" t="s">
        <v>104</v>
      </c>
      <c r="AD2352" s="1" t="s">
        <v>104</v>
      </c>
      <c r="AE2352" s="1" t="s">
        <v>104</v>
      </c>
      <c r="AF2352" s="1" t="s">
        <v>104</v>
      </c>
      <c r="AG2352" s="1" t="s">
        <v>104</v>
      </c>
      <c r="AH2352" s="1">
        <v>8</v>
      </c>
      <c r="AI2352" s="1" t="s">
        <v>104</v>
      </c>
      <c r="AJ2352" s="1">
        <v>7</v>
      </c>
      <c r="AK2352" s="1" t="s">
        <v>104</v>
      </c>
      <c r="AL2352" s="1" t="s">
        <v>104</v>
      </c>
      <c r="AM2352" s="1" t="s">
        <v>104</v>
      </c>
      <c r="AO2352" s="1">
        <v>7</v>
      </c>
      <c r="AQ2352" s="1" t="s">
        <v>12077</v>
      </c>
      <c r="AR2352" s="1">
        <v>0</v>
      </c>
      <c r="AS2352" s="1">
        <v>0</v>
      </c>
      <c r="AT2352" s="1">
        <v>1</v>
      </c>
      <c r="AU2352" s="1">
        <v>0</v>
      </c>
      <c r="AV2352" s="1">
        <v>0</v>
      </c>
      <c r="AW2352" s="1">
        <v>0</v>
      </c>
      <c r="AX2352" s="1">
        <v>0</v>
      </c>
      <c r="AY2352" s="1">
        <v>0</v>
      </c>
      <c r="AZ2352" s="1">
        <v>0</v>
      </c>
      <c r="BA2352" s="1">
        <v>0</v>
      </c>
      <c r="BB2352" s="1">
        <v>0</v>
      </c>
      <c r="BC2352" s="1">
        <v>1</v>
      </c>
      <c r="BD2352" s="1">
        <v>0</v>
      </c>
      <c r="BE2352" s="1">
        <v>0</v>
      </c>
      <c r="BF2352" s="1">
        <v>0</v>
      </c>
      <c r="BG2352" s="1">
        <v>0</v>
      </c>
      <c r="BH2352" s="1">
        <v>0</v>
      </c>
      <c r="BI2352" s="1">
        <v>0</v>
      </c>
      <c r="BJ2352" s="1">
        <v>0</v>
      </c>
      <c r="BK2352" s="1">
        <v>0</v>
      </c>
      <c r="BL2352" s="1">
        <v>0</v>
      </c>
      <c r="BM2352" s="1">
        <v>0</v>
      </c>
      <c r="BN2352" s="1">
        <v>0</v>
      </c>
      <c r="BO2352" s="1">
        <v>0</v>
      </c>
      <c r="BP2352" s="1">
        <v>0</v>
      </c>
      <c r="BQ2352" s="1" t="s">
        <v>104</v>
      </c>
      <c r="BR2352" s="1">
        <v>2473</v>
      </c>
      <c r="BS2352" s="1">
        <v>10000</v>
      </c>
      <c r="BX2352" s="1">
        <v>0</v>
      </c>
      <c r="BY2352" s="1" t="s">
        <v>104</v>
      </c>
      <c r="BZ2352" s="1">
        <v>8</v>
      </c>
      <c r="CA2352" s="1" t="s">
        <v>104</v>
      </c>
      <c r="CB2352" s="1" t="s">
        <v>104</v>
      </c>
      <c r="CC2352" s="1" t="s">
        <v>104</v>
      </c>
      <c r="CD2352" s="1" t="s">
        <v>104</v>
      </c>
      <c r="CE2352" s="1" t="s">
        <v>104</v>
      </c>
      <c r="CF2352" s="1" t="s">
        <v>104</v>
      </c>
      <c r="CG2352" s="1" t="s">
        <v>104</v>
      </c>
      <c r="CH2352" s="1" t="s">
        <v>104</v>
      </c>
      <c r="CJ2352" s="1">
        <v>1</v>
      </c>
      <c r="CK2352" s="1">
        <v>0</v>
      </c>
      <c r="CL2352" s="1">
        <v>0</v>
      </c>
      <c r="CM2352" s="1" t="s">
        <v>104</v>
      </c>
    </row>
    <row r="2353" spans="1:91" ht="14.25" customHeight="1" x14ac:dyDescent="0.3">
      <c r="A2353" s="1" t="s">
        <v>12078</v>
      </c>
      <c r="B2353" s="1" t="s">
        <v>92</v>
      </c>
      <c r="C2353" s="1" t="s">
        <v>2732</v>
      </c>
      <c r="D2353" s="1" t="s">
        <v>12079</v>
      </c>
      <c r="E2353" s="1" t="s">
        <v>2542</v>
      </c>
      <c r="F2353" s="1" t="s">
        <v>191</v>
      </c>
      <c r="G2353" s="1" t="s">
        <v>12080</v>
      </c>
      <c r="H2353" s="1">
        <v>1</v>
      </c>
      <c r="I2353" s="1" t="s">
        <v>128</v>
      </c>
      <c r="L2353" s="1" t="s">
        <v>2992</v>
      </c>
      <c r="M2353" s="1" t="s">
        <v>298</v>
      </c>
      <c r="N2353" s="1">
        <v>0</v>
      </c>
      <c r="O2353" s="1">
        <v>0</v>
      </c>
      <c r="P2353" s="1" t="s">
        <v>100</v>
      </c>
      <c r="Q2353" s="1" t="s">
        <v>131</v>
      </c>
      <c r="R2353" s="1" t="s">
        <v>12081</v>
      </c>
      <c r="S2353" s="1" t="s">
        <v>11859</v>
      </c>
      <c r="T2353" s="1">
        <v>1</v>
      </c>
      <c r="U2353" s="1">
        <v>1</v>
      </c>
      <c r="V2353" s="1">
        <v>1</v>
      </c>
      <c r="W2353" s="1">
        <v>0</v>
      </c>
      <c r="X2353" s="1">
        <v>1</v>
      </c>
      <c r="Y2353" s="1" t="s">
        <v>104</v>
      </c>
      <c r="Z2353" s="1" t="s">
        <v>104</v>
      </c>
      <c r="AA2353" s="1">
        <v>9</v>
      </c>
      <c r="AB2353" s="1" t="s">
        <v>104</v>
      </c>
      <c r="AC2353" s="1" t="s">
        <v>104</v>
      </c>
      <c r="AD2353" s="1" t="s">
        <v>104</v>
      </c>
      <c r="AE2353" s="1" t="s">
        <v>104</v>
      </c>
      <c r="AF2353" s="1" t="s">
        <v>104</v>
      </c>
      <c r="AG2353" s="1" t="s">
        <v>104</v>
      </c>
      <c r="AH2353" s="1" t="s">
        <v>104</v>
      </c>
      <c r="AI2353" s="1" t="s">
        <v>104</v>
      </c>
      <c r="AJ2353" s="1">
        <v>9</v>
      </c>
      <c r="AK2353" s="1" t="s">
        <v>104</v>
      </c>
      <c r="AL2353" s="1" t="s">
        <v>104</v>
      </c>
      <c r="AM2353" s="1" t="s">
        <v>104</v>
      </c>
      <c r="AO2353" s="1">
        <v>9</v>
      </c>
      <c r="AQ2353" s="1" t="s">
        <v>12082</v>
      </c>
      <c r="AR2353" s="1">
        <v>0</v>
      </c>
      <c r="AS2353" s="1">
        <v>0</v>
      </c>
      <c r="AT2353" s="1">
        <v>0</v>
      </c>
      <c r="AU2353" s="1">
        <v>0</v>
      </c>
      <c r="AV2353" s="1">
        <v>0</v>
      </c>
      <c r="AW2353" s="1">
        <v>0</v>
      </c>
      <c r="AX2353" s="1">
        <v>0</v>
      </c>
      <c r="AY2353" s="1">
        <v>0</v>
      </c>
      <c r="AZ2353" s="1">
        <v>0</v>
      </c>
      <c r="BA2353" s="1">
        <v>0</v>
      </c>
      <c r="BB2353" s="1">
        <v>0</v>
      </c>
      <c r="BC2353" s="1">
        <v>1</v>
      </c>
      <c r="BD2353" s="1">
        <v>0</v>
      </c>
      <c r="BE2353" s="1">
        <v>0</v>
      </c>
      <c r="BF2353" s="1">
        <v>0</v>
      </c>
      <c r="BG2353" s="1">
        <v>0</v>
      </c>
      <c r="BH2353" s="1">
        <v>0</v>
      </c>
      <c r="BI2353" s="1">
        <v>1</v>
      </c>
      <c r="BJ2353" s="1">
        <v>0</v>
      </c>
      <c r="BK2353" s="1">
        <v>0</v>
      </c>
      <c r="BL2353" s="1">
        <v>0</v>
      </c>
      <c r="BM2353" s="1">
        <v>0</v>
      </c>
      <c r="BN2353" s="1">
        <v>0</v>
      </c>
      <c r="BO2353" s="1">
        <v>0</v>
      </c>
      <c r="BP2353" s="1">
        <v>0</v>
      </c>
      <c r="BQ2353" s="1" t="s">
        <v>104</v>
      </c>
      <c r="BR2353" s="1">
        <v>2474</v>
      </c>
      <c r="BS2353" s="1">
        <v>25000</v>
      </c>
      <c r="BX2353" s="1">
        <v>0</v>
      </c>
      <c r="BY2353" s="1" t="s">
        <v>104</v>
      </c>
      <c r="BZ2353" s="1" t="s">
        <v>104</v>
      </c>
      <c r="CA2353" s="1" t="s">
        <v>104</v>
      </c>
      <c r="CB2353" s="1" t="s">
        <v>104</v>
      </c>
      <c r="CC2353" s="1" t="s">
        <v>104</v>
      </c>
      <c r="CD2353" s="1" t="s">
        <v>104</v>
      </c>
      <c r="CE2353" s="1" t="s">
        <v>104</v>
      </c>
      <c r="CF2353" s="1" t="s">
        <v>104</v>
      </c>
      <c r="CG2353" s="1" t="s">
        <v>104</v>
      </c>
      <c r="CH2353" s="1" t="s">
        <v>104</v>
      </c>
      <c r="CJ2353" s="1">
        <v>1</v>
      </c>
      <c r="CK2353" s="1">
        <v>0</v>
      </c>
      <c r="CL2353" s="1">
        <v>0</v>
      </c>
      <c r="CM2353" s="1" t="s">
        <v>104</v>
      </c>
    </row>
    <row r="2354" spans="1:91" ht="14.25" customHeight="1" x14ac:dyDescent="0.3">
      <c r="A2354" s="1" t="s">
        <v>12083</v>
      </c>
      <c r="B2354" s="1" t="s">
        <v>507</v>
      </c>
      <c r="C2354" s="1" t="s">
        <v>508</v>
      </c>
      <c r="E2354" s="1" t="s">
        <v>12084</v>
      </c>
      <c r="F2354" s="1" t="s">
        <v>95</v>
      </c>
      <c r="G2354" s="1" t="s">
        <v>12085</v>
      </c>
      <c r="H2354" s="1">
        <v>1</v>
      </c>
      <c r="I2354" s="1" t="s">
        <v>145</v>
      </c>
      <c r="L2354" s="1" t="s">
        <v>1065</v>
      </c>
      <c r="M2354" s="1" t="s">
        <v>620</v>
      </c>
      <c r="N2354" s="1">
        <v>1</v>
      </c>
      <c r="O2354" s="1">
        <v>0</v>
      </c>
      <c r="P2354" s="1" t="s">
        <v>211</v>
      </c>
      <c r="Q2354" s="1" t="s">
        <v>101</v>
      </c>
      <c r="R2354" s="1" t="s">
        <v>12086</v>
      </c>
      <c r="S2354" s="1" t="s">
        <v>11859</v>
      </c>
      <c r="T2354" s="1">
        <v>1</v>
      </c>
      <c r="U2354" s="1">
        <v>1</v>
      </c>
      <c r="V2354" s="1">
        <v>1</v>
      </c>
      <c r="W2354" s="1">
        <v>0</v>
      </c>
      <c r="X2354" s="1">
        <v>0</v>
      </c>
      <c r="Y2354" s="1">
        <v>7</v>
      </c>
      <c r="Z2354" s="1">
        <v>7</v>
      </c>
      <c r="AA2354" s="1" t="s">
        <v>104</v>
      </c>
      <c r="AB2354" s="1" t="s">
        <v>104</v>
      </c>
      <c r="AC2354" s="1" t="s">
        <v>104</v>
      </c>
      <c r="AD2354" s="1">
        <v>6</v>
      </c>
      <c r="AE2354" s="1" t="s">
        <v>104</v>
      </c>
      <c r="AF2354" s="1" t="s">
        <v>104</v>
      </c>
      <c r="AG2354" s="1" t="s">
        <v>104</v>
      </c>
      <c r="AH2354" s="1" t="s">
        <v>104</v>
      </c>
      <c r="AI2354" s="1" t="s">
        <v>104</v>
      </c>
      <c r="AJ2354" s="1" t="s">
        <v>104</v>
      </c>
      <c r="AK2354" s="1" t="s">
        <v>104</v>
      </c>
      <c r="AL2354" s="1" t="s">
        <v>104</v>
      </c>
      <c r="AM2354" s="1" t="s">
        <v>104</v>
      </c>
      <c r="AO2354" s="1">
        <v>7</v>
      </c>
      <c r="AQ2354" s="1" t="s">
        <v>12087</v>
      </c>
      <c r="AR2354" s="1">
        <v>0</v>
      </c>
      <c r="AS2354" s="1">
        <v>0</v>
      </c>
      <c r="AT2354" s="1">
        <v>0</v>
      </c>
      <c r="AU2354" s="1">
        <v>0</v>
      </c>
      <c r="AV2354" s="1">
        <v>0</v>
      </c>
      <c r="AW2354" s="1">
        <v>0</v>
      </c>
      <c r="AX2354" s="1">
        <v>0</v>
      </c>
      <c r="AY2354" s="1">
        <v>0</v>
      </c>
      <c r="AZ2354" s="1">
        <v>0</v>
      </c>
      <c r="BA2354" s="1">
        <v>0</v>
      </c>
      <c r="BB2354" s="1">
        <v>0</v>
      </c>
      <c r="BC2354" s="1">
        <v>0</v>
      </c>
      <c r="BD2354" s="1">
        <v>0</v>
      </c>
      <c r="BE2354" s="1">
        <v>0</v>
      </c>
      <c r="BF2354" s="1">
        <v>0</v>
      </c>
      <c r="BG2354" s="1">
        <v>0</v>
      </c>
      <c r="BH2354" s="1">
        <v>0</v>
      </c>
      <c r="BI2354" s="1">
        <v>0</v>
      </c>
      <c r="BJ2354" s="1">
        <v>0</v>
      </c>
      <c r="BK2354" s="1">
        <v>0</v>
      </c>
      <c r="BL2354" s="1">
        <v>0</v>
      </c>
      <c r="BM2354" s="1">
        <v>0</v>
      </c>
      <c r="BN2354" s="1">
        <v>0</v>
      </c>
      <c r="BO2354" s="1">
        <v>0</v>
      </c>
      <c r="BP2354" s="1">
        <v>0</v>
      </c>
      <c r="BQ2354" s="1" t="s">
        <v>104</v>
      </c>
      <c r="BR2354" s="1">
        <v>2475</v>
      </c>
      <c r="BS2354" s="1">
        <v>500</v>
      </c>
      <c r="BX2354" s="1">
        <v>0</v>
      </c>
      <c r="BY2354" s="1" t="s">
        <v>104</v>
      </c>
      <c r="BZ2354" s="1" t="s">
        <v>104</v>
      </c>
      <c r="CA2354" s="1">
        <v>7</v>
      </c>
      <c r="CB2354" s="1" t="s">
        <v>104</v>
      </c>
      <c r="CC2354" s="1">
        <v>6</v>
      </c>
      <c r="CD2354" s="1" t="s">
        <v>104</v>
      </c>
      <c r="CE2354" s="1" t="s">
        <v>104</v>
      </c>
      <c r="CF2354" s="1" t="s">
        <v>104</v>
      </c>
      <c r="CG2354" s="1" t="s">
        <v>104</v>
      </c>
      <c r="CH2354" s="1" t="s">
        <v>104</v>
      </c>
      <c r="CJ2354" s="1">
        <v>0</v>
      </c>
      <c r="CK2354" s="1">
        <v>0</v>
      </c>
      <c r="CL2354" s="1">
        <v>0</v>
      </c>
      <c r="CM2354" s="1" t="s">
        <v>104</v>
      </c>
    </row>
    <row r="2355" spans="1:91" ht="14.25" customHeight="1" x14ac:dyDescent="0.3">
      <c r="A2355" s="1" t="s">
        <v>12088</v>
      </c>
      <c r="B2355" s="1" t="s">
        <v>137</v>
      </c>
      <c r="D2355" s="1" t="s">
        <v>11556</v>
      </c>
      <c r="E2355" s="1" t="s">
        <v>12089</v>
      </c>
      <c r="F2355" s="1" t="s">
        <v>287</v>
      </c>
      <c r="G2355" s="1" t="s">
        <v>12090</v>
      </c>
      <c r="H2355" s="1">
        <v>1</v>
      </c>
      <c r="I2355" s="1" t="s">
        <v>128</v>
      </c>
      <c r="L2355" s="1" t="s">
        <v>12091</v>
      </c>
      <c r="M2355" s="1" t="s">
        <v>4400</v>
      </c>
      <c r="N2355" s="1">
        <v>1</v>
      </c>
      <c r="O2355" s="1">
        <v>0</v>
      </c>
      <c r="P2355" s="1" t="s">
        <v>100</v>
      </c>
      <c r="Q2355" s="1" t="s">
        <v>101</v>
      </c>
      <c r="R2355" s="1" t="s">
        <v>12092</v>
      </c>
      <c r="S2355" s="1" t="s">
        <v>11859</v>
      </c>
      <c r="T2355" s="1">
        <v>1</v>
      </c>
      <c r="U2355" s="1">
        <v>1</v>
      </c>
      <c r="V2355" s="1">
        <v>1</v>
      </c>
      <c r="W2355" s="1">
        <v>0</v>
      </c>
      <c r="X2355" s="1">
        <v>0</v>
      </c>
      <c r="Y2355" s="1" t="s">
        <v>104</v>
      </c>
      <c r="Z2355" s="1" t="s">
        <v>104</v>
      </c>
      <c r="AA2355" s="1" t="s">
        <v>104</v>
      </c>
      <c r="AB2355" s="1" t="s">
        <v>104</v>
      </c>
      <c r="AC2355" s="1" t="s">
        <v>104</v>
      </c>
      <c r="AD2355" s="1">
        <v>4</v>
      </c>
      <c r="AE2355" s="1" t="s">
        <v>104</v>
      </c>
      <c r="AF2355" s="1" t="s">
        <v>104</v>
      </c>
      <c r="AG2355" s="1" t="s">
        <v>104</v>
      </c>
      <c r="AH2355" s="1">
        <v>4</v>
      </c>
      <c r="AI2355" s="1" t="s">
        <v>104</v>
      </c>
      <c r="AJ2355" s="1" t="s">
        <v>104</v>
      </c>
      <c r="AK2355" s="1" t="s">
        <v>104</v>
      </c>
      <c r="AL2355" s="1" t="s">
        <v>104</v>
      </c>
      <c r="AM2355" s="1" t="s">
        <v>104</v>
      </c>
      <c r="AO2355" s="1">
        <v>4</v>
      </c>
      <c r="AQ2355" s="1" t="s">
        <v>12093</v>
      </c>
      <c r="AR2355" s="1">
        <v>0</v>
      </c>
      <c r="AS2355" s="1">
        <v>0</v>
      </c>
      <c r="AT2355" s="1">
        <v>0</v>
      </c>
      <c r="AU2355" s="1">
        <v>0</v>
      </c>
      <c r="AV2355" s="1">
        <v>0</v>
      </c>
      <c r="AW2355" s="1">
        <v>0</v>
      </c>
      <c r="AX2355" s="1">
        <v>0</v>
      </c>
      <c r="AY2355" s="1">
        <v>0</v>
      </c>
      <c r="AZ2355" s="1">
        <v>0</v>
      </c>
      <c r="BA2355" s="1">
        <v>0</v>
      </c>
      <c r="BB2355" s="1">
        <v>0</v>
      </c>
      <c r="BC2355" s="1">
        <v>0</v>
      </c>
      <c r="BD2355" s="1">
        <v>0</v>
      </c>
      <c r="BE2355" s="1">
        <v>0</v>
      </c>
      <c r="BF2355" s="1">
        <v>0</v>
      </c>
      <c r="BG2355" s="1">
        <v>0</v>
      </c>
      <c r="BH2355" s="1">
        <v>0</v>
      </c>
      <c r="BI2355" s="1">
        <v>0</v>
      </c>
      <c r="BJ2355" s="1">
        <v>0</v>
      </c>
      <c r="BK2355" s="1">
        <v>0</v>
      </c>
      <c r="BL2355" s="1">
        <v>0</v>
      </c>
      <c r="BM2355" s="1">
        <v>0</v>
      </c>
      <c r="BN2355" s="1">
        <v>1</v>
      </c>
      <c r="BO2355" s="1">
        <v>0</v>
      </c>
      <c r="BP2355" s="1">
        <v>0</v>
      </c>
      <c r="BQ2355" s="1" t="s">
        <v>104</v>
      </c>
      <c r="BR2355" s="1">
        <v>2476</v>
      </c>
      <c r="BS2355" s="1">
        <v>10</v>
      </c>
      <c r="BX2355" s="1">
        <v>0</v>
      </c>
      <c r="BY2355" s="1" t="s">
        <v>104</v>
      </c>
      <c r="BZ2355" s="1" t="s">
        <v>104</v>
      </c>
      <c r="CA2355" s="1" t="s">
        <v>104</v>
      </c>
      <c r="CB2355" s="1" t="s">
        <v>104</v>
      </c>
      <c r="CC2355" s="1" t="s">
        <v>104</v>
      </c>
      <c r="CD2355" s="1">
        <v>3</v>
      </c>
      <c r="CE2355" s="1">
        <v>4</v>
      </c>
      <c r="CF2355" s="1" t="s">
        <v>104</v>
      </c>
      <c r="CG2355" s="1" t="s">
        <v>104</v>
      </c>
      <c r="CH2355" s="1" t="s">
        <v>104</v>
      </c>
      <c r="CJ2355" s="1">
        <v>0</v>
      </c>
      <c r="CK2355" s="1">
        <v>0</v>
      </c>
      <c r="CL2355" s="1">
        <v>0</v>
      </c>
      <c r="CM2355" s="1" t="s">
        <v>104</v>
      </c>
    </row>
    <row r="2356" spans="1:91" ht="14.25" customHeight="1" x14ac:dyDescent="0.3">
      <c r="A2356" s="1" t="s">
        <v>12094</v>
      </c>
      <c r="B2356" s="1" t="s">
        <v>172</v>
      </c>
      <c r="E2356" s="1" t="s">
        <v>12095</v>
      </c>
      <c r="F2356" s="1" t="s">
        <v>95</v>
      </c>
      <c r="G2356" s="1" t="s">
        <v>12096</v>
      </c>
      <c r="H2356" s="1">
        <v>1</v>
      </c>
      <c r="I2356" s="1" t="s">
        <v>157</v>
      </c>
      <c r="L2356" s="1" t="s">
        <v>158</v>
      </c>
      <c r="M2356" s="1" t="s">
        <v>255</v>
      </c>
      <c r="N2356" s="1">
        <v>0</v>
      </c>
      <c r="O2356" s="1">
        <v>0</v>
      </c>
      <c r="P2356" s="1" t="s">
        <v>375</v>
      </c>
      <c r="Q2356" s="1" t="s">
        <v>131</v>
      </c>
      <c r="R2356" s="1" t="s">
        <v>12097</v>
      </c>
      <c r="S2356" s="1" t="s">
        <v>11859</v>
      </c>
      <c r="T2356" s="1">
        <v>1</v>
      </c>
      <c r="U2356" s="1">
        <v>1</v>
      </c>
      <c r="V2356" s="1">
        <v>1</v>
      </c>
      <c r="W2356" s="1">
        <v>0</v>
      </c>
      <c r="X2356" s="1">
        <v>0</v>
      </c>
      <c r="Y2356" s="1">
        <v>5</v>
      </c>
      <c r="Z2356" s="1">
        <v>5</v>
      </c>
      <c r="AA2356" s="1">
        <v>4</v>
      </c>
      <c r="AB2356" s="1">
        <v>5</v>
      </c>
      <c r="AC2356" s="1" t="s">
        <v>104</v>
      </c>
      <c r="AD2356" s="1" t="s">
        <v>104</v>
      </c>
      <c r="AE2356" s="1" t="s">
        <v>104</v>
      </c>
      <c r="AF2356" s="1">
        <v>5</v>
      </c>
      <c r="AG2356" s="1" t="s">
        <v>104</v>
      </c>
      <c r="AH2356" s="1">
        <v>5</v>
      </c>
      <c r="AI2356" s="1">
        <v>4</v>
      </c>
      <c r="AJ2356" s="1">
        <v>4</v>
      </c>
      <c r="AK2356" s="1" t="s">
        <v>104</v>
      </c>
      <c r="AL2356" s="1">
        <v>5</v>
      </c>
      <c r="AM2356" s="1" t="s">
        <v>104</v>
      </c>
      <c r="AO2356" s="1">
        <v>5</v>
      </c>
      <c r="AQ2356" s="1" t="s">
        <v>12098</v>
      </c>
      <c r="AR2356" s="1">
        <v>0</v>
      </c>
      <c r="AS2356" s="1">
        <v>0</v>
      </c>
      <c r="AT2356" s="1">
        <v>0</v>
      </c>
      <c r="AU2356" s="1">
        <v>0</v>
      </c>
      <c r="AV2356" s="1">
        <v>0</v>
      </c>
      <c r="AW2356" s="1">
        <v>0</v>
      </c>
      <c r="AX2356" s="1">
        <v>0</v>
      </c>
      <c r="AY2356" s="1">
        <v>0</v>
      </c>
      <c r="AZ2356" s="1">
        <v>0</v>
      </c>
      <c r="BA2356" s="1">
        <v>0</v>
      </c>
      <c r="BB2356" s="1">
        <v>0</v>
      </c>
      <c r="BC2356" s="1">
        <v>0</v>
      </c>
      <c r="BD2356" s="1">
        <v>0</v>
      </c>
      <c r="BE2356" s="1">
        <v>0</v>
      </c>
      <c r="BF2356" s="1">
        <v>0</v>
      </c>
      <c r="BG2356" s="1">
        <v>0</v>
      </c>
      <c r="BH2356" s="1">
        <v>0</v>
      </c>
      <c r="BI2356" s="1">
        <v>0</v>
      </c>
      <c r="BJ2356" s="1">
        <v>0</v>
      </c>
      <c r="BK2356" s="1">
        <v>0</v>
      </c>
      <c r="BL2356" s="1">
        <v>0</v>
      </c>
      <c r="BM2356" s="1">
        <v>0</v>
      </c>
      <c r="BN2356" s="1">
        <v>0</v>
      </c>
      <c r="BO2356" s="1">
        <v>0</v>
      </c>
      <c r="BP2356" s="1">
        <v>0</v>
      </c>
      <c r="BQ2356" s="1" t="s">
        <v>104</v>
      </c>
      <c r="BR2356" s="1">
        <v>2477</v>
      </c>
      <c r="BS2356" s="1">
        <v>50</v>
      </c>
      <c r="BX2356" s="1">
        <v>0</v>
      </c>
      <c r="BY2356" s="1" t="s">
        <v>104</v>
      </c>
      <c r="BZ2356" s="1">
        <v>4</v>
      </c>
      <c r="CA2356" s="1">
        <v>4</v>
      </c>
      <c r="CB2356" s="1">
        <v>3</v>
      </c>
      <c r="CC2356" s="1" t="s">
        <v>104</v>
      </c>
      <c r="CD2356" s="1">
        <v>4</v>
      </c>
      <c r="CE2356" s="1">
        <v>5</v>
      </c>
      <c r="CF2356" s="1" t="s">
        <v>104</v>
      </c>
      <c r="CG2356" s="1" t="s">
        <v>104</v>
      </c>
      <c r="CH2356" s="1">
        <v>5</v>
      </c>
      <c r="CJ2356" s="1">
        <v>0</v>
      </c>
      <c r="CK2356" s="1">
        <v>0</v>
      </c>
      <c r="CL2356" s="1">
        <v>0</v>
      </c>
      <c r="CM2356" s="1" t="s">
        <v>104</v>
      </c>
    </row>
    <row r="2357" spans="1:91" ht="14.25" customHeight="1" x14ac:dyDescent="0.3">
      <c r="A2357" s="1" t="s">
        <v>12099</v>
      </c>
      <c r="B2357" s="1" t="s">
        <v>137</v>
      </c>
      <c r="E2357" s="1" t="s">
        <v>12100</v>
      </c>
      <c r="F2357" s="1" t="s">
        <v>95</v>
      </c>
      <c r="G2357" s="1" t="s">
        <v>12101</v>
      </c>
      <c r="H2357" s="1">
        <v>0</v>
      </c>
      <c r="I2357" s="1" t="s">
        <v>128</v>
      </c>
      <c r="L2357" s="1" t="s">
        <v>12102</v>
      </c>
      <c r="M2357" s="1" t="s">
        <v>4641</v>
      </c>
      <c r="N2357" s="1">
        <v>1</v>
      </c>
      <c r="O2357" s="1">
        <v>0</v>
      </c>
      <c r="P2357" s="1" t="s">
        <v>4401</v>
      </c>
      <c r="Q2357" s="1" t="s">
        <v>101</v>
      </c>
      <c r="R2357" s="1" t="s">
        <v>12103</v>
      </c>
      <c r="S2357" s="1" t="s">
        <v>11859</v>
      </c>
      <c r="T2357" s="1">
        <v>1</v>
      </c>
      <c r="U2357" s="1">
        <v>1</v>
      </c>
      <c r="V2357" s="1">
        <v>1</v>
      </c>
      <c r="W2357" s="1">
        <v>0</v>
      </c>
      <c r="X2357" s="1">
        <v>0</v>
      </c>
      <c r="Y2357" s="1">
        <v>1</v>
      </c>
      <c r="Z2357" s="1">
        <v>1</v>
      </c>
      <c r="AA2357" s="1" t="s">
        <v>104</v>
      </c>
      <c r="AB2357" s="1" t="s">
        <v>104</v>
      </c>
      <c r="AC2357" s="1">
        <v>1</v>
      </c>
      <c r="AD2357" s="1" t="s">
        <v>104</v>
      </c>
      <c r="AE2357" s="1" t="s">
        <v>104</v>
      </c>
      <c r="AF2357" s="1" t="s">
        <v>104</v>
      </c>
      <c r="AG2357" s="1" t="s">
        <v>104</v>
      </c>
      <c r="AH2357" s="1" t="s">
        <v>104</v>
      </c>
      <c r="AI2357" s="1">
        <v>1</v>
      </c>
      <c r="AJ2357" s="1" t="s">
        <v>104</v>
      </c>
      <c r="AK2357" s="1" t="s">
        <v>104</v>
      </c>
      <c r="AL2357" s="1" t="s">
        <v>104</v>
      </c>
      <c r="AM2357" s="1" t="s">
        <v>104</v>
      </c>
      <c r="AO2357" s="1">
        <v>1</v>
      </c>
      <c r="AQ2357" s="1" t="s">
        <v>12104</v>
      </c>
      <c r="AR2357" s="1">
        <v>0</v>
      </c>
      <c r="AS2357" s="1">
        <v>0</v>
      </c>
      <c r="AT2357" s="1">
        <v>0</v>
      </c>
      <c r="AU2357" s="1">
        <v>0</v>
      </c>
      <c r="AV2357" s="1">
        <v>0</v>
      </c>
      <c r="AW2357" s="1">
        <v>0</v>
      </c>
      <c r="AX2357" s="1">
        <v>0</v>
      </c>
      <c r="AY2357" s="1">
        <v>0</v>
      </c>
      <c r="AZ2357" s="1">
        <v>0</v>
      </c>
      <c r="BA2357" s="1">
        <v>0</v>
      </c>
      <c r="BB2357" s="1">
        <v>0</v>
      </c>
      <c r="BC2357" s="1">
        <v>0</v>
      </c>
      <c r="BD2357" s="1">
        <v>0</v>
      </c>
      <c r="BE2357" s="1">
        <v>0</v>
      </c>
      <c r="BF2357" s="1">
        <v>0</v>
      </c>
      <c r="BG2357" s="1">
        <v>0</v>
      </c>
      <c r="BH2357" s="1">
        <v>0</v>
      </c>
      <c r="BI2357" s="1">
        <v>0</v>
      </c>
      <c r="BJ2357" s="1">
        <v>0</v>
      </c>
      <c r="BK2357" s="1">
        <v>0</v>
      </c>
      <c r="BL2357" s="1">
        <v>0</v>
      </c>
      <c r="BM2357" s="1">
        <v>0</v>
      </c>
      <c r="BN2357" s="1">
        <v>0</v>
      </c>
      <c r="BO2357" s="1">
        <v>0</v>
      </c>
      <c r="BP2357" s="1">
        <v>0</v>
      </c>
      <c r="BQ2357" s="1" t="s">
        <v>104</v>
      </c>
      <c r="BR2357" s="1">
        <v>2478</v>
      </c>
      <c r="BS2357" s="1" t="s">
        <v>104</v>
      </c>
      <c r="BX2357" s="1">
        <v>0</v>
      </c>
      <c r="BY2357" s="1" t="s">
        <v>104</v>
      </c>
      <c r="BZ2357" s="1" t="s">
        <v>104</v>
      </c>
      <c r="CA2357" s="1" t="s">
        <v>104</v>
      </c>
      <c r="CB2357" s="1" t="s">
        <v>104</v>
      </c>
      <c r="CC2357" s="1" t="s">
        <v>104</v>
      </c>
      <c r="CD2357" s="1" t="s">
        <v>104</v>
      </c>
      <c r="CE2357" s="1" t="s">
        <v>104</v>
      </c>
      <c r="CF2357" s="1" t="s">
        <v>104</v>
      </c>
      <c r="CG2357" s="1" t="s">
        <v>104</v>
      </c>
      <c r="CH2357" s="1">
        <v>1</v>
      </c>
      <c r="CJ2357" s="1">
        <v>0</v>
      </c>
      <c r="CK2357" s="1">
        <v>0</v>
      </c>
      <c r="CL2357" s="1">
        <v>0</v>
      </c>
      <c r="CM2357" s="1" t="s">
        <v>104</v>
      </c>
    </row>
    <row r="2358" spans="1:91" ht="14.25" customHeight="1" x14ac:dyDescent="0.3">
      <c r="A2358" s="1" t="s">
        <v>12105</v>
      </c>
      <c r="B2358" s="1" t="s">
        <v>123</v>
      </c>
      <c r="C2358" s="1" t="s">
        <v>124</v>
      </c>
      <c r="D2358" s="1" t="s">
        <v>125</v>
      </c>
      <c r="E2358" s="1" t="s">
        <v>12106</v>
      </c>
      <c r="F2358" s="1" t="s">
        <v>95</v>
      </c>
      <c r="G2358" s="1" t="s">
        <v>12107</v>
      </c>
      <c r="H2358" s="1">
        <v>0</v>
      </c>
      <c r="I2358" s="1" t="s">
        <v>117</v>
      </c>
      <c r="L2358" s="1" t="s">
        <v>12108</v>
      </c>
      <c r="M2358" s="1" t="s">
        <v>4641</v>
      </c>
      <c r="N2358" s="1">
        <v>1</v>
      </c>
      <c r="O2358" s="1">
        <v>0</v>
      </c>
      <c r="P2358" s="1" t="s">
        <v>211</v>
      </c>
      <c r="Q2358" s="1" t="s">
        <v>184</v>
      </c>
      <c r="R2358" s="1" t="s">
        <v>12109</v>
      </c>
      <c r="S2358" s="1" t="s">
        <v>11859</v>
      </c>
      <c r="T2358" s="1">
        <v>1</v>
      </c>
      <c r="U2358" s="1">
        <v>1</v>
      </c>
      <c r="V2358" s="1">
        <v>1</v>
      </c>
      <c r="W2358" s="1">
        <v>0</v>
      </c>
      <c r="X2358" s="1">
        <v>0</v>
      </c>
      <c r="Y2358" s="1">
        <v>2</v>
      </c>
      <c r="Z2358" s="1">
        <v>2</v>
      </c>
      <c r="AA2358" s="1" t="s">
        <v>104</v>
      </c>
      <c r="AB2358" s="1" t="s">
        <v>104</v>
      </c>
      <c r="AC2358" s="1" t="s">
        <v>104</v>
      </c>
      <c r="AD2358" s="1">
        <v>2</v>
      </c>
      <c r="AE2358" s="1" t="s">
        <v>104</v>
      </c>
      <c r="AF2358" s="1" t="s">
        <v>104</v>
      </c>
      <c r="AG2358" s="1" t="s">
        <v>104</v>
      </c>
      <c r="AH2358" s="1">
        <v>2</v>
      </c>
      <c r="AI2358" s="1">
        <v>2</v>
      </c>
      <c r="AJ2358" s="1" t="s">
        <v>104</v>
      </c>
      <c r="AK2358" s="1" t="s">
        <v>104</v>
      </c>
      <c r="AL2358" s="1" t="s">
        <v>104</v>
      </c>
      <c r="AM2358" s="1" t="s">
        <v>104</v>
      </c>
      <c r="AO2358" s="1">
        <v>2</v>
      </c>
      <c r="AQ2358" s="1" t="s">
        <v>12110</v>
      </c>
      <c r="AR2358" s="1">
        <v>0</v>
      </c>
      <c r="AS2358" s="1">
        <v>0</v>
      </c>
      <c r="AT2358" s="1">
        <v>0</v>
      </c>
      <c r="AU2358" s="1">
        <v>0</v>
      </c>
      <c r="AV2358" s="1">
        <v>0</v>
      </c>
      <c r="AW2358" s="1">
        <v>0</v>
      </c>
      <c r="AX2358" s="1">
        <v>0</v>
      </c>
      <c r="AY2358" s="1">
        <v>0</v>
      </c>
      <c r="AZ2358" s="1">
        <v>0</v>
      </c>
      <c r="BA2358" s="1">
        <v>0</v>
      </c>
      <c r="BB2358" s="1">
        <v>0</v>
      </c>
      <c r="BC2358" s="1">
        <v>0</v>
      </c>
      <c r="BD2358" s="1">
        <v>0</v>
      </c>
      <c r="BE2358" s="1">
        <v>0</v>
      </c>
      <c r="BF2358" s="1">
        <v>0</v>
      </c>
      <c r="BG2358" s="1">
        <v>0</v>
      </c>
      <c r="BH2358" s="1">
        <v>0</v>
      </c>
      <c r="BI2358" s="1">
        <v>0</v>
      </c>
      <c r="BJ2358" s="1">
        <v>0</v>
      </c>
      <c r="BK2358" s="1">
        <v>1</v>
      </c>
      <c r="BL2358" s="1">
        <v>0</v>
      </c>
      <c r="BM2358" s="1">
        <v>0</v>
      </c>
      <c r="BN2358" s="1">
        <v>0</v>
      </c>
      <c r="BO2358" s="1">
        <v>0</v>
      </c>
      <c r="BP2358" s="1">
        <v>0</v>
      </c>
      <c r="BQ2358" s="1" t="s">
        <v>104</v>
      </c>
      <c r="BR2358" s="1">
        <v>2479</v>
      </c>
      <c r="BS2358" s="1" t="s">
        <v>104</v>
      </c>
      <c r="BX2358" s="1">
        <v>0</v>
      </c>
      <c r="BY2358" s="1" t="s">
        <v>104</v>
      </c>
      <c r="BZ2358" s="1" t="s">
        <v>104</v>
      </c>
      <c r="CA2358" s="1">
        <v>2</v>
      </c>
      <c r="CB2358" s="1" t="s">
        <v>104</v>
      </c>
      <c r="CC2358" s="1">
        <v>2</v>
      </c>
      <c r="CD2358" s="1" t="s">
        <v>104</v>
      </c>
      <c r="CE2358" s="1" t="s">
        <v>104</v>
      </c>
      <c r="CF2358" s="1" t="s">
        <v>104</v>
      </c>
      <c r="CG2358" s="1" t="s">
        <v>104</v>
      </c>
      <c r="CH2358" s="1" t="s">
        <v>104</v>
      </c>
      <c r="CJ2358" s="1">
        <v>0</v>
      </c>
      <c r="CK2358" s="1">
        <v>0</v>
      </c>
      <c r="CL2358" s="1">
        <v>0</v>
      </c>
      <c r="CM2358" s="1" t="s">
        <v>104</v>
      </c>
    </row>
    <row r="2359" spans="1:91" ht="14.25" customHeight="1" x14ac:dyDescent="0.3">
      <c r="A2359" s="1" t="s">
        <v>12111</v>
      </c>
      <c r="B2359" s="1" t="s">
        <v>123</v>
      </c>
      <c r="C2359" s="1" t="s">
        <v>124</v>
      </c>
      <c r="D2359" s="1" t="s">
        <v>12112</v>
      </c>
      <c r="E2359" s="1" t="s">
        <v>12113</v>
      </c>
      <c r="F2359" s="1" t="s">
        <v>95</v>
      </c>
      <c r="G2359" s="1" t="s">
        <v>116</v>
      </c>
      <c r="H2359" s="1">
        <v>0</v>
      </c>
      <c r="I2359" s="1" t="s">
        <v>128</v>
      </c>
      <c r="L2359" s="1" t="s">
        <v>374</v>
      </c>
      <c r="M2359" s="1" t="s">
        <v>4992</v>
      </c>
      <c r="N2359" s="1">
        <v>1</v>
      </c>
      <c r="O2359" s="1">
        <v>0</v>
      </c>
      <c r="P2359" s="1" t="s">
        <v>375</v>
      </c>
      <c r="Q2359" s="1" t="s">
        <v>131</v>
      </c>
      <c r="R2359" s="1" t="s">
        <v>12114</v>
      </c>
      <c r="S2359" s="1" t="s">
        <v>11859</v>
      </c>
      <c r="T2359" s="1">
        <v>1</v>
      </c>
      <c r="U2359" s="1">
        <v>1</v>
      </c>
      <c r="V2359" s="1">
        <v>0</v>
      </c>
      <c r="W2359" s="1">
        <v>0</v>
      </c>
      <c r="X2359" s="1">
        <v>0</v>
      </c>
      <c r="Y2359" s="1">
        <v>4</v>
      </c>
      <c r="Z2359" s="1">
        <v>4</v>
      </c>
      <c r="AA2359" s="1" t="s">
        <v>104</v>
      </c>
      <c r="AB2359" s="1" t="s">
        <v>104</v>
      </c>
      <c r="AC2359" s="1" t="s">
        <v>104</v>
      </c>
      <c r="AD2359" s="1">
        <v>3</v>
      </c>
      <c r="AE2359" s="1" t="s">
        <v>104</v>
      </c>
      <c r="AF2359" s="1" t="s">
        <v>104</v>
      </c>
      <c r="AG2359" s="1">
        <v>4</v>
      </c>
      <c r="AH2359" s="1">
        <v>4</v>
      </c>
      <c r="AI2359" s="1">
        <v>4</v>
      </c>
      <c r="AJ2359" s="1" t="s">
        <v>104</v>
      </c>
      <c r="AK2359" s="1" t="s">
        <v>104</v>
      </c>
      <c r="AL2359" s="1" t="s">
        <v>104</v>
      </c>
      <c r="AM2359" s="1" t="s">
        <v>104</v>
      </c>
      <c r="AO2359" s="1">
        <v>4</v>
      </c>
      <c r="AQ2359" s="1" t="s">
        <v>12115</v>
      </c>
      <c r="AR2359" s="1">
        <v>0</v>
      </c>
      <c r="AS2359" s="1">
        <v>0</v>
      </c>
      <c r="AT2359" s="1">
        <v>0</v>
      </c>
      <c r="AU2359" s="1">
        <v>0</v>
      </c>
      <c r="AV2359" s="1">
        <v>0</v>
      </c>
      <c r="AW2359" s="1">
        <v>0</v>
      </c>
      <c r="AX2359" s="1">
        <v>0</v>
      </c>
      <c r="AY2359" s="1">
        <v>0</v>
      </c>
      <c r="AZ2359" s="1">
        <v>0</v>
      </c>
      <c r="BA2359" s="1">
        <v>0</v>
      </c>
      <c r="BB2359" s="1">
        <v>0</v>
      </c>
      <c r="BC2359" s="1">
        <v>0</v>
      </c>
      <c r="BD2359" s="1">
        <v>0</v>
      </c>
      <c r="BE2359" s="1">
        <v>0</v>
      </c>
      <c r="BF2359" s="1">
        <v>0</v>
      </c>
      <c r="BG2359" s="1">
        <v>0</v>
      </c>
      <c r="BH2359" s="1">
        <v>0</v>
      </c>
      <c r="BI2359" s="1">
        <v>0</v>
      </c>
      <c r="BJ2359" s="1">
        <v>0</v>
      </c>
      <c r="BK2359" s="1">
        <v>1</v>
      </c>
      <c r="BL2359" s="1">
        <v>0</v>
      </c>
      <c r="BM2359" s="1">
        <v>0</v>
      </c>
      <c r="BN2359" s="1">
        <v>0</v>
      </c>
      <c r="BO2359" s="1">
        <v>0</v>
      </c>
      <c r="BP2359" s="1">
        <v>0</v>
      </c>
      <c r="BQ2359" s="1" t="s">
        <v>104</v>
      </c>
      <c r="BR2359" s="1">
        <v>2480</v>
      </c>
      <c r="BS2359" s="1" t="s">
        <v>104</v>
      </c>
      <c r="BX2359" s="1">
        <v>0</v>
      </c>
      <c r="BY2359" s="1">
        <v>4</v>
      </c>
      <c r="BZ2359" s="1" t="s">
        <v>104</v>
      </c>
      <c r="CA2359" s="1">
        <v>4</v>
      </c>
      <c r="CB2359" s="1">
        <v>3</v>
      </c>
      <c r="CC2359" s="1" t="s">
        <v>104</v>
      </c>
      <c r="CD2359" s="1" t="s">
        <v>104</v>
      </c>
      <c r="CE2359" s="1">
        <v>4</v>
      </c>
      <c r="CF2359" s="1" t="s">
        <v>104</v>
      </c>
      <c r="CG2359" s="1" t="s">
        <v>104</v>
      </c>
      <c r="CH2359" s="1" t="s">
        <v>104</v>
      </c>
      <c r="CJ2359" s="1">
        <v>1</v>
      </c>
      <c r="CK2359" s="1">
        <v>0</v>
      </c>
      <c r="CL2359" s="1">
        <v>0</v>
      </c>
      <c r="CM2359" s="1">
        <v>4</v>
      </c>
    </row>
    <row r="2360" spans="1:91" ht="14.25" customHeight="1" x14ac:dyDescent="0.3">
      <c r="A2360" s="1" t="s">
        <v>12116</v>
      </c>
      <c r="B2360" s="1" t="s">
        <v>123</v>
      </c>
      <c r="C2360" s="1" t="s">
        <v>124</v>
      </c>
      <c r="D2360" s="1" t="s">
        <v>12112</v>
      </c>
      <c r="E2360" s="1" t="s">
        <v>12117</v>
      </c>
      <c r="F2360" s="1" t="s">
        <v>95</v>
      </c>
      <c r="G2360" s="1" t="s">
        <v>116</v>
      </c>
      <c r="H2360" s="1">
        <v>0</v>
      </c>
      <c r="I2360" s="1" t="s">
        <v>128</v>
      </c>
      <c r="L2360" s="1" t="s">
        <v>374</v>
      </c>
      <c r="M2360" s="1" t="s">
        <v>4641</v>
      </c>
      <c r="N2360" s="1">
        <v>1</v>
      </c>
      <c r="O2360" s="1">
        <v>0</v>
      </c>
      <c r="P2360" s="1" t="s">
        <v>375</v>
      </c>
      <c r="Q2360" s="1" t="s">
        <v>131</v>
      </c>
      <c r="R2360" s="1" t="s">
        <v>12118</v>
      </c>
      <c r="S2360" s="1" t="s">
        <v>11859</v>
      </c>
      <c r="T2360" s="1">
        <v>1</v>
      </c>
      <c r="U2360" s="1">
        <v>1</v>
      </c>
      <c r="V2360" s="1">
        <v>0</v>
      </c>
      <c r="W2360" s="1">
        <v>0</v>
      </c>
      <c r="X2360" s="1">
        <v>0</v>
      </c>
      <c r="Y2360" s="1">
        <v>7</v>
      </c>
      <c r="Z2360" s="1">
        <v>7</v>
      </c>
      <c r="AA2360" s="1" t="s">
        <v>104</v>
      </c>
      <c r="AB2360" s="1" t="s">
        <v>104</v>
      </c>
      <c r="AC2360" s="1" t="s">
        <v>104</v>
      </c>
      <c r="AD2360" s="1">
        <v>6</v>
      </c>
      <c r="AE2360" s="1" t="s">
        <v>104</v>
      </c>
      <c r="AF2360" s="1" t="s">
        <v>104</v>
      </c>
      <c r="AG2360" s="1" t="s">
        <v>104</v>
      </c>
      <c r="AH2360" s="1">
        <v>7</v>
      </c>
      <c r="AI2360" s="1" t="s">
        <v>104</v>
      </c>
      <c r="AJ2360" s="1" t="s">
        <v>104</v>
      </c>
      <c r="AK2360" s="1" t="s">
        <v>104</v>
      </c>
      <c r="AL2360" s="1" t="s">
        <v>104</v>
      </c>
      <c r="AM2360" s="1" t="s">
        <v>104</v>
      </c>
      <c r="AO2360" s="1">
        <v>7</v>
      </c>
      <c r="AQ2360" s="1" t="s">
        <v>12119</v>
      </c>
      <c r="AR2360" s="1">
        <v>0</v>
      </c>
      <c r="AS2360" s="1">
        <v>0</v>
      </c>
      <c r="AT2360" s="1">
        <v>0</v>
      </c>
      <c r="AU2360" s="1">
        <v>0</v>
      </c>
      <c r="AV2360" s="1">
        <v>0</v>
      </c>
      <c r="AW2360" s="1">
        <v>0</v>
      </c>
      <c r="AX2360" s="1">
        <v>0</v>
      </c>
      <c r="AY2360" s="1">
        <v>0</v>
      </c>
      <c r="AZ2360" s="1">
        <v>0</v>
      </c>
      <c r="BA2360" s="1">
        <v>0</v>
      </c>
      <c r="BB2360" s="1">
        <v>0</v>
      </c>
      <c r="BC2360" s="1">
        <v>0</v>
      </c>
      <c r="BD2360" s="1">
        <v>0</v>
      </c>
      <c r="BE2360" s="1">
        <v>0</v>
      </c>
      <c r="BF2360" s="1">
        <v>0</v>
      </c>
      <c r="BG2360" s="1">
        <v>0</v>
      </c>
      <c r="BH2360" s="1">
        <v>0</v>
      </c>
      <c r="BI2360" s="1">
        <v>0</v>
      </c>
      <c r="BJ2360" s="1">
        <v>0</v>
      </c>
      <c r="BK2360" s="1">
        <v>1</v>
      </c>
      <c r="BL2360" s="1">
        <v>0</v>
      </c>
      <c r="BM2360" s="1">
        <v>0</v>
      </c>
      <c r="BN2360" s="1">
        <v>0</v>
      </c>
      <c r="BO2360" s="1">
        <v>0</v>
      </c>
      <c r="BP2360" s="1">
        <v>0</v>
      </c>
      <c r="BQ2360" s="1" t="s">
        <v>104</v>
      </c>
      <c r="BR2360" s="1">
        <v>2481</v>
      </c>
      <c r="BS2360" s="1" t="s">
        <v>104</v>
      </c>
      <c r="BX2360" s="1">
        <v>0</v>
      </c>
      <c r="BY2360" s="1" t="s">
        <v>104</v>
      </c>
      <c r="BZ2360" s="1" t="s">
        <v>104</v>
      </c>
      <c r="CA2360" s="1">
        <v>7</v>
      </c>
      <c r="CB2360" s="1" t="s">
        <v>104</v>
      </c>
      <c r="CC2360" s="1" t="s">
        <v>104</v>
      </c>
      <c r="CD2360" s="1" t="s">
        <v>104</v>
      </c>
      <c r="CE2360" s="1" t="s">
        <v>104</v>
      </c>
      <c r="CF2360" s="1" t="s">
        <v>104</v>
      </c>
      <c r="CG2360" s="1" t="s">
        <v>104</v>
      </c>
      <c r="CH2360" s="1" t="s">
        <v>104</v>
      </c>
      <c r="CJ2360" s="1">
        <v>1</v>
      </c>
      <c r="CK2360" s="1">
        <v>0</v>
      </c>
      <c r="CL2360" s="1">
        <v>0</v>
      </c>
      <c r="CM2360" s="1" t="s">
        <v>104</v>
      </c>
    </row>
    <row r="2361" spans="1:91" ht="14.25" customHeight="1" x14ac:dyDescent="0.3">
      <c r="A2361" s="1" t="s">
        <v>12120</v>
      </c>
      <c r="B2361" s="1" t="s">
        <v>507</v>
      </c>
      <c r="C2361" s="1" t="s">
        <v>1767</v>
      </c>
      <c r="E2361" s="1" t="s">
        <v>12121</v>
      </c>
      <c r="F2361" s="1" t="s">
        <v>95</v>
      </c>
      <c r="G2361" s="1" t="s">
        <v>12122</v>
      </c>
      <c r="H2361" s="1">
        <v>0</v>
      </c>
      <c r="I2361" s="1" t="s">
        <v>117</v>
      </c>
      <c r="L2361" s="1" t="s">
        <v>1065</v>
      </c>
      <c r="M2361" s="1" t="s">
        <v>426</v>
      </c>
      <c r="N2361" s="1">
        <v>1</v>
      </c>
      <c r="O2361" s="1">
        <v>0</v>
      </c>
      <c r="P2361" s="1" t="s">
        <v>1771</v>
      </c>
      <c r="Q2361" s="1" t="s">
        <v>184</v>
      </c>
      <c r="R2361" s="1" t="s">
        <v>12123</v>
      </c>
      <c r="S2361" s="1" t="s">
        <v>11859</v>
      </c>
      <c r="T2361" s="1">
        <v>0</v>
      </c>
      <c r="U2361" s="1">
        <v>1</v>
      </c>
      <c r="V2361" s="1">
        <v>0</v>
      </c>
      <c r="W2361" s="1">
        <v>0</v>
      </c>
      <c r="X2361" s="1">
        <v>0</v>
      </c>
      <c r="Y2361" s="1">
        <v>4</v>
      </c>
      <c r="Z2361" s="1">
        <v>4</v>
      </c>
      <c r="AA2361" s="1" t="s">
        <v>104</v>
      </c>
      <c r="AB2361" s="1" t="s">
        <v>104</v>
      </c>
      <c r="AC2361" s="1" t="s">
        <v>104</v>
      </c>
      <c r="AD2361" s="1" t="s">
        <v>104</v>
      </c>
      <c r="AE2361" s="1" t="s">
        <v>104</v>
      </c>
      <c r="AF2361" s="1" t="s">
        <v>104</v>
      </c>
      <c r="AG2361" s="1" t="s">
        <v>104</v>
      </c>
      <c r="AH2361" s="1" t="s">
        <v>104</v>
      </c>
      <c r="AI2361" s="1" t="s">
        <v>104</v>
      </c>
      <c r="AJ2361" s="1" t="s">
        <v>104</v>
      </c>
      <c r="AK2361" s="1">
        <v>3</v>
      </c>
      <c r="AL2361" s="1">
        <v>4</v>
      </c>
      <c r="AM2361" s="1" t="s">
        <v>104</v>
      </c>
      <c r="AO2361" s="1">
        <v>4</v>
      </c>
      <c r="AQ2361" s="1" t="s">
        <v>12124</v>
      </c>
      <c r="AR2361" s="1">
        <v>0</v>
      </c>
      <c r="AS2361" s="1">
        <v>0</v>
      </c>
      <c r="AT2361" s="1">
        <v>0</v>
      </c>
      <c r="AU2361" s="1">
        <v>0</v>
      </c>
      <c r="AV2361" s="1">
        <v>0</v>
      </c>
      <c r="AW2361" s="1">
        <v>0</v>
      </c>
      <c r="AX2361" s="1">
        <v>0</v>
      </c>
      <c r="AY2361" s="1">
        <v>0</v>
      </c>
      <c r="AZ2361" s="1">
        <v>0</v>
      </c>
      <c r="BA2361" s="1">
        <v>0</v>
      </c>
      <c r="BB2361" s="1">
        <v>0</v>
      </c>
      <c r="BC2361" s="1">
        <v>0</v>
      </c>
      <c r="BD2361" s="1">
        <v>0</v>
      </c>
      <c r="BE2361" s="1">
        <v>0</v>
      </c>
      <c r="BF2361" s="1">
        <v>0</v>
      </c>
      <c r="BG2361" s="1">
        <v>0</v>
      </c>
      <c r="BH2361" s="1">
        <v>0</v>
      </c>
      <c r="BI2361" s="1">
        <v>0</v>
      </c>
      <c r="BJ2361" s="1">
        <v>0</v>
      </c>
      <c r="BK2361" s="1">
        <v>0</v>
      </c>
      <c r="BL2361" s="1">
        <v>0</v>
      </c>
      <c r="BM2361" s="1">
        <v>0</v>
      </c>
      <c r="BN2361" s="1">
        <v>0</v>
      </c>
      <c r="BO2361" s="1">
        <v>0</v>
      </c>
      <c r="BP2361" s="1">
        <v>0</v>
      </c>
      <c r="BQ2361" s="1" t="s">
        <v>104</v>
      </c>
      <c r="BR2361" s="1">
        <v>2482</v>
      </c>
      <c r="BS2361" s="1" t="s">
        <v>104</v>
      </c>
      <c r="BX2361" s="1">
        <v>0</v>
      </c>
      <c r="BY2361" s="1" t="s">
        <v>104</v>
      </c>
      <c r="BZ2361" s="1" t="s">
        <v>104</v>
      </c>
      <c r="CA2361" s="1">
        <v>4</v>
      </c>
      <c r="CB2361" s="1" t="s">
        <v>104</v>
      </c>
      <c r="CC2361" s="1">
        <v>3</v>
      </c>
      <c r="CD2361" s="1">
        <v>4</v>
      </c>
      <c r="CE2361" s="1" t="s">
        <v>104</v>
      </c>
      <c r="CF2361" s="1" t="s">
        <v>104</v>
      </c>
      <c r="CG2361" s="1" t="s">
        <v>104</v>
      </c>
      <c r="CH2361" s="1" t="s">
        <v>104</v>
      </c>
      <c r="CJ2361" s="1">
        <v>0</v>
      </c>
      <c r="CK2361" s="1">
        <v>0</v>
      </c>
      <c r="CL2361" s="1">
        <v>0</v>
      </c>
      <c r="CM2361" s="1" t="s">
        <v>104</v>
      </c>
    </row>
    <row r="2362" spans="1:91" ht="14.25" customHeight="1" x14ac:dyDescent="0.3">
      <c r="A2362" s="1" t="s">
        <v>12125</v>
      </c>
      <c r="B2362" s="1" t="s">
        <v>507</v>
      </c>
      <c r="C2362" s="1" t="s">
        <v>1767</v>
      </c>
      <c r="E2362" s="1" t="s">
        <v>12126</v>
      </c>
      <c r="F2362" s="1" t="s">
        <v>95</v>
      </c>
      <c r="G2362" s="1" t="s">
        <v>12122</v>
      </c>
      <c r="H2362" s="1">
        <v>0</v>
      </c>
      <c r="I2362" s="1" t="s">
        <v>117</v>
      </c>
      <c r="L2362" s="1" t="s">
        <v>12127</v>
      </c>
      <c r="M2362" s="1" t="s">
        <v>426</v>
      </c>
      <c r="N2362" s="1">
        <v>1</v>
      </c>
      <c r="O2362" s="1">
        <v>0</v>
      </c>
      <c r="P2362" s="1" t="s">
        <v>1771</v>
      </c>
      <c r="Q2362" s="1" t="s">
        <v>184</v>
      </c>
      <c r="R2362" s="1" t="s">
        <v>12128</v>
      </c>
      <c r="S2362" s="1" t="s">
        <v>11859</v>
      </c>
      <c r="T2362" s="1">
        <v>0</v>
      </c>
      <c r="U2362" s="1">
        <v>1</v>
      </c>
      <c r="V2362" s="1">
        <v>0</v>
      </c>
      <c r="W2362" s="1">
        <v>0</v>
      </c>
      <c r="X2362" s="1">
        <v>0</v>
      </c>
      <c r="Y2362" s="1">
        <v>6</v>
      </c>
      <c r="Z2362" s="1">
        <v>6</v>
      </c>
      <c r="AA2362" s="1" t="s">
        <v>104</v>
      </c>
      <c r="AB2362" s="1" t="s">
        <v>104</v>
      </c>
      <c r="AC2362" s="1" t="s">
        <v>104</v>
      </c>
      <c r="AD2362" s="1" t="s">
        <v>104</v>
      </c>
      <c r="AE2362" s="1" t="s">
        <v>104</v>
      </c>
      <c r="AF2362" s="1" t="s">
        <v>104</v>
      </c>
      <c r="AG2362" s="1" t="s">
        <v>104</v>
      </c>
      <c r="AH2362" s="1" t="s">
        <v>104</v>
      </c>
      <c r="AI2362" s="1" t="s">
        <v>104</v>
      </c>
      <c r="AJ2362" s="1" t="s">
        <v>104</v>
      </c>
      <c r="AK2362" s="1">
        <v>4</v>
      </c>
      <c r="AL2362" s="1">
        <v>6</v>
      </c>
      <c r="AM2362" s="1" t="s">
        <v>104</v>
      </c>
      <c r="AO2362" s="1">
        <v>6</v>
      </c>
      <c r="AQ2362" s="1" t="s">
        <v>12129</v>
      </c>
      <c r="AR2362" s="1">
        <v>0</v>
      </c>
      <c r="AS2362" s="1">
        <v>0</v>
      </c>
      <c r="AT2362" s="1">
        <v>0</v>
      </c>
      <c r="AU2362" s="1">
        <v>0</v>
      </c>
      <c r="AV2362" s="1">
        <v>0</v>
      </c>
      <c r="AW2362" s="1">
        <v>0</v>
      </c>
      <c r="AX2362" s="1">
        <v>0</v>
      </c>
      <c r="AY2362" s="1">
        <v>0</v>
      </c>
      <c r="AZ2362" s="1">
        <v>0</v>
      </c>
      <c r="BA2362" s="1">
        <v>0</v>
      </c>
      <c r="BB2362" s="1">
        <v>0</v>
      </c>
      <c r="BC2362" s="1">
        <v>0</v>
      </c>
      <c r="BD2362" s="1">
        <v>0</v>
      </c>
      <c r="BE2362" s="1">
        <v>0</v>
      </c>
      <c r="BF2362" s="1">
        <v>0</v>
      </c>
      <c r="BG2362" s="1">
        <v>0</v>
      </c>
      <c r="BH2362" s="1">
        <v>0</v>
      </c>
      <c r="BI2362" s="1">
        <v>0</v>
      </c>
      <c r="BJ2362" s="1">
        <v>0</v>
      </c>
      <c r="BK2362" s="1">
        <v>0</v>
      </c>
      <c r="BL2362" s="1">
        <v>0</v>
      </c>
      <c r="BM2362" s="1">
        <v>0</v>
      </c>
      <c r="BN2362" s="1">
        <v>0</v>
      </c>
      <c r="BO2362" s="1">
        <v>0</v>
      </c>
      <c r="BP2362" s="1">
        <v>0</v>
      </c>
      <c r="BQ2362" s="1" t="s">
        <v>104</v>
      </c>
      <c r="BR2362" s="1">
        <v>2483</v>
      </c>
      <c r="BS2362" s="1" t="s">
        <v>104</v>
      </c>
      <c r="BX2362" s="1">
        <v>0</v>
      </c>
      <c r="BY2362" s="1" t="s">
        <v>104</v>
      </c>
      <c r="BZ2362" s="1" t="s">
        <v>104</v>
      </c>
      <c r="CA2362" s="1">
        <v>5</v>
      </c>
      <c r="CB2362" s="1" t="s">
        <v>104</v>
      </c>
      <c r="CC2362" s="1">
        <v>4</v>
      </c>
      <c r="CD2362" s="1">
        <v>5</v>
      </c>
      <c r="CE2362" s="1" t="s">
        <v>104</v>
      </c>
      <c r="CF2362" s="1" t="s">
        <v>104</v>
      </c>
      <c r="CG2362" s="1" t="s">
        <v>104</v>
      </c>
      <c r="CH2362" s="1" t="s">
        <v>104</v>
      </c>
      <c r="CJ2362" s="1">
        <v>0</v>
      </c>
      <c r="CK2362" s="1">
        <v>0</v>
      </c>
      <c r="CL2362" s="1">
        <v>0</v>
      </c>
      <c r="CM2362" s="1" t="s">
        <v>104</v>
      </c>
    </row>
    <row r="2363" spans="1:91" ht="14.25" customHeight="1" x14ac:dyDescent="0.3">
      <c r="A2363" s="1" t="s">
        <v>12130</v>
      </c>
      <c r="B2363" s="1" t="s">
        <v>172</v>
      </c>
      <c r="E2363" s="1" t="s">
        <v>12131</v>
      </c>
      <c r="F2363" s="1" t="s">
        <v>255</v>
      </c>
      <c r="G2363" s="1" t="s">
        <v>12132</v>
      </c>
      <c r="H2363" s="1">
        <v>0</v>
      </c>
      <c r="I2363" s="1" t="s">
        <v>117</v>
      </c>
      <c r="K2363" s="1" t="s">
        <v>12133</v>
      </c>
      <c r="M2363" s="1" t="s">
        <v>4992</v>
      </c>
      <c r="N2363" s="1">
        <v>1</v>
      </c>
      <c r="O2363" s="1">
        <v>0</v>
      </c>
      <c r="P2363" s="1" t="s">
        <v>100</v>
      </c>
      <c r="Q2363" s="1" t="s">
        <v>101</v>
      </c>
      <c r="R2363" s="1" t="s">
        <v>12134</v>
      </c>
      <c r="S2363" s="1" t="s">
        <v>11859</v>
      </c>
      <c r="T2363" s="1">
        <v>1</v>
      </c>
      <c r="U2363" s="1">
        <v>1</v>
      </c>
      <c r="V2363" s="1">
        <v>1</v>
      </c>
      <c r="W2363" s="1">
        <v>0</v>
      </c>
      <c r="X2363" s="1">
        <v>0</v>
      </c>
      <c r="Y2363" s="1">
        <v>4</v>
      </c>
      <c r="Z2363" s="1">
        <v>4</v>
      </c>
      <c r="AA2363" s="1" t="s">
        <v>104</v>
      </c>
      <c r="AB2363" s="1">
        <v>3</v>
      </c>
      <c r="AC2363" s="1">
        <v>3</v>
      </c>
      <c r="AD2363" s="1" t="s">
        <v>104</v>
      </c>
      <c r="AE2363" s="1" t="s">
        <v>104</v>
      </c>
      <c r="AF2363" s="1" t="s">
        <v>104</v>
      </c>
      <c r="AG2363" s="1">
        <v>3</v>
      </c>
      <c r="AH2363" s="1">
        <v>4</v>
      </c>
      <c r="AI2363" s="1" t="s">
        <v>104</v>
      </c>
      <c r="AJ2363" s="1" t="s">
        <v>104</v>
      </c>
      <c r="AK2363" s="1" t="s">
        <v>104</v>
      </c>
      <c r="AL2363" s="1" t="s">
        <v>104</v>
      </c>
      <c r="AM2363" s="1" t="s">
        <v>104</v>
      </c>
      <c r="AO2363" s="1">
        <v>4</v>
      </c>
      <c r="AQ2363" s="1" t="s">
        <v>12135</v>
      </c>
      <c r="AR2363" s="1">
        <v>0</v>
      </c>
      <c r="AS2363" s="1">
        <v>0</v>
      </c>
      <c r="AT2363" s="1">
        <v>0</v>
      </c>
      <c r="AU2363" s="1">
        <v>0</v>
      </c>
      <c r="AV2363" s="1">
        <v>0</v>
      </c>
      <c r="AW2363" s="1">
        <v>0</v>
      </c>
      <c r="AX2363" s="1">
        <v>0</v>
      </c>
      <c r="AY2363" s="1">
        <v>0</v>
      </c>
      <c r="AZ2363" s="1">
        <v>0</v>
      </c>
      <c r="BA2363" s="1">
        <v>0</v>
      </c>
      <c r="BB2363" s="1">
        <v>0</v>
      </c>
      <c r="BC2363" s="1">
        <v>0</v>
      </c>
      <c r="BD2363" s="1">
        <v>0</v>
      </c>
      <c r="BE2363" s="1">
        <v>0</v>
      </c>
      <c r="BF2363" s="1">
        <v>0</v>
      </c>
      <c r="BG2363" s="1">
        <v>0</v>
      </c>
      <c r="BH2363" s="1">
        <v>0</v>
      </c>
      <c r="BI2363" s="1">
        <v>0</v>
      </c>
      <c r="BJ2363" s="1">
        <v>0</v>
      </c>
      <c r="BK2363" s="1">
        <v>0</v>
      </c>
      <c r="BL2363" s="1">
        <v>0</v>
      </c>
      <c r="BM2363" s="1">
        <v>0</v>
      </c>
      <c r="BN2363" s="1">
        <v>0</v>
      </c>
      <c r="BO2363" s="1">
        <v>0</v>
      </c>
      <c r="BP2363" s="1">
        <v>0</v>
      </c>
      <c r="BQ2363" s="1" t="s">
        <v>104</v>
      </c>
      <c r="BR2363" s="1">
        <v>2484</v>
      </c>
      <c r="BS2363" s="1" t="s">
        <v>104</v>
      </c>
      <c r="BX2363" s="1">
        <v>0</v>
      </c>
      <c r="BY2363" s="1" t="s">
        <v>104</v>
      </c>
      <c r="BZ2363" s="1" t="s">
        <v>104</v>
      </c>
      <c r="CA2363" s="1" t="s">
        <v>104</v>
      </c>
      <c r="CB2363" s="1" t="s">
        <v>104</v>
      </c>
      <c r="CC2363" s="1" t="s">
        <v>104</v>
      </c>
      <c r="CD2363" s="1" t="s">
        <v>104</v>
      </c>
      <c r="CE2363" s="1" t="s">
        <v>104</v>
      </c>
      <c r="CF2363" s="1" t="s">
        <v>104</v>
      </c>
      <c r="CG2363" s="1" t="s">
        <v>104</v>
      </c>
      <c r="CH2363" s="1">
        <v>3</v>
      </c>
      <c r="CJ2363" s="1">
        <v>0</v>
      </c>
      <c r="CK2363" s="1">
        <v>0</v>
      </c>
      <c r="CL2363" s="1">
        <v>0</v>
      </c>
      <c r="CM2363" s="1">
        <v>3</v>
      </c>
    </row>
    <row r="2364" spans="1:91" ht="14.25" customHeight="1" x14ac:dyDescent="0.3">
      <c r="A2364" s="1" t="s">
        <v>12136</v>
      </c>
      <c r="B2364" s="1" t="s">
        <v>172</v>
      </c>
      <c r="E2364" s="1" t="s">
        <v>12137</v>
      </c>
      <c r="F2364" s="1" t="s">
        <v>255</v>
      </c>
      <c r="G2364" s="1" t="s">
        <v>12132</v>
      </c>
      <c r="H2364" s="1">
        <v>0</v>
      </c>
      <c r="I2364" s="1" t="s">
        <v>117</v>
      </c>
      <c r="K2364" s="1" t="s">
        <v>12133</v>
      </c>
      <c r="M2364" s="1" t="s">
        <v>4992</v>
      </c>
      <c r="N2364" s="1">
        <v>1</v>
      </c>
      <c r="O2364" s="1">
        <v>0</v>
      </c>
      <c r="P2364" s="1" t="s">
        <v>100</v>
      </c>
      <c r="Q2364" s="1" t="s">
        <v>101</v>
      </c>
      <c r="R2364" s="1" t="s">
        <v>12138</v>
      </c>
      <c r="S2364" s="1" t="s">
        <v>11859</v>
      </c>
      <c r="T2364" s="1">
        <v>1</v>
      </c>
      <c r="U2364" s="1">
        <v>1</v>
      </c>
      <c r="V2364" s="1">
        <v>1</v>
      </c>
      <c r="W2364" s="1">
        <v>0</v>
      </c>
      <c r="X2364" s="1">
        <v>0</v>
      </c>
      <c r="Y2364" s="1">
        <v>7</v>
      </c>
      <c r="Z2364" s="1">
        <v>7</v>
      </c>
      <c r="AA2364" s="1" t="s">
        <v>104</v>
      </c>
      <c r="AB2364" s="1">
        <v>6</v>
      </c>
      <c r="AC2364" s="1" t="s">
        <v>104</v>
      </c>
      <c r="AD2364" s="1" t="s">
        <v>104</v>
      </c>
      <c r="AE2364" s="1" t="s">
        <v>104</v>
      </c>
      <c r="AF2364" s="1" t="s">
        <v>104</v>
      </c>
      <c r="AG2364" s="1">
        <v>6</v>
      </c>
      <c r="AH2364" s="1">
        <v>7</v>
      </c>
      <c r="AI2364" s="1" t="s">
        <v>104</v>
      </c>
      <c r="AJ2364" s="1" t="s">
        <v>104</v>
      </c>
      <c r="AK2364" s="1" t="s">
        <v>104</v>
      </c>
      <c r="AL2364" s="1" t="s">
        <v>104</v>
      </c>
      <c r="AM2364" s="1" t="s">
        <v>104</v>
      </c>
      <c r="AO2364" s="1">
        <v>7</v>
      </c>
      <c r="AQ2364" s="1" t="s">
        <v>12139</v>
      </c>
      <c r="AR2364" s="1">
        <v>0</v>
      </c>
      <c r="AS2364" s="1">
        <v>0</v>
      </c>
      <c r="AT2364" s="1">
        <v>0</v>
      </c>
      <c r="AU2364" s="1">
        <v>0</v>
      </c>
      <c r="AV2364" s="1">
        <v>0</v>
      </c>
      <c r="AW2364" s="1">
        <v>0</v>
      </c>
      <c r="AX2364" s="1">
        <v>0</v>
      </c>
      <c r="AY2364" s="1">
        <v>0</v>
      </c>
      <c r="AZ2364" s="1">
        <v>0</v>
      </c>
      <c r="BA2364" s="1">
        <v>0</v>
      </c>
      <c r="BB2364" s="1">
        <v>0</v>
      </c>
      <c r="BC2364" s="1">
        <v>0</v>
      </c>
      <c r="BD2364" s="1">
        <v>0</v>
      </c>
      <c r="BE2364" s="1">
        <v>0</v>
      </c>
      <c r="BF2364" s="1">
        <v>0</v>
      </c>
      <c r="BG2364" s="1">
        <v>0</v>
      </c>
      <c r="BH2364" s="1">
        <v>0</v>
      </c>
      <c r="BI2364" s="1">
        <v>0</v>
      </c>
      <c r="BJ2364" s="1">
        <v>0</v>
      </c>
      <c r="BK2364" s="1">
        <v>0</v>
      </c>
      <c r="BL2364" s="1">
        <v>0</v>
      </c>
      <c r="BM2364" s="1">
        <v>0</v>
      </c>
      <c r="BN2364" s="1">
        <v>0</v>
      </c>
      <c r="BO2364" s="1">
        <v>0</v>
      </c>
      <c r="BP2364" s="1">
        <v>0</v>
      </c>
      <c r="BQ2364" s="1" t="s">
        <v>104</v>
      </c>
      <c r="BR2364" s="1">
        <v>2485</v>
      </c>
      <c r="BS2364" s="1" t="s">
        <v>104</v>
      </c>
      <c r="BX2364" s="1">
        <v>0</v>
      </c>
      <c r="BY2364" s="1" t="s">
        <v>104</v>
      </c>
      <c r="BZ2364" s="1" t="s">
        <v>104</v>
      </c>
      <c r="CA2364" s="1" t="s">
        <v>104</v>
      </c>
      <c r="CB2364" s="1" t="s">
        <v>104</v>
      </c>
      <c r="CC2364" s="1" t="s">
        <v>104</v>
      </c>
      <c r="CD2364" s="1" t="s">
        <v>104</v>
      </c>
      <c r="CE2364" s="1" t="s">
        <v>104</v>
      </c>
      <c r="CF2364" s="1" t="s">
        <v>104</v>
      </c>
      <c r="CG2364" s="1" t="s">
        <v>104</v>
      </c>
      <c r="CH2364" s="1">
        <v>6</v>
      </c>
      <c r="CJ2364" s="1">
        <v>0</v>
      </c>
      <c r="CK2364" s="1">
        <v>0</v>
      </c>
      <c r="CL2364" s="1">
        <v>0</v>
      </c>
      <c r="CM2364" s="1">
        <v>6</v>
      </c>
    </row>
    <row r="2365" spans="1:91" ht="14.25" customHeight="1" x14ac:dyDescent="0.3">
      <c r="A2365" s="1" t="s">
        <v>12140</v>
      </c>
      <c r="B2365" s="1" t="s">
        <v>507</v>
      </c>
      <c r="C2365" s="1" t="s">
        <v>1767</v>
      </c>
      <c r="E2365" s="1" t="s">
        <v>12141</v>
      </c>
      <c r="F2365" s="1" t="s">
        <v>95</v>
      </c>
      <c r="G2365" s="1" t="s">
        <v>12142</v>
      </c>
      <c r="H2365" s="1">
        <v>0</v>
      </c>
      <c r="I2365" s="1" t="s">
        <v>11711</v>
      </c>
      <c r="L2365" s="1" t="s">
        <v>12143</v>
      </c>
      <c r="M2365" s="1" t="s">
        <v>2330</v>
      </c>
      <c r="N2365" s="1">
        <v>0</v>
      </c>
      <c r="O2365" s="1">
        <v>0</v>
      </c>
      <c r="P2365" s="1" t="s">
        <v>1894</v>
      </c>
      <c r="Q2365" s="1" t="s">
        <v>101</v>
      </c>
      <c r="R2365" s="1" t="s">
        <v>12144</v>
      </c>
      <c r="S2365" s="1" t="s">
        <v>11859</v>
      </c>
      <c r="T2365" s="1">
        <v>1</v>
      </c>
      <c r="U2365" s="1">
        <v>1</v>
      </c>
      <c r="V2365" s="1">
        <v>1</v>
      </c>
      <c r="W2365" s="1">
        <v>0</v>
      </c>
      <c r="X2365" s="1">
        <v>0</v>
      </c>
      <c r="Y2365" s="1">
        <v>4</v>
      </c>
      <c r="Z2365" s="1">
        <v>4</v>
      </c>
      <c r="AA2365" s="1" t="s">
        <v>104</v>
      </c>
      <c r="AB2365" s="1" t="s">
        <v>104</v>
      </c>
      <c r="AC2365" s="1">
        <v>3</v>
      </c>
      <c r="AD2365" s="1">
        <v>3</v>
      </c>
      <c r="AE2365" s="1" t="s">
        <v>104</v>
      </c>
      <c r="AF2365" s="1" t="s">
        <v>104</v>
      </c>
      <c r="AG2365" s="1" t="s">
        <v>104</v>
      </c>
      <c r="AH2365" s="1" t="s">
        <v>104</v>
      </c>
      <c r="AI2365" s="1">
        <v>3</v>
      </c>
      <c r="AJ2365" s="1" t="s">
        <v>104</v>
      </c>
      <c r="AK2365" s="1" t="s">
        <v>104</v>
      </c>
      <c r="AL2365" s="1">
        <v>4</v>
      </c>
      <c r="AM2365" s="1" t="s">
        <v>104</v>
      </c>
      <c r="AO2365" s="1">
        <v>4</v>
      </c>
      <c r="AQ2365" s="1" t="s">
        <v>12145</v>
      </c>
      <c r="AR2365" s="1">
        <v>0</v>
      </c>
      <c r="AS2365" s="1">
        <v>0</v>
      </c>
      <c r="AT2365" s="1">
        <v>0</v>
      </c>
      <c r="AU2365" s="1">
        <v>0</v>
      </c>
      <c r="AV2365" s="1">
        <v>0</v>
      </c>
      <c r="AW2365" s="1">
        <v>0</v>
      </c>
      <c r="AX2365" s="1">
        <v>0</v>
      </c>
      <c r="AY2365" s="1">
        <v>0</v>
      </c>
      <c r="AZ2365" s="1">
        <v>0</v>
      </c>
      <c r="BA2365" s="1">
        <v>0</v>
      </c>
      <c r="BB2365" s="1">
        <v>0</v>
      </c>
      <c r="BC2365" s="1">
        <v>0</v>
      </c>
      <c r="BD2365" s="1">
        <v>0</v>
      </c>
      <c r="BE2365" s="1">
        <v>0</v>
      </c>
      <c r="BF2365" s="1">
        <v>0</v>
      </c>
      <c r="BG2365" s="1">
        <v>0</v>
      </c>
      <c r="BH2365" s="1">
        <v>0</v>
      </c>
      <c r="BI2365" s="1">
        <v>0</v>
      </c>
      <c r="BJ2365" s="1">
        <v>0</v>
      </c>
      <c r="BK2365" s="1">
        <v>0</v>
      </c>
      <c r="BL2365" s="1">
        <v>0</v>
      </c>
      <c r="BM2365" s="1">
        <v>0</v>
      </c>
      <c r="BN2365" s="1">
        <v>0</v>
      </c>
      <c r="BO2365" s="1">
        <v>0</v>
      </c>
      <c r="BP2365" s="1">
        <v>0</v>
      </c>
      <c r="BQ2365" s="1" t="s">
        <v>104</v>
      </c>
      <c r="BR2365" s="1">
        <v>2486</v>
      </c>
      <c r="BS2365" s="1" t="s">
        <v>104</v>
      </c>
      <c r="BX2365" s="1">
        <v>0</v>
      </c>
      <c r="BY2365" s="1" t="s">
        <v>104</v>
      </c>
      <c r="BZ2365" s="1" t="s">
        <v>104</v>
      </c>
      <c r="CA2365" s="1" t="s">
        <v>104</v>
      </c>
      <c r="CB2365" s="1" t="s">
        <v>104</v>
      </c>
      <c r="CC2365" s="1">
        <v>3</v>
      </c>
      <c r="CD2365" s="1">
        <v>3</v>
      </c>
      <c r="CE2365" s="1" t="s">
        <v>104</v>
      </c>
      <c r="CF2365" s="1" t="s">
        <v>104</v>
      </c>
      <c r="CG2365" s="1" t="s">
        <v>104</v>
      </c>
      <c r="CH2365" s="1">
        <v>3</v>
      </c>
      <c r="CJ2365" s="1">
        <v>0</v>
      </c>
      <c r="CK2365" s="1">
        <v>0</v>
      </c>
      <c r="CL2365" s="1">
        <v>0</v>
      </c>
      <c r="CM2365" s="1" t="s">
        <v>104</v>
      </c>
    </row>
    <row r="2366" spans="1:91" ht="14.25" customHeight="1" x14ac:dyDescent="0.3">
      <c r="A2366" s="1" t="s">
        <v>12146</v>
      </c>
      <c r="B2366" s="1" t="s">
        <v>92</v>
      </c>
      <c r="C2366" s="1" t="s">
        <v>903</v>
      </c>
      <c r="E2366" s="1" t="s">
        <v>12147</v>
      </c>
      <c r="F2366" s="1" t="s">
        <v>95</v>
      </c>
      <c r="G2366" s="1" t="s">
        <v>12148</v>
      </c>
      <c r="H2366" s="1">
        <v>1</v>
      </c>
      <c r="I2366" s="1" t="s">
        <v>145</v>
      </c>
      <c r="L2366" s="1" t="s">
        <v>12149</v>
      </c>
      <c r="M2366" s="1" t="s">
        <v>10211</v>
      </c>
      <c r="N2366" s="1">
        <v>0</v>
      </c>
      <c r="O2366" s="1">
        <v>0</v>
      </c>
      <c r="P2366" s="1" t="s">
        <v>100</v>
      </c>
      <c r="Q2366" s="1" t="s">
        <v>101</v>
      </c>
      <c r="R2366" s="1" t="s">
        <v>12150</v>
      </c>
      <c r="S2366" s="1" t="s">
        <v>11859</v>
      </c>
      <c r="T2366" s="1">
        <v>1</v>
      </c>
      <c r="U2366" s="1">
        <v>1</v>
      </c>
      <c r="V2366" s="1">
        <v>1</v>
      </c>
      <c r="W2366" s="1">
        <v>0</v>
      </c>
      <c r="X2366" s="1">
        <v>0</v>
      </c>
      <c r="Y2366" s="1">
        <v>8</v>
      </c>
      <c r="Z2366" s="1">
        <v>8</v>
      </c>
      <c r="AA2366" s="1" t="s">
        <v>104</v>
      </c>
      <c r="AB2366" s="1" t="s">
        <v>104</v>
      </c>
      <c r="AC2366" s="1" t="s">
        <v>104</v>
      </c>
      <c r="AD2366" s="1" t="s">
        <v>104</v>
      </c>
      <c r="AE2366" s="1" t="s">
        <v>104</v>
      </c>
      <c r="AF2366" s="1" t="s">
        <v>104</v>
      </c>
      <c r="AG2366" s="1" t="s">
        <v>104</v>
      </c>
      <c r="AH2366" s="1">
        <v>8</v>
      </c>
      <c r="AI2366" s="1" t="s">
        <v>104</v>
      </c>
      <c r="AJ2366" s="1" t="s">
        <v>104</v>
      </c>
      <c r="AK2366" s="1" t="s">
        <v>104</v>
      </c>
      <c r="AL2366" s="1" t="s">
        <v>104</v>
      </c>
      <c r="AM2366" s="1" t="s">
        <v>104</v>
      </c>
      <c r="AO2366" s="1">
        <v>8</v>
      </c>
      <c r="AQ2366" s="1" t="s">
        <v>12151</v>
      </c>
      <c r="AR2366" s="1">
        <v>0</v>
      </c>
      <c r="AS2366" s="1">
        <v>0</v>
      </c>
      <c r="AT2366" s="1">
        <v>0</v>
      </c>
      <c r="AU2366" s="1">
        <v>0</v>
      </c>
      <c r="AV2366" s="1">
        <v>0</v>
      </c>
      <c r="AW2366" s="1">
        <v>0</v>
      </c>
      <c r="AX2366" s="1">
        <v>0</v>
      </c>
      <c r="AY2366" s="1">
        <v>0</v>
      </c>
      <c r="AZ2366" s="1">
        <v>0</v>
      </c>
      <c r="BA2366" s="1">
        <v>0</v>
      </c>
      <c r="BB2366" s="1">
        <v>0</v>
      </c>
      <c r="BC2366" s="1">
        <v>0</v>
      </c>
      <c r="BD2366" s="1">
        <v>0</v>
      </c>
      <c r="BE2366" s="1">
        <v>0</v>
      </c>
      <c r="BF2366" s="1">
        <v>0</v>
      </c>
      <c r="BG2366" s="1">
        <v>0</v>
      </c>
      <c r="BH2366" s="1">
        <v>0</v>
      </c>
      <c r="BI2366" s="1">
        <v>0</v>
      </c>
      <c r="BJ2366" s="1">
        <v>0</v>
      </c>
      <c r="BK2366" s="1">
        <v>0</v>
      </c>
      <c r="BL2366" s="1">
        <v>0</v>
      </c>
      <c r="BM2366" s="1">
        <v>0</v>
      </c>
      <c r="BN2366" s="1">
        <v>0</v>
      </c>
      <c r="BO2366" s="1">
        <v>0</v>
      </c>
      <c r="BP2366" s="1">
        <v>0</v>
      </c>
      <c r="BQ2366" s="1" t="s">
        <v>104</v>
      </c>
      <c r="BR2366" s="1">
        <v>2487</v>
      </c>
      <c r="BS2366" s="1">
        <v>1000</v>
      </c>
      <c r="BX2366" s="1">
        <v>0</v>
      </c>
      <c r="BY2366" s="1" t="s">
        <v>104</v>
      </c>
      <c r="BZ2366" s="1" t="s">
        <v>104</v>
      </c>
      <c r="CA2366" s="1">
        <v>8</v>
      </c>
      <c r="CB2366" s="1" t="s">
        <v>104</v>
      </c>
      <c r="CC2366" s="1" t="s">
        <v>104</v>
      </c>
      <c r="CD2366" s="1" t="s">
        <v>104</v>
      </c>
      <c r="CE2366" s="1" t="s">
        <v>104</v>
      </c>
      <c r="CF2366" s="1" t="s">
        <v>104</v>
      </c>
      <c r="CG2366" s="1" t="s">
        <v>104</v>
      </c>
      <c r="CH2366" s="1" t="s">
        <v>104</v>
      </c>
      <c r="CJ2366" s="1">
        <v>0</v>
      </c>
      <c r="CK2366" s="1">
        <v>0</v>
      </c>
      <c r="CL2366" s="1">
        <v>0</v>
      </c>
      <c r="CM2366" s="1" t="s">
        <v>104</v>
      </c>
    </row>
    <row r="2367" spans="1:91" ht="14.25" customHeight="1" x14ac:dyDescent="0.3">
      <c r="A2367" s="1" t="s">
        <v>12152</v>
      </c>
      <c r="B2367" s="1" t="s">
        <v>172</v>
      </c>
      <c r="D2367" s="1" t="s">
        <v>125</v>
      </c>
      <c r="E2367" s="1" t="s">
        <v>12153</v>
      </c>
      <c r="F2367" s="1" t="s">
        <v>95</v>
      </c>
      <c r="G2367" s="1" t="s">
        <v>12154</v>
      </c>
      <c r="H2367" s="1">
        <v>0</v>
      </c>
      <c r="I2367" s="1" t="s">
        <v>128</v>
      </c>
      <c r="L2367" s="1" t="s">
        <v>374</v>
      </c>
      <c r="M2367" s="1" t="s">
        <v>4292</v>
      </c>
      <c r="N2367" s="1">
        <v>0</v>
      </c>
      <c r="O2367" s="1">
        <v>0</v>
      </c>
      <c r="P2367" s="1" t="s">
        <v>375</v>
      </c>
      <c r="Q2367" s="1" t="s">
        <v>131</v>
      </c>
      <c r="R2367" s="1" t="s">
        <v>12155</v>
      </c>
      <c r="S2367" s="1" t="s">
        <v>11859</v>
      </c>
      <c r="T2367" s="1">
        <v>1</v>
      </c>
      <c r="U2367" s="1">
        <v>1</v>
      </c>
      <c r="V2367" s="1">
        <v>1</v>
      </c>
      <c r="W2367" s="1">
        <v>0</v>
      </c>
      <c r="X2367" s="1">
        <v>0</v>
      </c>
      <c r="Y2367" s="1">
        <v>2</v>
      </c>
      <c r="Z2367" s="1">
        <v>2</v>
      </c>
      <c r="AA2367" s="1">
        <v>2</v>
      </c>
      <c r="AB2367" s="1" t="s">
        <v>104</v>
      </c>
      <c r="AC2367" s="1" t="s">
        <v>104</v>
      </c>
      <c r="AD2367" s="1">
        <v>1</v>
      </c>
      <c r="AE2367" s="1">
        <v>1</v>
      </c>
      <c r="AF2367" s="1" t="s">
        <v>104</v>
      </c>
      <c r="AG2367" s="1" t="s">
        <v>104</v>
      </c>
      <c r="AH2367" s="1" t="s">
        <v>104</v>
      </c>
      <c r="AI2367" s="1">
        <v>2</v>
      </c>
      <c r="AJ2367" s="1">
        <v>2</v>
      </c>
      <c r="AK2367" s="1" t="s">
        <v>104</v>
      </c>
      <c r="AL2367" s="1" t="s">
        <v>104</v>
      </c>
      <c r="AM2367" s="1" t="s">
        <v>104</v>
      </c>
      <c r="AO2367" s="1">
        <v>2</v>
      </c>
      <c r="AQ2367" s="1" t="s">
        <v>12156</v>
      </c>
      <c r="AR2367" s="1">
        <v>0</v>
      </c>
      <c r="AS2367" s="1">
        <v>0</v>
      </c>
      <c r="AT2367" s="1">
        <v>0</v>
      </c>
      <c r="AU2367" s="1">
        <v>0</v>
      </c>
      <c r="AV2367" s="1">
        <v>0</v>
      </c>
      <c r="AW2367" s="1">
        <v>0</v>
      </c>
      <c r="AX2367" s="1">
        <v>0</v>
      </c>
      <c r="AY2367" s="1">
        <v>0</v>
      </c>
      <c r="AZ2367" s="1">
        <v>0</v>
      </c>
      <c r="BA2367" s="1">
        <v>0</v>
      </c>
      <c r="BB2367" s="1">
        <v>0</v>
      </c>
      <c r="BC2367" s="1">
        <v>0</v>
      </c>
      <c r="BD2367" s="1">
        <v>0</v>
      </c>
      <c r="BE2367" s="1">
        <v>0</v>
      </c>
      <c r="BF2367" s="1">
        <v>0</v>
      </c>
      <c r="BG2367" s="1">
        <v>0</v>
      </c>
      <c r="BH2367" s="1">
        <v>0</v>
      </c>
      <c r="BI2367" s="1">
        <v>0</v>
      </c>
      <c r="BJ2367" s="1">
        <v>0</v>
      </c>
      <c r="BK2367" s="1">
        <v>1</v>
      </c>
      <c r="BL2367" s="1">
        <v>0</v>
      </c>
      <c r="BM2367" s="1">
        <v>0</v>
      </c>
      <c r="BN2367" s="1">
        <v>0</v>
      </c>
      <c r="BO2367" s="1">
        <v>0</v>
      </c>
      <c r="BP2367" s="1">
        <v>0</v>
      </c>
      <c r="BQ2367" s="1" t="s">
        <v>104</v>
      </c>
      <c r="BR2367" s="1">
        <v>2488</v>
      </c>
      <c r="BS2367" s="1" t="s">
        <v>104</v>
      </c>
      <c r="BX2367" s="1">
        <v>0</v>
      </c>
      <c r="BY2367" s="1" t="s">
        <v>104</v>
      </c>
      <c r="BZ2367" s="1" t="s">
        <v>104</v>
      </c>
      <c r="CA2367" s="1">
        <v>2</v>
      </c>
      <c r="CB2367" s="1">
        <v>1</v>
      </c>
      <c r="CC2367" s="1">
        <v>2</v>
      </c>
      <c r="CD2367" s="1">
        <v>2</v>
      </c>
      <c r="CE2367" s="1" t="s">
        <v>104</v>
      </c>
      <c r="CF2367" s="1" t="s">
        <v>104</v>
      </c>
      <c r="CG2367" s="1" t="s">
        <v>104</v>
      </c>
      <c r="CH2367" s="1" t="s">
        <v>104</v>
      </c>
      <c r="CJ2367" s="1">
        <v>0</v>
      </c>
      <c r="CK2367" s="1">
        <v>0</v>
      </c>
      <c r="CL2367" s="1">
        <v>0</v>
      </c>
      <c r="CM2367" s="1" t="s">
        <v>104</v>
      </c>
    </row>
    <row r="2368" spans="1:91" ht="14.25" customHeight="1" x14ac:dyDescent="0.3">
      <c r="A2368" s="1" t="s">
        <v>12157</v>
      </c>
      <c r="B2368" s="1" t="s">
        <v>216</v>
      </c>
      <c r="D2368" s="1" t="s">
        <v>64</v>
      </c>
      <c r="E2368" s="1" t="s">
        <v>12158</v>
      </c>
      <c r="F2368" s="1" t="s">
        <v>95</v>
      </c>
      <c r="G2368" s="1" t="s">
        <v>12159</v>
      </c>
      <c r="H2368" s="1">
        <v>1</v>
      </c>
      <c r="I2368" s="1" t="s">
        <v>128</v>
      </c>
      <c r="L2368" s="1" t="s">
        <v>11951</v>
      </c>
      <c r="M2368" s="1" t="s">
        <v>1567</v>
      </c>
      <c r="N2368" s="1">
        <v>1</v>
      </c>
      <c r="O2368" s="1">
        <v>0</v>
      </c>
      <c r="P2368" s="1" t="s">
        <v>183</v>
      </c>
      <c r="Q2368" s="1" t="s">
        <v>184</v>
      </c>
      <c r="R2368" s="1" t="s">
        <v>12160</v>
      </c>
      <c r="S2368" s="1" t="s">
        <v>11859</v>
      </c>
      <c r="T2368" s="1">
        <v>1</v>
      </c>
      <c r="U2368" s="1">
        <v>1</v>
      </c>
      <c r="V2368" s="1">
        <v>1</v>
      </c>
      <c r="W2368" s="1">
        <v>0</v>
      </c>
      <c r="X2368" s="1">
        <v>0</v>
      </c>
      <c r="Y2368" s="1">
        <v>2</v>
      </c>
      <c r="Z2368" s="1">
        <v>2</v>
      </c>
      <c r="AA2368" s="1" t="s">
        <v>104</v>
      </c>
      <c r="AB2368" s="1" t="s">
        <v>104</v>
      </c>
      <c r="AC2368" s="1" t="s">
        <v>104</v>
      </c>
      <c r="AD2368" s="1" t="s">
        <v>104</v>
      </c>
      <c r="AE2368" s="1" t="s">
        <v>104</v>
      </c>
      <c r="AF2368" s="1">
        <v>2</v>
      </c>
      <c r="AG2368" s="1" t="s">
        <v>104</v>
      </c>
      <c r="AH2368" s="1" t="s">
        <v>104</v>
      </c>
      <c r="AI2368" s="1" t="s">
        <v>104</v>
      </c>
      <c r="AJ2368" s="1" t="s">
        <v>104</v>
      </c>
      <c r="AK2368" s="1" t="s">
        <v>104</v>
      </c>
      <c r="AL2368" s="1" t="s">
        <v>104</v>
      </c>
      <c r="AM2368" s="1" t="s">
        <v>104</v>
      </c>
      <c r="AO2368" s="1">
        <v>2</v>
      </c>
      <c r="AQ2368" s="1" t="s">
        <v>12161</v>
      </c>
      <c r="AR2368" s="1">
        <v>0</v>
      </c>
      <c r="AS2368" s="1">
        <v>0</v>
      </c>
      <c r="AT2368" s="1">
        <v>0</v>
      </c>
      <c r="AU2368" s="1">
        <v>0</v>
      </c>
      <c r="AV2368" s="1">
        <v>0</v>
      </c>
      <c r="AW2368" s="1">
        <v>0</v>
      </c>
      <c r="AX2368" s="1">
        <v>0</v>
      </c>
      <c r="AY2368" s="1">
        <v>0</v>
      </c>
      <c r="AZ2368" s="1">
        <v>0</v>
      </c>
      <c r="BA2368" s="1">
        <v>0</v>
      </c>
      <c r="BB2368" s="1">
        <v>0</v>
      </c>
      <c r="BC2368" s="1">
        <v>0</v>
      </c>
      <c r="BD2368" s="1">
        <v>0</v>
      </c>
      <c r="BE2368" s="1">
        <v>0</v>
      </c>
      <c r="BF2368" s="1">
        <v>0</v>
      </c>
      <c r="BG2368" s="1">
        <v>0</v>
      </c>
      <c r="BH2368" s="1">
        <v>0</v>
      </c>
      <c r="BI2368" s="1">
        <v>0</v>
      </c>
      <c r="BJ2368" s="1">
        <v>0</v>
      </c>
      <c r="BK2368" s="1">
        <v>0</v>
      </c>
      <c r="BL2368" s="1">
        <v>0</v>
      </c>
      <c r="BM2368" s="1">
        <v>1</v>
      </c>
      <c r="BN2368" s="1">
        <v>0</v>
      </c>
      <c r="BO2368" s="1">
        <v>0</v>
      </c>
      <c r="BP2368" s="1">
        <v>0</v>
      </c>
      <c r="BQ2368" s="1" t="s">
        <v>104</v>
      </c>
      <c r="BR2368" s="1">
        <v>2489</v>
      </c>
      <c r="BS2368" s="1">
        <v>25</v>
      </c>
      <c r="BX2368" s="1">
        <v>0</v>
      </c>
      <c r="BY2368" s="1" t="s">
        <v>104</v>
      </c>
      <c r="BZ2368" s="1">
        <v>2</v>
      </c>
      <c r="CA2368" s="1" t="s">
        <v>104</v>
      </c>
      <c r="CB2368" s="1" t="s">
        <v>104</v>
      </c>
      <c r="CC2368" s="1" t="s">
        <v>104</v>
      </c>
      <c r="CD2368" s="1" t="s">
        <v>104</v>
      </c>
      <c r="CE2368" s="1" t="s">
        <v>104</v>
      </c>
      <c r="CF2368" s="1" t="s">
        <v>104</v>
      </c>
      <c r="CG2368" s="1" t="s">
        <v>104</v>
      </c>
      <c r="CH2368" s="1" t="s">
        <v>104</v>
      </c>
      <c r="CJ2368" s="1">
        <v>0</v>
      </c>
      <c r="CK2368" s="1">
        <v>0</v>
      </c>
      <c r="CL2368" s="1">
        <v>0</v>
      </c>
      <c r="CM2368" s="1" t="s">
        <v>104</v>
      </c>
    </row>
    <row r="2369" spans="1:91" ht="14.25" customHeight="1" x14ac:dyDescent="0.3">
      <c r="A2369" s="1" t="s">
        <v>12162</v>
      </c>
      <c r="B2369" s="1" t="s">
        <v>123</v>
      </c>
      <c r="C2369" s="1" t="s">
        <v>124</v>
      </c>
      <c r="D2369" s="1" t="s">
        <v>10557</v>
      </c>
      <c r="E2369" s="1" t="s">
        <v>12163</v>
      </c>
      <c r="F2369" s="1" t="s">
        <v>95</v>
      </c>
      <c r="G2369" s="1" t="s">
        <v>12164</v>
      </c>
      <c r="H2369" s="1">
        <v>0</v>
      </c>
      <c r="I2369" s="1" t="s">
        <v>117</v>
      </c>
      <c r="L2369" s="1" t="s">
        <v>417</v>
      </c>
      <c r="M2369" s="1" t="s">
        <v>298</v>
      </c>
      <c r="N2369" s="1">
        <v>0</v>
      </c>
      <c r="O2369" s="1">
        <v>0</v>
      </c>
      <c r="P2369" s="1" t="s">
        <v>211</v>
      </c>
      <c r="Q2369" s="1" t="s">
        <v>184</v>
      </c>
      <c r="R2369" s="1" t="s">
        <v>12165</v>
      </c>
      <c r="S2369" s="1" t="s">
        <v>11859</v>
      </c>
      <c r="T2369" s="1">
        <v>1</v>
      </c>
      <c r="U2369" s="1">
        <v>1</v>
      </c>
      <c r="V2369" s="1">
        <v>1</v>
      </c>
      <c r="W2369" s="1">
        <v>0</v>
      </c>
      <c r="X2369" s="1">
        <v>0</v>
      </c>
      <c r="Y2369" s="1">
        <v>8</v>
      </c>
      <c r="Z2369" s="1">
        <v>8</v>
      </c>
      <c r="AA2369" s="1" t="s">
        <v>104</v>
      </c>
      <c r="AB2369" s="1" t="s">
        <v>104</v>
      </c>
      <c r="AC2369" s="1" t="s">
        <v>104</v>
      </c>
      <c r="AD2369" s="1">
        <v>6</v>
      </c>
      <c r="AE2369" s="1" t="s">
        <v>104</v>
      </c>
      <c r="AF2369" s="1" t="s">
        <v>104</v>
      </c>
      <c r="AG2369" s="1" t="s">
        <v>104</v>
      </c>
      <c r="AH2369" s="1" t="s">
        <v>104</v>
      </c>
      <c r="AI2369" s="1" t="s">
        <v>104</v>
      </c>
      <c r="AJ2369" s="1" t="s">
        <v>104</v>
      </c>
      <c r="AK2369" s="1">
        <v>4</v>
      </c>
      <c r="AL2369" s="1" t="s">
        <v>104</v>
      </c>
      <c r="AM2369" s="1" t="s">
        <v>104</v>
      </c>
      <c r="AO2369" s="1">
        <v>8</v>
      </c>
      <c r="AQ2369" s="1" t="s">
        <v>12166</v>
      </c>
      <c r="AR2369" s="1">
        <v>0</v>
      </c>
      <c r="AS2369" s="1">
        <v>0</v>
      </c>
      <c r="AT2369" s="1">
        <v>0</v>
      </c>
      <c r="AU2369" s="1">
        <v>0</v>
      </c>
      <c r="AV2369" s="1">
        <v>1</v>
      </c>
      <c r="AW2369" s="1">
        <v>0</v>
      </c>
      <c r="AX2369" s="1">
        <v>0</v>
      </c>
      <c r="AY2369" s="1">
        <v>0</v>
      </c>
      <c r="AZ2369" s="1">
        <v>0</v>
      </c>
      <c r="BA2369" s="1">
        <v>0</v>
      </c>
      <c r="BB2369" s="1">
        <v>0</v>
      </c>
      <c r="BC2369" s="1">
        <v>0</v>
      </c>
      <c r="BD2369" s="1">
        <v>0</v>
      </c>
      <c r="BE2369" s="1">
        <v>0</v>
      </c>
      <c r="BF2369" s="1">
        <v>0</v>
      </c>
      <c r="BG2369" s="1">
        <v>0</v>
      </c>
      <c r="BH2369" s="1">
        <v>0</v>
      </c>
      <c r="BI2369" s="1">
        <v>0</v>
      </c>
      <c r="BJ2369" s="1">
        <v>0</v>
      </c>
      <c r="BK2369" s="1">
        <v>1</v>
      </c>
      <c r="BL2369" s="1">
        <v>0</v>
      </c>
      <c r="BM2369" s="1">
        <v>0</v>
      </c>
      <c r="BN2369" s="1">
        <v>0</v>
      </c>
      <c r="BO2369" s="1">
        <v>0</v>
      </c>
      <c r="BP2369" s="1">
        <v>0</v>
      </c>
      <c r="BQ2369" s="1" t="s">
        <v>104</v>
      </c>
      <c r="BR2369" s="1">
        <v>2490</v>
      </c>
      <c r="BS2369" s="1" t="s">
        <v>104</v>
      </c>
      <c r="BX2369" s="1">
        <v>0</v>
      </c>
      <c r="BY2369" s="1" t="s">
        <v>104</v>
      </c>
      <c r="BZ2369" s="1" t="s">
        <v>104</v>
      </c>
      <c r="CA2369" s="1">
        <v>8</v>
      </c>
      <c r="CB2369" s="1" t="s">
        <v>104</v>
      </c>
      <c r="CC2369" s="1">
        <v>6</v>
      </c>
      <c r="CD2369" s="1" t="s">
        <v>104</v>
      </c>
      <c r="CE2369" s="1" t="s">
        <v>104</v>
      </c>
      <c r="CF2369" s="1" t="s">
        <v>104</v>
      </c>
      <c r="CG2369" s="1" t="s">
        <v>104</v>
      </c>
      <c r="CH2369" s="1" t="s">
        <v>104</v>
      </c>
      <c r="CJ2369" s="1">
        <v>0</v>
      </c>
      <c r="CK2369" s="1">
        <v>0</v>
      </c>
      <c r="CL2369" s="1">
        <v>0</v>
      </c>
      <c r="CM2369" s="1" t="s">
        <v>104</v>
      </c>
    </row>
    <row r="2370" spans="1:91" ht="14.25" customHeight="1" x14ac:dyDescent="0.3">
      <c r="A2370" s="1" t="s">
        <v>12167</v>
      </c>
      <c r="B2370" s="1" t="s">
        <v>434</v>
      </c>
      <c r="E2370" s="1" t="s">
        <v>12168</v>
      </c>
      <c r="F2370" s="1" t="s">
        <v>95</v>
      </c>
      <c r="G2370" s="1" t="s">
        <v>12169</v>
      </c>
      <c r="H2370" s="1">
        <v>0</v>
      </c>
      <c r="I2370" s="1" t="s">
        <v>12170</v>
      </c>
      <c r="L2370" s="1" t="s">
        <v>145</v>
      </c>
      <c r="M2370" s="1" t="s">
        <v>119</v>
      </c>
      <c r="N2370" s="1">
        <v>0</v>
      </c>
      <c r="O2370" s="1">
        <v>0</v>
      </c>
      <c r="P2370" s="1" t="s">
        <v>100</v>
      </c>
      <c r="Q2370" s="1" t="s">
        <v>101</v>
      </c>
      <c r="R2370" s="1" t="s">
        <v>12171</v>
      </c>
      <c r="S2370" s="1" t="s">
        <v>11859</v>
      </c>
      <c r="T2370" s="1">
        <v>1</v>
      </c>
      <c r="U2370" s="1">
        <v>1</v>
      </c>
      <c r="V2370" s="1">
        <v>0</v>
      </c>
      <c r="W2370" s="1">
        <v>0</v>
      </c>
      <c r="X2370" s="1">
        <v>0</v>
      </c>
      <c r="Y2370" s="1">
        <v>6</v>
      </c>
      <c r="Z2370" s="1">
        <v>6</v>
      </c>
      <c r="AA2370" s="1">
        <v>6</v>
      </c>
      <c r="AB2370" s="1" t="s">
        <v>104</v>
      </c>
      <c r="AC2370" s="1" t="s">
        <v>104</v>
      </c>
      <c r="AD2370" s="1">
        <v>5</v>
      </c>
      <c r="AE2370" s="1" t="s">
        <v>104</v>
      </c>
      <c r="AF2370" s="1" t="s">
        <v>104</v>
      </c>
      <c r="AG2370" s="1">
        <v>5</v>
      </c>
      <c r="AH2370" s="1">
        <v>6</v>
      </c>
      <c r="AI2370" s="1">
        <v>5</v>
      </c>
      <c r="AJ2370" s="1">
        <v>6</v>
      </c>
      <c r="AK2370" s="1" t="s">
        <v>104</v>
      </c>
      <c r="AL2370" s="1" t="s">
        <v>104</v>
      </c>
      <c r="AM2370" s="1" t="s">
        <v>104</v>
      </c>
      <c r="AO2370" s="1">
        <v>6</v>
      </c>
      <c r="AQ2370" s="1" t="s">
        <v>12172</v>
      </c>
      <c r="AR2370" s="1">
        <v>0</v>
      </c>
      <c r="AS2370" s="1">
        <v>0</v>
      </c>
      <c r="AT2370" s="1">
        <v>0</v>
      </c>
      <c r="AU2370" s="1">
        <v>0</v>
      </c>
      <c r="AV2370" s="1">
        <v>0</v>
      </c>
      <c r="AW2370" s="1">
        <v>0</v>
      </c>
      <c r="AX2370" s="1">
        <v>0</v>
      </c>
      <c r="AY2370" s="1">
        <v>0</v>
      </c>
      <c r="AZ2370" s="1">
        <v>0</v>
      </c>
      <c r="BA2370" s="1">
        <v>0</v>
      </c>
      <c r="BB2370" s="1">
        <v>0</v>
      </c>
      <c r="BC2370" s="1">
        <v>0</v>
      </c>
      <c r="BD2370" s="1">
        <v>0</v>
      </c>
      <c r="BE2370" s="1">
        <v>0</v>
      </c>
      <c r="BF2370" s="1">
        <v>0</v>
      </c>
      <c r="BG2370" s="1">
        <v>0</v>
      </c>
      <c r="BH2370" s="1">
        <v>0</v>
      </c>
      <c r="BI2370" s="1">
        <v>0</v>
      </c>
      <c r="BJ2370" s="1">
        <v>0</v>
      </c>
      <c r="BK2370" s="1">
        <v>0</v>
      </c>
      <c r="BL2370" s="1">
        <v>0</v>
      </c>
      <c r="BM2370" s="1">
        <v>0</v>
      </c>
      <c r="BN2370" s="1">
        <v>0</v>
      </c>
      <c r="BO2370" s="1">
        <v>0</v>
      </c>
      <c r="BP2370" s="1">
        <v>0</v>
      </c>
      <c r="BQ2370" s="1" t="s">
        <v>104</v>
      </c>
      <c r="BR2370" s="1">
        <v>2491</v>
      </c>
      <c r="BS2370" s="1" t="s">
        <v>104</v>
      </c>
      <c r="BX2370" s="1">
        <v>0</v>
      </c>
      <c r="BY2370" s="1" t="s">
        <v>104</v>
      </c>
      <c r="BZ2370" s="1" t="s">
        <v>104</v>
      </c>
      <c r="CA2370" s="1">
        <v>6</v>
      </c>
      <c r="CB2370" s="1" t="s">
        <v>104</v>
      </c>
      <c r="CC2370" s="1">
        <v>5</v>
      </c>
      <c r="CD2370" s="1" t="s">
        <v>104</v>
      </c>
      <c r="CE2370" s="1" t="s">
        <v>104</v>
      </c>
      <c r="CF2370" s="1" t="s">
        <v>104</v>
      </c>
      <c r="CG2370" s="1" t="s">
        <v>104</v>
      </c>
      <c r="CH2370" s="1" t="s">
        <v>104</v>
      </c>
      <c r="CJ2370" s="1">
        <v>0</v>
      </c>
      <c r="CK2370" s="1">
        <v>0</v>
      </c>
      <c r="CL2370" s="1">
        <v>0</v>
      </c>
      <c r="CM2370" s="1">
        <v>5</v>
      </c>
    </row>
    <row r="2371" spans="1:91" ht="14.25" customHeight="1" x14ac:dyDescent="0.3">
      <c r="A2371" s="1" t="s">
        <v>12173</v>
      </c>
      <c r="B2371" s="1" t="s">
        <v>507</v>
      </c>
      <c r="C2371" s="1" t="s">
        <v>508</v>
      </c>
      <c r="E2371" s="1" t="s">
        <v>12174</v>
      </c>
      <c r="F2371" s="1" t="s">
        <v>95</v>
      </c>
      <c r="G2371" s="1" t="s">
        <v>12175</v>
      </c>
      <c r="H2371" s="1">
        <v>0</v>
      </c>
      <c r="I2371" s="1" t="s">
        <v>117</v>
      </c>
      <c r="L2371" s="1" t="s">
        <v>12176</v>
      </c>
      <c r="M2371" s="1" t="s">
        <v>4400</v>
      </c>
      <c r="N2371" s="1">
        <v>1</v>
      </c>
      <c r="O2371" s="1">
        <v>0</v>
      </c>
      <c r="P2371" s="1" t="s">
        <v>6053</v>
      </c>
      <c r="Q2371" s="1" t="s">
        <v>101</v>
      </c>
      <c r="R2371" s="1" t="s">
        <v>12177</v>
      </c>
      <c r="S2371" s="1" t="s">
        <v>11859</v>
      </c>
      <c r="T2371" s="1">
        <v>1</v>
      </c>
      <c r="U2371" s="1">
        <v>1</v>
      </c>
      <c r="V2371" s="1">
        <v>0</v>
      </c>
      <c r="W2371" s="1">
        <v>0</v>
      </c>
      <c r="X2371" s="1">
        <v>0</v>
      </c>
      <c r="Y2371" s="1">
        <v>4</v>
      </c>
      <c r="Z2371" s="1">
        <v>4</v>
      </c>
      <c r="AA2371" s="1" t="s">
        <v>104</v>
      </c>
      <c r="AB2371" s="1" t="s">
        <v>104</v>
      </c>
      <c r="AC2371" s="1" t="s">
        <v>104</v>
      </c>
      <c r="AD2371" s="1">
        <v>3</v>
      </c>
      <c r="AE2371" s="1" t="s">
        <v>104</v>
      </c>
      <c r="AF2371" s="1" t="s">
        <v>104</v>
      </c>
      <c r="AG2371" s="1" t="s">
        <v>104</v>
      </c>
      <c r="AH2371" s="1" t="s">
        <v>104</v>
      </c>
      <c r="AI2371" s="1" t="s">
        <v>104</v>
      </c>
      <c r="AJ2371" s="1" t="s">
        <v>104</v>
      </c>
      <c r="AK2371" s="1" t="s">
        <v>104</v>
      </c>
      <c r="AL2371" s="1" t="s">
        <v>104</v>
      </c>
      <c r="AM2371" s="1" t="s">
        <v>104</v>
      </c>
      <c r="AO2371" s="1">
        <v>4</v>
      </c>
      <c r="AQ2371" s="1" t="s">
        <v>12178</v>
      </c>
      <c r="AR2371" s="1">
        <v>0</v>
      </c>
      <c r="AS2371" s="1">
        <v>0</v>
      </c>
      <c r="AT2371" s="1">
        <v>0</v>
      </c>
      <c r="AU2371" s="1">
        <v>0</v>
      </c>
      <c r="AV2371" s="1">
        <v>0</v>
      </c>
      <c r="AW2371" s="1">
        <v>0</v>
      </c>
      <c r="AX2371" s="1">
        <v>0</v>
      </c>
      <c r="AY2371" s="1">
        <v>0</v>
      </c>
      <c r="AZ2371" s="1">
        <v>0</v>
      </c>
      <c r="BA2371" s="1">
        <v>0</v>
      </c>
      <c r="BB2371" s="1">
        <v>0</v>
      </c>
      <c r="BC2371" s="1">
        <v>0</v>
      </c>
      <c r="BD2371" s="1">
        <v>0</v>
      </c>
      <c r="BE2371" s="1">
        <v>0</v>
      </c>
      <c r="BF2371" s="1">
        <v>0</v>
      </c>
      <c r="BG2371" s="1">
        <v>0</v>
      </c>
      <c r="BH2371" s="1">
        <v>0</v>
      </c>
      <c r="BI2371" s="1">
        <v>0</v>
      </c>
      <c r="BJ2371" s="1">
        <v>0</v>
      </c>
      <c r="BK2371" s="1">
        <v>0</v>
      </c>
      <c r="BL2371" s="1">
        <v>0</v>
      </c>
      <c r="BM2371" s="1">
        <v>0</v>
      </c>
      <c r="BN2371" s="1">
        <v>0</v>
      </c>
      <c r="BO2371" s="1">
        <v>0</v>
      </c>
      <c r="BP2371" s="1">
        <v>0</v>
      </c>
      <c r="BQ2371" s="1" t="s">
        <v>104</v>
      </c>
      <c r="BR2371" s="1">
        <v>2492</v>
      </c>
      <c r="BS2371" s="1" t="s">
        <v>104</v>
      </c>
      <c r="BX2371" s="1">
        <v>0</v>
      </c>
      <c r="BY2371" s="1" t="s">
        <v>104</v>
      </c>
      <c r="BZ2371" s="1" t="s">
        <v>104</v>
      </c>
      <c r="CA2371" s="1">
        <v>4</v>
      </c>
      <c r="CB2371" s="1" t="s">
        <v>104</v>
      </c>
      <c r="CC2371" s="1">
        <v>3</v>
      </c>
      <c r="CD2371" s="1">
        <v>3</v>
      </c>
      <c r="CE2371" s="1" t="s">
        <v>104</v>
      </c>
      <c r="CF2371" s="1" t="s">
        <v>104</v>
      </c>
      <c r="CG2371" s="1" t="s">
        <v>104</v>
      </c>
      <c r="CH2371" s="1" t="s">
        <v>104</v>
      </c>
      <c r="CJ2371" s="1">
        <v>0</v>
      </c>
      <c r="CK2371" s="1">
        <v>0</v>
      </c>
      <c r="CL2371" s="1">
        <v>0</v>
      </c>
      <c r="CM2371" s="1" t="s">
        <v>104</v>
      </c>
    </row>
    <row r="2372" spans="1:91" ht="14.25" customHeight="1" x14ac:dyDescent="0.3">
      <c r="A2372" s="1" t="s">
        <v>12179</v>
      </c>
      <c r="B2372" s="1" t="s">
        <v>137</v>
      </c>
      <c r="E2372" s="1" t="s">
        <v>12180</v>
      </c>
      <c r="F2372" s="1" t="s">
        <v>95</v>
      </c>
      <c r="G2372" s="1" t="s">
        <v>12181</v>
      </c>
      <c r="H2372" s="1">
        <v>0</v>
      </c>
      <c r="I2372" s="1" t="s">
        <v>12182</v>
      </c>
      <c r="K2372" s="1" t="s">
        <v>12183</v>
      </c>
      <c r="M2372" s="1" t="s">
        <v>210</v>
      </c>
      <c r="N2372" s="1">
        <v>0</v>
      </c>
      <c r="O2372" s="1">
        <v>0</v>
      </c>
      <c r="P2372" s="1" t="s">
        <v>1902</v>
      </c>
      <c r="Q2372" s="1" t="s">
        <v>184</v>
      </c>
      <c r="R2372" s="1" t="s">
        <v>12184</v>
      </c>
      <c r="S2372" s="1" t="s">
        <v>11859</v>
      </c>
      <c r="T2372" s="1">
        <v>1</v>
      </c>
      <c r="U2372" s="1">
        <v>1</v>
      </c>
      <c r="V2372" s="1">
        <v>1</v>
      </c>
      <c r="W2372" s="1">
        <v>0</v>
      </c>
      <c r="X2372" s="1">
        <v>0</v>
      </c>
      <c r="Y2372" s="1">
        <v>4</v>
      </c>
      <c r="Z2372" s="1">
        <v>4</v>
      </c>
      <c r="AA2372" s="1">
        <v>4</v>
      </c>
      <c r="AB2372" s="1" t="s">
        <v>104</v>
      </c>
      <c r="AC2372" s="1" t="s">
        <v>104</v>
      </c>
      <c r="AD2372" s="1">
        <v>4</v>
      </c>
      <c r="AE2372" s="1" t="s">
        <v>104</v>
      </c>
      <c r="AF2372" s="1" t="s">
        <v>104</v>
      </c>
      <c r="AG2372" s="1" t="s">
        <v>104</v>
      </c>
      <c r="AH2372" s="1" t="s">
        <v>104</v>
      </c>
      <c r="AI2372" s="1" t="s">
        <v>104</v>
      </c>
      <c r="AJ2372" s="1">
        <v>4</v>
      </c>
      <c r="AK2372" s="1" t="s">
        <v>104</v>
      </c>
      <c r="AL2372" s="1" t="s">
        <v>104</v>
      </c>
      <c r="AM2372" s="1" t="s">
        <v>104</v>
      </c>
      <c r="AO2372" s="1">
        <v>4</v>
      </c>
      <c r="AQ2372" s="1" t="s">
        <v>12185</v>
      </c>
      <c r="AR2372" s="1">
        <v>0</v>
      </c>
      <c r="AS2372" s="1">
        <v>0</v>
      </c>
      <c r="AT2372" s="1">
        <v>0</v>
      </c>
      <c r="AU2372" s="1">
        <v>0</v>
      </c>
      <c r="AV2372" s="1">
        <v>0</v>
      </c>
      <c r="AW2372" s="1">
        <v>0</v>
      </c>
      <c r="AX2372" s="1">
        <v>0</v>
      </c>
      <c r="AY2372" s="1">
        <v>0</v>
      </c>
      <c r="AZ2372" s="1">
        <v>0</v>
      </c>
      <c r="BA2372" s="1">
        <v>0</v>
      </c>
      <c r="BB2372" s="1">
        <v>0</v>
      </c>
      <c r="BC2372" s="1">
        <v>0</v>
      </c>
      <c r="BD2372" s="1">
        <v>0</v>
      </c>
      <c r="BE2372" s="1">
        <v>0</v>
      </c>
      <c r="BF2372" s="1">
        <v>0</v>
      </c>
      <c r="BG2372" s="1">
        <v>0</v>
      </c>
      <c r="BH2372" s="1">
        <v>0</v>
      </c>
      <c r="BI2372" s="1">
        <v>0</v>
      </c>
      <c r="BJ2372" s="1">
        <v>0</v>
      </c>
      <c r="BK2372" s="1">
        <v>0</v>
      </c>
      <c r="BL2372" s="1">
        <v>0</v>
      </c>
      <c r="BM2372" s="1">
        <v>0</v>
      </c>
      <c r="BN2372" s="1">
        <v>0</v>
      </c>
      <c r="BO2372" s="1">
        <v>0</v>
      </c>
      <c r="BP2372" s="1">
        <v>0</v>
      </c>
      <c r="BQ2372" s="1" t="s">
        <v>104</v>
      </c>
      <c r="BR2372" s="1">
        <v>2493</v>
      </c>
      <c r="BS2372" s="1" t="s">
        <v>104</v>
      </c>
      <c r="BX2372" s="1">
        <v>0</v>
      </c>
      <c r="BY2372" s="1" t="s">
        <v>104</v>
      </c>
      <c r="BZ2372" s="1" t="s">
        <v>104</v>
      </c>
      <c r="CA2372" s="1" t="s">
        <v>104</v>
      </c>
      <c r="CB2372" s="1">
        <v>4</v>
      </c>
      <c r="CC2372" s="1">
        <v>4</v>
      </c>
      <c r="CD2372" s="1">
        <v>4</v>
      </c>
      <c r="CE2372" s="1">
        <v>4</v>
      </c>
      <c r="CF2372" s="1" t="s">
        <v>104</v>
      </c>
      <c r="CG2372" s="1" t="s">
        <v>104</v>
      </c>
      <c r="CH2372" s="1" t="s">
        <v>104</v>
      </c>
      <c r="CJ2372" s="1">
        <v>0</v>
      </c>
      <c r="CK2372" s="1">
        <v>0</v>
      </c>
      <c r="CL2372" s="1">
        <v>0</v>
      </c>
      <c r="CM2372" s="1" t="s">
        <v>104</v>
      </c>
    </row>
    <row r="2373" spans="1:91" ht="14.25" customHeight="1" x14ac:dyDescent="0.3">
      <c r="A2373" s="1" t="s">
        <v>12186</v>
      </c>
      <c r="B2373" s="1" t="s">
        <v>123</v>
      </c>
      <c r="C2373" s="1" t="s">
        <v>635</v>
      </c>
      <c r="D2373" s="1" t="s">
        <v>125</v>
      </c>
      <c r="E2373" s="1" t="s">
        <v>12187</v>
      </c>
      <c r="F2373" s="1" t="s">
        <v>95</v>
      </c>
      <c r="G2373" s="1" t="s">
        <v>12188</v>
      </c>
      <c r="H2373" s="1">
        <v>0</v>
      </c>
      <c r="I2373" s="1" t="s">
        <v>109</v>
      </c>
      <c r="L2373" s="1" t="s">
        <v>12189</v>
      </c>
      <c r="M2373" s="1" t="s">
        <v>201</v>
      </c>
      <c r="N2373" s="1">
        <v>0</v>
      </c>
      <c r="O2373" s="1">
        <v>0</v>
      </c>
      <c r="P2373" s="1" t="s">
        <v>12190</v>
      </c>
      <c r="Q2373" s="1" t="s">
        <v>184</v>
      </c>
      <c r="R2373" s="1" t="s">
        <v>12191</v>
      </c>
      <c r="S2373" s="1" t="s">
        <v>11859</v>
      </c>
      <c r="T2373" s="1">
        <v>0</v>
      </c>
      <c r="U2373" s="1">
        <v>1</v>
      </c>
      <c r="V2373" s="1">
        <v>1</v>
      </c>
      <c r="W2373" s="1">
        <v>0</v>
      </c>
      <c r="X2373" s="1">
        <v>0</v>
      </c>
      <c r="Y2373" s="1">
        <v>3</v>
      </c>
      <c r="Z2373" s="1">
        <v>3</v>
      </c>
      <c r="AA2373" s="1" t="s">
        <v>104</v>
      </c>
      <c r="AB2373" s="1" t="s">
        <v>104</v>
      </c>
      <c r="AC2373" s="1" t="s">
        <v>104</v>
      </c>
      <c r="AD2373" s="1">
        <v>2</v>
      </c>
      <c r="AE2373" s="1" t="s">
        <v>104</v>
      </c>
      <c r="AF2373" s="1" t="s">
        <v>104</v>
      </c>
      <c r="AG2373" s="1" t="s">
        <v>104</v>
      </c>
      <c r="AH2373" s="1">
        <v>3</v>
      </c>
      <c r="AI2373" s="1" t="s">
        <v>104</v>
      </c>
      <c r="AJ2373" s="1" t="s">
        <v>104</v>
      </c>
      <c r="AK2373" s="1" t="s">
        <v>104</v>
      </c>
      <c r="AL2373" s="1" t="s">
        <v>104</v>
      </c>
      <c r="AM2373" s="1" t="s">
        <v>104</v>
      </c>
      <c r="AO2373" s="1">
        <v>3</v>
      </c>
      <c r="AQ2373" s="1" t="s">
        <v>12192</v>
      </c>
      <c r="AR2373" s="1">
        <v>0</v>
      </c>
      <c r="AS2373" s="1">
        <v>0</v>
      </c>
      <c r="AT2373" s="1">
        <v>0</v>
      </c>
      <c r="AU2373" s="1">
        <v>0</v>
      </c>
      <c r="AV2373" s="1">
        <v>0</v>
      </c>
      <c r="AW2373" s="1">
        <v>0</v>
      </c>
      <c r="AX2373" s="1">
        <v>0</v>
      </c>
      <c r="AY2373" s="1">
        <v>0</v>
      </c>
      <c r="AZ2373" s="1">
        <v>0</v>
      </c>
      <c r="BA2373" s="1">
        <v>0</v>
      </c>
      <c r="BB2373" s="1">
        <v>0</v>
      </c>
      <c r="BC2373" s="1">
        <v>0</v>
      </c>
      <c r="BD2373" s="1">
        <v>0</v>
      </c>
      <c r="BE2373" s="1">
        <v>0</v>
      </c>
      <c r="BF2373" s="1">
        <v>0</v>
      </c>
      <c r="BG2373" s="1">
        <v>0</v>
      </c>
      <c r="BH2373" s="1">
        <v>0</v>
      </c>
      <c r="BI2373" s="1">
        <v>0</v>
      </c>
      <c r="BJ2373" s="1">
        <v>0</v>
      </c>
      <c r="BK2373" s="1">
        <v>1</v>
      </c>
      <c r="BL2373" s="1">
        <v>0</v>
      </c>
      <c r="BM2373" s="1">
        <v>0</v>
      </c>
      <c r="BN2373" s="1">
        <v>0</v>
      </c>
      <c r="BO2373" s="1">
        <v>0</v>
      </c>
      <c r="BP2373" s="1">
        <v>0</v>
      </c>
      <c r="BQ2373" s="1" t="s">
        <v>104</v>
      </c>
      <c r="BR2373" s="1">
        <v>2494</v>
      </c>
      <c r="BS2373" s="1" t="s">
        <v>104</v>
      </c>
      <c r="BX2373" s="1">
        <v>0</v>
      </c>
      <c r="BY2373" s="1" t="s">
        <v>104</v>
      </c>
      <c r="BZ2373" s="1" t="s">
        <v>104</v>
      </c>
      <c r="CA2373" s="1" t="s">
        <v>104</v>
      </c>
      <c r="CB2373" s="1" t="s">
        <v>104</v>
      </c>
      <c r="CC2373" s="1">
        <v>2</v>
      </c>
      <c r="CD2373" s="1" t="s">
        <v>104</v>
      </c>
      <c r="CE2373" s="1" t="s">
        <v>104</v>
      </c>
      <c r="CF2373" s="1" t="s">
        <v>104</v>
      </c>
      <c r="CG2373" s="1" t="s">
        <v>104</v>
      </c>
      <c r="CH2373" s="1" t="s">
        <v>104</v>
      </c>
      <c r="CJ2373" s="1">
        <v>0</v>
      </c>
      <c r="CK2373" s="1">
        <v>0</v>
      </c>
      <c r="CL2373" s="1">
        <v>0</v>
      </c>
      <c r="CM2373" s="1" t="s">
        <v>104</v>
      </c>
    </row>
    <row r="2374" spans="1:91" ht="14.25" customHeight="1" x14ac:dyDescent="0.3">
      <c r="A2374" s="1" t="s">
        <v>12193</v>
      </c>
      <c r="B2374" s="1" t="s">
        <v>172</v>
      </c>
      <c r="E2374" s="1" t="s">
        <v>12194</v>
      </c>
      <c r="F2374" s="1" t="s">
        <v>287</v>
      </c>
      <c r="G2374" s="1" t="s">
        <v>116</v>
      </c>
      <c r="H2374" s="1">
        <v>0</v>
      </c>
      <c r="I2374" s="1" t="s">
        <v>128</v>
      </c>
      <c r="L2374" s="1" t="s">
        <v>12195</v>
      </c>
      <c r="M2374" s="1" t="s">
        <v>11472</v>
      </c>
      <c r="N2374" s="1">
        <v>0</v>
      </c>
      <c r="O2374" s="1">
        <v>0</v>
      </c>
      <c r="P2374" s="1" t="s">
        <v>12196</v>
      </c>
      <c r="Q2374" s="1" t="s">
        <v>472</v>
      </c>
      <c r="R2374" s="1" t="s">
        <v>12197</v>
      </c>
      <c r="S2374" s="1" t="s">
        <v>11859</v>
      </c>
      <c r="T2374" s="1">
        <v>1</v>
      </c>
      <c r="U2374" s="1">
        <v>1</v>
      </c>
      <c r="V2374" s="1">
        <v>0</v>
      </c>
      <c r="W2374" s="1">
        <v>0</v>
      </c>
      <c r="X2374" s="1">
        <v>0</v>
      </c>
      <c r="Y2374" s="1">
        <v>4</v>
      </c>
      <c r="Z2374" s="1">
        <v>4</v>
      </c>
      <c r="AA2374" s="1" t="s">
        <v>104</v>
      </c>
      <c r="AB2374" s="1" t="s">
        <v>104</v>
      </c>
      <c r="AC2374" s="1">
        <v>3</v>
      </c>
      <c r="AD2374" s="1">
        <v>3</v>
      </c>
      <c r="AE2374" s="1" t="s">
        <v>104</v>
      </c>
      <c r="AF2374" s="1" t="s">
        <v>104</v>
      </c>
      <c r="AG2374" s="1" t="s">
        <v>104</v>
      </c>
      <c r="AH2374" s="1">
        <v>4</v>
      </c>
      <c r="AI2374" s="1">
        <v>3</v>
      </c>
      <c r="AJ2374" s="1" t="s">
        <v>104</v>
      </c>
      <c r="AK2374" s="1" t="s">
        <v>104</v>
      </c>
      <c r="AL2374" s="1" t="s">
        <v>104</v>
      </c>
      <c r="AM2374" s="1" t="s">
        <v>104</v>
      </c>
      <c r="AO2374" s="1">
        <v>4</v>
      </c>
      <c r="AQ2374" s="1" t="s">
        <v>12198</v>
      </c>
      <c r="AR2374" s="1">
        <v>0</v>
      </c>
      <c r="AS2374" s="1">
        <v>0</v>
      </c>
      <c r="AT2374" s="1">
        <v>0</v>
      </c>
      <c r="AU2374" s="1">
        <v>0</v>
      </c>
      <c r="AV2374" s="1">
        <v>0</v>
      </c>
      <c r="AW2374" s="1">
        <v>0</v>
      </c>
      <c r="AX2374" s="1">
        <v>0</v>
      </c>
      <c r="AY2374" s="1">
        <v>0</v>
      </c>
      <c r="AZ2374" s="1">
        <v>0</v>
      </c>
      <c r="BA2374" s="1">
        <v>0</v>
      </c>
      <c r="BB2374" s="1">
        <v>0</v>
      </c>
      <c r="BC2374" s="1">
        <v>0</v>
      </c>
      <c r="BD2374" s="1">
        <v>0</v>
      </c>
      <c r="BE2374" s="1">
        <v>0</v>
      </c>
      <c r="BF2374" s="1">
        <v>0</v>
      </c>
      <c r="BG2374" s="1">
        <v>0</v>
      </c>
      <c r="BH2374" s="1">
        <v>0</v>
      </c>
      <c r="BI2374" s="1">
        <v>0</v>
      </c>
      <c r="BJ2374" s="1">
        <v>0</v>
      </c>
      <c r="BK2374" s="1">
        <v>0</v>
      </c>
      <c r="BL2374" s="1">
        <v>0</v>
      </c>
      <c r="BM2374" s="1">
        <v>0</v>
      </c>
      <c r="BN2374" s="1">
        <v>0</v>
      </c>
      <c r="BO2374" s="1">
        <v>0</v>
      </c>
      <c r="BP2374" s="1">
        <v>0</v>
      </c>
      <c r="BQ2374" s="1" t="s">
        <v>104</v>
      </c>
      <c r="BR2374" s="1">
        <v>2495</v>
      </c>
      <c r="BS2374" s="1" t="s">
        <v>104</v>
      </c>
      <c r="BX2374" s="1">
        <v>0</v>
      </c>
      <c r="BY2374" s="1" t="s">
        <v>104</v>
      </c>
      <c r="BZ2374" s="1" t="s">
        <v>104</v>
      </c>
      <c r="CA2374" s="1" t="s">
        <v>104</v>
      </c>
      <c r="CB2374" s="1" t="s">
        <v>104</v>
      </c>
      <c r="CC2374" s="1" t="s">
        <v>104</v>
      </c>
      <c r="CD2374" s="1">
        <v>3</v>
      </c>
      <c r="CE2374" s="1" t="s">
        <v>104</v>
      </c>
      <c r="CF2374" s="1" t="s">
        <v>104</v>
      </c>
      <c r="CG2374" s="1" t="s">
        <v>104</v>
      </c>
      <c r="CH2374" s="1">
        <v>3</v>
      </c>
      <c r="CJ2374" s="1">
        <v>0</v>
      </c>
      <c r="CK2374" s="1">
        <v>0</v>
      </c>
      <c r="CL2374" s="1">
        <v>0</v>
      </c>
      <c r="CM2374" s="1" t="s">
        <v>104</v>
      </c>
    </row>
    <row r="2375" spans="1:91" ht="14.25" customHeight="1" x14ac:dyDescent="0.3">
      <c r="A2375" s="1" t="s">
        <v>12199</v>
      </c>
      <c r="B2375" s="1" t="s">
        <v>162</v>
      </c>
      <c r="E2375" s="1" t="s">
        <v>12200</v>
      </c>
      <c r="F2375" s="1" t="s">
        <v>95</v>
      </c>
      <c r="G2375" s="1" t="s">
        <v>12201</v>
      </c>
      <c r="H2375" s="1">
        <v>1</v>
      </c>
      <c r="I2375" s="1" t="s">
        <v>128</v>
      </c>
      <c r="L2375" s="1" t="s">
        <v>12202</v>
      </c>
      <c r="M2375" s="1" t="s">
        <v>201</v>
      </c>
      <c r="N2375" s="1">
        <v>0</v>
      </c>
      <c r="O2375" s="1">
        <v>0</v>
      </c>
      <c r="P2375" s="1" t="s">
        <v>100</v>
      </c>
      <c r="Q2375" s="1" t="s">
        <v>101</v>
      </c>
      <c r="R2375" s="1" t="s">
        <v>12203</v>
      </c>
      <c r="S2375" s="1" t="s">
        <v>11859</v>
      </c>
      <c r="T2375" s="1">
        <v>0</v>
      </c>
      <c r="U2375" s="1">
        <v>1</v>
      </c>
      <c r="V2375" s="1">
        <v>1</v>
      </c>
      <c r="W2375" s="1">
        <v>0</v>
      </c>
      <c r="X2375" s="1">
        <v>0</v>
      </c>
      <c r="Y2375" s="1">
        <v>1</v>
      </c>
      <c r="Z2375" s="1">
        <v>1</v>
      </c>
      <c r="AA2375" s="1">
        <v>1</v>
      </c>
      <c r="AB2375" s="1">
        <v>1</v>
      </c>
      <c r="AC2375" s="1" t="s">
        <v>104</v>
      </c>
      <c r="AD2375" s="1">
        <v>1</v>
      </c>
      <c r="AE2375" s="1" t="s">
        <v>104</v>
      </c>
      <c r="AF2375" s="1">
        <v>1</v>
      </c>
      <c r="AG2375" s="1" t="s">
        <v>104</v>
      </c>
      <c r="AH2375" s="1">
        <v>1</v>
      </c>
      <c r="AI2375" s="1" t="s">
        <v>104</v>
      </c>
      <c r="AJ2375" s="1">
        <v>1</v>
      </c>
      <c r="AK2375" s="1">
        <v>1</v>
      </c>
      <c r="AL2375" s="1" t="s">
        <v>104</v>
      </c>
      <c r="AM2375" s="1" t="s">
        <v>104</v>
      </c>
      <c r="AO2375" s="1">
        <v>1</v>
      </c>
      <c r="AQ2375" s="1" t="s">
        <v>12204</v>
      </c>
      <c r="AR2375" s="1">
        <v>0</v>
      </c>
      <c r="AS2375" s="1">
        <v>0</v>
      </c>
      <c r="AT2375" s="1">
        <v>0</v>
      </c>
      <c r="AU2375" s="1">
        <v>0</v>
      </c>
      <c r="AV2375" s="1">
        <v>0</v>
      </c>
      <c r="AW2375" s="1">
        <v>0</v>
      </c>
      <c r="AX2375" s="1">
        <v>0</v>
      </c>
      <c r="AY2375" s="1">
        <v>0</v>
      </c>
      <c r="AZ2375" s="1">
        <v>0</v>
      </c>
      <c r="BA2375" s="1">
        <v>0</v>
      </c>
      <c r="BB2375" s="1">
        <v>0</v>
      </c>
      <c r="BC2375" s="1">
        <v>0</v>
      </c>
      <c r="BD2375" s="1">
        <v>0</v>
      </c>
      <c r="BE2375" s="1">
        <v>0</v>
      </c>
      <c r="BF2375" s="1">
        <v>0</v>
      </c>
      <c r="BG2375" s="1">
        <v>0</v>
      </c>
      <c r="BH2375" s="1">
        <v>0</v>
      </c>
      <c r="BI2375" s="1">
        <v>0</v>
      </c>
      <c r="BJ2375" s="1">
        <v>0</v>
      </c>
      <c r="BK2375" s="1">
        <v>0</v>
      </c>
      <c r="BL2375" s="1">
        <v>0</v>
      </c>
      <c r="BM2375" s="1">
        <v>0</v>
      </c>
      <c r="BN2375" s="1">
        <v>0</v>
      </c>
      <c r="BO2375" s="1">
        <v>0</v>
      </c>
      <c r="BP2375" s="1">
        <v>0</v>
      </c>
      <c r="BQ2375" s="1" t="s">
        <v>104</v>
      </c>
      <c r="BR2375" s="1">
        <v>2496</v>
      </c>
      <c r="BS2375" s="1">
        <v>10</v>
      </c>
      <c r="BX2375" s="1">
        <v>0</v>
      </c>
      <c r="BY2375" s="1" t="s">
        <v>104</v>
      </c>
      <c r="BZ2375" s="1">
        <v>1</v>
      </c>
      <c r="CA2375" s="1" t="s">
        <v>104</v>
      </c>
      <c r="CB2375" s="1" t="s">
        <v>104</v>
      </c>
      <c r="CC2375" s="1">
        <v>1</v>
      </c>
      <c r="CD2375" s="1" t="s">
        <v>104</v>
      </c>
      <c r="CE2375" s="1" t="s">
        <v>104</v>
      </c>
      <c r="CF2375" s="1" t="s">
        <v>104</v>
      </c>
      <c r="CG2375" s="1" t="s">
        <v>104</v>
      </c>
      <c r="CH2375" s="1">
        <v>1</v>
      </c>
      <c r="CJ2375" s="1">
        <v>0</v>
      </c>
      <c r="CK2375" s="1">
        <v>0</v>
      </c>
      <c r="CL2375" s="1">
        <v>0</v>
      </c>
      <c r="CM2375" s="1" t="s">
        <v>104</v>
      </c>
    </row>
    <row r="2376" spans="1:91" ht="14.25" customHeight="1" x14ac:dyDescent="0.3">
      <c r="A2376" s="1" t="s">
        <v>12205</v>
      </c>
      <c r="B2376" s="1" t="s">
        <v>507</v>
      </c>
      <c r="C2376" s="1" t="s">
        <v>508</v>
      </c>
      <c r="E2376" s="1" t="s">
        <v>12206</v>
      </c>
      <c r="F2376" s="1" t="s">
        <v>4934</v>
      </c>
      <c r="G2376" s="1" t="s">
        <v>12207</v>
      </c>
      <c r="H2376" s="1">
        <v>0</v>
      </c>
      <c r="I2376" s="1" t="s">
        <v>128</v>
      </c>
      <c r="L2376" s="1" t="s">
        <v>12208</v>
      </c>
      <c r="M2376" s="1" t="s">
        <v>426</v>
      </c>
      <c r="N2376" s="1">
        <v>1</v>
      </c>
      <c r="O2376" s="1">
        <v>0</v>
      </c>
      <c r="P2376" s="1" t="s">
        <v>1771</v>
      </c>
      <c r="Q2376" s="1" t="s">
        <v>101</v>
      </c>
      <c r="R2376" s="1" t="s">
        <v>12209</v>
      </c>
      <c r="S2376" s="1" t="s">
        <v>11859</v>
      </c>
      <c r="T2376" s="1">
        <v>1</v>
      </c>
      <c r="U2376" s="1">
        <v>1</v>
      </c>
      <c r="V2376" s="1">
        <v>0</v>
      </c>
      <c r="W2376" s="1">
        <v>0</v>
      </c>
      <c r="X2376" s="1">
        <v>0</v>
      </c>
      <c r="Y2376" s="1">
        <v>1</v>
      </c>
      <c r="Z2376" s="1">
        <v>1</v>
      </c>
      <c r="AA2376" s="1" t="s">
        <v>104</v>
      </c>
      <c r="AB2376" s="1" t="s">
        <v>104</v>
      </c>
      <c r="AC2376" s="1" t="s">
        <v>104</v>
      </c>
      <c r="AD2376" s="1">
        <v>1</v>
      </c>
      <c r="AE2376" s="1" t="s">
        <v>104</v>
      </c>
      <c r="AF2376" s="1" t="s">
        <v>104</v>
      </c>
      <c r="AG2376" s="1" t="s">
        <v>104</v>
      </c>
      <c r="AH2376" s="1">
        <v>1</v>
      </c>
      <c r="AI2376" s="1">
        <v>1</v>
      </c>
      <c r="AJ2376" s="1" t="s">
        <v>104</v>
      </c>
      <c r="AK2376" s="1" t="s">
        <v>104</v>
      </c>
      <c r="AL2376" s="1" t="s">
        <v>104</v>
      </c>
      <c r="AM2376" s="1" t="s">
        <v>104</v>
      </c>
      <c r="AO2376" s="1">
        <v>1</v>
      </c>
      <c r="AQ2376" s="1" t="s">
        <v>12210</v>
      </c>
      <c r="AR2376" s="1">
        <v>0</v>
      </c>
      <c r="AS2376" s="1">
        <v>0</v>
      </c>
      <c r="AT2376" s="1">
        <v>0</v>
      </c>
      <c r="AU2376" s="1">
        <v>0</v>
      </c>
      <c r="AV2376" s="1">
        <v>0</v>
      </c>
      <c r="AW2376" s="1">
        <v>0</v>
      </c>
      <c r="AX2376" s="1">
        <v>0</v>
      </c>
      <c r="AY2376" s="1">
        <v>0</v>
      </c>
      <c r="AZ2376" s="1">
        <v>0</v>
      </c>
      <c r="BA2376" s="1">
        <v>0</v>
      </c>
      <c r="BB2376" s="1">
        <v>0</v>
      </c>
      <c r="BC2376" s="1">
        <v>0</v>
      </c>
      <c r="BD2376" s="1">
        <v>0</v>
      </c>
      <c r="BE2376" s="1">
        <v>0</v>
      </c>
      <c r="BF2376" s="1">
        <v>0</v>
      </c>
      <c r="BG2376" s="1">
        <v>0</v>
      </c>
      <c r="BH2376" s="1">
        <v>0</v>
      </c>
      <c r="BI2376" s="1">
        <v>0</v>
      </c>
      <c r="BJ2376" s="1">
        <v>0</v>
      </c>
      <c r="BK2376" s="1">
        <v>0</v>
      </c>
      <c r="BL2376" s="1">
        <v>0</v>
      </c>
      <c r="BM2376" s="1">
        <v>0</v>
      </c>
      <c r="BN2376" s="1">
        <v>0</v>
      </c>
      <c r="BO2376" s="1">
        <v>0</v>
      </c>
      <c r="BP2376" s="1">
        <v>0</v>
      </c>
      <c r="BQ2376" s="1" t="s">
        <v>104</v>
      </c>
      <c r="BR2376" s="1">
        <v>2497</v>
      </c>
      <c r="BS2376" s="1" t="s">
        <v>104</v>
      </c>
      <c r="BX2376" s="1">
        <v>0</v>
      </c>
      <c r="BY2376" s="1" t="s">
        <v>104</v>
      </c>
      <c r="BZ2376" s="1" t="s">
        <v>104</v>
      </c>
      <c r="CA2376" s="1" t="s">
        <v>104</v>
      </c>
      <c r="CB2376" s="1" t="s">
        <v>104</v>
      </c>
      <c r="CC2376" s="1" t="s">
        <v>104</v>
      </c>
      <c r="CD2376" s="1" t="s">
        <v>104</v>
      </c>
      <c r="CE2376" s="1" t="s">
        <v>104</v>
      </c>
      <c r="CF2376" s="1" t="s">
        <v>104</v>
      </c>
      <c r="CG2376" s="1" t="s">
        <v>104</v>
      </c>
      <c r="CH2376" s="1" t="s">
        <v>104</v>
      </c>
      <c r="CJ2376" s="1">
        <v>0</v>
      </c>
      <c r="CK2376" s="1">
        <v>0</v>
      </c>
      <c r="CL2376" s="1">
        <v>0</v>
      </c>
      <c r="CM2376" s="1" t="s">
        <v>104</v>
      </c>
    </row>
    <row r="2377" spans="1:91" ht="14.25" customHeight="1" x14ac:dyDescent="0.3">
      <c r="A2377" s="1" t="s">
        <v>12211</v>
      </c>
      <c r="B2377" s="1" t="s">
        <v>172</v>
      </c>
      <c r="D2377" s="1" t="s">
        <v>11441</v>
      </c>
      <c r="E2377" s="1" t="s">
        <v>12212</v>
      </c>
      <c r="F2377" s="1" t="s">
        <v>95</v>
      </c>
      <c r="G2377" s="1" t="s">
        <v>12213</v>
      </c>
      <c r="H2377" s="1">
        <v>0</v>
      </c>
      <c r="I2377" s="1" t="s">
        <v>117</v>
      </c>
      <c r="L2377" s="1" t="s">
        <v>1065</v>
      </c>
      <c r="M2377" s="1" t="s">
        <v>298</v>
      </c>
      <c r="N2377" s="1">
        <v>0</v>
      </c>
      <c r="O2377" s="1">
        <v>0</v>
      </c>
      <c r="P2377" s="1" t="s">
        <v>211</v>
      </c>
      <c r="Q2377" s="1" t="s">
        <v>184</v>
      </c>
      <c r="R2377" s="1" t="s">
        <v>12214</v>
      </c>
      <c r="S2377" s="1" t="s">
        <v>11859</v>
      </c>
      <c r="T2377" s="1">
        <v>1</v>
      </c>
      <c r="U2377" s="1">
        <v>1</v>
      </c>
      <c r="V2377" s="1">
        <v>1</v>
      </c>
      <c r="W2377" s="1">
        <v>0</v>
      </c>
      <c r="X2377" s="1">
        <v>0</v>
      </c>
      <c r="Y2377" s="1">
        <v>3</v>
      </c>
      <c r="Z2377" s="1">
        <v>3</v>
      </c>
      <c r="AA2377" s="1" t="s">
        <v>104</v>
      </c>
      <c r="AB2377" s="1" t="s">
        <v>104</v>
      </c>
      <c r="AC2377" s="1" t="s">
        <v>104</v>
      </c>
      <c r="AD2377" s="1">
        <v>2</v>
      </c>
      <c r="AE2377" s="1" t="s">
        <v>104</v>
      </c>
      <c r="AF2377" s="1" t="s">
        <v>104</v>
      </c>
      <c r="AG2377" s="1" t="s">
        <v>104</v>
      </c>
      <c r="AH2377" s="1">
        <v>3</v>
      </c>
      <c r="AI2377" s="1">
        <v>2</v>
      </c>
      <c r="AJ2377" s="1" t="s">
        <v>104</v>
      </c>
      <c r="AK2377" s="1">
        <v>2</v>
      </c>
      <c r="AL2377" s="1" t="s">
        <v>104</v>
      </c>
      <c r="AM2377" s="1" t="s">
        <v>104</v>
      </c>
      <c r="AO2377" s="1">
        <v>3</v>
      </c>
      <c r="AQ2377" s="1" t="s">
        <v>12215</v>
      </c>
      <c r="AR2377" s="1">
        <v>0</v>
      </c>
      <c r="AS2377" s="1">
        <v>0</v>
      </c>
      <c r="AT2377" s="1">
        <v>0</v>
      </c>
      <c r="AU2377" s="1">
        <v>0</v>
      </c>
      <c r="AV2377" s="1">
        <v>1</v>
      </c>
      <c r="AW2377" s="1">
        <v>0</v>
      </c>
      <c r="AX2377" s="1">
        <v>0</v>
      </c>
      <c r="AY2377" s="1">
        <v>0</v>
      </c>
      <c r="AZ2377" s="1">
        <v>0</v>
      </c>
      <c r="BA2377" s="1">
        <v>0</v>
      </c>
      <c r="BB2377" s="1">
        <v>0</v>
      </c>
      <c r="BC2377" s="1">
        <v>0</v>
      </c>
      <c r="BD2377" s="1">
        <v>0</v>
      </c>
      <c r="BE2377" s="1">
        <v>0</v>
      </c>
      <c r="BF2377" s="1">
        <v>0</v>
      </c>
      <c r="BG2377" s="1">
        <v>0</v>
      </c>
      <c r="BH2377" s="1">
        <v>0</v>
      </c>
      <c r="BI2377" s="1">
        <v>0</v>
      </c>
      <c r="BJ2377" s="1">
        <v>0</v>
      </c>
      <c r="BK2377" s="1">
        <v>0</v>
      </c>
      <c r="BL2377" s="1">
        <v>0</v>
      </c>
      <c r="BM2377" s="1">
        <v>0</v>
      </c>
      <c r="BN2377" s="1">
        <v>0</v>
      </c>
      <c r="BO2377" s="1">
        <v>0</v>
      </c>
      <c r="BP2377" s="1">
        <v>0</v>
      </c>
      <c r="BQ2377" s="1" t="s">
        <v>104</v>
      </c>
      <c r="BR2377" s="1">
        <v>2498</v>
      </c>
      <c r="BS2377" s="1" t="s">
        <v>104</v>
      </c>
      <c r="BX2377" s="1">
        <v>0</v>
      </c>
      <c r="BY2377" s="1" t="s">
        <v>104</v>
      </c>
      <c r="BZ2377" s="1" t="s">
        <v>104</v>
      </c>
      <c r="CA2377" s="1">
        <v>2</v>
      </c>
      <c r="CB2377" s="1" t="s">
        <v>104</v>
      </c>
      <c r="CC2377" s="1">
        <v>2</v>
      </c>
      <c r="CD2377" s="1" t="s">
        <v>104</v>
      </c>
      <c r="CE2377" s="1" t="s">
        <v>104</v>
      </c>
      <c r="CF2377" s="1" t="s">
        <v>104</v>
      </c>
      <c r="CG2377" s="1" t="s">
        <v>104</v>
      </c>
      <c r="CH2377" s="1" t="s">
        <v>104</v>
      </c>
      <c r="CJ2377" s="1">
        <v>0</v>
      </c>
      <c r="CK2377" s="1">
        <v>0</v>
      </c>
      <c r="CL2377" s="1">
        <v>0</v>
      </c>
      <c r="CM2377" s="1" t="s">
        <v>104</v>
      </c>
    </row>
    <row r="2378" spans="1:91" ht="14.25" customHeight="1" x14ac:dyDescent="0.3">
      <c r="A2378" s="1" t="s">
        <v>12216</v>
      </c>
      <c r="B2378" s="1" t="s">
        <v>216</v>
      </c>
      <c r="D2378" s="1" t="s">
        <v>64</v>
      </c>
      <c r="E2378" s="1" t="s">
        <v>12217</v>
      </c>
      <c r="F2378" s="1" t="s">
        <v>95</v>
      </c>
      <c r="G2378" s="1" t="s">
        <v>12218</v>
      </c>
      <c r="H2378" s="1">
        <v>0</v>
      </c>
      <c r="I2378" s="1" t="s">
        <v>117</v>
      </c>
      <c r="L2378" s="1" t="s">
        <v>12219</v>
      </c>
      <c r="M2378" s="1" t="s">
        <v>4292</v>
      </c>
      <c r="N2378" s="1">
        <v>0</v>
      </c>
      <c r="O2378" s="1">
        <v>0</v>
      </c>
      <c r="P2378" s="1" t="s">
        <v>100</v>
      </c>
      <c r="Q2378" s="1" t="s">
        <v>101</v>
      </c>
      <c r="R2378" s="1" t="s">
        <v>12220</v>
      </c>
      <c r="S2378" s="1" t="s">
        <v>11859</v>
      </c>
      <c r="T2378" s="1">
        <v>1</v>
      </c>
      <c r="U2378" s="1">
        <v>1</v>
      </c>
      <c r="V2378" s="1">
        <v>1</v>
      </c>
      <c r="W2378" s="1">
        <v>0</v>
      </c>
      <c r="X2378" s="1">
        <v>0</v>
      </c>
      <c r="Y2378" s="1" t="s">
        <v>104</v>
      </c>
      <c r="Z2378" s="1" t="s">
        <v>104</v>
      </c>
      <c r="AA2378" s="1">
        <v>6</v>
      </c>
      <c r="AB2378" s="1">
        <v>6</v>
      </c>
      <c r="AC2378" s="1">
        <v>4</v>
      </c>
      <c r="AD2378" s="1" t="s">
        <v>104</v>
      </c>
      <c r="AE2378" s="1" t="s">
        <v>104</v>
      </c>
      <c r="AF2378" s="1" t="s">
        <v>104</v>
      </c>
      <c r="AG2378" s="1" t="s">
        <v>104</v>
      </c>
      <c r="AH2378" s="1">
        <v>6</v>
      </c>
      <c r="AI2378" s="1" t="s">
        <v>104</v>
      </c>
      <c r="AJ2378" s="1">
        <v>6</v>
      </c>
      <c r="AK2378" s="1">
        <v>4</v>
      </c>
      <c r="AL2378" s="1" t="s">
        <v>104</v>
      </c>
      <c r="AM2378" s="1" t="s">
        <v>104</v>
      </c>
      <c r="AO2378" s="1">
        <v>6</v>
      </c>
      <c r="AQ2378" s="1" t="s">
        <v>12221</v>
      </c>
      <c r="AR2378" s="1">
        <v>0</v>
      </c>
      <c r="AS2378" s="1">
        <v>0</v>
      </c>
      <c r="AT2378" s="1">
        <v>0</v>
      </c>
      <c r="AU2378" s="1">
        <v>0</v>
      </c>
      <c r="AV2378" s="1">
        <v>0</v>
      </c>
      <c r="AW2378" s="1">
        <v>0</v>
      </c>
      <c r="AX2378" s="1">
        <v>0</v>
      </c>
      <c r="AY2378" s="1">
        <v>0</v>
      </c>
      <c r="AZ2378" s="1">
        <v>0</v>
      </c>
      <c r="BA2378" s="1">
        <v>0</v>
      </c>
      <c r="BB2378" s="1">
        <v>0</v>
      </c>
      <c r="BC2378" s="1">
        <v>0</v>
      </c>
      <c r="BD2378" s="1">
        <v>0</v>
      </c>
      <c r="BE2378" s="1">
        <v>0</v>
      </c>
      <c r="BF2378" s="1">
        <v>0</v>
      </c>
      <c r="BG2378" s="1">
        <v>0</v>
      </c>
      <c r="BH2378" s="1">
        <v>0</v>
      </c>
      <c r="BI2378" s="1">
        <v>0</v>
      </c>
      <c r="BJ2378" s="1">
        <v>0</v>
      </c>
      <c r="BK2378" s="1">
        <v>0</v>
      </c>
      <c r="BL2378" s="1">
        <v>0</v>
      </c>
      <c r="BM2378" s="1">
        <v>1</v>
      </c>
      <c r="BN2378" s="1">
        <v>0</v>
      </c>
      <c r="BO2378" s="1">
        <v>0</v>
      </c>
      <c r="BP2378" s="1">
        <v>0</v>
      </c>
      <c r="BQ2378" s="1" t="s">
        <v>104</v>
      </c>
      <c r="BR2378" s="1">
        <v>2499</v>
      </c>
      <c r="BS2378" s="1" t="s">
        <v>104</v>
      </c>
      <c r="BX2378" s="1">
        <v>0</v>
      </c>
      <c r="BY2378" s="1" t="s">
        <v>104</v>
      </c>
      <c r="BZ2378" s="1">
        <v>6</v>
      </c>
      <c r="CA2378" s="1" t="s">
        <v>104</v>
      </c>
      <c r="CB2378" s="1" t="s">
        <v>104</v>
      </c>
      <c r="CC2378" s="1" t="s">
        <v>104</v>
      </c>
      <c r="CD2378" s="1" t="s">
        <v>104</v>
      </c>
      <c r="CE2378" s="1" t="s">
        <v>104</v>
      </c>
      <c r="CF2378" s="1" t="s">
        <v>104</v>
      </c>
      <c r="CG2378" s="1" t="s">
        <v>104</v>
      </c>
      <c r="CH2378" s="1">
        <v>4</v>
      </c>
      <c r="CJ2378" s="1">
        <v>0</v>
      </c>
      <c r="CK2378" s="1">
        <v>0</v>
      </c>
      <c r="CL2378" s="1">
        <v>0</v>
      </c>
      <c r="CM2378" s="1" t="s">
        <v>104</v>
      </c>
    </row>
    <row r="2379" spans="1:91" ht="14.25" customHeight="1" x14ac:dyDescent="0.3">
      <c r="A2379" s="1" t="s">
        <v>12222</v>
      </c>
      <c r="B2379" s="1" t="s">
        <v>172</v>
      </c>
      <c r="E2379" s="1" t="s">
        <v>12223</v>
      </c>
      <c r="F2379" s="1" t="s">
        <v>95</v>
      </c>
      <c r="G2379" s="1" t="s">
        <v>116</v>
      </c>
      <c r="H2379" s="1">
        <v>0</v>
      </c>
      <c r="I2379" s="1" t="s">
        <v>117</v>
      </c>
      <c r="L2379" s="1" t="s">
        <v>12224</v>
      </c>
      <c r="M2379" s="1" t="s">
        <v>620</v>
      </c>
      <c r="N2379" s="1">
        <v>1</v>
      </c>
      <c r="O2379" s="1">
        <v>0</v>
      </c>
      <c r="P2379" s="1" t="s">
        <v>100</v>
      </c>
      <c r="Q2379" s="1" t="s">
        <v>101</v>
      </c>
      <c r="R2379" s="1" t="s">
        <v>12225</v>
      </c>
      <c r="S2379" s="1" t="s">
        <v>11859</v>
      </c>
      <c r="T2379" s="1">
        <v>1</v>
      </c>
      <c r="U2379" s="1">
        <v>1</v>
      </c>
      <c r="V2379" s="1">
        <v>0</v>
      </c>
      <c r="W2379" s="1">
        <v>0</v>
      </c>
      <c r="X2379" s="1">
        <v>0</v>
      </c>
      <c r="Y2379" s="1">
        <v>3</v>
      </c>
      <c r="Z2379" s="1">
        <v>3</v>
      </c>
      <c r="AA2379" s="1" t="s">
        <v>104</v>
      </c>
      <c r="AB2379" s="1">
        <v>3</v>
      </c>
      <c r="AC2379" s="1">
        <v>2</v>
      </c>
      <c r="AD2379" s="1" t="s">
        <v>104</v>
      </c>
      <c r="AE2379" s="1" t="s">
        <v>104</v>
      </c>
      <c r="AF2379" s="1" t="s">
        <v>104</v>
      </c>
      <c r="AG2379" s="1">
        <v>3</v>
      </c>
      <c r="AH2379" s="1">
        <v>3</v>
      </c>
      <c r="AI2379" s="1">
        <v>3</v>
      </c>
      <c r="AJ2379" s="1" t="s">
        <v>104</v>
      </c>
      <c r="AK2379" s="1" t="s">
        <v>104</v>
      </c>
      <c r="AL2379" s="1" t="s">
        <v>104</v>
      </c>
      <c r="AM2379" s="1" t="s">
        <v>104</v>
      </c>
      <c r="AO2379" s="1">
        <v>3</v>
      </c>
      <c r="AQ2379" s="1" t="s">
        <v>12226</v>
      </c>
      <c r="AR2379" s="1">
        <v>0</v>
      </c>
      <c r="AS2379" s="1">
        <v>0</v>
      </c>
      <c r="AT2379" s="1">
        <v>0</v>
      </c>
      <c r="AU2379" s="1">
        <v>0</v>
      </c>
      <c r="AV2379" s="1">
        <v>0</v>
      </c>
      <c r="AW2379" s="1">
        <v>0</v>
      </c>
      <c r="AX2379" s="1">
        <v>0</v>
      </c>
      <c r="AY2379" s="1">
        <v>0</v>
      </c>
      <c r="AZ2379" s="1">
        <v>0</v>
      </c>
      <c r="BA2379" s="1">
        <v>0</v>
      </c>
      <c r="BB2379" s="1">
        <v>0</v>
      </c>
      <c r="BC2379" s="1">
        <v>0</v>
      </c>
      <c r="BD2379" s="1">
        <v>0</v>
      </c>
      <c r="BE2379" s="1">
        <v>0</v>
      </c>
      <c r="BF2379" s="1">
        <v>0</v>
      </c>
      <c r="BG2379" s="1">
        <v>0</v>
      </c>
      <c r="BH2379" s="1">
        <v>0</v>
      </c>
      <c r="BI2379" s="1">
        <v>0</v>
      </c>
      <c r="BJ2379" s="1">
        <v>0</v>
      </c>
      <c r="BK2379" s="1">
        <v>0</v>
      </c>
      <c r="BL2379" s="1">
        <v>0</v>
      </c>
      <c r="BM2379" s="1">
        <v>0</v>
      </c>
      <c r="BN2379" s="1">
        <v>0</v>
      </c>
      <c r="BO2379" s="1">
        <v>0</v>
      </c>
      <c r="BP2379" s="1">
        <v>0</v>
      </c>
      <c r="BQ2379" s="1" t="s">
        <v>104</v>
      </c>
      <c r="BR2379" s="1">
        <v>2500</v>
      </c>
      <c r="BS2379" s="1" t="s">
        <v>104</v>
      </c>
      <c r="BX2379" s="1">
        <v>0</v>
      </c>
      <c r="BY2379" s="1">
        <v>3</v>
      </c>
      <c r="BZ2379" s="1" t="s">
        <v>104</v>
      </c>
      <c r="CA2379" s="1" t="s">
        <v>104</v>
      </c>
      <c r="CB2379" s="1">
        <v>2</v>
      </c>
      <c r="CC2379" s="1" t="s">
        <v>104</v>
      </c>
      <c r="CD2379" s="1" t="s">
        <v>104</v>
      </c>
      <c r="CE2379" s="1">
        <v>3</v>
      </c>
      <c r="CF2379" s="1" t="s">
        <v>104</v>
      </c>
      <c r="CG2379" s="1" t="s">
        <v>104</v>
      </c>
      <c r="CH2379" s="1">
        <v>2</v>
      </c>
      <c r="CJ2379" s="1">
        <v>0</v>
      </c>
      <c r="CK2379" s="1">
        <v>0</v>
      </c>
      <c r="CL2379" s="1">
        <v>0</v>
      </c>
      <c r="CM2379" s="1">
        <v>3</v>
      </c>
    </row>
    <row r="2380" spans="1:91" ht="14.25" customHeight="1" x14ac:dyDescent="0.3">
      <c r="A2380" s="1" t="s">
        <v>12227</v>
      </c>
      <c r="B2380" s="1" t="s">
        <v>162</v>
      </c>
      <c r="E2380" s="1" t="s">
        <v>12228</v>
      </c>
      <c r="F2380" s="1" t="s">
        <v>95</v>
      </c>
      <c r="G2380" s="1" t="s">
        <v>1802</v>
      </c>
      <c r="H2380" s="1">
        <v>0</v>
      </c>
      <c r="I2380" s="1" t="s">
        <v>109</v>
      </c>
      <c r="L2380" s="1" t="s">
        <v>12229</v>
      </c>
      <c r="M2380" s="1" t="s">
        <v>2330</v>
      </c>
      <c r="N2380" s="1">
        <v>0</v>
      </c>
      <c r="O2380" s="1">
        <v>0</v>
      </c>
      <c r="P2380" s="1" t="s">
        <v>471</v>
      </c>
      <c r="Q2380" s="1" t="s">
        <v>472</v>
      </c>
      <c r="R2380" s="1" t="s">
        <v>12230</v>
      </c>
      <c r="S2380" s="1" t="s">
        <v>11859</v>
      </c>
      <c r="T2380" s="1">
        <v>0</v>
      </c>
      <c r="U2380" s="1">
        <v>1</v>
      </c>
      <c r="V2380" s="1">
        <v>0</v>
      </c>
      <c r="W2380" s="1">
        <v>0</v>
      </c>
      <c r="X2380" s="1">
        <v>0</v>
      </c>
      <c r="Y2380" s="1">
        <v>5</v>
      </c>
      <c r="Z2380" s="1">
        <v>5</v>
      </c>
      <c r="AA2380" s="1" t="s">
        <v>104</v>
      </c>
      <c r="AB2380" s="1" t="s">
        <v>104</v>
      </c>
      <c r="AC2380" s="1" t="s">
        <v>104</v>
      </c>
      <c r="AD2380" s="1" t="s">
        <v>104</v>
      </c>
      <c r="AE2380" s="1" t="s">
        <v>104</v>
      </c>
      <c r="AF2380" s="1" t="s">
        <v>104</v>
      </c>
      <c r="AG2380" s="1" t="s">
        <v>104</v>
      </c>
      <c r="AH2380" s="1">
        <v>5</v>
      </c>
      <c r="AI2380" s="1">
        <v>4</v>
      </c>
      <c r="AJ2380" s="1" t="s">
        <v>104</v>
      </c>
      <c r="AK2380" s="1" t="s">
        <v>104</v>
      </c>
      <c r="AL2380" s="1" t="s">
        <v>104</v>
      </c>
      <c r="AM2380" s="1" t="s">
        <v>104</v>
      </c>
      <c r="AO2380" s="1">
        <v>5</v>
      </c>
      <c r="AQ2380" s="1" t="s">
        <v>12231</v>
      </c>
      <c r="AR2380" s="1">
        <v>0</v>
      </c>
      <c r="AS2380" s="1">
        <v>0</v>
      </c>
      <c r="AT2380" s="1">
        <v>0</v>
      </c>
      <c r="AU2380" s="1">
        <v>0</v>
      </c>
      <c r="AV2380" s="1">
        <v>0</v>
      </c>
      <c r="AW2380" s="1">
        <v>0</v>
      </c>
      <c r="AX2380" s="1">
        <v>0</v>
      </c>
      <c r="AY2380" s="1">
        <v>0</v>
      </c>
      <c r="AZ2380" s="1">
        <v>0</v>
      </c>
      <c r="BA2380" s="1">
        <v>0</v>
      </c>
      <c r="BB2380" s="1">
        <v>0</v>
      </c>
      <c r="BC2380" s="1">
        <v>0</v>
      </c>
      <c r="BD2380" s="1">
        <v>0</v>
      </c>
      <c r="BE2380" s="1">
        <v>0</v>
      </c>
      <c r="BF2380" s="1">
        <v>0</v>
      </c>
      <c r="BG2380" s="1">
        <v>0</v>
      </c>
      <c r="BH2380" s="1">
        <v>0</v>
      </c>
      <c r="BI2380" s="1">
        <v>0</v>
      </c>
      <c r="BJ2380" s="1">
        <v>0</v>
      </c>
      <c r="BK2380" s="1">
        <v>0</v>
      </c>
      <c r="BL2380" s="1">
        <v>0</v>
      </c>
      <c r="BM2380" s="1">
        <v>0</v>
      </c>
      <c r="BN2380" s="1">
        <v>0</v>
      </c>
      <c r="BO2380" s="1">
        <v>0</v>
      </c>
      <c r="BP2380" s="1">
        <v>0</v>
      </c>
      <c r="BQ2380" s="1" t="s">
        <v>104</v>
      </c>
      <c r="BR2380" s="1">
        <v>2501</v>
      </c>
      <c r="BS2380" s="1" t="s">
        <v>104</v>
      </c>
      <c r="BX2380" s="1">
        <v>0</v>
      </c>
      <c r="BY2380" s="1" t="s">
        <v>104</v>
      </c>
      <c r="BZ2380" s="1" t="s">
        <v>104</v>
      </c>
      <c r="CA2380" s="1">
        <v>5</v>
      </c>
      <c r="CB2380" s="1" t="s">
        <v>104</v>
      </c>
      <c r="CC2380" s="1" t="s">
        <v>104</v>
      </c>
      <c r="CD2380" s="1">
        <v>4</v>
      </c>
      <c r="CE2380" s="1" t="s">
        <v>104</v>
      </c>
      <c r="CF2380" s="1" t="s">
        <v>104</v>
      </c>
      <c r="CG2380" s="1" t="s">
        <v>104</v>
      </c>
      <c r="CH2380" s="1" t="s">
        <v>104</v>
      </c>
      <c r="CJ2380" s="1">
        <v>0</v>
      </c>
      <c r="CK2380" s="1">
        <v>0</v>
      </c>
      <c r="CL2380" s="1">
        <v>0</v>
      </c>
      <c r="CM2380" s="1" t="s">
        <v>104</v>
      </c>
    </row>
    <row r="2381" spans="1:91" ht="14.25" customHeight="1" x14ac:dyDescent="0.3">
      <c r="A2381" s="1" t="s">
        <v>12232</v>
      </c>
      <c r="B2381" s="1" t="s">
        <v>507</v>
      </c>
      <c r="C2381" s="1" t="s">
        <v>1308</v>
      </c>
      <c r="D2381" s="1" t="s">
        <v>125</v>
      </c>
      <c r="E2381" s="1" t="s">
        <v>12233</v>
      </c>
      <c r="F2381" s="1" t="s">
        <v>95</v>
      </c>
      <c r="G2381" s="1" t="s">
        <v>1802</v>
      </c>
      <c r="H2381" s="1">
        <v>0</v>
      </c>
      <c r="I2381" s="1" t="s">
        <v>97</v>
      </c>
      <c r="L2381" s="1" t="s">
        <v>1065</v>
      </c>
      <c r="M2381" s="1" t="s">
        <v>493</v>
      </c>
      <c r="N2381" s="1">
        <v>1</v>
      </c>
      <c r="O2381" s="1">
        <v>0</v>
      </c>
      <c r="P2381" s="1" t="s">
        <v>1771</v>
      </c>
      <c r="Q2381" s="1" t="s">
        <v>184</v>
      </c>
      <c r="R2381" s="1" t="s">
        <v>12234</v>
      </c>
      <c r="S2381" s="1" t="s">
        <v>11859</v>
      </c>
      <c r="T2381" s="1">
        <v>0</v>
      </c>
      <c r="U2381" s="1">
        <v>1</v>
      </c>
      <c r="V2381" s="1">
        <v>0</v>
      </c>
      <c r="W2381" s="1">
        <v>0</v>
      </c>
      <c r="X2381" s="1">
        <v>0</v>
      </c>
      <c r="Y2381" s="1">
        <v>7</v>
      </c>
      <c r="Z2381" s="1">
        <v>7</v>
      </c>
      <c r="AA2381" s="1" t="s">
        <v>104</v>
      </c>
      <c r="AB2381" s="1" t="s">
        <v>104</v>
      </c>
      <c r="AC2381" s="1" t="s">
        <v>104</v>
      </c>
      <c r="AD2381" s="1" t="s">
        <v>104</v>
      </c>
      <c r="AE2381" s="1" t="s">
        <v>104</v>
      </c>
      <c r="AF2381" s="1" t="s">
        <v>104</v>
      </c>
      <c r="AG2381" s="1" t="s">
        <v>104</v>
      </c>
      <c r="AH2381" s="1" t="s">
        <v>104</v>
      </c>
      <c r="AI2381" s="1" t="s">
        <v>104</v>
      </c>
      <c r="AJ2381" s="1" t="s">
        <v>104</v>
      </c>
      <c r="AK2381" s="1" t="s">
        <v>104</v>
      </c>
      <c r="AL2381" s="1" t="s">
        <v>104</v>
      </c>
      <c r="AM2381" s="1" t="s">
        <v>104</v>
      </c>
      <c r="AO2381" s="1">
        <v>7</v>
      </c>
      <c r="AQ2381" s="1" t="s">
        <v>12235</v>
      </c>
      <c r="AR2381" s="1">
        <v>0</v>
      </c>
      <c r="AS2381" s="1">
        <v>0</v>
      </c>
      <c r="AT2381" s="1">
        <v>0</v>
      </c>
      <c r="AU2381" s="1">
        <v>0</v>
      </c>
      <c r="AV2381" s="1">
        <v>0</v>
      </c>
      <c r="AW2381" s="1">
        <v>0</v>
      </c>
      <c r="AX2381" s="1">
        <v>0</v>
      </c>
      <c r="AY2381" s="1">
        <v>0</v>
      </c>
      <c r="AZ2381" s="1">
        <v>0</v>
      </c>
      <c r="BA2381" s="1">
        <v>0</v>
      </c>
      <c r="BB2381" s="1">
        <v>0</v>
      </c>
      <c r="BC2381" s="1">
        <v>0</v>
      </c>
      <c r="BD2381" s="1">
        <v>0</v>
      </c>
      <c r="BE2381" s="1">
        <v>0</v>
      </c>
      <c r="BF2381" s="1">
        <v>0</v>
      </c>
      <c r="BG2381" s="1">
        <v>0</v>
      </c>
      <c r="BH2381" s="1">
        <v>0</v>
      </c>
      <c r="BI2381" s="1">
        <v>0</v>
      </c>
      <c r="BJ2381" s="1">
        <v>0</v>
      </c>
      <c r="BK2381" s="1">
        <v>1</v>
      </c>
      <c r="BL2381" s="1">
        <v>0</v>
      </c>
      <c r="BM2381" s="1">
        <v>0</v>
      </c>
      <c r="BN2381" s="1">
        <v>0</v>
      </c>
      <c r="BO2381" s="1">
        <v>0</v>
      </c>
      <c r="BP2381" s="1">
        <v>0</v>
      </c>
      <c r="BQ2381" s="1" t="s">
        <v>104</v>
      </c>
      <c r="BR2381" s="1">
        <v>2502</v>
      </c>
      <c r="BS2381" s="1" t="s">
        <v>104</v>
      </c>
      <c r="BX2381" s="1">
        <v>0</v>
      </c>
      <c r="BY2381" s="1" t="s">
        <v>104</v>
      </c>
      <c r="BZ2381" s="1" t="s">
        <v>104</v>
      </c>
      <c r="CA2381" s="1">
        <v>7</v>
      </c>
      <c r="CB2381" s="1" t="s">
        <v>104</v>
      </c>
      <c r="CC2381" s="1" t="s">
        <v>104</v>
      </c>
      <c r="CD2381" s="1" t="s">
        <v>104</v>
      </c>
      <c r="CE2381" s="1" t="s">
        <v>104</v>
      </c>
      <c r="CF2381" s="1" t="s">
        <v>104</v>
      </c>
      <c r="CG2381" s="1" t="s">
        <v>104</v>
      </c>
      <c r="CH2381" s="1" t="s">
        <v>104</v>
      </c>
      <c r="CJ2381" s="1">
        <v>0</v>
      </c>
      <c r="CK2381" s="1">
        <v>0</v>
      </c>
      <c r="CL2381" s="1">
        <v>0</v>
      </c>
      <c r="CM2381" s="1" t="s">
        <v>104</v>
      </c>
    </row>
    <row r="2382" spans="1:91" ht="14.25" customHeight="1" x14ac:dyDescent="0.3">
      <c r="A2382" s="1" t="s">
        <v>12236</v>
      </c>
      <c r="B2382" s="1" t="s">
        <v>507</v>
      </c>
      <c r="C2382" s="1" t="s">
        <v>1308</v>
      </c>
      <c r="D2382" s="1" t="s">
        <v>125</v>
      </c>
      <c r="E2382" s="1" t="s">
        <v>12237</v>
      </c>
      <c r="F2382" s="1" t="s">
        <v>95</v>
      </c>
      <c r="G2382" s="1" t="s">
        <v>12238</v>
      </c>
      <c r="H2382" s="1">
        <v>0</v>
      </c>
      <c r="I2382" s="1" t="s">
        <v>117</v>
      </c>
      <c r="L2382" s="1" t="s">
        <v>6228</v>
      </c>
      <c r="M2382" s="1" t="s">
        <v>145</v>
      </c>
      <c r="N2382" s="1">
        <v>0</v>
      </c>
      <c r="O2382" s="1">
        <v>0</v>
      </c>
      <c r="P2382" s="1" t="s">
        <v>12239</v>
      </c>
      <c r="Q2382" s="1" t="s">
        <v>184</v>
      </c>
      <c r="R2382" s="1" t="s">
        <v>12240</v>
      </c>
      <c r="S2382" s="1" t="s">
        <v>11859</v>
      </c>
      <c r="T2382" s="1">
        <v>1</v>
      </c>
      <c r="U2382" s="1">
        <v>1</v>
      </c>
      <c r="V2382" s="1">
        <v>1</v>
      </c>
      <c r="W2382" s="1">
        <v>0</v>
      </c>
      <c r="X2382" s="1">
        <v>0</v>
      </c>
      <c r="Y2382" s="1">
        <v>3</v>
      </c>
      <c r="Z2382" s="1">
        <v>3</v>
      </c>
      <c r="AA2382" s="1" t="s">
        <v>104</v>
      </c>
      <c r="AB2382" s="1" t="s">
        <v>104</v>
      </c>
      <c r="AC2382" s="1" t="s">
        <v>104</v>
      </c>
      <c r="AD2382" s="1" t="s">
        <v>104</v>
      </c>
      <c r="AE2382" s="1" t="s">
        <v>104</v>
      </c>
      <c r="AF2382" s="1" t="s">
        <v>104</v>
      </c>
      <c r="AG2382" s="1" t="s">
        <v>104</v>
      </c>
      <c r="AH2382" s="1">
        <v>3</v>
      </c>
      <c r="AI2382" s="1" t="s">
        <v>104</v>
      </c>
      <c r="AJ2382" s="1" t="s">
        <v>104</v>
      </c>
      <c r="AK2382" s="1" t="s">
        <v>104</v>
      </c>
      <c r="AL2382" s="1" t="s">
        <v>104</v>
      </c>
      <c r="AM2382" s="1" t="s">
        <v>104</v>
      </c>
      <c r="AO2382" s="1">
        <v>3</v>
      </c>
      <c r="AQ2382" s="1" t="s">
        <v>12241</v>
      </c>
      <c r="AR2382" s="1">
        <v>0</v>
      </c>
      <c r="AS2382" s="1">
        <v>0</v>
      </c>
      <c r="AT2382" s="1">
        <v>0</v>
      </c>
      <c r="AU2382" s="1">
        <v>0</v>
      </c>
      <c r="AV2382" s="1">
        <v>0</v>
      </c>
      <c r="AW2382" s="1">
        <v>0</v>
      </c>
      <c r="AX2382" s="1">
        <v>0</v>
      </c>
      <c r="AY2382" s="1">
        <v>0</v>
      </c>
      <c r="AZ2382" s="1">
        <v>0</v>
      </c>
      <c r="BA2382" s="1">
        <v>0</v>
      </c>
      <c r="BB2382" s="1">
        <v>0</v>
      </c>
      <c r="BC2382" s="1">
        <v>0</v>
      </c>
      <c r="BD2382" s="1">
        <v>0</v>
      </c>
      <c r="BE2382" s="1">
        <v>0</v>
      </c>
      <c r="BF2382" s="1">
        <v>0</v>
      </c>
      <c r="BG2382" s="1">
        <v>0</v>
      </c>
      <c r="BH2382" s="1">
        <v>0</v>
      </c>
      <c r="BI2382" s="1">
        <v>0</v>
      </c>
      <c r="BJ2382" s="1">
        <v>0</v>
      </c>
      <c r="BK2382" s="1">
        <v>1</v>
      </c>
      <c r="BL2382" s="1">
        <v>0</v>
      </c>
      <c r="BM2382" s="1">
        <v>0</v>
      </c>
      <c r="BN2382" s="1">
        <v>0</v>
      </c>
      <c r="BO2382" s="1">
        <v>0</v>
      </c>
      <c r="BP2382" s="1">
        <v>0</v>
      </c>
      <c r="BQ2382" s="1" t="s">
        <v>104</v>
      </c>
      <c r="BR2382" s="1">
        <v>2503</v>
      </c>
      <c r="BS2382" s="1" t="s">
        <v>104</v>
      </c>
      <c r="BX2382" s="1">
        <v>0</v>
      </c>
      <c r="BY2382" s="1" t="s">
        <v>104</v>
      </c>
      <c r="BZ2382" s="1" t="s">
        <v>104</v>
      </c>
      <c r="CA2382" s="1">
        <v>3</v>
      </c>
      <c r="CB2382" s="1" t="s">
        <v>104</v>
      </c>
      <c r="CC2382" s="1">
        <v>2</v>
      </c>
      <c r="CD2382" s="1" t="s">
        <v>104</v>
      </c>
      <c r="CE2382" s="1" t="s">
        <v>104</v>
      </c>
      <c r="CF2382" s="1" t="s">
        <v>104</v>
      </c>
      <c r="CG2382" s="1" t="s">
        <v>104</v>
      </c>
      <c r="CH2382" s="1" t="s">
        <v>104</v>
      </c>
      <c r="CJ2382" s="1">
        <v>0</v>
      </c>
      <c r="CK2382" s="1">
        <v>0</v>
      </c>
      <c r="CL2382" s="1">
        <v>0</v>
      </c>
      <c r="CM2382" s="1" t="s">
        <v>104</v>
      </c>
    </row>
    <row r="2383" spans="1:91" ht="14.25" customHeight="1" x14ac:dyDescent="0.3">
      <c r="A2383" s="1" t="s">
        <v>12242</v>
      </c>
      <c r="B2383" s="1" t="s">
        <v>92</v>
      </c>
      <c r="C2383" s="1" t="s">
        <v>903</v>
      </c>
      <c r="E2383" s="1" t="s">
        <v>12243</v>
      </c>
      <c r="F2383" s="1" t="s">
        <v>255</v>
      </c>
      <c r="G2383" s="1" t="s">
        <v>12244</v>
      </c>
      <c r="H2383" s="1">
        <v>0</v>
      </c>
      <c r="I2383" s="1" t="s">
        <v>128</v>
      </c>
      <c r="L2383" s="1" t="s">
        <v>983</v>
      </c>
      <c r="M2383" s="1" t="s">
        <v>6119</v>
      </c>
      <c r="N2383" s="1">
        <v>1</v>
      </c>
      <c r="O2383" s="1">
        <v>0</v>
      </c>
      <c r="P2383" s="1" t="s">
        <v>4401</v>
      </c>
      <c r="Q2383" s="1" t="s">
        <v>101</v>
      </c>
      <c r="R2383" s="1" t="s">
        <v>12245</v>
      </c>
      <c r="S2383" s="1" t="s">
        <v>11859</v>
      </c>
      <c r="T2383" s="1">
        <v>1</v>
      </c>
      <c r="U2383" s="1">
        <v>1</v>
      </c>
      <c r="V2383" s="1">
        <v>1</v>
      </c>
      <c r="W2383" s="1">
        <v>0</v>
      </c>
      <c r="X2383" s="1">
        <v>0</v>
      </c>
      <c r="Y2383" s="1" t="s">
        <v>104</v>
      </c>
      <c r="Z2383" s="1" t="s">
        <v>104</v>
      </c>
      <c r="AA2383" s="1" t="s">
        <v>104</v>
      </c>
      <c r="AB2383" s="1">
        <v>3</v>
      </c>
      <c r="AC2383" s="1">
        <v>3</v>
      </c>
      <c r="AD2383" s="1" t="s">
        <v>104</v>
      </c>
      <c r="AE2383" s="1" t="s">
        <v>104</v>
      </c>
      <c r="AF2383" s="1" t="s">
        <v>104</v>
      </c>
      <c r="AG2383" s="1" t="s">
        <v>104</v>
      </c>
      <c r="AH2383" s="1">
        <v>3</v>
      </c>
      <c r="AI2383" s="1" t="s">
        <v>104</v>
      </c>
      <c r="AJ2383" s="1" t="s">
        <v>104</v>
      </c>
      <c r="AK2383" s="1" t="s">
        <v>104</v>
      </c>
      <c r="AL2383" s="1" t="s">
        <v>104</v>
      </c>
      <c r="AM2383" s="1" t="s">
        <v>104</v>
      </c>
      <c r="AO2383" s="1">
        <v>3</v>
      </c>
      <c r="AQ2383" s="1" t="s">
        <v>12246</v>
      </c>
      <c r="AR2383" s="1">
        <v>0</v>
      </c>
      <c r="AS2383" s="1">
        <v>0</v>
      </c>
      <c r="AT2383" s="1">
        <v>0</v>
      </c>
      <c r="AU2383" s="1">
        <v>0</v>
      </c>
      <c r="AV2383" s="1">
        <v>0</v>
      </c>
      <c r="AW2383" s="1">
        <v>0</v>
      </c>
      <c r="AX2383" s="1">
        <v>0</v>
      </c>
      <c r="AY2383" s="1">
        <v>0</v>
      </c>
      <c r="AZ2383" s="1">
        <v>0</v>
      </c>
      <c r="BA2383" s="1">
        <v>0</v>
      </c>
      <c r="BB2383" s="1">
        <v>0</v>
      </c>
      <c r="BC2383" s="1">
        <v>0</v>
      </c>
      <c r="BD2383" s="1">
        <v>0</v>
      </c>
      <c r="BE2383" s="1">
        <v>0</v>
      </c>
      <c r="BF2383" s="1">
        <v>0</v>
      </c>
      <c r="BG2383" s="1">
        <v>0</v>
      </c>
      <c r="BH2383" s="1">
        <v>0</v>
      </c>
      <c r="BI2383" s="1">
        <v>0</v>
      </c>
      <c r="BJ2383" s="1">
        <v>0</v>
      </c>
      <c r="BK2383" s="1">
        <v>0</v>
      </c>
      <c r="BL2383" s="1">
        <v>0</v>
      </c>
      <c r="BM2383" s="1">
        <v>0</v>
      </c>
      <c r="BN2383" s="1">
        <v>0</v>
      </c>
      <c r="BO2383" s="1">
        <v>0</v>
      </c>
      <c r="BP2383" s="1">
        <v>0</v>
      </c>
      <c r="BQ2383" s="1" t="s">
        <v>104</v>
      </c>
      <c r="BR2383" s="1">
        <v>2504</v>
      </c>
      <c r="BS2383" s="1" t="s">
        <v>104</v>
      </c>
      <c r="BX2383" s="1">
        <v>0</v>
      </c>
      <c r="BY2383" s="1" t="s">
        <v>104</v>
      </c>
      <c r="BZ2383" s="1">
        <v>3</v>
      </c>
      <c r="CA2383" s="1" t="s">
        <v>104</v>
      </c>
      <c r="CB2383" s="1" t="s">
        <v>104</v>
      </c>
      <c r="CC2383" s="1" t="s">
        <v>104</v>
      </c>
      <c r="CD2383" s="1">
        <v>3</v>
      </c>
      <c r="CE2383" s="1" t="s">
        <v>104</v>
      </c>
      <c r="CF2383" s="1" t="s">
        <v>104</v>
      </c>
      <c r="CG2383" s="1" t="s">
        <v>104</v>
      </c>
      <c r="CH2383" s="1">
        <v>3</v>
      </c>
      <c r="CJ2383" s="1">
        <v>0</v>
      </c>
      <c r="CK2383" s="1">
        <v>0</v>
      </c>
      <c r="CL2383" s="1">
        <v>0</v>
      </c>
      <c r="CM2383" s="1" t="s">
        <v>104</v>
      </c>
    </row>
    <row r="2384" spans="1:91" ht="14.25" customHeight="1" x14ac:dyDescent="0.3">
      <c r="A2384" s="1" t="s">
        <v>12247</v>
      </c>
      <c r="B2384" s="1" t="s">
        <v>92</v>
      </c>
      <c r="C2384" s="1" t="s">
        <v>523</v>
      </c>
      <c r="D2384" s="1" t="s">
        <v>12248</v>
      </c>
      <c r="E2384" s="1" t="s">
        <v>12249</v>
      </c>
      <c r="F2384" s="1" t="s">
        <v>95</v>
      </c>
      <c r="G2384" s="1" t="s">
        <v>116</v>
      </c>
      <c r="H2384" s="1">
        <v>0</v>
      </c>
      <c r="I2384" s="1" t="s">
        <v>117</v>
      </c>
      <c r="L2384" s="1" t="s">
        <v>1065</v>
      </c>
      <c r="M2384" s="1" t="s">
        <v>12250</v>
      </c>
      <c r="N2384" s="1">
        <v>0</v>
      </c>
      <c r="O2384" s="1">
        <v>0</v>
      </c>
      <c r="P2384" s="1" t="s">
        <v>12251</v>
      </c>
      <c r="Q2384" s="1" t="s">
        <v>184</v>
      </c>
      <c r="R2384" s="1" t="s">
        <v>12252</v>
      </c>
      <c r="S2384" s="1" t="s">
        <v>11859</v>
      </c>
      <c r="T2384" s="1">
        <v>1</v>
      </c>
      <c r="U2384" s="1">
        <v>1</v>
      </c>
      <c r="V2384" s="1">
        <v>0</v>
      </c>
      <c r="W2384" s="1">
        <v>0</v>
      </c>
      <c r="X2384" s="1">
        <v>0</v>
      </c>
      <c r="Y2384" s="1" t="s">
        <v>104</v>
      </c>
      <c r="Z2384" s="1" t="s">
        <v>104</v>
      </c>
      <c r="AA2384" s="1">
        <v>4</v>
      </c>
      <c r="AB2384" s="1">
        <v>5</v>
      </c>
      <c r="AC2384" s="1" t="s">
        <v>104</v>
      </c>
      <c r="AD2384" s="1" t="s">
        <v>104</v>
      </c>
      <c r="AE2384" s="1" t="s">
        <v>104</v>
      </c>
      <c r="AF2384" s="1" t="s">
        <v>104</v>
      </c>
      <c r="AG2384" s="1" t="s">
        <v>104</v>
      </c>
      <c r="AH2384" s="1">
        <v>5</v>
      </c>
      <c r="AI2384" s="1" t="s">
        <v>104</v>
      </c>
      <c r="AJ2384" s="1">
        <v>4</v>
      </c>
      <c r="AK2384" s="1" t="s">
        <v>104</v>
      </c>
      <c r="AL2384" s="1" t="s">
        <v>104</v>
      </c>
      <c r="AM2384" s="1" t="s">
        <v>104</v>
      </c>
      <c r="AO2384" s="1">
        <v>4</v>
      </c>
      <c r="AQ2384" s="1" t="s">
        <v>12253</v>
      </c>
      <c r="AR2384" s="1">
        <v>0</v>
      </c>
      <c r="AS2384" s="1">
        <v>0</v>
      </c>
      <c r="AT2384" s="1">
        <v>0</v>
      </c>
      <c r="AU2384" s="1">
        <v>0</v>
      </c>
      <c r="AV2384" s="1">
        <v>0</v>
      </c>
      <c r="AW2384" s="1">
        <v>0</v>
      </c>
      <c r="AX2384" s="1">
        <v>0</v>
      </c>
      <c r="AY2384" s="1">
        <v>0</v>
      </c>
      <c r="AZ2384" s="1">
        <v>0</v>
      </c>
      <c r="BA2384" s="1">
        <v>0</v>
      </c>
      <c r="BB2384" s="1">
        <v>0</v>
      </c>
      <c r="BC2384" s="1">
        <v>0</v>
      </c>
      <c r="BD2384" s="1">
        <v>0</v>
      </c>
      <c r="BE2384" s="1">
        <v>0</v>
      </c>
      <c r="BF2384" s="1">
        <v>0</v>
      </c>
      <c r="BG2384" s="1">
        <v>0</v>
      </c>
      <c r="BH2384" s="1">
        <v>0</v>
      </c>
      <c r="BI2384" s="1">
        <v>0</v>
      </c>
      <c r="BJ2384" s="1">
        <v>0</v>
      </c>
      <c r="BK2384" s="1">
        <v>0</v>
      </c>
      <c r="BL2384" s="1">
        <v>0</v>
      </c>
      <c r="BM2384" s="1">
        <v>1</v>
      </c>
      <c r="BN2384" s="1">
        <v>0</v>
      </c>
      <c r="BO2384" s="1">
        <v>0</v>
      </c>
      <c r="BP2384" s="1">
        <v>0</v>
      </c>
      <c r="BQ2384" s="1" t="s">
        <v>104</v>
      </c>
      <c r="BR2384" s="1">
        <v>2505</v>
      </c>
      <c r="BS2384" s="1" t="s">
        <v>104</v>
      </c>
      <c r="BX2384" s="1">
        <v>0</v>
      </c>
      <c r="BY2384" s="1" t="s">
        <v>104</v>
      </c>
      <c r="BZ2384" s="1">
        <v>4</v>
      </c>
      <c r="CA2384" s="1" t="s">
        <v>104</v>
      </c>
      <c r="CB2384" s="1" t="s">
        <v>104</v>
      </c>
      <c r="CC2384" s="1" t="s">
        <v>104</v>
      </c>
      <c r="CD2384" s="1">
        <v>4</v>
      </c>
      <c r="CE2384" s="1" t="s">
        <v>104</v>
      </c>
      <c r="CF2384" s="1" t="s">
        <v>104</v>
      </c>
      <c r="CG2384" s="1" t="s">
        <v>104</v>
      </c>
      <c r="CH2384" s="1">
        <v>5</v>
      </c>
      <c r="CJ2384" s="1">
        <v>1</v>
      </c>
      <c r="CK2384" s="1">
        <v>0</v>
      </c>
      <c r="CL2384" s="1">
        <v>0</v>
      </c>
      <c r="CM2384" s="1" t="s">
        <v>104</v>
      </c>
    </row>
    <row r="2385" spans="1:91" ht="14.25" customHeight="1" x14ac:dyDescent="0.3">
      <c r="A2385" s="1" t="s">
        <v>12254</v>
      </c>
      <c r="B2385" s="1" t="s">
        <v>123</v>
      </c>
      <c r="C2385" s="1" t="s">
        <v>124</v>
      </c>
      <c r="D2385" s="1" t="s">
        <v>10557</v>
      </c>
      <c r="E2385" s="1" t="s">
        <v>12255</v>
      </c>
      <c r="F2385" s="1" t="s">
        <v>2638</v>
      </c>
      <c r="G2385" s="1" t="s">
        <v>12256</v>
      </c>
      <c r="H2385" s="1">
        <v>0</v>
      </c>
      <c r="I2385" s="1" t="s">
        <v>145</v>
      </c>
      <c r="L2385" s="1" t="s">
        <v>1065</v>
      </c>
      <c r="M2385" s="1" t="s">
        <v>194</v>
      </c>
      <c r="N2385" s="1">
        <v>0</v>
      </c>
      <c r="O2385" s="1">
        <v>0</v>
      </c>
      <c r="P2385" s="1" t="s">
        <v>12257</v>
      </c>
      <c r="Q2385" s="1" t="s">
        <v>184</v>
      </c>
      <c r="R2385" s="1" t="s">
        <v>12258</v>
      </c>
      <c r="S2385" s="1" t="s">
        <v>11859</v>
      </c>
      <c r="T2385" s="1">
        <v>1</v>
      </c>
      <c r="U2385" s="1">
        <v>1</v>
      </c>
      <c r="V2385" s="1">
        <v>1</v>
      </c>
      <c r="W2385" s="1">
        <v>0</v>
      </c>
      <c r="X2385" s="1">
        <v>0</v>
      </c>
      <c r="Y2385" s="1">
        <v>7</v>
      </c>
      <c r="Z2385" s="1">
        <v>7</v>
      </c>
      <c r="AA2385" s="1">
        <v>7</v>
      </c>
      <c r="AB2385" s="1" t="s">
        <v>104</v>
      </c>
      <c r="AC2385" s="1" t="s">
        <v>104</v>
      </c>
      <c r="AD2385" s="1">
        <v>5</v>
      </c>
      <c r="AE2385" s="1" t="s">
        <v>104</v>
      </c>
      <c r="AF2385" s="1" t="s">
        <v>104</v>
      </c>
      <c r="AG2385" s="1" t="s">
        <v>104</v>
      </c>
      <c r="AH2385" s="1">
        <v>7</v>
      </c>
      <c r="AI2385" s="1" t="s">
        <v>104</v>
      </c>
      <c r="AJ2385" s="1">
        <v>7</v>
      </c>
      <c r="AK2385" s="1" t="s">
        <v>104</v>
      </c>
      <c r="AL2385" s="1" t="s">
        <v>104</v>
      </c>
      <c r="AM2385" s="1" t="s">
        <v>104</v>
      </c>
      <c r="AO2385" s="1">
        <v>7</v>
      </c>
      <c r="AQ2385" s="1" t="s">
        <v>12259</v>
      </c>
      <c r="AR2385" s="1">
        <v>0</v>
      </c>
      <c r="AS2385" s="1">
        <v>0</v>
      </c>
      <c r="AT2385" s="1">
        <v>0</v>
      </c>
      <c r="AU2385" s="1">
        <v>0</v>
      </c>
      <c r="AV2385" s="1">
        <v>1</v>
      </c>
      <c r="AW2385" s="1">
        <v>0</v>
      </c>
      <c r="AX2385" s="1">
        <v>0</v>
      </c>
      <c r="AY2385" s="1">
        <v>0</v>
      </c>
      <c r="AZ2385" s="1">
        <v>0</v>
      </c>
      <c r="BA2385" s="1">
        <v>0</v>
      </c>
      <c r="BB2385" s="1">
        <v>0</v>
      </c>
      <c r="BC2385" s="1">
        <v>0</v>
      </c>
      <c r="BD2385" s="1">
        <v>0</v>
      </c>
      <c r="BE2385" s="1">
        <v>0</v>
      </c>
      <c r="BF2385" s="1">
        <v>0</v>
      </c>
      <c r="BG2385" s="1">
        <v>0</v>
      </c>
      <c r="BH2385" s="1">
        <v>0</v>
      </c>
      <c r="BI2385" s="1">
        <v>0</v>
      </c>
      <c r="BJ2385" s="1">
        <v>0</v>
      </c>
      <c r="BK2385" s="1">
        <v>1</v>
      </c>
      <c r="BL2385" s="1">
        <v>0</v>
      </c>
      <c r="BM2385" s="1">
        <v>0</v>
      </c>
      <c r="BN2385" s="1">
        <v>0</v>
      </c>
      <c r="BO2385" s="1">
        <v>0</v>
      </c>
      <c r="BP2385" s="1">
        <v>0</v>
      </c>
      <c r="BQ2385" s="1" t="s">
        <v>104</v>
      </c>
      <c r="BR2385" s="1">
        <v>2506</v>
      </c>
      <c r="BS2385" s="1" t="s">
        <v>104</v>
      </c>
      <c r="BX2385" s="1">
        <v>0</v>
      </c>
      <c r="BY2385" s="1" t="s">
        <v>104</v>
      </c>
      <c r="BZ2385" s="1" t="s">
        <v>104</v>
      </c>
      <c r="CA2385" s="1">
        <v>7</v>
      </c>
      <c r="CB2385" s="1" t="s">
        <v>104</v>
      </c>
      <c r="CC2385" s="1">
        <v>5</v>
      </c>
      <c r="CD2385" s="1" t="s">
        <v>104</v>
      </c>
      <c r="CE2385" s="1">
        <v>5</v>
      </c>
      <c r="CF2385" s="1" t="s">
        <v>104</v>
      </c>
      <c r="CG2385" s="1" t="s">
        <v>104</v>
      </c>
      <c r="CH2385" s="1" t="s">
        <v>104</v>
      </c>
      <c r="CJ2385" s="1">
        <v>0</v>
      </c>
      <c r="CK2385" s="1">
        <v>0</v>
      </c>
      <c r="CL2385" s="1">
        <v>0</v>
      </c>
      <c r="CM2385" s="1" t="s">
        <v>104</v>
      </c>
    </row>
    <row r="2386" spans="1:91" ht="14.25" customHeight="1" x14ac:dyDescent="0.3">
      <c r="A2386" s="1" t="s">
        <v>12260</v>
      </c>
      <c r="B2386" s="1" t="s">
        <v>172</v>
      </c>
      <c r="E2386" s="1" t="s">
        <v>12261</v>
      </c>
      <c r="F2386" s="1" t="s">
        <v>2638</v>
      </c>
      <c r="G2386" s="1" t="s">
        <v>12262</v>
      </c>
      <c r="H2386" s="1">
        <v>1</v>
      </c>
      <c r="I2386" s="1" t="s">
        <v>157</v>
      </c>
      <c r="L2386" s="1" t="s">
        <v>158</v>
      </c>
      <c r="M2386" s="1" t="s">
        <v>119</v>
      </c>
      <c r="N2386" s="1">
        <v>0</v>
      </c>
      <c r="O2386" s="1">
        <v>0</v>
      </c>
      <c r="R2386" s="1" t="s">
        <v>12263</v>
      </c>
      <c r="S2386" s="1" t="s">
        <v>11859</v>
      </c>
      <c r="T2386" s="1">
        <v>1</v>
      </c>
      <c r="U2386" s="1">
        <v>1</v>
      </c>
      <c r="V2386" s="1">
        <v>1</v>
      </c>
      <c r="W2386" s="1">
        <v>0</v>
      </c>
      <c r="X2386" s="1">
        <v>0</v>
      </c>
      <c r="Y2386" s="1" t="s">
        <v>104</v>
      </c>
      <c r="Z2386" s="1" t="s">
        <v>104</v>
      </c>
      <c r="AA2386" s="1">
        <v>6</v>
      </c>
      <c r="AB2386" s="1" t="s">
        <v>104</v>
      </c>
      <c r="AC2386" s="1" t="s">
        <v>104</v>
      </c>
      <c r="AD2386" s="1" t="s">
        <v>104</v>
      </c>
      <c r="AE2386" s="1" t="s">
        <v>104</v>
      </c>
      <c r="AF2386" s="1" t="s">
        <v>104</v>
      </c>
      <c r="AG2386" s="1" t="s">
        <v>104</v>
      </c>
      <c r="AH2386" s="1">
        <v>6</v>
      </c>
      <c r="AI2386" s="1">
        <v>6</v>
      </c>
      <c r="AJ2386" s="1">
        <v>6</v>
      </c>
      <c r="AK2386" s="1" t="s">
        <v>104</v>
      </c>
      <c r="AL2386" s="1" t="s">
        <v>104</v>
      </c>
      <c r="AM2386" s="1" t="s">
        <v>104</v>
      </c>
      <c r="AO2386" s="1">
        <v>6</v>
      </c>
      <c r="AQ2386" s="1" t="s">
        <v>12264</v>
      </c>
      <c r="AR2386" s="1">
        <v>0</v>
      </c>
      <c r="AS2386" s="1">
        <v>0</v>
      </c>
      <c r="AT2386" s="1">
        <v>0</v>
      </c>
      <c r="AU2386" s="1">
        <v>0</v>
      </c>
      <c r="AV2386" s="1">
        <v>0</v>
      </c>
      <c r="AW2386" s="1">
        <v>0</v>
      </c>
      <c r="AX2386" s="1">
        <v>0</v>
      </c>
      <c r="AY2386" s="1">
        <v>0</v>
      </c>
      <c r="AZ2386" s="1">
        <v>0</v>
      </c>
      <c r="BA2386" s="1">
        <v>0</v>
      </c>
      <c r="BB2386" s="1">
        <v>0</v>
      </c>
      <c r="BC2386" s="1">
        <v>0</v>
      </c>
      <c r="BD2386" s="1">
        <v>0</v>
      </c>
      <c r="BE2386" s="1">
        <v>0</v>
      </c>
      <c r="BF2386" s="1">
        <v>0</v>
      </c>
      <c r="BG2386" s="1">
        <v>0</v>
      </c>
      <c r="BH2386" s="1">
        <v>0</v>
      </c>
      <c r="BI2386" s="1">
        <v>0</v>
      </c>
      <c r="BJ2386" s="1">
        <v>0</v>
      </c>
      <c r="BK2386" s="1">
        <v>0</v>
      </c>
      <c r="BL2386" s="1">
        <v>0</v>
      </c>
      <c r="BM2386" s="1">
        <v>0</v>
      </c>
      <c r="BN2386" s="1">
        <v>0</v>
      </c>
      <c r="BO2386" s="1">
        <v>0</v>
      </c>
      <c r="BP2386" s="1">
        <v>0</v>
      </c>
      <c r="BQ2386" s="1" t="s">
        <v>104</v>
      </c>
      <c r="BR2386" s="1">
        <v>2507</v>
      </c>
      <c r="BS2386" s="1">
        <v>250</v>
      </c>
      <c r="BX2386" s="1">
        <v>0</v>
      </c>
      <c r="BY2386" s="1" t="s">
        <v>104</v>
      </c>
      <c r="BZ2386" s="1">
        <v>6</v>
      </c>
      <c r="CA2386" s="1">
        <v>6</v>
      </c>
      <c r="CB2386" s="1">
        <v>4</v>
      </c>
      <c r="CC2386" s="1" t="s">
        <v>104</v>
      </c>
      <c r="CD2386" s="1" t="s">
        <v>104</v>
      </c>
      <c r="CE2386" s="1">
        <v>6</v>
      </c>
      <c r="CF2386" s="1" t="s">
        <v>104</v>
      </c>
      <c r="CG2386" s="1" t="s">
        <v>104</v>
      </c>
      <c r="CH2386" s="1" t="s">
        <v>104</v>
      </c>
      <c r="CJ2386" s="1">
        <v>0</v>
      </c>
      <c r="CK2386" s="1">
        <v>0</v>
      </c>
      <c r="CL2386" s="1">
        <v>0</v>
      </c>
      <c r="CM2386" s="1" t="s">
        <v>104</v>
      </c>
    </row>
    <row r="2387" spans="1:91" ht="14.25" customHeight="1" x14ac:dyDescent="0.3">
      <c r="A2387" s="1" t="s">
        <v>12265</v>
      </c>
      <c r="B2387" s="1" t="s">
        <v>507</v>
      </c>
      <c r="C2387" s="1" t="s">
        <v>508</v>
      </c>
      <c r="E2387" s="1" t="s">
        <v>12266</v>
      </c>
      <c r="F2387" s="1" t="s">
        <v>95</v>
      </c>
      <c r="G2387" s="1" t="s">
        <v>1802</v>
      </c>
      <c r="H2387" s="1">
        <v>0</v>
      </c>
      <c r="I2387" s="1" t="s">
        <v>117</v>
      </c>
      <c r="L2387" s="1" t="s">
        <v>12267</v>
      </c>
      <c r="M2387" s="1" t="s">
        <v>4292</v>
      </c>
      <c r="N2387" s="1">
        <v>0</v>
      </c>
      <c r="O2387" s="1">
        <v>0</v>
      </c>
      <c r="P2387" s="1" t="s">
        <v>471</v>
      </c>
      <c r="Q2387" s="1" t="s">
        <v>472</v>
      </c>
      <c r="R2387" s="1" t="s">
        <v>12268</v>
      </c>
      <c r="S2387" s="1" t="s">
        <v>11859</v>
      </c>
      <c r="T2387" s="1">
        <v>0</v>
      </c>
      <c r="U2387" s="1">
        <v>1</v>
      </c>
      <c r="V2387" s="1">
        <v>0</v>
      </c>
      <c r="W2387" s="1">
        <v>0</v>
      </c>
      <c r="X2387" s="1">
        <v>0</v>
      </c>
      <c r="Y2387" s="1">
        <v>4</v>
      </c>
      <c r="Z2387" s="1">
        <v>4</v>
      </c>
      <c r="AA2387" s="1">
        <v>4</v>
      </c>
      <c r="AB2387" s="1" t="s">
        <v>104</v>
      </c>
      <c r="AC2387" s="1">
        <v>3</v>
      </c>
      <c r="AD2387" s="1">
        <v>4</v>
      </c>
      <c r="AE2387" s="1" t="s">
        <v>104</v>
      </c>
      <c r="AF2387" s="1" t="s">
        <v>104</v>
      </c>
      <c r="AG2387" s="1" t="s">
        <v>104</v>
      </c>
      <c r="AH2387" s="1" t="s">
        <v>104</v>
      </c>
      <c r="AI2387" s="1">
        <v>4</v>
      </c>
      <c r="AJ2387" s="1">
        <v>4</v>
      </c>
      <c r="AK2387" s="1" t="s">
        <v>104</v>
      </c>
      <c r="AL2387" s="1">
        <v>4</v>
      </c>
      <c r="AM2387" s="1" t="s">
        <v>104</v>
      </c>
      <c r="AO2387" s="1">
        <v>4</v>
      </c>
      <c r="AQ2387" s="1" t="s">
        <v>12269</v>
      </c>
      <c r="AR2387" s="1">
        <v>0</v>
      </c>
      <c r="AS2387" s="1">
        <v>0</v>
      </c>
      <c r="AT2387" s="1">
        <v>0</v>
      </c>
      <c r="AU2387" s="1">
        <v>0</v>
      </c>
      <c r="AV2387" s="1">
        <v>0</v>
      </c>
      <c r="AW2387" s="1">
        <v>0</v>
      </c>
      <c r="AX2387" s="1">
        <v>0</v>
      </c>
      <c r="AY2387" s="1">
        <v>0</v>
      </c>
      <c r="AZ2387" s="1">
        <v>0</v>
      </c>
      <c r="BA2387" s="1">
        <v>0</v>
      </c>
      <c r="BB2387" s="1">
        <v>0</v>
      </c>
      <c r="BC2387" s="1">
        <v>0</v>
      </c>
      <c r="BD2387" s="1">
        <v>0</v>
      </c>
      <c r="BE2387" s="1">
        <v>0</v>
      </c>
      <c r="BF2387" s="1">
        <v>0</v>
      </c>
      <c r="BG2387" s="1">
        <v>0</v>
      </c>
      <c r="BH2387" s="1">
        <v>0</v>
      </c>
      <c r="BI2387" s="1">
        <v>0</v>
      </c>
      <c r="BJ2387" s="1">
        <v>0</v>
      </c>
      <c r="BK2387" s="1">
        <v>0</v>
      </c>
      <c r="BL2387" s="1">
        <v>0</v>
      </c>
      <c r="BM2387" s="1">
        <v>0</v>
      </c>
      <c r="BN2387" s="1">
        <v>0</v>
      </c>
      <c r="BO2387" s="1">
        <v>0</v>
      </c>
      <c r="BP2387" s="1">
        <v>0</v>
      </c>
      <c r="BQ2387" s="1" t="s">
        <v>104</v>
      </c>
      <c r="BR2387" s="1">
        <v>2508</v>
      </c>
      <c r="BS2387" s="1" t="s">
        <v>104</v>
      </c>
      <c r="BX2387" s="1">
        <v>0</v>
      </c>
      <c r="BY2387" s="1" t="s">
        <v>104</v>
      </c>
      <c r="BZ2387" s="1" t="s">
        <v>104</v>
      </c>
      <c r="CA2387" s="1">
        <v>4</v>
      </c>
      <c r="CB2387" s="1" t="s">
        <v>104</v>
      </c>
      <c r="CC2387" s="1" t="s">
        <v>104</v>
      </c>
      <c r="CD2387" s="1">
        <v>4</v>
      </c>
      <c r="CE2387" s="1">
        <v>4</v>
      </c>
      <c r="CF2387" s="1" t="s">
        <v>104</v>
      </c>
      <c r="CG2387" s="1" t="s">
        <v>104</v>
      </c>
      <c r="CH2387" s="1">
        <v>3</v>
      </c>
      <c r="CJ2387" s="1">
        <v>0</v>
      </c>
      <c r="CK2387" s="1">
        <v>0</v>
      </c>
      <c r="CL2387" s="1">
        <v>0</v>
      </c>
      <c r="CM2387" s="1" t="s">
        <v>104</v>
      </c>
    </row>
    <row r="2388" spans="1:91" ht="14.25" customHeight="1" x14ac:dyDescent="0.3">
      <c r="A2388" s="1" t="s">
        <v>12270</v>
      </c>
      <c r="B2388" s="1" t="s">
        <v>216</v>
      </c>
      <c r="E2388" s="1" t="s">
        <v>12271</v>
      </c>
      <c r="F2388" s="1" t="s">
        <v>95</v>
      </c>
      <c r="G2388" s="1" t="s">
        <v>12272</v>
      </c>
      <c r="H2388" s="1">
        <v>0</v>
      </c>
      <c r="I2388" s="1" t="s">
        <v>145</v>
      </c>
      <c r="L2388" s="1" t="s">
        <v>1065</v>
      </c>
      <c r="M2388" s="1" t="s">
        <v>4400</v>
      </c>
      <c r="N2388" s="1">
        <v>1</v>
      </c>
      <c r="O2388" s="1">
        <v>0</v>
      </c>
      <c r="P2388" s="1" t="s">
        <v>211</v>
      </c>
      <c r="Q2388" s="1" t="s">
        <v>184</v>
      </c>
      <c r="R2388" s="1" t="s">
        <v>12273</v>
      </c>
      <c r="S2388" s="1" t="s">
        <v>11859</v>
      </c>
      <c r="T2388" s="1">
        <v>1</v>
      </c>
      <c r="U2388" s="1">
        <v>1</v>
      </c>
      <c r="V2388" s="1">
        <v>1</v>
      </c>
      <c r="W2388" s="1">
        <v>0</v>
      </c>
      <c r="X2388" s="1">
        <v>0</v>
      </c>
      <c r="Y2388" s="1">
        <v>5</v>
      </c>
      <c r="Z2388" s="1">
        <v>5</v>
      </c>
      <c r="AA2388" s="1">
        <v>4</v>
      </c>
      <c r="AB2388" s="1" t="s">
        <v>104</v>
      </c>
      <c r="AC2388" s="1" t="s">
        <v>104</v>
      </c>
      <c r="AD2388" s="1">
        <v>4</v>
      </c>
      <c r="AE2388" s="1">
        <v>4</v>
      </c>
      <c r="AF2388" s="1" t="s">
        <v>104</v>
      </c>
      <c r="AG2388" s="1" t="s">
        <v>104</v>
      </c>
      <c r="AH2388" s="1">
        <v>5</v>
      </c>
      <c r="AI2388" s="1">
        <v>4</v>
      </c>
      <c r="AJ2388" s="1">
        <v>4</v>
      </c>
      <c r="AK2388" s="1" t="s">
        <v>104</v>
      </c>
      <c r="AL2388" s="1" t="s">
        <v>104</v>
      </c>
      <c r="AM2388" s="1" t="s">
        <v>104</v>
      </c>
      <c r="AO2388" s="1">
        <v>5</v>
      </c>
      <c r="AQ2388" s="1" t="s">
        <v>12274</v>
      </c>
      <c r="AR2388" s="1">
        <v>0</v>
      </c>
      <c r="AS2388" s="1">
        <v>0</v>
      </c>
      <c r="AT2388" s="1">
        <v>0</v>
      </c>
      <c r="AU2388" s="1">
        <v>0</v>
      </c>
      <c r="AV2388" s="1">
        <v>0</v>
      </c>
      <c r="AW2388" s="1">
        <v>0</v>
      </c>
      <c r="AX2388" s="1">
        <v>0</v>
      </c>
      <c r="AY2388" s="1">
        <v>0</v>
      </c>
      <c r="AZ2388" s="1">
        <v>0</v>
      </c>
      <c r="BA2388" s="1">
        <v>0</v>
      </c>
      <c r="BB2388" s="1">
        <v>0</v>
      </c>
      <c r="BC2388" s="1">
        <v>0</v>
      </c>
      <c r="BD2388" s="1">
        <v>0</v>
      </c>
      <c r="BE2388" s="1">
        <v>0</v>
      </c>
      <c r="BF2388" s="1">
        <v>0</v>
      </c>
      <c r="BG2388" s="1">
        <v>0</v>
      </c>
      <c r="BH2388" s="1">
        <v>0</v>
      </c>
      <c r="BI2388" s="1">
        <v>0</v>
      </c>
      <c r="BJ2388" s="1">
        <v>0</v>
      </c>
      <c r="BK2388" s="1">
        <v>0</v>
      </c>
      <c r="BL2388" s="1">
        <v>0</v>
      </c>
      <c r="BM2388" s="1">
        <v>0</v>
      </c>
      <c r="BN2388" s="1">
        <v>0</v>
      </c>
      <c r="BO2388" s="1">
        <v>0</v>
      </c>
      <c r="BP2388" s="1">
        <v>0</v>
      </c>
      <c r="BQ2388" s="1" t="s">
        <v>104</v>
      </c>
      <c r="BR2388" s="1">
        <v>2509</v>
      </c>
      <c r="BS2388" s="1" t="s">
        <v>104</v>
      </c>
      <c r="BX2388" s="1">
        <v>0</v>
      </c>
      <c r="BY2388" s="1" t="s">
        <v>104</v>
      </c>
      <c r="BZ2388" s="1" t="s">
        <v>104</v>
      </c>
      <c r="CA2388" s="1">
        <v>5</v>
      </c>
      <c r="CB2388" s="1">
        <v>3</v>
      </c>
      <c r="CC2388" s="1" t="s">
        <v>104</v>
      </c>
      <c r="CD2388" s="1">
        <v>4</v>
      </c>
      <c r="CE2388" s="1">
        <v>4</v>
      </c>
      <c r="CF2388" s="1" t="s">
        <v>104</v>
      </c>
      <c r="CG2388" s="1" t="s">
        <v>104</v>
      </c>
      <c r="CH2388" s="1" t="s">
        <v>104</v>
      </c>
      <c r="CJ2388" s="1">
        <v>0</v>
      </c>
      <c r="CK2388" s="1">
        <v>0</v>
      </c>
      <c r="CL2388" s="1">
        <v>0</v>
      </c>
      <c r="CM2388" s="1" t="s">
        <v>104</v>
      </c>
    </row>
    <row r="2389" spans="1:91" ht="14.25" customHeight="1" x14ac:dyDescent="0.3">
      <c r="A2389" s="1" t="s">
        <v>12275</v>
      </c>
      <c r="B2389" s="1" t="s">
        <v>92</v>
      </c>
      <c r="C2389" s="1" t="s">
        <v>523</v>
      </c>
      <c r="E2389" s="1" t="s">
        <v>12276</v>
      </c>
      <c r="F2389" s="1" t="s">
        <v>287</v>
      </c>
      <c r="G2389" s="1" t="s">
        <v>12277</v>
      </c>
      <c r="H2389" s="1">
        <v>1</v>
      </c>
      <c r="I2389" s="1" t="s">
        <v>128</v>
      </c>
      <c r="L2389" s="1" t="s">
        <v>2992</v>
      </c>
      <c r="M2389" s="1" t="s">
        <v>119</v>
      </c>
      <c r="N2389" s="1">
        <v>0</v>
      </c>
      <c r="O2389" s="1">
        <v>0</v>
      </c>
      <c r="P2389" s="1" t="s">
        <v>6053</v>
      </c>
      <c r="Q2389" s="1" t="s">
        <v>184</v>
      </c>
      <c r="R2389" s="1" t="s">
        <v>12278</v>
      </c>
      <c r="S2389" s="1" t="s">
        <v>11859</v>
      </c>
      <c r="T2389" s="1">
        <v>1</v>
      </c>
      <c r="U2389" s="1">
        <v>1</v>
      </c>
      <c r="V2389" s="1">
        <v>1</v>
      </c>
      <c r="W2389" s="1">
        <v>0</v>
      </c>
      <c r="X2389" s="1">
        <v>1</v>
      </c>
      <c r="Y2389" s="1" t="s">
        <v>104</v>
      </c>
      <c r="Z2389" s="1" t="s">
        <v>104</v>
      </c>
      <c r="AA2389" s="1" t="s">
        <v>104</v>
      </c>
      <c r="AB2389" s="1">
        <v>6</v>
      </c>
      <c r="AC2389" s="1" t="s">
        <v>104</v>
      </c>
      <c r="AD2389" s="1" t="s">
        <v>104</v>
      </c>
      <c r="AE2389" s="1" t="s">
        <v>104</v>
      </c>
      <c r="AF2389" s="1" t="s">
        <v>104</v>
      </c>
      <c r="AG2389" s="1" t="s">
        <v>104</v>
      </c>
      <c r="AH2389" s="1">
        <v>7</v>
      </c>
      <c r="AI2389" s="1" t="s">
        <v>104</v>
      </c>
      <c r="AJ2389" s="1" t="s">
        <v>104</v>
      </c>
      <c r="AK2389" s="1" t="s">
        <v>104</v>
      </c>
      <c r="AL2389" s="1" t="s">
        <v>104</v>
      </c>
      <c r="AM2389" s="1" t="s">
        <v>104</v>
      </c>
      <c r="AO2389" s="1">
        <v>6</v>
      </c>
      <c r="AQ2389" s="1" t="s">
        <v>12279</v>
      </c>
      <c r="AR2389" s="1">
        <v>0</v>
      </c>
      <c r="AS2389" s="1">
        <v>0</v>
      </c>
      <c r="AT2389" s="1">
        <v>0</v>
      </c>
      <c r="AU2389" s="1">
        <v>0</v>
      </c>
      <c r="AV2389" s="1">
        <v>0</v>
      </c>
      <c r="AW2389" s="1">
        <v>0</v>
      </c>
      <c r="AX2389" s="1">
        <v>0</v>
      </c>
      <c r="AY2389" s="1">
        <v>0</v>
      </c>
      <c r="AZ2389" s="1">
        <v>0</v>
      </c>
      <c r="BA2389" s="1">
        <v>0</v>
      </c>
      <c r="BB2389" s="1">
        <v>0</v>
      </c>
      <c r="BC2389" s="1">
        <v>0</v>
      </c>
      <c r="BD2389" s="1">
        <v>0</v>
      </c>
      <c r="BE2389" s="1">
        <v>0</v>
      </c>
      <c r="BF2389" s="1">
        <v>0</v>
      </c>
      <c r="BG2389" s="1">
        <v>0</v>
      </c>
      <c r="BH2389" s="1">
        <v>0</v>
      </c>
      <c r="BI2389" s="1">
        <v>0</v>
      </c>
      <c r="BJ2389" s="1">
        <v>0</v>
      </c>
      <c r="BK2389" s="1">
        <v>0</v>
      </c>
      <c r="BL2389" s="1">
        <v>0</v>
      </c>
      <c r="BM2389" s="1">
        <v>0</v>
      </c>
      <c r="BN2389" s="1">
        <v>0</v>
      </c>
      <c r="BO2389" s="1">
        <v>0</v>
      </c>
      <c r="BP2389" s="1">
        <v>0</v>
      </c>
      <c r="BQ2389" s="1" t="s">
        <v>104</v>
      </c>
      <c r="BR2389" s="1">
        <v>2510</v>
      </c>
      <c r="BS2389" s="1">
        <v>2500</v>
      </c>
      <c r="BX2389" s="1">
        <v>0</v>
      </c>
      <c r="BY2389" s="1" t="s">
        <v>104</v>
      </c>
      <c r="BZ2389" s="1">
        <v>6</v>
      </c>
      <c r="CA2389" s="1" t="s">
        <v>104</v>
      </c>
      <c r="CB2389" s="1" t="s">
        <v>104</v>
      </c>
      <c r="CC2389" s="1" t="s">
        <v>104</v>
      </c>
      <c r="CD2389" s="1" t="s">
        <v>104</v>
      </c>
      <c r="CE2389" s="1" t="s">
        <v>104</v>
      </c>
      <c r="CF2389" s="1" t="s">
        <v>104</v>
      </c>
      <c r="CG2389" s="1" t="s">
        <v>104</v>
      </c>
      <c r="CH2389" s="1">
        <v>6</v>
      </c>
      <c r="CJ2389" s="1">
        <v>0</v>
      </c>
      <c r="CK2389" s="1">
        <v>0</v>
      </c>
      <c r="CL2389" s="1">
        <v>0</v>
      </c>
      <c r="CM2389" s="1" t="s">
        <v>104</v>
      </c>
    </row>
    <row r="2390" spans="1:91" ht="14.25" customHeight="1" x14ac:dyDescent="0.3">
      <c r="A2390" s="1" t="s">
        <v>12280</v>
      </c>
      <c r="B2390" s="1" t="s">
        <v>92</v>
      </c>
      <c r="C2390" s="1" t="s">
        <v>93</v>
      </c>
      <c r="E2390" s="1" t="s">
        <v>11352</v>
      </c>
      <c r="F2390" s="1" t="s">
        <v>191</v>
      </c>
      <c r="G2390" s="1" t="s">
        <v>12281</v>
      </c>
      <c r="H2390" s="1">
        <v>1</v>
      </c>
      <c r="I2390" s="1" t="s">
        <v>97</v>
      </c>
      <c r="K2390" s="1" t="s">
        <v>12282</v>
      </c>
      <c r="M2390" s="1" t="s">
        <v>4400</v>
      </c>
      <c r="N2390" s="1">
        <v>1</v>
      </c>
      <c r="O2390" s="1">
        <v>0</v>
      </c>
      <c r="P2390" s="1" t="s">
        <v>100</v>
      </c>
      <c r="Q2390" s="1" t="s">
        <v>101</v>
      </c>
      <c r="R2390" s="1" t="s">
        <v>12283</v>
      </c>
      <c r="S2390" s="1" t="s">
        <v>11859</v>
      </c>
      <c r="T2390" s="1">
        <v>1</v>
      </c>
      <c r="U2390" s="1">
        <v>1</v>
      </c>
      <c r="V2390" s="1">
        <v>0</v>
      </c>
      <c r="W2390" s="1">
        <v>0</v>
      </c>
      <c r="X2390" s="1">
        <v>0</v>
      </c>
      <c r="Y2390" s="1">
        <v>9</v>
      </c>
      <c r="Z2390" s="1">
        <v>9</v>
      </c>
      <c r="AA2390" s="1" t="s">
        <v>104</v>
      </c>
      <c r="AB2390" s="1" t="s">
        <v>104</v>
      </c>
      <c r="AC2390" s="1" t="s">
        <v>104</v>
      </c>
      <c r="AD2390" s="1" t="s">
        <v>104</v>
      </c>
      <c r="AE2390" s="1" t="s">
        <v>104</v>
      </c>
      <c r="AF2390" s="1" t="s">
        <v>104</v>
      </c>
      <c r="AG2390" s="1" t="s">
        <v>104</v>
      </c>
      <c r="AH2390" s="1" t="s">
        <v>104</v>
      </c>
      <c r="AI2390" s="1" t="s">
        <v>104</v>
      </c>
      <c r="AJ2390" s="1" t="s">
        <v>104</v>
      </c>
      <c r="AK2390" s="1" t="s">
        <v>104</v>
      </c>
      <c r="AL2390" s="1" t="s">
        <v>104</v>
      </c>
      <c r="AM2390" s="1" t="s">
        <v>104</v>
      </c>
      <c r="AO2390" s="1">
        <v>9</v>
      </c>
      <c r="AQ2390" s="1" t="s">
        <v>12284</v>
      </c>
      <c r="AR2390" s="1">
        <v>0</v>
      </c>
      <c r="AS2390" s="1">
        <v>0</v>
      </c>
      <c r="AT2390" s="1">
        <v>0</v>
      </c>
      <c r="AU2390" s="1">
        <v>0</v>
      </c>
      <c r="AV2390" s="1">
        <v>0</v>
      </c>
      <c r="AW2390" s="1">
        <v>0</v>
      </c>
      <c r="AX2390" s="1">
        <v>0</v>
      </c>
      <c r="AY2390" s="1">
        <v>0</v>
      </c>
      <c r="AZ2390" s="1">
        <v>0</v>
      </c>
      <c r="BA2390" s="1">
        <v>0</v>
      </c>
      <c r="BB2390" s="1">
        <v>0</v>
      </c>
      <c r="BC2390" s="1">
        <v>0</v>
      </c>
      <c r="BD2390" s="1">
        <v>0</v>
      </c>
      <c r="BE2390" s="1">
        <v>0</v>
      </c>
      <c r="BF2390" s="1">
        <v>0</v>
      </c>
      <c r="BG2390" s="1">
        <v>0</v>
      </c>
      <c r="BH2390" s="1">
        <v>0</v>
      </c>
      <c r="BI2390" s="1">
        <v>0</v>
      </c>
      <c r="BJ2390" s="1">
        <v>0</v>
      </c>
      <c r="BK2390" s="1">
        <v>0</v>
      </c>
      <c r="BL2390" s="1">
        <v>0</v>
      </c>
      <c r="BM2390" s="1">
        <v>0</v>
      </c>
      <c r="BN2390" s="1">
        <v>0</v>
      </c>
      <c r="BO2390" s="1">
        <v>0</v>
      </c>
      <c r="BP2390" s="1">
        <v>0</v>
      </c>
      <c r="BQ2390" s="1" t="s">
        <v>104</v>
      </c>
      <c r="BR2390" s="1">
        <v>2511</v>
      </c>
      <c r="BS2390" s="1">
        <v>500</v>
      </c>
      <c r="BX2390" s="1">
        <v>0</v>
      </c>
      <c r="BY2390" s="1" t="s">
        <v>104</v>
      </c>
      <c r="BZ2390" s="1" t="s">
        <v>104</v>
      </c>
      <c r="CA2390" s="1">
        <v>9</v>
      </c>
      <c r="CB2390" s="1" t="s">
        <v>104</v>
      </c>
      <c r="CC2390" s="1" t="s">
        <v>104</v>
      </c>
      <c r="CD2390" s="1" t="s">
        <v>104</v>
      </c>
      <c r="CE2390" s="1" t="s">
        <v>104</v>
      </c>
      <c r="CF2390" s="1" t="s">
        <v>104</v>
      </c>
      <c r="CG2390" s="1" t="s">
        <v>104</v>
      </c>
      <c r="CH2390" s="1" t="s">
        <v>104</v>
      </c>
      <c r="CJ2390" s="1">
        <v>0</v>
      </c>
      <c r="CK2390" s="1">
        <v>0</v>
      </c>
      <c r="CL2390" s="1">
        <v>0</v>
      </c>
      <c r="CM2390" s="1" t="s">
        <v>104</v>
      </c>
    </row>
    <row r="2391" spans="1:91" ht="14.25" customHeight="1" x14ac:dyDescent="0.3">
      <c r="A2391" s="1" t="s">
        <v>12285</v>
      </c>
      <c r="B2391" s="1" t="s">
        <v>172</v>
      </c>
      <c r="E2391" s="1" t="s">
        <v>12286</v>
      </c>
      <c r="F2391" s="1" t="s">
        <v>95</v>
      </c>
      <c r="G2391" s="1" t="s">
        <v>237</v>
      </c>
      <c r="H2391" s="1">
        <v>0</v>
      </c>
      <c r="I2391" s="1" t="s">
        <v>97</v>
      </c>
      <c r="K2391" s="1" t="s">
        <v>12287</v>
      </c>
      <c r="M2391" s="1" t="s">
        <v>4400</v>
      </c>
      <c r="N2391" s="1">
        <v>1</v>
      </c>
      <c r="O2391" s="1">
        <v>0</v>
      </c>
      <c r="P2391" s="1" t="s">
        <v>1902</v>
      </c>
      <c r="Q2391" s="1" t="s">
        <v>184</v>
      </c>
      <c r="R2391" s="1" t="s">
        <v>12288</v>
      </c>
      <c r="S2391" s="1" t="s">
        <v>11859</v>
      </c>
      <c r="T2391" s="1">
        <v>1</v>
      </c>
      <c r="U2391" s="1">
        <v>0</v>
      </c>
      <c r="V2391" s="1">
        <v>0</v>
      </c>
      <c r="W2391" s="1">
        <v>0</v>
      </c>
      <c r="X2391" s="1">
        <v>0</v>
      </c>
      <c r="Y2391" s="1" t="s">
        <v>104</v>
      </c>
      <c r="Z2391" s="1" t="s">
        <v>104</v>
      </c>
      <c r="AA2391" s="1" t="s">
        <v>104</v>
      </c>
      <c r="AB2391" s="1" t="s">
        <v>104</v>
      </c>
      <c r="AC2391" s="1" t="s">
        <v>104</v>
      </c>
      <c r="AD2391" s="1">
        <v>2</v>
      </c>
      <c r="AE2391" s="1" t="s">
        <v>104</v>
      </c>
      <c r="AF2391" s="1" t="s">
        <v>104</v>
      </c>
      <c r="AG2391" s="1" t="s">
        <v>104</v>
      </c>
      <c r="AH2391" s="1" t="s">
        <v>104</v>
      </c>
      <c r="AI2391" s="1">
        <v>2</v>
      </c>
      <c r="AJ2391" s="1" t="s">
        <v>104</v>
      </c>
      <c r="AK2391" s="1" t="s">
        <v>104</v>
      </c>
      <c r="AL2391" s="1" t="s">
        <v>104</v>
      </c>
      <c r="AM2391" s="1" t="s">
        <v>104</v>
      </c>
      <c r="AO2391" s="1">
        <v>2</v>
      </c>
      <c r="AQ2391" s="1" t="s">
        <v>12289</v>
      </c>
      <c r="AR2391" s="1">
        <v>0</v>
      </c>
      <c r="AS2391" s="1">
        <v>0</v>
      </c>
      <c r="AT2391" s="1">
        <v>0</v>
      </c>
      <c r="AU2391" s="1">
        <v>0</v>
      </c>
      <c r="AV2391" s="1">
        <v>0</v>
      </c>
      <c r="AW2391" s="1">
        <v>0</v>
      </c>
      <c r="AX2391" s="1">
        <v>0</v>
      </c>
      <c r="AY2391" s="1">
        <v>0</v>
      </c>
      <c r="AZ2391" s="1">
        <v>0</v>
      </c>
      <c r="BA2391" s="1">
        <v>0</v>
      </c>
      <c r="BB2391" s="1">
        <v>0</v>
      </c>
      <c r="BC2391" s="1">
        <v>0</v>
      </c>
      <c r="BD2391" s="1">
        <v>0</v>
      </c>
      <c r="BE2391" s="1">
        <v>0</v>
      </c>
      <c r="BF2391" s="1">
        <v>0</v>
      </c>
      <c r="BG2391" s="1">
        <v>0</v>
      </c>
      <c r="BH2391" s="1">
        <v>0</v>
      </c>
      <c r="BI2391" s="1">
        <v>0</v>
      </c>
      <c r="BJ2391" s="1">
        <v>0</v>
      </c>
      <c r="BK2391" s="1">
        <v>0</v>
      </c>
      <c r="BL2391" s="1">
        <v>0</v>
      </c>
      <c r="BM2391" s="1">
        <v>0</v>
      </c>
      <c r="BN2391" s="1">
        <v>0</v>
      </c>
      <c r="BO2391" s="1">
        <v>0</v>
      </c>
      <c r="BP2391" s="1">
        <v>0</v>
      </c>
      <c r="BQ2391" s="1" t="s">
        <v>104</v>
      </c>
      <c r="BR2391" s="1">
        <v>2512</v>
      </c>
      <c r="BS2391" s="1" t="s">
        <v>104</v>
      </c>
      <c r="BX2391" s="1">
        <v>0</v>
      </c>
      <c r="BY2391" s="1" t="s">
        <v>104</v>
      </c>
      <c r="BZ2391" s="1" t="s">
        <v>104</v>
      </c>
      <c r="CA2391" s="1">
        <v>3</v>
      </c>
      <c r="CB2391" s="1">
        <v>1</v>
      </c>
      <c r="CC2391" s="1">
        <v>2</v>
      </c>
      <c r="CD2391" s="1" t="s">
        <v>104</v>
      </c>
      <c r="CE2391" s="1" t="s">
        <v>104</v>
      </c>
      <c r="CF2391" s="1" t="s">
        <v>104</v>
      </c>
      <c r="CG2391" s="1" t="s">
        <v>104</v>
      </c>
      <c r="CH2391" s="1" t="s">
        <v>104</v>
      </c>
      <c r="CJ2391" s="1">
        <v>0</v>
      </c>
      <c r="CK2391" s="1">
        <v>0</v>
      </c>
      <c r="CL2391" s="1">
        <v>0</v>
      </c>
      <c r="CM2391" s="1" t="s">
        <v>104</v>
      </c>
    </row>
    <row r="2392" spans="1:91" ht="14.25" customHeight="1" x14ac:dyDescent="0.3">
      <c r="A2392" s="1" t="s">
        <v>12290</v>
      </c>
      <c r="B2392" s="1" t="s">
        <v>507</v>
      </c>
      <c r="C2392" s="1" t="s">
        <v>1308</v>
      </c>
      <c r="D2392" s="1" t="s">
        <v>125</v>
      </c>
      <c r="E2392" s="1" t="s">
        <v>12291</v>
      </c>
      <c r="F2392" s="1" t="s">
        <v>95</v>
      </c>
      <c r="G2392" s="1" t="s">
        <v>1802</v>
      </c>
      <c r="H2392" s="1">
        <v>0</v>
      </c>
      <c r="I2392" s="1" t="s">
        <v>97</v>
      </c>
      <c r="L2392" s="1" t="s">
        <v>541</v>
      </c>
      <c r="M2392" s="1" t="s">
        <v>4641</v>
      </c>
      <c r="N2392" s="1">
        <v>1</v>
      </c>
      <c r="O2392" s="1">
        <v>0</v>
      </c>
      <c r="P2392" s="1" t="s">
        <v>1771</v>
      </c>
      <c r="Q2392" s="1" t="s">
        <v>184</v>
      </c>
      <c r="R2392" s="1" t="s">
        <v>12292</v>
      </c>
      <c r="S2392" s="1" t="s">
        <v>11859</v>
      </c>
      <c r="T2392" s="1">
        <v>0</v>
      </c>
      <c r="U2392" s="1">
        <v>1</v>
      </c>
      <c r="V2392" s="1">
        <v>0</v>
      </c>
      <c r="W2392" s="1">
        <v>0</v>
      </c>
      <c r="X2392" s="1">
        <v>0</v>
      </c>
      <c r="Y2392" s="1">
        <v>5</v>
      </c>
      <c r="Z2392" s="1">
        <v>5</v>
      </c>
      <c r="AA2392" s="1" t="s">
        <v>104</v>
      </c>
      <c r="AB2392" s="1" t="s">
        <v>104</v>
      </c>
      <c r="AC2392" s="1" t="s">
        <v>104</v>
      </c>
      <c r="AD2392" s="1">
        <v>5</v>
      </c>
      <c r="AE2392" s="1" t="s">
        <v>104</v>
      </c>
      <c r="AF2392" s="1" t="s">
        <v>104</v>
      </c>
      <c r="AG2392" s="1" t="s">
        <v>104</v>
      </c>
      <c r="AH2392" s="1" t="s">
        <v>104</v>
      </c>
      <c r="AI2392" s="1" t="s">
        <v>104</v>
      </c>
      <c r="AJ2392" s="1" t="s">
        <v>104</v>
      </c>
      <c r="AK2392" s="1" t="s">
        <v>104</v>
      </c>
      <c r="AL2392" s="1">
        <v>5</v>
      </c>
      <c r="AM2392" s="1" t="s">
        <v>104</v>
      </c>
      <c r="AO2392" s="1">
        <v>5</v>
      </c>
      <c r="AQ2392" s="1" t="s">
        <v>12293</v>
      </c>
      <c r="AR2392" s="1">
        <v>0</v>
      </c>
      <c r="AS2392" s="1">
        <v>0</v>
      </c>
      <c r="AT2392" s="1">
        <v>0</v>
      </c>
      <c r="AU2392" s="1">
        <v>0</v>
      </c>
      <c r="AV2392" s="1">
        <v>0</v>
      </c>
      <c r="AW2392" s="1">
        <v>0</v>
      </c>
      <c r="AX2392" s="1">
        <v>0</v>
      </c>
      <c r="AY2392" s="1">
        <v>0</v>
      </c>
      <c r="AZ2392" s="1">
        <v>0</v>
      </c>
      <c r="BA2392" s="1">
        <v>0</v>
      </c>
      <c r="BB2392" s="1">
        <v>0</v>
      </c>
      <c r="BC2392" s="1">
        <v>0</v>
      </c>
      <c r="BD2392" s="1">
        <v>0</v>
      </c>
      <c r="BE2392" s="1">
        <v>0</v>
      </c>
      <c r="BF2392" s="1">
        <v>0</v>
      </c>
      <c r="BG2392" s="1">
        <v>0</v>
      </c>
      <c r="BH2392" s="1">
        <v>0</v>
      </c>
      <c r="BI2392" s="1">
        <v>0</v>
      </c>
      <c r="BJ2392" s="1">
        <v>0</v>
      </c>
      <c r="BK2392" s="1">
        <v>1</v>
      </c>
      <c r="BL2392" s="1">
        <v>0</v>
      </c>
      <c r="BM2392" s="1">
        <v>0</v>
      </c>
      <c r="BN2392" s="1">
        <v>0</v>
      </c>
      <c r="BO2392" s="1">
        <v>0</v>
      </c>
      <c r="BP2392" s="1">
        <v>0</v>
      </c>
      <c r="BQ2392" s="1" t="s">
        <v>104</v>
      </c>
      <c r="BR2392" s="1">
        <v>2513</v>
      </c>
      <c r="BS2392" s="1" t="s">
        <v>104</v>
      </c>
      <c r="BX2392" s="1">
        <v>0</v>
      </c>
      <c r="BY2392" s="1" t="s">
        <v>104</v>
      </c>
      <c r="BZ2392" s="1" t="s">
        <v>104</v>
      </c>
      <c r="CA2392" s="1">
        <v>5</v>
      </c>
      <c r="CB2392" s="1">
        <v>4</v>
      </c>
      <c r="CC2392" s="1">
        <v>5</v>
      </c>
      <c r="CD2392" s="1">
        <v>5</v>
      </c>
      <c r="CE2392" s="1" t="s">
        <v>104</v>
      </c>
      <c r="CF2392" s="1" t="s">
        <v>104</v>
      </c>
      <c r="CG2392" s="1" t="s">
        <v>104</v>
      </c>
      <c r="CH2392" s="1" t="s">
        <v>104</v>
      </c>
      <c r="CJ2392" s="1">
        <v>0</v>
      </c>
      <c r="CK2392" s="1">
        <v>0</v>
      </c>
      <c r="CL2392" s="1">
        <v>0</v>
      </c>
      <c r="CM2392" s="1" t="s">
        <v>104</v>
      </c>
    </row>
    <row r="2393" spans="1:91" ht="14.25" customHeight="1" x14ac:dyDescent="0.3">
      <c r="A2393" s="1" t="s">
        <v>12294</v>
      </c>
      <c r="B2393" s="1" t="s">
        <v>162</v>
      </c>
      <c r="E2393" s="1" t="s">
        <v>12295</v>
      </c>
      <c r="F2393" s="1" t="s">
        <v>95</v>
      </c>
      <c r="G2393" s="1" t="s">
        <v>12296</v>
      </c>
      <c r="H2393" s="1">
        <v>0</v>
      </c>
      <c r="I2393" s="1" t="s">
        <v>117</v>
      </c>
      <c r="J2393" s="1" t="s">
        <v>12297</v>
      </c>
      <c r="M2393" s="1" t="s">
        <v>5062</v>
      </c>
      <c r="N2393" s="1">
        <v>1</v>
      </c>
      <c r="O2393" s="1">
        <v>0</v>
      </c>
      <c r="P2393" s="1" t="s">
        <v>100</v>
      </c>
      <c r="Q2393" s="1" t="s">
        <v>101</v>
      </c>
      <c r="R2393" s="1" t="s">
        <v>12298</v>
      </c>
      <c r="S2393" s="1" t="s">
        <v>11859</v>
      </c>
      <c r="T2393" s="1">
        <v>1</v>
      </c>
      <c r="U2393" s="1">
        <v>1</v>
      </c>
      <c r="V2393" s="1">
        <v>0</v>
      </c>
      <c r="W2393" s="1">
        <v>0</v>
      </c>
      <c r="X2393" s="1">
        <v>1</v>
      </c>
      <c r="Y2393" s="1">
        <v>3</v>
      </c>
      <c r="Z2393" s="1">
        <v>3</v>
      </c>
      <c r="AA2393" s="1" t="s">
        <v>104</v>
      </c>
      <c r="AB2393" s="1" t="s">
        <v>104</v>
      </c>
      <c r="AC2393" s="1">
        <v>2</v>
      </c>
      <c r="AD2393" s="1">
        <v>3</v>
      </c>
      <c r="AE2393" s="1" t="s">
        <v>104</v>
      </c>
      <c r="AF2393" s="1" t="s">
        <v>104</v>
      </c>
      <c r="AG2393" s="1">
        <v>3</v>
      </c>
      <c r="AH2393" s="1" t="s">
        <v>104</v>
      </c>
      <c r="AI2393" s="1">
        <v>3</v>
      </c>
      <c r="AJ2393" s="1" t="s">
        <v>104</v>
      </c>
      <c r="AK2393" s="1" t="s">
        <v>104</v>
      </c>
      <c r="AL2393" s="1" t="s">
        <v>104</v>
      </c>
      <c r="AM2393" s="1" t="s">
        <v>104</v>
      </c>
      <c r="AO2393" s="1">
        <v>3</v>
      </c>
      <c r="AQ2393" s="1" t="s">
        <v>12299</v>
      </c>
      <c r="AR2393" s="1">
        <v>0</v>
      </c>
      <c r="AS2393" s="1">
        <v>0</v>
      </c>
      <c r="AT2393" s="1">
        <v>0</v>
      </c>
      <c r="AU2393" s="1">
        <v>0</v>
      </c>
      <c r="AV2393" s="1">
        <v>0</v>
      </c>
      <c r="AW2393" s="1">
        <v>0</v>
      </c>
      <c r="AX2393" s="1">
        <v>0</v>
      </c>
      <c r="AY2393" s="1">
        <v>0</v>
      </c>
      <c r="AZ2393" s="1">
        <v>0</v>
      </c>
      <c r="BA2393" s="1">
        <v>0</v>
      </c>
      <c r="BB2393" s="1">
        <v>0</v>
      </c>
      <c r="BC2393" s="1">
        <v>0</v>
      </c>
      <c r="BD2393" s="1">
        <v>0</v>
      </c>
      <c r="BE2393" s="1">
        <v>0</v>
      </c>
      <c r="BF2393" s="1">
        <v>0</v>
      </c>
      <c r="BG2393" s="1">
        <v>0</v>
      </c>
      <c r="BH2393" s="1">
        <v>0</v>
      </c>
      <c r="BI2393" s="1">
        <v>0</v>
      </c>
      <c r="BJ2393" s="1">
        <v>0</v>
      </c>
      <c r="BK2393" s="1">
        <v>0</v>
      </c>
      <c r="BL2393" s="1">
        <v>0</v>
      </c>
      <c r="BM2393" s="1">
        <v>0</v>
      </c>
      <c r="BN2393" s="1">
        <v>0</v>
      </c>
      <c r="BO2393" s="1">
        <v>0</v>
      </c>
      <c r="BP2393" s="1">
        <v>0</v>
      </c>
      <c r="BQ2393" s="1" t="s">
        <v>104</v>
      </c>
      <c r="BR2393" s="1">
        <v>2514</v>
      </c>
      <c r="BS2393" s="1" t="s">
        <v>104</v>
      </c>
      <c r="BX2393" s="1">
        <v>0</v>
      </c>
      <c r="BY2393" s="1" t="s">
        <v>104</v>
      </c>
      <c r="BZ2393" s="1" t="s">
        <v>104</v>
      </c>
      <c r="CA2393" s="1">
        <v>3</v>
      </c>
      <c r="CB2393" s="1" t="s">
        <v>104</v>
      </c>
      <c r="CC2393" s="1" t="s">
        <v>104</v>
      </c>
      <c r="CD2393" s="1">
        <v>3</v>
      </c>
      <c r="CE2393" s="1">
        <v>3</v>
      </c>
      <c r="CF2393" s="1" t="s">
        <v>104</v>
      </c>
      <c r="CG2393" s="1" t="s">
        <v>104</v>
      </c>
      <c r="CH2393" s="1">
        <v>2</v>
      </c>
      <c r="CJ2393" s="1">
        <v>0</v>
      </c>
      <c r="CK2393" s="1">
        <v>0</v>
      </c>
      <c r="CL2393" s="1">
        <v>0</v>
      </c>
      <c r="CM2393" s="1">
        <v>3</v>
      </c>
    </row>
    <row r="2394" spans="1:91" ht="14.25" customHeight="1" x14ac:dyDescent="0.3">
      <c r="A2394" s="1" t="s">
        <v>12300</v>
      </c>
      <c r="B2394" s="1" t="s">
        <v>123</v>
      </c>
      <c r="C2394" s="1" t="s">
        <v>124</v>
      </c>
      <c r="D2394" s="1" t="s">
        <v>125</v>
      </c>
      <c r="E2394" s="1" t="s">
        <v>12301</v>
      </c>
      <c r="F2394" s="1" t="s">
        <v>95</v>
      </c>
      <c r="G2394" s="1" t="s">
        <v>116</v>
      </c>
      <c r="H2394" s="1">
        <v>0</v>
      </c>
      <c r="I2394" s="1" t="s">
        <v>117</v>
      </c>
      <c r="L2394" s="1" t="s">
        <v>374</v>
      </c>
      <c r="M2394" s="1" t="s">
        <v>426</v>
      </c>
      <c r="N2394" s="1">
        <v>1</v>
      </c>
      <c r="O2394" s="1">
        <v>0</v>
      </c>
      <c r="P2394" s="1" t="s">
        <v>211</v>
      </c>
      <c r="Q2394" s="1" t="s">
        <v>184</v>
      </c>
      <c r="R2394" s="1" t="s">
        <v>12302</v>
      </c>
      <c r="S2394" s="1" t="s">
        <v>11859</v>
      </c>
      <c r="T2394" s="1">
        <v>1</v>
      </c>
      <c r="U2394" s="1">
        <v>1</v>
      </c>
      <c r="V2394" s="1">
        <v>0</v>
      </c>
      <c r="W2394" s="1">
        <v>0</v>
      </c>
      <c r="X2394" s="1">
        <v>0</v>
      </c>
      <c r="Y2394" s="1" t="s">
        <v>104</v>
      </c>
      <c r="Z2394" s="1" t="s">
        <v>104</v>
      </c>
      <c r="AA2394" s="1" t="s">
        <v>104</v>
      </c>
      <c r="AB2394" s="1" t="s">
        <v>104</v>
      </c>
      <c r="AC2394" s="1" t="s">
        <v>104</v>
      </c>
      <c r="AD2394" s="1">
        <v>2</v>
      </c>
      <c r="AE2394" s="1" t="s">
        <v>104</v>
      </c>
      <c r="AF2394" s="1" t="s">
        <v>104</v>
      </c>
      <c r="AG2394" s="1" t="s">
        <v>104</v>
      </c>
      <c r="AH2394" s="1" t="s">
        <v>104</v>
      </c>
      <c r="AI2394" s="1">
        <v>2</v>
      </c>
      <c r="AJ2394" s="1" t="s">
        <v>104</v>
      </c>
      <c r="AK2394" s="1" t="s">
        <v>104</v>
      </c>
      <c r="AL2394" s="1" t="s">
        <v>104</v>
      </c>
      <c r="AM2394" s="1" t="s">
        <v>104</v>
      </c>
      <c r="AO2394" s="1">
        <v>2</v>
      </c>
      <c r="AQ2394" s="1" t="s">
        <v>12303</v>
      </c>
      <c r="AR2394" s="1">
        <v>0</v>
      </c>
      <c r="AS2394" s="1">
        <v>0</v>
      </c>
      <c r="AT2394" s="1">
        <v>0</v>
      </c>
      <c r="AU2394" s="1">
        <v>0</v>
      </c>
      <c r="AV2394" s="1">
        <v>0</v>
      </c>
      <c r="AW2394" s="1">
        <v>0</v>
      </c>
      <c r="AX2394" s="1">
        <v>0</v>
      </c>
      <c r="AY2394" s="1">
        <v>0</v>
      </c>
      <c r="AZ2394" s="1">
        <v>0</v>
      </c>
      <c r="BA2394" s="1">
        <v>0</v>
      </c>
      <c r="BB2394" s="1">
        <v>0</v>
      </c>
      <c r="BC2394" s="1">
        <v>0</v>
      </c>
      <c r="BD2394" s="1">
        <v>0</v>
      </c>
      <c r="BE2394" s="1">
        <v>0</v>
      </c>
      <c r="BF2394" s="1">
        <v>0</v>
      </c>
      <c r="BG2394" s="1">
        <v>0</v>
      </c>
      <c r="BH2394" s="1">
        <v>0</v>
      </c>
      <c r="BI2394" s="1">
        <v>0</v>
      </c>
      <c r="BJ2394" s="1">
        <v>0</v>
      </c>
      <c r="BK2394" s="1">
        <v>1</v>
      </c>
      <c r="BL2394" s="1">
        <v>0</v>
      </c>
      <c r="BM2394" s="1">
        <v>0</v>
      </c>
      <c r="BN2394" s="1">
        <v>0</v>
      </c>
      <c r="BO2394" s="1">
        <v>0</v>
      </c>
      <c r="BP2394" s="1">
        <v>0</v>
      </c>
      <c r="BQ2394" s="1" t="s">
        <v>104</v>
      </c>
      <c r="BR2394" s="1">
        <v>2515</v>
      </c>
      <c r="BS2394" s="1" t="s">
        <v>104</v>
      </c>
      <c r="BX2394" s="1">
        <v>0</v>
      </c>
      <c r="BY2394" s="1" t="s">
        <v>104</v>
      </c>
      <c r="BZ2394" s="1" t="s">
        <v>104</v>
      </c>
      <c r="CA2394" s="1">
        <v>3</v>
      </c>
      <c r="CB2394" s="1" t="s">
        <v>104</v>
      </c>
      <c r="CC2394" s="1">
        <v>2</v>
      </c>
      <c r="CD2394" s="1" t="s">
        <v>104</v>
      </c>
      <c r="CE2394" s="1" t="s">
        <v>104</v>
      </c>
      <c r="CF2394" s="1" t="s">
        <v>104</v>
      </c>
      <c r="CG2394" s="1" t="s">
        <v>104</v>
      </c>
      <c r="CH2394" s="1" t="s">
        <v>104</v>
      </c>
      <c r="CJ2394" s="1">
        <v>0</v>
      </c>
      <c r="CK2394" s="1">
        <v>0</v>
      </c>
      <c r="CL2394" s="1">
        <v>0</v>
      </c>
      <c r="CM2394" s="1" t="s">
        <v>104</v>
      </c>
    </row>
    <row r="2395" spans="1:91" ht="14.25" customHeight="1" x14ac:dyDescent="0.3">
      <c r="A2395" s="1" t="s">
        <v>12304</v>
      </c>
      <c r="B2395" s="1" t="s">
        <v>507</v>
      </c>
      <c r="C2395" s="1" t="s">
        <v>508</v>
      </c>
      <c r="D2395" s="1" t="s">
        <v>66</v>
      </c>
      <c r="E2395" s="1" t="s">
        <v>12305</v>
      </c>
      <c r="F2395" s="1" t="s">
        <v>95</v>
      </c>
      <c r="G2395" s="1" t="s">
        <v>116</v>
      </c>
      <c r="H2395" s="1">
        <v>0</v>
      </c>
      <c r="I2395" s="1" t="s">
        <v>117</v>
      </c>
      <c r="L2395" s="1" t="s">
        <v>12306</v>
      </c>
      <c r="M2395" s="1" t="s">
        <v>5978</v>
      </c>
      <c r="N2395" s="1">
        <v>1</v>
      </c>
      <c r="O2395" s="1">
        <v>0</v>
      </c>
      <c r="P2395" s="1" t="s">
        <v>12307</v>
      </c>
      <c r="Q2395" s="1" t="s">
        <v>101</v>
      </c>
      <c r="R2395" s="1" t="s">
        <v>12308</v>
      </c>
      <c r="S2395" s="1" t="s">
        <v>11859</v>
      </c>
      <c r="T2395" s="1">
        <v>1</v>
      </c>
      <c r="U2395" s="1">
        <v>1</v>
      </c>
      <c r="V2395" s="1">
        <v>0</v>
      </c>
      <c r="W2395" s="1">
        <v>0</v>
      </c>
      <c r="X2395" s="1">
        <v>0</v>
      </c>
      <c r="Y2395" s="1">
        <v>2</v>
      </c>
      <c r="Z2395" s="1">
        <v>2</v>
      </c>
      <c r="AA2395" s="1" t="s">
        <v>104</v>
      </c>
      <c r="AB2395" s="1" t="s">
        <v>104</v>
      </c>
      <c r="AC2395" s="1" t="s">
        <v>104</v>
      </c>
      <c r="AD2395" s="1">
        <v>2</v>
      </c>
      <c r="AE2395" s="1" t="s">
        <v>104</v>
      </c>
      <c r="AF2395" s="1">
        <v>2</v>
      </c>
      <c r="AG2395" s="1" t="s">
        <v>104</v>
      </c>
      <c r="AH2395" s="1" t="s">
        <v>104</v>
      </c>
      <c r="AI2395" s="1">
        <v>2</v>
      </c>
      <c r="AJ2395" s="1" t="s">
        <v>104</v>
      </c>
      <c r="AK2395" s="1">
        <v>2</v>
      </c>
      <c r="AL2395" s="1">
        <v>2</v>
      </c>
      <c r="AM2395" s="1" t="s">
        <v>104</v>
      </c>
      <c r="AO2395" s="1">
        <v>2</v>
      </c>
      <c r="AQ2395" s="1" t="s">
        <v>12309</v>
      </c>
      <c r="AR2395" s="1">
        <v>0</v>
      </c>
      <c r="AS2395" s="1">
        <v>0</v>
      </c>
      <c r="AT2395" s="1">
        <v>0</v>
      </c>
      <c r="AU2395" s="1">
        <v>0</v>
      </c>
      <c r="AV2395" s="1">
        <v>0</v>
      </c>
      <c r="AW2395" s="1">
        <v>0</v>
      </c>
      <c r="AX2395" s="1">
        <v>0</v>
      </c>
      <c r="AY2395" s="1">
        <v>0</v>
      </c>
      <c r="AZ2395" s="1">
        <v>0</v>
      </c>
      <c r="BA2395" s="1">
        <v>0</v>
      </c>
      <c r="BB2395" s="1">
        <v>0</v>
      </c>
      <c r="BC2395" s="1">
        <v>0</v>
      </c>
      <c r="BD2395" s="1">
        <v>0</v>
      </c>
      <c r="BE2395" s="1">
        <v>0</v>
      </c>
      <c r="BF2395" s="1">
        <v>0</v>
      </c>
      <c r="BG2395" s="1">
        <v>0</v>
      </c>
      <c r="BH2395" s="1">
        <v>0</v>
      </c>
      <c r="BI2395" s="1">
        <v>0</v>
      </c>
      <c r="BJ2395" s="1">
        <v>0</v>
      </c>
      <c r="BK2395" s="1">
        <v>0</v>
      </c>
      <c r="BL2395" s="1">
        <v>0</v>
      </c>
      <c r="BM2395" s="1">
        <v>0</v>
      </c>
      <c r="BN2395" s="1">
        <v>0</v>
      </c>
      <c r="BO2395" s="1">
        <v>1</v>
      </c>
      <c r="BP2395" s="1">
        <v>0</v>
      </c>
      <c r="BQ2395" s="1" t="s">
        <v>104</v>
      </c>
      <c r="BR2395" s="1">
        <v>2516</v>
      </c>
      <c r="BS2395" s="1" t="s">
        <v>104</v>
      </c>
      <c r="BX2395" s="1">
        <v>0</v>
      </c>
      <c r="BY2395" s="1" t="s">
        <v>104</v>
      </c>
      <c r="BZ2395" s="1" t="s">
        <v>104</v>
      </c>
      <c r="CA2395" s="1">
        <v>2</v>
      </c>
      <c r="CB2395" s="1">
        <v>2</v>
      </c>
      <c r="CC2395" s="1">
        <v>2</v>
      </c>
      <c r="CD2395" s="1">
        <v>2</v>
      </c>
      <c r="CE2395" s="1">
        <v>2</v>
      </c>
      <c r="CF2395" s="1" t="s">
        <v>104</v>
      </c>
      <c r="CG2395" s="1" t="s">
        <v>104</v>
      </c>
      <c r="CH2395" s="1" t="s">
        <v>104</v>
      </c>
      <c r="CJ2395" s="1">
        <v>0</v>
      </c>
      <c r="CK2395" s="1">
        <v>0</v>
      </c>
      <c r="CL2395" s="1">
        <v>0</v>
      </c>
      <c r="CM2395" s="1" t="s">
        <v>104</v>
      </c>
    </row>
    <row r="2396" spans="1:91" ht="14.25" customHeight="1" x14ac:dyDescent="0.3">
      <c r="A2396" s="1" t="s">
        <v>12310</v>
      </c>
      <c r="B2396" s="1" t="s">
        <v>137</v>
      </c>
      <c r="E2396" s="1" t="s">
        <v>12311</v>
      </c>
      <c r="F2396" s="1" t="s">
        <v>95</v>
      </c>
      <c r="G2396" s="1" t="s">
        <v>127</v>
      </c>
      <c r="H2396" s="1">
        <v>0</v>
      </c>
      <c r="I2396" s="1" t="s">
        <v>157</v>
      </c>
      <c r="L2396" s="1" t="s">
        <v>158</v>
      </c>
      <c r="M2396" s="1" t="s">
        <v>2591</v>
      </c>
      <c r="N2396" s="1">
        <v>0</v>
      </c>
      <c r="O2396" s="1">
        <v>0</v>
      </c>
      <c r="R2396" s="1" t="s">
        <v>12312</v>
      </c>
      <c r="S2396" s="1" t="s">
        <v>11859</v>
      </c>
      <c r="T2396" s="1">
        <v>1</v>
      </c>
      <c r="U2396" s="1">
        <v>1</v>
      </c>
      <c r="V2396" s="1">
        <v>0</v>
      </c>
      <c r="W2396" s="1">
        <v>0</v>
      </c>
      <c r="X2396" s="1">
        <v>1</v>
      </c>
      <c r="Y2396" s="1" t="s">
        <v>104</v>
      </c>
      <c r="Z2396" s="1" t="s">
        <v>104</v>
      </c>
      <c r="AA2396" s="1" t="s">
        <v>104</v>
      </c>
      <c r="AB2396" s="1">
        <v>5</v>
      </c>
      <c r="AC2396" s="1" t="s">
        <v>104</v>
      </c>
      <c r="AD2396" s="1" t="s">
        <v>104</v>
      </c>
      <c r="AE2396" s="1" t="s">
        <v>104</v>
      </c>
      <c r="AF2396" s="1">
        <v>5</v>
      </c>
      <c r="AG2396" s="1" t="s">
        <v>104</v>
      </c>
      <c r="AH2396" s="1">
        <v>5</v>
      </c>
      <c r="AI2396" s="1" t="s">
        <v>104</v>
      </c>
      <c r="AJ2396" s="1" t="s">
        <v>104</v>
      </c>
      <c r="AK2396" s="1" t="s">
        <v>104</v>
      </c>
      <c r="AL2396" s="1" t="s">
        <v>104</v>
      </c>
      <c r="AM2396" s="1" t="s">
        <v>104</v>
      </c>
      <c r="AO2396" s="1">
        <v>5</v>
      </c>
      <c r="AQ2396" s="1" t="s">
        <v>12313</v>
      </c>
      <c r="AR2396" s="1">
        <v>0</v>
      </c>
      <c r="AS2396" s="1">
        <v>0</v>
      </c>
      <c r="AT2396" s="1">
        <v>0</v>
      </c>
      <c r="AU2396" s="1">
        <v>0</v>
      </c>
      <c r="AV2396" s="1">
        <v>0</v>
      </c>
      <c r="AW2396" s="1">
        <v>0</v>
      </c>
      <c r="AX2396" s="1">
        <v>0</v>
      </c>
      <c r="AY2396" s="1">
        <v>0</v>
      </c>
      <c r="AZ2396" s="1">
        <v>0</v>
      </c>
      <c r="BA2396" s="1">
        <v>0</v>
      </c>
      <c r="BB2396" s="1">
        <v>0</v>
      </c>
      <c r="BC2396" s="1">
        <v>0</v>
      </c>
      <c r="BD2396" s="1">
        <v>0</v>
      </c>
      <c r="BE2396" s="1">
        <v>0</v>
      </c>
      <c r="BF2396" s="1">
        <v>0</v>
      </c>
      <c r="BG2396" s="1">
        <v>0</v>
      </c>
      <c r="BH2396" s="1">
        <v>0</v>
      </c>
      <c r="BI2396" s="1">
        <v>0</v>
      </c>
      <c r="BJ2396" s="1">
        <v>0</v>
      </c>
      <c r="BK2396" s="1">
        <v>0</v>
      </c>
      <c r="BL2396" s="1">
        <v>0</v>
      </c>
      <c r="BM2396" s="1">
        <v>0</v>
      </c>
      <c r="BN2396" s="1">
        <v>0</v>
      </c>
      <c r="BO2396" s="1">
        <v>0</v>
      </c>
      <c r="BP2396" s="1">
        <v>0</v>
      </c>
      <c r="BQ2396" s="1" t="s">
        <v>104</v>
      </c>
      <c r="BR2396" s="1">
        <v>2517</v>
      </c>
      <c r="BS2396" s="1" t="s">
        <v>104</v>
      </c>
      <c r="BX2396" s="1">
        <v>0</v>
      </c>
      <c r="BY2396" s="1" t="s">
        <v>104</v>
      </c>
      <c r="BZ2396" s="1">
        <v>5</v>
      </c>
      <c r="CA2396" s="1" t="s">
        <v>104</v>
      </c>
      <c r="CB2396" s="1" t="s">
        <v>104</v>
      </c>
      <c r="CC2396" s="1" t="s">
        <v>104</v>
      </c>
      <c r="CD2396" s="1" t="s">
        <v>104</v>
      </c>
      <c r="CE2396" s="1" t="s">
        <v>104</v>
      </c>
      <c r="CF2396" s="1" t="s">
        <v>104</v>
      </c>
      <c r="CG2396" s="1" t="s">
        <v>104</v>
      </c>
      <c r="CH2396" s="1">
        <v>5</v>
      </c>
      <c r="CJ2396" s="1">
        <v>0</v>
      </c>
      <c r="CK2396" s="1">
        <v>0</v>
      </c>
      <c r="CL2396" s="1">
        <v>0</v>
      </c>
      <c r="CM2396" s="1" t="s">
        <v>104</v>
      </c>
    </row>
    <row r="2397" spans="1:91" ht="14.25" customHeight="1" x14ac:dyDescent="0.3">
      <c r="A2397" s="1" t="s">
        <v>12314</v>
      </c>
      <c r="B2397" s="1" t="s">
        <v>123</v>
      </c>
      <c r="C2397" s="1" t="s">
        <v>124</v>
      </c>
      <c r="D2397" s="1" t="s">
        <v>12315</v>
      </c>
      <c r="E2397" s="1" t="s">
        <v>12316</v>
      </c>
      <c r="F2397" s="1" t="s">
        <v>95</v>
      </c>
      <c r="G2397" s="1" t="s">
        <v>12317</v>
      </c>
      <c r="H2397" s="1">
        <v>0</v>
      </c>
      <c r="I2397" s="1" t="s">
        <v>11749</v>
      </c>
      <c r="L2397" s="1" t="s">
        <v>12318</v>
      </c>
      <c r="M2397" s="1" t="s">
        <v>4641</v>
      </c>
      <c r="N2397" s="1">
        <v>1</v>
      </c>
      <c r="O2397" s="1">
        <v>0</v>
      </c>
      <c r="P2397" s="1" t="s">
        <v>211</v>
      </c>
      <c r="Q2397" s="1" t="s">
        <v>184</v>
      </c>
      <c r="R2397" s="1" t="s">
        <v>12319</v>
      </c>
      <c r="S2397" s="1" t="s">
        <v>11859</v>
      </c>
      <c r="T2397" s="1">
        <v>1</v>
      </c>
      <c r="U2397" s="1">
        <v>1</v>
      </c>
      <c r="V2397" s="1">
        <v>1</v>
      </c>
      <c r="W2397" s="1">
        <v>0</v>
      </c>
      <c r="X2397" s="1">
        <v>1</v>
      </c>
      <c r="Y2397" s="1" t="s">
        <v>104</v>
      </c>
      <c r="Z2397" s="1" t="s">
        <v>104</v>
      </c>
      <c r="AA2397" s="1" t="s">
        <v>104</v>
      </c>
      <c r="AB2397" s="1" t="s">
        <v>104</v>
      </c>
      <c r="AC2397" s="1" t="s">
        <v>104</v>
      </c>
      <c r="AD2397" s="1">
        <v>3</v>
      </c>
      <c r="AE2397" s="1">
        <v>3</v>
      </c>
      <c r="AF2397" s="1" t="s">
        <v>104</v>
      </c>
      <c r="AG2397" s="1" t="s">
        <v>104</v>
      </c>
      <c r="AH2397" s="1">
        <v>4</v>
      </c>
      <c r="AI2397" s="1">
        <v>3</v>
      </c>
      <c r="AJ2397" s="1" t="s">
        <v>104</v>
      </c>
      <c r="AK2397" s="1" t="s">
        <v>104</v>
      </c>
      <c r="AL2397" s="1" t="s">
        <v>104</v>
      </c>
      <c r="AM2397" s="1" t="s">
        <v>104</v>
      </c>
      <c r="AO2397" s="1">
        <v>3</v>
      </c>
      <c r="AQ2397" s="1" t="s">
        <v>12320</v>
      </c>
      <c r="AR2397" s="1">
        <v>0</v>
      </c>
      <c r="AS2397" s="1">
        <v>0</v>
      </c>
      <c r="AT2397" s="1">
        <v>0</v>
      </c>
      <c r="AU2397" s="1">
        <v>0</v>
      </c>
      <c r="AV2397" s="1">
        <v>0</v>
      </c>
      <c r="AW2397" s="1">
        <v>0</v>
      </c>
      <c r="AX2397" s="1">
        <v>0</v>
      </c>
      <c r="AY2397" s="1">
        <v>0</v>
      </c>
      <c r="AZ2397" s="1">
        <v>0</v>
      </c>
      <c r="BA2397" s="1">
        <v>0</v>
      </c>
      <c r="BB2397" s="1">
        <v>1</v>
      </c>
      <c r="BC2397" s="1">
        <v>0</v>
      </c>
      <c r="BD2397" s="1">
        <v>1</v>
      </c>
      <c r="BE2397" s="1">
        <v>0</v>
      </c>
      <c r="BF2397" s="1">
        <v>0</v>
      </c>
      <c r="BG2397" s="1">
        <v>0</v>
      </c>
      <c r="BH2397" s="1">
        <v>0</v>
      </c>
      <c r="BI2397" s="1">
        <v>0</v>
      </c>
      <c r="BJ2397" s="1">
        <v>0</v>
      </c>
      <c r="BK2397" s="1">
        <v>0</v>
      </c>
      <c r="BL2397" s="1">
        <v>0</v>
      </c>
      <c r="BM2397" s="1">
        <v>0</v>
      </c>
      <c r="BN2397" s="1">
        <v>0</v>
      </c>
      <c r="BO2397" s="1">
        <v>0</v>
      </c>
      <c r="BP2397" s="1">
        <v>0</v>
      </c>
      <c r="BQ2397" s="1" t="s">
        <v>104</v>
      </c>
      <c r="BR2397" s="1">
        <v>2518</v>
      </c>
      <c r="BS2397" s="1" t="s">
        <v>104</v>
      </c>
      <c r="BX2397" s="1">
        <v>0</v>
      </c>
      <c r="BY2397" s="1" t="s">
        <v>104</v>
      </c>
      <c r="BZ2397" s="1">
        <v>4</v>
      </c>
      <c r="CA2397" s="1">
        <v>4</v>
      </c>
      <c r="CB2397" s="1" t="s">
        <v>104</v>
      </c>
      <c r="CC2397" s="1">
        <v>3</v>
      </c>
      <c r="CD2397" s="1" t="s">
        <v>104</v>
      </c>
      <c r="CE2397" s="1" t="s">
        <v>104</v>
      </c>
      <c r="CF2397" s="1" t="s">
        <v>104</v>
      </c>
      <c r="CG2397" s="1" t="s">
        <v>104</v>
      </c>
      <c r="CH2397" s="1" t="s">
        <v>104</v>
      </c>
      <c r="CJ2397" s="1">
        <v>0</v>
      </c>
      <c r="CK2397" s="1">
        <v>0</v>
      </c>
      <c r="CL2397" s="1">
        <v>0</v>
      </c>
      <c r="CM2397" s="1" t="s">
        <v>104</v>
      </c>
    </row>
    <row r="2398" spans="1:91" ht="14.25" customHeight="1" x14ac:dyDescent="0.3">
      <c r="A2398" s="1" t="s">
        <v>12321</v>
      </c>
      <c r="B2398" s="1" t="s">
        <v>172</v>
      </c>
      <c r="E2398" s="1" t="s">
        <v>12322</v>
      </c>
      <c r="F2398" s="1" t="s">
        <v>95</v>
      </c>
      <c r="G2398" s="1" t="s">
        <v>12323</v>
      </c>
      <c r="H2398" s="1">
        <v>0</v>
      </c>
      <c r="I2398" s="1" t="s">
        <v>12324</v>
      </c>
      <c r="J2398" s="1" t="s">
        <v>1112</v>
      </c>
      <c r="M2398" s="1" t="s">
        <v>2330</v>
      </c>
      <c r="N2398" s="1">
        <v>0</v>
      </c>
      <c r="O2398" s="1">
        <v>0</v>
      </c>
      <c r="P2398" s="1" t="s">
        <v>100</v>
      </c>
      <c r="Q2398" s="1" t="s">
        <v>101</v>
      </c>
      <c r="R2398" s="1" t="s">
        <v>12325</v>
      </c>
      <c r="S2398" s="1" t="s">
        <v>11859</v>
      </c>
      <c r="T2398" s="1">
        <v>1</v>
      </c>
      <c r="U2398" s="1">
        <v>1</v>
      </c>
      <c r="V2398" s="1">
        <v>0</v>
      </c>
      <c r="W2398" s="1">
        <v>0</v>
      </c>
      <c r="X2398" s="1">
        <v>0</v>
      </c>
      <c r="Y2398" s="1">
        <v>5</v>
      </c>
      <c r="Z2398" s="1">
        <v>5</v>
      </c>
      <c r="AA2398" s="1" t="s">
        <v>104</v>
      </c>
      <c r="AB2398" s="1" t="s">
        <v>104</v>
      </c>
      <c r="AC2398" s="1" t="s">
        <v>104</v>
      </c>
      <c r="AD2398" s="1" t="s">
        <v>104</v>
      </c>
      <c r="AE2398" s="1" t="s">
        <v>104</v>
      </c>
      <c r="AF2398" s="1" t="s">
        <v>104</v>
      </c>
      <c r="AG2398" s="1" t="s">
        <v>104</v>
      </c>
      <c r="AH2398" s="1" t="s">
        <v>104</v>
      </c>
      <c r="AI2398" s="1" t="s">
        <v>104</v>
      </c>
      <c r="AJ2398" s="1" t="s">
        <v>104</v>
      </c>
      <c r="AK2398" s="1" t="s">
        <v>104</v>
      </c>
      <c r="AL2398" s="1" t="s">
        <v>104</v>
      </c>
      <c r="AM2398" s="1" t="s">
        <v>104</v>
      </c>
      <c r="AO2398" s="1">
        <v>5</v>
      </c>
      <c r="AQ2398" s="1" t="s">
        <v>12326</v>
      </c>
      <c r="AR2398" s="1">
        <v>0</v>
      </c>
      <c r="AS2398" s="1">
        <v>0</v>
      </c>
      <c r="AT2398" s="1">
        <v>0</v>
      </c>
      <c r="AU2398" s="1">
        <v>0</v>
      </c>
      <c r="AV2398" s="1">
        <v>0</v>
      </c>
      <c r="AW2398" s="1">
        <v>0</v>
      </c>
      <c r="AX2398" s="1">
        <v>0</v>
      </c>
      <c r="AY2398" s="1">
        <v>0</v>
      </c>
      <c r="AZ2398" s="1">
        <v>0</v>
      </c>
      <c r="BA2398" s="1">
        <v>0</v>
      </c>
      <c r="BB2398" s="1">
        <v>0</v>
      </c>
      <c r="BC2398" s="1">
        <v>0</v>
      </c>
      <c r="BD2398" s="1">
        <v>0</v>
      </c>
      <c r="BE2398" s="1">
        <v>0</v>
      </c>
      <c r="BF2398" s="1">
        <v>0</v>
      </c>
      <c r="BG2398" s="1">
        <v>0</v>
      </c>
      <c r="BH2398" s="1">
        <v>0</v>
      </c>
      <c r="BI2398" s="1">
        <v>0</v>
      </c>
      <c r="BJ2398" s="1">
        <v>0</v>
      </c>
      <c r="BK2398" s="1">
        <v>0</v>
      </c>
      <c r="BL2398" s="1">
        <v>0</v>
      </c>
      <c r="BM2398" s="1">
        <v>0</v>
      </c>
      <c r="BN2398" s="1">
        <v>0</v>
      </c>
      <c r="BO2398" s="1">
        <v>0</v>
      </c>
      <c r="BP2398" s="1">
        <v>0</v>
      </c>
      <c r="BQ2398" s="1" t="s">
        <v>104</v>
      </c>
      <c r="BR2398" s="1">
        <v>2519</v>
      </c>
      <c r="BS2398" s="1" t="s">
        <v>104</v>
      </c>
      <c r="BX2398" s="1">
        <v>0</v>
      </c>
      <c r="BY2398" s="1" t="s">
        <v>104</v>
      </c>
      <c r="BZ2398" s="1" t="s">
        <v>104</v>
      </c>
      <c r="CA2398" s="1">
        <v>4</v>
      </c>
      <c r="CB2398" s="1" t="s">
        <v>104</v>
      </c>
      <c r="CC2398" s="1" t="s">
        <v>104</v>
      </c>
      <c r="CD2398" s="1" t="s">
        <v>104</v>
      </c>
      <c r="CE2398" s="1" t="s">
        <v>104</v>
      </c>
      <c r="CF2398" s="1" t="s">
        <v>104</v>
      </c>
      <c r="CG2398" s="1" t="s">
        <v>104</v>
      </c>
      <c r="CH2398" s="1" t="s">
        <v>104</v>
      </c>
      <c r="CJ2398" s="1">
        <v>0</v>
      </c>
      <c r="CK2398" s="1">
        <v>0</v>
      </c>
      <c r="CL2398" s="1">
        <v>0</v>
      </c>
      <c r="CM2398" s="1" t="s">
        <v>104</v>
      </c>
    </row>
    <row r="2399" spans="1:91" ht="14.25" customHeight="1" x14ac:dyDescent="0.3">
      <c r="A2399" s="1" t="s">
        <v>12327</v>
      </c>
      <c r="B2399" s="1" t="s">
        <v>92</v>
      </c>
      <c r="C2399" s="1" t="s">
        <v>1160</v>
      </c>
      <c r="E2399" s="1" t="s">
        <v>12328</v>
      </c>
      <c r="F2399" s="1" t="s">
        <v>95</v>
      </c>
      <c r="G2399" s="1" t="s">
        <v>12329</v>
      </c>
      <c r="H2399" s="1">
        <v>0</v>
      </c>
      <c r="I2399" s="1" t="s">
        <v>117</v>
      </c>
      <c r="L2399" s="1" t="s">
        <v>11602</v>
      </c>
      <c r="M2399" s="1" t="s">
        <v>119</v>
      </c>
      <c r="N2399" s="1">
        <v>0</v>
      </c>
      <c r="O2399" s="1">
        <v>0</v>
      </c>
      <c r="P2399" s="1" t="s">
        <v>471</v>
      </c>
      <c r="Q2399" s="1" t="s">
        <v>472</v>
      </c>
      <c r="R2399" s="1" t="s">
        <v>12330</v>
      </c>
      <c r="S2399" s="1" t="s">
        <v>11859</v>
      </c>
      <c r="T2399" s="1">
        <v>1</v>
      </c>
      <c r="U2399" s="1">
        <v>1</v>
      </c>
      <c r="V2399" s="1">
        <v>0</v>
      </c>
      <c r="W2399" s="1">
        <v>0</v>
      </c>
      <c r="X2399" s="1">
        <v>0</v>
      </c>
      <c r="Y2399" s="1">
        <v>4</v>
      </c>
      <c r="Z2399" s="1">
        <v>4</v>
      </c>
      <c r="AA2399" s="1" t="s">
        <v>104</v>
      </c>
      <c r="AB2399" s="1" t="s">
        <v>104</v>
      </c>
      <c r="AC2399" s="1" t="s">
        <v>104</v>
      </c>
      <c r="AD2399" s="1">
        <v>3</v>
      </c>
      <c r="AE2399" s="1" t="s">
        <v>104</v>
      </c>
      <c r="AF2399" s="1" t="s">
        <v>104</v>
      </c>
      <c r="AG2399" s="1">
        <v>3</v>
      </c>
      <c r="AH2399" s="1" t="s">
        <v>104</v>
      </c>
      <c r="AI2399" s="1" t="s">
        <v>104</v>
      </c>
      <c r="AJ2399" s="1" t="s">
        <v>104</v>
      </c>
      <c r="AK2399" s="1" t="s">
        <v>104</v>
      </c>
      <c r="AL2399" s="1" t="s">
        <v>104</v>
      </c>
      <c r="AM2399" s="1" t="s">
        <v>104</v>
      </c>
      <c r="AO2399" s="1">
        <v>4</v>
      </c>
      <c r="AQ2399" s="1" t="s">
        <v>12331</v>
      </c>
      <c r="AR2399" s="1">
        <v>0</v>
      </c>
      <c r="AS2399" s="1">
        <v>0</v>
      </c>
      <c r="AT2399" s="1">
        <v>0</v>
      </c>
      <c r="AU2399" s="1">
        <v>0</v>
      </c>
      <c r="AV2399" s="1">
        <v>0</v>
      </c>
      <c r="AW2399" s="1">
        <v>0</v>
      </c>
      <c r="AX2399" s="1">
        <v>0</v>
      </c>
      <c r="AY2399" s="1">
        <v>0</v>
      </c>
      <c r="AZ2399" s="1">
        <v>0</v>
      </c>
      <c r="BA2399" s="1">
        <v>0</v>
      </c>
      <c r="BB2399" s="1">
        <v>0</v>
      </c>
      <c r="BC2399" s="1">
        <v>0</v>
      </c>
      <c r="BD2399" s="1">
        <v>0</v>
      </c>
      <c r="BE2399" s="1">
        <v>0</v>
      </c>
      <c r="BF2399" s="1">
        <v>0</v>
      </c>
      <c r="BG2399" s="1">
        <v>0</v>
      </c>
      <c r="BH2399" s="1">
        <v>0</v>
      </c>
      <c r="BI2399" s="1">
        <v>0</v>
      </c>
      <c r="BJ2399" s="1">
        <v>0</v>
      </c>
      <c r="BK2399" s="1">
        <v>0</v>
      </c>
      <c r="BL2399" s="1">
        <v>0</v>
      </c>
      <c r="BM2399" s="1">
        <v>0</v>
      </c>
      <c r="BN2399" s="1">
        <v>0</v>
      </c>
      <c r="BO2399" s="1">
        <v>0</v>
      </c>
      <c r="BP2399" s="1">
        <v>0</v>
      </c>
      <c r="BQ2399" s="1" t="s">
        <v>104</v>
      </c>
      <c r="BR2399" s="1">
        <v>2520</v>
      </c>
      <c r="BS2399" s="1" t="s">
        <v>104</v>
      </c>
      <c r="BX2399" s="1">
        <v>0</v>
      </c>
      <c r="BY2399" s="1" t="s">
        <v>104</v>
      </c>
      <c r="BZ2399" s="1" t="s">
        <v>104</v>
      </c>
      <c r="CA2399" s="1" t="s">
        <v>104</v>
      </c>
      <c r="CB2399" s="1" t="s">
        <v>104</v>
      </c>
      <c r="CC2399" s="1">
        <v>3</v>
      </c>
      <c r="CD2399" s="1" t="s">
        <v>104</v>
      </c>
      <c r="CE2399" s="1" t="s">
        <v>104</v>
      </c>
      <c r="CF2399" s="1" t="s">
        <v>104</v>
      </c>
      <c r="CG2399" s="1" t="s">
        <v>104</v>
      </c>
      <c r="CH2399" s="1" t="s">
        <v>104</v>
      </c>
      <c r="CJ2399" s="1">
        <v>0</v>
      </c>
      <c r="CK2399" s="1">
        <v>0</v>
      </c>
      <c r="CL2399" s="1">
        <v>0</v>
      </c>
      <c r="CM2399" s="1">
        <v>3</v>
      </c>
    </row>
    <row r="2400" spans="1:91" ht="14.25" customHeight="1" x14ac:dyDescent="0.3">
      <c r="A2400" s="1" t="s">
        <v>12332</v>
      </c>
      <c r="B2400" s="1" t="s">
        <v>92</v>
      </c>
      <c r="C2400" s="1" t="s">
        <v>1160</v>
      </c>
      <c r="D2400" s="1" t="s">
        <v>87</v>
      </c>
      <c r="E2400" s="1" t="s">
        <v>12333</v>
      </c>
      <c r="F2400" s="1" t="s">
        <v>95</v>
      </c>
      <c r="G2400" s="1" t="s">
        <v>237</v>
      </c>
      <c r="H2400" s="1">
        <v>0</v>
      </c>
      <c r="I2400" s="1" t="s">
        <v>3825</v>
      </c>
      <c r="L2400" s="1" t="s">
        <v>1162</v>
      </c>
      <c r="M2400" s="1" t="s">
        <v>119</v>
      </c>
      <c r="N2400" s="1">
        <v>0</v>
      </c>
      <c r="O2400" s="1">
        <v>0</v>
      </c>
      <c r="P2400" s="1" t="s">
        <v>1163</v>
      </c>
      <c r="Q2400" s="1" t="s">
        <v>1164</v>
      </c>
      <c r="R2400" s="1" t="s">
        <v>12334</v>
      </c>
      <c r="S2400" s="1" t="s">
        <v>11859</v>
      </c>
      <c r="T2400" s="1">
        <v>1</v>
      </c>
      <c r="U2400" s="1">
        <v>0</v>
      </c>
      <c r="V2400" s="1">
        <v>0</v>
      </c>
      <c r="W2400" s="1">
        <v>0</v>
      </c>
      <c r="X2400" s="1">
        <v>0</v>
      </c>
      <c r="Y2400" s="1">
        <v>6</v>
      </c>
      <c r="Z2400" s="1">
        <v>6</v>
      </c>
      <c r="AA2400" s="1" t="s">
        <v>104</v>
      </c>
      <c r="AB2400" s="1" t="s">
        <v>104</v>
      </c>
      <c r="AC2400" s="1" t="s">
        <v>104</v>
      </c>
      <c r="AD2400" s="1" t="s">
        <v>104</v>
      </c>
      <c r="AE2400" s="1" t="s">
        <v>104</v>
      </c>
      <c r="AF2400" s="1" t="s">
        <v>104</v>
      </c>
      <c r="AG2400" s="1">
        <v>6</v>
      </c>
      <c r="AH2400" s="1">
        <v>6</v>
      </c>
      <c r="AI2400" s="1" t="s">
        <v>104</v>
      </c>
      <c r="AJ2400" s="1" t="s">
        <v>104</v>
      </c>
      <c r="AK2400" s="1" t="s">
        <v>104</v>
      </c>
      <c r="AL2400" s="1">
        <v>6</v>
      </c>
      <c r="AM2400" s="1" t="s">
        <v>104</v>
      </c>
      <c r="AO2400" s="1">
        <v>6</v>
      </c>
      <c r="AQ2400" s="1" t="s">
        <v>12335</v>
      </c>
      <c r="AR2400" s="1">
        <v>0</v>
      </c>
      <c r="AS2400" s="1">
        <v>0</v>
      </c>
      <c r="AT2400" s="1">
        <v>0</v>
      </c>
      <c r="AU2400" s="1">
        <v>0</v>
      </c>
      <c r="AV2400" s="1">
        <v>0</v>
      </c>
      <c r="AW2400" s="1">
        <v>0</v>
      </c>
      <c r="AX2400" s="1">
        <v>0</v>
      </c>
      <c r="AY2400" s="1">
        <v>0</v>
      </c>
      <c r="AZ2400" s="1">
        <v>0</v>
      </c>
      <c r="BA2400" s="1">
        <v>0</v>
      </c>
      <c r="BB2400" s="1">
        <v>0</v>
      </c>
      <c r="BC2400" s="1">
        <v>0</v>
      </c>
      <c r="BD2400" s="1">
        <v>0</v>
      </c>
      <c r="BE2400" s="1">
        <v>0</v>
      </c>
      <c r="BF2400" s="1">
        <v>0</v>
      </c>
      <c r="BG2400" s="1">
        <v>0</v>
      </c>
      <c r="BH2400" s="1">
        <v>0</v>
      </c>
      <c r="BI2400" s="1">
        <v>0</v>
      </c>
      <c r="BJ2400" s="1">
        <v>0</v>
      </c>
      <c r="BK2400" s="1">
        <v>0</v>
      </c>
      <c r="BL2400" s="1">
        <v>0</v>
      </c>
      <c r="BM2400" s="1">
        <v>0</v>
      </c>
      <c r="BN2400" s="1">
        <v>0</v>
      </c>
      <c r="BO2400" s="1">
        <v>0</v>
      </c>
      <c r="BP2400" s="1">
        <v>0</v>
      </c>
      <c r="BQ2400" s="1" t="s">
        <v>104</v>
      </c>
      <c r="BR2400" s="1">
        <v>2521</v>
      </c>
      <c r="BS2400" s="1" t="s">
        <v>104</v>
      </c>
      <c r="BX2400" s="1">
        <v>0</v>
      </c>
      <c r="BY2400" s="1" t="s">
        <v>104</v>
      </c>
      <c r="BZ2400" s="1" t="s">
        <v>104</v>
      </c>
      <c r="CA2400" s="1">
        <v>6</v>
      </c>
      <c r="CB2400" s="1" t="s">
        <v>104</v>
      </c>
      <c r="CC2400" s="1" t="s">
        <v>104</v>
      </c>
      <c r="CD2400" s="1">
        <v>6</v>
      </c>
      <c r="CE2400" s="1">
        <v>6</v>
      </c>
      <c r="CF2400" s="1" t="s">
        <v>104</v>
      </c>
      <c r="CG2400" s="1" t="s">
        <v>104</v>
      </c>
      <c r="CH2400" s="1" t="s">
        <v>104</v>
      </c>
      <c r="CJ2400" s="1">
        <v>1</v>
      </c>
      <c r="CK2400" s="1">
        <v>0</v>
      </c>
      <c r="CL2400" s="1">
        <v>0</v>
      </c>
      <c r="CM2400" s="1">
        <v>6</v>
      </c>
    </row>
    <row r="2401" spans="1:91" ht="14.25" customHeight="1" x14ac:dyDescent="0.3">
      <c r="A2401" s="1" t="s">
        <v>12336</v>
      </c>
      <c r="B2401" s="1" t="s">
        <v>507</v>
      </c>
      <c r="C2401" s="1" t="s">
        <v>1308</v>
      </c>
      <c r="D2401" s="1" t="s">
        <v>125</v>
      </c>
      <c r="E2401" s="1" t="s">
        <v>12337</v>
      </c>
      <c r="F2401" s="1" t="s">
        <v>95</v>
      </c>
      <c r="G2401" s="1" t="s">
        <v>12338</v>
      </c>
      <c r="H2401" s="1">
        <v>1</v>
      </c>
      <c r="I2401" s="1" t="s">
        <v>97</v>
      </c>
      <c r="L2401" s="1" t="s">
        <v>1065</v>
      </c>
      <c r="M2401" s="1" t="s">
        <v>12339</v>
      </c>
      <c r="N2401" s="1">
        <v>0</v>
      </c>
      <c r="O2401" s="1">
        <v>0</v>
      </c>
      <c r="P2401" s="1" t="s">
        <v>1771</v>
      </c>
      <c r="Q2401" s="1" t="s">
        <v>184</v>
      </c>
      <c r="R2401" s="1" t="s">
        <v>12340</v>
      </c>
      <c r="S2401" s="1" t="s">
        <v>11859</v>
      </c>
      <c r="T2401" s="1">
        <v>1</v>
      </c>
      <c r="U2401" s="1">
        <v>1</v>
      </c>
      <c r="V2401" s="1">
        <v>1</v>
      </c>
      <c r="W2401" s="1">
        <v>0</v>
      </c>
      <c r="X2401" s="1">
        <v>0</v>
      </c>
      <c r="Y2401" s="1">
        <v>6</v>
      </c>
      <c r="Z2401" s="1">
        <v>6</v>
      </c>
      <c r="AA2401" s="1" t="s">
        <v>104</v>
      </c>
      <c r="AB2401" s="1" t="s">
        <v>104</v>
      </c>
      <c r="AC2401" s="1" t="s">
        <v>104</v>
      </c>
      <c r="AD2401" s="1">
        <v>6</v>
      </c>
      <c r="AE2401" s="1" t="s">
        <v>104</v>
      </c>
      <c r="AF2401" s="1" t="s">
        <v>104</v>
      </c>
      <c r="AG2401" s="1" t="s">
        <v>104</v>
      </c>
      <c r="AH2401" s="1" t="s">
        <v>104</v>
      </c>
      <c r="AI2401" s="1" t="s">
        <v>104</v>
      </c>
      <c r="AJ2401" s="1" t="s">
        <v>104</v>
      </c>
      <c r="AK2401" s="1" t="s">
        <v>104</v>
      </c>
      <c r="AL2401" s="1">
        <v>6</v>
      </c>
      <c r="AM2401" s="1" t="s">
        <v>104</v>
      </c>
      <c r="AO2401" s="1">
        <v>6</v>
      </c>
      <c r="AQ2401" s="1" t="s">
        <v>12341</v>
      </c>
      <c r="AR2401" s="1">
        <v>0</v>
      </c>
      <c r="AS2401" s="1">
        <v>0</v>
      </c>
      <c r="AT2401" s="1">
        <v>0</v>
      </c>
      <c r="AU2401" s="1">
        <v>0</v>
      </c>
      <c r="AV2401" s="1">
        <v>0</v>
      </c>
      <c r="AW2401" s="1">
        <v>0</v>
      </c>
      <c r="AX2401" s="1">
        <v>0</v>
      </c>
      <c r="AY2401" s="1">
        <v>0</v>
      </c>
      <c r="AZ2401" s="1">
        <v>0</v>
      </c>
      <c r="BA2401" s="1">
        <v>0</v>
      </c>
      <c r="BB2401" s="1">
        <v>0</v>
      </c>
      <c r="BC2401" s="1">
        <v>0</v>
      </c>
      <c r="BD2401" s="1">
        <v>0</v>
      </c>
      <c r="BE2401" s="1">
        <v>0</v>
      </c>
      <c r="BF2401" s="1">
        <v>0</v>
      </c>
      <c r="BG2401" s="1">
        <v>0</v>
      </c>
      <c r="BH2401" s="1">
        <v>0</v>
      </c>
      <c r="BI2401" s="1">
        <v>0</v>
      </c>
      <c r="BJ2401" s="1">
        <v>0</v>
      </c>
      <c r="BK2401" s="1">
        <v>1</v>
      </c>
      <c r="BL2401" s="1">
        <v>0</v>
      </c>
      <c r="BM2401" s="1">
        <v>0</v>
      </c>
      <c r="BN2401" s="1">
        <v>0</v>
      </c>
      <c r="BO2401" s="1">
        <v>0</v>
      </c>
      <c r="BP2401" s="1">
        <v>0</v>
      </c>
      <c r="BQ2401" s="1" t="s">
        <v>104</v>
      </c>
      <c r="BR2401" s="1">
        <v>2522</v>
      </c>
      <c r="BS2401" s="1">
        <v>25</v>
      </c>
      <c r="BX2401" s="1">
        <v>0</v>
      </c>
      <c r="BY2401" s="1" t="s">
        <v>104</v>
      </c>
      <c r="BZ2401" s="1" t="s">
        <v>104</v>
      </c>
      <c r="CA2401" s="1">
        <v>6</v>
      </c>
      <c r="CB2401" s="1" t="s">
        <v>104</v>
      </c>
      <c r="CC2401" s="1">
        <v>6</v>
      </c>
      <c r="CD2401" s="1">
        <v>6</v>
      </c>
      <c r="CE2401" s="1" t="s">
        <v>104</v>
      </c>
      <c r="CF2401" s="1" t="s">
        <v>104</v>
      </c>
      <c r="CG2401" s="1" t="s">
        <v>104</v>
      </c>
      <c r="CH2401" s="1" t="s">
        <v>104</v>
      </c>
      <c r="CJ2401" s="1">
        <v>0</v>
      </c>
      <c r="CK2401" s="1">
        <v>0</v>
      </c>
      <c r="CL2401" s="1">
        <v>0</v>
      </c>
      <c r="CM2401" s="1" t="s">
        <v>104</v>
      </c>
    </row>
    <row r="2402" spans="1:91" ht="14.25" customHeight="1" x14ac:dyDescent="0.3">
      <c r="A2402" s="1" t="s">
        <v>12342</v>
      </c>
      <c r="B2402" s="1" t="s">
        <v>172</v>
      </c>
      <c r="E2402" s="1" t="s">
        <v>12343</v>
      </c>
      <c r="F2402" s="1" t="s">
        <v>9331</v>
      </c>
      <c r="G2402" s="1" t="s">
        <v>12344</v>
      </c>
      <c r="H2402" s="1">
        <v>1</v>
      </c>
      <c r="I2402" s="1" t="s">
        <v>157</v>
      </c>
      <c r="L2402" s="1" t="s">
        <v>158</v>
      </c>
      <c r="M2402" s="1" t="s">
        <v>119</v>
      </c>
      <c r="N2402" s="1">
        <v>0</v>
      </c>
      <c r="O2402" s="1">
        <v>0</v>
      </c>
      <c r="R2402" s="1" t="s">
        <v>12345</v>
      </c>
      <c r="S2402" s="1" t="s">
        <v>11859</v>
      </c>
      <c r="T2402" s="1">
        <v>1</v>
      </c>
      <c r="U2402" s="1">
        <v>1</v>
      </c>
      <c r="V2402" s="1">
        <v>1</v>
      </c>
      <c r="W2402" s="1">
        <v>0</v>
      </c>
      <c r="X2402" s="1">
        <v>0</v>
      </c>
      <c r="Y2402" s="1" t="s">
        <v>104</v>
      </c>
      <c r="Z2402" s="1" t="s">
        <v>104</v>
      </c>
      <c r="AA2402" s="1">
        <v>8</v>
      </c>
      <c r="AB2402" s="1" t="s">
        <v>104</v>
      </c>
      <c r="AC2402" s="1" t="s">
        <v>104</v>
      </c>
      <c r="AD2402" s="1" t="s">
        <v>104</v>
      </c>
      <c r="AE2402" s="1" t="s">
        <v>104</v>
      </c>
      <c r="AF2402" s="1" t="s">
        <v>104</v>
      </c>
      <c r="AG2402" s="1" t="s">
        <v>104</v>
      </c>
      <c r="AH2402" s="1">
        <v>8</v>
      </c>
      <c r="AI2402" s="1" t="s">
        <v>104</v>
      </c>
      <c r="AJ2402" s="1">
        <v>8</v>
      </c>
      <c r="AK2402" s="1" t="s">
        <v>104</v>
      </c>
      <c r="AL2402" s="1" t="s">
        <v>104</v>
      </c>
      <c r="AM2402" s="1" t="s">
        <v>104</v>
      </c>
      <c r="AO2402" s="1">
        <v>8</v>
      </c>
      <c r="AQ2402" s="1" t="s">
        <v>12346</v>
      </c>
      <c r="AR2402" s="1">
        <v>0</v>
      </c>
      <c r="AS2402" s="1">
        <v>0</v>
      </c>
      <c r="AT2402" s="1">
        <v>0</v>
      </c>
      <c r="AU2402" s="1">
        <v>0</v>
      </c>
      <c r="AV2402" s="1">
        <v>0</v>
      </c>
      <c r="AW2402" s="1">
        <v>0</v>
      </c>
      <c r="AX2402" s="1">
        <v>0</v>
      </c>
      <c r="AY2402" s="1">
        <v>0</v>
      </c>
      <c r="AZ2402" s="1">
        <v>0</v>
      </c>
      <c r="BA2402" s="1">
        <v>0</v>
      </c>
      <c r="BB2402" s="1">
        <v>0</v>
      </c>
      <c r="BC2402" s="1">
        <v>0</v>
      </c>
      <c r="BD2402" s="1">
        <v>0</v>
      </c>
      <c r="BE2402" s="1">
        <v>0</v>
      </c>
      <c r="BF2402" s="1">
        <v>0</v>
      </c>
      <c r="BG2402" s="1">
        <v>0</v>
      </c>
      <c r="BH2402" s="1">
        <v>0</v>
      </c>
      <c r="BI2402" s="1">
        <v>0</v>
      </c>
      <c r="BJ2402" s="1">
        <v>0</v>
      </c>
      <c r="BK2402" s="1">
        <v>0</v>
      </c>
      <c r="BL2402" s="1">
        <v>0</v>
      </c>
      <c r="BM2402" s="1">
        <v>0</v>
      </c>
      <c r="BN2402" s="1">
        <v>0</v>
      </c>
      <c r="BO2402" s="1">
        <v>0</v>
      </c>
      <c r="BP2402" s="1">
        <v>0</v>
      </c>
      <c r="BQ2402" s="1" t="s">
        <v>104</v>
      </c>
      <c r="BR2402" s="1">
        <v>2523</v>
      </c>
      <c r="BS2402" s="1">
        <v>1000</v>
      </c>
      <c r="BX2402" s="1">
        <v>0</v>
      </c>
      <c r="BY2402" s="1" t="s">
        <v>104</v>
      </c>
      <c r="BZ2402" s="1">
        <v>8</v>
      </c>
      <c r="CA2402" s="1">
        <v>8</v>
      </c>
      <c r="CB2402" s="1" t="s">
        <v>104</v>
      </c>
      <c r="CC2402" s="1" t="s">
        <v>104</v>
      </c>
      <c r="CD2402" s="1" t="s">
        <v>104</v>
      </c>
      <c r="CE2402" s="1" t="s">
        <v>104</v>
      </c>
      <c r="CF2402" s="1" t="s">
        <v>104</v>
      </c>
      <c r="CG2402" s="1" t="s">
        <v>104</v>
      </c>
      <c r="CH2402" s="1" t="s">
        <v>104</v>
      </c>
      <c r="CJ2402" s="1">
        <v>0</v>
      </c>
      <c r="CK2402" s="1">
        <v>0</v>
      </c>
      <c r="CL2402" s="1">
        <v>0</v>
      </c>
      <c r="CM2402" s="1" t="s">
        <v>104</v>
      </c>
    </row>
    <row r="2403" spans="1:91" ht="14.25" customHeight="1" x14ac:dyDescent="0.3">
      <c r="A2403" s="1" t="s">
        <v>12347</v>
      </c>
      <c r="B2403" s="1" t="s">
        <v>137</v>
      </c>
      <c r="E2403" s="1" t="s">
        <v>1404</v>
      </c>
      <c r="F2403" s="1" t="s">
        <v>4934</v>
      </c>
      <c r="G2403" s="1" t="s">
        <v>1802</v>
      </c>
      <c r="H2403" s="1">
        <v>0</v>
      </c>
      <c r="I2403" s="1" t="s">
        <v>117</v>
      </c>
      <c r="L2403" s="1" t="s">
        <v>12348</v>
      </c>
      <c r="M2403" s="1" t="s">
        <v>255</v>
      </c>
      <c r="N2403" s="1">
        <v>0</v>
      </c>
      <c r="O2403" s="1">
        <v>0</v>
      </c>
      <c r="P2403" s="1" t="s">
        <v>471</v>
      </c>
      <c r="Q2403" s="1" t="s">
        <v>472</v>
      </c>
      <c r="R2403" s="1" t="s">
        <v>12349</v>
      </c>
      <c r="S2403" s="1" t="s">
        <v>11859</v>
      </c>
      <c r="T2403" s="1">
        <v>0</v>
      </c>
      <c r="U2403" s="1">
        <v>1</v>
      </c>
      <c r="V2403" s="1">
        <v>0</v>
      </c>
      <c r="W2403" s="1">
        <v>0</v>
      </c>
      <c r="X2403" s="1">
        <v>0</v>
      </c>
      <c r="Y2403" s="1" t="s">
        <v>104</v>
      </c>
      <c r="Z2403" s="1" t="s">
        <v>104</v>
      </c>
      <c r="AA2403" s="1" t="s">
        <v>104</v>
      </c>
      <c r="AB2403" s="1">
        <v>1</v>
      </c>
      <c r="AC2403" s="1">
        <v>1</v>
      </c>
      <c r="AD2403" s="1" t="s">
        <v>104</v>
      </c>
      <c r="AE2403" s="1" t="s">
        <v>104</v>
      </c>
      <c r="AF2403" s="1" t="s">
        <v>104</v>
      </c>
      <c r="AG2403" s="1" t="s">
        <v>104</v>
      </c>
      <c r="AH2403" s="1" t="s">
        <v>104</v>
      </c>
      <c r="AI2403" s="1" t="s">
        <v>104</v>
      </c>
      <c r="AJ2403" s="1" t="s">
        <v>104</v>
      </c>
      <c r="AK2403" s="1" t="s">
        <v>104</v>
      </c>
      <c r="AL2403" s="1" t="s">
        <v>104</v>
      </c>
      <c r="AM2403" s="1" t="s">
        <v>104</v>
      </c>
      <c r="AO2403" s="1">
        <v>1</v>
      </c>
      <c r="AQ2403" s="1" t="s">
        <v>12350</v>
      </c>
      <c r="AR2403" s="1">
        <v>0</v>
      </c>
      <c r="AS2403" s="1">
        <v>0</v>
      </c>
      <c r="AT2403" s="1">
        <v>0</v>
      </c>
      <c r="AU2403" s="1">
        <v>0</v>
      </c>
      <c r="AV2403" s="1">
        <v>0</v>
      </c>
      <c r="AW2403" s="1">
        <v>0</v>
      </c>
      <c r="AX2403" s="1">
        <v>0</v>
      </c>
      <c r="AY2403" s="1">
        <v>0</v>
      </c>
      <c r="AZ2403" s="1">
        <v>0</v>
      </c>
      <c r="BA2403" s="1">
        <v>0</v>
      </c>
      <c r="BB2403" s="1">
        <v>0</v>
      </c>
      <c r="BC2403" s="1">
        <v>0</v>
      </c>
      <c r="BD2403" s="1">
        <v>0</v>
      </c>
      <c r="BE2403" s="1">
        <v>0</v>
      </c>
      <c r="BF2403" s="1">
        <v>0</v>
      </c>
      <c r="BG2403" s="1">
        <v>0</v>
      </c>
      <c r="BH2403" s="1">
        <v>0</v>
      </c>
      <c r="BI2403" s="1">
        <v>0</v>
      </c>
      <c r="BJ2403" s="1">
        <v>0</v>
      </c>
      <c r="BK2403" s="1">
        <v>0</v>
      </c>
      <c r="BL2403" s="1">
        <v>0</v>
      </c>
      <c r="BM2403" s="1">
        <v>0</v>
      </c>
      <c r="BN2403" s="1">
        <v>0</v>
      </c>
      <c r="BO2403" s="1">
        <v>0</v>
      </c>
      <c r="BP2403" s="1">
        <v>0</v>
      </c>
      <c r="BQ2403" s="1" t="s">
        <v>104</v>
      </c>
      <c r="BR2403" s="1">
        <v>2524</v>
      </c>
      <c r="BS2403" s="1" t="s">
        <v>104</v>
      </c>
      <c r="BX2403" s="1">
        <v>0</v>
      </c>
      <c r="BY2403" s="1" t="s">
        <v>104</v>
      </c>
      <c r="BZ2403" s="1">
        <v>1</v>
      </c>
      <c r="CA2403" s="1" t="s">
        <v>104</v>
      </c>
      <c r="CB2403" s="1" t="s">
        <v>104</v>
      </c>
      <c r="CC2403" s="1" t="s">
        <v>104</v>
      </c>
      <c r="CD2403" s="1" t="s">
        <v>104</v>
      </c>
      <c r="CE2403" s="1" t="s">
        <v>104</v>
      </c>
      <c r="CF2403" s="1" t="s">
        <v>104</v>
      </c>
      <c r="CG2403" s="1" t="s">
        <v>104</v>
      </c>
      <c r="CH2403" s="1">
        <v>1</v>
      </c>
      <c r="CJ2403" s="1">
        <v>0</v>
      </c>
      <c r="CK2403" s="1">
        <v>0</v>
      </c>
      <c r="CL2403" s="1">
        <v>0</v>
      </c>
      <c r="CM2403" s="1" t="s">
        <v>104</v>
      </c>
    </row>
    <row r="2404" spans="1:91" ht="14.25" customHeight="1" x14ac:dyDescent="0.3">
      <c r="A2404" s="1" t="s">
        <v>12351</v>
      </c>
      <c r="B2404" s="1" t="s">
        <v>507</v>
      </c>
      <c r="C2404" s="1" t="s">
        <v>508</v>
      </c>
      <c r="E2404" s="1" t="s">
        <v>12352</v>
      </c>
      <c r="F2404" s="1" t="s">
        <v>5831</v>
      </c>
      <c r="G2404" s="1" t="s">
        <v>12353</v>
      </c>
      <c r="H2404" s="1">
        <v>1</v>
      </c>
      <c r="I2404" s="1" t="s">
        <v>128</v>
      </c>
      <c r="L2404" s="1" t="s">
        <v>12354</v>
      </c>
      <c r="M2404" s="1" t="s">
        <v>4400</v>
      </c>
      <c r="N2404" s="1">
        <v>1</v>
      </c>
      <c r="O2404" s="1">
        <v>0</v>
      </c>
      <c r="P2404" s="1" t="s">
        <v>100</v>
      </c>
      <c r="Q2404" s="1" t="s">
        <v>101</v>
      </c>
      <c r="R2404" s="1" t="s">
        <v>12355</v>
      </c>
      <c r="S2404" s="1" t="s">
        <v>11859</v>
      </c>
      <c r="T2404" s="1">
        <v>1</v>
      </c>
      <c r="U2404" s="1">
        <v>1</v>
      </c>
      <c r="V2404" s="1">
        <v>1</v>
      </c>
      <c r="W2404" s="1">
        <v>0</v>
      </c>
      <c r="X2404" s="1">
        <v>0</v>
      </c>
      <c r="Y2404" s="1" t="s">
        <v>104</v>
      </c>
      <c r="Z2404" s="1" t="s">
        <v>104</v>
      </c>
      <c r="AA2404" s="1" t="s">
        <v>104</v>
      </c>
      <c r="AB2404" s="1" t="s">
        <v>104</v>
      </c>
      <c r="AC2404" s="1">
        <v>2</v>
      </c>
      <c r="AD2404" s="1" t="s">
        <v>104</v>
      </c>
      <c r="AE2404" s="1" t="s">
        <v>104</v>
      </c>
      <c r="AF2404" s="1" t="s">
        <v>104</v>
      </c>
      <c r="AG2404" s="1" t="s">
        <v>104</v>
      </c>
      <c r="AH2404" s="1" t="s">
        <v>104</v>
      </c>
      <c r="AI2404" s="1" t="s">
        <v>104</v>
      </c>
      <c r="AJ2404" s="1" t="s">
        <v>104</v>
      </c>
      <c r="AK2404" s="1">
        <v>2</v>
      </c>
      <c r="AL2404" s="1" t="s">
        <v>104</v>
      </c>
      <c r="AM2404" s="1" t="s">
        <v>104</v>
      </c>
      <c r="AO2404" s="1">
        <v>2</v>
      </c>
      <c r="AQ2404" s="1" t="s">
        <v>12356</v>
      </c>
      <c r="AR2404" s="1">
        <v>0</v>
      </c>
      <c r="AS2404" s="1">
        <v>0</v>
      </c>
      <c r="AT2404" s="1">
        <v>0</v>
      </c>
      <c r="AU2404" s="1">
        <v>0</v>
      </c>
      <c r="AV2404" s="1">
        <v>0</v>
      </c>
      <c r="AW2404" s="1">
        <v>0</v>
      </c>
      <c r="AX2404" s="1">
        <v>0</v>
      </c>
      <c r="AY2404" s="1">
        <v>0</v>
      </c>
      <c r="AZ2404" s="1">
        <v>0</v>
      </c>
      <c r="BA2404" s="1">
        <v>0</v>
      </c>
      <c r="BB2404" s="1">
        <v>0</v>
      </c>
      <c r="BC2404" s="1">
        <v>0</v>
      </c>
      <c r="BD2404" s="1">
        <v>0</v>
      </c>
      <c r="BE2404" s="1">
        <v>0</v>
      </c>
      <c r="BF2404" s="1">
        <v>0</v>
      </c>
      <c r="BG2404" s="1">
        <v>0</v>
      </c>
      <c r="BH2404" s="1">
        <v>0</v>
      </c>
      <c r="BI2404" s="1">
        <v>0</v>
      </c>
      <c r="BJ2404" s="1">
        <v>0</v>
      </c>
      <c r="BK2404" s="1">
        <v>0</v>
      </c>
      <c r="BL2404" s="1">
        <v>0</v>
      </c>
      <c r="BM2404" s="1">
        <v>0</v>
      </c>
      <c r="BN2404" s="1">
        <v>0</v>
      </c>
      <c r="BO2404" s="1">
        <v>0</v>
      </c>
      <c r="BP2404" s="1">
        <v>0</v>
      </c>
      <c r="BQ2404" s="1" t="s">
        <v>104</v>
      </c>
      <c r="BR2404" s="1">
        <v>2525</v>
      </c>
      <c r="BS2404" s="1">
        <v>50</v>
      </c>
      <c r="BX2404" s="1">
        <v>0</v>
      </c>
      <c r="BY2404" s="1" t="s">
        <v>104</v>
      </c>
      <c r="BZ2404" s="1" t="s">
        <v>104</v>
      </c>
      <c r="CA2404" s="1" t="s">
        <v>104</v>
      </c>
      <c r="CB2404" s="1" t="s">
        <v>104</v>
      </c>
      <c r="CC2404" s="1" t="s">
        <v>104</v>
      </c>
      <c r="CD2404" s="1">
        <v>3</v>
      </c>
      <c r="CE2404" s="1" t="s">
        <v>104</v>
      </c>
      <c r="CF2404" s="1" t="s">
        <v>104</v>
      </c>
      <c r="CG2404" s="1" t="s">
        <v>104</v>
      </c>
      <c r="CH2404" s="1">
        <v>2</v>
      </c>
      <c r="CJ2404" s="1">
        <v>0</v>
      </c>
      <c r="CK2404" s="1">
        <v>0</v>
      </c>
      <c r="CL2404" s="1">
        <v>0</v>
      </c>
      <c r="CM2404" s="1" t="s">
        <v>104</v>
      </c>
    </row>
    <row r="2405" spans="1:91" ht="14.25" customHeight="1" x14ac:dyDescent="0.3">
      <c r="A2405" s="1" t="s">
        <v>12357</v>
      </c>
      <c r="B2405" s="1" t="s">
        <v>172</v>
      </c>
      <c r="E2405" s="1" t="s">
        <v>12358</v>
      </c>
      <c r="F2405" s="1" t="s">
        <v>287</v>
      </c>
      <c r="G2405" s="1" t="s">
        <v>127</v>
      </c>
      <c r="H2405" s="1">
        <v>0</v>
      </c>
      <c r="I2405" s="1" t="s">
        <v>157</v>
      </c>
      <c r="L2405" s="1" t="s">
        <v>158</v>
      </c>
      <c r="M2405" s="1" t="s">
        <v>4292</v>
      </c>
      <c r="N2405" s="1">
        <v>0</v>
      </c>
      <c r="O2405" s="1">
        <v>0</v>
      </c>
      <c r="P2405" s="1" t="s">
        <v>100</v>
      </c>
      <c r="Q2405" s="1" t="s">
        <v>101</v>
      </c>
      <c r="R2405" s="1" t="s">
        <v>12359</v>
      </c>
      <c r="S2405" s="1" t="s">
        <v>11859</v>
      </c>
      <c r="T2405" s="1">
        <v>1</v>
      </c>
      <c r="U2405" s="1">
        <v>1</v>
      </c>
      <c r="V2405" s="1">
        <v>0</v>
      </c>
      <c r="W2405" s="1">
        <v>0</v>
      </c>
      <c r="X2405" s="1">
        <v>1</v>
      </c>
      <c r="Y2405" s="1" t="s">
        <v>104</v>
      </c>
      <c r="Z2405" s="1" t="s">
        <v>104</v>
      </c>
      <c r="AA2405" s="1" t="s">
        <v>104</v>
      </c>
      <c r="AB2405" s="1">
        <v>6</v>
      </c>
      <c r="AC2405" s="1">
        <v>4</v>
      </c>
      <c r="AD2405" s="1" t="s">
        <v>104</v>
      </c>
      <c r="AE2405" s="1" t="s">
        <v>104</v>
      </c>
      <c r="AF2405" s="1">
        <v>5</v>
      </c>
      <c r="AG2405" s="1" t="s">
        <v>104</v>
      </c>
      <c r="AH2405" s="1" t="s">
        <v>104</v>
      </c>
      <c r="AI2405" s="1" t="s">
        <v>104</v>
      </c>
      <c r="AJ2405" s="1" t="s">
        <v>104</v>
      </c>
      <c r="AK2405" s="1" t="s">
        <v>104</v>
      </c>
      <c r="AL2405" s="1" t="s">
        <v>104</v>
      </c>
      <c r="AM2405" s="1" t="s">
        <v>104</v>
      </c>
      <c r="AO2405" s="1">
        <v>6</v>
      </c>
      <c r="AQ2405" s="1" t="s">
        <v>12360</v>
      </c>
      <c r="AR2405" s="1">
        <v>0</v>
      </c>
      <c r="AS2405" s="1">
        <v>0</v>
      </c>
      <c r="AT2405" s="1">
        <v>0</v>
      </c>
      <c r="AU2405" s="1">
        <v>0</v>
      </c>
      <c r="AV2405" s="1">
        <v>0</v>
      </c>
      <c r="AW2405" s="1">
        <v>0</v>
      </c>
      <c r="AX2405" s="1">
        <v>0</v>
      </c>
      <c r="AY2405" s="1">
        <v>0</v>
      </c>
      <c r="AZ2405" s="1">
        <v>0</v>
      </c>
      <c r="BA2405" s="1">
        <v>0</v>
      </c>
      <c r="BB2405" s="1">
        <v>0</v>
      </c>
      <c r="BC2405" s="1">
        <v>0</v>
      </c>
      <c r="BD2405" s="1">
        <v>0</v>
      </c>
      <c r="BE2405" s="1">
        <v>0</v>
      </c>
      <c r="BF2405" s="1">
        <v>0</v>
      </c>
      <c r="BG2405" s="1">
        <v>0</v>
      </c>
      <c r="BH2405" s="1">
        <v>0</v>
      </c>
      <c r="BI2405" s="1">
        <v>0</v>
      </c>
      <c r="BJ2405" s="1">
        <v>0</v>
      </c>
      <c r="BK2405" s="1">
        <v>0</v>
      </c>
      <c r="BL2405" s="1">
        <v>0</v>
      </c>
      <c r="BM2405" s="1">
        <v>0</v>
      </c>
      <c r="BN2405" s="1">
        <v>0</v>
      </c>
      <c r="BO2405" s="1">
        <v>0</v>
      </c>
      <c r="BP2405" s="1">
        <v>0</v>
      </c>
      <c r="BQ2405" s="1" t="s">
        <v>104</v>
      </c>
      <c r="BR2405" s="1">
        <v>2526</v>
      </c>
      <c r="BS2405" s="1" t="s">
        <v>104</v>
      </c>
      <c r="BX2405" s="1">
        <v>0</v>
      </c>
      <c r="BY2405" s="1" t="s">
        <v>104</v>
      </c>
      <c r="BZ2405" s="1" t="s">
        <v>104</v>
      </c>
      <c r="CA2405" s="1" t="s">
        <v>104</v>
      </c>
      <c r="CB2405" s="1" t="s">
        <v>104</v>
      </c>
      <c r="CC2405" s="1" t="s">
        <v>104</v>
      </c>
      <c r="CD2405" s="1">
        <v>4</v>
      </c>
      <c r="CE2405" s="1" t="s">
        <v>104</v>
      </c>
      <c r="CF2405" s="1" t="s">
        <v>104</v>
      </c>
      <c r="CG2405" s="1" t="s">
        <v>104</v>
      </c>
      <c r="CH2405" s="1">
        <v>4</v>
      </c>
      <c r="CJ2405" s="1">
        <v>0</v>
      </c>
      <c r="CK2405" s="1">
        <v>0</v>
      </c>
      <c r="CL2405" s="1">
        <v>0</v>
      </c>
      <c r="CM2405" s="1" t="s">
        <v>104</v>
      </c>
    </row>
    <row r="2406" spans="1:91" ht="14.25" customHeight="1" x14ac:dyDescent="0.3">
      <c r="A2406" s="1" t="s">
        <v>12361</v>
      </c>
      <c r="B2406" s="1" t="s">
        <v>92</v>
      </c>
      <c r="C2406" s="1" t="s">
        <v>1160</v>
      </c>
      <c r="E2406" s="1" t="s">
        <v>12362</v>
      </c>
      <c r="F2406" s="1" t="s">
        <v>95</v>
      </c>
      <c r="G2406" s="1" t="s">
        <v>12363</v>
      </c>
      <c r="H2406" s="1">
        <v>0</v>
      </c>
      <c r="I2406" s="1" t="s">
        <v>109</v>
      </c>
      <c r="L2406" s="1" t="s">
        <v>12364</v>
      </c>
      <c r="M2406" s="1" t="s">
        <v>255</v>
      </c>
      <c r="N2406" s="1">
        <v>0</v>
      </c>
      <c r="O2406" s="1">
        <v>0</v>
      </c>
      <c r="R2406" s="1" t="s">
        <v>12365</v>
      </c>
      <c r="S2406" s="1" t="s">
        <v>11859</v>
      </c>
      <c r="T2406" s="1">
        <v>1</v>
      </c>
      <c r="U2406" s="1">
        <v>1</v>
      </c>
      <c r="V2406" s="1">
        <v>1</v>
      </c>
      <c r="W2406" s="1">
        <v>0</v>
      </c>
      <c r="X2406" s="1">
        <v>0</v>
      </c>
      <c r="Y2406" s="1">
        <v>3</v>
      </c>
      <c r="Z2406" s="1">
        <v>3</v>
      </c>
      <c r="AA2406" s="1" t="s">
        <v>104</v>
      </c>
      <c r="AB2406" s="1" t="s">
        <v>104</v>
      </c>
      <c r="AC2406" s="1" t="s">
        <v>104</v>
      </c>
      <c r="AD2406" s="1">
        <v>2</v>
      </c>
      <c r="AE2406" s="1" t="s">
        <v>104</v>
      </c>
      <c r="AF2406" s="1" t="s">
        <v>104</v>
      </c>
      <c r="AG2406" s="1">
        <v>3</v>
      </c>
      <c r="AH2406" s="1" t="s">
        <v>104</v>
      </c>
      <c r="AI2406" s="1" t="s">
        <v>104</v>
      </c>
      <c r="AJ2406" s="1" t="s">
        <v>104</v>
      </c>
      <c r="AK2406" s="1" t="s">
        <v>104</v>
      </c>
      <c r="AL2406" s="1">
        <v>3</v>
      </c>
      <c r="AM2406" s="1" t="s">
        <v>104</v>
      </c>
      <c r="AO2406" s="1">
        <v>3</v>
      </c>
      <c r="AQ2406" s="1" t="s">
        <v>12366</v>
      </c>
      <c r="AR2406" s="1">
        <v>0</v>
      </c>
      <c r="AS2406" s="1">
        <v>0</v>
      </c>
      <c r="AT2406" s="1">
        <v>0</v>
      </c>
      <c r="AU2406" s="1">
        <v>0</v>
      </c>
      <c r="AV2406" s="1">
        <v>0</v>
      </c>
      <c r="AW2406" s="1">
        <v>0</v>
      </c>
      <c r="AX2406" s="1">
        <v>0</v>
      </c>
      <c r="AY2406" s="1">
        <v>0</v>
      </c>
      <c r="AZ2406" s="1">
        <v>0</v>
      </c>
      <c r="BA2406" s="1">
        <v>0</v>
      </c>
      <c r="BB2406" s="1">
        <v>0</v>
      </c>
      <c r="BC2406" s="1">
        <v>0</v>
      </c>
      <c r="BD2406" s="1">
        <v>0</v>
      </c>
      <c r="BE2406" s="1">
        <v>0</v>
      </c>
      <c r="BF2406" s="1">
        <v>0</v>
      </c>
      <c r="BG2406" s="1">
        <v>0</v>
      </c>
      <c r="BH2406" s="1">
        <v>0</v>
      </c>
      <c r="BI2406" s="1">
        <v>0</v>
      </c>
      <c r="BJ2406" s="1">
        <v>0</v>
      </c>
      <c r="BK2406" s="1">
        <v>0</v>
      </c>
      <c r="BL2406" s="1">
        <v>0</v>
      </c>
      <c r="BM2406" s="1">
        <v>0</v>
      </c>
      <c r="BN2406" s="1">
        <v>0</v>
      </c>
      <c r="BO2406" s="1">
        <v>0</v>
      </c>
      <c r="BP2406" s="1">
        <v>0</v>
      </c>
      <c r="BQ2406" s="1" t="s">
        <v>104</v>
      </c>
      <c r="BR2406" s="1">
        <v>2527</v>
      </c>
      <c r="BS2406" s="1" t="s">
        <v>104</v>
      </c>
      <c r="BX2406" s="1">
        <v>0</v>
      </c>
      <c r="BY2406" s="1" t="s">
        <v>104</v>
      </c>
      <c r="BZ2406" s="1" t="s">
        <v>104</v>
      </c>
      <c r="CA2406" s="1" t="s">
        <v>104</v>
      </c>
      <c r="CB2406" s="1" t="s">
        <v>104</v>
      </c>
      <c r="CC2406" s="1" t="s">
        <v>104</v>
      </c>
      <c r="CD2406" s="1">
        <v>3</v>
      </c>
      <c r="CE2406" s="1" t="s">
        <v>104</v>
      </c>
      <c r="CF2406" s="1" t="s">
        <v>104</v>
      </c>
      <c r="CG2406" s="1" t="s">
        <v>104</v>
      </c>
      <c r="CH2406" s="1" t="s">
        <v>104</v>
      </c>
      <c r="CJ2406" s="1">
        <v>0</v>
      </c>
      <c r="CK2406" s="1">
        <v>0</v>
      </c>
      <c r="CL2406" s="1">
        <v>0</v>
      </c>
      <c r="CM2406" s="1">
        <v>3</v>
      </c>
    </row>
    <row r="2407" spans="1:91" ht="14.25" customHeight="1" x14ac:dyDescent="0.3">
      <c r="A2407" s="1" t="s">
        <v>12367</v>
      </c>
      <c r="B2407" s="1" t="s">
        <v>172</v>
      </c>
      <c r="C2407" s="1" t="s">
        <v>285</v>
      </c>
      <c r="E2407" s="1" t="s">
        <v>12368</v>
      </c>
      <c r="F2407" s="1" t="s">
        <v>95</v>
      </c>
      <c r="G2407" s="1" t="s">
        <v>116</v>
      </c>
      <c r="H2407" s="1">
        <v>0</v>
      </c>
      <c r="I2407" s="1" t="s">
        <v>128</v>
      </c>
      <c r="K2407" s="1" t="s">
        <v>290</v>
      </c>
      <c r="M2407" s="1" t="s">
        <v>4641</v>
      </c>
      <c r="N2407" s="1">
        <v>1</v>
      </c>
      <c r="O2407" s="1">
        <v>0</v>
      </c>
      <c r="P2407" s="1" t="s">
        <v>471</v>
      </c>
      <c r="Q2407" s="1" t="s">
        <v>472</v>
      </c>
      <c r="R2407" s="1" t="s">
        <v>12369</v>
      </c>
      <c r="S2407" s="1" t="s">
        <v>11859</v>
      </c>
      <c r="T2407" s="1">
        <v>1</v>
      </c>
      <c r="U2407" s="1">
        <v>1</v>
      </c>
      <c r="V2407" s="1">
        <v>0</v>
      </c>
      <c r="W2407" s="1">
        <v>0</v>
      </c>
      <c r="X2407" s="1">
        <v>0</v>
      </c>
      <c r="Y2407" s="1">
        <v>4</v>
      </c>
      <c r="Z2407" s="1">
        <v>4</v>
      </c>
      <c r="AA2407" s="1" t="s">
        <v>104</v>
      </c>
      <c r="AB2407" s="1" t="s">
        <v>104</v>
      </c>
      <c r="AC2407" s="1" t="s">
        <v>104</v>
      </c>
      <c r="AD2407" s="1">
        <v>4</v>
      </c>
      <c r="AE2407" s="1" t="s">
        <v>104</v>
      </c>
      <c r="AF2407" s="1" t="s">
        <v>104</v>
      </c>
      <c r="AG2407" s="1" t="s">
        <v>104</v>
      </c>
      <c r="AH2407" s="1">
        <v>4</v>
      </c>
      <c r="AI2407" s="1" t="s">
        <v>104</v>
      </c>
      <c r="AJ2407" s="1" t="s">
        <v>104</v>
      </c>
      <c r="AK2407" s="1" t="s">
        <v>104</v>
      </c>
      <c r="AL2407" s="1" t="s">
        <v>104</v>
      </c>
      <c r="AM2407" s="1" t="s">
        <v>104</v>
      </c>
      <c r="AO2407" s="1">
        <v>4</v>
      </c>
      <c r="AQ2407" s="1" t="s">
        <v>12370</v>
      </c>
      <c r="AR2407" s="1">
        <v>0</v>
      </c>
      <c r="AS2407" s="1">
        <v>0</v>
      </c>
      <c r="AT2407" s="1">
        <v>0</v>
      </c>
      <c r="AU2407" s="1">
        <v>0</v>
      </c>
      <c r="AV2407" s="1">
        <v>0</v>
      </c>
      <c r="AW2407" s="1">
        <v>0</v>
      </c>
      <c r="AX2407" s="1">
        <v>0</v>
      </c>
      <c r="AY2407" s="1">
        <v>0</v>
      </c>
      <c r="AZ2407" s="1">
        <v>0</v>
      </c>
      <c r="BA2407" s="1">
        <v>0</v>
      </c>
      <c r="BB2407" s="1">
        <v>0</v>
      </c>
      <c r="BC2407" s="1">
        <v>0</v>
      </c>
      <c r="BD2407" s="1">
        <v>0</v>
      </c>
      <c r="BE2407" s="1">
        <v>0</v>
      </c>
      <c r="BF2407" s="1">
        <v>0</v>
      </c>
      <c r="BG2407" s="1">
        <v>0</v>
      </c>
      <c r="BH2407" s="1">
        <v>0</v>
      </c>
      <c r="BI2407" s="1">
        <v>0</v>
      </c>
      <c r="BJ2407" s="1">
        <v>0</v>
      </c>
      <c r="BK2407" s="1">
        <v>0</v>
      </c>
      <c r="BL2407" s="1">
        <v>0</v>
      </c>
      <c r="BM2407" s="1">
        <v>0</v>
      </c>
      <c r="BN2407" s="1">
        <v>0</v>
      </c>
      <c r="BO2407" s="1">
        <v>0</v>
      </c>
      <c r="BP2407" s="1">
        <v>0</v>
      </c>
      <c r="BQ2407" s="1" t="s">
        <v>104</v>
      </c>
      <c r="BR2407" s="1">
        <v>2528</v>
      </c>
      <c r="BS2407" s="1" t="s">
        <v>104</v>
      </c>
      <c r="BX2407" s="1">
        <v>0</v>
      </c>
      <c r="BY2407" s="1" t="s">
        <v>104</v>
      </c>
      <c r="BZ2407" s="1">
        <v>4</v>
      </c>
      <c r="CA2407" s="1">
        <v>4</v>
      </c>
      <c r="CB2407" s="1">
        <v>3</v>
      </c>
      <c r="CC2407" s="1">
        <v>4</v>
      </c>
      <c r="CD2407" s="1">
        <v>4</v>
      </c>
      <c r="CE2407" s="1">
        <v>4</v>
      </c>
      <c r="CF2407" s="1" t="s">
        <v>104</v>
      </c>
      <c r="CG2407" s="1" t="s">
        <v>104</v>
      </c>
      <c r="CH2407" s="1" t="s">
        <v>104</v>
      </c>
      <c r="CJ2407" s="1">
        <v>0</v>
      </c>
      <c r="CK2407" s="1">
        <v>0</v>
      </c>
      <c r="CL2407" s="1">
        <v>0</v>
      </c>
      <c r="CM2407" s="1" t="s">
        <v>104</v>
      </c>
    </row>
    <row r="2408" spans="1:91" ht="14.25" customHeight="1" x14ac:dyDescent="0.3">
      <c r="A2408" s="1" t="s">
        <v>12371</v>
      </c>
      <c r="B2408" s="1" t="s">
        <v>172</v>
      </c>
      <c r="E2408" s="1" t="s">
        <v>12372</v>
      </c>
      <c r="F2408" s="1" t="s">
        <v>95</v>
      </c>
      <c r="G2408" s="1" t="s">
        <v>12373</v>
      </c>
      <c r="H2408" s="1">
        <v>0</v>
      </c>
      <c r="I2408" s="1" t="s">
        <v>128</v>
      </c>
      <c r="L2408" s="1" t="s">
        <v>374</v>
      </c>
      <c r="M2408" s="1" t="s">
        <v>10544</v>
      </c>
      <c r="N2408" s="1">
        <v>1</v>
      </c>
      <c r="O2408" s="1">
        <v>0</v>
      </c>
      <c r="P2408" s="1" t="s">
        <v>375</v>
      </c>
      <c r="Q2408" s="1" t="s">
        <v>131</v>
      </c>
      <c r="R2408" s="1" t="s">
        <v>12374</v>
      </c>
      <c r="S2408" s="1" t="s">
        <v>11859</v>
      </c>
      <c r="T2408" s="1">
        <v>1</v>
      </c>
      <c r="U2408" s="1">
        <v>1</v>
      </c>
      <c r="V2408" s="1">
        <v>1</v>
      </c>
      <c r="W2408" s="1">
        <v>0</v>
      </c>
      <c r="X2408" s="1">
        <v>0</v>
      </c>
      <c r="Y2408" s="1">
        <v>3</v>
      </c>
      <c r="Z2408" s="1">
        <v>3</v>
      </c>
      <c r="AA2408" s="1">
        <v>3</v>
      </c>
      <c r="AB2408" s="1" t="s">
        <v>104</v>
      </c>
      <c r="AC2408" s="1" t="s">
        <v>104</v>
      </c>
      <c r="AD2408" s="1">
        <v>2</v>
      </c>
      <c r="AE2408" s="1" t="s">
        <v>104</v>
      </c>
      <c r="AF2408" s="1">
        <v>3</v>
      </c>
      <c r="AG2408" s="1" t="s">
        <v>104</v>
      </c>
      <c r="AH2408" s="1">
        <v>3</v>
      </c>
      <c r="AI2408" s="1">
        <v>2</v>
      </c>
      <c r="AJ2408" s="1">
        <v>3</v>
      </c>
      <c r="AK2408" s="1" t="s">
        <v>104</v>
      </c>
      <c r="AL2408" s="1" t="s">
        <v>104</v>
      </c>
      <c r="AM2408" s="1" t="s">
        <v>104</v>
      </c>
      <c r="AO2408" s="1">
        <v>3</v>
      </c>
      <c r="AQ2408" s="1" t="s">
        <v>12375</v>
      </c>
      <c r="AR2408" s="1">
        <v>0</v>
      </c>
      <c r="AS2408" s="1">
        <v>0</v>
      </c>
      <c r="AT2408" s="1">
        <v>0</v>
      </c>
      <c r="AU2408" s="1">
        <v>0</v>
      </c>
      <c r="AV2408" s="1">
        <v>0</v>
      </c>
      <c r="AW2408" s="1">
        <v>0</v>
      </c>
      <c r="AX2408" s="1">
        <v>0</v>
      </c>
      <c r="AY2408" s="1">
        <v>0</v>
      </c>
      <c r="AZ2408" s="1">
        <v>0</v>
      </c>
      <c r="BA2408" s="1">
        <v>0</v>
      </c>
      <c r="BB2408" s="1">
        <v>0</v>
      </c>
      <c r="BC2408" s="1">
        <v>0</v>
      </c>
      <c r="BD2408" s="1">
        <v>0</v>
      </c>
      <c r="BE2408" s="1">
        <v>0</v>
      </c>
      <c r="BF2408" s="1">
        <v>0</v>
      </c>
      <c r="BG2408" s="1">
        <v>0</v>
      </c>
      <c r="BH2408" s="1">
        <v>0</v>
      </c>
      <c r="BI2408" s="1">
        <v>0</v>
      </c>
      <c r="BJ2408" s="1">
        <v>0</v>
      </c>
      <c r="BK2408" s="1">
        <v>0</v>
      </c>
      <c r="BL2408" s="1">
        <v>0</v>
      </c>
      <c r="BM2408" s="1">
        <v>0</v>
      </c>
      <c r="BN2408" s="1">
        <v>0</v>
      </c>
      <c r="BO2408" s="1">
        <v>0</v>
      </c>
      <c r="BP2408" s="1">
        <v>0</v>
      </c>
      <c r="BQ2408" s="1" t="s">
        <v>104</v>
      </c>
      <c r="BR2408" s="1">
        <v>2529</v>
      </c>
      <c r="BS2408" s="1" t="s">
        <v>104</v>
      </c>
      <c r="BX2408" s="1">
        <v>0</v>
      </c>
      <c r="BY2408" s="1" t="s">
        <v>104</v>
      </c>
      <c r="BZ2408" s="1">
        <v>4</v>
      </c>
      <c r="CA2408" s="1">
        <v>3</v>
      </c>
      <c r="CB2408" s="1">
        <v>2</v>
      </c>
      <c r="CC2408" s="1">
        <v>2</v>
      </c>
      <c r="CD2408" s="1">
        <v>2</v>
      </c>
      <c r="CE2408" s="1">
        <v>3</v>
      </c>
      <c r="CF2408" s="1" t="s">
        <v>104</v>
      </c>
      <c r="CG2408" s="1" t="s">
        <v>104</v>
      </c>
      <c r="CH2408" s="1" t="s">
        <v>104</v>
      </c>
      <c r="CJ2408" s="1">
        <v>0</v>
      </c>
      <c r="CK2408" s="1">
        <v>0</v>
      </c>
      <c r="CL2408" s="1">
        <v>0</v>
      </c>
      <c r="CM2408" s="1" t="s">
        <v>104</v>
      </c>
    </row>
    <row r="2409" spans="1:91" ht="14.25" customHeight="1" x14ac:dyDescent="0.3">
      <c r="A2409" s="1" t="s">
        <v>12376</v>
      </c>
      <c r="B2409" s="1" t="s">
        <v>137</v>
      </c>
      <c r="C2409" s="1" t="s">
        <v>154</v>
      </c>
      <c r="E2409" s="1" t="s">
        <v>12377</v>
      </c>
      <c r="F2409" s="1" t="s">
        <v>95</v>
      </c>
      <c r="G2409" s="1" t="s">
        <v>116</v>
      </c>
      <c r="H2409" s="1">
        <v>0</v>
      </c>
      <c r="I2409" s="1" t="s">
        <v>128</v>
      </c>
      <c r="L2409" s="1" t="s">
        <v>374</v>
      </c>
      <c r="M2409" s="1" t="s">
        <v>201</v>
      </c>
      <c r="N2409" s="1">
        <v>0</v>
      </c>
      <c r="O2409" s="1">
        <v>0</v>
      </c>
      <c r="P2409" s="1" t="s">
        <v>183</v>
      </c>
      <c r="Q2409" s="1" t="s">
        <v>184</v>
      </c>
      <c r="R2409" s="1" t="s">
        <v>12378</v>
      </c>
      <c r="S2409" s="1" t="s">
        <v>11859</v>
      </c>
      <c r="T2409" s="1">
        <v>1</v>
      </c>
      <c r="U2409" s="1">
        <v>1</v>
      </c>
      <c r="V2409" s="1">
        <v>0</v>
      </c>
      <c r="W2409" s="1">
        <v>0</v>
      </c>
      <c r="X2409" s="1">
        <v>0</v>
      </c>
      <c r="Y2409" s="1">
        <v>1</v>
      </c>
      <c r="Z2409" s="1">
        <v>1</v>
      </c>
      <c r="AA2409" s="1" t="s">
        <v>104</v>
      </c>
      <c r="AB2409" s="1" t="s">
        <v>104</v>
      </c>
      <c r="AC2409" s="1" t="s">
        <v>104</v>
      </c>
      <c r="AD2409" s="1">
        <v>1</v>
      </c>
      <c r="AE2409" s="1" t="s">
        <v>104</v>
      </c>
      <c r="AF2409" s="1">
        <v>1</v>
      </c>
      <c r="AG2409" s="1" t="s">
        <v>104</v>
      </c>
      <c r="AH2409" s="1">
        <v>1</v>
      </c>
      <c r="AI2409" s="1" t="s">
        <v>104</v>
      </c>
      <c r="AJ2409" s="1" t="s">
        <v>104</v>
      </c>
      <c r="AK2409" s="1" t="s">
        <v>104</v>
      </c>
      <c r="AL2409" s="1" t="s">
        <v>104</v>
      </c>
      <c r="AM2409" s="1" t="s">
        <v>104</v>
      </c>
      <c r="AO2409" s="1">
        <v>1</v>
      </c>
      <c r="AQ2409" s="1" t="s">
        <v>12379</v>
      </c>
      <c r="AR2409" s="1">
        <v>0</v>
      </c>
      <c r="AS2409" s="1">
        <v>0</v>
      </c>
      <c r="AT2409" s="1">
        <v>0</v>
      </c>
      <c r="AU2409" s="1">
        <v>0</v>
      </c>
      <c r="AV2409" s="1">
        <v>0</v>
      </c>
      <c r="AW2409" s="1">
        <v>0</v>
      </c>
      <c r="AX2409" s="1">
        <v>0</v>
      </c>
      <c r="AY2409" s="1">
        <v>0</v>
      </c>
      <c r="AZ2409" s="1">
        <v>0</v>
      </c>
      <c r="BA2409" s="1">
        <v>0</v>
      </c>
      <c r="BB2409" s="1">
        <v>0</v>
      </c>
      <c r="BC2409" s="1">
        <v>0</v>
      </c>
      <c r="BD2409" s="1">
        <v>0</v>
      </c>
      <c r="BE2409" s="1">
        <v>0</v>
      </c>
      <c r="BF2409" s="1">
        <v>0</v>
      </c>
      <c r="BG2409" s="1">
        <v>0</v>
      </c>
      <c r="BH2409" s="1">
        <v>0</v>
      </c>
      <c r="BI2409" s="1">
        <v>0</v>
      </c>
      <c r="BJ2409" s="1">
        <v>0</v>
      </c>
      <c r="BK2409" s="1">
        <v>0</v>
      </c>
      <c r="BL2409" s="1">
        <v>0</v>
      </c>
      <c r="BM2409" s="1">
        <v>0</v>
      </c>
      <c r="BN2409" s="1">
        <v>0</v>
      </c>
      <c r="BO2409" s="1">
        <v>0</v>
      </c>
      <c r="BP2409" s="1">
        <v>0</v>
      </c>
      <c r="BQ2409" s="1" t="s">
        <v>104</v>
      </c>
      <c r="BR2409" s="1">
        <v>2530</v>
      </c>
      <c r="BS2409" s="1" t="s">
        <v>104</v>
      </c>
      <c r="BX2409" s="1">
        <v>0</v>
      </c>
      <c r="BY2409" s="1" t="s">
        <v>104</v>
      </c>
      <c r="BZ2409" s="1" t="s">
        <v>104</v>
      </c>
      <c r="CA2409" s="1">
        <v>1</v>
      </c>
      <c r="CB2409" s="1">
        <v>1</v>
      </c>
      <c r="CC2409" s="1">
        <v>1</v>
      </c>
      <c r="CD2409" s="1">
        <v>1</v>
      </c>
      <c r="CE2409" s="1" t="s">
        <v>104</v>
      </c>
      <c r="CF2409" s="1" t="s">
        <v>104</v>
      </c>
      <c r="CG2409" s="1" t="s">
        <v>104</v>
      </c>
      <c r="CH2409" s="1" t="s">
        <v>104</v>
      </c>
      <c r="CJ2409" s="1">
        <v>0</v>
      </c>
      <c r="CK2409" s="1">
        <v>0</v>
      </c>
      <c r="CL2409" s="1">
        <v>0</v>
      </c>
      <c r="CM2409" s="1" t="s">
        <v>104</v>
      </c>
    </row>
    <row r="2410" spans="1:91" ht="14.25" customHeight="1" x14ac:dyDescent="0.3">
      <c r="A2410" s="1" t="s">
        <v>12380</v>
      </c>
      <c r="B2410" s="1" t="s">
        <v>92</v>
      </c>
      <c r="C2410" s="1" t="s">
        <v>1160</v>
      </c>
      <c r="E2410" s="1" t="s">
        <v>12381</v>
      </c>
      <c r="F2410" s="1" t="s">
        <v>1502</v>
      </c>
      <c r="G2410" s="1" t="s">
        <v>12382</v>
      </c>
      <c r="H2410" s="1">
        <v>0</v>
      </c>
      <c r="I2410" s="1" t="s">
        <v>117</v>
      </c>
      <c r="L2410" s="1" t="s">
        <v>12383</v>
      </c>
      <c r="M2410" s="1" t="s">
        <v>119</v>
      </c>
      <c r="N2410" s="1">
        <v>0</v>
      </c>
      <c r="O2410" s="1">
        <v>0</v>
      </c>
      <c r="P2410" s="1" t="s">
        <v>100</v>
      </c>
      <c r="Q2410" s="1" t="s">
        <v>184</v>
      </c>
      <c r="R2410" s="1" t="s">
        <v>12384</v>
      </c>
      <c r="S2410" s="1" t="s">
        <v>12385</v>
      </c>
      <c r="T2410" s="1">
        <v>1</v>
      </c>
      <c r="U2410" s="1">
        <v>1</v>
      </c>
      <c r="V2410" s="1">
        <v>0</v>
      </c>
      <c r="W2410" s="1">
        <v>0</v>
      </c>
      <c r="X2410" s="1">
        <v>0</v>
      </c>
      <c r="Y2410" s="1">
        <v>1</v>
      </c>
      <c r="Z2410" s="1">
        <v>1</v>
      </c>
      <c r="AA2410" s="1">
        <v>1</v>
      </c>
      <c r="AB2410" s="1" t="s">
        <v>104</v>
      </c>
      <c r="AC2410" s="1" t="s">
        <v>104</v>
      </c>
      <c r="AD2410" s="1" t="s">
        <v>104</v>
      </c>
      <c r="AE2410" s="1">
        <v>1</v>
      </c>
      <c r="AF2410" s="1" t="s">
        <v>104</v>
      </c>
      <c r="AG2410" s="1" t="s">
        <v>104</v>
      </c>
      <c r="AH2410" s="1" t="s">
        <v>104</v>
      </c>
      <c r="AI2410" s="1">
        <v>1</v>
      </c>
      <c r="AJ2410" s="1">
        <v>1</v>
      </c>
      <c r="AK2410" s="1">
        <v>1</v>
      </c>
      <c r="AL2410" s="1">
        <v>1</v>
      </c>
      <c r="AM2410" s="1" t="s">
        <v>104</v>
      </c>
      <c r="AO2410" s="1">
        <v>1</v>
      </c>
      <c r="AR2410" s="1">
        <v>0</v>
      </c>
      <c r="AS2410" s="1">
        <v>0</v>
      </c>
      <c r="AT2410" s="1">
        <v>0</v>
      </c>
      <c r="AU2410" s="1">
        <v>0</v>
      </c>
      <c r="AV2410" s="1">
        <v>0</v>
      </c>
      <c r="AW2410" s="1">
        <v>0</v>
      </c>
      <c r="AX2410" s="1">
        <v>0</v>
      </c>
      <c r="AY2410" s="1">
        <v>0</v>
      </c>
      <c r="AZ2410" s="1">
        <v>0</v>
      </c>
      <c r="BA2410" s="1">
        <v>0</v>
      </c>
      <c r="BB2410" s="1">
        <v>0</v>
      </c>
      <c r="BC2410" s="1">
        <v>0</v>
      </c>
      <c r="BD2410" s="1">
        <v>0</v>
      </c>
      <c r="BE2410" s="1">
        <v>0</v>
      </c>
      <c r="BF2410" s="1">
        <v>0</v>
      </c>
      <c r="BG2410" s="1">
        <v>0</v>
      </c>
      <c r="BH2410" s="1">
        <v>0</v>
      </c>
      <c r="BI2410" s="1">
        <v>0</v>
      </c>
      <c r="BJ2410" s="1">
        <v>0</v>
      </c>
      <c r="BK2410" s="1">
        <v>0</v>
      </c>
      <c r="BL2410" s="1">
        <v>0</v>
      </c>
      <c r="BM2410" s="1">
        <v>0</v>
      </c>
      <c r="BN2410" s="1">
        <v>0</v>
      </c>
      <c r="BO2410" s="1">
        <v>0</v>
      </c>
      <c r="BP2410" s="1">
        <v>0</v>
      </c>
      <c r="BQ2410" s="1" t="s">
        <v>104</v>
      </c>
      <c r="BR2410" s="1">
        <v>2531</v>
      </c>
      <c r="BS2410" s="1" t="s">
        <v>104</v>
      </c>
      <c r="BX2410" s="1">
        <v>0</v>
      </c>
      <c r="BY2410" s="1">
        <v>1</v>
      </c>
      <c r="BZ2410" s="1" t="s">
        <v>104</v>
      </c>
      <c r="CA2410" s="1" t="s">
        <v>104</v>
      </c>
      <c r="CB2410" s="1" t="s">
        <v>104</v>
      </c>
      <c r="CC2410" s="1" t="s">
        <v>104</v>
      </c>
      <c r="CD2410" s="1">
        <v>1</v>
      </c>
      <c r="CE2410" s="1" t="s">
        <v>104</v>
      </c>
      <c r="CF2410" s="1" t="s">
        <v>104</v>
      </c>
      <c r="CG2410" s="1" t="s">
        <v>104</v>
      </c>
      <c r="CH2410" s="1" t="s">
        <v>104</v>
      </c>
      <c r="CJ2410" s="1">
        <v>0</v>
      </c>
      <c r="CK2410" s="1">
        <v>0</v>
      </c>
      <c r="CL2410" s="1">
        <v>0</v>
      </c>
      <c r="CM2410" s="1" t="s">
        <v>104</v>
      </c>
    </row>
    <row r="2411" spans="1:91" ht="14.25" customHeight="1" x14ac:dyDescent="0.3">
      <c r="A2411" s="1" t="s">
        <v>12386</v>
      </c>
      <c r="B2411" s="1" t="s">
        <v>137</v>
      </c>
      <c r="E2411" s="1" t="s">
        <v>12387</v>
      </c>
      <c r="F2411" s="1" t="s">
        <v>95</v>
      </c>
      <c r="G2411" s="1" t="s">
        <v>12388</v>
      </c>
      <c r="H2411" s="1">
        <v>0</v>
      </c>
      <c r="I2411" s="1" t="s">
        <v>117</v>
      </c>
      <c r="L2411" s="1" t="s">
        <v>12389</v>
      </c>
      <c r="M2411" s="1" t="s">
        <v>12390</v>
      </c>
      <c r="N2411" s="1">
        <v>0</v>
      </c>
      <c r="O2411" s="1">
        <v>0</v>
      </c>
      <c r="P2411" s="1" t="s">
        <v>100</v>
      </c>
      <c r="Q2411" s="1" t="s">
        <v>101</v>
      </c>
      <c r="R2411" s="1" t="s">
        <v>12391</v>
      </c>
      <c r="S2411" s="1" t="s">
        <v>12385</v>
      </c>
      <c r="T2411" s="1">
        <v>1</v>
      </c>
      <c r="U2411" s="1">
        <v>1</v>
      </c>
      <c r="V2411" s="1">
        <v>0</v>
      </c>
      <c r="W2411" s="1">
        <v>0</v>
      </c>
      <c r="X2411" s="1">
        <v>0</v>
      </c>
      <c r="Y2411" s="1">
        <v>4</v>
      </c>
      <c r="Z2411" s="1">
        <v>4</v>
      </c>
      <c r="AA2411" s="1">
        <v>4</v>
      </c>
      <c r="AB2411" s="1" t="s">
        <v>104</v>
      </c>
      <c r="AC2411" s="1" t="s">
        <v>104</v>
      </c>
      <c r="AD2411" s="1" t="s">
        <v>104</v>
      </c>
      <c r="AE2411" s="1">
        <v>3</v>
      </c>
      <c r="AF2411" s="1" t="s">
        <v>104</v>
      </c>
      <c r="AG2411" s="1" t="s">
        <v>104</v>
      </c>
      <c r="AH2411" s="1">
        <v>3</v>
      </c>
      <c r="AI2411" s="1" t="s">
        <v>104</v>
      </c>
      <c r="AJ2411" s="1">
        <v>4</v>
      </c>
      <c r="AK2411" s="1">
        <v>3</v>
      </c>
      <c r="AL2411" s="1">
        <v>4</v>
      </c>
      <c r="AM2411" s="1" t="s">
        <v>104</v>
      </c>
      <c r="AO2411" s="1">
        <v>4</v>
      </c>
      <c r="AR2411" s="1">
        <v>0</v>
      </c>
      <c r="AS2411" s="1">
        <v>0</v>
      </c>
      <c r="AT2411" s="1">
        <v>0</v>
      </c>
      <c r="AU2411" s="1">
        <v>0</v>
      </c>
      <c r="AV2411" s="1">
        <v>0</v>
      </c>
      <c r="AW2411" s="1">
        <v>0</v>
      </c>
      <c r="AX2411" s="1">
        <v>0</v>
      </c>
      <c r="AY2411" s="1">
        <v>0</v>
      </c>
      <c r="AZ2411" s="1">
        <v>0</v>
      </c>
      <c r="BA2411" s="1">
        <v>0</v>
      </c>
      <c r="BB2411" s="1">
        <v>0</v>
      </c>
      <c r="BC2411" s="1">
        <v>0</v>
      </c>
      <c r="BD2411" s="1">
        <v>0</v>
      </c>
      <c r="BE2411" s="1">
        <v>0</v>
      </c>
      <c r="BF2411" s="1">
        <v>0</v>
      </c>
      <c r="BG2411" s="1">
        <v>0</v>
      </c>
      <c r="BH2411" s="1">
        <v>0</v>
      </c>
      <c r="BI2411" s="1">
        <v>0</v>
      </c>
      <c r="BJ2411" s="1">
        <v>0</v>
      </c>
      <c r="BK2411" s="1">
        <v>0</v>
      </c>
      <c r="BL2411" s="1">
        <v>0</v>
      </c>
      <c r="BM2411" s="1">
        <v>0</v>
      </c>
      <c r="BN2411" s="1">
        <v>0</v>
      </c>
      <c r="BO2411" s="1">
        <v>0</v>
      </c>
      <c r="BP2411" s="1">
        <v>0</v>
      </c>
      <c r="BQ2411" s="1" t="s">
        <v>104</v>
      </c>
      <c r="BR2411" s="1">
        <v>2532</v>
      </c>
      <c r="BS2411" s="1" t="s">
        <v>104</v>
      </c>
      <c r="BX2411" s="1">
        <v>0</v>
      </c>
      <c r="BY2411" s="1" t="s">
        <v>104</v>
      </c>
      <c r="BZ2411" s="1">
        <v>3</v>
      </c>
      <c r="CA2411" s="1" t="s">
        <v>104</v>
      </c>
      <c r="CB2411" s="1">
        <v>4</v>
      </c>
      <c r="CC2411" s="1" t="s">
        <v>104</v>
      </c>
      <c r="CD2411" s="1">
        <v>4</v>
      </c>
      <c r="CE2411" s="1">
        <v>3</v>
      </c>
      <c r="CF2411" s="1" t="s">
        <v>104</v>
      </c>
      <c r="CG2411" s="1" t="s">
        <v>104</v>
      </c>
      <c r="CH2411" s="1" t="s">
        <v>104</v>
      </c>
      <c r="CJ2411" s="1">
        <v>0</v>
      </c>
      <c r="CK2411" s="1">
        <v>0</v>
      </c>
      <c r="CL2411" s="1">
        <v>0</v>
      </c>
      <c r="CM2411" s="1" t="s">
        <v>104</v>
      </c>
    </row>
    <row r="2412" spans="1:91" ht="14.25" customHeight="1" x14ac:dyDescent="0.3">
      <c r="A2412" s="1" t="s">
        <v>12392</v>
      </c>
      <c r="B2412" s="1" t="s">
        <v>137</v>
      </c>
      <c r="E2412" s="1" t="s">
        <v>12393</v>
      </c>
      <c r="F2412" s="1" t="s">
        <v>95</v>
      </c>
      <c r="G2412" s="1" t="s">
        <v>12394</v>
      </c>
      <c r="H2412" s="1">
        <v>0</v>
      </c>
      <c r="I2412" s="1" t="s">
        <v>157</v>
      </c>
      <c r="L2412" s="1" t="s">
        <v>12395</v>
      </c>
      <c r="M2412" s="1" t="s">
        <v>111</v>
      </c>
      <c r="N2412" s="1">
        <v>0</v>
      </c>
      <c r="O2412" s="1">
        <v>0</v>
      </c>
      <c r="P2412" s="1" t="s">
        <v>100</v>
      </c>
      <c r="Q2412" s="1" t="s">
        <v>101</v>
      </c>
      <c r="R2412" s="1" t="s">
        <v>12396</v>
      </c>
      <c r="S2412" s="1" t="s">
        <v>12385</v>
      </c>
      <c r="T2412" s="1">
        <v>1</v>
      </c>
      <c r="U2412" s="1">
        <v>1</v>
      </c>
      <c r="V2412" s="1">
        <v>0</v>
      </c>
      <c r="W2412" s="1">
        <v>0</v>
      </c>
      <c r="X2412" s="1">
        <v>0</v>
      </c>
      <c r="Y2412" s="1" t="s">
        <v>104</v>
      </c>
      <c r="Z2412" s="1" t="s">
        <v>104</v>
      </c>
      <c r="AA2412" s="1">
        <v>2</v>
      </c>
      <c r="AB2412" s="1" t="s">
        <v>104</v>
      </c>
      <c r="AC2412" s="1" t="s">
        <v>104</v>
      </c>
      <c r="AD2412" s="1" t="s">
        <v>104</v>
      </c>
      <c r="AE2412" s="1">
        <v>1</v>
      </c>
      <c r="AF2412" s="1" t="s">
        <v>104</v>
      </c>
      <c r="AG2412" s="1" t="s">
        <v>104</v>
      </c>
      <c r="AH2412" s="1" t="s">
        <v>104</v>
      </c>
      <c r="AI2412" s="1">
        <v>2</v>
      </c>
      <c r="AJ2412" s="1">
        <v>2</v>
      </c>
      <c r="AK2412" s="1" t="s">
        <v>104</v>
      </c>
      <c r="AL2412" s="1">
        <v>2</v>
      </c>
      <c r="AM2412" s="1" t="s">
        <v>104</v>
      </c>
      <c r="AO2412" s="1">
        <v>2</v>
      </c>
      <c r="AR2412" s="1">
        <v>0</v>
      </c>
      <c r="AS2412" s="1">
        <v>0</v>
      </c>
      <c r="AT2412" s="1">
        <v>0</v>
      </c>
      <c r="AU2412" s="1">
        <v>0</v>
      </c>
      <c r="AV2412" s="1">
        <v>0</v>
      </c>
      <c r="AW2412" s="1">
        <v>0</v>
      </c>
      <c r="AX2412" s="1">
        <v>0</v>
      </c>
      <c r="AY2412" s="1">
        <v>0</v>
      </c>
      <c r="AZ2412" s="1">
        <v>0</v>
      </c>
      <c r="BA2412" s="1">
        <v>0</v>
      </c>
      <c r="BB2412" s="1">
        <v>0</v>
      </c>
      <c r="BC2412" s="1">
        <v>0</v>
      </c>
      <c r="BD2412" s="1">
        <v>0</v>
      </c>
      <c r="BE2412" s="1">
        <v>0</v>
      </c>
      <c r="BF2412" s="1">
        <v>0</v>
      </c>
      <c r="BG2412" s="1">
        <v>0</v>
      </c>
      <c r="BH2412" s="1">
        <v>0</v>
      </c>
      <c r="BI2412" s="1">
        <v>0</v>
      </c>
      <c r="BJ2412" s="1">
        <v>0</v>
      </c>
      <c r="BK2412" s="1">
        <v>0</v>
      </c>
      <c r="BL2412" s="1">
        <v>0</v>
      </c>
      <c r="BM2412" s="1">
        <v>0</v>
      </c>
      <c r="BN2412" s="1">
        <v>0</v>
      </c>
      <c r="BO2412" s="1">
        <v>0</v>
      </c>
      <c r="BP2412" s="1">
        <v>0</v>
      </c>
      <c r="BQ2412" s="1" t="s">
        <v>104</v>
      </c>
      <c r="BR2412" s="1">
        <v>2533</v>
      </c>
      <c r="BS2412" s="1" t="s">
        <v>104</v>
      </c>
      <c r="BX2412" s="1">
        <v>0</v>
      </c>
      <c r="BY2412" s="1">
        <v>1</v>
      </c>
      <c r="BZ2412" s="1">
        <v>2</v>
      </c>
      <c r="CA2412" s="1" t="s">
        <v>104</v>
      </c>
      <c r="CB2412" s="1">
        <v>2</v>
      </c>
      <c r="CC2412" s="1" t="s">
        <v>104</v>
      </c>
      <c r="CD2412" s="1" t="s">
        <v>104</v>
      </c>
      <c r="CE2412" s="1" t="s">
        <v>104</v>
      </c>
      <c r="CF2412" s="1" t="s">
        <v>104</v>
      </c>
      <c r="CG2412" s="1" t="s">
        <v>104</v>
      </c>
      <c r="CH2412" s="1" t="s">
        <v>104</v>
      </c>
      <c r="CJ2412" s="1">
        <v>0</v>
      </c>
      <c r="CK2412" s="1">
        <v>0</v>
      </c>
      <c r="CL2412" s="1">
        <v>0</v>
      </c>
      <c r="CM2412" s="1" t="s">
        <v>104</v>
      </c>
    </row>
    <row r="2413" spans="1:91" ht="14.25" customHeight="1" x14ac:dyDescent="0.3">
      <c r="A2413" s="1" t="s">
        <v>12397</v>
      </c>
      <c r="B2413" s="1" t="s">
        <v>434</v>
      </c>
      <c r="D2413" s="1" t="s">
        <v>57</v>
      </c>
      <c r="E2413" s="1" t="s">
        <v>12398</v>
      </c>
      <c r="F2413" s="1" t="s">
        <v>95</v>
      </c>
      <c r="G2413" s="1" t="s">
        <v>127</v>
      </c>
      <c r="H2413" s="1">
        <v>0</v>
      </c>
      <c r="I2413" s="1" t="s">
        <v>109</v>
      </c>
      <c r="M2413" s="1" t="s">
        <v>4641</v>
      </c>
      <c r="N2413" s="1">
        <v>1</v>
      </c>
      <c r="O2413" s="1">
        <v>0</v>
      </c>
      <c r="P2413" s="1" t="s">
        <v>100</v>
      </c>
      <c r="Q2413" s="1" t="s">
        <v>101</v>
      </c>
      <c r="R2413" s="1" t="s">
        <v>12399</v>
      </c>
      <c r="S2413" s="1" t="s">
        <v>12385</v>
      </c>
      <c r="T2413" s="1">
        <v>1</v>
      </c>
      <c r="U2413" s="1">
        <v>1</v>
      </c>
      <c r="V2413" s="1">
        <v>0</v>
      </c>
      <c r="W2413" s="1">
        <v>0</v>
      </c>
      <c r="X2413" s="1">
        <v>1</v>
      </c>
      <c r="Y2413" s="1" t="s">
        <v>104</v>
      </c>
      <c r="Z2413" s="1" t="s">
        <v>104</v>
      </c>
      <c r="AA2413" s="1">
        <v>2</v>
      </c>
      <c r="AB2413" s="1" t="s">
        <v>104</v>
      </c>
      <c r="AC2413" s="1" t="s">
        <v>104</v>
      </c>
      <c r="AD2413" s="1" t="s">
        <v>104</v>
      </c>
      <c r="AE2413" s="1">
        <v>2</v>
      </c>
      <c r="AF2413" s="1" t="s">
        <v>104</v>
      </c>
      <c r="AG2413" s="1" t="s">
        <v>104</v>
      </c>
      <c r="AH2413" s="1" t="s">
        <v>104</v>
      </c>
      <c r="AI2413" s="1">
        <v>2</v>
      </c>
      <c r="AJ2413" s="1">
        <v>2</v>
      </c>
      <c r="AK2413" s="1">
        <v>2</v>
      </c>
      <c r="AL2413" s="1" t="s">
        <v>104</v>
      </c>
      <c r="AM2413" s="1" t="s">
        <v>104</v>
      </c>
      <c r="AO2413" s="1">
        <v>2</v>
      </c>
      <c r="AR2413" s="1">
        <v>0</v>
      </c>
      <c r="AS2413" s="1">
        <v>0</v>
      </c>
      <c r="AT2413" s="1">
        <v>0</v>
      </c>
      <c r="AU2413" s="1">
        <v>0</v>
      </c>
      <c r="AV2413" s="1">
        <v>0</v>
      </c>
      <c r="AW2413" s="1">
        <v>0</v>
      </c>
      <c r="AX2413" s="1">
        <v>0</v>
      </c>
      <c r="AY2413" s="1">
        <v>0</v>
      </c>
      <c r="AZ2413" s="1">
        <v>0</v>
      </c>
      <c r="BA2413" s="1">
        <v>0</v>
      </c>
      <c r="BB2413" s="1">
        <v>0</v>
      </c>
      <c r="BC2413" s="1">
        <v>0</v>
      </c>
      <c r="BD2413" s="1">
        <v>0</v>
      </c>
      <c r="BE2413" s="1">
        <v>0</v>
      </c>
      <c r="BF2413" s="1">
        <v>1</v>
      </c>
      <c r="BG2413" s="1">
        <v>0</v>
      </c>
      <c r="BH2413" s="1">
        <v>0</v>
      </c>
      <c r="BI2413" s="1">
        <v>0</v>
      </c>
      <c r="BJ2413" s="1">
        <v>0</v>
      </c>
      <c r="BK2413" s="1">
        <v>0</v>
      </c>
      <c r="BL2413" s="1">
        <v>0</v>
      </c>
      <c r="BM2413" s="1">
        <v>0</v>
      </c>
      <c r="BN2413" s="1">
        <v>0</v>
      </c>
      <c r="BO2413" s="1">
        <v>0</v>
      </c>
      <c r="BP2413" s="1">
        <v>0</v>
      </c>
      <c r="BQ2413" s="1" t="s">
        <v>104</v>
      </c>
      <c r="BR2413" s="1">
        <v>2534</v>
      </c>
      <c r="BS2413" s="1" t="s">
        <v>104</v>
      </c>
      <c r="BX2413" s="1">
        <v>0</v>
      </c>
      <c r="BY2413" s="1" t="s">
        <v>104</v>
      </c>
      <c r="BZ2413" s="1">
        <v>2</v>
      </c>
      <c r="CA2413" s="1" t="s">
        <v>104</v>
      </c>
      <c r="CB2413" s="1" t="s">
        <v>104</v>
      </c>
      <c r="CC2413" s="1" t="s">
        <v>104</v>
      </c>
      <c r="CD2413" s="1" t="s">
        <v>104</v>
      </c>
      <c r="CE2413" s="1">
        <v>2</v>
      </c>
      <c r="CF2413" s="1" t="s">
        <v>104</v>
      </c>
      <c r="CG2413" s="1" t="s">
        <v>104</v>
      </c>
      <c r="CH2413" s="1" t="s">
        <v>104</v>
      </c>
      <c r="CJ2413" s="1">
        <v>0</v>
      </c>
      <c r="CK2413" s="1">
        <v>0</v>
      </c>
      <c r="CL2413" s="1">
        <v>0</v>
      </c>
      <c r="CM2413" s="1" t="s">
        <v>104</v>
      </c>
    </row>
    <row r="2414" spans="1:91" ht="14.25" customHeight="1" x14ac:dyDescent="0.3">
      <c r="A2414" s="1" t="s">
        <v>12400</v>
      </c>
      <c r="B2414" s="1" t="s">
        <v>216</v>
      </c>
      <c r="E2414" s="1" t="s">
        <v>12401</v>
      </c>
      <c r="F2414" s="1" t="s">
        <v>95</v>
      </c>
      <c r="G2414" s="1" t="s">
        <v>12402</v>
      </c>
      <c r="H2414" s="1">
        <v>0</v>
      </c>
      <c r="I2414" s="1" t="s">
        <v>117</v>
      </c>
      <c r="L2414" s="1" t="s">
        <v>12403</v>
      </c>
      <c r="M2414" s="1" t="s">
        <v>2330</v>
      </c>
      <c r="N2414" s="1">
        <v>0</v>
      </c>
      <c r="O2414" s="1">
        <v>0</v>
      </c>
      <c r="P2414" s="1" t="s">
        <v>5957</v>
      </c>
      <c r="Q2414" s="1" t="s">
        <v>101</v>
      </c>
      <c r="R2414" s="1" t="s">
        <v>12404</v>
      </c>
      <c r="S2414" s="1" t="s">
        <v>12405</v>
      </c>
      <c r="T2414" s="1">
        <v>1</v>
      </c>
      <c r="U2414" s="1">
        <v>1</v>
      </c>
      <c r="V2414" s="1">
        <v>1</v>
      </c>
      <c r="W2414" s="1">
        <v>0</v>
      </c>
      <c r="X2414" s="1">
        <v>0</v>
      </c>
      <c r="Y2414" s="1">
        <v>2</v>
      </c>
      <c r="Z2414" s="1">
        <v>2</v>
      </c>
      <c r="AA2414" s="1">
        <v>2</v>
      </c>
      <c r="AB2414" s="1">
        <v>2</v>
      </c>
      <c r="AC2414" s="1" t="s">
        <v>104</v>
      </c>
      <c r="AD2414" s="1" t="s">
        <v>104</v>
      </c>
      <c r="AE2414" s="1" t="s">
        <v>104</v>
      </c>
      <c r="AF2414" s="1" t="s">
        <v>104</v>
      </c>
      <c r="AG2414" s="1" t="s">
        <v>104</v>
      </c>
      <c r="AH2414" s="1">
        <v>2</v>
      </c>
      <c r="AI2414" s="1" t="s">
        <v>104</v>
      </c>
      <c r="AJ2414" s="1">
        <v>2</v>
      </c>
      <c r="AK2414" s="1" t="s">
        <v>104</v>
      </c>
      <c r="AL2414" s="1" t="s">
        <v>104</v>
      </c>
      <c r="AM2414" s="1" t="s">
        <v>104</v>
      </c>
      <c r="AO2414" s="1">
        <v>2</v>
      </c>
      <c r="AR2414" s="1">
        <v>0</v>
      </c>
      <c r="AS2414" s="1">
        <v>0</v>
      </c>
      <c r="AT2414" s="1">
        <v>0</v>
      </c>
      <c r="AU2414" s="1">
        <v>0</v>
      </c>
      <c r="AV2414" s="1">
        <v>0</v>
      </c>
      <c r="AW2414" s="1">
        <v>0</v>
      </c>
      <c r="AX2414" s="1">
        <v>0</v>
      </c>
      <c r="AY2414" s="1">
        <v>0</v>
      </c>
      <c r="AZ2414" s="1">
        <v>0</v>
      </c>
      <c r="BA2414" s="1">
        <v>0</v>
      </c>
      <c r="BB2414" s="1">
        <v>0</v>
      </c>
      <c r="BC2414" s="1">
        <v>0</v>
      </c>
      <c r="BD2414" s="1">
        <v>0</v>
      </c>
      <c r="BE2414" s="1">
        <v>0</v>
      </c>
      <c r="BF2414" s="1">
        <v>0</v>
      </c>
      <c r="BG2414" s="1">
        <v>0</v>
      </c>
      <c r="BH2414" s="1">
        <v>0</v>
      </c>
      <c r="BI2414" s="1">
        <v>0</v>
      </c>
      <c r="BJ2414" s="1">
        <v>0</v>
      </c>
      <c r="BK2414" s="1">
        <v>0</v>
      </c>
      <c r="BL2414" s="1">
        <v>0</v>
      </c>
      <c r="BM2414" s="1">
        <v>0</v>
      </c>
      <c r="BN2414" s="1">
        <v>0</v>
      </c>
      <c r="BO2414" s="1">
        <v>0</v>
      </c>
      <c r="BP2414" s="1">
        <v>0</v>
      </c>
      <c r="BQ2414" s="1" t="s">
        <v>104</v>
      </c>
      <c r="BR2414" s="1">
        <v>2535</v>
      </c>
      <c r="BS2414" s="1" t="s">
        <v>104</v>
      </c>
      <c r="BX2414" s="1">
        <v>0</v>
      </c>
      <c r="BY2414" s="1">
        <v>2</v>
      </c>
      <c r="BZ2414" s="1">
        <v>2</v>
      </c>
      <c r="CA2414" s="1">
        <v>2</v>
      </c>
      <c r="CB2414" s="1" t="s">
        <v>104</v>
      </c>
      <c r="CC2414" s="1" t="s">
        <v>104</v>
      </c>
      <c r="CD2414" s="1" t="s">
        <v>104</v>
      </c>
      <c r="CE2414" s="1" t="s">
        <v>104</v>
      </c>
      <c r="CF2414" s="1" t="s">
        <v>104</v>
      </c>
      <c r="CG2414" s="1" t="s">
        <v>104</v>
      </c>
      <c r="CH2414" s="1">
        <v>2</v>
      </c>
      <c r="CJ2414" s="1">
        <v>0</v>
      </c>
      <c r="CK2414" s="1">
        <v>0</v>
      </c>
      <c r="CL2414" s="1">
        <v>0</v>
      </c>
      <c r="CM2414" s="1" t="s">
        <v>104</v>
      </c>
    </row>
    <row r="2415" spans="1:91" ht="14.25" customHeight="1" x14ac:dyDescent="0.3">
      <c r="A2415" s="1" t="s">
        <v>12406</v>
      </c>
      <c r="B2415" s="1" t="s">
        <v>92</v>
      </c>
      <c r="C2415" s="1" t="s">
        <v>1160</v>
      </c>
      <c r="E2415" s="1" t="s">
        <v>12407</v>
      </c>
      <c r="F2415" s="1" t="s">
        <v>95</v>
      </c>
      <c r="G2415" s="1" t="s">
        <v>12408</v>
      </c>
      <c r="H2415" s="1">
        <v>0</v>
      </c>
      <c r="I2415" s="1" t="s">
        <v>157</v>
      </c>
      <c r="L2415" s="1" t="s">
        <v>158</v>
      </c>
      <c r="M2415" s="1" t="s">
        <v>119</v>
      </c>
      <c r="N2415" s="1">
        <v>0</v>
      </c>
      <c r="O2415" s="1">
        <v>0</v>
      </c>
      <c r="P2415" s="1" t="s">
        <v>5957</v>
      </c>
      <c r="Q2415" s="1" t="s">
        <v>101</v>
      </c>
      <c r="R2415" s="1" t="s">
        <v>12409</v>
      </c>
      <c r="S2415" s="1" t="s">
        <v>12405</v>
      </c>
      <c r="T2415" s="1">
        <v>1</v>
      </c>
      <c r="U2415" s="1">
        <v>1</v>
      </c>
      <c r="V2415" s="1">
        <v>0</v>
      </c>
      <c r="W2415" s="1">
        <v>0</v>
      </c>
      <c r="X2415" s="1">
        <v>0</v>
      </c>
      <c r="Y2415" s="1">
        <v>5</v>
      </c>
      <c r="Z2415" s="1">
        <v>5</v>
      </c>
      <c r="AA2415" s="1" t="s">
        <v>104</v>
      </c>
      <c r="AB2415" s="1" t="s">
        <v>104</v>
      </c>
      <c r="AC2415" s="1" t="s">
        <v>104</v>
      </c>
      <c r="AD2415" s="1">
        <v>4</v>
      </c>
      <c r="AE2415" s="1">
        <v>4</v>
      </c>
      <c r="AF2415" s="1">
        <v>4</v>
      </c>
      <c r="AG2415" s="1" t="s">
        <v>104</v>
      </c>
      <c r="AH2415" s="1" t="s">
        <v>104</v>
      </c>
      <c r="AI2415" s="1">
        <v>4</v>
      </c>
      <c r="AJ2415" s="1" t="s">
        <v>104</v>
      </c>
      <c r="AK2415" s="1">
        <v>4</v>
      </c>
      <c r="AL2415" s="1">
        <v>4</v>
      </c>
      <c r="AM2415" s="1" t="s">
        <v>104</v>
      </c>
      <c r="AO2415" s="1">
        <v>5</v>
      </c>
      <c r="AR2415" s="1">
        <v>0</v>
      </c>
      <c r="AS2415" s="1">
        <v>0</v>
      </c>
      <c r="AT2415" s="1">
        <v>0</v>
      </c>
      <c r="AU2415" s="1">
        <v>0</v>
      </c>
      <c r="AV2415" s="1">
        <v>0</v>
      </c>
      <c r="AW2415" s="1">
        <v>0</v>
      </c>
      <c r="AX2415" s="1">
        <v>0</v>
      </c>
      <c r="AY2415" s="1">
        <v>0</v>
      </c>
      <c r="AZ2415" s="1">
        <v>0</v>
      </c>
      <c r="BA2415" s="1">
        <v>0</v>
      </c>
      <c r="BB2415" s="1">
        <v>0</v>
      </c>
      <c r="BC2415" s="1">
        <v>0</v>
      </c>
      <c r="BD2415" s="1">
        <v>0</v>
      </c>
      <c r="BE2415" s="1">
        <v>0</v>
      </c>
      <c r="BF2415" s="1">
        <v>0</v>
      </c>
      <c r="BG2415" s="1">
        <v>0</v>
      </c>
      <c r="BH2415" s="1">
        <v>0</v>
      </c>
      <c r="BI2415" s="1">
        <v>0</v>
      </c>
      <c r="BJ2415" s="1">
        <v>0</v>
      </c>
      <c r="BK2415" s="1">
        <v>0</v>
      </c>
      <c r="BL2415" s="1">
        <v>0</v>
      </c>
      <c r="BM2415" s="1">
        <v>0</v>
      </c>
      <c r="BN2415" s="1">
        <v>0</v>
      </c>
      <c r="BO2415" s="1">
        <v>0</v>
      </c>
      <c r="BP2415" s="1">
        <v>0</v>
      </c>
      <c r="BQ2415" s="1" t="s">
        <v>104</v>
      </c>
      <c r="BR2415" s="1">
        <v>2536</v>
      </c>
      <c r="BS2415" s="1" t="s">
        <v>104</v>
      </c>
      <c r="BX2415" s="1">
        <v>0</v>
      </c>
      <c r="BY2415" s="1">
        <v>4</v>
      </c>
      <c r="BZ2415" s="1" t="s">
        <v>104</v>
      </c>
      <c r="CA2415" s="1">
        <v>5</v>
      </c>
      <c r="CB2415" s="1">
        <v>4</v>
      </c>
      <c r="CC2415" s="1" t="s">
        <v>104</v>
      </c>
      <c r="CD2415" s="1">
        <v>4</v>
      </c>
      <c r="CE2415" s="1" t="s">
        <v>104</v>
      </c>
      <c r="CF2415" s="1" t="s">
        <v>104</v>
      </c>
      <c r="CG2415" s="1" t="s">
        <v>104</v>
      </c>
      <c r="CH2415" s="1" t="s">
        <v>104</v>
      </c>
      <c r="CJ2415" s="1">
        <v>0</v>
      </c>
      <c r="CK2415" s="1">
        <v>0</v>
      </c>
      <c r="CL2415" s="1">
        <v>0</v>
      </c>
      <c r="CM2415" s="1" t="s">
        <v>104</v>
      </c>
    </row>
    <row r="2416" spans="1:91" ht="14.25" customHeight="1" x14ac:dyDescent="0.3">
      <c r="A2416" s="1" t="s">
        <v>12410</v>
      </c>
      <c r="B2416" s="1" t="s">
        <v>137</v>
      </c>
      <c r="E2416" s="1" t="s">
        <v>12411</v>
      </c>
      <c r="F2416" s="1" t="s">
        <v>95</v>
      </c>
      <c r="G2416" s="1" t="s">
        <v>12412</v>
      </c>
      <c r="H2416" s="1">
        <v>0</v>
      </c>
      <c r="I2416" s="1" t="s">
        <v>117</v>
      </c>
      <c r="L2416" s="1" t="s">
        <v>12403</v>
      </c>
      <c r="M2416" s="1" t="s">
        <v>426</v>
      </c>
      <c r="N2416" s="1">
        <v>1</v>
      </c>
      <c r="O2416" s="1">
        <v>0</v>
      </c>
      <c r="P2416" s="1" t="s">
        <v>5957</v>
      </c>
      <c r="Q2416" s="1" t="s">
        <v>101</v>
      </c>
      <c r="R2416" s="1" t="s">
        <v>12413</v>
      </c>
      <c r="S2416" s="1" t="s">
        <v>12405</v>
      </c>
      <c r="T2416" s="1">
        <v>1</v>
      </c>
      <c r="U2416" s="1">
        <v>1</v>
      </c>
      <c r="V2416" s="1">
        <v>1</v>
      </c>
      <c r="W2416" s="1">
        <v>0</v>
      </c>
      <c r="X2416" s="1">
        <v>0</v>
      </c>
      <c r="Y2416" s="1">
        <v>7</v>
      </c>
      <c r="Z2416" s="1">
        <v>7</v>
      </c>
      <c r="AA2416" s="1">
        <v>7</v>
      </c>
      <c r="AB2416" s="1" t="s">
        <v>104</v>
      </c>
      <c r="AC2416" s="1" t="s">
        <v>104</v>
      </c>
      <c r="AD2416" s="1" t="s">
        <v>104</v>
      </c>
      <c r="AE2416" s="1" t="s">
        <v>104</v>
      </c>
      <c r="AF2416" s="1" t="s">
        <v>104</v>
      </c>
      <c r="AG2416" s="1" t="s">
        <v>104</v>
      </c>
      <c r="AH2416" s="1">
        <v>7</v>
      </c>
      <c r="AI2416" s="1" t="s">
        <v>104</v>
      </c>
      <c r="AJ2416" s="1">
        <v>7</v>
      </c>
      <c r="AK2416" s="1" t="s">
        <v>104</v>
      </c>
      <c r="AL2416" s="1" t="s">
        <v>104</v>
      </c>
      <c r="AM2416" s="1" t="s">
        <v>104</v>
      </c>
      <c r="AO2416" s="1">
        <v>7</v>
      </c>
      <c r="AR2416" s="1">
        <v>0</v>
      </c>
      <c r="AS2416" s="1">
        <v>0</v>
      </c>
      <c r="AT2416" s="1">
        <v>0</v>
      </c>
      <c r="AU2416" s="1">
        <v>0</v>
      </c>
      <c r="AV2416" s="1">
        <v>0</v>
      </c>
      <c r="AW2416" s="1">
        <v>0</v>
      </c>
      <c r="AX2416" s="1">
        <v>0</v>
      </c>
      <c r="AY2416" s="1">
        <v>0</v>
      </c>
      <c r="AZ2416" s="1">
        <v>0</v>
      </c>
      <c r="BA2416" s="1">
        <v>0</v>
      </c>
      <c r="BB2416" s="1">
        <v>0</v>
      </c>
      <c r="BC2416" s="1">
        <v>0</v>
      </c>
      <c r="BD2416" s="1">
        <v>0</v>
      </c>
      <c r="BE2416" s="1">
        <v>0</v>
      </c>
      <c r="BF2416" s="1">
        <v>0</v>
      </c>
      <c r="BG2416" s="1">
        <v>0</v>
      </c>
      <c r="BH2416" s="1">
        <v>0</v>
      </c>
      <c r="BI2416" s="1">
        <v>0</v>
      </c>
      <c r="BJ2416" s="1">
        <v>0</v>
      </c>
      <c r="BK2416" s="1">
        <v>0</v>
      </c>
      <c r="BL2416" s="1">
        <v>0</v>
      </c>
      <c r="BM2416" s="1">
        <v>0</v>
      </c>
      <c r="BN2416" s="1">
        <v>0</v>
      </c>
      <c r="BO2416" s="1">
        <v>0</v>
      </c>
      <c r="BP2416" s="1">
        <v>0</v>
      </c>
      <c r="BQ2416" s="1" t="s">
        <v>104</v>
      </c>
      <c r="BR2416" s="1">
        <v>2537</v>
      </c>
      <c r="BS2416" s="1" t="s">
        <v>104</v>
      </c>
      <c r="BX2416" s="1">
        <v>0</v>
      </c>
      <c r="BY2416" s="1" t="s">
        <v>104</v>
      </c>
      <c r="BZ2416" s="1" t="s">
        <v>104</v>
      </c>
      <c r="CA2416" s="1">
        <v>7</v>
      </c>
      <c r="CB2416" s="1" t="s">
        <v>104</v>
      </c>
      <c r="CC2416" s="1" t="s">
        <v>104</v>
      </c>
      <c r="CD2416" s="1">
        <v>5</v>
      </c>
      <c r="CE2416" s="1" t="s">
        <v>104</v>
      </c>
      <c r="CF2416" s="1" t="s">
        <v>104</v>
      </c>
      <c r="CG2416" s="1" t="s">
        <v>104</v>
      </c>
      <c r="CH2416" s="1" t="s">
        <v>104</v>
      </c>
      <c r="CJ2416" s="1">
        <v>0</v>
      </c>
      <c r="CK2416" s="1">
        <v>0</v>
      </c>
      <c r="CL2416" s="1">
        <v>0</v>
      </c>
      <c r="CM2416" s="1" t="s">
        <v>104</v>
      </c>
    </row>
    <row r="2417" spans="1:91" ht="14.25" customHeight="1" x14ac:dyDescent="0.3">
      <c r="A2417" s="1" t="s">
        <v>12414</v>
      </c>
      <c r="B2417" s="1" t="s">
        <v>137</v>
      </c>
      <c r="E2417" s="1" t="s">
        <v>12415</v>
      </c>
      <c r="F2417" s="1" t="s">
        <v>95</v>
      </c>
      <c r="G2417" s="1" t="s">
        <v>12416</v>
      </c>
      <c r="H2417" s="1">
        <v>0</v>
      </c>
      <c r="I2417" s="1" t="s">
        <v>7240</v>
      </c>
      <c r="L2417" s="1" t="s">
        <v>12417</v>
      </c>
      <c r="M2417" s="1" t="s">
        <v>426</v>
      </c>
      <c r="N2417" s="1">
        <v>1</v>
      </c>
      <c r="O2417" s="1">
        <v>0</v>
      </c>
      <c r="P2417" s="1" t="s">
        <v>12418</v>
      </c>
      <c r="Q2417" s="1" t="s">
        <v>184</v>
      </c>
      <c r="R2417" s="1" t="s">
        <v>12419</v>
      </c>
      <c r="S2417" s="1" t="s">
        <v>12405</v>
      </c>
      <c r="T2417" s="1">
        <v>1</v>
      </c>
      <c r="U2417" s="1">
        <v>1</v>
      </c>
      <c r="V2417" s="1">
        <v>1</v>
      </c>
      <c r="W2417" s="1">
        <v>0</v>
      </c>
      <c r="X2417" s="1">
        <v>0</v>
      </c>
      <c r="Y2417" s="1">
        <v>8</v>
      </c>
      <c r="Z2417" s="1">
        <v>8</v>
      </c>
      <c r="AA2417" s="1">
        <v>8</v>
      </c>
      <c r="AB2417" s="1" t="s">
        <v>104</v>
      </c>
      <c r="AC2417" s="1" t="s">
        <v>104</v>
      </c>
      <c r="AD2417" s="1" t="s">
        <v>104</v>
      </c>
      <c r="AE2417" s="1" t="s">
        <v>104</v>
      </c>
      <c r="AF2417" s="1" t="s">
        <v>104</v>
      </c>
      <c r="AG2417" s="1" t="s">
        <v>104</v>
      </c>
      <c r="AH2417" s="1">
        <v>7</v>
      </c>
      <c r="AI2417" s="1" t="s">
        <v>104</v>
      </c>
      <c r="AJ2417" s="1">
        <v>8</v>
      </c>
      <c r="AK2417" s="1" t="s">
        <v>104</v>
      </c>
      <c r="AL2417" s="1" t="s">
        <v>104</v>
      </c>
      <c r="AM2417" s="1" t="s">
        <v>104</v>
      </c>
      <c r="AO2417" s="1">
        <v>8</v>
      </c>
      <c r="AR2417" s="1">
        <v>0</v>
      </c>
      <c r="AS2417" s="1">
        <v>0</v>
      </c>
      <c r="AT2417" s="1">
        <v>0</v>
      </c>
      <c r="AU2417" s="1">
        <v>0</v>
      </c>
      <c r="AV2417" s="1">
        <v>0</v>
      </c>
      <c r="AW2417" s="1">
        <v>0</v>
      </c>
      <c r="AX2417" s="1">
        <v>0</v>
      </c>
      <c r="AY2417" s="1">
        <v>0</v>
      </c>
      <c r="AZ2417" s="1">
        <v>0</v>
      </c>
      <c r="BA2417" s="1">
        <v>0</v>
      </c>
      <c r="BB2417" s="1">
        <v>0</v>
      </c>
      <c r="BC2417" s="1">
        <v>0</v>
      </c>
      <c r="BD2417" s="1">
        <v>0</v>
      </c>
      <c r="BE2417" s="1">
        <v>0</v>
      </c>
      <c r="BF2417" s="1">
        <v>0</v>
      </c>
      <c r="BG2417" s="1">
        <v>0</v>
      </c>
      <c r="BH2417" s="1">
        <v>0</v>
      </c>
      <c r="BI2417" s="1">
        <v>0</v>
      </c>
      <c r="BJ2417" s="1">
        <v>0</v>
      </c>
      <c r="BK2417" s="1">
        <v>0</v>
      </c>
      <c r="BL2417" s="1">
        <v>0</v>
      </c>
      <c r="BM2417" s="1">
        <v>0</v>
      </c>
      <c r="BN2417" s="1">
        <v>0</v>
      </c>
      <c r="BO2417" s="1">
        <v>0</v>
      </c>
      <c r="BP2417" s="1">
        <v>0</v>
      </c>
      <c r="BQ2417" s="1" t="s">
        <v>104</v>
      </c>
      <c r="BR2417" s="1">
        <v>2538</v>
      </c>
      <c r="BS2417" s="1" t="s">
        <v>104</v>
      </c>
      <c r="BX2417" s="1">
        <v>0</v>
      </c>
      <c r="BY2417" s="1" t="s">
        <v>104</v>
      </c>
      <c r="BZ2417" s="1">
        <v>8</v>
      </c>
      <c r="CA2417" s="1">
        <v>8</v>
      </c>
      <c r="CB2417" s="1" t="s">
        <v>104</v>
      </c>
      <c r="CC2417" s="1" t="s">
        <v>104</v>
      </c>
      <c r="CD2417" s="1" t="s">
        <v>104</v>
      </c>
      <c r="CE2417" s="1">
        <v>6</v>
      </c>
      <c r="CF2417" s="1" t="s">
        <v>104</v>
      </c>
      <c r="CG2417" s="1" t="s">
        <v>104</v>
      </c>
      <c r="CH2417" s="1" t="s">
        <v>104</v>
      </c>
      <c r="CJ2417" s="1">
        <v>0</v>
      </c>
      <c r="CK2417" s="1">
        <v>0</v>
      </c>
      <c r="CL2417" s="1">
        <v>0</v>
      </c>
      <c r="CM2417" s="1" t="s">
        <v>104</v>
      </c>
    </row>
    <row r="2418" spans="1:91" ht="14.25" customHeight="1" x14ac:dyDescent="0.3">
      <c r="A2418" s="1" t="s">
        <v>12420</v>
      </c>
      <c r="B2418" s="1" t="s">
        <v>216</v>
      </c>
      <c r="D2418" s="1" t="s">
        <v>11441</v>
      </c>
      <c r="E2418" s="1" t="s">
        <v>12421</v>
      </c>
      <c r="F2418" s="1" t="s">
        <v>95</v>
      </c>
      <c r="G2418" s="1" t="s">
        <v>12422</v>
      </c>
      <c r="H2418" s="1">
        <v>0</v>
      </c>
      <c r="I2418" s="1" t="s">
        <v>109</v>
      </c>
      <c r="L2418" s="1" t="s">
        <v>1065</v>
      </c>
      <c r="M2418" s="1" t="s">
        <v>119</v>
      </c>
      <c r="N2418" s="1">
        <v>0</v>
      </c>
      <c r="O2418" s="1">
        <v>0</v>
      </c>
      <c r="P2418" s="1" t="s">
        <v>2127</v>
      </c>
      <c r="Q2418" s="1" t="s">
        <v>184</v>
      </c>
      <c r="R2418" s="1" t="s">
        <v>12423</v>
      </c>
      <c r="S2418" s="1" t="s">
        <v>12405</v>
      </c>
      <c r="T2418" s="1">
        <v>1</v>
      </c>
      <c r="U2418" s="1">
        <v>1</v>
      </c>
      <c r="V2418" s="1">
        <v>1</v>
      </c>
      <c r="W2418" s="1">
        <v>0</v>
      </c>
      <c r="X2418" s="1">
        <v>0</v>
      </c>
      <c r="Y2418" s="1" t="s">
        <v>104</v>
      </c>
      <c r="Z2418" s="1" t="s">
        <v>104</v>
      </c>
      <c r="AA2418" s="1">
        <v>3</v>
      </c>
      <c r="AB2418" s="1" t="s">
        <v>104</v>
      </c>
      <c r="AC2418" s="1" t="s">
        <v>104</v>
      </c>
      <c r="AD2418" s="1" t="s">
        <v>104</v>
      </c>
      <c r="AE2418" s="1" t="s">
        <v>104</v>
      </c>
      <c r="AF2418" s="1" t="s">
        <v>104</v>
      </c>
      <c r="AG2418" s="1" t="s">
        <v>104</v>
      </c>
      <c r="AH2418" s="1">
        <v>3</v>
      </c>
      <c r="AI2418" s="1">
        <v>2</v>
      </c>
      <c r="AJ2418" s="1">
        <v>3</v>
      </c>
      <c r="AK2418" s="1">
        <v>2</v>
      </c>
      <c r="AL2418" s="1" t="s">
        <v>104</v>
      </c>
      <c r="AM2418" s="1" t="s">
        <v>104</v>
      </c>
      <c r="AO2418" s="1">
        <v>3</v>
      </c>
      <c r="AR2418" s="1">
        <v>0</v>
      </c>
      <c r="AS2418" s="1">
        <v>0</v>
      </c>
      <c r="AT2418" s="1">
        <v>0</v>
      </c>
      <c r="AU2418" s="1">
        <v>0</v>
      </c>
      <c r="AV2418" s="1">
        <v>1</v>
      </c>
      <c r="AW2418" s="1">
        <v>0</v>
      </c>
      <c r="AX2418" s="1">
        <v>0</v>
      </c>
      <c r="AY2418" s="1">
        <v>0</v>
      </c>
      <c r="AZ2418" s="1">
        <v>0</v>
      </c>
      <c r="BA2418" s="1">
        <v>0</v>
      </c>
      <c r="BB2418" s="1">
        <v>0</v>
      </c>
      <c r="BC2418" s="1">
        <v>0</v>
      </c>
      <c r="BD2418" s="1">
        <v>0</v>
      </c>
      <c r="BE2418" s="1">
        <v>0</v>
      </c>
      <c r="BF2418" s="1">
        <v>0</v>
      </c>
      <c r="BG2418" s="1">
        <v>0</v>
      </c>
      <c r="BH2418" s="1">
        <v>0</v>
      </c>
      <c r="BI2418" s="1">
        <v>0</v>
      </c>
      <c r="BJ2418" s="1">
        <v>0</v>
      </c>
      <c r="BK2418" s="1">
        <v>0</v>
      </c>
      <c r="BL2418" s="1">
        <v>0</v>
      </c>
      <c r="BM2418" s="1">
        <v>0</v>
      </c>
      <c r="BN2418" s="1">
        <v>0</v>
      </c>
      <c r="BO2418" s="1">
        <v>0</v>
      </c>
      <c r="BP2418" s="1">
        <v>0</v>
      </c>
      <c r="BQ2418" s="1" t="s">
        <v>104</v>
      </c>
      <c r="BR2418" s="1">
        <v>2539</v>
      </c>
      <c r="BS2418" s="1" t="s">
        <v>104</v>
      </c>
      <c r="BX2418" s="1">
        <v>0</v>
      </c>
      <c r="BY2418" s="1" t="s">
        <v>104</v>
      </c>
      <c r="BZ2418" s="1">
        <v>4</v>
      </c>
      <c r="CA2418" s="1">
        <v>3</v>
      </c>
      <c r="CB2418" s="1" t="s">
        <v>104</v>
      </c>
      <c r="CC2418" s="1" t="s">
        <v>104</v>
      </c>
      <c r="CD2418" s="1">
        <v>4</v>
      </c>
      <c r="CE2418" s="1" t="s">
        <v>104</v>
      </c>
      <c r="CF2418" s="1" t="s">
        <v>104</v>
      </c>
      <c r="CG2418" s="1" t="s">
        <v>104</v>
      </c>
      <c r="CH2418" s="1" t="s">
        <v>104</v>
      </c>
      <c r="CJ2418" s="1">
        <v>0</v>
      </c>
      <c r="CK2418" s="1">
        <v>0</v>
      </c>
      <c r="CL2418" s="1">
        <v>0</v>
      </c>
      <c r="CM2418" s="1" t="s">
        <v>104</v>
      </c>
    </row>
    <row r="2419" spans="1:91" ht="14.25" customHeight="1" x14ac:dyDescent="0.3">
      <c r="A2419" s="1" t="s">
        <v>12424</v>
      </c>
      <c r="B2419" s="1" t="s">
        <v>137</v>
      </c>
      <c r="D2419" s="1" t="s">
        <v>51</v>
      </c>
      <c r="E2419" s="1" t="s">
        <v>12425</v>
      </c>
      <c r="F2419" s="1" t="s">
        <v>95</v>
      </c>
      <c r="G2419" s="1" t="s">
        <v>12426</v>
      </c>
      <c r="H2419" s="1">
        <v>0</v>
      </c>
      <c r="I2419" s="1" t="s">
        <v>11757</v>
      </c>
      <c r="L2419" s="1" t="s">
        <v>12427</v>
      </c>
      <c r="M2419" s="1" t="s">
        <v>119</v>
      </c>
      <c r="N2419" s="1">
        <v>0</v>
      </c>
      <c r="O2419" s="1">
        <v>0</v>
      </c>
      <c r="P2419" s="1" t="s">
        <v>471</v>
      </c>
      <c r="Q2419" s="1" t="s">
        <v>472</v>
      </c>
      <c r="R2419" s="1" t="s">
        <v>12428</v>
      </c>
      <c r="S2419" s="1" t="s">
        <v>12405</v>
      </c>
      <c r="T2419" s="1">
        <v>1</v>
      </c>
      <c r="U2419" s="1">
        <v>1</v>
      </c>
      <c r="V2419" s="1">
        <v>1</v>
      </c>
      <c r="W2419" s="1">
        <v>0</v>
      </c>
      <c r="X2419" s="1">
        <v>0</v>
      </c>
      <c r="Y2419" s="1">
        <v>4</v>
      </c>
      <c r="Z2419" s="1">
        <v>4</v>
      </c>
      <c r="AA2419" s="1">
        <v>4</v>
      </c>
      <c r="AB2419" s="1">
        <v>4</v>
      </c>
      <c r="AC2419" s="1" t="s">
        <v>104</v>
      </c>
      <c r="AD2419" s="1" t="s">
        <v>104</v>
      </c>
      <c r="AE2419" s="1" t="s">
        <v>104</v>
      </c>
      <c r="AF2419" s="1" t="s">
        <v>104</v>
      </c>
      <c r="AG2419" s="1" t="s">
        <v>104</v>
      </c>
      <c r="AH2419" s="1" t="s">
        <v>104</v>
      </c>
      <c r="AI2419" s="1" t="s">
        <v>104</v>
      </c>
      <c r="AJ2419" s="1">
        <v>4</v>
      </c>
      <c r="AK2419" s="1" t="s">
        <v>104</v>
      </c>
      <c r="AL2419" s="1" t="s">
        <v>104</v>
      </c>
      <c r="AM2419" s="1" t="s">
        <v>104</v>
      </c>
      <c r="AO2419" s="1">
        <v>4</v>
      </c>
      <c r="AR2419" s="1">
        <v>0</v>
      </c>
      <c r="AS2419" s="1">
        <v>0</v>
      </c>
      <c r="AT2419" s="1">
        <v>0</v>
      </c>
      <c r="AU2419" s="1">
        <v>0</v>
      </c>
      <c r="AV2419" s="1">
        <v>0</v>
      </c>
      <c r="AW2419" s="1">
        <v>0</v>
      </c>
      <c r="AX2419" s="1">
        <v>0</v>
      </c>
      <c r="AY2419" s="1">
        <v>0</v>
      </c>
      <c r="AZ2419" s="1">
        <v>1</v>
      </c>
      <c r="BA2419" s="1">
        <v>0</v>
      </c>
      <c r="BB2419" s="1">
        <v>0</v>
      </c>
      <c r="BC2419" s="1">
        <v>0</v>
      </c>
      <c r="BD2419" s="1">
        <v>0</v>
      </c>
      <c r="BE2419" s="1">
        <v>0</v>
      </c>
      <c r="BF2419" s="1">
        <v>0</v>
      </c>
      <c r="BG2419" s="1">
        <v>0</v>
      </c>
      <c r="BH2419" s="1">
        <v>0</v>
      </c>
      <c r="BI2419" s="1">
        <v>0</v>
      </c>
      <c r="BJ2419" s="1">
        <v>0</v>
      </c>
      <c r="BK2419" s="1">
        <v>0</v>
      </c>
      <c r="BL2419" s="1">
        <v>0</v>
      </c>
      <c r="BM2419" s="1">
        <v>0</v>
      </c>
      <c r="BN2419" s="1">
        <v>0</v>
      </c>
      <c r="BO2419" s="1">
        <v>0</v>
      </c>
      <c r="BP2419" s="1">
        <v>0</v>
      </c>
      <c r="BQ2419" s="1" t="s">
        <v>104</v>
      </c>
      <c r="BR2419" s="1">
        <v>2540</v>
      </c>
      <c r="BS2419" s="1" t="s">
        <v>104</v>
      </c>
      <c r="BX2419" s="1">
        <v>0</v>
      </c>
      <c r="BY2419" s="1">
        <v>4</v>
      </c>
      <c r="BZ2419" s="1" t="s">
        <v>104</v>
      </c>
      <c r="CA2419" s="1">
        <v>4</v>
      </c>
      <c r="CB2419" s="1">
        <v>4</v>
      </c>
      <c r="CC2419" s="1" t="s">
        <v>104</v>
      </c>
      <c r="CD2419" s="1">
        <v>4</v>
      </c>
      <c r="CE2419" s="1" t="s">
        <v>104</v>
      </c>
      <c r="CF2419" s="1" t="s">
        <v>104</v>
      </c>
      <c r="CG2419" s="1" t="s">
        <v>104</v>
      </c>
      <c r="CH2419" s="1">
        <v>4</v>
      </c>
      <c r="CJ2419" s="1">
        <v>0</v>
      </c>
      <c r="CK2419" s="1">
        <v>0</v>
      </c>
      <c r="CL2419" s="1">
        <v>0</v>
      </c>
      <c r="CM2419" s="1" t="s">
        <v>104</v>
      </c>
    </row>
    <row r="2420" spans="1:91" ht="14.25" customHeight="1" x14ac:dyDescent="0.3">
      <c r="A2420" s="1" t="s">
        <v>12429</v>
      </c>
      <c r="B2420" s="1" t="s">
        <v>434</v>
      </c>
      <c r="D2420" s="1" t="s">
        <v>7636</v>
      </c>
      <c r="E2420" s="1" t="s">
        <v>12430</v>
      </c>
      <c r="F2420" s="1" t="s">
        <v>95</v>
      </c>
      <c r="G2420" s="1" t="s">
        <v>116</v>
      </c>
      <c r="H2420" s="1">
        <v>0</v>
      </c>
      <c r="I2420" s="1" t="s">
        <v>157</v>
      </c>
      <c r="L2420" s="1" t="s">
        <v>158</v>
      </c>
      <c r="M2420" s="1" t="s">
        <v>2330</v>
      </c>
      <c r="N2420" s="1">
        <v>0</v>
      </c>
      <c r="O2420" s="1">
        <v>0</v>
      </c>
      <c r="P2420" s="1" t="s">
        <v>375</v>
      </c>
      <c r="Q2420" s="1" t="s">
        <v>101</v>
      </c>
      <c r="R2420" s="1" t="s">
        <v>12431</v>
      </c>
      <c r="S2420" s="1" t="s">
        <v>12405</v>
      </c>
      <c r="T2420" s="1">
        <v>1</v>
      </c>
      <c r="U2420" s="1">
        <v>1</v>
      </c>
      <c r="V2420" s="1">
        <v>0</v>
      </c>
      <c r="W2420" s="1">
        <v>0</v>
      </c>
      <c r="X2420" s="1">
        <v>0</v>
      </c>
      <c r="Y2420" s="1" t="s">
        <v>104</v>
      </c>
      <c r="Z2420" s="1" t="s">
        <v>104</v>
      </c>
      <c r="AA2420" s="1" t="s">
        <v>104</v>
      </c>
      <c r="AB2420" s="1" t="s">
        <v>104</v>
      </c>
      <c r="AC2420" s="1" t="s">
        <v>104</v>
      </c>
      <c r="AD2420" s="1">
        <v>1</v>
      </c>
      <c r="AE2420" s="1" t="s">
        <v>104</v>
      </c>
      <c r="AF2420" s="1" t="s">
        <v>104</v>
      </c>
      <c r="AG2420" s="1" t="s">
        <v>104</v>
      </c>
      <c r="AH2420" s="1" t="s">
        <v>104</v>
      </c>
      <c r="AI2420" s="1" t="s">
        <v>104</v>
      </c>
      <c r="AJ2420" s="1" t="s">
        <v>104</v>
      </c>
      <c r="AK2420" s="1" t="s">
        <v>104</v>
      </c>
      <c r="AL2420" s="1" t="s">
        <v>104</v>
      </c>
      <c r="AM2420" s="1" t="s">
        <v>104</v>
      </c>
      <c r="AO2420" s="1">
        <v>1</v>
      </c>
      <c r="AR2420" s="1">
        <v>0</v>
      </c>
      <c r="AS2420" s="1">
        <v>0</v>
      </c>
      <c r="AT2420" s="1">
        <v>0</v>
      </c>
      <c r="AU2420" s="1">
        <v>0</v>
      </c>
      <c r="AV2420" s="1">
        <v>0</v>
      </c>
      <c r="AW2420" s="1">
        <v>0</v>
      </c>
      <c r="AX2420" s="1">
        <v>0</v>
      </c>
      <c r="AY2420" s="1">
        <v>0</v>
      </c>
      <c r="AZ2420" s="1">
        <v>0</v>
      </c>
      <c r="BA2420" s="1">
        <v>0</v>
      </c>
      <c r="BB2420" s="1">
        <v>0</v>
      </c>
      <c r="BC2420" s="1">
        <v>0</v>
      </c>
      <c r="BD2420" s="1">
        <v>0</v>
      </c>
      <c r="BE2420" s="1">
        <v>0</v>
      </c>
      <c r="BF2420" s="1">
        <v>0</v>
      </c>
      <c r="BG2420" s="1">
        <v>0</v>
      </c>
      <c r="BH2420" s="1">
        <v>1</v>
      </c>
      <c r="BI2420" s="1">
        <v>0</v>
      </c>
      <c r="BJ2420" s="1">
        <v>0</v>
      </c>
      <c r="BK2420" s="1">
        <v>0</v>
      </c>
      <c r="BL2420" s="1">
        <v>0</v>
      </c>
      <c r="BM2420" s="1">
        <v>0</v>
      </c>
      <c r="BN2420" s="1">
        <v>0</v>
      </c>
      <c r="BO2420" s="1">
        <v>1</v>
      </c>
      <c r="BP2420" s="1">
        <v>0</v>
      </c>
      <c r="BQ2420" s="1" t="s">
        <v>104</v>
      </c>
      <c r="BR2420" s="1">
        <v>2541</v>
      </c>
      <c r="BS2420" s="1" t="s">
        <v>104</v>
      </c>
      <c r="BX2420" s="1">
        <v>0</v>
      </c>
      <c r="BY2420" s="1">
        <v>1</v>
      </c>
      <c r="BZ2420" s="1" t="s">
        <v>104</v>
      </c>
      <c r="CA2420" s="1" t="s">
        <v>104</v>
      </c>
      <c r="CB2420" s="1" t="s">
        <v>104</v>
      </c>
      <c r="CC2420" s="1" t="s">
        <v>104</v>
      </c>
      <c r="CD2420" s="1" t="s">
        <v>104</v>
      </c>
      <c r="CE2420" s="1" t="s">
        <v>104</v>
      </c>
      <c r="CF2420" s="1" t="s">
        <v>104</v>
      </c>
      <c r="CG2420" s="1" t="s">
        <v>104</v>
      </c>
      <c r="CH2420" s="1" t="s">
        <v>104</v>
      </c>
      <c r="CJ2420" s="1">
        <v>0</v>
      </c>
      <c r="CK2420" s="1">
        <v>0</v>
      </c>
      <c r="CL2420" s="1">
        <v>0</v>
      </c>
      <c r="CM2420" s="1" t="s">
        <v>104</v>
      </c>
    </row>
    <row r="2421" spans="1:91" ht="14.25" customHeight="1" x14ac:dyDescent="0.3">
      <c r="A2421" s="1" t="s">
        <v>12432</v>
      </c>
      <c r="B2421" s="1" t="s">
        <v>137</v>
      </c>
      <c r="E2421" s="1" t="s">
        <v>4399</v>
      </c>
      <c r="F2421" s="1" t="s">
        <v>4934</v>
      </c>
      <c r="G2421" s="1" t="s">
        <v>116</v>
      </c>
      <c r="H2421" s="1">
        <v>0</v>
      </c>
      <c r="I2421" s="1" t="s">
        <v>157</v>
      </c>
      <c r="L2421" s="1" t="s">
        <v>158</v>
      </c>
      <c r="M2421" s="1" t="s">
        <v>255</v>
      </c>
      <c r="N2421" s="1">
        <v>0</v>
      </c>
      <c r="O2421" s="1">
        <v>0</v>
      </c>
      <c r="P2421" s="1" t="s">
        <v>375</v>
      </c>
      <c r="Q2421" s="1" t="s">
        <v>101</v>
      </c>
      <c r="R2421" s="1" t="s">
        <v>12433</v>
      </c>
      <c r="S2421" s="1" t="s">
        <v>12405</v>
      </c>
      <c r="T2421" s="1">
        <v>1</v>
      </c>
      <c r="U2421" s="1">
        <v>1</v>
      </c>
      <c r="V2421" s="1">
        <v>0</v>
      </c>
      <c r="W2421" s="1">
        <v>0</v>
      </c>
      <c r="X2421" s="1">
        <v>0</v>
      </c>
      <c r="Y2421" s="1" t="s">
        <v>104</v>
      </c>
      <c r="Z2421" s="1" t="s">
        <v>104</v>
      </c>
      <c r="AA2421" s="1" t="s">
        <v>104</v>
      </c>
      <c r="AB2421" s="1" t="s">
        <v>104</v>
      </c>
      <c r="AC2421" s="1" t="s">
        <v>104</v>
      </c>
      <c r="AD2421" s="1" t="s">
        <v>104</v>
      </c>
      <c r="AE2421" s="1" t="s">
        <v>104</v>
      </c>
      <c r="AF2421" s="1">
        <v>3</v>
      </c>
      <c r="AG2421" s="1" t="s">
        <v>104</v>
      </c>
      <c r="AH2421" s="1" t="s">
        <v>104</v>
      </c>
      <c r="AI2421" s="1" t="s">
        <v>104</v>
      </c>
      <c r="AJ2421" s="1" t="s">
        <v>104</v>
      </c>
      <c r="AK2421" s="1" t="s">
        <v>104</v>
      </c>
      <c r="AL2421" s="1" t="s">
        <v>104</v>
      </c>
      <c r="AM2421" s="1" t="s">
        <v>104</v>
      </c>
      <c r="AO2421" s="1">
        <v>3</v>
      </c>
      <c r="AR2421" s="1">
        <v>0</v>
      </c>
      <c r="AS2421" s="1">
        <v>0</v>
      </c>
      <c r="AT2421" s="1">
        <v>0</v>
      </c>
      <c r="AU2421" s="1">
        <v>0</v>
      </c>
      <c r="AV2421" s="1">
        <v>0</v>
      </c>
      <c r="AW2421" s="1">
        <v>0</v>
      </c>
      <c r="AX2421" s="1">
        <v>0</v>
      </c>
      <c r="AY2421" s="1">
        <v>0</v>
      </c>
      <c r="AZ2421" s="1">
        <v>0</v>
      </c>
      <c r="BA2421" s="1">
        <v>0</v>
      </c>
      <c r="BB2421" s="1">
        <v>0</v>
      </c>
      <c r="BC2421" s="1">
        <v>0</v>
      </c>
      <c r="BD2421" s="1">
        <v>0</v>
      </c>
      <c r="BE2421" s="1">
        <v>0</v>
      </c>
      <c r="BF2421" s="1">
        <v>0</v>
      </c>
      <c r="BG2421" s="1">
        <v>0</v>
      </c>
      <c r="BH2421" s="1">
        <v>0</v>
      </c>
      <c r="BI2421" s="1">
        <v>0</v>
      </c>
      <c r="BJ2421" s="1">
        <v>0</v>
      </c>
      <c r="BK2421" s="1">
        <v>0</v>
      </c>
      <c r="BL2421" s="1">
        <v>0</v>
      </c>
      <c r="BM2421" s="1">
        <v>0</v>
      </c>
      <c r="BN2421" s="1">
        <v>0</v>
      </c>
      <c r="BO2421" s="1">
        <v>0</v>
      </c>
      <c r="BP2421" s="1">
        <v>0</v>
      </c>
      <c r="BQ2421" s="1" t="s">
        <v>104</v>
      </c>
      <c r="BR2421" s="1">
        <v>2542</v>
      </c>
      <c r="BS2421" s="1" t="s">
        <v>104</v>
      </c>
      <c r="BX2421" s="1">
        <v>0</v>
      </c>
      <c r="BY2421" s="1" t="s">
        <v>104</v>
      </c>
      <c r="BZ2421" s="1" t="s">
        <v>104</v>
      </c>
      <c r="CA2421" s="1" t="s">
        <v>104</v>
      </c>
      <c r="CB2421" s="1" t="s">
        <v>104</v>
      </c>
      <c r="CC2421" s="1" t="s">
        <v>104</v>
      </c>
      <c r="CD2421" s="1" t="s">
        <v>104</v>
      </c>
      <c r="CE2421" s="1" t="s">
        <v>104</v>
      </c>
      <c r="CF2421" s="1" t="s">
        <v>104</v>
      </c>
      <c r="CG2421" s="1" t="s">
        <v>104</v>
      </c>
      <c r="CH2421" s="1" t="s">
        <v>104</v>
      </c>
      <c r="CJ2421" s="1">
        <v>0</v>
      </c>
      <c r="CK2421" s="1">
        <v>0</v>
      </c>
      <c r="CL2421" s="1">
        <v>0</v>
      </c>
      <c r="CM2421" s="1" t="s">
        <v>104</v>
      </c>
    </row>
    <row r="2422" spans="1:91" ht="14.25" customHeight="1" x14ac:dyDescent="0.3">
      <c r="A2422" s="1" t="s">
        <v>12434</v>
      </c>
      <c r="B2422" s="1" t="s">
        <v>92</v>
      </c>
      <c r="C2422" s="1" t="s">
        <v>903</v>
      </c>
      <c r="E2422" s="1" t="s">
        <v>12435</v>
      </c>
      <c r="F2422" s="1" t="s">
        <v>95</v>
      </c>
      <c r="G2422" s="1" t="s">
        <v>12436</v>
      </c>
      <c r="H2422" s="1">
        <v>0</v>
      </c>
      <c r="I2422" s="1" t="s">
        <v>117</v>
      </c>
      <c r="K2422" s="1" t="s">
        <v>12437</v>
      </c>
      <c r="M2422" s="1" t="s">
        <v>426</v>
      </c>
      <c r="N2422" s="1">
        <v>1</v>
      </c>
      <c r="O2422" s="1">
        <v>0</v>
      </c>
      <c r="P2422" s="1" t="s">
        <v>100</v>
      </c>
      <c r="Q2422" s="1" t="s">
        <v>101</v>
      </c>
      <c r="R2422" s="1" t="s">
        <v>12438</v>
      </c>
      <c r="S2422" s="1" t="s">
        <v>12405</v>
      </c>
      <c r="T2422" s="1">
        <v>1</v>
      </c>
      <c r="U2422" s="1">
        <v>1</v>
      </c>
      <c r="V2422" s="1">
        <v>1</v>
      </c>
      <c r="W2422" s="1">
        <v>0</v>
      </c>
      <c r="X2422" s="1">
        <v>1</v>
      </c>
      <c r="Y2422" s="1">
        <v>5</v>
      </c>
      <c r="Z2422" s="1">
        <v>5</v>
      </c>
      <c r="AA2422" s="1" t="s">
        <v>104</v>
      </c>
      <c r="AB2422" s="1">
        <v>5</v>
      </c>
      <c r="AC2422" s="1" t="s">
        <v>104</v>
      </c>
      <c r="AD2422" s="1">
        <v>5</v>
      </c>
      <c r="AE2422" s="1" t="s">
        <v>104</v>
      </c>
      <c r="AF2422" s="1" t="s">
        <v>104</v>
      </c>
      <c r="AG2422" s="1">
        <v>5</v>
      </c>
      <c r="AH2422" s="1">
        <v>5</v>
      </c>
      <c r="AI2422" s="1" t="s">
        <v>104</v>
      </c>
      <c r="AJ2422" s="1" t="s">
        <v>104</v>
      </c>
      <c r="AK2422" s="1" t="s">
        <v>104</v>
      </c>
      <c r="AL2422" s="1" t="s">
        <v>104</v>
      </c>
      <c r="AM2422" s="1" t="s">
        <v>104</v>
      </c>
      <c r="AO2422" s="1">
        <v>5</v>
      </c>
      <c r="AR2422" s="1">
        <v>0</v>
      </c>
      <c r="AS2422" s="1">
        <v>0</v>
      </c>
      <c r="AT2422" s="1">
        <v>0</v>
      </c>
      <c r="AU2422" s="1">
        <v>0</v>
      </c>
      <c r="AV2422" s="1">
        <v>0</v>
      </c>
      <c r="AW2422" s="1">
        <v>0</v>
      </c>
      <c r="AX2422" s="1">
        <v>0</v>
      </c>
      <c r="AY2422" s="1">
        <v>0</v>
      </c>
      <c r="AZ2422" s="1">
        <v>0</v>
      </c>
      <c r="BA2422" s="1">
        <v>0</v>
      </c>
      <c r="BB2422" s="1">
        <v>0</v>
      </c>
      <c r="BC2422" s="1">
        <v>0</v>
      </c>
      <c r="BD2422" s="1">
        <v>0</v>
      </c>
      <c r="BE2422" s="1">
        <v>0</v>
      </c>
      <c r="BF2422" s="1">
        <v>0</v>
      </c>
      <c r="BG2422" s="1">
        <v>0</v>
      </c>
      <c r="BH2422" s="1">
        <v>0</v>
      </c>
      <c r="BI2422" s="1">
        <v>0</v>
      </c>
      <c r="BJ2422" s="1">
        <v>0</v>
      </c>
      <c r="BK2422" s="1">
        <v>0</v>
      </c>
      <c r="BL2422" s="1">
        <v>0</v>
      </c>
      <c r="BM2422" s="1">
        <v>0</v>
      </c>
      <c r="BN2422" s="1">
        <v>0</v>
      </c>
      <c r="BO2422" s="1">
        <v>0</v>
      </c>
      <c r="BP2422" s="1">
        <v>0</v>
      </c>
      <c r="BQ2422" s="1" t="s">
        <v>104</v>
      </c>
      <c r="BR2422" s="1">
        <v>2543</v>
      </c>
      <c r="BS2422" s="1" t="s">
        <v>104</v>
      </c>
      <c r="BX2422" s="1">
        <v>0</v>
      </c>
      <c r="BY2422" s="1" t="s">
        <v>104</v>
      </c>
      <c r="BZ2422" s="1">
        <v>5</v>
      </c>
      <c r="CA2422" s="1" t="s">
        <v>104</v>
      </c>
      <c r="CB2422" s="1" t="s">
        <v>104</v>
      </c>
      <c r="CC2422" s="1" t="s">
        <v>104</v>
      </c>
      <c r="CD2422" s="1" t="s">
        <v>104</v>
      </c>
      <c r="CE2422" s="1" t="s">
        <v>104</v>
      </c>
      <c r="CF2422" s="1" t="s">
        <v>104</v>
      </c>
      <c r="CG2422" s="1" t="s">
        <v>104</v>
      </c>
      <c r="CH2422" s="1">
        <v>5</v>
      </c>
      <c r="CJ2422" s="1">
        <v>0</v>
      </c>
      <c r="CK2422" s="1">
        <v>0</v>
      </c>
      <c r="CL2422" s="1">
        <v>0</v>
      </c>
      <c r="CM2422" s="1">
        <v>5</v>
      </c>
    </row>
    <row r="2423" spans="1:91" ht="14.25" customHeight="1" x14ac:dyDescent="0.3">
      <c r="A2423" s="1" t="s">
        <v>12439</v>
      </c>
      <c r="B2423" s="1" t="s">
        <v>92</v>
      </c>
      <c r="C2423" s="1" t="s">
        <v>93</v>
      </c>
      <c r="E2423" s="1" t="s">
        <v>12440</v>
      </c>
      <c r="F2423" s="1" t="s">
        <v>95</v>
      </c>
      <c r="G2423" s="1" t="s">
        <v>12441</v>
      </c>
      <c r="H2423" s="1">
        <v>1</v>
      </c>
      <c r="I2423" s="1" t="s">
        <v>109</v>
      </c>
      <c r="K2423" s="1" t="s">
        <v>12442</v>
      </c>
      <c r="M2423" s="1" t="s">
        <v>111</v>
      </c>
      <c r="N2423" s="1">
        <v>0</v>
      </c>
      <c r="O2423" s="1">
        <v>0</v>
      </c>
      <c r="P2423" s="1" t="s">
        <v>1605</v>
      </c>
      <c r="Q2423" s="1" t="s">
        <v>101</v>
      </c>
      <c r="R2423" s="1" t="s">
        <v>12443</v>
      </c>
      <c r="S2423" s="1" t="s">
        <v>12405</v>
      </c>
      <c r="T2423" s="1">
        <v>1</v>
      </c>
      <c r="U2423" s="1">
        <v>1</v>
      </c>
      <c r="V2423" s="1">
        <v>1</v>
      </c>
      <c r="W2423" s="1">
        <v>0</v>
      </c>
      <c r="X2423" s="1">
        <v>0</v>
      </c>
      <c r="Y2423" s="1">
        <v>5</v>
      </c>
      <c r="Z2423" s="1">
        <v>5</v>
      </c>
      <c r="AA2423" s="1">
        <v>6</v>
      </c>
      <c r="AB2423" s="1">
        <v>6</v>
      </c>
      <c r="AC2423" s="1" t="s">
        <v>104</v>
      </c>
      <c r="AD2423" s="1" t="s">
        <v>104</v>
      </c>
      <c r="AE2423" s="1" t="s">
        <v>104</v>
      </c>
      <c r="AF2423" s="1" t="s">
        <v>104</v>
      </c>
      <c r="AG2423" s="1">
        <v>5</v>
      </c>
      <c r="AH2423" s="1" t="s">
        <v>104</v>
      </c>
      <c r="AI2423" s="1" t="s">
        <v>104</v>
      </c>
      <c r="AJ2423" s="1">
        <v>6</v>
      </c>
      <c r="AK2423" s="1" t="s">
        <v>104</v>
      </c>
      <c r="AL2423" s="1" t="s">
        <v>104</v>
      </c>
      <c r="AM2423" s="1" t="s">
        <v>104</v>
      </c>
      <c r="AO2423" s="1">
        <v>5</v>
      </c>
      <c r="AR2423" s="1">
        <v>0</v>
      </c>
      <c r="AS2423" s="1">
        <v>0</v>
      </c>
      <c r="AT2423" s="1">
        <v>0</v>
      </c>
      <c r="AU2423" s="1">
        <v>0</v>
      </c>
      <c r="AV2423" s="1">
        <v>0</v>
      </c>
      <c r="AW2423" s="1">
        <v>0</v>
      </c>
      <c r="AX2423" s="1">
        <v>0</v>
      </c>
      <c r="AY2423" s="1">
        <v>0</v>
      </c>
      <c r="AZ2423" s="1">
        <v>0</v>
      </c>
      <c r="BA2423" s="1">
        <v>0</v>
      </c>
      <c r="BB2423" s="1">
        <v>0</v>
      </c>
      <c r="BC2423" s="1">
        <v>0</v>
      </c>
      <c r="BD2423" s="1">
        <v>0</v>
      </c>
      <c r="BE2423" s="1">
        <v>0</v>
      </c>
      <c r="BF2423" s="1">
        <v>0</v>
      </c>
      <c r="BG2423" s="1">
        <v>0</v>
      </c>
      <c r="BH2423" s="1">
        <v>0</v>
      </c>
      <c r="BI2423" s="1">
        <v>0</v>
      </c>
      <c r="BJ2423" s="1">
        <v>0</v>
      </c>
      <c r="BK2423" s="1">
        <v>0</v>
      </c>
      <c r="BL2423" s="1">
        <v>0</v>
      </c>
      <c r="BM2423" s="1">
        <v>0</v>
      </c>
      <c r="BN2423" s="1">
        <v>0</v>
      </c>
      <c r="BO2423" s="1">
        <v>0</v>
      </c>
      <c r="BP2423" s="1">
        <v>0</v>
      </c>
      <c r="BQ2423" s="1" t="s">
        <v>104</v>
      </c>
      <c r="BR2423" s="1">
        <v>2544</v>
      </c>
      <c r="BS2423" s="1">
        <v>10</v>
      </c>
      <c r="BX2423" s="1">
        <v>0</v>
      </c>
      <c r="BY2423" s="1" t="s">
        <v>104</v>
      </c>
      <c r="BZ2423" s="1" t="s">
        <v>104</v>
      </c>
      <c r="CA2423" s="1">
        <v>6</v>
      </c>
      <c r="CB2423" s="1" t="s">
        <v>104</v>
      </c>
      <c r="CC2423" s="1" t="s">
        <v>104</v>
      </c>
      <c r="CD2423" s="1" t="s">
        <v>104</v>
      </c>
      <c r="CE2423" s="1" t="s">
        <v>104</v>
      </c>
      <c r="CF2423" s="1" t="s">
        <v>104</v>
      </c>
      <c r="CG2423" s="1" t="s">
        <v>104</v>
      </c>
      <c r="CH2423" s="1">
        <v>6</v>
      </c>
      <c r="CJ2423" s="1">
        <v>0</v>
      </c>
      <c r="CK2423" s="1">
        <v>0</v>
      </c>
      <c r="CL2423" s="1">
        <v>0</v>
      </c>
      <c r="CM2423" s="1">
        <v>5</v>
      </c>
    </row>
    <row r="2424" spans="1:91" ht="14.25" customHeight="1" x14ac:dyDescent="0.3">
      <c r="A2424" s="1" t="s">
        <v>12444</v>
      </c>
      <c r="B2424" s="1" t="s">
        <v>216</v>
      </c>
      <c r="E2424" s="1" t="s">
        <v>12445</v>
      </c>
      <c r="F2424" s="1" t="s">
        <v>95</v>
      </c>
      <c r="G2424" s="1" t="s">
        <v>12446</v>
      </c>
      <c r="H2424" s="1">
        <v>0</v>
      </c>
      <c r="I2424" s="1" t="s">
        <v>6041</v>
      </c>
      <c r="K2424" s="1" t="s">
        <v>12447</v>
      </c>
      <c r="M2424" s="1" t="s">
        <v>2330</v>
      </c>
      <c r="N2424" s="1">
        <v>0</v>
      </c>
      <c r="O2424" s="1">
        <v>0</v>
      </c>
      <c r="P2424" s="1" t="s">
        <v>100</v>
      </c>
      <c r="Q2424" s="1" t="s">
        <v>3284</v>
      </c>
      <c r="R2424" s="1" t="s">
        <v>12448</v>
      </c>
      <c r="S2424" s="1" t="s">
        <v>12405</v>
      </c>
      <c r="T2424" s="1">
        <v>1</v>
      </c>
      <c r="U2424" s="1">
        <v>1</v>
      </c>
      <c r="V2424" s="1">
        <v>1</v>
      </c>
      <c r="W2424" s="1">
        <v>0</v>
      </c>
      <c r="X2424" s="1">
        <v>0</v>
      </c>
      <c r="Y2424" s="1">
        <v>4</v>
      </c>
      <c r="Z2424" s="1">
        <v>4</v>
      </c>
      <c r="AA2424" s="1">
        <v>4</v>
      </c>
      <c r="AB2424" s="1" t="s">
        <v>104</v>
      </c>
      <c r="AC2424" s="1" t="s">
        <v>104</v>
      </c>
      <c r="AD2424" s="1" t="s">
        <v>104</v>
      </c>
      <c r="AE2424" s="1" t="s">
        <v>104</v>
      </c>
      <c r="AF2424" s="1" t="s">
        <v>104</v>
      </c>
      <c r="AG2424" s="1" t="s">
        <v>104</v>
      </c>
      <c r="AH2424" s="1" t="s">
        <v>104</v>
      </c>
      <c r="AI2424" s="1" t="s">
        <v>104</v>
      </c>
      <c r="AJ2424" s="1">
        <v>4</v>
      </c>
      <c r="AK2424" s="1">
        <v>4</v>
      </c>
      <c r="AL2424" s="1" t="s">
        <v>104</v>
      </c>
      <c r="AM2424" s="1" t="s">
        <v>104</v>
      </c>
      <c r="AO2424" s="1">
        <v>4</v>
      </c>
      <c r="AR2424" s="1">
        <v>0</v>
      </c>
      <c r="AS2424" s="1">
        <v>0</v>
      </c>
      <c r="AT2424" s="1">
        <v>0</v>
      </c>
      <c r="AU2424" s="1">
        <v>0</v>
      </c>
      <c r="AV2424" s="1">
        <v>0</v>
      </c>
      <c r="AW2424" s="1">
        <v>0</v>
      </c>
      <c r="AX2424" s="1">
        <v>0</v>
      </c>
      <c r="AY2424" s="1">
        <v>0</v>
      </c>
      <c r="AZ2424" s="1">
        <v>0</v>
      </c>
      <c r="BA2424" s="1">
        <v>0</v>
      </c>
      <c r="BB2424" s="1">
        <v>0</v>
      </c>
      <c r="BC2424" s="1">
        <v>0</v>
      </c>
      <c r="BD2424" s="1">
        <v>0</v>
      </c>
      <c r="BE2424" s="1">
        <v>0</v>
      </c>
      <c r="BF2424" s="1">
        <v>0</v>
      </c>
      <c r="BG2424" s="1">
        <v>0</v>
      </c>
      <c r="BH2424" s="1">
        <v>0</v>
      </c>
      <c r="BI2424" s="1">
        <v>0</v>
      </c>
      <c r="BJ2424" s="1">
        <v>0</v>
      </c>
      <c r="BK2424" s="1">
        <v>0</v>
      </c>
      <c r="BL2424" s="1">
        <v>0</v>
      </c>
      <c r="BM2424" s="1">
        <v>0</v>
      </c>
      <c r="BN2424" s="1">
        <v>0</v>
      </c>
      <c r="BO2424" s="1">
        <v>0</v>
      </c>
      <c r="BP2424" s="1">
        <v>0</v>
      </c>
      <c r="BQ2424" s="1" t="s">
        <v>104</v>
      </c>
      <c r="BR2424" s="1">
        <v>2545</v>
      </c>
      <c r="BS2424" s="1" t="s">
        <v>104</v>
      </c>
      <c r="BX2424" s="1">
        <v>0</v>
      </c>
      <c r="BY2424" s="1">
        <v>4</v>
      </c>
      <c r="BZ2424" s="1" t="s">
        <v>104</v>
      </c>
      <c r="CA2424" s="1">
        <v>4</v>
      </c>
      <c r="CB2424" s="1" t="s">
        <v>104</v>
      </c>
      <c r="CC2424" s="1" t="s">
        <v>104</v>
      </c>
      <c r="CD2424" s="1" t="s">
        <v>104</v>
      </c>
      <c r="CE2424" s="1">
        <v>4</v>
      </c>
      <c r="CF2424" s="1" t="s">
        <v>104</v>
      </c>
      <c r="CG2424" s="1" t="s">
        <v>104</v>
      </c>
      <c r="CH2424" s="1" t="s">
        <v>104</v>
      </c>
      <c r="CJ2424" s="1">
        <v>0</v>
      </c>
      <c r="CK2424" s="1">
        <v>0</v>
      </c>
      <c r="CL2424" s="1">
        <v>0</v>
      </c>
      <c r="CM2424" s="1" t="s">
        <v>104</v>
      </c>
    </row>
    <row r="2425" spans="1:91" ht="14.25" customHeight="1" x14ac:dyDescent="0.3">
      <c r="A2425" s="1" t="s">
        <v>12449</v>
      </c>
      <c r="B2425" s="1" t="s">
        <v>172</v>
      </c>
      <c r="E2425" s="1" t="s">
        <v>12450</v>
      </c>
      <c r="F2425" s="1" t="s">
        <v>287</v>
      </c>
      <c r="G2425" s="1" t="s">
        <v>12451</v>
      </c>
      <c r="H2425" s="1">
        <v>1</v>
      </c>
      <c r="I2425" s="1" t="s">
        <v>157</v>
      </c>
      <c r="M2425" s="1" t="s">
        <v>2330</v>
      </c>
      <c r="N2425" s="1">
        <v>0</v>
      </c>
      <c r="O2425" s="1">
        <v>0</v>
      </c>
      <c r="R2425" s="1" t="s">
        <v>12452</v>
      </c>
      <c r="S2425" s="1" t="s">
        <v>12405</v>
      </c>
      <c r="T2425" s="1">
        <v>1</v>
      </c>
      <c r="U2425" s="1">
        <v>1</v>
      </c>
      <c r="V2425" s="1">
        <v>1</v>
      </c>
      <c r="W2425" s="1">
        <v>0</v>
      </c>
      <c r="X2425" s="1">
        <v>1</v>
      </c>
      <c r="Y2425" s="1">
        <v>4</v>
      </c>
      <c r="Z2425" s="1">
        <v>4</v>
      </c>
      <c r="AA2425" s="1" t="s">
        <v>104</v>
      </c>
      <c r="AB2425" s="1" t="s">
        <v>104</v>
      </c>
      <c r="AC2425" s="1" t="s">
        <v>104</v>
      </c>
      <c r="AD2425" s="1">
        <v>3</v>
      </c>
      <c r="AE2425" s="1" t="s">
        <v>104</v>
      </c>
      <c r="AF2425" s="1" t="s">
        <v>104</v>
      </c>
      <c r="AG2425" s="1" t="s">
        <v>104</v>
      </c>
      <c r="AH2425" s="1">
        <v>3</v>
      </c>
      <c r="AI2425" s="1" t="s">
        <v>104</v>
      </c>
      <c r="AJ2425" s="1" t="s">
        <v>104</v>
      </c>
      <c r="AK2425" s="1" t="s">
        <v>104</v>
      </c>
      <c r="AL2425" s="1" t="s">
        <v>104</v>
      </c>
      <c r="AM2425" s="1" t="s">
        <v>104</v>
      </c>
      <c r="AO2425" s="1">
        <v>4</v>
      </c>
      <c r="AR2425" s="1">
        <v>0</v>
      </c>
      <c r="AS2425" s="1">
        <v>0</v>
      </c>
      <c r="AT2425" s="1">
        <v>0</v>
      </c>
      <c r="AU2425" s="1">
        <v>0</v>
      </c>
      <c r="AV2425" s="1">
        <v>0</v>
      </c>
      <c r="AW2425" s="1">
        <v>0</v>
      </c>
      <c r="AX2425" s="1">
        <v>0</v>
      </c>
      <c r="AY2425" s="1">
        <v>0</v>
      </c>
      <c r="AZ2425" s="1">
        <v>0</v>
      </c>
      <c r="BA2425" s="1">
        <v>0</v>
      </c>
      <c r="BB2425" s="1">
        <v>0</v>
      </c>
      <c r="BC2425" s="1">
        <v>0</v>
      </c>
      <c r="BD2425" s="1">
        <v>0</v>
      </c>
      <c r="BE2425" s="1">
        <v>0</v>
      </c>
      <c r="BF2425" s="1">
        <v>0</v>
      </c>
      <c r="BG2425" s="1">
        <v>0</v>
      </c>
      <c r="BH2425" s="1">
        <v>0</v>
      </c>
      <c r="BI2425" s="1">
        <v>0</v>
      </c>
      <c r="BJ2425" s="1">
        <v>0</v>
      </c>
      <c r="BK2425" s="1">
        <v>0</v>
      </c>
      <c r="BL2425" s="1">
        <v>0</v>
      </c>
      <c r="BM2425" s="1">
        <v>0</v>
      </c>
      <c r="BN2425" s="1">
        <v>0</v>
      </c>
      <c r="BO2425" s="1">
        <v>0</v>
      </c>
      <c r="BP2425" s="1">
        <v>0</v>
      </c>
      <c r="BQ2425" s="1" t="s">
        <v>104</v>
      </c>
      <c r="BR2425" s="1">
        <v>2546</v>
      </c>
      <c r="BS2425" s="1">
        <v>100</v>
      </c>
      <c r="BX2425" s="1">
        <v>0</v>
      </c>
      <c r="BY2425" s="1" t="s">
        <v>104</v>
      </c>
      <c r="BZ2425" s="1">
        <v>3</v>
      </c>
      <c r="CA2425" s="1">
        <v>3</v>
      </c>
      <c r="CB2425" s="1">
        <v>3</v>
      </c>
      <c r="CC2425" s="1">
        <v>4</v>
      </c>
      <c r="CD2425" s="1">
        <v>3</v>
      </c>
      <c r="CE2425" s="1">
        <v>4</v>
      </c>
      <c r="CF2425" s="1" t="s">
        <v>104</v>
      </c>
      <c r="CG2425" s="1" t="s">
        <v>104</v>
      </c>
      <c r="CH2425" s="1" t="s">
        <v>104</v>
      </c>
      <c r="CJ2425" s="1">
        <v>0</v>
      </c>
      <c r="CK2425" s="1">
        <v>0</v>
      </c>
      <c r="CL2425" s="1">
        <v>0</v>
      </c>
      <c r="CM2425" s="1" t="s">
        <v>104</v>
      </c>
    </row>
    <row r="2426" spans="1:91" ht="14.25" customHeight="1" x14ac:dyDescent="0.3">
      <c r="A2426" s="1" t="s">
        <v>12453</v>
      </c>
      <c r="B2426" s="1" t="s">
        <v>92</v>
      </c>
      <c r="C2426" s="1" t="s">
        <v>2732</v>
      </c>
      <c r="E2426" s="1" t="s">
        <v>12454</v>
      </c>
      <c r="F2426" s="1" t="s">
        <v>287</v>
      </c>
      <c r="G2426" s="1" t="s">
        <v>116</v>
      </c>
      <c r="H2426" s="1">
        <v>0</v>
      </c>
      <c r="I2426" s="1" t="s">
        <v>2756</v>
      </c>
      <c r="L2426" s="1" t="s">
        <v>12455</v>
      </c>
      <c r="M2426" s="1" t="s">
        <v>119</v>
      </c>
      <c r="N2426" s="1">
        <v>0</v>
      </c>
      <c r="O2426" s="1">
        <v>0</v>
      </c>
      <c r="P2426" s="1" t="s">
        <v>211</v>
      </c>
      <c r="Q2426" s="1" t="s">
        <v>2758</v>
      </c>
      <c r="R2426" s="1" t="s">
        <v>12456</v>
      </c>
      <c r="S2426" s="1" t="s">
        <v>12405</v>
      </c>
      <c r="T2426" s="1">
        <v>1</v>
      </c>
      <c r="U2426" s="1">
        <v>1</v>
      </c>
      <c r="V2426" s="1">
        <v>0</v>
      </c>
      <c r="W2426" s="1">
        <v>0</v>
      </c>
      <c r="X2426" s="1">
        <v>0</v>
      </c>
      <c r="Y2426" s="1">
        <v>4</v>
      </c>
      <c r="Z2426" s="1">
        <v>4</v>
      </c>
      <c r="AA2426" s="1" t="s">
        <v>104</v>
      </c>
      <c r="AB2426" s="1" t="s">
        <v>104</v>
      </c>
      <c r="AC2426" s="1" t="s">
        <v>104</v>
      </c>
      <c r="AD2426" s="1" t="s">
        <v>104</v>
      </c>
      <c r="AE2426" s="1" t="s">
        <v>104</v>
      </c>
      <c r="AF2426" s="1" t="s">
        <v>104</v>
      </c>
      <c r="AG2426" s="1">
        <v>4</v>
      </c>
      <c r="AH2426" s="1">
        <v>5</v>
      </c>
      <c r="AI2426" s="1" t="s">
        <v>104</v>
      </c>
      <c r="AJ2426" s="1" t="s">
        <v>104</v>
      </c>
      <c r="AK2426" s="1" t="s">
        <v>104</v>
      </c>
      <c r="AL2426" s="1" t="s">
        <v>104</v>
      </c>
      <c r="AM2426" s="1" t="s">
        <v>104</v>
      </c>
      <c r="AO2426" s="1">
        <v>4</v>
      </c>
      <c r="AR2426" s="1">
        <v>0</v>
      </c>
      <c r="AS2426" s="1">
        <v>0</v>
      </c>
      <c r="AT2426" s="1">
        <v>0</v>
      </c>
      <c r="AU2426" s="1">
        <v>0</v>
      </c>
      <c r="AV2426" s="1">
        <v>0</v>
      </c>
      <c r="AW2426" s="1">
        <v>0</v>
      </c>
      <c r="AX2426" s="1">
        <v>0</v>
      </c>
      <c r="AY2426" s="1">
        <v>0</v>
      </c>
      <c r="AZ2426" s="1">
        <v>0</v>
      </c>
      <c r="BA2426" s="1">
        <v>0</v>
      </c>
      <c r="BB2426" s="1">
        <v>0</v>
      </c>
      <c r="BC2426" s="1">
        <v>0</v>
      </c>
      <c r="BD2426" s="1">
        <v>0</v>
      </c>
      <c r="BE2426" s="1">
        <v>0</v>
      </c>
      <c r="BF2426" s="1">
        <v>0</v>
      </c>
      <c r="BG2426" s="1">
        <v>0</v>
      </c>
      <c r="BH2426" s="1">
        <v>0</v>
      </c>
      <c r="BI2426" s="1">
        <v>0</v>
      </c>
      <c r="BJ2426" s="1">
        <v>0</v>
      </c>
      <c r="BK2426" s="1">
        <v>0</v>
      </c>
      <c r="BL2426" s="1">
        <v>0</v>
      </c>
      <c r="BM2426" s="1">
        <v>0</v>
      </c>
      <c r="BN2426" s="1">
        <v>0</v>
      </c>
      <c r="BO2426" s="1">
        <v>0</v>
      </c>
      <c r="BP2426" s="1">
        <v>0</v>
      </c>
      <c r="BQ2426" s="1" t="s">
        <v>104</v>
      </c>
      <c r="BR2426" s="1">
        <v>2547</v>
      </c>
      <c r="BS2426" s="1" t="s">
        <v>104</v>
      </c>
      <c r="BX2426" s="1">
        <v>0</v>
      </c>
      <c r="BY2426" s="1" t="s">
        <v>104</v>
      </c>
      <c r="BZ2426" s="1">
        <v>5</v>
      </c>
      <c r="CA2426" s="1">
        <v>5</v>
      </c>
      <c r="CB2426" s="1" t="s">
        <v>104</v>
      </c>
      <c r="CC2426" s="1" t="s">
        <v>104</v>
      </c>
      <c r="CD2426" s="1">
        <v>5</v>
      </c>
      <c r="CE2426" s="1" t="s">
        <v>104</v>
      </c>
      <c r="CF2426" s="1" t="s">
        <v>104</v>
      </c>
      <c r="CG2426" s="1" t="s">
        <v>104</v>
      </c>
      <c r="CH2426" s="1" t="s">
        <v>104</v>
      </c>
      <c r="CJ2426" s="1">
        <v>0</v>
      </c>
      <c r="CK2426" s="1">
        <v>0</v>
      </c>
      <c r="CL2426" s="1">
        <v>0</v>
      </c>
      <c r="CM2426" s="1">
        <v>4</v>
      </c>
    </row>
    <row r="2427" spans="1:91" ht="14.25" customHeight="1" x14ac:dyDescent="0.3">
      <c r="A2427" s="1" t="s">
        <v>12457</v>
      </c>
      <c r="B2427" s="1" t="s">
        <v>92</v>
      </c>
      <c r="C2427" s="1" t="s">
        <v>903</v>
      </c>
      <c r="E2427" s="1" t="s">
        <v>12458</v>
      </c>
      <c r="F2427" s="1" t="s">
        <v>255</v>
      </c>
      <c r="G2427" s="1" t="s">
        <v>116</v>
      </c>
      <c r="H2427" s="1">
        <v>0</v>
      </c>
      <c r="I2427" s="1" t="s">
        <v>128</v>
      </c>
      <c r="L2427" s="1" t="s">
        <v>12459</v>
      </c>
      <c r="M2427" s="1" t="s">
        <v>119</v>
      </c>
      <c r="N2427" s="1">
        <v>0</v>
      </c>
      <c r="O2427" s="1">
        <v>0</v>
      </c>
      <c r="P2427" s="1" t="s">
        <v>100</v>
      </c>
      <c r="Q2427" s="1" t="s">
        <v>101</v>
      </c>
      <c r="R2427" s="1" t="s">
        <v>12460</v>
      </c>
      <c r="S2427" s="1" t="s">
        <v>12405</v>
      </c>
      <c r="T2427" s="1">
        <v>1</v>
      </c>
      <c r="U2427" s="1">
        <v>1</v>
      </c>
      <c r="V2427" s="1">
        <v>0</v>
      </c>
      <c r="W2427" s="1">
        <v>0</v>
      </c>
      <c r="X2427" s="1">
        <v>0</v>
      </c>
      <c r="Y2427" s="1">
        <v>1</v>
      </c>
      <c r="Z2427" s="1">
        <v>1</v>
      </c>
      <c r="AA2427" s="1" t="s">
        <v>104</v>
      </c>
      <c r="AB2427" s="1" t="s">
        <v>104</v>
      </c>
      <c r="AC2427" s="1" t="s">
        <v>104</v>
      </c>
      <c r="AD2427" s="1" t="s">
        <v>104</v>
      </c>
      <c r="AE2427" s="1" t="s">
        <v>104</v>
      </c>
      <c r="AF2427" s="1" t="s">
        <v>104</v>
      </c>
      <c r="AG2427" s="1" t="s">
        <v>104</v>
      </c>
      <c r="AH2427" s="1" t="s">
        <v>104</v>
      </c>
      <c r="AI2427" s="1" t="s">
        <v>104</v>
      </c>
      <c r="AJ2427" s="1" t="s">
        <v>104</v>
      </c>
      <c r="AK2427" s="1" t="s">
        <v>104</v>
      </c>
      <c r="AL2427" s="1">
        <v>1</v>
      </c>
      <c r="AM2427" s="1" t="s">
        <v>104</v>
      </c>
      <c r="AO2427" s="1">
        <v>1</v>
      </c>
      <c r="AR2427" s="1">
        <v>0</v>
      </c>
      <c r="AS2427" s="1">
        <v>0</v>
      </c>
      <c r="AT2427" s="1">
        <v>0</v>
      </c>
      <c r="AU2427" s="1">
        <v>0</v>
      </c>
      <c r="AV2427" s="1">
        <v>0</v>
      </c>
      <c r="AW2427" s="1">
        <v>0</v>
      </c>
      <c r="AX2427" s="1">
        <v>0</v>
      </c>
      <c r="AY2427" s="1">
        <v>0</v>
      </c>
      <c r="AZ2427" s="1">
        <v>0</v>
      </c>
      <c r="BA2427" s="1">
        <v>0</v>
      </c>
      <c r="BB2427" s="1">
        <v>0</v>
      </c>
      <c r="BC2427" s="1">
        <v>0</v>
      </c>
      <c r="BD2427" s="1">
        <v>0</v>
      </c>
      <c r="BE2427" s="1">
        <v>0</v>
      </c>
      <c r="BF2427" s="1">
        <v>0</v>
      </c>
      <c r="BG2427" s="1">
        <v>0</v>
      </c>
      <c r="BH2427" s="1">
        <v>0</v>
      </c>
      <c r="BI2427" s="1">
        <v>0</v>
      </c>
      <c r="BJ2427" s="1">
        <v>0</v>
      </c>
      <c r="BK2427" s="1">
        <v>0</v>
      </c>
      <c r="BL2427" s="1">
        <v>0</v>
      </c>
      <c r="BM2427" s="1">
        <v>0</v>
      </c>
      <c r="BN2427" s="1">
        <v>0</v>
      </c>
      <c r="BO2427" s="1">
        <v>0</v>
      </c>
      <c r="BP2427" s="1">
        <v>0</v>
      </c>
      <c r="BQ2427" s="1" t="s">
        <v>104</v>
      </c>
      <c r="BR2427" s="1">
        <v>2548</v>
      </c>
      <c r="BS2427" s="1" t="s">
        <v>104</v>
      </c>
      <c r="BX2427" s="1">
        <v>0</v>
      </c>
      <c r="BY2427" s="1" t="s">
        <v>104</v>
      </c>
      <c r="BZ2427" s="1" t="s">
        <v>104</v>
      </c>
      <c r="CA2427" s="1" t="s">
        <v>104</v>
      </c>
      <c r="CB2427" s="1" t="s">
        <v>104</v>
      </c>
      <c r="CC2427" s="1" t="s">
        <v>104</v>
      </c>
      <c r="CD2427" s="1" t="s">
        <v>104</v>
      </c>
      <c r="CE2427" s="1" t="s">
        <v>104</v>
      </c>
      <c r="CF2427" s="1" t="s">
        <v>104</v>
      </c>
      <c r="CG2427" s="1" t="s">
        <v>104</v>
      </c>
      <c r="CH2427" s="1" t="s">
        <v>104</v>
      </c>
      <c r="CJ2427" s="1">
        <v>0</v>
      </c>
      <c r="CK2427" s="1">
        <v>0</v>
      </c>
      <c r="CL2427" s="1">
        <v>0</v>
      </c>
      <c r="CM2427" s="1" t="s">
        <v>104</v>
      </c>
    </row>
    <row r="2428" spans="1:91" ht="14.25" customHeight="1" x14ac:dyDescent="0.3">
      <c r="A2428" s="1" t="s">
        <v>12461</v>
      </c>
      <c r="B2428" s="1" t="s">
        <v>434</v>
      </c>
      <c r="D2428" s="1" t="s">
        <v>11441</v>
      </c>
      <c r="E2428" s="1" t="s">
        <v>12462</v>
      </c>
      <c r="F2428" s="1" t="s">
        <v>95</v>
      </c>
      <c r="G2428" s="1" t="s">
        <v>116</v>
      </c>
      <c r="H2428" s="1">
        <v>0</v>
      </c>
      <c r="I2428" s="1" t="s">
        <v>128</v>
      </c>
      <c r="L2428" s="1" t="s">
        <v>374</v>
      </c>
      <c r="M2428" s="1" t="s">
        <v>298</v>
      </c>
      <c r="N2428" s="1">
        <v>0</v>
      </c>
      <c r="O2428" s="1">
        <v>0</v>
      </c>
      <c r="P2428" s="1" t="s">
        <v>211</v>
      </c>
      <c r="Q2428" s="1" t="s">
        <v>184</v>
      </c>
      <c r="R2428" s="1" t="s">
        <v>12463</v>
      </c>
      <c r="S2428" s="1" t="s">
        <v>12405</v>
      </c>
      <c r="T2428" s="1">
        <v>1</v>
      </c>
      <c r="U2428" s="1">
        <v>1</v>
      </c>
      <c r="V2428" s="1">
        <v>0</v>
      </c>
      <c r="W2428" s="1">
        <v>0</v>
      </c>
      <c r="X2428" s="1">
        <v>0</v>
      </c>
      <c r="Y2428" s="1">
        <v>6</v>
      </c>
      <c r="Z2428" s="1">
        <v>6</v>
      </c>
      <c r="AA2428" s="1">
        <v>6</v>
      </c>
      <c r="AB2428" s="1" t="s">
        <v>104</v>
      </c>
      <c r="AC2428" s="1" t="s">
        <v>104</v>
      </c>
      <c r="AD2428" s="1">
        <v>4</v>
      </c>
      <c r="AE2428" s="1" t="s">
        <v>104</v>
      </c>
      <c r="AF2428" s="1" t="s">
        <v>104</v>
      </c>
      <c r="AG2428" s="1" t="s">
        <v>104</v>
      </c>
      <c r="AH2428" s="1">
        <v>5</v>
      </c>
      <c r="AI2428" s="1">
        <v>5</v>
      </c>
      <c r="AJ2428" s="1">
        <v>6</v>
      </c>
      <c r="AK2428" s="1">
        <v>4</v>
      </c>
      <c r="AL2428" s="1" t="s">
        <v>104</v>
      </c>
      <c r="AM2428" s="1" t="s">
        <v>104</v>
      </c>
      <c r="AO2428" s="1">
        <v>6</v>
      </c>
      <c r="AR2428" s="1">
        <v>0</v>
      </c>
      <c r="AS2428" s="1">
        <v>0</v>
      </c>
      <c r="AT2428" s="1">
        <v>0</v>
      </c>
      <c r="AU2428" s="1">
        <v>0</v>
      </c>
      <c r="AV2428" s="1">
        <v>1</v>
      </c>
      <c r="AW2428" s="1">
        <v>0</v>
      </c>
      <c r="AX2428" s="1">
        <v>0</v>
      </c>
      <c r="AY2428" s="1">
        <v>0</v>
      </c>
      <c r="AZ2428" s="1">
        <v>0</v>
      </c>
      <c r="BA2428" s="1">
        <v>0</v>
      </c>
      <c r="BB2428" s="1">
        <v>0</v>
      </c>
      <c r="BC2428" s="1">
        <v>0</v>
      </c>
      <c r="BD2428" s="1">
        <v>0</v>
      </c>
      <c r="BE2428" s="1">
        <v>0</v>
      </c>
      <c r="BF2428" s="1">
        <v>0</v>
      </c>
      <c r="BG2428" s="1">
        <v>0</v>
      </c>
      <c r="BH2428" s="1">
        <v>0</v>
      </c>
      <c r="BI2428" s="1">
        <v>0</v>
      </c>
      <c r="BJ2428" s="1">
        <v>0</v>
      </c>
      <c r="BK2428" s="1">
        <v>0</v>
      </c>
      <c r="BL2428" s="1">
        <v>0</v>
      </c>
      <c r="BM2428" s="1">
        <v>0</v>
      </c>
      <c r="BN2428" s="1">
        <v>0</v>
      </c>
      <c r="BO2428" s="1">
        <v>0</v>
      </c>
      <c r="BP2428" s="1">
        <v>0</v>
      </c>
      <c r="BQ2428" s="1" t="s">
        <v>104</v>
      </c>
      <c r="BR2428" s="1">
        <v>2549</v>
      </c>
      <c r="BS2428" s="1" t="s">
        <v>104</v>
      </c>
      <c r="BX2428" s="1">
        <v>0</v>
      </c>
      <c r="BY2428" s="1" t="s">
        <v>104</v>
      </c>
      <c r="BZ2428" s="1">
        <v>5</v>
      </c>
      <c r="CA2428" s="1">
        <v>6</v>
      </c>
      <c r="CB2428" s="1" t="s">
        <v>104</v>
      </c>
      <c r="CC2428" s="1" t="s">
        <v>104</v>
      </c>
      <c r="CD2428" s="1">
        <v>5</v>
      </c>
      <c r="CE2428" s="1" t="s">
        <v>104</v>
      </c>
      <c r="CF2428" s="1" t="s">
        <v>104</v>
      </c>
      <c r="CG2428" s="1" t="s">
        <v>104</v>
      </c>
      <c r="CH2428" s="1" t="s">
        <v>104</v>
      </c>
      <c r="CJ2428" s="1">
        <v>0</v>
      </c>
      <c r="CK2428" s="1">
        <v>0</v>
      </c>
      <c r="CL2428" s="1">
        <v>0</v>
      </c>
      <c r="CM2428" s="1" t="s">
        <v>104</v>
      </c>
    </row>
    <row r="2429" spans="1:91" ht="14.25" customHeight="1" x14ac:dyDescent="0.3">
      <c r="A2429" s="1" t="s">
        <v>12464</v>
      </c>
      <c r="B2429" s="1" t="s">
        <v>137</v>
      </c>
      <c r="D2429" s="1" t="s">
        <v>11441</v>
      </c>
      <c r="E2429" s="1" t="s">
        <v>12465</v>
      </c>
      <c r="F2429" s="1" t="s">
        <v>95</v>
      </c>
      <c r="G2429" s="1" t="s">
        <v>116</v>
      </c>
      <c r="H2429" s="1">
        <v>0</v>
      </c>
      <c r="I2429" s="1" t="s">
        <v>128</v>
      </c>
      <c r="L2429" s="1" t="s">
        <v>374</v>
      </c>
      <c r="M2429" s="1" t="s">
        <v>298</v>
      </c>
      <c r="N2429" s="1">
        <v>0</v>
      </c>
      <c r="O2429" s="1">
        <v>0</v>
      </c>
      <c r="P2429" s="1" t="s">
        <v>211</v>
      </c>
      <c r="Q2429" s="1" t="s">
        <v>184</v>
      </c>
      <c r="R2429" s="1" t="s">
        <v>12466</v>
      </c>
      <c r="S2429" s="1" t="s">
        <v>12405</v>
      </c>
      <c r="T2429" s="1">
        <v>1</v>
      </c>
      <c r="U2429" s="1">
        <v>1</v>
      </c>
      <c r="V2429" s="1">
        <v>0</v>
      </c>
      <c r="W2429" s="1">
        <v>0</v>
      </c>
      <c r="X2429" s="1">
        <v>0</v>
      </c>
      <c r="Y2429" s="1">
        <v>5</v>
      </c>
      <c r="Z2429" s="1">
        <v>5</v>
      </c>
      <c r="AA2429" s="1">
        <v>5</v>
      </c>
      <c r="AB2429" s="1" t="s">
        <v>104</v>
      </c>
      <c r="AC2429" s="1" t="s">
        <v>104</v>
      </c>
      <c r="AD2429" s="1">
        <v>3</v>
      </c>
      <c r="AE2429" s="1" t="s">
        <v>104</v>
      </c>
      <c r="AF2429" s="1" t="s">
        <v>104</v>
      </c>
      <c r="AG2429" s="1" t="s">
        <v>104</v>
      </c>
      <c r="AH2429" s="1">
        <v>3</v>
      </c>
      <c r="AI2429" s="1">
        <v>3</v>
      </c>
      <c r="AJ2429" s="1">
        <v>5</v>
      </c>
      <c r="AK2429" s="1" t="s">
        <v>104</v>
      </c>
      <c r="AL2429" s="1" t="s">
        <v>104</v>
      </c>
      <c r="AM2429" s="1" t="s">
        <v>104</v>
      </c>
      <c r="AO2429" s="1">
        <v>5</v>
      </c>
      <c r="AR2429" s="1">
        <v>0</v>
      </c>
      <c r="AS2429" s="1">
        <v>0</v>
      </c>
      <c r="AT2429" s="1">
        <v>0</v>
      </c>
      <c r="AU2429" s="1">
        <v>0</v>
      </c>
      <c r="AV2429" s="1">
        <v>1</v>
      </c>
      <c r="AW2429" s="1">
        <v>0</v>
      </c>
      <c r="AX2429" s="1">
        <v>0</v>
      </c>
      <c r="AY2429" s="1">
        <v>0</v>
      </c>
      <c r="AZ2429" s="1">
        <v>0</v>
      </c>
      <c r="BA2429" s="1">
        <v>0</v>
      </c>
      <c r="BB2429" s="1">
        <v>0</v>
      </c>
      <c r="BC2429" s="1">
        <v>0</v>
      </c>
      <c r="BD2429" s="1">
        <v>0</v>
      </c>
      <c r="BE2429" s="1">
        <v>0</v>
      </c>
      <c r="BF2429" s="1">
        <v>0</v>
      </c>
      <c r="BG2429" s="1">
        <v>0</v>
      </c>
      <c r="BH2429" s="1">
        <v>0</v>
      </c>
      <c r="BI2429" s="1">
        <v>0</v>
      </c>
      <c r="BJ2429" s="1">
        <v>0</v>
      </c>
      <c r="BK2429" s="1">
        <v>0</v>
      </c>
      <c r="BL2429" s="1">
        <v>0</v>
      </c>
      <c r="BM2429" s="1">
        <v>0</v>
      </c>
      <c r="BN2429" s="1">
        <v>0</v>
      </c>
      <c r="BO2429" s="1">
        <v>0</v>
      </c>
      <c r="BP2429" s="1">
        <v>0</v>
      </c>
      <c r="BQ2429" s="1" t="s">
        <v>104</v>
      </c>
      <c r="BR2429" s="1">
        <v>2550</v>
      </c>
      <c r="BS2429" s="1" t="s">
        <v>104</v>
      </c>
      <c r="BX2429" s="1">
        <v>0</v>
      </c>
      <c r="BY2429" s="1" t="s">
        <v>104</v>
      </c>
      <c r="BZ2429" s="1" t="s">
        <v>104</v>
      </c>
      <c r="CA2429" s="1">
        <v>5</v>
      </c>
      <c r="CB2429" s="1" t="s">
        <v>104</v>
      </c>
      <c r="CC2429" s="1" t="s">
        <v>104</v>
      </c>
      <c r="CD2429" s="1" t="s">
        <v>104</v>
      </c>
      <c r="CE2429" s="1" t="s">
        <v>104</v>
      </c>
      <c r="CF2429" s="1" t="s">
        <v>104</v>
      </c>
      <c r="CG2429" s="1" t="s">
        <v>104</v>
      </c>
      <c r="CH2429" s="1" t="s">
        <v>104</v>
      </c>
      <c r="CJ2429" s="1">
        <v>0</v>
      </c>
      <c r="CK2429" s="1">
        <v>0</v>
      </c>
      <c r="CL2429" s="1">
        <v>0</v>
      </c>
      <c r="CM2429" s="1" t="s">
        <v>104</v>
      </c>
    </row>
    <row r="2430" spans="1:91" ht="14.25" customHeight="1" x14ac:dyDescent="0.3">
      <c r="A2430" s="1" t="s">
        <v>12467</v>
      </c>
      <c r="B2430" s="1" t="s">
        <v>137</v>
      </c>
      <c r="D2430" s="1" t="s">
        <v>11441</v>
      </c>
      <c r="E2430" s="1" t="s">
        <v>12468</v>
      </c>
      <c r="F2430" s="1" t="s">
        <v>95</v>
      </c>
      <c r="G2430" s="1" t="s">
        <v>116</v>
      </c>
      <c r="H2430" s="1">
        <v>0</v>
      </c>
      <c r="I2430" s="1" t="s">
        <v>128</v>
      </c>
      <c r="L2430" s="1" t="s">
        <v>374</v>
      </c>
      <c r="M2430" s="1" t="s">
        <v>298</v>
      </c>
      <c r="N2430" s="1">
        <v>0</v>
      </c>
      <c r="O2430" s="1">
        <v>0</v>
      </c>
      <c r="P2430" s="1" t="s">
        <v>183</v>
      </c>
      <c r="Q2430" s="1" t="s">
        <v>184</v>
      </c>
      <c r="R2430" s="1" t="s">
        <v>12469</v>
      </c>
      <c r="S2430" s="1" t="s">
        <v>12405</v>
      </c>
      <c r="T2430" s="1">
        <v>1</v>
      </c>
      <c r="U2430" s="1">
        <v>1</v>
      </c>
      <c r="V2430" s="1">
        <v>0</v>
      </c>
      <c r="W2430" s="1">
        <v>0</v>
      </c>
      <c r="X2430" s="1">
        <v>0</v>
      </c>
      <c r="Y2430" s="1">
        <v>4</v>
      </c>
      <c r="Z2430" s="1">
        <v>4</v>
      </c>
      <c r="AA2430" s="1">
        <v>3</v>
      </c>
      <c r="AB2430" s="1" t="s">
        <v>104</v>
      </c>
      <c r="AC2430" s="1" t="s">
        <v>104</v>
      </c>
      <c r="AD2430" s="1" t="s">
        <v>104</v>
      </c>
      <c r="AE2430" s="1" t="s">
        <v>104</v>
      </c>
      <c r="AF2430" s="1" t="s">
        <v>104</v>
      </c>
      <c r="AG2430" s="1" t="s">
        <v>104</v>
      </c>
      <c r="AH2430" s="1">
        <v>3</v>
      </c>
      <c r="AI2430" s="1" t="s">
        <v>104</v>
      </c>
      <c r="AJ2430" s="1">
        <v>3</v>
      </c>
      <c r="AK2430" s="1">
        <v>3</v>
      </c>
      <c r="AL2430" s="1" t="s">
        <v>104</v>
      </c>
      <c r="AM2430" s="1" t="s">
        <v>104</v>
      </c>
      <c r="AO2430" s="1">
        <v>4</v>
      </c>
      <c r="AR2430" s="1">
        <v>0</v>
      </c>
      <c r="AS2430" s="1">
        <v>0</v>
      </c>
      <c r="AT2430" s="1">
        <v>0</v>
      </c>
      <c r="AU2430" s="1">
        <v>0</v>
      </c>
      <c r="AV2430" s="1">
        <v>1</v>
      </c>
      <c r="AW2430" s="1">
        <v>0</v>
      </c>
      <c r="AX2430" s="1">
        <v>0</v>
      </c>
      <c r="AY2430" s="1">
        <v>0</v>
      </c>
      <c r="AZ2430" s="1">
        <v>0</v>
      </c>
      <c r="BA2430" s="1">
        <v>0</v>
      </c>
      <c r="BB2430" s="1">
        <v>0</v>
      </c>
      <c r="BC2430" s="1">
        <v>0</v>
      </c>
      <c r="BD2430" s="1">
        <v>0</v>
      </c>
      <c r="BE2430" s="1">
        <v>0</v>
      </c>
      <c r="BF2430" s="1">
        <v>0</v>
      </c>
      <c r="BG2430" s="1">
        <v>0</v>
      </c>
      <c r="BH2430" s="1">
        <v>0</v>
      </c>
      <c r="BI2430" s="1">
        <v>0</v>
      </c>
      <c r="BJ2430" s="1">
        <v>0</v>
      </c>
      <c r="BK2430" s="1">
        <v>0</v>
      </c>
      <c r="BL2430" s="1">
        <v>0</v>
      </c>
      <c r="BM2430" s="1">
        <v>0</v>
      </c>
      <c r="BN2430" s="1">
        <v>0</v>
      </c>
      <c r="BO2430" s="1">
        <v>0</v>
      </c>
      <c r="BP2430" s="1">
        <v>0</v>
      </c>
      <c r="BQ2430" s="1" t="s">
        <v>104</v>
      </c>
      <c r="BR2430" s="1">
        <v>2551</v>
      </c>
      <c r="BS2430" s="1" t="s">
        <v>104</v>
      </c>
      <c r="BX2430" s="1">
        <v>0</v>
      </c>
      <c r="BY2430" s="1">
        <v>4</v>
      </c>
      <c r="BZ2430" s="1">
        <v>3</v>
      </c>
      <c r="CA2430" s="1" t="s">
        <v>104</v>
      </c>
      <c r="CB2430" s="1">
        <v>2</v>
      </c>
      <c r="CC2430" s="1">
        <v>3</v>
      </c>
      <c r="CD2430" s="1">
        <v>3</v>
      </c>
      <c r="CE2430" s="1">
        <v>4</v>
      </c>
      <c r="CF2430" s="1" t="s">
        <v>104</v>
      </c>
      <c r="CG2430" s="1" t="s">
        <v>104</v>
      </c>
      <c r="CH2430" s="1" t="s">
        <v>104</v>
      </c>
      <c r="CJ2430" s="1">
        <v>0</v>
      </c>
      <c r="CK2430" s="1">
        <v>0</v>
      </c>
      <c r="CL2430" s="1">
        <v>0</v>
      </c>
      <c r="CM2430" s="1" t="s">
        <v>104</v>
      </c>
    </row>
    <row r="2431" spans="1:91" ht="14.25" customHeight="1" x14ac:dyDescent="0.3">
      <c r="A2431" s="1" t="s">
        <v>12470</v>
      </c>
      <c r="B2431" s="1" t="s">
        <v>216</v>
      </c>
      <c r="D2431" s="1" t="s">
        <v>11441</v>
      </c>
      <c r="E2431" s="1" t="s">
        <v>12471</v>
      </c>
      <c r="F2431" s="1" t="s">
        <v>95</v>
      </c>
      <c r="G2431" s="1" t="s">
        <v>116</v>
      </c>
      <c r="H2431" s="1">
        <v>0</v>
      </c>
      <c r="I2431" s="1" t="s">
        <v>117</v>
      </c>
      <c r="L2431" s="1" t="s">
        <v>12472</v>
      </c>
      <c r="M2431" s="1" t="s">
        <v>620</v>
      </c>
      <c r="N2431" s="1">
        <v>1</v>
      </c>
      <c r="O2431" s="1">
        <v>0</v>
      </c>
      <c r="P2431" s="1" t="s">
        <v>211</v>
      </c>
      <c r="Q2431" s="1" t="s">
        <v>184</v>
      </c>
      <c r="R2431" s="1" t="s">
        <v>12473</v>
      </c>
      <c r="S2431" s="1" t="s">
        <v>12405</v>
      </c>
      <c r="T2431" s="1">
        <v>1</v>
      </c>
      <c r="U2431" s="1">
        <v>1</v>
      </c>
      <c r="V2431" s="1">
        <v>0</v>
      </c>
      <c r="W2431" s="1">
        <v>0</v>
      </c>
      <c r="X2431" s="1">
        <v>0</v>
      </c>
      <c r="Y2431" s="1">
        <v>1</v>
      </c>
      <c r="Z2431" s="1">
        <v>1</v>
      </c>
      <c r="AA2431" s="1" t="s">
        <v>104</v>
      </c>
      <c r="AB2431" s="1">
        <v>1</v>
      </c>
      <c r="AC2431" s="1" t="s">
        <v>104</v>
      </c>
      <c r="AD2431" s="1">
        <v>1</v>
      </c>
      <c r="AE2431" s="1" t="s">
        <v>104</v>
      </c>
      <c r="AF2431" s="1" t="s">
        <v>104</v>
      </c>
      <c r="AG2431" s="1" t="s">
        <v>104</v>
      </c>
      <c r="AH2431" s="1">
        <v>1</v>
      </c>
      <c r="AI2431" s="1">
        <v>1</v>
      </c>
      <c r="AJ2431" s="1" t="s">
        <v>104</v>
      </c>
      <c r="AK2431" s="1">
        <v>1</v>
      </c>
      <c r="AL2431" s="1" t="s">
        <v>104</v>
      </c>
      <c r="AM2431" s="1" t="s">
        <v>104</v>
      </c>
      <c r="AO2431" s="1">
        <v>1</v>
      </c>
      <c r="AR2431" s="1">
        <v>0</v>
      </c>
      <c r="AS2431" s="1">
        <v>0</v>
      </c>
      <c r="AT2431" s="1">
        <v>0</v>
      </c>
      <c r="AU2431" s="1">
        <v>0</v>
      </c>
      <c r="AV2431" s="1">
        <v>1</v>
      </c>
      <c r="AW2431" s="1">
        <v>0</v>
      </c>
      <c r="AX2431" s="1">
        <v>0</v>
      </c>
      <c r="AY2431" s="1">
        <v>0</v>
      </c>
      <c r="AZ2431" s="1">
        <v>0</v>
      </c>
      <c r="BA2431" s="1">
        <v>0</v>
      </c>
      <c r="BB2431" s="1">
        <v>0</v>
      </c>
      <c r="BC2431" s="1">
        <v>0</v>
      </c>
      <c r="BD2431" s="1">
        <v>0</v>
      </c>
      <c r="BE2431" s="1">
        <v>0</v>
      </c>
      <c r="BF2431" s="1">
        <v>0</v>
      </c>
      <c r="BG2431" s="1">
        <v>0</v>
      </c>
      <c r="BH2431" s="1">
        <v>0</v>
      </c>
      <c r="BI2431" s="1">
        <v>0</v>
      </c>
      <c r="BJ2431" s="1">
        <v>0</v>
      </c>
      <c r="BK2431" s="1">
        <v>0</v>
      </c>
      <c r="BL2431" s="1">
        <v>0</v>
      </c>
      <c r="BM2431" s="1">
        <v>0</v>
      </c>
      <c r="BN2431" s="1">
        <v>0</v>
      </c>
      <c r="BO2431" s="1">
        <v>0</v>
      </c>
      <c r="BP2431" s="1">
        <v>0</v>
      </c>
      <c r="BQ2431" s="1" t="s">
        <v>104</v>
      </c>
      <c r="BR2431" s="1">
        <v>2553</v>
      </c>
      <c r="BS2431" s="1" t="s">
        <v>104</v>
      </c>
      <c r="BX2431" s="1">
        <v>0</v>
      </c>
      <c r="BY2431" s="1" t="s">
        <v>104</v>
      </c>
      <c r="BZ2431" s="1">
        <v>1</v>
      </c>
      <c r="CA2431" s="1" t="s">
        <v>104</v>
      </c>
      <c r="CB2431" s="1" t="s">
        <v>104</v>
      </c>
      <c r="CC2431" s="1" t="s">
        <v>104</v>
      </c>
      <c r="CD2431" s="1">
        <v>1</v>
      </c>
      <c r="CE2431" s="1" t="s">
        <v>104</v>
      </c>
      <c r="CF2431" s="1" t="s">
        <v>104</v>
      </c>
      <c r="CG2431" s="1" t="s">
        <v>104</v>
      </c>
      <c r="CH2431" s="1">
        <v>1</v>
      </c>
      <c r="CJ2431" s="1">
        <v>0</v>
      </c>
      <c r="CK2431" s="1">
        <v>0</v>
      </c>
      <c r="CL2431" s="1">
        <v>0</v>
      </c>
      <c r="CM2431" s="1" t="s">
        <v>104</v>
      </c>
    </row>
    <row r="2432" spans="1:91" ht="14.25" customHeight="1" x14ac:dyDescent="0.3">
      <c r="A2432" s="1" t="s">
        <v>12474</v>
      </c>
      <c r="B2432" s="1" t="s">
        <v>137</v>
      </c>
      <c r="D2432" s="1" t="s">
        <v>11441</v>
      </c>
      <c r="E2432" s="1" t="s">
        <v>12475</v>
      </c>
      <c r="F2432" s="1" t="s">
        <v>95</v>
      </c>
      <c r="G2432" s="1" t="s">
        <v>12476</v>
      </c>
      <c r="H2432" s="1">
        <v>0</v>
      </c>
      <c r="I2432" s="1" t="s">
        <v>128</v>
      </c>
      <c r="L2432" s="1" t="s">
        <v>374</v>
      </c>
      <c r="M2432" s="1" t="s">
        <v>9768</v>
      </c>
      <c r="N2432" s="1">
        <v>0</v>
      </c>
      <c r="O2432" s="1">
        <v>0</v>
      </c>
      <c r="P2432" s="1" t="s">
        <v>211</v>
      </c>
      <c r="Q2432" s="1" t="s">
        <v>184</v>
      </c>
      <c r="R2432" s="1" t="s">
        <v>12477</v>
      </c>
      <c r="S2432" s="1" t="s">
        <v>12405</v>
      </c>
      <c r="T2432" s="1">
        <v>1</v>
      </c>
      <c r="U2432" s="1">
        <v>1</v>
      </c>
      <c r="V2432" s="1">
        <v>1</v>
      </c>
      <c r="W2432" s="1">
        <v>0</v>
      </c>
      <c r="X2432" s="1">
        <v>0</v>
      </c>
      <c r="Y2432" s="1">
        <v>3</v>
      </c>
      <c r="Z2432" s="1">
        <v>3</v>
      </c>
      <c r="AA2432" s="1">
        <v>3</v>
      </c>
      <c r="AB2432" s="1" t="s">
        <v>104</v>
      </c>
      <c r="AC2432" s="1" t="s">
        <v>104</v>
      </c>
      <c r="AD2432" s="1">
        <v>2</v>
      </c>
      <c r="AE2432" s="1" t="s">
        <v>104</v>
      </c>
      <c r="AF2432" s="1">
        <v>2</v>
      </c>
      <c r="AG2432" s="1" t="s">
        <v>104</v>
      </c>
      <c r="AH2432" s="1">
        <v>2</v>
      </c>
      <c r="AI2432" s="1">
        <v>2</v>
      </c>
      <c r="AJ2432" s="1">
        <v>3</v>
      </c>
      <c r="AK2432" s="1" t="s">
        <v>104</v>
      </c>
      <c r="AL2432" s="1">
        <v>2</v>
      </c>
      <c r="AM2432" s="1" t="s">
        <v>104</v>
      </c>
      <c r="AO2432" s="1">
        <v>3</v>
      </c>
      <c r="AR2432" s="1">
        <v>0</v>
      </c>
      <c r="AS2432" s="1">
        <v>0</v>
      </c>
      <c r="AT2432" s="1">
        <v>0</v>
      </c>
      <c r="AU2432" s="1">
        <v>0</v>
      </c>
      <c r="AV2432" s="1">
        <v>1</v>
      </c>
      <c r="AW2432" s="1">
        <v>0</v>
      </c>
      <c r="AX2432" s="1">
        <v>0</v>
      </c>
      <c r="AY2432" s="1">
        <v>0</v>
      </c>
      <c r="AZ2432" s="1">
        <v>0</v>
      </c>
      <c r="BA2432" s="1">
        <v>0</v>
      </c>
      <c r="BB2432" s="1">
        <v>0</v>
      </c>
      <c r="BC2432" s="1">
        <v>0</v>
      </c>
      <c r="BD2432" s="1">
        <v>0</v>
      </c>
      <c r="BE2432" s="1">
        <v>0</v>
      </c>
      <c r="BF2432" s="1">
        <v>0</v>
      </c>
      <c r="BG2432" s="1">
        <v>0</v>
      </c>
      <c r="BH2432" s="1">
        <v>0</v>
      </c>
      <c r="BI2432" s="1">
        <v>0</v>
      </c>
      <c r="BJ2432" s="1">
        <v>0</v>
      </c>
      <c r="BK2432" s="1">
        <v>0</v>
      </c>
      <c r="BL2432" s="1">
        <v>0</v>
      </c>
      <c r="BM2432" s="1">
        <v>0</v>
      </c>
      <c r="BN2432" s="1">
        <v>0</v>
      </c>
      <c r="BO2432" s="1">
        <v>0</v>
      </c>
      <c r="BP2432" s="1">
        <v>0</v>
      </c>
      <c r="BQ2432" s="1" t="s">
        <v>104</v>
      </c>
      <c r="BR2432" s="1">
        <v>2554</v>
      </c>
      <c r="BS2432" s="1" t="s">
        <v>104</v>
      </c>
      <c r="BX2432" s="1">
        <v>0</v>
      </c>
      <c r="BY2432" s="1" t="s">
        <v>104</v>
      </c>
      <c r="BZ2432" s="1" t="s">
        <v>104</v>
      </c>
      <c r="CA2432" s="1" t="s">
        <v>104</v>
      </c>
      <c r="CB2432" s="1" t="s">
        <v>104</v>
      </c>
      <c r="CC2432" s="1" t="s">
        <v>104</v>
      </c>
      <c r="CD2432" s="1">
        <v>2</v>
      </c>
      <c r="CE2432" s="1" t="s">
        <v>104</v>
      </c>
      <c r="CF2432" s="1" t="s">
        <v>104</v>
      </c>
      <c r="CG2432" s="1">
        <v>2</v>
      </c>
      <c r="CH2432" s="1" t="s">
        <v>104</v>
      </c>
      <c r="CJ2432" s="1">
        <v>0</v>
      </c>
      <c r="CK2432" s="1">
        <v>0</v>
      </c>
      <c r="CL2432" s="1">
        <v>0</v>
      </c>
      <c r="CM2432" s="1" t="s">
        <v>104</v>
      </c>
    </row>
    <row r="2433" spans="1:91" ht="14.25" customHeight="1" x14ac:dyDescent="0.3">
      <c r="A2433" s="1" t="s">
        <v>12478</v>
      </c>
      <c r="B2433" s="1" t="s">
        <v>123</v>
      </c>
      <c r="D2433" s="1" t="s">
        <v>10557</v>
      </c>
      <c r="E2433" s="1" t="s">
        <v>12479</v>
      </c>
      <c r="F2433" s="1" t="s">
        <v>95</v>
      </c>
      <c r="G2433" s="1" t="s">
        <v>12480</v>
      </c>
      <c r="H2433" s="1">
        <v>0</v>
      </c>
      <c r="I2433" s="1" t="s">
        <v>128</v>
      </c>
      <c r="L2433" s="1" t="s">
        <v>374</v>
      </c>
      <c r="M2433" s="1" t="s">
        <v>298</v>
      </c>
      <c r="N2433" s="1">
        <v>0</v>
      </c>
      <c r="O2433" s="1">
        <v>0</v>
      </c>
      <c r="P2433" s="1" t="s">
        <v>211</v>
      </c>
      <c r="Q2433" s="1" t="s">
        <v>184</v>
      </c>
      <c r="R2433" s="1" t="s">
        <v>12481</v>
      </c>
      <c r="S2433" s="1" t="s">
        <v>12405</v>
      </c>
      <c r="T2433" s="1">
        <v>1</v>
      </c>
      <c r="U2433" s="1">
        <v>1</v>
      </c>
      <c r="V2433" s="1">
        <v>0</v>
      </c>
      <c r="W2433" s="1">
        <v>0</v>
      </c>
      <c r="X2433" s="1">
        <v>1</v>
      </c>
      <c r="Y2433" s="1">
        <v>7</v>
      </c>
      <c r="Z2433" s="1">
        <v>7</v>
      </c>
      <c r="AA2433" s="1">
        <v>7</v>
      </c>
      <c r="AB2433" s="1" t="s">
        <v>104</v>
      </c>
      <c r="AC2433" s="1" t="s">
        <v>104</v>
      </c>
      <c r="AD2433" s="1">
        <v>6</v>
      </c>
      <c r="AE2433" s="1" t="s">
        <v>104</v>
      </c>
      <c r="AF2433" s="1" t="s">
        <v>104</v>
      </c>
      <c r="AG2433" s="1" t="s">
        <v>104</v>
      </c>
      <c r="AH2433" s="1">
        <v>6</v>
      </c>
      <c r="AI2433" s="1">
        <v>6</v>
      </c>
      <c r="AJ2433" s="1">
        <v>7</v>
      </c>
      <c r="AK2433" s="1" t="s">
        <v>104</v>
      </c>
      <c r="AL2433" s="1" t="s">
        <v>104</v>
      </c>
      <c r="AM2433" s="1" t="s">
        <v>104</v>
      </c>
      <c r="AO2433" s="1">
        <v>7</v>
      </c>
      <c r="AR2433" s="1">
        <v>0</v>
      </c>
      <c r="AS2433" s="1">
        <v>0</v>
      </c>
      <c r="AT2433" s="1">
        <v>0</v>
      </c>
      <c r="AU2433" s="1">
        <v>0</v>
      </c>
      <c r="AV2433" s="1">
        <v>1</v>
      </c>
      <c r="AW2433" s="1">
        <v>0</v>
      </c>
      <c r="AX2433" s="1">
        <v>0</v>
      </c>
      <c r="AY2433" s="1">
        <v>0</v>
      </c>
      <c r="AZ2433" s="1">
        <v>0</v>
      </c>
      <c r="BA2433" s="1">
        <v>0</v>
      </c>
      <c r="BB2433" s="1">
        <v>0</v>
      </c>
      <c r="BC2433" s="1">
        <v>0</v>
      </c>
      <c r="BD2433" s="1">
        <v>0</v>
      </c>
      <c r="BE2433" s="1">
        <v>0</v>
      </c>
      <c r="BF2433" s="1">
        <v>0</v>
      </c>
      <c r="BG2433" s="1">
        <v>0</v>
      </c>
      <c r="BH2433" s="1">
        <v>0</v>
      </c>
      <c r="BI2433" s="1">
        <v>0</v>
      </c>
      <c r="BJ2433" s="1">
        <v>0</v>
      </c>
      <c r="BK2433" s="1">
        <v>1</v>
      </c>
      <c r="BL2433" s="1">
        <v>0</v>
      </c>
      <c r="BM2433" s="1">
        <v>0</v>
      </c>
      <c r="BN2433" s="1">
        <v>0</v>
      </c>
      <c r="BO2433" s="1">
        <v>0</v>
      </c>
      <c r="BP2433" s="1">
        <v>0</v>
      </c>
      <c r="BQ2433" s="1" t="s">
        <v>104</v>
      </c>
      <c r="BR2433" s="1">
        <v>2555</v>
      </c>
      <c r="BS2433" s="1" t="s">
        <v>104</v>
      </c>
      <c r="BX2433" s="1">
        <v>0</v>
      </c>
      <c r="BY2433" s="1" t="s">
        <v>104</v>
      </c>
      <c r="BZ2433" s="1" t="s">
        <v>104</v>
      </c>
      <c r="CA2433" s="1">
        <v>7</v>
      </c>
      <c r="CB2433" s="1" t="s">
        <v>104</v>
      </c>
      <c r="CC2433" s="1" t="s">
        <v>104</v>
      </c>
      <c r="CD2433" s="1">
        <v>6</v>
      </c>
      <c r="CE2433" s="1" t="s">
        <v>104</v>
      </c>
      <c r="CF2433" s="1" t="s">
        <v>104</v>
      </c>
      <c r="CG2433" s="1" t="s">
        <v>104</v>
      </c>
      <c r="CH2433" s="1" t="s">
        <v>104</v>
      </c>
      <c r="CJ2433" s="1">
        <v>0</v>
      </c>
      <c r="CK2433" s="1">
        <v>0</v>
      </c>
      <c r="CL2433" s="1">
        <v>0</v>
      </c>
      <c r="CM2433" s="1" t="s">
        <v>104</v>
      </c>
    </row>
    <row r="2434" spans="1:91" ht="14.25" customHeight="1" x14ac:dyDescent="0.3">
      <c r="A2434" s="1" t="s">
        <v>12482</v>
      </c>
      <c r="B2434" s="1" t="s">
        <v>216</v>
      </c>
      <c r="E2434" s="1" t="s">
        <v>12483</v>
      </c>
      <c r="F2434" s="1" t="s">
        <v>95</v>
      </c>
      <c r="G2434" s="1" t="s">
        <v>12484</v>
      </c>
      <c r="H2434" s="1">
        <v>0</v>
      </c>
      <c r="I2434" s="1" t="s">
        <v>117</v>
      </c>
      <c r="L2434" s="1" t="s">
        <v>374</v>
      </c>
      <c r="M2434" s="1" t="s">
        <v>4292</v>
      </c>
      <c r="N2434" s="1">
        <v>0</v>
      </c>
      <c r="O2434" s="1">
        <v>0</v>
      </c>
      <c r="P2434" s="1" t="s">
        <v>375</v>
      </c>
      <c r="Q2434" s="1" t="s">
        <v>101</v>
      </c>
      <c r="R2434" s="1" t="s">
        <v>12485</v>
      </c>
      <c r="S2434" s="1" t="s">
        <v>12405</v>
      </c>
      <c r="T2434" s="1">
        <v>1</v>
      </c>
      <c r="U2434" s="1">
        <v>1</v>
      </c>
      <c r="V2434" s="1">
        <v>1</v>
      </c>
      <c r="W2434" s="1">
        <v>0</v>
      </c>
      <c r="X2434" s="1">
        <v>0</v>
      </c>
      <c r="Y2434" s="1">
        <v>4</v>
      </c>
      <c r="Z2434" s="1">
        <v>4</v>
      </c>
      <c r="AA2434" s="1" t="s">
        <v>104</v>
      </c>
      <c r="AB2434" s="1" t="s">
        <v>104</v>
      </c>
      <c r="AC2434" s="1" t="s">
        <v>104</v>
      </c>
      <c r="AD2434" s="1" t="s">
        <v>104</v>
      </c>
      <c r="AE2434" s="1" t="s">
        <v>104</v>
      </c>
      <c r="AF2434" s="1">
        <v>4</v>
      </c>
      <c r="AG2434" s="1" t="s">
        <v>104</v>
      </c>
      <c r="AH2434" s="1">
        <v>4</v>
      </c>
      <c r="AI2434" s="1" t="s">
        <v>104</v>
      </c>
      <c r="AJ2434" s="1" t="s">
        <v>104</v>
      </c>
      <c r="AK2434" s="1" t="s">
        <v>104</v>
      </c>
      <c r="AL2434" s="1" t="s">
        <v>104</v>
      </c>
      <c r="AM2434" s="1" t="s">
        <v>104</v>
      </c>
      <c r="AO2434" s="1">
        <v>4</v>
      </c>
      <c r="AR2434" s="1">
        <v>0</v>
      </c>
      <c r="AS2434" s="1">
        <v>0</v>
      </c>
      <c r="AT2434" s="1">
        <v>0</v>
      </c>
      <c r="AU2434" s="1">
        <v>0</v>
      </c>
      <c r="AV2434" s="1">
        <v>0</v>
      </c>
      <c r="AW2434" s="1">
        <v>0</v>
      </c>
      <c r="AX2434" s="1">
        <v>0</v>
      </c>
      <c r="AY2434" s="1">
        <v>0</v>
      </c>
      <c r="AZ2434" s="1">
        <v>0</v>
      </c>
      <c r="BA2434" s="1">
        <v>0</v>
      </c>
      <c r="BB2434" s="1">
        <v>0</v>
      </c>
      <c r="BC2434" s="1">
        <v>0</v>
      </c>
      <c r="BD2434" s="1">
        <v>0</v>
      </c>
      <c r="BE2434" s="1">
        <v>0</v>
      </c>
      <c r="BF2434" s="1">
        <v>0</v>
      </c>
      <c r="BG2434" s="1">
        <v>0</v>
      </c>
      <c r="BH2434" s="1">
        <v>0</v>
      </c>
      <c r="BI2434" s="1">
        <v>0</v>
      </c>
      <c r="BJ2434" s="1">
        <v>0</v>
      </c>
      <c r="BK2434" s="1">
        <v>0</v>
      </c>
      <c r="BL2434" s="1">
        <v>0</v>
      </c>
      <c r="BM2434" s="1">
        <v>0</v>
      </c>
      <c r="BN2434" s="1">
        <v>0</v>
      </c>
      <c r="BO2434" s="1">
        <v>0</v>
      </c>
      <c r="BP2434" s="1">
        <v>0</v>
      </c>
      <c r="BQ2434" s="1" t="s">
        <v>104</v>
      </c>
      <c r="BR2434" s="1">
        <v>2556</v>
      </c>
      <c r="BS2434" s="1" t="s">
        <v>104</v>
      </c>
      <c r="BX2434" s="1">
        <v>0</v>
      </c>
      <c r="BY2434" s="1" t="s">
        <v>104</v>
      </c>
      <c r="BZ2434" s="1" t="s">
        <v>104</v>
      </c>
      <c r="CA2434" s="1" t="s">
        <v>104</v>
      </c>
      <c r="CB2434" s="1" t="s">
        <v>104</v>
      </c>
      <c r="CC2434" s="1" t="s">
        <v>104</v>
      </c>
      <c r="CD2434" s="1" t="s">
        <v>104</v>
      </c>
      <c r="CE2434" s="1" t="s">
        <v>104</v>
      </c>
      <c r="CF2434" s="1" t="s">
        <v>104</v>
      </c>
      <c r="CG2434" s="1" t="s">
        <v>104</v>
      </c>
      <c r="CH2434" s="1" t="s">
        <v>104</v>
      </c>
      <c r="CJ2434" s="1">
        <v>0</v>
      </c>
      <c r="CK2434" s="1">
        <v>0</v>
      </c>
      <c r="CL2434" s="1">
        <v>0</v>
      </c>
      <c r="CM2434" s="1" t="s">
        <v>104</v>
      </c>
    </row>
    <row r="2435" spans="1:91" ht="14.25" customHeight="1" x14ac:dyDescent="0.3">
      <c r="A2435" s="1" t="s">
        <v>12486</v>
      </c>
      <c r="B2435" s="1" t="s">
        <v>507</v>
      </c>
      <c r="C2435" s="1" t="s">
        <v>508</v>
      </c>
      <c r="E2435" s="1" t="s">
        <v>12487</v>
      </c>
      <c r="F2435" s="1" t="s">
        <v>95</v>
      </c>
      <c r="G2435" s="1" t="s">
        <v>12488</v>
      </c>
      <c r="H2435" s="1">
        <v>0</v>
      </c>
      <c r="I2435" s="1" t="s">
        <v>128</v>
      </c>
      <c r="L2435" s="1" t="s">
        <v>12489</v>
      </c>
      <c r="M2435" s="1" t="s">
        <v>4292</v>
      </c>
      <c r="N2435" s="1">
        <v>0</v>
      </c>
      <c r="O2435" s="1">
        <v>0</v>
      </c>
      <c r="P2435" s="1" t="s">
        <v>148</v>
      </c>
      <c r="Q2435" s="1" t="s">
        <v>149</v>
      </c>
      <c r="R2435" s="1" t="s">
        <v>12490</v>
      </c>
      <c r="S2435" s="1" t="s">
        <v>12405</v>
      </c>
      <c r="T2435" s="1">
        <v>1</v>
      </c>
      <c r="U2435" s="1">
        <v>1</v>
      </c>
      <c r="V2435" s="1">
        <v>1</v>
      </c>
      <c r="W2435" s="1">
        <v>0</v>
      </c>
      <c r="X2435" s="1">
        <v>0</v>
      </c>
      <c r="Y2435" s="1">
        <v>2</v>
      </c>
      <c r="Z2435" s="1">
        <v>2</v>
      </c>
      <c r="AA2435" s="1" t="s">
        <v>104</v>
      </c>
      <c r="AB2435" s="1" t="s">
        <v>104</v>
      </c>
      <c r="AC2435" s="1" t="s">
        <v>104</v>
      </c>
      <c r="AD2435" s="1">
        <v>2</v>
      </c>
      <c r="AE2435" s="1" t="s">
        <v>104</v>
      </c>
      <c r="AF2435" s="1">
        <v>2</v>
      </c>
      <c r="AG2435" s="1">
        <v>2</v>
      </c>
      <c r="AH2435" s="1" t="s">
        <v>104</v>
      </c>
      <c r="AI2435" s="1">
        <v>2</v>
      </c>
      <c r="AJ2435" s="1" t="s">
        <v>104</v>
      </c>
      <c r="AK2435" s="1">
        <v>2</v>
      </c>
      <c r="AL2435" s="1">
        <v>2</v>
      </c>
      <c r="AM2435" s="1" t="s">
        <v>104</v>
      </c>
      <c r="AO2435" s="1">
        <v>2</v>
      </c>
      <c r="AR2435" s="1">
        <v>0</v>
      </c>
      <c r="AS2435" s="1">
        <v>0</v>
      </c>
      <c r="AT2435" s="1">
        <v>0</v>
      </c>
      <c r="AU2435" s="1">
        <v>0</v>
      </c>
      <c r="AV2435" s="1">
        <v>0</v>
      </c>
      <c r="AW2435" s="1">
        <v>0</v>
      </c>
      <c r="AX2435" s="1">
        <v>0</v>
      </c>
      <c r="AY2435" s="1">
        <v>0</v>
      </c>
      <c r="AZ2435" s="1">
        <v>0</v>
      </c>
      <c r="BA2435" s="1">
        <v>0</v>
      </c>
      <c r="BB2435" s="1">
        <v>0</v>
      </c>
      <c r="BC2435" s="1">
        <v>0</v>
      </c>
      <c r="BD2435" s="1">
        <v>0</v>
      </c>
      <c r="BE2435" s="1">
        <v>0</v>
      </c>
      <c r="BF2435" s="1">
        <v>0</v>
      </c>
      <c r="BG2435" s="1">
        <v>0</v>
      </c>
      <c r="BH2435" s="1">
        <v>0</v>
      </c>
      <c r="BI2435" s="1">
        <v>0</v>
      </c>
      <c r="BJ2435" s="1">
        <v>0</v>
      </c>
      <c r="BK2435" s="1">
        <v>0</v>
      </c>
      <c r="BL2435" s="1">
        <v>0</v>
      </c>
      <c r="BM2435" s="1">
        <v>0</v>
      </c>
      <c r="BN2435" s="1">
        <v>0</v>
      </c>
      <c r="BO2435" s="1">
        <v>0</v>
      </c>
      <c r="BP2435" s="1">
        <v>0</v>
      </c>
      <c r="BQ2435" s="1" t="s">
        <v>104</v>
      </c>
      <c r="BR2435" s="1">
        <v>2557</v>
      </c>
      <c r="BS2435" s="1" t="s">
        <v>104</v>
      </c>
      <c r="BX2435" s="1">
        <v>0</v>
      </c>
      <c r="BY2435" s="1" t="s">
        <v>104</v>
      </c>
      <c r="BZ2435" s="1" t="s">
        <v>104</v>
      </c>
      <c r="CA2435" s="1" t="s">
        <v>104</v>
      </c>
      <c r="CB2435" s="1" t="s">
        <v>104</v>
      </c>
      <c r="CC2435" s="1" t="s">
        <v>104</v>
      </c>
      <c r="CD2435" s="1" t="s">
        <v>104</v>
      </c>
      <c r="CE2435" s="1" t="s">
        <v>104</v>
      </c>
      <c r="CF2435" s="1" t="s">
        <v>104</v>
      </c>
      <c r="CG2435" s="1" t="s">
        <v>104</v>
      </c>
      <c r="CH2435" s="1" t="s">
        <v>104</v>
      </c>
      <c r="CJ2435" s="1">
        <v>0</v>
      </c>
      <c r="CK2435" s="1">
        <v>0</v>
      </c>
      <c r="CL2435" s="1">
        <v>0</v>
      </c>
      <c r="CM2435" s="1">
        <v>2</v>
      </c>
    </row>
    <row r="2436" spans="1:91" ht="14.25" customHeight="1" x14ac:dyDescent="0.3">
      <c r="A2436" s="1" t="s">
        <v>12491</v>
      </c>
      <c r="B2436" s="1" t="s">
        <v>162</v>
      </c>
      <c r="E2436" s="1" t="s">
        <v>12492</v>
      </c>
      <c r="F2436" s="1" t="s">
        <v>95</v>
      </c>
      <c r="G2436" s="1" t="s">
        <v>12493</v>
      </c>
      <c r="H2436" s="1">
        <v>1</v>
      </c>
      <c r="I2436" s="1" t="s">
        <v>128</v>
      </c>
      <c r="L2436" s="1" t="s">
        <v>374</v>
      </c>
      <c r="M2436" s="1" t="s">
        <v>4292</v>
      </c>
      <c r="N2436" s="1">
        <v>0</v>
      </c>
      <c r="O2436" s="1">
        <v>0</v>
      </c>
      <c r="P2436" s="1" t="s">
        <v>375</v>
      </c>
      <c r="Q2436" s="1" t="s">
        <v>131</v>
      </c>
      <c r="R2436" s="1" t="s">
        <v>12494</v>
      </c>
      <c r="S2436" s="1" t="s">
        <v>12405</v>
      </c>
      <c r="T2436" s="1">
        <v>1</v>
      </c>
      <c r="U2436" s="1">
        <v>1</v>
      </c>
      <c r="V2436" s="1">
        <v>1</v>
      </c>
      <c r="W2436" s="1">
        <v>0</v>
      </c>
      <c r="X2436" s="1">
        <v>0</v>
      </c>
      <c r="Y2436" s="1">
        <v>9</v>
      </c>
      <c r="Z2436" s="1">
        <v>9</v>
      </c>
      <c r="AA2436" s="1" t="s">
        <v>104</v>
      </c>
      <c r="AB2436" s="1" t="s">
        <v>104</v>
      </c>
      <c r="AC2436" s="1" t="s">
        <v>104</v>
      </c>
      <c r="AD2436" s="1">
        <v>6</v>
      </c>
      <c r="AE2436" s="1" t="s">
        <v>104</v>
      </c>
      <c r="AF2436" s="1" t="s">
        <v>104</v>
      </c>
      <c r="AG2436" s="1" t="s">
        <v>104</v>
      </c>
      <c r="AH2436" s="1">
        <v>9</v>
      </c>
      <c r="AI2436" s="1" t="s">
        <v>104</v>
      </c>
      <c r="AJ2436" s="1" t="s">
        <v>104</v>
      </c>
      <c r="AK2436" s="1" t="s">
        <v>104</v>
      </c>
      <c r="AL2436" s="1" t="s">
        <v>104</v>
      </c>
      <c r="AM2436" s="1" t="s">
        <v>104</v>
      </c>
      <c r="AO2436" s="1">
        <v>9</v>
      </c>
      <c r="AR2436" s="1">
        <v>0</v>
      </c>
      <c r="AS2436" s="1">
        <v>0</v>
      </c>
      <c r="AT2436" s="1">
        <v>0</v>
      </c>
      <c r="AU2436" s="1">
        <v>0</v>
      </c>
      <c r="AV2436" s="1">
        <v>0</v>
      </c>
      <c r="AW2436" s="1">
        <v>0</v>
      </c>
      <c r="AX2436" s="1">
        <v>0</v>
      </c>
      <c r="AY2436" s="1">
        <v>0</v>
      </c>
      <c r="AZ2436" s="1">
        <v>0</v>
      </c>
      <c r="BA2436" s="1">
        <v>0</v>
      </c>
      <c r="BB2436" s="1">
        <v>0</v>
      </c>
      <c r="BC2436" s="1">
        <v>0</v>
      </c>
      <c r="BD2436" s="1">
        <v>0</v>
      </c>
      <c r="BE2436" s="1">
        <v>0</v>
      </c>
      <c r="BF2436" s="1">
        <v>0</v>
      </c>
      <c r="BG2436" s="1">
        <v>0</v>
      </c>
      <c r="BH2436" s="1">
        <v>0</v>
      </c>
      <c r="BI2436" s="1">
        <v>0</v>
      </c>
      <c r="BJ2436" s="1">
        <v>0</v>
      </c>
      <c r="BK2436" s="1">
        <v>0</v>
      </c>
      <c r="BL2436" s="1">
        <v>0</v>
      </c>
      <c r="BM2436" s="1">
        <v>0</v>
      </c>
      <c r="BN2436" s="1">
        <v>0</v>
      </c>
      <c r="BO2436" s="1">
        <v>0</v>
      </c>
      <c r="BP2436" s="1">
        <v>0</v>
      </c>
      <c r="BQ2436" s="1" t="s">
        <v>104</v>
      </c>
      <c r="BR2436" s="1">
        <v>2558</v>
      </c>
      <c r="BS2436" s="1">
        <v>1250</v>
      </c>
      <c r="BX2436" s="1">
        <v>0</v>
      </c>
      <c r="BY2436" s="1" t="s">
        <v>104</v>
      </c>
      <c r="BZ2436" s="1" t="s">
        <v>104</v>
      </c>
      <c r="CA2436" s="1">
        <v>9</v>
      </c>
      <c r="CB2436" s="1" t="s">
        <v>104</v>
      </c>
      <c r="CC2436" s="1">
        <v>6</v>
      </c>
      <c r="CD2436" s="1" t="s">
        <v>104</v>
      </c>
      <c r="CE2436" s="1">
        <v>6</v>
      </c>
      <c r="CF2436" s="1" t="s">
        <v>104</v>
      </c>
      <c r="CG2436" s="1" t="s">
        <v>104</v>
      </c>
      <c r="CH2436" s="1" t="s">
        <v>104</v>
      </c>
      <c r="CJ2436" s="1">
        <v>0</v>
      </c>
      <c r="CK2436" s="1">
        <v>0</v>
      </c>
      <c r="CL2436" s="1">
        <v>0</v>
      </c>
      <c r="CM2436" s="1" t="s">
        <v>104</v>
      </c>
    </row>
    <row r="2437" spans="1:91" ht="14.25" customHeight="1" x14ac:dyDescent="0.3">
      <c r="A2437" s="1" t="s">
        <v>12495</v>
      </c>
      <c r="B2437" s="1" t="s">
        <v>137</v>
      </c>
      <c r="C2437" s="1" t="s">
        <v>154</v>
      </c>
      <c r="E2437" s="1" t="s">
        <v>12496</v>
      </c>
      <c r="F2437" s="1" t="s">
        <v>95</v>
      </c>
      <c r="G2437" s="1" t="s">
        <v>12497</v>
      </c>
      <c r="H2437" s="1">
        <v>0</v>
      </c>
      <c r="I2437" s="1" t="s">
        <v>128</v>
      </c>
      <c r="L2437" s="1" t="s">
        <v>129</v>
      </c>
      <c r="M2437" s="1" t="s">
        <v>4641</v>
      </c>
      <c r="N2437" s="1">
        <v>1</v>
      </c>
      <c r="O2437" s="1">
        <v>0</v>
      </c>
      <c r="P2437" s="1" t="s">
        <v>375</v>
      </c>
      <c r="Q2437" s="1" t="s">
        <v>131</v>
      </c>
      <c r="R2437" s="1" t="s">
        <v>12498</v>
      </c>
      <c r="S2437" s="1" t="s">
        <v>12405</v>
      </c>
      <c r="T2437" s="1">
        <v>1</v>
      </c>
      <c r="U2437" s="1">
        <v>1</v>
      </c>
      <c r="V2437" s="1">
        <v>1</v>
      </c>
      <c r="W2437" s="1">
        <v>0</v>
      </c>
      <c r="X2437" s="1">
        <v>0</v>
      </c>
      <c r="Y2437" s="1">
        <v>4</v>
      </c>
      <c r="Z2437" s="1">
        <v>4</v>
      </c>
      <c r="AA2437" s="1" t="s">
        <v>104</v>
      </c>
      <c r="AB2437" s="1" t="s">
        <v>104</v>
      </c>
      <c r="AC2437" s="1" t="s">
        <v>104</v>
      </c>
      <c r="AD2437" s="1" t="s">
        <v>104</v>
      </c>
      <c r="AE2437" s="1" t="s">
        <v>104</v>
      </c>
      <c r="AF2437" s="1">
        <v>4</v>
      </c>
      <c r="AG2437" s="1" t="s">
        <v>104</v>
      </c>
      <c r="AH2437" s="1">
        <v>4</v>
      </c>
      <c r="AI2437" s="1" t="s">
        <v>104</v>
      </c>
      <c r="AJ2437" s="1" t="s">
        <v>104</v>
      </c>
      <c r="AK2437" s="1" t="s">
        <v>104</v>
      </c>
      <c r="AL2437" s="1" t="s">
        <v>104</v>
      </c>
      <c r="AM2437" s="1" t="s">
        <v>104</v>
      </c>
      <c r="AO2437" s="1">
        <v>4</v>
      </c>
      <c r="AR2437" s="1">
        <v>0</v>
      </c>
      <c r="AS2437" s="1">
        <v>0</v>
      </c>
      <c r="AT2437" s="1">
        <v>0</v>
      </c>
      <c r="AU2437" s="1">
        <v>0</v>
      </c>
      <c r="AV2437" s="1">
        <v>0</v>
      </c>
      <c r="AW2437" s="1">
        <v>0</v>
      </c>
      <c r="AX2437" s="1">
        <v>0</v>
      </c>
      <c r="AY2437" s="1">
        <v>0</v>
      </c>
      <c r="AZ2437" s="1">
        <v>0</v>
      </c>
      <c r="BA2437" s="1">
        <v>0</v>
      </c>
      <c r="BB2437" s="1">
        <v>0</v>
      </c>
      <c r="BC2437" s="1">
        <v>0</v>
      </c>
      <c r="BD2437" s="1">
        <v>0</v>
      </c>
      <c r="BE2437" s="1">
        <v>0</v>
      </c>
      <c r="BF2437" s="1">
        <v>0</v>
      </c>
      <c r="BG2437" s="1">
        <v>0</v>
      </c>
      <c r="BH2437" s="1">
        <v>0</v>
      </c>
      <c r="BI2437" s="1">
        <v>0</v>
      </c>
      <c r="BJ2437" s="1">
        <v>0</v>
      </c>
      <c r="BK2437" s="1">
        <v>0</v>
      </c>
      <c r="BL2437" s="1">
        <v>0</v>
      </c>
      <c r="BM2437" s="1">
        <v>0</v>
      </c>
      <c r="BN2437" s="1">
        <v>0</v>
      </c>
      <c r="BO2437" s="1">
        <v>0</v>
      </c>
      <c r="BP2437" s="1">
        <v>0</v>
      </c>
      <c r="BQ2437" s="1" t="s">
        <v>104</v>
      </c>
      <c r="BR2437" s="1">
        <v>2559</v>
      </c>
      <c r="BS2437" s="1" t="s">
        <v>104</v>
      </c>
      <c r="BX2437" s="1">
        <v>0</v>
      </c>
      <c r="BY2437" s="1" t="s">
        <v>104</v>
      </c>
      <c r="BZ2437" s="1">
        <v>4</v>
      </c>
      <c r="CA2437" s="1">
        <v>4</v>
      </c>
      <c r="CB2437" s="1" t="s">
        <v>104</v>
      </c>
      <c r="CC2437" s="1" t="s">
        <v>104</v>
      </c>
      <c r="CD2437" s="1" t="s">
        <v>104</v>
      </c>
      <c r="CE2437" s="1" t="s">
        <v>104</v>
      </c>
      <c r="CF2437" s="1" t="s">
        <v>104</v>
      </c>
      <c r="CG2437" s="1" t="s">
        <v>104</v>
      </c>
      <c r="CH2437" s="1" t="s">
        <v>104</v>
      </c>
      <c r="CJ2437" s="1">
        <v>0</v>
      </c>
      <c r="CK2437" s="1">
        <v>0</v>
      </c>
      <c r="CL2437" s="1">
        <v>0</v>
      </c>
      <c r="CM2437" s="1" t="s">
        <v>104</v>
      </c>
    </row>
    <row r="2438" spans="1:91" ht="14.25" customHeight="1" x14ac:dyDescent="0.3">
      <c r="A2438" s="1" t="s">
        <v>12499</v>
      </c>
      <c r="B2438" s="1" t="s">
        <v>162</v>
      </c>
      <c r="E2438" s="1" t="s">
        <v>12500</v>
      </c>
      <c r="F2438" s="1" t="s">
        <v>95</v>
      </c>
      <c r="G2438" s="1" t="s">
        <v>1623</v>
      </c>
      <c r="H2438" s="1">
        <v>0</v>
      </c>
      <c r="I2438" s="1" t="s">
        <v>117</v>
      </c>
      <c r="L2438" s="1" t="s">
        <v>374</v>
      </c>
      <c r="M2438" s="1" t="s">
        <v>2330</v>
      </c>
      <c r="N2438" s="1">
        <v>0</v>
      </c>
      <c r="O2438" s="1">
        <v>0</v>
      </c>
      <c r="P2438" s="1" t="s">
        <v>375</v>
      </c>
      <c r="Q2438" s="1" t="s">
        <v>101</v>
      </c>
      <c r="R2438" s="1" t="s">
        <v>12501</v>
      </c>
      <c r="S2438" s="1" t="s">
        <v>12405</v>
      </c>
      <c r="T2438" s="1">
        <v>1</v>
      </c>
      <c r="U2438" s="1">
        <v>1</v>
      </c>
      <c r="V2438" s="1">
        <v>1</v>
      </c>
      <c r="W2438" s="1">
        <v>0</v>
      </c>
      <c r="X2438" s="1">
        <v>0</v>
      </c>
      <c r="Y2438" s="1">
        <v>2</v>
      </c>
      <c r="Z2438" s="1">
        <v>2</v>
      </c>
      <c r="AA2438" s="1" t="s">
        <v>104</v>
      </c>
      <c r="AB2438" s="1" t="s">
        <v>104</v>
      </c>
      <c r="AC2438" s="1">
        <v>3</v>
      </c>
      <c r="AD2438" s="1" t="s">
        <v>104</v>
      </c>
      <c r="AE2438" s="1" t="s">
        <v>104</v>
      </c>
      <c r="AF2438" s="1">
        <v>2</v>
      </c>
      <c r="AG2438" s="1">
        <v>2</v>
      </c>
      <c r="AH2438" s="1" t="s">
        <v>104</v>
      </c>
      <c r="AI2438" s="1">
        <v>2</v>
      </c>
      <c r="AJ2438" s="1" t="s">
        <v>104</v>
      </c>
      <c r="AK2438" s="1">
        <v>2</v>
      </c>
      <c r="AL2438" s="1" t="s">
        <v>104</v>
      </c>
      <c r="AM2438" s="1" t="s">
        <v>104</v>
      </c>
      <c r="AO2438" s="1">
        <v>2</v>
      </c>
      <c r="AR2438" s="1">
        <v>0</v>
      </c>
      <c r="AS2438" s="1">
        <v>0</v>
      </c>
      <c r="AT2438" s="1">
        <v>0</v>
      </c>
      <c r="AU2438" s="1">
        <v>0</v>
      </c>
      <c r="AV2438" s="1">
        <v>0</v>
      </c>
      <c r="AW2438" s="1">
        <v>0</v>
      </c>
      <c r="AX2438" s="1">
        <v>0</v>
      </c>
      <c r="AY2438" s="1">
        <v>0</v>
      </c>
      <c r="AZ2438" s="1">
        <v>0</v>
      </c>
      <c r="BA2438" s="1">
        <v>0</v>
      </c>
      <c r="BB2438" s="1">
        <v>0</v>
      </c>
      <c r="BC2438" s="1">
        <v>0</v>
      </c>
      <c r="BD2438" s="1">
        <v>0</v>
      </c>
      <c r="BE2438" s="1">
        <v>0</v>
      </c>
      <c r="BF2438" s="1">
        <v>0</v>
      </c>
      <c r="BG2438" s="1">
        <v>0</v>
      </c>
      <c r="BH2438" s="1">
        <v>0</v>
      </c>
      <c r="BI2438" s="1">
        <v>0</v>
      </c>
      <c r="BJ2438" s="1">
        <v>0</v>
      </c>
      <c r="BK2438" s="1">
        <v>0</v>
      </c>
      <c r="BL2438" s="1">
        <v>0</v>
      </c>
      <c r="BM2438" s="1">
        <v>0</v>
      </c>
      <c r="BN2438" s="1">
        <v>0</v>
      </c>
      <c r="BO2438" s="1">
        <v>0</v>
      </c>
      <c r="BP2438" s="1">
        <v>0</v>
      </c>
      <c r="BQ2438" s="1" t="s">
        <v>104</v>
      </c>
      <c r="BR2438" s="1">
        <v>2560</v>
      </c>
      <c r="BS2438" s="1" t="s">
        <v>104</v>
      </c>
      <c r="BX2438" s="1">
        <v>0</v>
      </c>
      <c r="BY2438" s="1" t="s">
        <v>104</v>
      </c>
      <c r="BZ2438" s="1" t="s">
        <v>104</v>
      </c>
      <c r="CA2438" s="1" t="s">
        <v>104</v>
      </c>
      <c r="CB2438" s="1" t="s">
        <v>104</v>
      </c>
      <c r="CC2438" s="1" t="s">
        <v>104</v>
      </c>
      <c r="CD2438" s="1" t="s">
        <v>104</v>
      </c>
      <c r="CE2438" s="1" t="s">
        <v>104</v>
      </c>
      <c r="CF2438" s="1" t="s">
        <v>104</v>
      </c>
      <c r="CG2438" s="1" t="s">
        <v>104</v>
      </c>
      <c r="CH2438" s="1">
        <v>3</v>
      </c>
      <c r="CJ2438" s="1">
        <v>0</v>
      </c>
      <c r="CK2438" s="1">
        <v>0</v>
      </c>
      <c r="CL2438" s="1">
        <v>0</v>
      </c>
      <c r="CM2438" s="1">
        <v>2</v>
      </c>
    </row>
    <row r="2439" spans="1:91" ht="14.25" customHeight="1" x14ac:dyDescent="0.3">
      <c r="A2439" s="1" t="s">
        <v>12502</v>
      </c>
      <c r="B2439" s="1" t="s">
        <v>507</v>
      </c>
      <c r="C2439" s="1" t="s">
        <v>1308</v>
      </c>
      <c r="D2439" s="1" t="s">
        <v>125</v>
      </c>
      <c r="E2439" s="1" t="s">
        <v>12503</v>
      </c>
      <c r="F2439" s="1" t="s">
        <v>95</v>
      </c>
      <c r="G2439" s="1" t="s">
        <v>116</v>
      </c>
      <c r="H2439" s="1">
        <v>0</v>
      </c>
      <c r="I2439" s="1" t="s">
        <v>109</v>
      </c>
      <c r="L2439" s="1" t="s">
        <v>417</v>
      </c>
      <c r="M2439" s="1" t="s">
        <v>8234</v>
      </c>
      <c r="N2439" s="1">
        <v>0</v>
      </c>
      <c r="O2439" s="1">
        <v>0</v>
      </c>
      <c r="P2439" s="1" t="s">
        <v>2706</v>
      </c>
      <c r="Q2439" s="1" t="s">
        <v>184</v>
      </c>
      <c r="R2439" s="1" t="s">
        <v>12504</v>
      </c>
      <c r="S2439" s="1" t="s">
        <v>12405</v>
      </c>
      <c r="T2439" s="1">
        <v>1</v>
      </c>
      <c r="U2439" s="1">
        <v>1</v>
      </c>
      <c r="V2439" s="1">
        <v>0</v>
      </c>
      <c r="W2439" s="1">
        <v>0</v>
      </c>
      <c r="X2439" s="1">
        <v>0</v>
      </c>
      <c r="Y2439" s="1">
        <v>3</v>
      </c>
      <c r="Z2439" s="1">
        <v>3</v>
      </c>
      <c r="AA2439" s="1" t="s">
        <v>104</v>
      </c>
      <c r="AB2439" s="1" t="s">
        <v>104</v>
      </c>
      <c r="AC2439" s="1" t="s">
        <v>104</v>
      </c>
      <c r="AD2439" s="1">
        <v>4</v>
      </c>
      <c r="AE2439" s="1" t="s">
        <v>104</v>
      </c>
      <c r="AF2439" s="1" t="s">
        <v>104</v>
      </c>
      <c r="AG2439" s="1" t="s">
        <v>104</v>
      </c>
      <c r="AH2439" s="1">
        <v>3</v>
      </c>
      <c r="AI2439" s="1" t="s">
        <v>104</v>
      </c>
      <c r="AJ2439" s="1" t="s">
        <v>104</v>
      </c>
      <c r="AK2439" s="1">
        <v>3</v>
      </c>
      <c r="AL2439" s="1" t="s">
        <v>104</v>
      </c>
      <c r="AM2439" s="1" t="s">
        <v>104</v>
      </c>
      <c r="AO2439" s="1">
        <v>3</v>
      </c>
      <c r="AR2439" s="1">
        <v>0</v>
      </c>
      <c r="AS2439" s="1">
        <v>0</v>
      </c>
      <c r="AT2439" s="1">
        <v>0</v>
      </c>
      <c r="AU2439" s="1">
        <v>0</v>
      </c>
      <c r="AV2439" s="1">
        <v>0</v>
      </c>
      <c r="AW2439" s="1">
        <v>0</v>
      </c>
      <c r="AX2439" s="1">
        <v>0</v>
      </c>
      <c r="AY2439" s="1">
        <v>0</v>
      </c>
      <c r="AZ2439" s="1">
        <v>0</v>
      </c>
      <c r="BA2439" s="1">
        <v>0</v>
      </c>
      <c r="BB2439" s="1">
        <v>0</v>
      </c>
      <c r="BC2439" s="1">
        <v>0</v>
      </c>
      <c r="BD2439" s="1">
        <v>0</v>
      </c>
      <c r="BE2439" s="1">
        <v>0</v>
      </c>
      <c r="BF2439" s="1">
        <v>0</v>
      </c>
      <c r="BG2439" s="1">
        <v>0</v>
      </c>
      <c r="BH2439" s="1">
        <v>0</v>
      </c>
      <c r="BI2439" s="1">
        <v>0</v>
      </c>
      <c r="BJ2439" s="1">
        <v>0</v>
      </c>
      <c r="BK2439" s="1">
        <v>1</v>
      </c>
      <c r="BL2439" s="1">
        <v>0</v>
      </c>
      <c r="BM2439" s="1">
        <v>0</v>
      </c>
      <c r="BN2439" s="1">
        <v>0</v>
      </c>
      <c r="BO2439" s="1">
        <v>0</v>
      </c>
      <c r="BP2439" s="1">
        <v>0</v>
      </c>
      <c r="BQ2439" s="1" t="s">
        <v>104</v>
      </c>
      <c r="BR2439" s="1">
        <v>2561</v>
      </c>
      <c r="BS2439" s="1" t="s">
        <v>104</v>
      </c>
      <c r="BX2439" s="1">
        <v>0</v>
      </c>
      <c r="BY2439" s="1" t="s">
        <v>104</v>
      </c>
      <c r="BZ2439" s="1">
        <v>4</v>
      </c>
      <c r="CA2439" s="1">
        <v>3</v>
      </c>
      <c r="CB2439" s="1" t="s">
        <v>104</v>
      </c>
      <c r="CC2439" s="1">
        <v>3</v>
      </c>
      <c r="CD2439" s="1" t="s">
        <v>104</v>
      </c>
      <c r="CE2439" s="1" t="s">
        <v>104</v>
      </c>
      <c r="CF2439" s="1" t="s">
        <v>104</v>
      </c>
      <c r="CG2439" s="1" t="s">
        <v>104</v>
      </c>
      <c r="CH2439" s="1" t="s">
        <v>104</v>
      </c>
      <c r="CJ2439" s="1">
        <v>0</v>
      </c>
      <c r="CK2439" s="1">
        <v>0</v>
      </c>
      <c r="CL2439" s="1">
        <v>0</v>
      </c>
      <c r="CM2439" s="1" t="s">
        <v>104</v>
      </c>
    </row>
    <row r="2440" spans="1:91" ht="14.25" customHeight="1" x14ac:dyDescent="0.3">
      <c r="A2440" s="1" t="s">
        <v>12505</v>
      </c>
      <c r="B2440" s="1" t="s">
        <v>123</v>
      </c>
      <c r="C2440" s="1" t="s">
        <v>124</v>
      </c>
      <c r="D2440" s="1" t="s">
        <v>125</v>
      </c>
      <c r="E2440" s="1" t="s">
        <v>12506</v>
      </c>
      <c r="F2440" s="1" t="s">
        <v>287</v>
      </c>
      <c r="G2440" s="1" t="s">
        <v>3762</v>
      </c>
      <c r="H2440" s="1">
        <v>1</v>
      </c>
      <c r="I2440" s="1" t="s">
        <v>12507</v>
      </c>
      <c r="K2440" s="1" t="s">
        <v>3751</v>
      </c>
      <c r="M2440" s="1" t="s">
        <v>145</v>
      </c>
      <c r="N2440" s="1">
        <v>0</v>
      </c>
      <c r="O2440" s="1">
        <v>0</v>
      </c>
      <c r="P2440" s="1" t="s">
        <v>211</v>
      </c>
      <c r="Q2440" s="1" t="s">
        <v>184</v>
      </c>
      <c r="R2440" s="1" t="s">
        <v>12508</v>
      </c>
      <c r="S2440" s="1" t="s">
        <v>12405</v>
      </c>
      <c r="T2440" s="1">
        <v>1</v>
      </c>
      <c r="U2440" s="1">
        <v>1</v>
      </c>
      <c r="V2440" s="1">
        <v>1</v>
      </c>
      <c r="W2440" s="1">
        <v>0</v>
      </c>
      <c r="X2440" s="1">
        <v>0</v>
      </c>
      <c r="Y2440" s="1">
        <v>6</v>
      </c>
      <c r="Z2440" s="1">
        <v>6</v>
      </c>
      <c r="AA2440" s="1">
        <v>6</v>
      </c>
      <c r="AB2440" s="1" t="s">
        <v>104</v>
      </c>
      <c r="AC2440" s="1" t="s">
        <v>104</v>
      </c>
      <c r="AD2440" s="1">
        <v>6</v>
      </c>
      <c r="AE2440" s="1" t="s">
        <v>104</v>
      </c>
      <c r="AF2440" s="1" t="s">
        <v>104</v>
      </c>
      <c r="AG2440" s="1" t="s">
        <v>104</v>
      </c>
      <c r="AH2440" s="1">
        <v>6</v>
      </c>
      <c r="AI2440" s="1" t="s">
        <v>104</v>
      </c>
      <c r="AJ2440" s="1">
        <v>6</v>
      </c>
      <c r="AK2440" s="1" t="s">
        <v>104</v>
      </c>
      <c r="AL2440" s="1" t="s">
        <v>104</v>
      </c>
      <c r="AM2440" s="1" t="s">
        <v>104</v>
      </c>
      <c r="AO2440" s="1">
        <v>6</v>
      </c>
      <c r="AR2440" s="1">
        <v>0</v>
      </c>
      <c r="AS2440" s="1">
        <v>0</v>
      </c>
      <c r="AT2440" s="1">
        <v>0</v>
      </c>
      <c r="AU2440" s="1">
        <v>0</v>
      </c>
      <c r="AV2440" s="1">
        <v>0</v>
      </c>
      <c r="AW2440" s="1">
        <v>0</v>
      </c>
      <c r="AX2440" s="1">
        <v>0</v>
      </c>
      <c r="AY2440" s="1">
        <v>0</v>
      </c>
      <c r="AZ2440" s="1">
        <v>0</v>
      </c>
      <c r="BA2440" s="1">
        <v>0</v>
      </c>
      <c r="BB2440" s="1">
        <v>0</v>
      </c>
      <c r="BC2440" s="1">
        <v>0</v>
      </c>
      <c r="BD2440" s="1">
        <v>0</v>
      </c>
      <c r="BE2440" s="1">
        <v>0</v>
      </c>
      <c r="BF2440" s="1">
        <v>0</v>
      </c>
      <c r="BG2440" s="1">
        <v>0</v>
      </c>
      <c r="BH2440" s="1">
        <v>0</v>
      </c>
      <c r="BI2440" s="1">
        <v>0</v>
      </c>
      <c r="BJ2440" s="1">
        <v>0</v>
      </c>
      <c r="BK2440" s="1">
        <v>1</v>
      </c>
      <c r="BL2440" s="1">
        <v>0</v>
      </c>
      <c r="BM2440" s="1">
        <v>0</v>
      </c>
      <c r="BN2440" s="1">
        <v>0</v>
      </c>
      <c r="BO2440" s="1">
        <v>0</v>
      </c>
      <c r="BP2440" s="1">
        <v>0</v>
      </c>
      <c r="BQ2440" s="1" t="s">
        <v>104</v>
      </c>
      <c r="BR2440" s="1">
        <v>2562</v>
      </c>
      <c r="BS2440" s="1">
        <v>5000</v>
      </c>
      <c r="BX2440" s="1">
        <v>0</v>
      </c>
      <c r="BY2440" s="1" t="s">
        <v>104</v>
      </c>
      <c r="BZ2440" s="1" t="s">
        <v>104</v>
      </c>
      <c r="CA2440" s="1">
        <v>6</v>
      </c>
      <c r="CB2440" s="1" t="s">
        <v>104</v>
      </c>
      <c r="CC2440" s="1">
        <v>6</v>
      </c>
      <c r="CD2440" s="1">
        <v>4</v>
      </c>
      <c r="CE2440" s="1" t="s">
        <v>104</v>
      </c>
      <c r="CF2440" s="1" t="s">
        <v>104</v>
      </c>
      <c r="CG2440" s="1" t="s">
        <v>104</v>
      </c>
      <c r="CH2440" s="1" t="s">
        <v>104</v>
      </c>
      <c r="CJ2440" s="1">
        <v>0</v>
      </c>
      <c r="CK2440" s="1">
        <v>0</v>
      </c>
      <c r="CL2440" s="1">
        <v>0</v>
      </c>
      <c r="CM2440" s="1" t="s">
        <v>104</v>
      </c>
    </row>
    <row r="2441" spans="1:91" ht="14.25" customHeight="1" x14ac:dyDescent="0.3">
      <c r="A2441" s="1" t="s">
        <v>12509</v>
      </c>
      <c r="B2441" s="1" t="s">
        <v>123</v>
      </c>
      <c r="C2441" s="1" t="s">
        <v>124</v>
      </c>
      <c r="D2441" s="1" t="s">
        <v>125</v>
      </c>
      <c r="E2441" s="1" t="s">
        <v>12510</v>
      </c>
      <c r="F2441" s="1" t="s">
        <v>95</v>
      </c>
      <c r="G2441" s="1" t="s">
        <v>12511</v>
      </c>
      <c r="H2441" s="1">
        <v>0</v>
      </c>
      <c r="I2441" s="1" t="s">
        <v>128</v>
      </c>
      <c r="L2441" s="1" t="s">
        <v>12512</v>
      </c>
      <c r="M2441" s="1" t="s">
        <v>119</v>
      </c>
      <c r="N2441" s="1">
        <v>0</v>
      </c>
      <c r="O2441" s="1">
        <v>0</v>
      </c>
      <c r="P2441" s="1" t="s">
        <v>211</v>
      </c>
      <c r="Q2441" s="1" t="s">
        <v>184</v>
      </c>
      <c r="R2441" s="1" t="s">
        <v>12513</v>
      </c>
      <c r="S2441" s="1" t="s">
        <v>12405</v>
      </c>
      <c r="T2441" s="1">
        <v>1</v>
      </c>
      <c r="U2441" s="1">
        <v>1</v>
      </c>
      <c r="V2441" s="1">
        <v>1</v>
      </c>
      <c r="W2441" s="1">
        <v>0</v>
      </c>
      <c r="X2441" s="1">
        <v>0</v>
      </c>
      <c r="Y2441" s="1">
        <v>5</v>
      </c>
      <c r="Z2441" s="1">
        <v>5</v>
      </c>
      <c r="AA2441" s="1">
        <v>5</v>
      </c>
      <c r="AB2441" s="1">
        <v>5</v>
      </c>
      <c r="AC2441" s="1" t="s">
        <v>104</v>
      </c>
      <c r="AD2441" s="1">
        <v>6</v>
      </c>
      <c r="AE2441" s="1" t="s">
        <v>104</v>
      </c>
      <c r="AF2441" s="1" t="s">
        <v>104</v>
      </c>
      <c r="AG2441" s="1" t="s">
        <v>104</v>
      </c>
      <c r="AH2441" s="1">
        <v>6</v>
      </c>
      <c r="AI2441" s="1" t="s">
        <v>104</v>
      </c>
      <c r="AJ2441" s="1">
        <v>5</v>
      </c>
      <c r="AK2441" s="1" t="s">
        <v>104</v>
      </c>
      <c r="AL2441" s="1" t="s">
        <v>104</v>
      </c>
      <c r="AM2441" s="1" t="s">
        <v>104</v>
      </c>
      <c r="AO2441" s="1">
        <v>5</v>
      </c>
      <c r="AR2441" s="1">
        <v>0</v>
      </c>
      <c r="AS2441" s="1">
        <v>0</v>
      </c>
      <c r="AT2441" s="1">
        <v>0</v>
      </c>
      <c r="AU2441" s="1">
        <v>0</v>
      </c>
      <c r="AV2441" s="1">
        <v>0</v>
      </c>
      <c r="AW2441" s="1">
        <v>0</v>
      </c>
      <c r="AX2441" s="1">
        <v>0</v>
      </c>
      <c r="AY2441" s="1">
        <v>0</v>
      </c>
      <c r="AZ2441" s="1">
        <v>0</v>
      </c>
      <c r="BA2441" s="1">
        <v>0</v>
      </c>
      <c r="BB2441" s="1">
        <v>0</v>
      </c>
      <c r="BC2441" s="1">
        <v>0</v>
      </c>
      <c r="BD2441" s="1">
        <v>0</v>
      </c>
      <c r="BE2441" s="1">
        <v>0</v>
      </c>
      <c r="BF2441" s="1">
        <v>0</v>
      </c>
      <c r="BG2441" s="1">
        <v>0</v>
      </c>
      <c r="BH2441" s="1">
        <v>0</v>
      </c>
      <c r="BI2441" s="1">
        <v>0</v>
      </c>
      <c r="BJ2441" s="1">
        <v>0</v>
      </c>
      <c r="BK2441" s="1">
        <v>1</v>
      </c>
      <c r="BL2441" s="1">
        <v>0</v>
      </c>
      <c r="BM2441" s="1">
        <v>0</v>
      </c>
      <c r="BN2441" s="1">
        <v>0</v>
      </c>
      <c r="BO2441" s="1">
        <v>0</v>
      </c>
      <c r="BP2441" s="1">
        <v>0</v>
      </c>
      <c r="BQ2441" s="1" t="s">
        <v>104</v>
      </c>
      <c r="BR2441" s="1">
        <v>2563</v>
      </c>
      <c r="BS2441" s="1" t="s">
        <v>104</v>
      </c>
      <c r="BX2441" s="1">
        <v>0</v>
      </c>
      <c r="BY2441" s="1" t="s">
        <v>104</v>
      </c>
      <c r="BZ2441" s="1">
        <v>5</v>
      </c>
      <c r="CA2441" s="1">
        <v>6</v>
      </c>
      <c r="CB2441" s="1" t="s">
        <v>104</v>
      </c>
      <c r="CC2441" s="1" t="s">
        <v>104</v>
      </c>
      <c r="CD2441" s="1" t="s">
        <v>104</v>
      </c>
      <c r="CE2441" s="1" t="s">
        <v>104</v>
      </c>
      <c r="CF2441" s="1" t="s">
        <v>104</v>
      </c>
      <c r="CG2441" s="1" t="s">
        <v>104</v>
      </c>
      <c r="CH2441" s="1">
        <v>5</v>
      </c>
      <c r="CJ2441" s="1">
        <v>0</v>
      </c>
      <c r="CK2441" s="1">
        <v>0</v>
      </c>
      <c r="CL2441" s="1">
        <v>0</v>
      </c>
      <c r="CM2441" s="1" t="s">
        <v>104</v>
      </c>
    </row>
    <row r="2442" spans="1:91" ht="14.25" customHeight="1" x14ac:dyDescent="0.3">
      <c r="A2442" s="1" t="s">
        <v>12514</v>
      </c>
      <c r="B2442" s="1" t="s">
        <v>123</v>
      </c>
      <c r="C2442" s="1" t="s">
        <v>124</v>
      </c>
      <c r="D2442" s="1" t="s">
        <v>11422</v>
      </c>
      <c r="E2442" s="1" t="s">
        <v>12515</v>
      </c>
      <c r="F2442" s="1" t="s">
        <v>95</v>
      </c>
      <c r="G2442" s="1" t="s">
        <v>12516</v>
      </c>
      <c r="H2442" s="1">
        <v>0</v>
      </c>
      <c r="I2442" s="1" t="s">
        <v>97</v>
      </c>
      <c r="L2442" s="1" t="s">
        <v>1065</v>
      </c>
      <c r="M2442" s="1" t="s">
        <v>201</v>
      </c>
      <c r="N2442" s="1">
        <v>0</v>
      </c>
      <c r="O2442" s="1">
        <v>0</v>
      </c>
      <c r="P2442" s="1" t="s">
        <v>211</v>
      </c>
      <c r="Q2442" s="1" t="s">
        <v>184</v>
      </c>
      <c r="R2442" s="1" t="s">
        <v>12517</v>
      </c>
      <c r="S2442" s="1" t="s">
        <v>12518</v>
      </c>
      <c r="T2442" s="1">
        <v>1</v>
      </c>
      <c r="U2442" s="1">
        <v>1</v>
      </c>
      <c r="V2442" s="1">
        <v>1</v>
      </c>
      <c r="W2442" s="1">
        <v>0</v>
      </c>
      <c r="X2442" s="1">
        <v>0</v>
      </c>
      <c r="Y2442" s="1">
        <v>5</v>
      </c>
      <c r="Z2442" s="1">
        <v>5</v>
      </c>
      <c r="AA2442" s="1" t="s">
        <v>104</v>
      </c>
      <c r="AB2442" s="1" t="s">
        <v>104</v>
      </c>
      <c r="AC2442" s="1" t="s">
        <v>104</v>
      </c>
      <c r="AD2442" s="1">
        <v>4</v>
      </c>
      <c r="AE2442" s="1" t="s">
        <v>104</v>
      </c>
      <c r="AF2442" s="1" t="s">
        <v>104</v>
      </c>
      <c r="AG2442" s="1" t="s">
        <v>104</v>
      </c>
      <c r="AH2442" s="1">
        <v>5</v>
      </c>
      <c r="AI2442" s="1" t="s">
        <v>104</v>
      </c>
      <c r="AJ2442" s="1" t="s">
        <v>104</v>
      </c>
      <c r="AK2442" s="1" t="s">
        <v>104</v>
      </c>
      <c r="AL2442" s="1" t="s">
        <v>104</v>
      </c>
      <c r="AM2442" s="1" t="s">
        <v>104</v>
      </c>
      <c r="AO2442" s="1">
        <v>5</v>
      </c>
      <c r="AR2442" s="1">
        <v>0</v>
      </c>
      <c r="AS2442" s="1">
        <v>0</v>
      </c>
      <c r="AT2442" s="1">
        <v>0</v>
      </c>
      <c r="AU2442" s="1">
        <v>0</v>
      </c>
      <c r="AV2442" s="1">
        <v>0</v>
      </c>
      <c r="AW2442" s="1">
        <v>0</v>
      </c>
      <c r="AX2442" s="1">
        <v>0</v>
      </c>
      <c r="AY2442" s="1">
        <v>0</v>
      </c>
      <c r="AZ2442" s="1">
        <v>0</v>
      </c>
      <c r="BA2442" s="1">
        <v>0</v>
      </c>
      <c r="BB2442" s="1">
        <v>1</v>
      </c>
      <c r="BC2442" s="1">
        <v>0</v>
      </c>
      <c r="BD2442" s="1">
        <v>0</v>
      </c>
      <c r="BE2442" s="1">
        <v>0</v>
      </c>
      <c r="BF2442" s="1">
        <v>0</v>
      </c>
      <c r="BG2442" s="1">
        <v>0</v>
      </c>
      <c r="BH2442" s="1">
        <v>0</v>
      </c>
      <c r="BI2442" s="1">
        <v>0</v>
      </c>
      <c r="BJ2442" s="1">
        <v>0</v>
      </c>
      <c r="BK2442" s="1">
        <v>1</v>
      </c>
      <c r="BL2442" s="1">
        <v>0</v>
      </c>
      <c r="BM2442" s="1">
        <v>0</v>
      </c>
      <c r="BN2442" s="1">
        <v>0</v>
      </c>
      <c r="BO2442" s="1">
        <v>0</v>
      </c>
      <c r="BP2442" s="1">
        <v>0</v>
      </c>
      <c r="BQ2442" s="1" t="s">
        <v>104</v>
      </c>
      <c r="BR2442" s="1">
        <v>2564</v>
      </c>
      <c r="BS2442" s="1" t="s">
        <v>104</v>
      </c>
      <c r="BX2442" s="1">
        <v>0</v>
      </c>
      <c r="BY2442" s="1" t="s">
        <v>104</v>
      </c>
      <c r="BZ2442" s="1" t="s">
        <v>104</v>
      </c>
      <c r="CA2442" s="1">
        <v>5</v>
      </c>
      <c r="CB2442" s="1" t="s">
        <v>104</v>
      </c>
      <c r="CC2442" s="1">
        <v>4</v>
      </c>
      <c r="CD2442" s="1" t="s">
        <v>104</v>
      </c>
      <c r="CE2442" s="1" t="s">
        <v>104</v>
      </c>
      <c r="CF2442" s="1" t="s">
        <v>104</v>
      </c>
      <c r="CG2442" s="1" t="s">
        <v>104</v>
      </c>
      <c r="CH2442" s="1" t="s">
        <v>104</v>
      </c>
      <c r="CJ2442" s="1">
        <v>0</v>
      </c>
      <c r="CK2442" s="1">
        <v>0</v>
      </c>
      <c r="CL2442" s="1">
        <v>0</v>
      </c>
      <c r="CM2442" s="1" t="s">
        <v>104</v>
      </c>
    </row>
    <row r="2443" spans="1:91" ht="14.25" customHeight="1" x14ac:dyDescent="0.3">
      <c r="A2443" s="1" t="s">
        <v>12519</v>
      </c>
      <c r="B2443" s="1" t="s">
        <v>507</v>
      </c>
      <c r="C2443" s="1" t="s">
        <v>1308</v>
      </c>
      <c r="D2443" s="1" t="s">
        <v>11422</v>
      </c>
      <c r="E2443" s="1" t="s">
        <v>12520</v>
      </c>
      <c r="F2443" s="1" t="s">
        <v>95</v>
      </c>
      <c r="G2443" s="1" t="s">
        <v>116</v>
      </c>
      <c r="H2443" s="1">
        <v>0</v>
      </c>
      <c r="I2443" s="1" t="s">
        <v>117</v>
      </c>
      <c r="L2443" s="1" t="s">
        <v>541</v>
      </c>
      <c r="M2443" s="1" t="s">
        <v>4992</v>
      </c>
      <c r="N2443" s="1">
        <v>1</v>
      </c>
      <c r="O2443" s="1">
        <v>0</v>
      </c>
      <c r="P2443" s="1" t="s">
        <v>1771</v>
      </c>
      <c r="Q2443" s="1" t="s">
        <v>184</v>
      </c>
      <c r="R2443" s="1" t="s">
        <v>12521</v>
      </c>
      <c r="S2443" s="1" t="s">
        <v>12518</v>
      </c>
      <c r="T2443" s="1">
        <v>1</v>
      </c>
      <c r="U2443" s="1">
        <v>1</v>
      </c>
      <c r="V2443" s="1">
        <v>0</v>
      </c>
      <c r="W2443" s="1">
        <v>0</v>
      </c>
      <c r="X2443" s="1">
        <v>0</v>
      </c>
      <c r="Y2443" s="1">
        <v>2</v>
      </c>
      <c r="Z2443" s="1">
        <v>2</v>
      </c>
      <c r="AA2443" s="1" t="s">
        <v>104</v>
      </c>
      <c r="AB2443" s="1" t="s">
        <v>104</v>
      </c>
      <c r="AC2443" s="1" t="s">
        <v>104</v>
      </c>
      <c r="AD2443" s="1">
        <v>1</v>
      </c>
      <c r="AE2443" s="1" t="s">
        <v>104</v>
      </c>
      <c r="AF2443" s="1" t="s">
        <v>104</v>
      </c>
      <c r="AG2443" s="1" t="s">
        <v>104</v>
      </c>
      <c r="AH2443" s="1" t="s">
        <v>104</v>
      </c>
      <c r="AI2443" s="1" t="s">
        <v>104</v>
      </c>
      <c r="AJ2443" s="1" t="s">
        <v>104</v>
      </c>
      <c r="AK2443" s="1" t="s">
        <v>104</v>
      </c>
      <c r="AL2443" s="1">
        <v>2</v>
      </c>
      <c r="AM2443" s="1" t="s">
        <v>104</v>
      </c>
      <c r="AO2443" s="1">
        <v>2</v>
      </c>
      <c r="AR2443" s="1">
        <v>0</v>
      </c>
      <c r="AS2443" s="1">
        <v>0</v>
      </c>
      <c r="AT2443" s="1">
        <v>0</v>
      </c>
      <c r="AU2443" s="1">
        <v>0</v>
      </c>
      <c r="AV2443" s="1">
        <v>0</v>
      </c>
      <c r="AW2443" s="1">
        <v>0</v>
      </c>
      <c r="AX2443" s="1">
        <v>0</v>
      </c>
      <c r="AY2443" s="1">
        <v>0</v>
      </c>
      <c r="AZ2443" s="1">
        <v>0</v>
      </c>
      <c r="BA2443" s="1">
        <v>0</v>
      </c>
      <c r="BB2443" s="1">
        <v>1</v>
      </c>
      <c r="BC2443" s="1">
        <v>0</v>
      </c>
      <c r="BD2443" s="1">
        <v>0</v>
      </c>
      <c r="BE2443" s="1">
        <v>0</v>
      </c>
      <c r="BF2443" s="1">
        <v>0</v>
      </c>
      <c r="BG2443" s="1">
        <v>0</v>
      </c>
      <c r="BH2443" s="1">
        <v>0</v>
      </c>
      <c r="BI2443" s="1">
        <v>0</v>
      </c>
      <c r="BJ2443" s="1">
        <v>0</v>
      </c>
      <c r="BK2443" s="1">
        <v>1</v>
      </c>
      <c r="BL2443" s="1">
        <v>0</v>
      </c>
      <c r="BM2443" s="1">
        <v>0</v>
      </c>
      <c r="BN2443" s="1">
        <v>0</v>
      </c>
      <c r="BO2443" s="1">
        <v>0</v>
      </c>
      <c r="BP2443" s="1">
        <v>0</v>
      </c>
      <c r="BQ2443" s="1" t="s">
        <v>104</v>
      </c>
      <c r="BR2443" s="1">
        <v>2565</v>
      </c>
      <c r="BS2443" s="1" t="s">
        <v>104</v>
      </c>
      <c r="BX2443" s="1">
        <v>0</v>
      </c>
      <c r="BY2443" s="1" t="s">
        <v>104</v>
      </c>
      <c r="BZ2443" s="1" t="s">
        <v>104</v>
      </c>
      <c r="CA2443" s="1">
        <v>2</v>
      </c>
      <c r="CB2443" s="1">
        <v>1</v>
      </c>
      <c r="CC2443" s="1">
        <v>1</v>
      </c>
      <c r="CD2443" s="1">
        <v>2</v>
      </c>
      <c r="CE2443" s="1" t="s">
        <v>104</v>
      </c>
      <c r="CF2443" s="1" t="s">
        <v>104</v>
      </c>
      <c r="CG2443" s="1" t="s">
        <v>104</v>
      </c>
      <c r="CH2443" s="1" t="s">
        <v>104</v>
      </c>
      <c r="CJ2443" s="1">
        <v>0</v>
      </c>
      <c r="CK2443" s="1">
        <v>0</v>
      </c>
      <c r="CL2443" s="1">
        <v>0</v>
      </c>
      <c r="CM2443" s="1" t="s">
        <v>104</v>
      </c>
    </row>
    <row r="2444" spans="1:91" ht="14.25" customHeight="1" x14ac:dyDescent="0.3">
      <c r="A2444" s="1" t="s">
        <v>12522</v>
      </c>
      <c r="B2444" s="1" t="s">
        <v>92</v>
      </c>
      <c r="C2444" s="1" t="s">
        <v>903</v>
      </c>
      <c r="E2444" s="1" t="s">
        <v>12523</v>
      </c>
      <c r="F2444" s="1" t="s">
        <v>861</v>
      </c>
      <c r="G2444" s="1" t="s">
        <v>12524</v>
      </c>
      <c r="H2444" s="1">
        <v>0</v>
      </c>
      <c r="I2444" s="1" t="s">
        <v>117</v>
      </c>
      <c r="K2444" s="1" t="s">
        <v>12525</v>
      </c>
      <c r="M2444" s="1" t="s">
        <v>194</v>
      </c>
      <c r="N2444" s="1">
        <v>0</v>
      </c>
      <c r="O2444" s="1">
        <v>0</v>
      </c>
      <c r="P2444" s="1" t="s">
        <v>100</v>
      </c>
      <c r="Q2444" s="1" t="s">
        <v>101</v>
      </c>
      <c r="R2444" s="1" t="s">
        <v>12526</v>
      </c>
      <c r="S2444" s="1" t="s">
        <v>12518</v>
      </c>
      <c r="T2444" s="1">
        <v>1</v>
      </c>
      <c r="U2444" s="1">
        <v>1</v>
      </c>
      <c r="V2444" s="1">
        <v>1</v>
      </c>
      <c r="W2444" s="1">
        <v>0</v>
      </c>
      <c r="X2444" s="1">
        <v>0</v>
      </c>
      <c r="Y2444" s="1">
        <v>3</v>
      </c>
      <c r="Z2444" s="1">
        <v>3</v>
      </c>
      <c r="AA2444" s="1" t="s">
        <v>104</v>
      </c>
      <c r="AB2444" s="1">
        <v>3</v>
      </c>
      <c r="AC2444" s="1">
        <v>3</v>
      </c>
      <c r="AD2444" s="1" t="s">
        <v>104</v>
      </c>
      <c r="AE2444" s="1" t="s">
        <v>104</v>
      </c>
      <c r="AF2444" s="1" t="s">
        <v>104</v>
      </c>
      <c r="AG2444" s="1" t="s">
        <v>104</v>
      </c>
      <c r="AH2444" s="1" t="s">
        <v>104</v>
      </c>
      <c r="AI2444" s="1" t="s">
        <v>104</v>
      </c>
      <c r="AJ2444" s="1" t="s">
        <v>104</v>
      </c>
      <c r="AK2444" s="1" t="s">
        <v>104</v>
      </c>
      <c r="AL2444" s="1" t="s">
        <v>104</v>
      </c>
      <c r="AM2444" s="1" t="s">
        <v>104</v>
      </c>
      <c r="AO2444" s="1">
        <v>3</v>
      </c>
      <c r="AR2444" s="1">
        <v>0</v>
      </c>
      <c r="AS2444" s="1">
        <v>0</v>
      </c>
      <c r="AT2444" s="1">
        <v>0</v>
      </c>
      <c r="AU2444" s="1">
        <v>0</v>
      </c>
      <c r="AV2444" s="1">
        <v>0</v>
      </c>
      <c r="AW2444" s="1">
        <v>0</v>
      </c>
      <c r="AX2444" s="1">
        <v>0</v>
      </c>
      <c r="AY2444" s="1">
        <v>0</v>
      </c>
      <c r="AZ2444" s="1">
        <v>0</v>
      </c>
      <c r="BA2444" s="1">
        <v>0</v>
      </c>
      <c r="BB2444" s="1">
        <v>0</v>
      </c>
      <c r="BC2444" s="1">
        <v>0</v>
      </c>
      <c r="BD2444" s="1">
        <v>0</v>
      </c>
      <c r="BE2444" s="1">
        <v>0</v>
      </c>
      <c r="BF2444" s="1">
        <v>0</v>
      </c>
      <c r="BG2444" s="1">
        <v>0</v>
      </c>
      <c r="BH2444" s="1">
        <v>0</v>
      </c>
      <c r="BI2444" s="1">
        <v>0</v>
      </c>
      <c r="BJ2444" s="1">
        <v>0</v>
      </c>
      <c r="BK2444" s="1">
        <v>0</v>
      </c>
      <c r="BL2444" s="1">
        <v>0</v>
      </c>
      <c r="BM2444" s="1">
        <v>0</v>
      </c>
      <c r="BN2444" s="1">
        <v>0</v>
      </c>
      <c r="BO2444" s="1">
        <v>0</v>
      </c>
      <c r="BP2444" s="1">
        <v>0</v>
      </c>
      <c r="BQ2444" s="1" t="s">
        <v>104</v>
      </c>
      <c r="BR2444" s="1">
        <v>2567</v>
      </c>
      <c r="BS2444" s="1" t="s">
        <v>104</v>
      </c>
      <c r="BX2444" s="1">
        <v>0</v>
      </c>
      <c r="BY2444" s="1" t="s">
        <v>104</v>
      </c>
      <c r="BZ2444" s="1" t="s">
        <v>104</v>
      </c>
      <c r="CA2444" s="1">
        <v>3</v>
      </c>
      <c r="CB2444" s="1" t="s">
        <v>104</v>
      </c>
      <c r="CC2444" s="1" t="s">
        <v>104</v>
      </c>
      <c r="CD2444" s="1" t="s">
        <v>104</v>
      </c>
      <c r="CE2444" s="1" t="s">
        <v>104</v>
      </c>
      <c r="CF2444" s="1" t="s">
        <v>104</v>
      </c>
      <c r="CG2444" s="1" t="s">
        <v>104</v>
      </c>
      <c r="CH2444" s="1">
        <v>3</v>
      </c>
      <c r="CJ2444" s="1">
        <v>0</v>
      </c>
      <c r="CK2444" s="1">
        <v>0</v>
      </c>
      <c r="CL2444" s="1">
        <v>0</v>
      </c>
      <c r="CM2444" s="1" t="s">
        <v>104</v>
      </c>
    </row>
    <row r="2445" spans="1:91" ht="14.25" customHeight="1" x14ac:dyDescent="0.3">
      <c r="A2445" s="1" t="s">
        <v>12527</v>
      </c>
      <c r="B2445" s="1" t="s">
        <v>172</v>
      </c>
      <c r="E2445" s="1" t="s">
        <v>12528</v>
      </c>
      <c r="F2445" s="1" t="s">
        <v>191</v>
      </c>
      <c r="G2445" s="1" t="s">
        <v>12529</v>
      </c>
      <c r="H2445" s="1">
        <v>1</v>
      </c>
      <c r="I2445" s="1" t="s">
        <v>117</v>
      </c>
      <c r="L2445" s="1" t="s">
        <v>12530</v>
      </c>
      <c r="M2445" s="1" t="s">
        <v>201</v>
      </c>
      <c r="N2445" s="1">
        <v>0</v>
      </c>
      <c r="O2445" s="1">
        <v>0</v>
      </c>
      <c r="R2445" s="1" t="s">
        <v>12531</v>
      </c>
      <c r="S2445" s="1" t="s">
        <v>12518</v>
      </c>
      <c r="T2445" s="1">
        <v>1</v>
      </c>
      <c r="U2445" s="1">
        <v>1</v>
      </c>
      <c r="V2445" s="1">
        <v>1</v>
      </c>
      <c r="W2445" s="1">
        <v>0</v>
      </c>
      <c r="X2445" s="1">
        <v>0</v>
      </c>
      <c r="Y2445" s="1">
        <v>5</v>
      </c>
      <c r="Z2445" s="1">
        <v>5</v>
      </c>
      <c r="AA2445" s="1">
        <v>6</v>
      </c>
      <c r="AB2445" s="1" t="s">
        <v>104</v>
      </c>
      <c r="AC2445" s="1" t="s">
        <v>104</v>
      </c>
      <c r="AD2445" s="1">
        <v>5</v>
      </c>
      <c r="AE2445" s="1" t="s">
        <v>104</v>
      </c>
      <c r="AF2445" s="1" t="s">
        <v>104</v>
      </c>
      <c r="AG2445" s="1" t="s">
        <v>104</v>
      </c>
      <c r="AH2445" s="1" t="s">
        <v>104</v>
      </c>
      <c r="AI2445" s="1">
        <v>6</v>
      </c>
      <c r="AJ2445" s="1">
        <v>6</v>
      </c>
      <c r="AK2445" s="1" t="s">
        <v>104</v>
      </c>
      <c r="AL2445" s="1" t="s">
        <v>104</v>
      </c>
      <c r="AM2445" s="1" t="s">
        <v>104</v>
      </c>
      <c r="AO2445" s="1">
        <v>5</v>
      </c>
      <c r="AR2445" s="1">
        <v>0</v>
      </c>
      <c r="AS2445" s="1">
        <v>0</v>
      </c>
      <c r="AT2445" s="1">
        <v>0</v>
      </c>
      <c r="AU2445" s="1">
        <v>0</v>
      </c>
      <c r="AV2445" s="1">
        <v>0</v>
      </c>
      <c r="AW2445" s="1">
        <v>0</v>
      </c>
      <c r="AX2445" s="1">
        <v>0</v>
      </c>
      <c r="AY2445" s="1">
        <v>0</v>
      </c>
      <c r="AZ2445" s="1">
        <v>0</v>
      </c>
      <c r="BA2445" s="1">
        <v>0</v>
      </c>
      <c r="BB2445" s="1">
        <v>0</v>
      </c>
      <c r="BC2445" s="1">
        <v>0</v>
      </c>
      <c r="BD2445" s="1">
        <v>0</v>
      </c>
      <c r="BE2445" s="1">
        <v>0</v>
      </c>
      <c r="BF2445" s="1">
        <v>0</v>
      </c>
      <c r="BG2445" s="1">
        <v>0</v>
      </c>
      <c r="BH2445" s="1">
        <v>0</v>
      </c>
      <c r="BI2445" s="1">
        <v>0</v>
      </c>
      <c r="BJ2445" s="1">
        <v>0</v>
      </c>
      <c r="BK2445" s="1">
        <v>0</v>
      </c>
      <c r="BL2445" s="1">
        <v>0</v>
      </c>
      <c r="BM2445" s="1">
        <v>0</v>
      </c>
      <c r="BN2445" s="1">
        <v>0</v>
      </c>
      <c r="BO2445" s="1">
        <v>0</v>
      </c>
      <c r="BP2445" s="1">
        <v>0</v>
      </c>
      <c r="BQ2445" s="1" t="s">
        <v>104</v>
      </c>
      <c r="BR2445" s="1">
        <v>2568</v>
      </c>
      <c r="BS2445" s="1">
        <v>250</v>
      </c>
      <c r="BX2445" s="1">
        <v>0</v>
      </c>
      <c r="BY2445" s="1" t="s">
        <v>104</v>
      </c>
      <c r="BZ2445" s="1" t="s">
        <v>104</v>
      </c>
      <c r="CA2445" s="1">
        <v>6</v>
      </c>
      <c r="CB2445" s="1">
        <v>4</v>
      </c>
      <c r="CC2445" s="1" t="s">
        <v>104</v>
      </c>
      <c r="CD2445" s="1">
        <v>4</v>
      </c>
      <c r="CE2445" s="1">
        <v>6</v>
      </c>
      <c r="CF2445" s="1" t="s">
        <v>104</v>
      </c>
      <c r="CG2445" s="1" t="s">
        <v>104</v>
      </c>
      <c r="CH2445" s="1" t="s">
        <v>104</v>
      </c>
      <c r="CJ2445" s="1">
        <v>0</v>
      </c>
      <c r="CK2445" s="1">
        <v>0</v>
      </c>
      <c r="CL2445" s="1">
        <v>0</v>
      </c>
      <c r="CM2445" s="1" t="s">
        <v>104</v>
      </c>
    </row>
    <row r="2446" spans="1:91" ht="14.25" customHeight="1" x14ac:dyDescent="0.3">
      <c r="A2446" s="1" t="s">
        <v>12532</v>
      </c>
      <c r="B2446" s="1" t="s">
        <v>137</v>
      </c>
      <c r="D2446" s="1" t="s">
        <v>10510</v>
      </c>
      <c r="E2446" s="1" t="s">
        <v>12533</v>
      </c>
      <c r="F2446" s="1" t="s">
        <v>95</v>
      </c>
      <c r="G2446" s="1" t="s">
        <v>12534</v>
      </c>
      <c r="H2446" s="1">
        <v>0</v>
      </c>
      <c r="I2446" s="1" t="s">
        <v>157</v>
      </c>
      <c r="L2446" s="1" t="s">
        <v>158</v>
      </c>
      <c r="M2446" s="1" t="s">
        <v>119</v>
      </c>
      <c r="N2446" s="1">
        <v>0</v>
      </c>
      <c r="O2446" s="1">
        <v>0</v>
      </c>
      <c r="R2446" s="1" t="s">
        <v>12535</v>
      </c>
      <c r="S2446" s="1" t="s">
        <v>12518</v>
      </c>
      <c r="T2446" s="1">
        <v>1</v>
      </c>
      <c r="U2446" s="1">
        <v>1</v>
      </c>
      <c r="V2446" s="1">
        <v>1</v>
      </c>
      <c r="W2446" s="1">
        <v>0</v>
      </c>
      <c r="X2446" s="1">
        <v>0</v>
      </c>
      <c r="Y2446" s="1">
        <v>3</v>
      </c>
      <c r="Z2446" s="1">
        <v>3</v>
      </c>
      <c r="AA2446" s="1">
        <v>3</v>
      </c>
      <c r="AB2446" s="1">
        <v>2</v>
      </c>
      <c r="AC2446" s="1" t="s">
        <v>104</v>
      </c>
      <c r="AD2446" s="1" t="s">
        <v>104</v>
      </c>
      <c r="AE2446" s="1" t="s">
        <v>104</v>
      </c>
      <c r="AF2446" s="1">
        <v>2</v>
      </c>
      <c r="AG2446" s="1" t="s">
        <v>104</v>
      </c>
      <c r="AH2446" s="1" t="s">
        <v>104</v>
      </c>
      <c r="AI2446" s="1" t="s">
        <v>104</v>
      </c>
      <c r="AJ2446" s="1">
        <v>3</v>
      </c>
      <c r="AK2446" s="1" t="s">
        <v>104</v>
      </c>
      <c r="AL2446" s="1" t="s">
        <v>104</v>
      </c>
      <c r="AM2446" s="1" t="s">
        <v>104</v>
      </c>
      <c r="AO2446" s="1">
        <v>3</v>
      </c>
      <c r="AR2446" s="1">
        <v>0</v>
      </c>
      <c r="AS2446" s="1">
        <v>0</v>
      </c>
      <c r="AT2446" s="1">
        <v>0</v>
      </c>
      <c r="AU2446" s="1">
        <v>0</v>
      </c>
      <c r="AV2446" s="1">
        <v>0</v>
      </c>
      <c r="AW2446" s="1">
        <v>0</v>
      </c>
      <c r="AX2446" s="1">
        <v>0</v>
      </c>
      <c r="AY2446" s="1">
        <v>0</v>
      </c>
      <c r="AZ2446" s="1">
        <v>0</v>
      </c>
      <c r="BA2446" s="1">
        <v>0</v>
      </c>
      <c r="BB2446" s="1">
        <v>0</v>
      </c>
      <c r="BC2446" s="1">
        <v>0</v>
      </c>
      <c r="BD2446" s="1">
        <v>0</v>
      </c>
      <c r="BE2446" s="1">
        <v>0</v>
      </c>
      <c r="BF2446" s="1">
        <v>0</v>
      </c>
      <c r="BG2446" s="1">
        <v>0</v>
      </c>
      <c r="BH2446" s="1">
        <v>0</v>
      </c>
      <c r="BI2446" s="1">
        <v>0</v>
      </c>
      <c r="BJ2446" s="1">
        <v>0</v>
      </c>
      <c r="BK2446" s="1">
        <v>0</v>
      </c>
      <c r="BL2446" s="1">
        <v>0</v>
      </c>
      <c r="BM2446" s="1">
        <v>1</v>
      </c>
      <c r="BN2446" s="1">
        <v>0</v>
      </c>
      <c r="BO2446" s="1">
        <v>0</v>
      </c>
      <c r="BP2446" s="1">
        <v>0</v>
      </c>
      <c r="BQ2446" s="1" t="s">
        <v>104</v>
      </c>
      <c r="BR2446" s="1">
        <v>2569</v>
      </c>
      <c r="BS2446" s="1" t="s">
        <v>104</v>
      </c>
      <c r="BX2446" s="1">
        <v>0</v>
      </c>
      <c r="BY2446" s="1" t="s">
        <v>104</v>
      </c>
      <c r="BZ2446" s="1" t="s">
        <v>104</v>
      </c>
      <c r="CA2446" s="1">
        <v>3</v>
      </c>
      <c r="CB2446" s="1" t="s">
        <v>104</v>
      </c>
      <c r="CC2446" s="1" t="s">
        <v>104</v>
      </c>
      <c r="CD2446" s="1">
        <v>3</v>
      </c>
      <c r="CE2446" s="1" t="s">
        <v>104</v>
      </c>
      <c r="CF2446" s="1" t="s">
        <v>104</v>
      </c>
      <c r="CG2446" s="1" t="s">
        <v>104</v>
      </c>
      <c r="CH2446" s="1">
        <v>2</v>
      </c>
      <c r="CJ2446" s="1">
        <v>0</v>
      </c>
      <c r="CK2446" s="1">
        <v>0</v>
      </c>
      <c r="CL2446" s="1">
        <v>0</v>
      </c>
      <c r="CM2446" s="1" t="s">
        <v>104</v>
      </c>
    </row>
    <row r="2447" spans="1:91" ht="14.25" customHeight="1" x14ac:dyDescent="0.3">
      <c r="A2447" s="1" t="s">
        <v>12536</v>
      </c>
      <c r="B2447" s="1" t="s">
        <v>162</v>
      </c>
      <c r="E2447" s="1" t="s">
        <v>7272</v>
      </c>
      <c r="F2447" s="1" t="s">
        <v>95</v>
      </c>
      <c r="G2447" s="1" t="s">
        <v>12537</v>
      </c>
      <c r="H2447" s="1">
        <v>0</v>
      </c>
      <c r="I2447" s="1" t="s">
        <v>157</v>
      </c>
      <c r="L2447" s="1" t="s">
        <v>158</v>
      </c>
      <c r="M2447" s="1" t="s">
        <v>201</v>
      </c>
      <c r="N2447" s="1">
        <v>0</v>
      </c>
      <c r="O2447" s="1">
        <v>0</v>
      </c>
      <c r="R2447" s="1" t="s">
        <v>12538</v>
      </c>
      <c r="S2447" s="1" t="s">
        <v>12518</v>
      </c>
      <c r="T2447" s="1">
        <v>1</v>
      </c>
      <c r="U2447" s="1">
        <v>1</v>
      </c>
      <c r="V2447" s="1">
        <v>1</v>
      </c>
      <c r="W2447" s="1">
        <v>0</v>
      </c>
      <c r="X2447" s="1">
        <v>0</v>
      </c>
      <c r="Y2447" s="1">
        <v>2</v>
      </c>
      <c r="Z2447" s="1">
        <v>2</v>
      </c>
      <c r="AA2447" s="1" t="s">
        <v>104</v>
      </c>
      <c r="AB2447" s="1" t="s">
        <v>104</v>
      </c>
      <c r="AC2447" s="1" t="s">
        <v>104</v>
      </c>
      <c r="AD2447" s="1">
        <v>2</v>
      </c>
      <c r="AE2447" s="1" t="s">
        <v>104</v>
      </c>
      <c r="AF2447" s="1">
        <v>2</v>
      </c>
      <c r="AG2447" s="1" t="s">
        <v>104</v>
      </c>
      <c r="AH2447" s="1">
        <v>2</v>
      </c>
      <c r="AI2447" s="1" t="s">
        <v>104</v>
      </c>
      <c r="AJ2447" s="1" t="s">
        <v>104</v>
      </c>
      <c r="AK2447" s="1" t="s">
        <v>104</v>
      </c>
      <c r="AL2447" s="1" t="s">
        <v>104</v>
      </c>
      <c r="AM2447" s="1" t="s">
        <v>104</v>
      </c>
      <c r="AO2447" s="1">
        <v>2</v>
      </c>
      <c r="AR2447" s="1">
        <v>0</v>
      </c>
      <c r="AS2447" s="1">
        <v>0</v>
      </c>
      <c r="AT2447" s="1">
        <v>0</v>
      </c>
      <c r="AU2447" s="1">
        <v>0</v>
      </c>
      <c r="AV2447" s="1">
        <v>0</v>
      </c>
      <c r="AW2447" s="1">
        <v>0</v>
      </c>
      <c r="AX2447" s="1">
        <v>0</v>
      </c>
      <c r="AY2447" s="1">
        <v>0</v>
      </c>
      <c r="AZ2447" s="1">
        <v>0</v>
      </c>
      <c r="BA2447" s="1">
        <v>0</v>
      </c>
      <c r="BB2447" s="1">
        <v>0</v>
      </c>
      <c r="BC2447" s="1">
        <v>0</v>
      </c>
      <c r="BD2447" s="1">
        <v>0</v>
      </c>
      <c r="BE2447" s="1">
        <v>0</v>
      </c>
      <c r="BF2447" s="1">
        <v>0</v>
      </c>
      <c r="BG2447" s="1">
        <v>0</v>
      </c>
      <c r="BH2447" s="1">
        <v>0</v>
      </c>
      <c r="BI2447" s="1">
        <v>0</v>
      </c>
      <c r="BJ2447" s="1">
        <v>0</v>
      </c>
      <c r="BK2447" s="1">
        <v>0</v>
      </c>
      <c r="BL2447" s="1">
        <v>0</v>
      </c>
      <c r="BM2447" s="1">
        <v>0</v>
      </c>
      <c r="BN2447" s="1">
        <v>0</v>
      </c>
      <c r="BO2447" s="1">
        <v>0</v>
      </c>
      <c r="BP2447" s="1">
        <v>0</v>
      </c>
      <c r="BQ2447" s="1" t="s">
        <v>104</v>
      </c>
      <c r="BR2447" s="1">
        <v>2570</v>
      </c>
      <c r="BS2447" s="1" t="s">
        <v>104</v>
      </c>
      <c r="BX2447" s="1">
        <v>0</v>
      </c>
      <c r="BY2447" s="1" t="s">
        <v>104</v>
      </c>
      <c r="BZ2447" s="1" t="s">
        <v>104</v>
      </c>
      <c r="CA2447" s="1" t="s">
        <v>104</v>
      </c>
      <c r="CB2447" s="1" t="s">
        <v>104</v>
      </c>
      <c r="CC2447" s="1" t="s">
        <v>104</v>
      </c>
      <c r="CD2447" s="1" t="s">
        <v>104</v>
      </c>
      <c r="CE2447" s="1" t="s">
        <v>104</v>
      </c>
      <c r="CF2447" s="1" t="s">
        <v>104</v>
      </c>
      <c r="CG2447" s="1" t="s">
        <v>104</v>
      </c>
      <c r="CH2447" s="1" t="s">
        <v>104</v>
      </c>
      <c r="CJ2447" s="1">
        <v>0</v>
      </c>
      <c r="CK2447" s="1">
        <v>0</v>
      </c>
      <c r="CL2447" s="1">
        <v>0</v>
      </c>
      <c r="CM2447" s="1" t="s">
        <v>104</v>
      </c>
    </row>
    <row r="2448" spans="1:91" ht="14.25" customHeight="1" x14ac:dyDescent="0.3">
      <c r="A2448" s="1" t="s">
        <v>12539</v>
      </c>
      <c r="B2448" s="1" t="s">
        <v>137</v>
      </c>
      <c r="E2448" s="1" t="s">
        <v>12540</v>
      </c>
      <c r="F2448" s="1" t="s">
        <v>95</v>
      </c>
      <c r="G2448" s="1" t="s">
        <v>116</v>
      </c>
      <c r="H2448" s="1">
        <v>0</v>
      </c>
      <c r="I2448" s="1" t="s">
        <v>128</v>
      </c>
      <c r="L2448" s="1" t="s">
        <v>983</v>
      </c>
      <c r="M2448" s="1" t="s">
        <v>581</v>
      </c>
      <c r="N2448" s="1">
        <v>0</v>
      </c>
      <c r="O2448" s="1">
        <v>0</v>
      </c>
      <c r="P2448" s="1" t="s">
        <v>100</v>
      </c>
      <c r="Q2448" s="1" t="s">
        <v>101</v>
      </c>
      <c r="R2448" s="1" t="s">
        <v>12541</v>
      </c>
      <c r="S2448" s="1" t="s">
        <v>12518</v>
      </c>
      <c r="T2448" s="1">
        <v>1</v>
      </c>
      <c r="U2448" s="1">
        <v>1</v>
      </c>
      <c r="V2448" s="1">
        <v>0</v>
      </c>
      <c r="W2448" s="1">
        <v>0</v>
      </c>
      <c r="X2448" s="1">
        <v>0</v>
      </c>
      <c r="Y2448" s="1">
        <v>3</v>
      </c>
      <c r="Z2448" s="1">
        <v>3</v>
      </c>
      <c r="AA2448" s="1" t="s">
        <v>104</v>
      </c>
      <c r="AB2448" s="1" t="s">
        <v>104</v>
      </c>
      <c r="AC2448" s="1" t="s">
        <v>104</v>
      </c>
      <c r="AD2448" s="1" t="s">
        <v>104</v>
      </c>
      <c r="AE2448" s="1" t="s">
        <v>104</v>
      </c>
      <c r="AF2448" s="1">
        <v>2</v>
      </c>
      <c r="AG2448" s="1" t="s">
        <v>104</v>
      </c>
      <c r="AH2448" s="1" t="s">
        <v>104</v>
      </c>
      <c r="AI2448" s="1" t="s">
        <v>104</v>
      </c>
      <c r="AJ2448" s="1" t="s">
        <v>104</v>
      </c>
      <c r="AK2448" s="1" t="s">
        <v>104</v>
      </c>
      <c r="AL2448" s="1" t="s">
        <v>104</v>
      </c>
      <c r="AM2448" s="1" t="s">
        <v>104</v>
      </c>
      <c r="AO2448" s="1">
        <v>3</v>
      </c>
      <c r="AR2448" s="1">
        <v>0</v>
      </c>
      <c r="AS2448" s="1">
        <v>0</v>
      </c>
      <c r="AT2448" s="1">
        <v>0</v>
      </c>
      <c r="AU2448" s="1">
        <v>0</v>
      </c>
      <c r="AV2448" s="1">
        <v>0</v>
      </c>
      <c r="AW2448" s="1">
        <v>0</v>
      </c>
      <c r="AX2448" s="1">
        <v>0</v>
      </c>
      <c r="AY2448" s="1">
        <v>0</v>
      </c>
      <c r="AZ2448" s="1">
        <v>0</v>
      </c>
      <c r="BA2448" s="1">
        <v>0</v>
      </c>
      <c r="BB2448" s="1">
        <v>0</v>
      </c>
      <c r="BC2448" s="1">
        <v>0</v>
      </c>
      <c r="BD2448" s="1">
        <v>0</v>
      </c>
      <c r="BE2448" s="1">
        <v>0</v>
      </c>
      <c r="BF2448" s="1">
        <v>0</v>
      </c>
      <c r="BG2448" s="1">
        <v>0</v>
      </c>
      <c r="BH2448" s="1">
        <v>0</v>
      </c>
      <c r="BI2448" s="1">
        <v>0</v>
      </c>
      <c r="BJ2448" s="1">
        <v>0</v>
      </c>
      <c r="BK2448" s="1">
        <v>0</v>
      </c>
      <c r="BL2448" s="1">
        <v>0</v>
      </c>
      <c r="BM2448" s="1">
        <v>0</v>
      </c>
      <c r="BN2448" s="1">
        <v>0</v>
      </c>
      <c r="BO2448" s="1">
        <v>0</v>
      </c>
      <c r="BP2448" s="1">
        <v>0</v>
      </c>
      <c r="BQ2448" s="1" t="s">
        <v>104</v>
      </c>
      <c r="BR2448" s="1">
        <v>2571</v>
      </c>
      <c r="BS2448" s="1" t="s">
        <v>104</v>
      </c>
      <c r="BX2448" s="1">
        <v>0</v>
      </c>
      <c r="BY2448" s="1" t="s">
        <v>104</v>
      </c>
      <c r="BZ2448" s="1" t="s">
        <v>104</v>
      </c>
      <c r="CA2448" s="1" t="s">
        <v>104</v>
      </c>
      <c r="CB2448" s="1" t="s">
        <v>104</v>
      </c>
      <c r="CC2448" s="1" t="s">
        <v>104</v>
      </c>
      <c r="CD2448" s="1">
        <v>3</v>
      </c>
      <c r="CE2448" s="1" t="s">
        <v>104</v>
      </c>
      <c r="CF2448" s="1" t="s">
        <v>104</v>
      </c>
      <c r="CG2448" s="1" t="s">
        <v>104</v>
      </c>
      <c r="CH2448" s="1" t="s">
        <v>104</v>
      </c>
      <c r="CJ2448" s="1">
        <v>0</v>
      </c>
      <c r="CK2448" s="1">
        <v>0</v>
      </c>
      <c r="CL2448" s="1">
        <v>0</v>
      </c>
      <c r="CM2448" s="1" t="s">
        <v>104</v>
      </c>
    </row>
    <row r="2449" spans="1:91" ht="14.25" customHeight="1" x14ac:dyDescent="0.3">
      <c r="A2449" s="1" t="s">
        <v>12542</v>
      </c>
      <c r="B2449" s="1" t="s">
        <v>507</v>
      </c>
      <c r="C2449" s="1" t="s">
        <v>124</v>
      </c>
      <c r="D2449" s="1" t="s">
        <v>125</v>
      </c>
      <c r="E2449" s="1" t="s">
        <v>12543</v>
      </c>
      <c r="F2449" s="1" t="s">
        <v>95</v>
      </c>
      <c r="G2449" s="1" t="s">
        <v>237</v>
      </c>
      <c r="H2449" s="1">
        <v>0</v>
      </c>
      <c r="I2449" s="1" t="s">
        <v>117</v>
      </c>
      <c r="L2449" s="1" t="s">
        <v>1065</v>
      </c>
      <c r="M2449" s="1" t="s">
        <v>4641</v>
      </c>
      <c r="N2449" s="1">
        <v>1</v>
      </c>
      <c r="O2449" s="1">
        <v>0</v>
      </c>
      <c r="P2449" s="1" t="s">
        <v>1771</v>
      </c>
      <c r="Q2449" s="1" t="s">
        <v>184</v>
      </c>
      <c r="R2449" s="1" t="s">
        <v>12544</v>
      </c>
      <c r="S2449" s="1" t="s">
        <v>12518</v>
      </c>
      <c r="T2449" s="1">
        <v>1</v>
      </c>
      <c r="U2449" s="1">
        <v>0</v>
      </c>
      <c r="V2449" s="1">
        <v>0</v>
      </c>
      <c r="W2449" s="1">
        <v>0</v>
      </c>
      <c r="X2449" s="1">
        <v>0</v>
      </c>
      <c r="Y2449" s="1">
        <v>6</v>
      </c>
      <c r="Z2449" s="1">
        <v>6</v>
      </c>
      <c r="AA2449" s="1">
        <v>6</v>
      </c>
      <c r="AB2449" s="1" t="s">
        <v>104</v>
      </c>
      <c r="AC2449" s="1" t="s">
        <v>104</v>
      </c>
      <c r="AD2449" s="1">
        <v>5</v>
      </c>
      <c r="AE2449" s="1" t="s">
        <v>104</v>
      </c>
      <c r="AF2449" s="1">
        <v>5</v>
      </c>
      <c r="AG2449" s="1" t="s">
        <v>104</v>
      </c>
      <c r="AH2449" s="1" t="s">
        <v>104</v>
      </c>
      <c r="AI2449" s="1" t="s">
        <v>104</v>
      </c>
      <c r="AJ2449" s="1">
        <v>6</v>
      </c>
      <c r="AK2449" s="1" t="s">
        <v>104</v>
      </c>
      <c r="AL2449" s="1" t="s">
        <v>104</v>
      </c>
      <c r="AM2449" s="1" t="s">
        <v>104</v>
      </c>
      <c r="AO2449" s="1">
        <v>6</v>
      </c>
      <c r="AR2449" s="1">
        <v>0</v>
      </c>
      <c r="AS2449" s="1">
        <v>0</v>
      </c>
      <c r="AT2449" s="1">
        <v>0</v>
      </c>
      <c r="AU2449" s="1">
        <v>0</v>
      </c>
      <c r="AV2449" s="1">
        <v>0</v>
      </c>
      <c r="AW2449" s="1">
        <v>0</v>
      </c>
      <c r="AX2449" s="1">
        <v>0</v>
      </c>
      <c r="AY2449" s="1">
        <v>0</v>
      </c>
      <c r="AZ2449" s="1">
        <v>0</v>
      </c>
      <c r="BA2449" s="1">
        <v>0</v>
      </c>
      <c r="BB2449" s="1">
        <v>0</v>
      </c>
      <c r="BC2449" s="1">
        <v>0</v>
      </c>
      <c r="BD2449" s="1">
        <v>0</v>
      </c>
      <c r="BE2449" s="1">
        <v>0</v>
      </c>
      <c r="BF2449" s="1">
        <v>0</v>
      </c>
      <c r="BG2449" s="1">
        <v>0</v>
      </c>
      <c r="BH2449" s="1">
        <v>0</v>
      </c>
      <c r="BI2449" s="1">
        <v>0</v>
      </c>
      <c r="BJ2449" s="1">
        <v>0</v>
      </c>
      <c r="BK2449" s="1">
        <v>1</v>
      </c>
      <c r="BL2449" s="1">
        <v>0</v>
      </c>
      <c r="BM2449" s="1">
        <v>0</v>
      </c>
      <c r="BN2449" s="1">
        <v>0</v>
      </c>
      <c r="BO2449" s="1">
        <v>0</v>
      </c>
      <c r="BP2449" s="1">
        <v>0</v>
      </c>
      <c r="BQ2449" s="1" t="s">
        <v>104</v>
      </c>
      <c r="BR2449" s="1">
        <v>2572</v>
      </c>
      <c r="BS2449" s="1" t="s">
        <v>104</v>
      </c>
      <c r="BX2449" s="1">
        <v>0</v>
      </c>
      <c r="BY2449" s="1" t="s">
        <v>104</v>
      </c>
      <c r="BZ2449" s="1" t="s">
        <v>104</v>
      </c>
      <c r="CA2449" s="1">
        <v>6</v>
      </c>
      <c r="CB2449" s="1" t="s">
        <v>104</v>
      </c>
      <c r="CC2449" s="1">
        <v>5</v>
      </c>
      <c r="CD2449" s="1">
        <v>5</v>
      </c>
      <c r="CE2449" s="1" t="s">
        <v>104</v>
      </c>
      <c r="CF2449" s="1" t="s">
        <v>104</v>
      </c>
      <c r="CG2449" s="1" t="s">
        <v>104</v>
      </c>
      <c r="CH2449" s="1" t="s">
        <v>104</v>
      </c>
      <c r="CJ2449" s="1">
        <v>0</v>
      </c>
      <c r="CK2449" s="1">
        <v>0</v>
      </c>
      <c r="CL2449" s="1">
        <v>0</v>
      </c>
      <c r="CM2449" s="1" t="s">
        <v>104</v>
      </c>
    </row>
    <row r="2450" spans="1:91" ht="14.25" customHeight="1" x14ac:dyDescent="0.3">
      <c r="A2450" s="1" t="s">
        <v>12545</v>
      </c>
      <c r="B2450" s="1" t="s">
        <v>123</v>
      </c>
      <c r="C2450" s="1" t="s">
        <v>124</v>
      </c>
      <c r="D2450" s="1" t="s">
        <v>125</v>
      </c>
      <c r="E2450" s="1" t="s">
        <v>12546</v>
      </c>
      <c r="F2450" s="1" t="s">
        <v>95</v>
      </c>
      <c r="G2450" s="1" t="s">
        <v>116</v>
      </c>
      <c r="H2450" s="1">
        <v>0</v>
      </c>
      <c r="I2450" s="1" t="s">
        <v>117</v>
      </c>
      <c r="L2450" s="1" t="s">
        <v>1065</v>
      </c>
      <c r="M2450" s="1" t="s">
        <v>201</v>
      </c>
      <c r="N2450" s="1">
        <v>0</v>
      </c>
      <c r="O2450" s="1">
        <v>0</v>
      </c>
      <c r="P2450" s="1" t="s">
        <v>276</v>
      </c>
      <c r="Q2450" s="1" t="s">
        <v>184</v>
      </c>
      <c r="R2450" s="1" t="s">
        <v>12547</v>
      </c>
      <c r="S2450" s="1" t="s">
        <v>12518</v>
      </c>
      <c r="T2450" s="1">
        <v>1</v>
      </c>
      <c r="U2450" s="1">
        <v>1</v>
      </c>
      <c r="V2450" s="1">
        <v>0</v>
      </c>
      <c r="W2450" s="1">
        <v>0</v>
      </c>
      <c r="X2450" s="1">
        <v>0</v>
      </c>
      <c r="Y2450" s="1">
        <v>1</v>
      </c>
      <c r="Z2450" s="1">
        <v>1</v>
      </c>
      <c r="AA2450" s="1" t="s">
        <v>104</v>
      </c>
      <c r="AB2450" s="1" t="s">
        <v>104</v>
      </c>
      <c r="AC2450" s="1" t="s">
        <v>104</v>
      </c>
      <c r="AD2450" s="1">
        <v>1</v>
      </c>
      <c r="AE2450" s="1" t="s">
        <v>104</v>
      </c>
      <c r="AF2450" s="1" t="s">
        <v>104</v>
      </c>
      <c r="AG2450" s="1" t="s">
        <v>104</v>
      </c>
      <c r="AH2450" s="1">
        <v>1</v>
      </c>
      <c r="AI2450" s="1" t="s">
        <v>104</v>
      </c>
      <c r="AJ2450" s="1" t="s">
        <v>104</v>
      </c>
      <c r="AK2450" s="1" t="s">
        <v>104</v>
      </c>
      <c r="AL2450" s="1" t="s">
        <v>104</v>
      </c>
      <c r="AM2450" s="1" t="s">
        <v>104</v>
      </c>
      <c r="AO2450" s="1">
        <v>1</v>
      </c>
      <c r="AR2450" s="1">
        <v>0</v>
      </c>
      <c r="AS2450" s="1">
        <v>0</v>
      </c>
      <c r="AT2450" s="1">
        <v>0</v>
      </c>
      <c r="AU2450" s="1">
        <v>0</v>
      </c>
      <c r="AV2450" s="1">
        <v>0</v>
      </c>
      <c r="AW2450" s="1">
        <v>0</v>
      </c>
      <c r="AX2450" s="1">
        <v>0</v>
      </c>
      <c r="AY2450" s="1">
        <v>0</v>
      </c>
      <c r="AZ2450" s="1">
        <v>0</v>
      </c>
      <c r="BA2450" s="1">
        <v>0</v>
      </c>
      <c r="BB2450" s="1">
        <v>0</v>
      </c>
      <c r="BC2450" s="1">
        <v>0</v>
      </c>
      <c r="BD2450" s="1">
        <v>0</v>
      </c>
      <c r="BE2450" s="1">
        <v>0</v>
      </c>
      <c r="BF2450" s="1">
        <v>0</v>
      </c>
      <c r="BG2450" s="1">
        <v>0</v>
      </c>
      <c r="BH2450" s="1">
        <v>0</v>
      </c>
      <c r="BI2450" s="1">
        <v>0</v>
      </c>
      <c r="BJ2450" s="1">
        <v>0</v>
      </c>
      <c r="BK2450" s="1">
        <v>1</v>
      </c>
      <c r="BL2450" s="1">
        <v>0</v>
      </c>
      <c r="BM2450" s="1">
        <v>0</v>
      </c>
      <c r="BN2450" s="1">
        <v>0</v>
      </c>
      <c r="BO2450" s="1">
        <v>0</v>
      </c>
      <c r="BP2450" s="1">
        <v>0</v>
      </c>
      <c r="BQ2450" s="1" t="s">
        <v>104</v>
      </c>
      <c r="BR2450" s="1">
        <v>2573</v>
      </c>
      <c r="BS2450" s="1" t="s">
        <v>104</v>
      </c>
      <c r="BX2450" s="1">
        <v>0</v>
      </c>
      <c r="BY2450" s="1" t="s">
        <v>104</v>
      </c>
      <c r="BZ2450" s="1" t="s">
        <v>104</v>
      </c>
      <c r="CA2450" s="1" t="s">
        <v>104</v>
      </c>
      <c r="CB2450" s="1">
        <v>1</v>
      </c>
      <c r="CC2450" s="1">
        <v>1</v>
      </c>
      <c r="CD2450" s="1" t="s">
        <v>104</v>
      </c>
      <c r="CE2450" s="1">
        <v>1</v>
      </c>
      <c r="CF2450" s="1" t="s">
        <v>104</v>
      </c>
      <c r="CG2450" s="1" t="s">
        <v>104</v>
      </c>
      <c r="CH2450" s="1" t="s">
        <v>104</v>
      </c>
      <c r="CJ2450" s="1">
        <v>0</v>
      </c>
      <c r="CK2450" s="1">
        <v>0</v>
      </c>
      <c r="CL2450" s="1">
        <v>0</v>
      </c>
      <c r="CM2450" s="1" t="s">
        <v>104</v>
      </c>
    </row>
    <row r="2451" spans="1:91" ht="14.25" customHeight="1" x14ac:dyDescent="0.3">
      <c r="A2451" s="1" t="s">
        <v>12548</v>
      </c>
      <c r="B2451" s="1" t="s">
        <v>123</v>
      </c>
      <c r="C2451" s="1" t="s">
        <v>635</v>
      </c>
      <c r="D2451" s="1" t="s">
        <v>125</v>
      </c>
      <c r="E2451" s="1" t="s">
        <v>11810</v>
      </c>
      <c r="F2451" s="1" t="s">
        <v>95</v>
      </c>
      <c r="G2451" s="1" t="s">
        <v>12549</v>
      </c>
      <c r="H2451" s="1">
        <v>0</v>
      </c>
      <c r="I2451" s="1" t="s">
        <v>117</v>
      </c>
      <c r="L2451" s="1" t="s">
        <v>417</v>
      </c>
      <c r="M2451" s="1" t="s">
        <v>194</v>
      </c>
      <c r="N2451" s="1">
        <v>0</v>
      </c>
      <c r="O2451" s="1">
        <v>0</v>
      </c>
      <c r="P2451" s="1" t="s">
        <v>211</v>
      </c>
      <c r="Q2451" s="1" t="s">
        <v>184</v>
      </c>
      <c r="R2451" s="1" t="s">
        <v>12550</v>
      </c>
      <c r="S2451" s="1" t="s">
        <v>12518</v>
      </c>
      <c r="T2451" s="1">
        <v>1</v>
      </c>
      <c r="U2451" s="1">
        <v>0</v>
      </c>
      <c r="V2451" s="1">
        <v>1</v>
      </c>
      <c r="W2451" s="1">
        <v>0</v>
      </c>
      <c r="X2451" s="1">
        <v>0</v>
      </c>
      <c r="Y2451" s="1">
        <v>7</v>
      </c>
      <c r="Z2451" s="1">
        <v>7</v>
      </c>
      <c r="AA2451" s="1" t="s">
        <v>104</v>
      </c>
      <c r="AB2451" s="1" t="s">
        <v>104</v>
      </c>
      <c r="AC2451" s="1" t="s">
        <v>104</v>
      </c>
      <c r="AD2451" s="1">
        <v>5</v>
      </c>
      <c r="AE2451" s="1" t="s">
        <v>104</v>
      </c>
      <c r="AF2451" s="1" t="s">
        <v>104</v>
      </c>
      <c r="AG2451" s="1" t="s">
        <v>104</v>
      </c>
      <c r="AH2451" s="1">
        <v>7</v>
      </c>
      <c r="AI2451" s="1" t="s">
        <v>104</v>
      </c>
      <c r="AJ2451" s="1" t="s">
        <v>104</v>
      </c>
      <c r="AK2451" s="1" t="s">
        <v>104</v>
      </c>
      <c r="AL2451" s="1" t="s">
        <v>104</v>
      </c>
      <c r="AM2451" s="1" t="s">
        <v>104</v>
      </c>
      <c r="AO2451" s="1">
        <v>7</v>
      </c>
      <c r="AR2451" s="1">
        <v>0</v>
      </c>
      <c r="AS2451" s="1">
        <v>0</v>
      </c>
      <c r="AT2451" s="1">
        <v>0</v>
      </c>
      <c r="AU2451" s="1">
        <v>0</v>
      </c>
      <c r="AV2451" s="1">
        <v>0</v>
      </c>
      <c r="AW2451" s="1">
        <v>0</v>
      </c>
      <c r="AX2451" s="1">
        <v>0</v>
      </c>
      <c r="AY2451" s="1">
        <v>0</v>
      </c>
      <c r="AZ2451" s="1">
        <v>0</v>
      </c>
      <c r="BA2451" s="1">
        <v>0</v>
      </c>
      <c r="BB2451" s="1">
        <v>0</v>
      </c>
      <c r="BC2451" s="1">
        <v>0</v>
      </c>
      <c r="BD2451" s="1">
        <v>0</v>
      </c>
      <c r="BE2451" s="1">
        <v>0</v>
      </c>
      <c r="BF2451" s="1">
        <v>0</v>
      </c>
      <c r="BG2451" s="1">
        <v>0</v>
      </c>
      <c r="BH2451" s="1">
        <v>0</v>
      </c>
      <c r="BI2451" s="1">
        <v>0</v>
      </c>
      <c r="BJ2451" s="1">
        <v>0</v>
      </c>
      <c r="BK2451" s="1">
        <v>1</v>
      </c>
      <c r="BL2451" s="1">
        <v>0</v>
      </c>
      <c r="BM2451" s="1">
        <v>0</v>
      </c>
      <c r="BN2451" s="1">
        <v>0</v>
      </c>
      <c r="BO2451" s="1">
        <v>0</v>
      </c>
      <c r="BP2451" s="1">
        <v>0</v>
      </c>
      <c r="BQ2451" s="1" t="s">
        <v>104</v>
      </c>
      <c r="BR2451" s="1">
        <v>2574</v>
      </c>
      <c r="BS2451" s="1" t="s">
        <v>104</v>
      </c>
      <c r="BX2451" s="1">
        <v>0</v>
      </c>
      <c r="BY2451" s="1" t="s">
        <v>104</v>
      </c>
      <c r="BZ2451" s="1" t="s">
        <v>104</v>
      </c>
      <c r="CA2451" s="1">
        <v>6</v>
      </c>
      <c r="CB2451" s="1" t="s">
        <v>104</v>
      </c>
      <c r="CC2451" s="1">
        <v>5</v>
      </c>
      <c r="CD2451" s="1" t="s">
        <v>104</v>
      </c>
      <c r="CE2451" s="1" t="s">
        <v>104</v>
      </c>
      <c r="CF2451" s="1" t="s">
        <v>104</v>
      </c>
      <c r="CG2451" s="1" t="s">
        <v>104</v>
      </c>
      <c r="CH2451" s="1" t="s">
        <v>104</v>
      </c>
      <c r="CJ2451" s="1">
        <v>0</v>
      </c>
      <c r="CK2451" s="1">
        <v>0</v>
      </c>
      <c r="CL2451" s="1">
        <v>0</v>
      </c>
      <c r="CM2451" s="1" t="s">
        <v>104</v>
      </c>
    </row>
    <row r="2452" spans="1:91" ht="14.25" customHeight="1" x14ac:dyDescent="0.3">
      <c r="A2452" s="1" t="s">
        <v>12551</v>
      </c>
      <c r="B2452" s="1" t="s">
        <v>123</v>
      </c>
      <c r="C2452" s="1" t="s">
        <v>635</v>
      </c>
      <c r="D2452" s="1" t="s">
        <v>125</v>
      </c>
      <c r="E2452" s="1" t="s">
        <v>11807</v>
      </c>
      <c r="F2452" s="1" t="s">
        <v>95</v>
      </c>
      <c r="G2452" s="1" t="s">
        <v>12549</v>
      </c>
      <c r="H2452" s="1">
        <v>0</v>
      </c>
      <c r="I2452" s="1" t="s">
        <v>117</v>
      </c>
      <c r="L2452" s="1" t="s">
        <v>637</v>
      </c>
      <c r="M2452" s="1" t="s">
        <v>201</v>
      </c>
      <c r="N2452" s="1">
        <v>0</v>
      </c>
      <c r="O2452" s="1">
        <v>0</v>
      </c>
      <c r="P2452" s="1" t="s">
        <v>211</v>
      </c>
      <c r="Q2452" s="1" t="s">
        <v>184</v>
      </c>
      <c r="R2452" s="1" t="s">
        <v>12552</v>
      </c>
      <c r="S2452" s="1" t="s">
        <v>12518</v>
      </c>
      <c r="T2452" s="1">
        <v>1</v>
      </c>
      <c r="U2452" s="1">
        <v>0</v>
      </c>
      <c r="V2452" s="1">
        <v>1</v>
      </c>
      <c r="W2452" s="1">
        <v>0</v>
      </c>
      <c r="X2452" s="1">
        <v>0</v>
      </c>
      <c r="Y2452" s="1">
        <v>4</v>
      </c>
      <c r="Z2452" s="1">
        <v>4</v>
      </c>
      <c r="AA2452" s="1" t="s">
        <v>104</v>
      </c>
      <c r="AB2452" s="1" t="s">
        <v>104</v>
      </c>
      <c r="AC2452" s="1" t="s">
        <v>104</v>
      </c>
      <c r="AD2452" s="1">
        <v>3</v>
      </c>
      <c r="AE2452" s="1" t="s">
        <v>104</v>
      </c>
      <c r="AF2452" s="1" t="s">
        <v>104</v>
      </c>
      <c r="AG2452" s="1" t="s">
        <v>104</v>
      </c>
      <c r="AH2452" s="1">
        <v>4</v>
      </c>
      <c r="AI2452" s="1" t="s">
        <v>104</v>
      </c>
      <c r="AJ2452" s="1" t="s">
        <v>104</v>
      </c>
      <c r="AK2452" s="1" t="s">
        <v>104</v>
      </c>
      <c r="AL2452" s="1" t="s">
        <v>104</v>
      </c>
      <c r="AM2452" s="1" t="s">
        <v>104</v>
      </c>
      <c r="AO2452" s="1">
        <v>4</v>
      </c>
      <c r="AR2452" s="1">
        <v>0</v>
      </c>
      <c r="AS2452" s="1">
        <v>0</v>
      </c>
      <c r="AT2452" s="1">
        <v>0</v>
      </c>
      <c r="AU2452" s="1">
        <v>0</v>
      </c>
      <c r="AV2452" s="1">
        <v>0</v>
      </c>
      <c r="AW2452" s="1">
        <v>0</v>
      </c>
      <c r="AX2452" s="1">
        <v>0</v>
      </c>
      <c r="AY2452" s="1">
        <v>0</v>
      </c>
      <c r="AZ2452" s="1">
        <v>0</v>
      </c>
      <c r="BA2452" s="1">
        <v>0</v>
      </c>
      <c r="BB2452" s="1">
        <v>0</v>
      </c>
      <c r="BC2452" s="1">
        <v>0</v>
      </c>
      <c r="BD2452" s="1">
        <v>0</v>
      </c>
      <c r="BE2452" s="1">
        <v>0</v>
      </c>
      <c r="BF2452" s="1">
        <v>0</v>
      </c>
      <c r="BG2452" s="1">
        <v>0</v>
      </c>
      <c r="BH2452" s="1">
        <v>0</v>
      </c>
      <c r="BI2452" s="1">
        <v>0</v>
      </c>
      <c r="BJ2452" s="1">
        <v>0</v>
      </c>
      <c r="BK2452" s="1">
        <v>1</v>
      </c>
      <c r="BL2452" s="1">
        <v>0</v>
      </c>
      <c r="BM2452" s="1">
        <v>0</v>
      </c>
      <c r="BN2452" s="1">
        <v>0</v>
      </c>
      <c r="BO2452" s="1">
        <v>0</v>
      </c>
      <c r="BP2452" s="1">
        <v>0</v>
      </c>
      <c r="BQ2452" s="1" t="s">
        <v>104</v>
      </c>
      <c r="BR2452" s="1">
        <v>2575</v>
      </c>
      <c r="BS2452" s="1" t="s">
        <v>104</v>
      </c>
      <c r="BX2452" s="1">
        <v>0</v>
      </c>
      <c r="BY2452" s="1" t="s">
        <v>104</v>
      </c>
      <c r="BZ2452" s="1" t="s">
        <v>104</v>
      </c>
      <c r="CA2452" s="1">
        <v>3</v>
      </c>
      <c r="CB2452" s="1" t="s">
        <v>104</v>
      </c>
      <c r="CC2452" s="1">
        <v>3</v>
      </c>
      <c r="CD2452" s="1" t="s">
        <v>104</v>
      </c>
      <c r="CE2452" s="1" t="s">
        <v>104</v>
      </c>
      <c r="CF2452" s="1" t="s">
        <v>104</v>
      </c>
      <c r="CG2452" s="1" t="s">
        <v>104</v>
      </c>
      <c r="CH2452" s="1" t="s">
        <v>104</v>
      </c>
      <c r="CJ2452" s="1">
        <v>0</v>
      </c>
      <c r="CK2452" s="1">
        <v>0</v>
      </c>
      <c r="CL2452" s="1">
        <v>0</v>
      </c>
      <c r="CM2452" s="1" t="s">
        <v>104</v>
      </c>
    </row>
    <row r="2453" spans="1:91" ht="14.25" customHeight="1" x14ac:dyDescent="0.3">
      <c r="A2453" s="1" t="s">
        <v>12553</v>
      </c>
      <c r="B2453" s="1" t="s">
        <v>162</v>
      </c>
      <c r="E2453" s="1" t="s">
        <v>12554</v>
      </c>
      <c r="F2453" s="1" t="s">
        <v>95</v>
      </c>
      <c r="G2453" s="1" t="s">
        <v>12555</v>
      </c>
      <c r="H2453" s="1">
        <v>1</v>
      </c>
      <c r="I2453" s="1" t="s">
        <v>117</v>
      </c>
      <c r="L2453" s="1" t="s">
        <v>12556</v>
      </c>
      <c r="M2453" s="1" t="s">
        <v>201</v>
      </c>
      <c r="N2453" s="1">
        <v>0</v>
      </c>
      <c r="O2453" s="1">
        <v>0</v>
      </c>
      <c r="P2453" s="1" t="s">
        <v>148</v>
      </c>
      <c r="Q2453" s="1" t="s">
        <v>149</v>
      </c>
      <c r="R2453" s="1" t="s">
        <v>12557</v>
      </c>
      <c r="S2453" s="1" t="s">
        <v>12518</v>
      </c>
      <c r="T2453" s="1">
        <v>1</v>
      </c>
      <c r="U2453" s="1">
        <v>1</v>
      </c>
      <c r="V2453" s="1">
        <v>1</v>
      </c>
      <c r="W2453" s="1">
        <v>0</v>
      </c>
      <c r="X2453" s="1">
        <v>0</v>
      </c>
      <c r="Y2453" s="1">
        <v>5</v>
      </c>
      <c r="Z2453" s="1">
        <v>5</v>
      </c>
      <c r="AA2453" s="1" t="s">
        <v>104</v>
      </c>
      <c r="AB2453" s="1" t="s">
        <v>104</v>
      </c>
      <c r="AC2453" s="1" t="s">
        <v>104</v>
      </c>
      <c r="AD2453" s="1" t="s">
        <v>104</v>
      </c>
      <c r="AE2453" s="1" t="s">
        <v>104</v>
      </c>
      <c r="AF2453" s="1" t="s">
        <v>104</v>
      </c>
      <c r="AG2453" s="1">
        <v>5</v>
      </c>
      <c r="AH2453" s="1" t="s">
        <v>104</v>
      </c>
      <c r="AI2453" s="1" t="s">
        <v>104</v>
      </c>
      <c r="AJ2453" s="1" t="s">
        <v>104</v>
      </c>
      <c r="AK2453" s="1" t="s">
        <v>104</v>
      </c>
      <c r="AL2453" s="1" t="s">
        <v>104</v>
      </c>
      <c r="AM2453" s="1" t="s">
        <v>104</v>
      </c>
      <c r="AO2453" s="1">
        <v>5</v>
      </c>
      <c r="AR2453" s="1">
        <v>0</v>
      </c>
      <c r="AS2453" s="1">
        <v>0</v>
      </c>
      <c r="AT2453" s="1">
        <v>0</v>
      </c>
      <c r="AU2453" s="1">
        <v>0</v>
      </c>
      <c r="AV2453" s="1">
        <v>0</v>
      </c>
      <c r="AW2453" s="1">
        <v>0</v>
      </c>
      <c r="AX2453" s="1">
        <v>0</v>
      </c>
      <c r="AY2453" s="1">
        <v>0</v>
      </c>
      <c r="AZ2453" s="1">
        <v>0</v>
      </c>
      <c r="BA2453" s="1">
        <v>0</v>
      </c>
      <c r="BB2453" s="1">
        <v>0</v>
      </c>
      <c r="BC2453" s="1">
        <v>0</v>
      </c>
      <c r="BD2453" s="1">
        <v>0</v>
      </c>
      <c r="BE2453" s="1">
        <v>0</v>
      </c>
      <c r="BF2453" s="1">
        <v>0</v>
      </c>
      <c r="BG2453" s="1">
        <v>0</v>
      </c>
      <c r="BH2453" s="1">
        <v>0</v>
      </c>
      <c r="BI2453" s="1">
        <v>0</v>
      </c>
      <c r="BJ2453" s="1">
        <v>0</v>
      </c>
      <c r="BK2453" s="1">
        <v>0</v>
      </c>
      <c r="BL2453" s="1">
        <v>0</v>
      </c>
      <c r="BM2453" s="1">
        <v>0</v>
      </c>
      <c r="BN2453" s="1">
        <v>0</v>
      </c>
      <c r="BO2453" s="1">
        <v>0</v>
      </c>
      <c r="BP2453" s="1">
        <v>0</v>
      </c>
      <c r="BQ2453" s="1" t="s">
        <v>104</v>
      </c>
      <c r="BR2453" s="1">
        <v>2576</v>
      </c>
      <c r="BS2453" s="1">
        <v>150</v>
      </c>
      <c r="BX2453" s="1">
        <v>0</v>
      </c>
      <c r="BY2453" s="1" t="s">
        <v>104</v>
      </c>
      <c r="BZ2453" s="1" t="s">
        <v>104</v>
      </c>
      <c r="CA2453" s="1">
        <v>5</v>
      </c>
      <c r="CB2453" s="1">
        <v>4</v>
      </c>
      <c r="CC2453" s="1">
        <v>5</v>
      </c>
      <c r="CD2453" s="1">
        <v>5</v>
      </c>
      <c r="CE2453" s="1">
        <v>5</v>
      </c>
      <c r="CF2453" s="1" t="s">
        <v>104</v>
      </c>
      <c r="CG2453" s="1" t="s">
        <v>104</v>
      </c>
      <c r="CH2453" s="1" t="s">
        <v>104</v>
      </c>
      <c r="CJ2453" s="1">
        <v>0</v>
      </c>
      <c r="CK2453" s="1">
        <v>0</v>
      </c>
      <c r="CL2453" s="1">
        <v>0</v>
      </c>
      <c r="CM2453" s="1">
        <v>5</v>
      </c>
    </row>
    <row r="2454" spans="1:91" ht="14.25" customHeight="1" x14ac:dyDescent="0.3">
      <c r="A2454" s="1" t="s">
        <v>12558</v>
      </c>
      <c r="B2454" s="1" t="s">
        <v>507</v>
      </c>
      <c r="C2454" s="1" t="s">
        <v>508</v>
      </c>
      <c r="E2454" s="1" t="s">
        <v>12559</v>
      </c>
      <c r="F2454" s="1" t="s">
        <v>95</v>
      </c>
      <c r="G2454" s="1" t="s">
        <v>237</v>
      </c>
      <c r="H2454" s="1">
        <v>0</v>
      </c>
      <c r="I2454" s="1" t="s">
        <v>157</v>
      </c>
      <c r="L2454" s="1" t="s">
        <v>158</v>
      </c>
      <c r="M2454" s="1" t="s">
        <v>4292</v>
      </c>
      <c r="N2454" s="1">
        <v>0</v>
      </c>
      <c r="O2454" s="1">
        <v>0</v>
      </c>
      <c r="R2454" s="1" t="s">
        <v>12560</v>
      </c>
      <c r="S2454" s="1" t="s">
        <v>12518</v>
      </c>
      <c r="T2454" s="1">
        <v>1</v>
      </c>
      <c r="U2454" s="1">
        <v>0</v>
      </c>
      <c r="V2454" s="1">
        <v>0</v>
      </c>
      <c r="W2454" s="1">
        <v>0</v>
      </c>
      <c r="X2454" s="1">
        <v>0</v>
      </c>
      <c r="Y2454" s="1">
        <v>0</v>
      </c>
      <c r="Z2454" s="1">
        <v>0</v>
      </c>
      <c r="AA2454" s="1" t="s">
        <v>104</v>
      </c>
      <c r="AB2454" s="1" t="s">
        <v>104</v>
      </c>
      <c r="AC2454" s="1" t="s">
        <v>104</v>
      </c>
      <c r="AD2454" s="1">
        <v>0</v>
      </c>
      <c r="AE2454" s="1">
        <v>1</v>
      </c>
      <c r="AF2454" s="1" t="s">
        <v>104</v>
      </c>
      <c r="AG2454" s="1" t="s">
        <v>104</v>
      </c>
      <c r="AH2454" s="1" t="s">
        <v>104</v>
      </c>
      <c r="AI2454" s="1">
        <v>0</v>
      </c>
      <c r="AJ2454" s="1" t="s">
        <v>104</v>
      </c>
      <c r="AK2454" s="1" t="s">
        <v>104</v>
      </c>
      <c r="AL2454" s="1" t="s">
        <v>104</v>
      </c>
      <c r="AM2454" s="1" t="s">
        <v>104</v>
      </c>
      <c r="AO2454" s="1">
        <v>0</v>
      </c>
      <c r="AR2454" s="1">
        <v>0</v>
      </c>
      <c r="AS2454" s="1">
        <v>0</v>
      </c>
      <c r="AT2454" s="1">
        <v>0</v>
      </c>
      <c r="AU2454" s="1">
        <v>0</v>
      </c>
      <c r="AV2454" s="1">
        <v>0</v>
      </c>
      <c r="AW2454" s="1">
        <v>0</v>
      </c>
      <c r="AX2454" s="1">
        <v>0</v>
      </c>
      <c r="AY2454" s="1">
        <v>0</v>
      </c>
      <c r="AZ2454" s="1">
        <v>0</v>
      </c>
      <c r="BA2454" s="1">
        <v>0</v>
      </c>
      <c r="BB2454" s="1">
        <v>0</v>
      </c>
      <c r="BC2454" s="1">
        <v>0</v>
      </c>
      <c r="BD2454" s="1">
        <v>0</v>
      </c>
      <c r="BE2454" s="1">
        <v>0</v>
      </c>
      <c r="BF2454" s="1">
        <v>0</v>
      </c>
      <c r="BG2454" s="1">
        <v>0</v>
      </c>
      <c r="BH2454" s="1">
        <v>0</v>
      </c>
      <c r="BI2454" s="1">
        <v>0</v>
      </c>
      <c r="BJ2454" s="1">
        <v>0</v>
      </c>
      <c r="BK2454" s="1">
        <v>0</v>
      </c>
      <c r="BL2454" s="1">
        <v>0</v>
      </c>
      <c r="BM2454" s="1">
        <v>0</v>
      </c>
      <c r="BN2454" s="1">
        <v>0</v>
      </c>
      <c r="BO2454" s="1">
        <v>0</v>
      </c>
      <c r="BP2454" s="1">
        <v>0</v>
      </c>
      <c r="BQ2454" s="1" t="s">
        <v>104</v>
      </c>
      <c r="BR2454" s="1">
        <v>2577</v>
      </c>
      <c r="BS2454" s="1" t="s">
        <v>104</v>
      </c>
      <c r="BX2454" s="1">
        <v>0</v>
      </c>
      <c r="BY2454" s="1" t="s">
        <v>104</v>
      </c>
      <c r="BZ2454" s="1" t="s">
        <v>104</v>
      </c>
      <c r="CA2454" s="1" t="s">
        <v>104</v>
      </c>
      <c r="CB2454" s="1">
        <v>0</v>
      </c>
      <c r="CC2454" s="1" t="s">
        <v>104</v>
      </c>
      <c r="CD2454" s="1" t="s">
        <v>104</v>
      </c>
      <c r="CE2454" s="1" t="s">
        <v>104</v>
      </c>
      <c r="CF2454" s="1" t="s">
        <v>104</v>
      </c>
      <c r="CG2454" s="1" t="s">
        <v>104</v>
      </c>
      <c r="CH2454" s="1" t="s">
        <v>104</v>
      </c>
      <c r="CJ2454" s="1">
        <v>0</v>
      </c>
      <c r="CK2454" s="1">
        <v>0</v>
      </c>
      <c r="CL2454" s="1">
        <v>0</v>
      </c>
      <c r="CM2454" s="1" t="s">
        <v>104</v>
      </c>
    </row>
    <row r="2455" spans="1:91" ht="14.25" customHeight="1" x14ac:dyDescent="0.3">
      <c r="A2455" s="1" t="s">
        <v>12561</v>
      </c>
      <c r="B2455" s="1" t="s">
        <v>216</v>
      </c>
      <c r="E2455" s="1" t="s">
        <v>12562</v>
      </c>
      <c r="F2455" s="1" t="s">
        <v>287</v>
      </c>
      <c r="G2455" s="1" t="s">
        <v>12563</v>
      </c>
      <c r="H2455" s="1">
        <v>1</v>
      </c>
      <c r="I2455" s="1" t="s">
        <v>128</v>
      </c>
      <c r="L2455" s="1" t="s">
        <v>12564</v>
      </c>
      <c r="M2455" s="1" t="s">
        <v>12565</v>
      </c>
      <c r="N2455" s="1">
        <v>0</v>
      </c>
      <c r="O2455" s="1">
        <v>0</v>
      </c>
      <c r="P2455" s="1" t="s">
        <v>100</v>
      </c>
      <c r="Q2455" s="1" t="s">
        <v>101</v>
      </c>
      <c r="R2455" s="1" t="s">
        <v>12566</v>
      </c>
      <c r="S2455" s="1" t="s">
        <v>12518</v>
      </c>
      <c r="T2455" s="1">
        <v>1</v>
      </c>
      <c r="U2455" s="1">
        <v>1</v>
      </c>
      <c r="V2455" s="1">
        <v>0</v>
      </c>
      <c r="W2455" s="1">
        <v>0</v>
      </c>
      <c r="X2455" s="1">
        <v>0</v>
      </c>
      <c r="Y2455" s="1">
        <v>7</v>
      </c>
      <c r="Z2455" s="1">
        <v>7</v>
      </c>
      <c r="AA2455" s="1" t="s">
        <v>104</v>
      </c>
      <c r="AB2455" s="1" t="s">
        <v>104</v>
      </c>
      <c r="AC2455" s="1" t="s">
        <v>104</v>
      </c>
      <c r="AD2455" s="1" t="s">
        <v>104</v>
      </c>
      <c r="AE2455" s="1" t="s">
        <v>104</v>
      </c>
      <c r="AF2455" s="1" t="s">
        <v>104</v>
      </c>
      <c r="AG2455" s="1" t="s">
        <v>104</v>
      </c>
      <c r="AH2455" s="1">
        <v>7</v>
      </c>
      <c r="AI2455" s="1" t="s">
        <v>104</v>
      </c>
      <c r="AJ2455" s="1" t="s">
        <v>104</v>
      </c>
      <c r="AK2455" s="1" t="s">
        <v>104</v>
      </c>
      <c r="AL2455" s="1" t="s">
        <v>104</v>
      </c>
      <c r="AM2455" s="1" t="s">
        <v>104</v>
      </c>
      <c r="AO2455" s="1">
        <v>7</v>
      </c>
      <c r="AR2455" s="1">
        <v>0</v>
      </c>
      <c r="AS2455" s="1">
        <v>0</v>
      </c>
      <c r="AT2455" s="1">
        <v>0</v>
      </c>
      <c r="AU2455" s="1">
        <v>0</v>
      </c>
      <c r="AV2455" s="1">
        <v>0</v>
      </c>
      <c r="AW2455" s="1">
        <v>0</v>
      </c>
      <c r="AX2455" s="1">
        <v>0</v>
      </c>
      <c r="AY2455" s="1">
        <v>0</v>
      </c>
      <c r="AZ2455" s="1">
        <v>0</v>
      </c>
      <c r="BA2455" s="1">
        <v>0</v>
      </c>
      <c r="BB2455" s="1">
        <v>0</v>
      </c>
      <c r="BC2455" s="1">
        <v>0</v>
      </c>
      <c r="BD2455" s="1">
        <v>0</v>
      </c>
      <c r="BE2455" s="1">
        <v>0</v>
      </c>
      <c r="BF2455" s="1">
        <v>0</v>
      </c>
      <c r="BG2455" s="1">
        <v>0</v>
      </c>
      <c r="BH2455" s="1">
        <v>0</v>
      </c>
      <c r="BI2455" s="1">
        <v>0</v>
      </c>
      <c r="BJ2455" s="1">
        <v>0</v>
      </c>
      <c r="BK2455" s="1">
        <v>0</v>
      </c>
      <c r="BL2455" s="1">
        <v>0</v>
      </c>
      <c r="BM2455" s="1">
        <v>0</v>
      </c>
      <c r="BN2455" s="1">
        <v>0</v>
      </c>
      <c r="BO2455" s="1">
        <v>0</v>
      </c>
      <c r="BP2455" s="1">
        <v>0</v>
      </c>
      <c r="BQ2455" s="1" t="s">
        <v>104</v>
      </c>
      <c r="BR2455" s="1">
        <v>2578</v>
      </c>
      <c r="BS2455" s="1">
        <v>250</v>
      </c>
      <c r="BX2455" s="1">
        <v>0</v>
      </c>
      <c r="BY2455" s="1" t="s">
        <v>104</v>
      </c>
      <c r="BZ2455" s="1" t="s">
        <v>104</v>
      </c>
      <c r="CA2455" s="1" t="s">
        <v>104</v>
      </c>
      <c r="CB2455" s="1" t="s">
        <v>104</v>
      </c>
      <c r="CC2455" s="1" t="s">
        <v>104</v>
      </c>
      <c r="CD2455" s="1" t="s">
        <v>104</v>
      </c>
      <c r="CE2455" s="1" t="s">
        <v>104</v>
      </c>
      <c r="CF2455" s="1" t="s">
        <v>104</v>
      </c>
      <c r="CG2455" s="1" t="s">
        <v>104</v>
      </c>
      <c r="CH2455" s="1" t="s">
        <v>104</v>
      </c>
      <c r="CJ2455" s="1">
        <v>0</v>
      </c>
      <c r="CK2455" s="1">
        <v>0</v>
      </c>
      <c r="CL2455" s="1">
        <v>0</v>
      </c>
      <c r="CM2455" s="1" t="s">
        <v>104</v>
      </c>
    </row>
    <row r="2456" spans="1:91" ht="14.25" customHeight="1" x14ac:dyDescent="0.3">
      <c r="A2456" s="1" t="s">
        <v>12567</v>
      </c>
      <c r="B2456" s="1" t="s">
        <v>216</v>
      </c>
      <c r="D2456" s="1" t="s">
        <v>12568</v>
      </c>
      <c r="E2456" s="1" t="s">
        <v>12569</v>
      </c>
      <c r="F2456" s="1" t="s">
        <v>95</v>
      </c>
      <c r="G2456" s="1" t="s">
        <v>116</v>
      </c>
      <c r="H2456" s="1">
        <v>0</v>
      </c>
      <c r="I2456" s="1" t="s">
        <v>117</v>
      </c>
      <c r="L2456" s="1" t="s">
        <v>12570</v>
      </c>
      <c r="M2456" s="1" t="s">
        <v>298</v>
      </c>
      <c r="N2456" s="1">
        <v>0</v>
      </c>
      <c r="O2456" s="1">
        <v>0</v>
      </c>
      <c r="P2456" s="1" t="s">
        <v>183</v>
      </c>
      <c r="Q2456" s="1" t="s">
        <v>184</v>
      </c>
      <c r="R2456" s="1" t="s">
        <v>12571</v>
      </c>
      <c r="S2456" s="1" t="s">
        <v>12518</v>
      </c>
      <c r="T2456" s="1">
        <v>1</v>
      </c>
      <c r="U2456" s="1">
        <v>1</v>
      </c>
      <c r="V2456" s="1">
        <v>0</v>
      </c>
      <c r="W2456" s="1">
        <v>0</v>
      </c>
      <c r="X2456" s="1">
        <v>0</v>
      </c>
      <c r="Y2456" s="1" t="s">
        <v>104</v>
      </c>
      <c r="Z2456" s="1" t="s">
        <v>104</v>
      </c>
      <c r="AA2456" s="1">
        <v>8</v>
      </c>
      <c r="AB2456" s="1">
        <v>8</v>
      </c>
      <c r="AC2456" s="1" t="s">
        <v>104</v>
      </c>
      <c r="AD2456" s="1" t="s">
        <v>104</v>
      </c>
      <c r="AE2456" s="1" t="s">
        <v>104</v>
      </c>
      <c r="AF2456" s="1" t="s">
        <v>104</v>
      </c>
      <c r="AG2456" s="1" t="s">
        <v>104</v>
      </c>
      <c r="AH2456" s="1">
        <v>8</v>
      </c>
      <c r="AI2456" s="1">
        <v>6</v>
      </c>
      <c r="AJ2456" s="1">
        <v>8</v>
      </c>
      <c r="AK2456" s="1" t="s">
        <v>104</v>
      </c>
      <c r="AL2456" s="1" t="s">
        <v>104</v>
      </c>
      <c r="AM2456" s="1" t="s">
        <v>104</v>
      </c>
      <c r="AO2456" s="1">
        <v>8</v>
      </c>
      <c r="AR2456" s="1">
        <v>0</v>
      </c>
      <c r="AS2456" s="1">
        <v>0</v>
      </c>
      <c r="AT2456" s="1">
        <v>0</v>
      </c>
      <c r="AU2456" s="1">
        <v>0</v>
      </c>
      <c r="AV2456" s="1">
        <v>1</v>
      </c>
      <c r="AW2456" s="1">
        <v>0</v>
      </c>
      <c r="AX2456" s="1">
        <v>0</v>
      </c>
      <c r="AY2456" s="1">
        <v>1</v>
      </c>
      <c r="AZ2456" s="1">
        <v>0</v>
      </c>
      <c r="BA2456" s="1">
        <v>0</v>
      </c>
      <c r="BB2456" s="1">
        <v>0</v>
      </c>
      <c r="BC2456" s="1">
        <v>0</v>
      </c>
      <c r="BD2456" s="1">
        <v>0</v>
      </c>
      <c r="BE2456" s="1">
        <v>0</v>
      </c>
      <c r="BF2456" s="1">
        <v>0</v>
      </c>
      <c r="BG2456" s="1">
        <v>0</v>
      </c>
      <c r="BH2456" s="1">
        <v>0</v>
      </c>
      <c r="BI2456" s="1">
        <v>0</v>
      </c>
      <c r="BJ2456" s="1">
        <v>0</v>
      </c>
      <c r="BK2456" s="1">
        <v>0</v>
      </c>
      <c r="BL2456" s="1">
        <v>0</v>
      </c>
      <c r="BM2456" s="1">
        <v>0</v>
      </c>
      <c r="BN2456" s="1">
        <v>0</v>
      </c>
      <c r="BO2456" s="1">
        <v>0</v>
      </c>
      <c r="BP2456" s="1">
        <v>0</v>
      </c>
      <c r="BQ2456" s="1" t="s">
        <v>104</v>
      </c>
      <c r="BR2456" s="1">
        <v>2579</v>
      </c>
      <c r="BS2456" s="1" t="s">
        <v>104</v>
      </c>
      <c r="BX2456" s="1">
        <v>0</v>
      </c>
      <c r="BY2456" s="1" t="s">
        <v>104</v>
      </c>
      <c r="BZ2456" s="1" t="s">
        <v>104</v>
      </c>
      <c r="CA2456" s="1" t="s">
        <v>104</v>
      </c>
      <c r="CB2456" s="1" t="s">
        <v>104</v>
      </c>
      <c r="CC2456" s="1" t="s">
        <v>104</v>
      </c>
      <c r="CD2456" s="1">
        <v>6</v>
      </c>
      <c r="CE2456" s="1" t="s">
        <v>104</v>
      </c>
      <c r="CF2456" s="1" t="s">
        <v>104</v>
      </c>
      <c r="CG2456" s="1" t="s">
        <v>104</v>
      </c>
      <c r="CH2456" s="1" t="s">
        <v>104</v>
      </c>
      <c r="CJ2456" s="1">
        <v>0</v>
      </c>
      <c r="CK2456" s="1">
        <v>0</v>
      </c>
      <c r="CL2456" s="1">
        <v>0</v>
      </c>
      <c r="CM2456" s="1" t="s">
        <v>104</v>
      </c>
    </row>
    <row r="2457" spans="1:91" ht="14.25" customHeight="1" x14ac:dyDescent="0.3">
      <c r="A2457" s="1" t="s">
        <v>12572</v>
      </c>
      <c r="B2457" s="1" t="s">
        <v>92</v>
      </c>
      <c r="C2457" s="1" t="s">
        <v>93</v>
      </c>
      <c r="D2457" s="1" t="s">
        <v>2506</v>
      </c>
      <c r="E2457" s="1" t="s">
        <v>6358</v>
      </c>
      <c r="F2457" s="1" t="s">
        <v>95</v>
      </c>
      <c r="G2457" s="1" t="s">
        <v>116</v>
      </c>
      <c r="H2457" s="1">
        <v>0</v>
      </c>
      <c r="I2457" s="1" t="s">
        <v>289</v>
      </c>
      <c r="K2457" s="1" t="s">
        <v>12573</v>
      </c>
      <c r="M2457" s="1" t="s">
        <v>2591</v>
      </c>
      <c r="N2457" s="1">
        <v>0</v>
      </c>
      <c r="O2457" s="1">
        <v>0</v>
      </c>
      <c r="P2457" s="1" t="s">
        <v>5957</v>
      </c>
      <c r="Q2457" s="1" t="s">
        <v>9311</v>
      </c>
      <c r="R2457" s="1" t="s">
        <v>12574</v>
      </c>
      <c r="S2457" s="1" t="s">
        <v>12518</v>
      </c>
      <c r="T2457" s="1">
        <v>1</v>
      </c>
      <c r="U2457" s="1">
        <v>1</v>
      </c>
      <c r="V2457" s="1">
        <v>0</v>
      </c>
      <c r="W2457" s="1">
        <v>0</v>
      </c>
      <c r="X2457" s="1">
        <v>0</v>
      </c>
      <c r="Y2457" s="1">
        <v>5</v>
      </c>
      <c r="Z2457" s="1">
        <v>5</v>
      </c>
      <c r="AA2457" s="1" t="s">
        <v>104</v>
      </c>
      <c r="AB2457" s="1" t="s">
        <v>104</v>
      </c>
      <c r="AC2457" s="1" t="s">
        <v>104</v>
      </c>
      <c r="AD2457" s="1" t="s">
        <v>104</v>
      </c>
      <c r="AE2457" s="1" t="s">
        <v>104</v>
      </c>
      <c r="AF2457" s="1" t="s">
        <v>104</v>
      </c>
      <c r="AG2457" s="1" t="s">
        <v>104</v>
      </c>
      <c r="AH2457" s="1" t="s">
        <v>104</v>
      </c>
      <c r="AI2457" s="1" t="s">
        <v>104</v>
      </c>
      <c r="AJ2457" s="1" t="s">
        <v>104</v>
      </c>
      <c r="AK2457" s="1" t="s">
        <v>104</v>
      </c>
      <c r="AL2457" s="1" t="s">
        <v>104</v>
      </c>
      <c r="AM2457" s="1" t="s">
        <v>104</v>
      </c>
      <c r="AO2457" s="1">
        <v>5</v>
      </c>
      <c r="AR2457" s="1">
        <v>0</v>
      </c>
      <c r="AS2457" s="1">
        <v>0</v>
      </c>
      <c r="AT2457" s="1">
        <v>0</v>
      </c>
      <c r="AU2457" s="1">
        <v>0</v>
      </c>
      <c r="AV2457" s="1">
        <v>0</v>
      </c>
      <c r="AW2457" s="1">
        <v>0</v>
      </c>
      <c r="AX2457" s="1">
        <v>0</v>
      </c>
      <c r="AY2457" s="1">
        <v>0</v>
      </c>
      <c r="AZ2457" s="1">
        <v>0</v>
      </c>
      <c r="BA2457" s="1">
        <v>0</v>
      </c>
      <c r="BB2457" s="1">
        <v>0</v>
      </c>
      <c r="BC2457" s="1">
        <v>0</v>
      </c>
      <c r="BD2457" s="1">
        <v>0</v>
      </c>
      <c r="BE2457" s="1">
        <v>0</v>
      </c>
      <c r="BF2457" s="1">
        <v>0</v>
      </c>
      <c r="BG2457" s="1">
        <v>0</v>
      </c>
      <c r="BH2457" s="1">
        <v>1</v>
      </c>
      <c r="BI2457" s="1">
        <v>0</v>
      </c>
      <c r="BJ2457" s="1">
        <v>0</v>
      </c>
      <c r="BK2457" s="1">
        <v>0</v>
      </c>
      <c r="BL2457" s="1">
        <v>0</v>
      </c>
      <c r="BM2457" s="1">
        <v>0</v>
      </c>
      <c r="BN2457" s="1">
        <v>0</v>
      </c>
      <c r="BO2457" s="1">
        <v>0</v>
      </c>
      <c r="BP2457" s="1">
        <v>0</v>
      </c>
      <c r="BQ2457" s="1" t="s">
        <v>104</v>
      </c>
      <c r="BR2457" s="1">
        <v>2580</v>
      </c>
      <c r="BS2457" s="1" t="s">
        <v>104</v>
      </c>
      <c r="BX2457" s="1">
        <v>0</v>
      </c>
      <c r="BY2457" s="1" t="s">
        <v>104</v>
      </c>
      <c r="BZ2457" s="1" t="s">
        <v>104</v>
      </c>
      <c r="CA2457" s="1" t="s">
        <v>104</v>
      </c>
      <c r="CB2457" s="1" t="s">
        <v>104</v>
      </c>
      <c r="CC2457" s="1" t="s">
        <v>104</v>
      </c>
      <c r="CD2457" s="1" t="s">
        <v>104</v>
      </c>
      <c r="CE2457" s="1" t="s">
        <v>104</v>
      </c>
      <c r="CF2457" s="1" t="s">
        <v>104</v>
      </c>
      <c r="CG2457" s="1" t="s">
        <v>104</v>
      </c>
      <c r="CH2457" s="1" t="s">
        <v>104</v>
      </c>
      <c r="CJ2457" s="1">
        <v>0</v>
      </c>
      <c r="CK2457" s="1">
        <v>0</v>
      </c>
      <c r="CL2457" s="1">
        <v>0</v>
      </c>
      <c r="CM2457" s="1" t="s">
        <v>104</v>
      </c>
    </row>
    <row r="2458" spans="1:91" ht="14.25" customHeight="1" x14ac:dyDescent="0.3">
      <c r="A2458" s="1" t="s">
        <v>12575</v>
      </c>
      <c r="B2458" s="1" t="s">
        <v>507</v>
      </c>
      <c r="C2458" s="1" t="s">
        <v>65</v>
      </c>
      <c r="D2458" s="1" t="s">
        <v>11556</v>
      </c>
      <c r="E2458" s="1" t="s">
        <v>4324</v>
      </c>
      <c r="F2458" s="1" t="s">
        <v>95</v>
      </c>
      <c r="G2458" s="1" t="s">
        <v>116</v>
      </c>
      <c r="H2458" s="1">
        <v>0</v>
      </c>
      <c r="I2458" s="1" t="s">
        <v>109</v>
      </c>
      <c r="K2458" s="1" t="s">
        <v>12576</v>
      </c>
      <c r="M2458" s="1" t="s">
        <v>210</v>
      </c>
      <c r="N2458" s="1">
        <v>0</v>
      </c>
      <c r="O2458" s="1">
        <v>0</v>
      </c>
      <c r="P2458" s="1" t="s">
        <v>3552</v>
      </c>
      <c r="Q2458" s="1" t="s">
        <v>184</v>
      </c>
      <c r="R2458" s="1" t="s">
        <v>12577</v>
      </c>
      <c r="S2458" s="1" t="s">
        <v>12518</v>
      </c>
      <c r="T2458" s="1">
        <v>1</v>
      </c>
      <c r="U2458" s="1">
        <v>1</v>
      </c>
      <c r="V2458" s="1">
        <v>0</v>
      </c>
      <c r="W2458" s="1">
        <v>0</v>
      </c>
      <c r="X2458" s="1">
        <v>0</v>
      </c>
      <c r="Y2458" s="1">
        <v>2</v>
      </c>
      <c r="Z2458" s="1">
        <v>2</v>
      </c>
      <c r="AA2458" s="1" t="s">
        <v>104</v>
      </c>
      <c r="AB2458" s="1" t="s">
        <v>104</v>
      </c>
      <c r="AC2458" s="1" t="s">
        <v>104</v>
      </c>
      <c r="AD2458" s="1">
        <v>2</v>
      </c>
      <c r="AE2458" s="1" t="s">
        <v>104</v>
      </c>
      <c r="AF2458" s="1" t="s">
        <v>104</v>
      </c>
      <c r="AG2458" s="1" t="s">
        <v>104</v>
      </c>
      <c r="AH2458" s="1" t="s">
        <v>104</v>
      </c>
      <c r="AI2458" s="1" t="s">
        <v>104</v>
      </c>
      <c r="AJ2458" s="1" t="s">
        <v>104</v>
      </c>
      <c r="AK2458" s="1" t="s">
        <v>104</v>
      </c>
      <c r="AL2458" s="1" t="s">
        <v>104</v>
      </c>
      <c r="AM2458" s="1" t="s">
        <v>104</v>
      </c>
      <c r="AO2458" s="1">
        <v>2</v>
      </c>
      <c r="AR2458" s="1">
        <v>0</v>
      </c>
      <c r="AS2458" s="1">
        <v>0</v>
      </c>
      <c r="AT2458" s="1">
        <v>0</v>
      </c>
      <c r="AU2458" s="1">
        <v>0</v>
      </c>
      <c r="AV2458" s="1">
        <v>0</v>
      </c>
      <c r="AW2458" s="1">
        <v>0</v>
      </c>
      <c r="AX2458" s="1">
        <v>0</v>
      </c>
      <c r="AY2458" s="1">
        <v>0</v>
      </c>
      <c r="AZ2458" s="1">
        <v>0</v>
      </c>
      <c r="BA2458" s="1">
        <v>0</v>
      </c>
      <c r="BB2458" s="1">
        <v>0</v>
      </c>
      <c r="BC2458" s="1">
        <v>0</v>
      </c>
      <c r="BD2458" s="1">
        <v>0</v>
      </c>
      <c r="BE2458" s="1">
        <v>0</v>
      </c>
      <c r="BF2458" s="1">
        <v>0</v>
      </c>
      <c r="BG2458" s="1">
        <v>0</v>
      </c>
      <c r="BH2458" s="1">
        <v>0</v>
      </c>
      <c r="BI2458" s="1">
        <v>0</v>
      </c>
      <c r="BJ2458" s="1">
        <v>0</v>
      </c>
      <c r="BK2458" s="1">
        <v>0</v>
      </c>
      <c r="BL2458" s="1">
        <v>0</v>
      </c>
      <c r="BM2458" s="1">
        <v>0</v>
      </c>
      <c r="BN2458" s="1">
        <v>1</v>
      </c>
      <c r="BO2458" s="1">
        <v>0</v>
      </c>
      <c r="BP2458" s="1">
        <v>0</v>
      </c>
      <c r="BQ2458" s="1" t="s">
        <v>104</v>
      </c>
      <c r="BR2458" s="1">
        <v>2581</v>
      </c>
      <c r="BS2458" s="1" t="s">
        <v>104</v>
      </c>
      <c r="BX2458" s="1">
        <v>0</v>
      </c>
      <c r="BY2458" s="1" t="s">
        <v>104</v>
      </c>
      <c r="BZ2458" s="1" t="s">
        <v>104</v>
      </c>
      <c r="CA2458" s="1" t="s">
        <v>104</v>
      </c>
      <c r="CB2458" s="1" t="s">
        <v>104</v>
      </c>
      <c r="CC2458" s="1" t="s">
        <v>104</v>
      </c>
      <c r="CD2458" s="1" t="s">
        <v>104</v>
      </c>
      <c r="CE2458" s="1" t="s">
        <v>104</v>
      </c>
      <c r="CF2458" s="1" t="s">
        <v>104</v>
      </c>
      <c r="CG2458" s="1" t="s">
        <v>104</v>
      </c>
      <c r="CH2458" s="1" t="s">
        <v>104</v>
      </c>
      <c r="CJ2458" s="1">
        <v>0</v>
      </c>
      <c r="CK2458" s="1">
        <v>0</v>
      </c>
      <c r="CL2458" s="1">
        <v>0</v>
      </c>
      <c r="CM2458" s="1" t="s">
        <v>104</v>
      </c>
    </row>
    <row r="2459" spans="1:91" ht="14.25" customHeight="1" x14ac:dyDescent="0.3">
      <c r="A2459" s="1" t="s">
        <v>12578</v>
      </c>
      <c r="B2459" s="1" t="s">
        <v>123</v>
      </c>
      <c r="C2459" s="1" t="s">
        <v>124</v>
      </c>
      <c r="D2459" s="1" t="s">
        <v>11422</v>
      </c>
      <c r="E2459" s="1" t="s">
        <v>12579</v>
      </c>
      <c r="F2459" s="1" t="s">
        <v>95</v>
      </c>
      <c r="G2459" s="1" t="s">
        <v>12580</v>
      </c>
      <c r="H2459" s="1">
        <v>0</v>
      </c>
      <c r="I2459" s="1" t="s">
        <v>117</v>
      </c>
      <c r="L2459" s="1" t="s">
        <v>1065</v>
      </c>
      <c r="M2459" s="1" t="s">
        <v>620</v>
      </c>
      <c r="N2459" s="1">
        <v>1</v>
      </c>
      <c r="O2459" s="1">
        <v>0</v>
      </c>
      <c r="P2459" s="1" t="s">
        <v>211</v>
      </c>
      <c r="Q2459" s="1" t="s">
        <v>184</v>
      </c>
      <c r="R2459" s="1" t="s">
        <v>12581</v>
      </c>
      <c r="S2459" s="1" t="s">
        <v>12518</v>
      </c>
      <c r="T2459" s="1">
        <v>0</v>
      </c>
      <c r="U2459" s="1">
        <v>1</v>
      </c>
      <c r="V2459" s="1">
        <v>1</v>
      </c>
      <c r="W2459" s="1">
        <v>0</v>
      </c>
      <c r="X2459" s="1">
        <v>0</v>
      </c>
      <c r="Y2459" s="1">
        <v>4</v>
      </c>
      <c r="Z2459" s="1">
        <v>4</v>
      </c>
      <c r="AA2459" s="1" t="s">
        <v>104</v>
      </c>
      <c r="AB2459" s="1" t="s">
        <v>104</v>
      </c>
      <c r="AC2459" s="1" t="s">
        <v>104</v>
      </c>
      <c r="AD2459" s="1">
        <v>3</v>
      </c>
      <c r="AE2459" s="1" t="s">
        <v>104</v>
      </c>
      <c r="AF2459" s="1" t="s">
        <v>104</v>
      </c>
      <c r="AG2459" s="1" t="s">
        <v>104</v>
      </c>
      <c r="AH2459" s="1">
        <v>4</v>
      </c>
      <c r="AI2459" s="1" t="s">
        <v>104</v>
      </c>
      <c r="AJ2459" s="1" t="s">
        <v>104</v>
      </c>
      <c r="AK2459" s="1" t="s">
        <v>104</v>
      </c>
      <c r="AL2459" s="1" t="s">
        <v>104</v>
      </c>
      <c r="AM2459" s="1" t="s">
        <v>104</v>
      </c>
      <c r="AO2459" s="1">
        <v>4</v>
      </c>
      <c r="AR2459" s="1">
        <v>0</v>
      </c>
      <c r="AS2459" s="1">
        <v>0</v>
      </c>
      <c r="AT2459" s="1">
        <v>0</v>
      </c>
      <c r="AU2459" s="1">
        <v>0</v>
      </c>
      <c r="AV2459" s="1">
        <v>0</v>
      </c>
      <c r="AW2459" s="1">
        <v>0</v>
      </c>
      <c r="AX2459" s="1">
        <v>0</v>
      </c>
      <c r="AY2459" s="1">
        <v>0</v>
      </c>
      <c r="AZ2459" s="1">
        <v>0</v>
      </c>
      <c r="BA2459" s="1">
        <v>0</v>
      </c>
      <c r="BB2459" s="1">
        <v>1</v>
      </c>
      <c r="BC2459" s="1">
        <v>0</v>
      </c>
      <c r="BD2459" s="1">
        <v>0</v>
      </c>
      <c r="BE2459" s="1">
        <v>0</v>
      </c>
      <c r="BF2459" s="1">
        <v>0</v>
      </c>
      <c r="BG2459" s="1">
        <v>0</v>
      </c>
      <c r="BH2459" s="1">
        <v>0</v>
      </c>
      <c r="BI2459" s="1">
        <v>0</v>
      </c>
      <c r="BJ2459" s="1">
        <v>0</v>
      </c>
      <c r="BK2459" s="1">
        <v>1</v>
      </c>
      <c r="BL2459" s="1">
        <v>0</v>
      </c>
      <c r="BM2459" s="1">
        <v>0</v>
      </c>
      <c r="BN2459" s="1">
        <v>0</v>
      </c>
      <c r="BO2459" s="1">
        <v>0</v>
      </c>
      <c r="BP2459" s="1">
        <v>0</v>
      </c>
      <c r="BQ2459" s="1" t="s">
        <v>104</v>
      </c>
      <c r="BR2459" s="1">
        <v>2582</v>
      </c>
      <c r="BS2459" s="1" t="s">
        <v>104</v>
      </c>
      <c r="BX2459" s="1">
        <v>0</v>
      </c>
      <c r="BY2459" s="1" t="s">
        <v>104</v>
      </c>
      <c r="BZ2459" s="1" t="s">
        <v>104</v>
      </c>
      <c r="CA2459" s="1">
        <v>4</v>
      </c>
      <c r="CB2459" s="1">
        <v>3</v>
      </c>
      <c r="CC2459" s="1">
        <v>3</v>
      </c>
      <c r="CD2459" s="1" t="s">
        <v>104</v>
      </c>
      <c r="CE2459" s="1" t="s">
        <v>104</v>
      </c>
      <c r="CF2459" s="1" t="s">
        <v>104</v>
      </c>
      <c r="CG2459" s="1" t="s">
        <v>104</v>
      </c>
      <c r="CH2459" s="1" t="s">
        <v>104</v>
      </c>
      <c r="CJ2459" s="1">
        <v>0</v>
      </c>
      <c r="CK2459" s="1">
        <v>0</v>
      </c>
      <c r="CL2459" s="1">
        <v>0</v>
      </c>
      <c r="CM2459" s="1" t="s">
        <v>104</v>
      </c>
    </row>
    <row r="2460" spans="1:91" ht="14.25" customHeight="1" x14ac:dyDescent="0.3">
      <c r="A2460" s="1" t="s">
        <v>12582</v>
      </c>
      <c r="B2460" s="1" t="s">
        <v>123</v>
      </c>
      <c r="C2460" s="1" t="s">
        <v>124</v>
      </c>
      <c r="D2460" s="1" t="s">
        <v>11422</v>
      </c>
      <c r="E2460" s="1" t="s">
        <v>12583</v>
      </c>
      <c r="F2460" s="1" t="s">
        <v>95</v>
      </c>
      <c r="G2460" s="1" t="s">
        <v>12580</v>
      </c>
      <c r="H2460" s="1">
        <v>0</v>
      </c>
      <c r="I2460" s="1" t="s">
        <v>117</v>
      </c>
      <c r="L2460" s="1" t="s">
        <v>1065</v>
      </c>
      <c r="M2460" s="1" t="s">
        <v>4400</v>
      </c>
      <c r="N2460" s="1">
        <v>1</v>
      </c>
      <c r="O2460" s="1">
        <v>0</v>
      </c>
      <c r="P2460" s="1" t="s">
        <v>211</v>
      </c>
      <c r="Q2460" s="1" t="s">
        <v>184</v>
      </c>
      <c r="R2460" s="1" t="s">
        <v>12584</v>
      </c>
      <c r="S2460" s="1" t="s">
        <v>12518</v>
      </c>
      <c r="T2460" s="1">
        <v>0</v>
      </c>
      <c r="U2460" s="1">
        <v>1</v>
      </c>
      <c r="V2460" s="1">
        <v>1</v>
      </c>
      <c r="W2460" s="1">
        <v>0</v>
      </c>
      <c r="X2460" s="1">
        <v>0</v>
      </c>
      <c r="Y2460" s="1">
        <v>7</v>
      </c>
      <c r="Z2460" s="1">
        <v>7</v>
      </c>
      <c r="AA2460" s="1" t="s">
        <v>104</v>
      </c>
      <c r="AB2460" s="1" t="s">
        <v>104</v>
      </c>
      <c r="AC2460" s="1" t="s">
        <v>104</v>
      </c>
      <c r="AD2460" s="1">
        <v>5</v>
      </c>
      <c r="AE2460" s="1" t="s">
        <v>104</v>
      </c>
      <c r="AF2460" s="1" t="s">
        <v>104</v>
      </c>
      <c r="AG2460" s="1" t="s">
        <v>104</v>
      </c>
      <c r="AH2460" s="1">
        <v>7</v>
      </c>
      <c r="AI2460" s="1" t="s">
        <v>104</v>
      </c>
      <c r="AJ2460" s="1" t="s">
        <v>104</v>
      </c>
      <c r="AK2460" s="1" t="s">
        <v>104</v>
      </c>
      <c r="AL2460" s="1" t="s">
        <v>104</v>
      </c>
      <c r="AM2460" s="1" t="s">
        <v>104</v>
      </c>
      <c r="AO2460" s="1">
        <v>7</v>
      </c>
      <c r="AR2460" s="1">
        <v>0</v>
      </c>
      <c r="AS2460" s="1">
        <v>0</v>
      </c>
      <c r="AT2460" s="1">
        <v>0</v>
      </c>
      <c r="AU2460" s="1">
        <v>0</v>
      </c>
      <c r="AV2460" s="1">
        <v>0</v>
      </c>
      <c r="AW2460" s="1">
        <v>0</v>
      </c>
      <c r="AX2460" s="1">
        <v>0</v>
      </c>
      <c r="AY2460" s="1">
        <v>0</v>
      </c>
      <c r="AZ2460" s="1">
        <v>0</v>
      </c>
      <c r="BA2460" s="1">
        <v>0</v>
      </c>
      <c r="BB2460" s="1">
        <v>1</v>
      </c>
      <c r="BC2460" s="1">
        <v>0</v>
      </c>
      <c r="BD2460" s="1">
        <v>0</v>
      </c>
      <c r="BE2460" s="1">
        <v>0</v>
      </c>
      <c r="BF2460" s="1">
        <v>0</v>
      </c>
      <c r="BG2460" s="1">
        <v>0</v>
      </c>
      <c r="BH2460" s="1">
        <v>0</v>
      </c>
      <c r="BI2460" s="1">
        <v>0</v>
      </c>
      <c r="BJ2460" s="1">
        <v>0</v>
      </c>
      <c r="BK2460" s="1">
        <v>1</v>
      </c>
      <c r="BL2460" s="1">
        <v>0</v>
      </c>
      <c r="BM2460" s="1">
        <v>0</v>
      </c>
      <c r="BN2460" s="1">
        <v>0</v>
      </c>
      <c r="BO2460" s="1">
        <v>0</v>
      </c>
      <c r="BP2460" s="1">
        <v>0</v>
      </c>
      <c r="BQ2460" s="1" t="s">
        <v>104</v>
      </c>
      <c r="BR2460" s="1">
        <v>2583</v>
      </c>
      <c r="BS2460" s="1" t="s">
        <v>104</v>
      </c>
      <c r="BX2460" s="1">
        <v>0</v>
      </c>
      <c r="BY2460" s="1" t="s">
        <v>104</v>
      </c>
      <c r="BZ2460" s="1" t="s">
        <v>104</v>
      </c>
      <c r="CA2460" s="1">
        <v>7</v>
      </c>
      <c r="CB2460" s="1">
        <v>4</v>
      </c>
      <c r="CC2460" s="1">
        <v>5</v>
      </c>
      <c r="CD2460" s="1" t="s">
        <v>104</v>
      </c>
      <c r="CE2460" s="1" t="s">
        <v>104</v>
      </c>
      <c r="CF2460" s="1" t="s">
        <v>104</v>
      </c>
      <c r="CG2460" s="1" t="s">
        <v>104</v>
      </c>
      <c r="CH2460" s="1" t="s">
        <v>104</v>
      </c>
      <c r="CJ2460" s="1">
        <v>0</v>
      </c>
      <c r="CK2460" s="1">
        <v>0</v>
      </c>
      <c r="CL2460" s="1">
        <v>0</v>
      </c>
      <c r="CM2460" s="1" t="s">
        <v>104</v>
      </c>
    </row>
    <row r="2461" spans="1:91" ht="14.25" customHeight="1" x14ac:dyDescent="0.3">
      <c r="A2461" s="1" t="s">
        <v>12585</v>
      </c>
      <c r="B2461" s="1" t="s">
        <v>123</v>
      </c>
      <c r="C2461" s="1" t="s">
        <v>124</v>
      </c>
      <c r="D2461" s="1" t="s">
        <v>347</v>
      </c>
      <c r="E2461" s="1" t="s">
        <v>12586</v>
      </c>
      <c r="F2461" s="1" t="s">
        <v>95</v>
      </c>
      <c r="G2461" s="1" t="s">
        <v>116</v>
      </c>
      <c r="H2461" s="1">
        <v>0</v>
      </c>
      <c r="I2461" s="1" t="s">
        <v>117</v>
      </c>
      <c r="L2461" s="1" t="s">
        <v>12587</v>
      </c>
      <c r="M2461" s="1" t="s">
        <v>620</v>
      </c>
      <c r="N2461" s="1">
        <v>1</v>
      </c>
      <c r="O2461" s="1">
        <v>0</v>
      </c>
      <c r="P2461" s="1" t="s">
        <v>375</v>
      </c>
      <c r="Q2461" s="1" t="s">
        <v>184</v>
      </c>
      <c r="R2461" s="1" t="s">
        <v>12588</v>
      </c>
      <c r="S2461" s="1" t="s">
        <v>12518</v>
      </c>
      <c r="T2461" s="1">
        <v>1</v>
      </c>
      <c r="U2461" s="1">
        <v>1</v>
      </c>
      <c r="V2461" s="1">
        <v>0</v>
      </c>
      <c r="W2461" s="1">
        <v>0</v>
      </c>
      <c r="X2461" s="1">
        <v>0</v>
      </c>
      <c r="Y2461" s="1">
        <v>5</v>
      </c>
      <c r="Z2461" s="1">
        <v>5</v>
      </c>
      <c r="AA2461" s="1">
        <v>5</v>
      </c>
      <c r="AB2461" s="1" t="s">
        <v>104</v>
      </c>
      <c r="AC2461" s="1" t="s">
        <v>104</v>
      </c>
      <c r="AD2461" s="1">
        <v>4</v>
      </c>
      <c r="AE2461" s="1" t="s">
        <v>104</v>
      </c>
      <c r="AF2461" s="1" t="s">
        <v>104</v>
      </c>
      <c r="AG2461" s="1">
        <v>4</v>
      </c>
      <c r="AH2461" s="1">
        <v>5</v>
      </c>
      <c r="AI2461" s="1">
        <v>4</v>
      </c>
      <c r="AJ2461" s="1">
        <v>5</v>
      </c>
      <c r="AK2461" s="1" t="s">
        <v>104</v>
      </c>
      <c r="AL2461" s="1" t="s">
        <v>104</v>
      </c>
      <c r="AM2461" s="1" t="s">
        <v>104</v>
      </c>
      <c r="AO2461" s="1">
        <v>5</v>
      </c>
      <c r="AR2461" s="1">
        <v>0</v>
      </c>
      <c r="AS2461" s="1">
        <v>0</v>
      </c>
      <c r="AT2461" s="1">
        <v>0</v>
      </c>
      <c r="AU2461" s="1">
        <v>0</v>
      </c>
      <c r="AV2461" s="1">
        <v>0</v>
      </c>
      <c r="AW2461" s="1">
        <v>0</v>
      </c>
      <c r="AX2461" s="1">
        <v>0</v>
      </c>
      <c r="AY2461" s="1">
        <v>0</v>
      </c>
      <c r="AZ2461" s="1">
        <v>0</v>
      </c>
      <c r="BA2461" s="1">
        <v>0</v>
      </c>
      <c r="BB2461" s="1">
        <v>0</v>
      </c>
      <c r="BC2461" s="1">
        <v>0</v>
      </c>
      <c r="BD2461" s="1">
        <v>1</v>
      </c>
      <c r="BE2461" s="1">
        <v>0</v>
      </c>
      <c r="BF2461" s="1">
        <v>0</v>
      </c>
      <c r="BG2461" s="1">
        <v>0</v>
      </c>
      <c r="BH2461" s="1">
        <v>0</v>
      </c>
      <c r="BI2461" s="1">
        <v>0</v>
      </c>
      <c r="BJ2461" s="1">
        <v>0</v>
      </c>
      <c r="BK2461" s="1">
        <v>1</v>
      </c>
      <c r="BL2461" s="1">
        <v>0</v>
      </c>
      <c r="BM2461" s="1">
        <v>0</v>
      </c>
      <c r="BN2461" s="1">
        <v>0</v>
      </c>
      <c r="BO2461" s="1">
        <v>0</v>
      </c>
      <c r="BP2461" s="1">
        <v>0</v>
      </c>
      <c r="BQ2461" s="1" t="s">
        <v>104</v>
      </c>
      <c r="BR2461" s="1">
        <v>2584</v>
      </c>
      <c r="BS2461" s="1" t="s">
        <v>104</v>
      </c>
      <c r="BX2461" s="1">
        <v>0</v>
      </c>
      <c r="BY2461" s="1" t="s">
        <v>104</v>
      </c>
      <c r="BZ2461" s="1" t="s">
        <v>104</v>
      </c>
      <c r="CA2461" s="1">
        <v>5</v>
      </c>
      <c r="CB2461" s="1" t="s">
        <v>104</v>
      </c>
      <c r="CC2461" s="1">
        <v>4</v>
      </c>
      <c r="CD2461" s="1" t="s">
        <v>104</v>
      </c>
      <c r="CE2461" s="1" t="s">
        <v>104</v>
      </c>
      <c r="CF2461" s="1" t="s">
        <v>104</v>
      </c>
      <c r="CG2461" s="1" t="s">
        <v>104</v>
      </c>
      <c r="CH2461" s="1" t="s">
        <v>104</v>
      </c>
      <c r="CJ2461" s="1">
        <v>0</v>
      </c>
      <c r="CK2461" s="1">
        <v>0</v>
      </c>
      <c r="CL2461" s="1">
        <v>0</v>
      </c>
      <c r="CM2461" s="1">
        <v>4</v>
      </c>
    </row>
    <row r="2462" spans="1:91" ht="14.25" customHeight="1" x14ac:dyDescent="0.3">
      <c r="A2462" s="1" t="s">
        <v>12589</v>
      </c>
      <c r="B2462" s="1" t="s">
        <v>137</v>
      </c>
      <c r="E2462" s="1" t="s">
        <v>3700</v>
      </c>
      <c r="F2462" s="1" t="s">
        <v>95</v>
      </c>
      <c r="G2462" s="1" t="s">
        <v>116</v>
      </c>
      <c r="H2462" s="1">
        <v>0</v>
      </c>
      <c r="L2462" s="1" t="s">
        <v>12590</v>
      </c>
      <c r="M2462" s="1" t="s">
        <v>4400</v>
      </c>
      <c r="N2462" s="1">
        <v>1</v>
      </c>
      <c r="O2462" s="1">
        <v>0</v>
      </c>
      <c r="P2462" s="1" t="s">
        <v>100</v>
      </c>
      <c r="Q2462" s="1" t="s">
        <v>101</v>
      </c>
      <c r="R2462" s="1" t="s">
        <v>12591</v>
      </c>
      <c r="S2462" s="1" t="s">
        <v>12518</v>
      </c>
      <c r="T2462" s="1">
        <v>1</v>
      </c>
      <c r="U2462" s="1">
        <v>1</v>
      </c>
      <c r="V2462" s="1">
        <v>0</v>
      </c>
      <c r="W2462" s="1">
        <v>0</v>
      </c>
      <c r="X2462" s="1">
        <v>0</v>
      </c>
      <c r="Y2462" s="1" t="s">
        <v>104</v>
      </c>
      <c r="Z2462" s="1" t="s">
        <v>104</v>
      </c>
      <c r="AA2462" s="1" t="s">
        <v>104</v>
      </c>
      <c r="AB2462" s="1">
        <v>4</v>
      </c>
      <c r="AC2462" s="1">
        <v>4</v>
      </c>
      <c r="AD2462" s="1" t="s">
        <v>104</v>
      </c>
      <c r="AE2462" s="1" t="s">
        <v>104</v>
      </c>
      <c r="AF2462" s="1" t="s">
        <v>104</v>
      </c>
      <c r="AG2462" s="1" t="s">
        <v>104</v>
      </c>
      <c r="AH2462" s="1" t="s">
        <v>104</v>
      </c>
      <c r="AI2462" s="1" t="s">
        <v>104</v>
      </c>
      <c r="AJ2462" s="1" t="s">
        <v>104</v>
      </c>
      <c r="AK2462" s="1" t="s">
        <v>104</v>
      </c>
      <c r="AL2462" s="1" t="s">
        <v>104</v>
      </c>
      <c r="AM2462" s="1" t="s">
        <v>104</v>
      </c>
      <c r="AO2462" s="1">
        <v>4</v>
      </c>
      <c r="AR2462" s="1">
        <v>0</v>
      </c>
      <c r="AS2462" s="1">
        <v>0</v>
      </c>
      <c r="AT2462" s="1">
        <v>0</v>
      </c>
      <c r="AU2462" s="1">
        <v>0</v>
      </c>
      <c r="AV2462" s="1">
        <v>0</v>
      </c>
      <c r="AW2462" s="1">
        <v>0</v>
      </c>
      <c r="AX2462" s="1">
        <v>0</v>
      </c>
      <c r="AY2462" s="1">
        <v>0</v>
      </c>
      <c r="AZ2462" s="1">
        <v>0</v>
      </c>
      <c r="BA2462" s="1">
        <v>0</v>
      </c>
      <c r="BB2462" s="1">
        <v>0</v>
      </c>
      <c r="BC2462" s="1">
        <v>0</v>
      </c>
      <c r="BD2462" s="1">
        <v>0</v>
      </c>
      <c r="BE2462" s="1">
        <v>0</v>
      </c>
      <c r="BF2462" s="1">
        <v>0</v>
      </c>
      <c r="BG2462" s="1">
        <v>0</v>
      </c>
      <c r="BH2462" s="1">
        <v>0</v>
      </c>
      <c r="BI2462" s="1">
        <v>0</v>
      </c>
      <c r="BJ2462" s="1">
        <v>0</v>
      </c>
      <c r="BK2462" s="1">
        <v>0</v>
      </c>
      <c r="BL2462" s="1">
        <v>0</v>
      </c>
      <c r="BM2462" s="1">
        <v>0</v>
      </c>
      <c r="BN2462" s="1">
        <v>0</v>
      </c>
      <c r="BO2462" s="1">
        <v>0</v>
      </c>
      <c r="BP2462" s="1">
        <v>0</v>
      </c>
      <c r="BQ2462" s="1" t="s">
        <v>104</v>
      </c>
      <c r="BR2462" s="1">
        <v>2585</v>
      </c>
      <c r="BS2462" s="1" t="s">
        <v>104</v>
      </c>
      <c r="BX2462" s="1">
        <v>0</v>
      </c>
      <c r="BY2462" s="1" t="s">
        <v>104</v>
      </c>
      <c r="BZ2462" s="1" t="s">
        <v>104</v>
      </c>
      <c r="CA2462" s="1" t="s">
        <v>104</v>
      </c>
      <c r="CB2462" s="1" t="s">
        <v>104</v>
      </c>
      <c r="CC2462" s="1" t="s">
        <v>104</v>
      </c>
      <c r="CD2462" s="1" t="s">
        <v>104</v>
      </c>
      <c r="CE2462" s="1" t="s">
        <v>104</v>
      </c>
      <c r="CF2462" s="1" t="s">
        <v>104</v>
      </c>
      <c r="CG2462" s="1" t="s">
        <v>104</v>
      </c>
      <c r="CH2462" s="1">
        <v>4</v>
      </c>
      <c r="CJ2462" s="1">
        <v>0</v>
      </c>
      <c r="CK2462" s="1">
        <v>0</v>
      </c>
      <c r="CL2462" s="1">
        <v>0</v>
      </c>
      <c r="CM2462" s="1" t="s">
        <v>104</v>
      </c>
    </row>
    <row r="2463" spans="1:91" ht="14.25" customHeight="1" x14ac:dyDescent="0.3">
      <c r="A2463" s="1" t="s">
        <v>12592</v>
      </c>
      <c r="B2463" s="1" t="s">
        <v>137</v>
      </c>
      <c r="E2463" s="1" t="s">
        <v>12593</v>
      </c>
      <c r="F2463" s="1" t="s">
        <v>95</v>
      </c>
      <c r="G2463" s="1" t="s">
        <v>12594</v>
      </c>
      <c r="H2463" s="1">
        <v>1</v>
      </c>
      <c r="I2463" s="1" t="s">
        <v>128</v>
      </c>
      <c r="L2463" s="1" t="s">
        <v>12595</v>
      </c>
      <c r="M2463" s="1" t="s">
        <v>119</v>
      </c>
      <c r="N2463" s="1">
        <v>0</v>
      </c>
      <c r="O2463" s="1">
        <v>0</v>
      </c>
      <c r="P2463" s="1" t="s">
        <v>100</v>
      </c>
      <c r="Q2463" s="1" t="s">
        <v>101</v>
      </c>
      <c r="R2463" s="1" t="s">
        <v>12596</v>
      </c>
      <c r="S2463" s="1" t="s">
        <v>12518</v>
      </c>
      <c r="T2463" s="1">
        <v>1</v>
      </c>
      <c r="U2463" s="1">
        <v>1</v>
      </c>
      <c r="V2463" s="1">
        <v>1</v>
      </c>
      <c r="W2463" s="1">
        <v>0</v>
      </c>
      <c r="X2463" s="1">
        <v>0</v>
      </c>
      <c r="Y2463" s="1">
        <v>6</v>
      </c>
      <c r="Z2463" s="1">
        <v>6</v>
      </c>
      <c r="AA2463" s="1" t="s">
        <v>104</v>
      </c>
      <c r="AB2463" s="1" t="s">
        <v>104</v>
      </c>
      <c r="AC2463" s="1" t="s">
        <v>104</v>
      </c>
      <c r="AD2463" s="1" t="s">
        <v>104</v>
      </c>
      <c r="AE2463" s="1" t="s">
        <v>104</v>
      </c>
      <c r="AF2463" s="1">
        <v>5</v>
      </c>
      <c r="AG2463" s="1" t="s">
        <v>104</v>
      </c>
      <c r="AH2463" s="1" t="s">
        <v>104</v>
      </c>
      <c r="AI2463" s="1" t="s">
        <v>104</v>
      </c>
      <c r="AJ2463" s="1" t="s">
        <v>104</v>
      </c>
      <c r="AK2463" s="1" t="s">
        <v>104</v>
      </c>
      <c r="AL2463" s="1" t="s">
        <v>104</v>
      </c>
      <c r="AM2463" s="1" t="s">
        <v>104</v>
      </c>
      <c r="AO2463" s="1">
        <v>6</v>
      </c>
      <c r="AR2463" s="1">
        <v>0</v>
      </c>
      <c r="AS2463" s="1">
        <v>0</v>
      </c>
      <c r="AT2463" s="1">
        <v>0</v>
      </c>
      <c r="AU2463" s="1">
        <v>0</v>
      </c>
      <c r="AV2463" s="1">
        <v>0</v>
      </c>
      <c r="AW2463" s="1">
        <v>0</v>
      </c>
      <c r="AX2463" s="1">
        <v>0</v>
      </c>
      <c r="AY2463" s="1">
        <v>0</v>
      </c>
      <c r="AZ2463" s="1">
        <v>0</v>
      </c>
      <c r="BA2463" s="1">
        <v>0</v>
      </c>
      <c r="BB2463" s="1">
        <v>0</v>
      </c>
      <c r="BC2463" s="1">
        <v>0</v>
      </c>
      <c r="BD2463" s="1">
        <v>0</v>
      </c>
      <c r="BE2463" s="1">
        <v>0</v>
      </c>
      <c r="BF2463" s="1">
        <v>0</v>
      </c>
      <c r="BG2463" s="1">
        <v>0</v>
      </c>
      <c r="BH2463" s="1">
        <v>0</v>
      </c>
      <c r="BI2463" s="1">
        <v>0</v>
      </c>
      <c r="BJ2463" s="1">
        <v>0</v>
      </c>
      <c r="BK2463" s="1">
        <v>0</v>
      </c>
      <c r="BL2463" s="1">
        <v>0</v>
      </c>
      <c r="BM2463" s="1">
        <v>0</v>
      </c>
      <c r="BN2463" s="1">
        <v>0</v>
      </c>
      <c r="BO2463" s="1">
        <v>0</v>
      </c>
      <c r="BP2463" s="1">
        <v>0</v>
      </c>
      <c r="BQ2463" s="1" t="s">
        <v>104</v>
      </c>
      <c r="BR2463" s="1">
        <v>2586</v>
      </c>
      <c r="BS2463" s="1">
        <v>1</v>
      </c>
      <c r="BX2463" s="1">
        <v>0</v>
      </c>
      <c r="BY2463" s="1" t="s">
        <v>104</v>
      </c>
      <c r="BZ2463" s="1" t="s">
        <v>104</v>
      </c>
      <c r="CA2463" s="1" t="s">
        <v>104</v>
      </c>
      <c r="CB2463" s="1" t="s">
        <v>104</v>
      </c>
      <c r="CC2463" s="1" t="s">
        <v>104</v>
      </c>
      <c r="CD2463" s="1">
        <v>6</v>
      </c>
      <c r="CE2463" s="1" t="s">
        <v>104</v>
      </c>
      <c r="CF2463" s="1" t="s">
        <v>104</v>
      </c>
      <c r="CG2463" s="1" t="s">
        <v>104</v>
      </c>
      <c r="CH2463" s="1" t="s">
        <v>104</v>
      </c>
      <c r="CJ2463" s="1">
        <v>0</v>
      </c>
      <c r="CK2463" s="1">
        <v>0</v>
      </c>
      <c r="CL2463" s="1">
        <v>0</v>
      </c>
      <c r="CM2463" s="1" t="s">
        <v>104</v>
      </c>
    </row>
    <row r="2464" spans="1:91" ht="14.25" customHeight="1" x14ac:dyDescent="0.3">
      <c r="A2464" s="1" t="s">
        <v>12597</v>
      </c>
      <c r="B2464" s="1" t="s">
        <v>172</v>
      </c>
      <c r="E2464" s="1" t="s">
        <v>12598</v>
      </c>
      <c r="F2464" s="1" t="s">
        <v>95</v>
      </c>
      <c r="G2464" s="1" t="s">
        <v>5834</v>
      </c>
      <c r="H2464" s="1">
        <v>0</v>
      </c>
      <c r="I2464" s="1" t="s">
        <v>157</v>
      </c>
      <c r="L2464" s="1" t="s">
        <v>158</v>
      </c>
      <c r="M2464" s="1" t="s">
        <v>2330</v>
      </c>
      <c r="N2464" s="1">
        <v>0</v>
      </c>
      <c r="O2464" s="1">
        <v>0</v>
      </c>
      <c r="R2464" s="1" t="s">
        <v>12599</v>
      </c>
      <c r="S2464" s="1" t="s">
        <v>12518</v>
      </c>
      <c r="T2464" s="1">
        <v>1</v>
      </c>
      <c r="U2464" s="1">
        <v>1</v>
      </c>
      <c r="V2464" s="1">
        <v>0</v>
      </c>
      <c r="W2464" s="1">
        <v>0</v>
      </c>
      <c r="X2464" s="1">
        <v>0</v>
      </c>
      <c r="Y2464" s="1">
        <v>1</v>
      </c>
      <c r="Z2464" s="1">
        <v>1</v>
      </c>
      <c r="AA2464" s="1" t="s">
        <v>104</v>
      </c>
      <c r="AB2464" s="1" t="s">
        <v>104</v>
      </c>
      <c r="AC2464" s="1" t="s">
        <v>104</v>
      </c>
      <c r="AD2464" s="1">
        <v>1</v>
      </c>
      <c r="AE2464" s="1" t="s">
        <v>104</v>
      </c>
      <c r="AF2464" s="1">
        <v>1</v>
      </c>
      <c r="AG2464" s="1" t="s">
        <v>104</v>
      </c>
      <c r="AH2464" s="1" t="s">
        <v>104</v>
      </c>
      <c r="AI2464" s="1" t="s">
        <v>104</v>
      </c>
      <c r="AJ2464" s="1" t="s">
        <v>104</v>
      </c>
      <c r="AK2464" s="1" t="s">
        <v>104</v>
      </c>
      <c r="AL2464" s="1">
        <v>1</v>
      </c>
      <c r="AM2464" s="1" t="s">
        <v>104</v>
      </c>
      <c r="AO2464" s="1">
        <v>1</v>
      </c>
      <c r="AR2464" s="1">
        <v>0</v>
      </c>
      <c r="AS2464" s="1">
        <v>0</v>
      </c>
      <c r="AT2464" s="1">
        <v>0</v>
      </c>
      <c r="AU2464" s="1">
        <v>0</v>
      </c>
      <c r="AV2464" s="1">
        <v>0</v>
      </c>
      <c r="AW2464" s="1">
        <v>0</v>
      </c>
      <c r="AX2464" s="1">
        <v>0</v>
      </c>
      <c r="AY2464" s="1">
        <v>0</v>
      </c>
      <c r="AZ2464" s="1">
        <v>0</v>
      </c>
      <c r="BA2464" s="1">
        <v>0</v>
      </c>
      <c r="BB2464" s="1">
        <v>0</v>
      </c>
      <c r="BC2464" s="1">
        <v>0</v>
      </c>
      <c r="BD2464" s="1">
        <v>0</v>
      </c>
      <c r="BE2464" s="1">
        <v>0</v>
      </c>
      <c r="BF2464" s="1">
        <v>0</v>
      </c>
      <c r="BG2464" s="1">
        <v>0</v>
      </c>
      <c r="BH2464" s="1">
        <v>0</v>
      </c>
      <c r="BI2464" s="1">
        <v>0</v>
      </c>
      <c r="BJ2464" s="1">
        <v>0</v>
      </c>
      <c r="BK2464" s="1">
        <v>0</v>
      </c>
      <c r="BL2464" s="1">
        <v>0</v>
      </c>
      <c r="BM2464" s="1">
        <v>0</v>
      </c>
      <c r="BN2464" s="1">
        <v>0</v>
      </c>
      <c r="BO2464" s="1">
        <v>0</v>
      </c>
      <c r="BP2464" s="1">
        <v>0</v>
      </c>
      <c r="BQ2464" s="1" t="s">
        <v>104</v>
      </c>
      <c r="BR2464" s="1">
        <v>2587</v>
      </c>
      <c r="BS2464" s="1" t="s">
        <v>104</v>
      </c>
      <c r="BX2464" s="1">
        <v>0</v>
      </c>
      <c r="BY2464" s="1" t="s">
        <v>104</v>
      </c>
      <c r="BZ2464" s="1" t="s">
        <v>104</v>
      </c>
      <c r="CA2464" s="1">
        <v>1</v>
      </c>
      <c r="CB2464" s="1">
        <v>1</v>
      </c>
      <c r="CC2464" s="1" t="s">
        <v>104</v>
      </c>
      <c r="CD2464" s="1" t="s">
        <v>104</v>
      </c>
      <c r="CE2464" s="1" t="s">
        <v>104</v>
      </c>
      <c r="CF2464" s="1" t="s">
        <v>104</v>
      </c>
      <c r="CG2464" s="1" t="s">
        <v>104</v>
      </c>
      <c r="CH2464" s="1" t="s">
        <v>104</v>
      </c>
      <c r="CJ2464" s="1">
        <v>0</v>
      </c>
      <c r="CK2464" s="1">
        <v>0</v>
      </c>
      <c r="CL2464" s="1">
        <v>0</v>
      </c>
      <c r="CM2464" s="1" t="s">
        <v>104</v>
      </c>
    </row>
    <row r="2465" spans="1:91" ht="14.25" customHeight="1" x14ac:dyDescent="0.3">
      <c r="A2465" s="1" t="s">
        <v>12600</v>
      </c>
      <c r="B2465" s="1" t="s">
        <v>137</v>
      </c>
      <c r="D2465" s="1" t="s">
        <v>11441</v>
      </c>
      <c r="E2465" s="1" t="s">
        <v>12601</v>
      </c>
      <c r="F2465" s="1" t="s">
        <v>95</v>
      </c>
      <c r="G2465" s="1" t="s">
        <v>116</v>
      </c>
      <c r="H2465" s="1">
        <v>0</v>
      </c>
      <c r="I2465" s="1" t="s">
        <v>97</v>
      </c>
      <c r="L2465" s="1" t="s">
        <v>1065</v>
      </c>
      <c r="M2465" s="1" t="s">
        <v>12602</v>
      </c>
      <c r="N2465" s="1">
        <v>0</v>
      </c>
      <c r="O2465" s="1">
        <v>0</v>
      </c>
      <c r="P2465" s="1" t="s">
        <v>1568</v>
      </c>
      <c r="Q2465" s="1" t="s">
        <v>184</v>
      </c>
      <c r="R2465" s="1" t="s">
        <v>12603</v>
      </c>
      <c r="S2465" s="1" t="s">
        <v>12518</v>
      </c>
      <c r="T2465" s="1">
        <v>1</v>
      </c>
      <c r="U2465" s="1">
        <v>1</v>
      </c>
      <c r="V2465" s="1">
        <v>0</v>
      </c>
      <c r="W2465" s="1">
        <v>0</v>
      </c>
      <c r="X2465" s="1">
        <v>0</v>
      </c>
      <c r="Y2465" s="1" t="s">
        <v>104</v>
      </c>
      <c r="Z2465" s="1" t="s">
        <v>104</v>
      </c>
      <c r="AA2465" s="1">
        <v>2</v>
      </c>
      <c r="AB2465" s="1" t="s">
        <v>104</v>
      </c>
      <c r="AC2465" s="1" t="s">
        <v>104</v>
      </c>
      <c r="AD2465" s="1" t="s">
        <v>104</v>
      </c>
      <c r="AE2465" s="1" t="s">
        <v>104</v>
      </c>
      <c r="AF2465" s="1" t="s">
        <v>104</v>
      </c>
      <c r="AG2465" s="1" t="s">
        <v>104</v>
      </c>
      <c r="AH2465" s="1">
        <v>2</v>
      </c>
      <c r="AI2465" s="1" t="s">
        <v>104</v>
      </c>
      <c r="AJ2465" s="1">
        <v>2</v>
      </c>
      <c r="AK2465" s="1" t="s">
        <v>104</v>
      </c>
      <c r="AL2465" s="1" t="s">
        <v>104</v>
      </c>
      <c r="AM2465" s="1" t="s">
        <v>104</v>
      </c>
      <c r="AO2465" s="1">
        <v>2</v>
      </c>
      <c r="AR2465" s="1">
        <v>0</v>
      </c>
      <c r="AS2465" s="1">
        <v>0</v>
      </c>
      <c r="AT2465" s="1">
        <v>0</v>
      </c>
      <c r="AU2465" s="1">
        <v>0</v>
      </c>
      <c r="AV2465" s="1">
        <v>1</v>
      </c>
      <c r="AW2465" s="1">
        <v>0</v>
      </c>
      <c r="AX2465" s="1">
        <v>0</v>
      </c>
      <c r="AY2465" s="1">
        <v>0</v>
      </c>
      <c r="AZ2465" s="1">
        <v>0</v>
      </c>
      <c r="BA2465" s="1">
        <v>0</v>
      </c>
      <c r="BB2465" s="1">
        <v>0</v>
      </c>
      <c r="BC2465" s="1">
        <v>0</v>
      </c>
      <c r="BD2465" s="1">
        <v>0</v>
      </c>
      <c r="BE2465" s="1">
        <v>0</v>
      </c>
      <c r="BF2465" s="1">
        <v>0</v>
      </c>
      <c r="BG2465" s="1">
        <v>0</v>
      </c>
      <c r="BH2465" s="1">
        <v>0</v>
      </c>
      <c r="BI2465" s="1">
        <v>0</v>
      </c>
      <c r="BJ2465" s="1">
        <v>0</v>
      </c>
      <c r="BK2465" s="1">
        <v>0</v>
      </c>
      <c r="BL2465" s="1">
        <v>0</v>
      </c>
      <c r="BM2465" s="1">
        <v>0</v>
      </c>
      <c r="BN2465" s="1">
        <v>0</v>
      </c>
      <c r="BO2465" s="1">
        <v>0</v>
      </c>
      <c r="BP2465" s="1">
        <v>0</v>
      </c>
      <c r="BQ2465" s="1" t="s">
        <v>104</v>
      </c>
      <c r="BR2465" s="1">
        <v>2588</v>
      </c>
      <c r="BS2465" s="1" t="s">
        <v>104</v>
      </c>
      <c r="BX2465" s="1">
        <v>0</v>
      </c>
      <c r="BY2465" s="1" t="s">
        <v>104</v>
      </c>
      <c r="BZ2465" s="1" t="s">
        <v>104</v>
      </c>
      <c r="CA2465" s="1" t="s">
        <v>104</v>
      </c>
      <c r="CB2465" s="1" t="s">
        <v>104</v>
      </c>
      <c r="CC2465" s="1">
        <v>2</v>
      </c>
      <c r="CD2465" s="1">
        <v>2</v>
      </c>
      <c r="CE2465" s="1" t="s">
        <v>104</v>
      </c>
      <c r="CF2465" s="1" t="s">
        <v>104</v>
      </c>
      <c r="CG2465" s="1" t="s">
        <v>104</v>
      </c>
      <c r="CH2465" s="1" t="s">
        <v>104</v>
      </c>
      <c r="CJ2465" s="1">
        <v>0</v>
      </c>
      <c r="CK2465" s="1">
        <v>0</v>
      </c>
      <c r="CL2465" s="1">
        <v>0</v>
      </c>
      <c r="CM2465" s="1" t="s">
        <v>104</v>
      </c>
    </row>
    <row r="2466" spans="1:91" ht="14.25" customHeight="1" x14ac:dyDescent="0.3">
      <c r="A2466" s="1" t="s">
        <v>12604</v>
      </c>
      <c r="B2466" s="1" t="s">
        <v>137</v>
      </c>
      <c r="E2466" s="1" t="s">
        <v>3091</v>
      </c>
      <c r="F2466" s="1" t="s">
        <v>95</v>
      </c>
      <c r="G2466" s="1" t="s">
        <v>116</v>
      </c>
      <c r="H2466" s="1">
        <v>0</v>
      </c>
      <c r="I2466" s="1" t="s">
        <v>4126</v>
      </c>
      <c r="L2466" s="1" t="s">
        <v>12605</v>
      </c>
      <c r="M2466" s="1" t="s">
        <v>4400</v>
      </c>
      <c r="N2466" s="1">
        <v>1</v>
      </c>
      <c r="O2466" s="1">
        <v>0</v>
      </c>
      <c r="P2466" s="1" t="s">
        <v>100</v>
      </c>
      <c r="Q2466" s="1" t="s">
        <v>101</v>
      </c>
      <c r="R2466" s="1" t="s">
        <v>12606</v>
      </c>
      <c r="S2466" s="1" t="s">
        <v>12518</v>
      </c>
      <c r="T2466" s="1">
        <v>1</v>
      </c>
      <c r="U2466" s="1">
        <v>1</v>
      </c>
      <c r="V2466" s="1">
        <v>0</v>
      </c>
      <c r="W2466" s="1">
        <v>0</v>
      </c>
      <c r="X2466" s="1">
        <v>0</v>
      </c>
      <c r="Y2466" s="1" t="s">
        <v>104</v>
      </c>
      <c r="Z2466" s="1" t="s">
        <v>104</v>
      </c>
      <c r="AA2466" s="1" t="s">
        <v>104</v>
      </c>
      <c r="AB2466" s="1">
        <v>6</v>
      </c>
      <c r="AC2466" s="1" t="s">
        <v>104</v>
      </c>
      <c r="AD2466" s="1" t="s">
        <v>104</v>
      </c>
      <c r="AE2466" s="1" t="s">
        <v>104</v>
      </c>
      <c r="AF2466" s="1" t="s">
        <v>104</v>
      </c>
      <c r="AG2466" s="1" t="s">
        <v>104</v>
      </c>
      <c r="AH2466" s="1" t="s">
        <v>104</v>
      </c>
      <c r="AI2466" s="1" t="s">
        <v>104</v>
      </c>
      <c r="AJ2466" s="1" t="s">
        <v>104</v>
      </c>
      <c r="AK2466" s="1" t="s">
        <v>104</v>
      </c>
      <c r="AL2466" s="1" t="s">
        <v>104</v>
      </c>
      <c r="AM2466" s="1" t="s">
        <v>104</v>
      </c>
      <c r="AO2466" s="1">
        <v>6</v>
      </c>
      <c r="AR2466" s="1">
        <v>0</v>
      </c>
      <c r="AS2466" s="1">
        <v>0</v>
      </c>
      <c r="AT2466" s="1">
        <v>0</v>
      </c>
      <c r="AU2466" s="1">
        <v>0</v>
      </c>
      <c r="AV2466" s="1">
        <v>0</v>
      </c>
      <c r="AW2466" s="1">
        <v>0</v>
      </c>
      <c r="AX2466" s="1">
        <v>0</v>
      </c>
      <c r="AY2466" s="1">
        <v>0</v>
      </c>
      <c r="AZ2466" s="1">
        <v>0</v>
      </c>
      <c r="BA2466" s="1">
        <v>0</v>
      </c>
      <c r="BB2466" s="1">
        <v>0</v>
      </c>
      <c r="BC2466" s="1">
        <v>0</v>
      </c>
      <c r="BD2466" s="1">
        <v>0</v>
      </c>
      <c r="BE2466" s="1">
        <v>0</v>
      </c>
      <c r="BF2466" s="1">
        <v>0</v>
      </c>
      <c r="BG2466" s="1">
        <v>0</v>
      </c>
      <c r="BH2466" s="1">
        <v>0</v>
      </c>
      <c r="BI2466" s="1">
        <v>0</v>
      </c>
      <c r="BJ2466" s="1">
        <v>0</v>
      </c>
      <c r="BK2466" s="1">
        <v>0</v>
      </c>
      <c r="BL2466" s="1">
        <v>0</v>
      </c>
      <c r="BM2466" s="1">
        <v>0</v>
      </c>
      <c r="BN2466" s="1">
        <v>0</v>
      </c>
      <c r="BO2466" s="1">
        <v>0</v>
      </c>
      <c r="BP2466" s="1">
        <v>0</v>
      </c>
      <c r="BQ2466" s="1" t="s">
        <v>104</v>
      </c>
      <c r="BR2466" s="1">
        <v>2589</v>
      </c>
      <c r="BS2466" s="1" t="s">
        <v>104</v>
      </c>
      <c r="BX2466" s="1">
        <v>0</v>
      </c>
      <c r="BY2466" s="1" t="s">
        <v>104</v>
      </c>
      <c r="BZ2466" s="1" t="s">
        <v>104</v>
      </c>
      <c r="CA2466" s="1" t="s">
        <v>104</v>
      </c>
      <c r="CB2466" s="1" t="s">
        <v>104</v>
      </c>
      <c r="CC2466" s="1" t="s">
        <v>104</v>
      </c>
      <c r="CD2466" s="1" t="s">
        <v>104</v>
      </c>
      <c r="CE2466" s="1" t="s">
        <v>104</v>
      </c>
      <c r="CF2466" s="1" t="s">
        <v>104</v>
      </c>
      <c r="CG2466" s="1" t="s">
        <v>104</v>
      </c>
      <c r="CH2466" s="1">
        <v>6</v>
      </c>
      <c r="CJ2466" s="1">
        <v>0</v>
      </c>
      <c r="CK2466" s="1">
        <v>0</v>
      </c>
      <c r="CL2466" s="1">
        <v>0</v>
      </c>
      <c r="CM2466" s="1" t="s">
        <v>104</v>
      </c>
    </row>
    <row r="2467" spans="1:91" ht="14.25" customHeight="1" x14ac:dyDescent="0.3">
      <c r="A2467" s="1" t="s">
        <v>12607</v>
      </c>
      <c r="B2467" s="1" t="s">
        <v>123</v>
      </c>
      <c r="D2467" s="1" t="s">
        <v>125</v>
      </c>
      <c r="E2467" s="1" t="s">
        <v>12608</v>
      </c>
      <c r="F2467" s="1" t="s">
        <v>95</v>
      </c>
      <c r="G2467" s="1" t="s">
        <v>116</v>
      </c>
      <c r="H2467" s="1">
        <v>0</v>
      </c>
      <c r="I2467" s="1" t="s">
        <v>117</v>
      </c>
      <c r="L2467" s="1" t="s">
        <v>6228</v>
      </c>
      <c r="M2467" s="1" t="s">
        <v>111</v>
      </c>
      <c r="N2467" s="1">
        <v>0</v>
      </c>
      <c r="O2467" s="1">
        <v>0</v>
      </c>
      <c r="P2467" s="1" t="s">
        <v>211</v>
      </c>
      <c r="Q2467" s="1" t="s">
        <v>184</v>
      </c>
      <c r="R2467" s="1" t="s">
        <v>12609</v>
      </c>
      <c r="S2467" s="1" t="s">
        <v>12610</v>
      </c>
      <c r="T2467" s="1">
        <v>1</v>
      </c>
      <c r="U2467" s="1">
        <v>1</v>
      </c>
      <c r="V2467" s="1">
        <v>0</v>
      </c>
      <c r="W2467" s="1">
        <v>0</v>
      </c>
      <c r="X2467" s="1">
        <v>0</v>
      </c>
      <c r="Y2467" s="1" t="s">
        <v>104</v>
      </c>
      <c r="Z2467" s="1" t="s">
        <v>104</v>
      </c>
      <c r="AA2467" s="1">
        <v>5</v>
      </c>
      <c r="AB2467" s="1" t="s">
        <v>104</v>
      </c>
      <c r="AC2467" s="1" t="s">
        <v>104</v>
      </c>
      <c r="AD2467" s="1" t="s">
        <v>104</v>
      </c>
      <c r="AE2467" s="1" t="s">
        <v>104</v>
      </c>
      <c r="AF2467" s="1" t="s">
        <v>104</v>
      </c>
      <c r="AG2467" s="1" t="s">
        <v>104</v>
      </c>
      <c r="AH2467" s="1" t="s">
        <v>104</v>
      </c>
      <c r="AI2467" s="1">
        <v>5</v>
      </c>
      <c r="AJ2467" s="1">
        <v>5</v>
      </c>
      <c r="AK2467" s="1" t="s">
        <v>104</v>
      </c>
      <c r="AL2467" s="1" t="s">
        <v>104</v>
      </c>
      <c r="AM2467" s="1" t="s">
        <v>104</v>
      </c>
      <c r="AO2467" s="1">
        <v>5</v>
      </c>
      <c r="AR2467" s="1">
        <v>0</v>
      </c>
      <c r="AS2467" s="1">
        <v>0</v>
      </c>
      <c r="AT2467" s="1">
        <v>0</v>
      </c>
      <c r="AU2467" s="1">
        <v>0</v>
      </c>
      <c r="AV2467" s="1">
        <v>0</v>
      </c>
      <c r="AW2467" s="1">
        <v>0</v>
      </c>
      <c r="AX2467" s="1">
        <v>0</v>
      </c>
      <c r="AY2467" s="1">
        <v>0</v>
      </c>
      <c r="AZ2467" s="1">
        <v>0</v>
      </c>
      <c r="BA2467" s="1">
        <v>0</v>
      </c>
      <c r="BB2467" s="1">
        <v>0</v>
      </c>
      <c r="BC2467" s="1">
        <v>0</v>
      </c>
      <c r="BD2467" s="1">
        <v>0</v>
      </c>
      <c r="BE2467" s="1">
        <v>0</v>
      </c>
      <c r="BF2467" s="1">
        <v>0</v>
      </c>
      <c r="BG2467" s="1">
        <v>0</v>
      </c>
      <c r="BH2467" s="1">
        <v>0</v>
      </c>
      <c r="BI2467" s="1">
        <v>0</v>
      </c>
      <c r="BJ2467" s="1">
        <v>0</v>
      </c>
      <c r="BK2467" s="1">
        <v>1</v>
      </c>
      <c r="BL2467" s="1">
        <v>0</v>
      </c>
      <c r="BM2467" s="1">
        <v>0</v>
      </c>
      <c r="BN2467" s="1">
        <v>0</v>
      </c>
      <c r="BO2467" s="1">
        <v>0</v>
      </c>
      <c r="BP2467" s="1">
        <v>0</v>
      </c>
      <c r="BQ2467" s="1" t="s">
        <v>104</v>
      </c>
      <c r="BR2467" s="1">
        <v>2590</v>
      </c>
      <c r="BS2467" s="1" t="s">
        <v>104</v>
      </c>
      <c r="BX2467" s="1">
        <v>0</v>
      </c>
      <c r="BY2467" s="1" t="s">
        <v>104</v>
      </c>
      <c r="BZ2467" s="1" t="s">
        <v>104</v>
      </c>
      <c r="CA2467" s="1" t="s">
        <v>104</v>
      </c>
      <c r="CB2467" s="1" t="s">
        <v>104</v>
      </c>
      <c r="CC2467" s="1">
        <v>6</v>
      </c>
      <c r="CD2467" s="1" t="s">
        <v>104</v>
      </c>
      <c r="CE2467" s="1" t="s">
        <v>104</v>
      </c>
      <c r="CF2467" s="1" t="s">
        <v>104</v>
      </c>
      <c r="CG2467" s="1" t="s">
        <v>104</v>
      </c>
      <c r="CH2467" s="1" t="s">
        <v>104</v>
      </c>
      <c r="CJ2467" s="1">
        <v>0</v>
      </c>
      <c r="CK2467" s="1">
        <v>0</v>
      </c>
      <c r="CL2467" s="1">
        <v>0</v>
      </c>
      <c r="CM2467" s="1" t="s">
        <v>104</v>
      </c>
    </row>
    <row r="2468" spans="1:91" ht="14.25" customHeight="1" x14ac:dyDescent="0.3">
      <c r="A2468" s="1" t="s">
        <v>12611</v>
      </c>
      <c r="B2468" s="1" t="s">
        <v>172</v>
      </c>
      <c r="C2468" s="1" t="s">
        <v>285</v>
      </c>
      <c r="E2468" s="1" t="s">
        <v>12612</v>
      </c>
      <c r="F2468" s="1" t="s">
        <v>287</v>
      </c>
      <c r="G2468" s="1" t="s">
        <v>12613</v>
      </c>
      <c r="H2468" s="1">
        <v>0</v>
      </c>
      <c r="I2468" s="1" t="s">
        <v>11749</v>
      </c>
      <c r="K2468" s="1" t="s">
        <v>290</v>
      </c>
      <c r="M2468" s="1" t="s">
        <v>4292</v>
      </c>
      <c r="N2468" s="1">
        <v>0</v>
      </c>
      <c r="O2468" s="1">
        <v>0</v>
      </c>
      <c r="P2468" s="1" t="s">
        <v>100</v>
      </c>
      <c r="Q2468" s="1" t="s">
        <v>101</v>
      </c>
      <c r="R2468" s="1" t="s">
        <v>12614</v>
      </c>
      <c r="S2468" s="1" t="s">
        <v>12615</v>
      </c>
      <c r="T2468" s="1">
        <v>1</v>
      </c>
      <c r="U2468" s="1">
        <v>1</v>
      </c>
      <c r="V2468" s="1">
        <v>1</v>
      </c>
      <c r="W2468" s="1">
        <v>0</v>
      </c>
      <c r="X2468" s="1">
        <v>1</v>
      </c>
      <c r="Y2468" s="1">
        <v>4</v>
      </c>
      <c r="Z2468" s="1">
        <v>4</v>
      </c>
      <c r="AA2468" s="1" t="s">
        <v>104</v>
      </c>
      <c r="AB2468" s="1">
        <v>4</v>
      </c>
      <c r="AC2468" s="1">
        <v>4</v>
      </c>
      <c r="AD2468" s="1" t="s">
        <v>104</v>
      </c>
      <c r="AE2468" s="1" t="s">
        <v>104</v>
      </c>
      <c r="AF2468" s="1" t="s">
        <v>104</v>
      </c>
      <c r="AG2468" s="1" t="s">
        <v>104</v>
      </c>
      <c r="AH2468" s="1">
        <v>4</v>
      </c>
      <c r="AI2468" s="1" t="s">
        <v>104</v>
      </c>
      <c r="AJ2468" s="1" t="s">
        <v>104</v>
      </c>
      <c r="AK2468" s="1" t="s">
        <v>104</v>
      </c>
      <c r="AL2468" s="1" t="s">
        <v>104</v>
      </c>
      <c r="AM2468" s="1" t="s">
        <v>104</v>
      </c>
      <c r="AO2468" s="1">
        <v>4</v>
      </c>
      <c r="AR2468" s="1">
        <v>0</v>
      </c>
      <c r="AS2468" s="1">
        <v>0</v>
      </c>
      <c r="AT2468" s="1">
        <v>0</v>
      </c>
      <c r="AU2468" s="1">
        <v>0</v>
      </c>
      <c r="AV2468" s="1">
        <v>0</v>
      </c>
      <c r="AW2468" s="1">
        <v>0</v>
      </c>
      <c r="AX2468" s="1">
        <v>0</v>
      </c>
      <c r="AY2468" s="1">
        <v>0</v>
      </c>
      <c r="AZ2468" s="1">
        <v>0</v>
      </c>
      <c r="BA2468" s="1">
        <v>0</v>
      </c>
      <c r="BB2468" s="1">
        <v>0</v>
      </c>
      <c r="BC2468" s="1">
        <v>0</v>
      </c>
      <c r="BD2468" s="1">
        <v>0</v>
      </c>
      <c r="BE2468" s="1">
        <v>0</v>
      </c>
      <c r="BF2468" s="1">
        <v>0</v>
      </c>
      <c r="BG2468" s="1">
        <v>0</v>
      </c>
      <c r="BH2468" s="1">
        <v>0</v>
      </c>
      <c r="BI2468" s="1">
        <v>0</v>
      </c>
      <c r="BJ2468" s="1">
        <v>0</v>
      </c>
      <c r="BK2468" s="1">
        <v>0</v>
      </c>
      <c r="BL2468" s="1">
        <v>0</v>
      </c>
      <c r="BM2468" s="1">
        <v>0</v>
      </c>
      <c r="BN2468" s="1">
        <v>0</v>
      </c>
      <c r="BO2468" s="1">
        <v>0</v>
      </c>
      <c r="BP2468" s="1">
        <v>0</v>
      </c>
      <c r="BQ2468" s="1" t="s">
        <v>104</v>
      </c>
      <c r="BR2468" s="1">
        <v>2596</v>
      </c>
      <c r="BS2468" s="1" t="s">
        <v>104</v>
      </c>
      <c r="BX2468" s="1">
        <v>0</v>
      </c>
      <c r="BY2468" s="1" t="s">
        <v>104</v>
      </c>
      <c r="BZ2468" s="1">
        <v>4</v>
      </c>
      <c r="CA2468" s="1" t="s">
        <v>104</v>
      </c>
      <c r="CB2468" s="1" t="s">
        <v>104</v>
      </c>
      <c r="CC2468" s="1" t="s">
        <v>104</v>
      </c>
      <c r="CD2468" s="1" t="s">
        <v>104</v>
      </c>
      <c r="CE2468" s="1" t="s">
        <v>104</v>
      </c>
      <c r="CF2468" s="1" t="s">
        <v>104</v>
      </c>
      <c r="CG2468" s="1" t="s">
        <v>104</v>
      </c>
      <c r="CH2468" s="1">
        <v>4</v>
      </c>
      <c r="CJ2468" s="1">
        <v>0</v>
      </c>
      <c r="CK2468" s="1">
        <v>0</v>
      </c>
      <c r="CL2468" s="1">
        <v>0</v>
      </c>
      <c r="CM2468" s="1" t="s">
        <v>104</v>
      </c>
    </row>
    <row r="2469" spans="1:91" ht="14.25" customHeight="1" x14ac:dyDescent="0.3">
      <c r="A2469" s="1" t="s">
        <v>12616</v>
      </c>
      <c r="B2469" s="1" t="s">
        <v>434</v>
      </c>
      <c r="D2469" s="1" t="s">
        <v>56</v>
      </c>
      <c r="E2469" s="1" t="s">
        <v>7429</v>
      </c>
      <c r="F2469" s="1" t="s">
        <v>95</v>
      </c>
      <c r="G2469" s="1" t="s">
        <v>127</v>
      </c>
      <c r="H2469" s="1">
        <v>0</v>
      </c>
      <c r="I2469" s="1" t="s">
        <v>128</v>
      </c>
      <c r="L2469" s="1" t="s">
        <v>374</v>
      </c>
      <c r="M2469" s="1" t="s">
        <v>119</v>
      </c>
      <c r="N2469" s="1">
        <v>0</v>
      </c>
      <c r="O2469" s="1">
        <v>0</v>
      </c>
      <c r="P2469" s="1" t="s">
        <v>4222</v>
      </c>
      <c r="Q2469" s="1" t="s">
        <v>184</v>
      </c>
      <c r="R2469" s="1" t="s">
        <v>12617</v>
      </c>
      <c r="S2469" s="1" t="s">
        <v>12615</v>
      </c>
      <c r="T2469" s="1">
        <v>1</v>
      </c>
      <c r="U2469" s="1">
        <v>1</v>
      </c>
      <c r="V2469" s="1">
        <v>0</v>
      </c>
      <c r="W2469" s="1">
        <v>0</v>
      </c>
      <c r="X2469" s="1">
        <v>1</v>
      </c>
      <c r="Y2469" s="1" t="s">
        <v>104</v>
      </c>
      <c r="Z2469" s="1" t="s">
        <v>104</v>
      </c>
      <c r="AA2469" s="1">
        <v>3</v>
      </c>
      <c r="AB2469" s="1" t="s">
        <v>104</v>
      </c>
      <c r="AC2469" s="1" t="s">
        <v>104</v>
      </c>
      <c r="AD2469" s="1" t="s">
        <v>104</v>
      </c>
      <c r="AE2469" s="1">
        <v>3</v>
      </c>
      <c r="AF2469" s="1" t="s">
        <v>104</v>
      </c>
      <c r="AG2469" s="1" t="s">
        <v>104</v>
      </c>
      <c r="AH2469" s="1" t="s">
        <v>104</v>
      </c>
      <c r="AI2469" s="1">
        <v>3</v>
      </c>
      <c r="AJ2469" s="1">
        <v>3</v>
      </c>
      <c r="AK2469" s="1">
        <v>3</v>
      </c>
      <c r="AL2469" s="1" t="s">
        <v>104</v>
      </c>
      <c r="AM2469" s="1" t="s">
        <v>104</v>
      </c>
      <c r="AO2469" s="1">
        <v>3</v>
      </c>
      <c r="AR2469" s="1">
        <v>0</v>
      </c>
      <c r="AS2469" s="1">
        <v>0</v>
      </c>
      <c r="AT2469" s="1">
        <v>0</v>
      </c>
      <c r="AU2469" s="1">
        <v>0</v>
      </c>
      <c r="AV2469" s="1">
        <v>0</v>
      </c>
      <c r="AW2469" s="1">
        <v>0</v>
      </c>
      <c r="AX2469" s="1">
        <v>0</v>
      </c>
      <c r="AY2469" s="1">
        <v>0</v>
      </c>
      <c r="AZ2469" s="1">
        <v>0</v>
      </c>
      <c r="BA2469" s="1">
        <v>0</v>
      </c>
      <c r="BB2469" s="1">
        <v>0</v>
      </c>
      <c r="BC2469" s="1">
        <v>0</v>
      </c>
      <c r="BD2469" s="1">
        <v>0</v>
      </c>
      <c r="BE2469" s="1">
        <v>1</v>
      </c>
      <c r="BF2469" s="1">
        <v>0</v>
      </c>
      <c r="BG2469" s="1">
        <v>0</v>
      </c>
      <c r="BH2469" s="1">
        <v>0</v>
      </c>
      <c r="BI2469" s="1">
        <v>0</v>
      </c>
      <c r="BJ2469" s="1">
        <v>0</v>
      </c>
      <c r="BK2469" s="1">
        <v>0</v>
      </c>
      <c r="BL2469" s="1">
        <v>0</v>
      </c>
      <c r="BM2469" s="1">
        <v>0</v>
      </c>
      <c r="BN2469" s="1">
        <v>0</v>
      </c>
      <c r="BO2469" s="1">
        <v>0</v>
      </c>
      <c r="BP2469" s="1">
        <v>0</v>
      </c>
      <c r="BQ2469" s="1" t="s">
        <v>104</v>
      </c>
      <c r="BR2469" s="1">
        <v>2597</v>
      </c>
      <c r="BS2469" s="1" t="s">
        <v>104</v>
      </c>
      <c r="BX2469" s="1">
        <v>0</v>
      </c>
      <c r="BY2469" s="1" t="s">
        <v>104</v>
      </c>
      <c r="BZ2469" s="1" t="s">
        <v>104</v>
      </c>
      <c r="CA2469" s="1" t="s">
        <v>104</v>
      </c>
      <c r="CB2469" s="1" t="s">
        <v>104</v>
      </c>
      <c r="CC2469" s="1" t="s">
        <v>104</v>
      </c>
      <c r="CD2469" s="1" t="s">
        <v>104</v>
      </c>
      <c r="CE2469" s="1" t="s">
        <v>104</v>
      </c>
      <c r="CF2469" s="1" t="s">
        <v>104</v>
      </c>
      <c r="CG2469" s="1" t="s">
        <v>104</v>
      </c>
      <c r="CH2469" s="1" t="s">
        <v>104</v>
      </c>
      <c r="CJ2469" s="1">
        <v>0</v>
      </c>
      <c r="CK2469" s="1">
        <v>0</v>
      </c>
      <c r="CL2469" s="1">
        <v>0</v>
      </c>
      <c r="CM2469" s="1" t="s">
        <v>104</v>
      </c>
    </row>
    <row r="2470" spans="1:91" ht="14.25" customHeight="1" x14ac:dyDescent="0.3">
      <c r="A2470" s="1" t="s">
        <v>12618</v>
      </c>
      <c r="B2470" s="1" t="s">
        <v>137</v>
      </c>
      <c r="C2470" s="1" t="s">
        <v>154</v>
      </c>
      <c r="E2470" s="1" t="s">
        <v>12619</v>
      </c>
      <c r="F2470" s="1" t="s">
        <v>95</v>
      </c>
      <c r="G2470" s="1" t="s">
        <v>12620</v>
      </c>
      <c r="H2470" s="1">
        <v>0</v>
      </c>
      <c r="I2470" s="1" t="s">
        <v>128</v>
      </c>
      <c r="L2470" s="1" t="s">
        <v>12621</v>
      </c>
      <c r="M2470" s="1" t="s">
        <v>201</v>
      </c>
      <c r="N2470" s="1">
        <v>0</v>
      </c>
      <c r="O2470" s="1">
        <v>0</v>
      </c>
      <c r="P2470" s="1" t="s">
        <v>183</v>
      </c>
      <c r="Q2470" s="1" t="s">
        <v>184</v>
      </c>
      <c r="R2470" s="1" t="s">
        <v>12622</v>
      </c>
      <c r="S2470" s="1" t="s">
        <v>12615</v>
      </c>
      <c r="T2470" s="1">
        <v>1</v>
      </c>
      <c r="U2470" s="1">
        <v>1</v>
      </c>
      <c r="V2470" s="1">
        <v>1</v>
      </c>
      <c r="W2470" s="1">
        <v>0</v>
      </c>
      <c r="X2470" s="1">
        <v>0</v>
      </c>
      <c r="Y2470" s="1">
        <v>4</v>
      </c>
      <c r="Z2470" s="1">
        <v>4</v>
      </c>
      <c r="AA2470" s="1" t="s">
        <v>104</v>
      </c>
      <c r="AB2470" s="1">
        <v>4</v>
      </c>
      <c r="AC2470" s="1" t="s">
        <v>104</v>
      </c>
      <c r="AD2470" s="1">
        <v>3</v>
      </c>
      <c r="AE2470" s="1" t="s">
        <v>104</v>
      </c>
      <c r="AF2470" s="1">
        <v>3</v>
      </c>
      <c r="AG2470" s="1" t="s">
        <v>104</v>
      </c>
      <c r="AH2470" s="1">
        <v>3</v>
      </c>
      <c r="AI2470" s="1">
        <v>3</v>
      </c>
      <c r="AJ2470" s="1" t="s">
        <v>104</v>
      </c>
      <c r="AK2470" s="1">
        <v>3</v>
      </c>
      <c r="AL2470" s="1" t="s">
        <v>104</v>
      </c>
      <c r="AM2470" s="1" t="s">
        <v>104</v>
      </c>
      <c r="AO2470" s="1">
        <v>4</v>
      </c>
      <c r="AR2470" s="1">
        <v>0</v>
      </c>
      <c r="AS2470" s="1">
        <v>0</v>
      </c>
      <c r="AT2470" s="1">
        <v>0</v>
      </c>
      <c r="AU2470" s="1">
        <v>0</v>
      </c>
      <c r="AV2470" s="1">
        <v>0</v>
      </c>
      <c r="AW2470" s="1">
        <v>0</v>
      </c>
      <c r="AX2470" s="1">
        <v>0</v>
      </c>
      <c r="AY2470" s="1">
        <v>0</v>
      </c>
      <c r="AZ2470" s="1">
        <v>0</v>
      </c>
      <c r="BA2470" s="1">
        <v>0</v>
      </c>
      <c r="BB2470" s="1">
        <v>0</v>
      </c>
      <c r="BC2470" s="1">
        <v>0</v>
      </c>
      <c r="BD2470" s="1">
        <v>0</v>
      </c>
      <c r="BE2470" s="1">
        <v>0</v>
      </c>
      <c r="BF2470" s="1">
        <v>0</v>
      </c>
      <c r="BG2470" s="1">
        <v>0</v>
      </c>
      <c r="BH2470" s="1">
        <v>0</v>
      </c>
      <c r="BI2470" s="1">
        <v>0</v>
      </c>
      <c r="BJ2470" s="1">
        <v>0</v>
      </c>
      <c r="BK2470" s="1">
        <v>0</v>
      </c>
      <c r="BL2470" s="1">
        <v>0</v>
      </c>
      <c r="BM2470" s="1">
        <v>0</v>
      </c>
      <c r="BN2470" s="1">
        <v>0</v>
      </c>
      <c r="BO2470" s="1">
        <v>0</v>
      </c>
      <c r="BP2470" s="1">
        <v>0</v>
      </c>
      <c r="BQ2470" s="1" t="s">
        <v>104</v>
      </c>
      <c r="BR2470" s="1">
        <v>2598</v>
      </c>
      <c r="BS2470" s="1" t="s">
        <v>104</v>
      </c>
      <c r="BX2470" s="1">
        <v>0</v>
      </c>
      <c r="BY2470" s="1" t="s">
        <v>104</v>
      </c>
      <c r="BZ2470" s="1">
        <v>4</v>
      </c>
      <c r="CA2470" s="1" t="s">
        <v>104</v>
      </c>
      <c r="CB2470" s="1" t="s">
        <v>104</v>
      </c>
      <c r="CC2470" s="1" t="s">
        <v>104</v>
      </c>
      <c r="CD2470" s="1" t="s">
        <v>104</v>
      </c>
      <c r="CE2470" s="1" t="s">
        <v>104</v>
      </c>
      <c r="CF2470" s="1" t="s">
        <v>104</v>
      </c>
      <c r="CG2470" s="1" t="s">
        <v>104</v>
      </c>
      <c r="CH2470" s="1">
        <v>4</v>
      </c>
      <c r="CJ2470" s="1">
        <v>0</v>
      </c>
      <c r="CK2470" s="1">
        <v>0</v>
      </c>
      <c r="CL2470" s="1">
        <v>0</v>
      </c>
      <c r="CM2470" s="1" t="s">
        <v>104</v>
      </c>
    </row>
    <row r="2471" spans="1:91" ht="14.25" customHeight="1" x14ac:dyDescent="0.3">
      <c r="A2471" s="1" t="s">
        <v>12623</v>
      </c>
      <c r="B2471" s="1" t="s">
        <v>137</v>
      </c>
      <c r="C2471" s="1" t="s">
        <v>154</v>
      </c>
      <c r="E2471" s="1" t="s">
        <v>12624</v>
      </c>
      <c r="F2471" s="1" t="s">
        <v>95</v>
      </c>
      <c r="G2471" s="1" t="s">
        <v>12625</v>
      </c>
      <c r="H2471" s="1">
        <v>1</v>
      </c>
      <c r="I2471" s="1" t="s">
        <v>128</v>
      </c>
      <c r="L2471" s="1" t="s">
        <v>12621</v>
      </c>
      <c r="M2471" s="1" t="s">
        <v>201</v>
      </c>
      <c r="N2471" s="1">
        <v>0</v>
      </c>
      <c r="O2471" s="1">
        <v>0</v>
      </c>
      <c r="P2471" s="1" t="s">
        <v>183</v>
      </c>
      <c r="Q2471" s="1" t="s">
        <v>184</v>
      </c>
      <c r="R2471" s="1" t="s">
        <v>12626</v>
      </c>
      <c r="S2471" s="1" t="s">
        <v>12615</v>
      </c>
      <c r="T2471" s="1">
        <v>1</v>
      </c>
      <c r="U2471" s="1">
        <v>1</v>
      </c>
      <c r="V2471" s="1">
        <v>1</v>
      </c>
      <c r="W2471" s="1">
        <v>0</v>
      </c>
      <c r="X2471" s="1">
        <v>0</v>
      </c>
      <c r="Y2471" s="1">
        <v>6</v>
      </c>
      <c r="Z2471" s="1">
        <v>6</v>
      </c>
      <c r="AA2471" s="1" t="s">
        <v>104</v>
      </c>
      <c r="AB2471" s="1">
        <v>6</v>
      </c>
      <c r="AC2471" s="1" t="s">
        <v>104</v>
      </c>
      <c r="AD2471" s="1">
        <v>5</v>
      </c>
      <c r="AE2471" s="1" t="s">
        <v>104</v>
      </c>
      <c r="AF2471" s="1">
        <v>5</v>
      </c>
      <c r="AG2471" s="1" t="s">
        <v>104</v>
      </c>
      <c r="AH2471" s="1">
        <v>5</v>
      </c>
      <c r="AI2471" s="1">
        <v>5</v>
      </c>
      <c r="AJ2471" s="1" t="s">
        <v>104</v>
      </c>
      <c r="AK2471" s="1">
        <v>4</v>
      </c>
      <c r="AL2471" s="1" t="s">
        <v>104</v>
      </c>
      <c r="AM2471" s="1" t="s">
        <v>104</v>
      </c>
      <c r="AO2471" s="1">
        <v>6</v>
      </c>
      <c r="AR2471" s="1">
        <v>0</v>
      </c>
      <c r="AS2471" s="1">
        <v>0</v>
      </c>
      <c r="AT2471" s="1">
        <v>0</v>
      </c>
      <c r="AU2471" s="1">
        <v>0</v>
      </c>
      <c r="AV2471" s="1">
        <v>0</v>
      </c>
      <c r="AW2471" s="1">
        <v>0</v>
      </c>
      <c r="AX2471" s="1">
        <v>0</v>
      </c>
      <c r="AY2471" s="1">
        <v>0</v>
      </c>
      <c r="AZ2471" s="1">
        <v>0</v>
      </c>
      <c r="BA2471" s="1">
        <v>0</v>
      </c>
      <c r="BB2471" s="1">
        <v>0</v>
      </c>
      <c r="BC2471" s="1">
        <v>0</v>
      </c>
      <c r="BD2471" s="1">
        <v>0</v>
      </c>
      <c r="BE2471" s="1">
        <v>0</v>
      </c>
      <c r="BF2471" s="1">
        <v>0</v>
      </c>
      <c r="BG2471" s="1">
        <v>0</v>
      </c>
      <c r="BH2471" s="1">
        <v>0</v>
      </c>
      <c r="BI2471" s="1">
        <v>0</v>
      </c>
      <c r="BJ2471" s="1">
        <v>0</v>
      </c>
      <c r="BK2471" s="1">
        <v>0</v>
      </c>
      <c r="BL2471" s="1">
        <v>0</v>
      </c>
      <c r="BM2471" s="1">
        <v>0</v>
      </c>
      <c r="BN2471" s="1">
        <v>0</v>
      </c>
      <c r="BO2471" s="1">
        <v>0</v>
      </c>
      <c r="BP2471" s="1">
        <v>0</v>
      </c>
      <c r="BQ2471" s="1" t="s">
        <v>104</v>
      </c>
      <c r="BR2471" s="1">
        <v>2599</v>
      </c>
      <c r="BS2471" s="1">
        <v>100</v>
      </c>
      <c r="BX2471" s="1">
        <v>0</v>
      </c>
      <c r="BY2471" s="1" t="s">
        <v>104</v>
      </c>
      <c r="BZ2471" s="1">
        <v>6</v>
      </c>
      <c r="CA2471" s="1" t="s">
        <v>104</v>
      </c>
      <c r="CB2471" s="1" t="s">
        <v>104</v>
      </c>
      <c r="CC2471" s="1" t="s">
        <v>104</v>
      </c>
      <c r="CD2471" s="1" t="s">
        <v>104</v>
      </c>
      <c r="CE2471" s="1" t="s">
        <v>104</v>
      </c>
      <c r="CF2471" s="1" t="s">
        <v>104</v>
      </c>
      <c r="CG2471" s="1" t="s">
        <v>104</v>
      </c>
      <c r="CH2471" s="1">
        <v>6</v>
      </c>
      <c r="CJ2471" s="1">
        <v>0</v>
      </c>
      <c r="CK2471" s="1">
        <v>0</v>
      </c>
      <c r="CL2471" s="1">
        <v>0</v>
      </c>
      <c r="CM2471" s="1" t="s">
        <v>104</v>
      </c>
    </row>
    <row r="2472" spans="1:91" ht="14.25" customHeight="1" x14ac:dyDescent="0.3">
      <c r="A2472" s="1" t="s">
        <v>12627</v>
      </c>
      <c r="B2472" s="1" t="s">
        <v>123</v>
      </c>
      <c r="C2472" s="1" t="s">
        <v>124</v>
      </c>
      <c r="D2472" s="1" t="s">
        <v>125</v>
      </c>
      <c r="E2472" s="1" t="s">
        <v>12628</v>
      </c>
      <c r="F2472" s="1" t="s">
        <v>95</v>
      </c>
      <c r="G2472" s="1" t="s">
        <v>12629</v>
      </c>
      <c r="H2472" s="1">
        <v>0</v>
      </c>
      <c r="I2472" s="1" t="s">
        <v>117</v>
      </c>
      <c r="L2472" s="1" t="s">
        <v>1065</v>
      </c>
      <c r="M2472" s="1" t="s">
        <v>12630</v>
      </c>
      <c r="N2472" s="1">
        <v>0</v>
      </c>
      <c r="O2472" s="1">
        <v>0</v>
      </c>
      <c r="P2472" s="1" t="s">
        <v>211</v>
      </c>
      <c r="Q2472" s="1" t="s">
        <v>184</v>
      </c>
      <c r="R2472" s="1" t="s">
        <v>12631</v>
      </c>
      <c r="S2472" s="1" t="s">
        <v>12615</v>
      </c>
      <c r="T2472" s="1">
        <v>1</v>
      </c>
      <c r="U2472" s="1">
        <v>1</v>
      </c>
      <c r="V2472" s="1">
        <v>1</v>
      </c>
      <c r="W2472" s="1">
        <v>0</v>
      </c>
      <c r="X2472" s="1">
        <v>0</v>
      </c>
      <c r="Y2472" s="1" t="s">
        <v>104</v>
      </c>
      <c r="Z2472" s="1" t="s">
        <v>104</v>
      </c>
      <c r="AA2472" s="1">
        <v>1</v>
      </c>
      <c r="AB2472" s="1" t="s">
        <v>104</v>
      </c>
      <c r="AC2472" s="1" t="s">
        <v>104</v>
      </c>
      <c r="AD2472" s="1">
        <v>1</v>
      </c>
      <c r="AE2472" s="1" t="s">
        <v>104</v>
      </c>
      <c r="AF2472" s="1" t="s">
        <v>104</v>
      </c>
      <c r="AG2472" s="1" t="s">
        <v>104</v>
      </c>
      <c r="AH2472" s="1" t="s">
        <v>104</v>
      </c>
      <c r="AI2472" s="1">
        <v>1</v>
      </c>
      <c r="AJ2472" s="1">
        <v>1</v>
      </c>
      <c r="AK2472" s="1" t="s">
        <v>104</v>
      </c>
      <c r="AL2472" s="1">
        <v>1</v>
      </c>
      <c r="AM2472" s="1" t="s">
        <v>104</v>
      </c>
      <c r="AO2472" s="1">
        <v>1</v>
      </c>
      <c r="AR2472" s="1">
        <v>0</v>
      </c>
      <c r="AS2472" s="1">
        <v>0</v>
      </c>
      <c r="AT2472" s="1">
        <v>0</v>
      </c>
      <c r="AU2472" s="1">
        <v>0</v>
      </c>
      <c r="AV2472" s="1">
        <v>0</v>
      </c>
      <c r="AW2472" s="1">
        <v>0</v>
      </c>
      <c r="AX2472" s="1">
        <v>0</v>
      </c>
      <c r="AY2472" s="1">
        <v>0</v>
      </c>
      <c r="AZ2472" s="1">
        <v>0</v>
      </c>
      <c r="BA2472" s="1">
        <v>0</v>
      </c>
      <c r="BB2472" s="1">
        <v>0</v>
      </c>
      <c r="BC2472" s="1">
        <v>0</v>
      </c>
      <c r="BD2472" s="1">
        <v>0</v>
      </c>
      <c r="BE2472" s="1">
        <v>0</v>
      </c>
      <c r="BF2472" s="1">
        <v>0</v>
      </c>
      <c r="BG2472" s="1">
        <v>0</v>
      </c>
      <c r="BH2472" s="1">
        <v>0</v>
      </c>
      <c r="BI2472" s="1">
        <v>0</v>
      </c>
      <c r="BJ2472" s="1">
        <v>0</v>
      </c>
      <c r="BK2472" s="1">
        <v>1</v>
      </c>
      <c r="BL2472" s="1">
        <v>0</v>
      </c>
      <c r="BM2472" s="1">
        <v>0</v>
      </c>
      <c r="BN2472" s="1">
        <v>0</v>
      </c>
      <c r="BO2472" s="1">
        <v>0</v>
      </c>
      <c r="BP2472" s="1">
        <v>0</v>
      </c>
      <c r="BQ2472" s="1" t="s">
        <v>104</v>
      </c>
      <c r="BR2472" s="1">
        <v>2600</v>
      </c>
      <c r="BS2472" s="1" t="s">
        <v>104</v>
      </c>
      <c r="BX2472" s="1">
        <v>0</v>
      </c>
      <c r="BY2472" s="1" t="s">
        <v>104</v>
      </c>
      <c r="BZ2472" s="1" t="s">
        <v>104</v>
      </c>
      <c r="CA2472" s="1">
        <v>1</v>
      </c>
      <c r="CB2472" s="1" t="s">
        <v>104</v>
      </c>
      <c r="CC2472" s="1">
        <v>1</v>
      </c>
      <c r="CD2472" s="1" t="s">
        <v>104</v>
      </c>
      <c r="CE2472" s="1" t="s">
        <v>104</v>
      </c>
      <c r="CF2472" s="1" t="s">
        <v>104</v>
      </c>
      <c r="CG2472" s="1" t="s">
        <v>104</v>
      </c>
      <c r="CH2472" s="1" t="s">
        <v>104</v>
      </c>
      <c r="CJ2472" s="1">
        <v>0</v>
      </c>
      <c r="CK2472" s="1">
        <v>0</v>
      </c>
      <c r="CL2472" s="1">
        <v>0</v>
      </c>
      <c r="CM2472" s="1" t="s">
        <v>104</v>
      </c>
    </row>
    <row r="2473" spans="1:91" ht="14.25" customHeight="1" x14ac:dyDescent="0.3">
      <c r="A2473" s="1" t="s">
        <v>12632</v>
      </c>
      <c r="B2473" s="1" t="s">
        <v>216</v>
      </c>
      <c r="D2473" s="1" t="s">
        <v>347</v>
      </c>
      <c r="E2473" s="1" t="s">
        <v>12633</v>
      </c>
      <c r="F2473" s="1" t="s">
        <v>255</v>
      </c>
      <c r="G2473" s="1" t="s">
        <v>1802</v>
      </c>
      <c r="H2473" s="1">
        <v>0</v>
      </c>
      <c r="I2473" s="1" t="s">
        <v>117</v>
      </c>
      <c r="L2473" s="1" t="s">
        <v>1065</v>
      </c>
      <c r="M2473" s="1" t="s">
        <v>620</v>
      </c>
      <c r="N2473" s="1">
        <v>1</v>
      </c>
      <c r="O2473" s="1">
        <v>0</v>
      </c>
      <c r="P2473" s="1" t="s">
        <v>211</v>
      </c>
      <c r="Q2473" s="1" t="s">
        <v>184</v>
      </c>
      <c r="R2473" s="1" t="s">
        <v>12634</v>
      </c>
      <c r="S2473" s="1" t="s">
        <v>12615</v>
      </c>
      <c r="T2473" s="1">
        <v>0</v>
      </c>
      <c r="U2473" s="1">
        <v>1</v>
      </c>
      <c r="V2473" s="1">
        <v>0</v>
      </c>
      <c r="W2473" s="1">
        <v>0</v>
      </c>
      <c r="X2473" s="1">
        <v>0</v>
      </c>
      <c r="Y2473" s="1" t="s">
        <v>104</v>
      </c>
      <c r="Z2473" s="1" t="s">
        <v>104</v>
      </c>
      <c r="AA2473" s="1" t="s">
        <v>104</v>
      </c>
      <c r="AB2473" s="1" t="s">
        <v>104</v>
      </c>
      <c r="AC2473" s="1" t="s">
        <v>104</v>
      </c>
      <c r="AD2473" s="1">
        <v>2</v>
      </c>
      <c r="AE2473" s="1" t="s">
        <v>104</v>
      </c>
      <c r="AF2473" s="1" t="s">
        <v>104</v>
      </c>
      <c r="AG2473" s="1" t="s">
        <v>104</v>
      </c>
      <c r="AH2473" s="1">
        <v>3</v>
      </c>
      <c r="AI2473" s="1">
        <v>2</v>
      </c>
      <c r="AJ2473" s="1" t="s">
        <v>104</v>
      </c>
      <c r="AK2473" s="1">
        <v>2</v>
      </c>
      <c r="AL2473" s="1" t="s">
        <v>104</v>
      </c>
      <c r="AM2473" s="1" t="s">
        <v>104</v>
      </c>
      <c r="AO2473" s="1">
        <v>2</v>
      </c>
      <c r="AR2473" s="1">
        <v>0</v>
      </c>
      <c r="AS2473" s="1">
        <v>0</v>
      </c>
      <c r="AT2473" s="1">
        <v>0</v>
      </c>
      <c r="AU2473" s="1">
        <v>0</v>
      </c>
      <c r="AV2473" s="1">
        <v>0</v>
      </c>
      <c r="AW2473" s="1">
        <v>0</v>
      </c>
      <c r="AX2473" s="1">
        <v>0</v>
      </c>
      <c r="AY2473" s="1">
        <v>0</v>
      </c>
      <c r="AZ2473" s="1">
        <v>0</v>
      </c>
      <c r="BA2473" s="1">
        <v>0</v>
      </c>
      <c r="BB2473" s="1">
        <v>0</v>
      </c>
      <c r="BC2473" s="1">
        <v>0</v>
      </c>
      <c r="BD2473" s="1">
        <v>1</v>
      </c>
      <c r="BE2473" s="1">
        <v>0</v>
      </c>
      <c r="BF2473" s="1">
        <v>0</v>
      </c>
      <c r="BG2473" s="1">
        <v>0</v>
      </c>
      <c r="BH2473" s="1">
        <v>0</v>
      </c>
      <c r="BI2473" s="1">
        <v>0</v>
      </c>
      <c r="BJ2473" s="1">
        <v>0</v>
      </c>
      <c r="BK2473" s="1">
        <v>1</v>
      </c>
      <c r="BL2473" s="1">
        <v>0</v>
      </c>
      <c r="BM2473" s="1">
        <v>0</v>
      </c>
      <c r="BN2473" s="1">
        <v>0</v>
      </c>
      <c r="BO2473" s="1">
        <v>0</v>
      </c>
      <c r="BP2473" s="1">
        <v>0</v>
      </c>
      <c r="BQ2473" s="1" t="s">
        <v>104</v>
      </c>
      <c r="BR2473" s="1">
        <v>2601</v>
      </c>
      <c r="BS2473" s="1" t="s">
        <v>104</v>
      </c>
      <c r="BX2473" s="1">
        <v>0</v>
      </c>
      <c r="BY2473" s="1" t="s">
        <v>104</v>
      </c>
      <c r="BZ2473" s="1">
        <v>2</v>
      </c>
      <c r="CA2473" s="1">
        <v>2</v>
      </c>
      <c r="CB2473" s="1" t="s">
        <v>104</v>
      </c>
      <c r="CC2473" s="1">
        <v>2</v>
      </c>
      <c r="CD2473" s="1" t="s">
        <v>104</v>
      </c>
      <c r="CE2473" s="1">
        <v>2</v>
      </c>
      <c r="CF2473" s="1" t="s">
        <v>104</v>
      </c>
      <c r="CG2473" s="1" t="s">
        <v>104</v>
      </c>
      <c r="CH2473" s="1" t="s">
        <v>104</v>
      </c>
      <c r="CJ2473" s="1">
        <v>0</v>
      </c>
      <c r="CK2473" s="1">
        <v>0</v>
      </c>
      <c r="CL2473" s="1">
        <v>0</v>
      </c>
      <c r="CM2473" s="1" t="s">
        <v>104</v>
      </c>
    </row>
    <row r="2474" spans="1:91" ht="14.25" customHeight="1" x14ac:dyDescent="0.3">
      <c r="A2474" s="1" t="s">
        <v>12635</v>
      </c>
      <c r="B2474" s="1" t="s">
        <v>172</v>
      </c>
      <c r="E2474" s="1" t="s">
        <v>12636</v>
      </c>
      <c r="F2474" s="1" t="s">
        <v>255</v>
      </c>
      <c r="G2474" s="1" t="s">
        <v>12637</v>
      </c>
      <c r="H2474" s="1">
        <v>0</v>
      </c>
      <c r="I2474" s="1" t="s">
        <v>117</v>
      </c>
      <c r="K2474" s="1" t="s">
        <v>12638</v>
      </c>
      <c r="M2474" s="1" t="s">
        <v>12639</v>
      </c>
      <c r="N2474" s="1">
        <v>0</v>
      </c>
      <c r="O2474" s="1">
        <v>0</v>
      </c>
      <c r="P2474" s="1" t="s">
        <v>100</v>
      </c>
      <c r="Q2474" s="1" t="s">
        <v>101</v>
      </c>
      <c r="R2474" s="1" t="s">
        <v>12640</v>
      </c>
      <c r="S2474" s="1" t="s">
        <v>12615</v>
      </c>
      <c r="T2474" s="1">
        <v>0</v>
      </c>
      <c r="U2474" s="1">
        <v>1</v>
      </c>
      <c r="V2474" s="1">
        <v>1</v>
      </c>
      <c r="W2474" s="1">
        <v>0</v>
      </c>
      <c r="X2474" s="1">
        <v>0</v>
      </c>
      <c r="Y2474" s="1">
        <v>3</v>
      </c>
      <c r="Z2474" s="1">
        <v>3</v>
      </c>
      <c r="AA2474" s="1" t="s">
        <v>104</v>
      </c>
      <c r="AB2474" s="1">
        <v>2</v>
      </c>
      <c r="AC2474" s="1">
        <v>2</v>
      </c>
      <c r="AD2474" s="1">
        <v>4</v>
      </c>
      <c r="AE2474" s="1" t="s">
        <v>104</v>
      </c>
      <c r="AF2474" s="1" t="s">
        <v>104</v>
      </c>
      <c r="AG2474" s="1">
        <v>3</v>
      </c>
      <c r="AH2474" s="1">
        <v>3</v>
      </c>
      <c r="AI2474" s="1">
        <v>3</v>
      </c>
      <c r="AJ2474" s="1" t="s">
        <v>104</v>
      </c>
      <c r="AK2474" s="1">
        <v>4</v>
      </c>
      <c r="AL2474" s="1" t="s">
        <v>104</v>
      </c>
      <c r="AM2474" s="1" t="s">
        <v>104</v>
      </c>
      <c r="AO2474" s="1">
        <v>3</v>
      </c>
      <c r="AR2474" s="1">
        <v>0</v>
      </c>
      <c r="AS2474" s="1">
        <v>0</v>
      </c>
      <c r="AT2474" s="1">
        <v>0</v>
      </c>
      <c r="AU2474" s="1">
        <v>0</v>
      </c>
      <c r="AV2474" s="1">
        <v>0</v>
      </c>
      <c r="AW2474" s="1">
        <v>0</v>
      </c>
      <c r="AX2474" s="1">
        <v>0</v>
      </c>
      <c r="AY2474" s="1">
        <v>0</v>
      </c>
      <c r="AZ2474" s="1">
        <v>0</v>
      </c>
      <c r="BA2474" s="1">
        <v>0</v>
      </c>
      <c r="BB2474" s="1">
        <v>0</v>
      </c>
      <c r="BC2474" s="1">
        <v>0</v>
      </c>
      <c r="BD2474" s="1">
        <v>0</v>
      </c>
      <c r="BE2474" s="1">
        <v>0</v>
      </c>
      <c r="BF2474" s="1">
        <v>0</v>
      </c>
      <c r="BG2474" s="1">
        <v>0</v>
      </c>
      <c r="BH2474" s="1">
        <v>0</v>
      </c>
      <c r="BI2474" s="1">
        <v>0</v>
      </c>
      <c r="BJ2474" s="1">
        <v>0</v>
      </c>
      <c r="BK2474" s="1">
        <v>0</v>
      </c>
      <c r="BL2474" s="1">
        <v>0</v>
      </c>
      <c r="BM2474" s="1">
        <v>0</v>
      </c>
      <c r="BN2474" s="1">
        <v>0</v>
      </c>
      <c r="BO2474" s="1">
        <v>0</v>
      </c>
      <c r="BP2474" s="1">
        <v>0</v>
      </c>
      <c r="BQ2474" s="1" t="s">
        <v>104</v>
      </c>
      <c r="BR2474" s="1">
        <v>2602</v>
      </c>
      <c r="BS2474" s="1" t="s">
        <v>104</v>
      </c>
      <c r="BX2474" s="1">
        <v>0</v>
      </c>
      <c r="BY2474" s="1" t="s">
        <v>104</v>
      </c>
      <c r="BZ2474" s="1">
        <v>2</v>
      </c>
      <c r="CA2474" s="1">
        <v>4</v>
      </c>
      <c r="CB2474" s="1" t="s">
        <v>104</v>
      </c>
      <c r="CC2474" s="1" t="s">
        <v>104</v>
      </c>
      <c r="CD2474" s="1" t="s">
        <v>104</v>
      </c>
      <c r="CE2474" s="1" t="s">
        <v>104</v>
      </c>
      <c r="CF2474" s="1" t="s">
        <v>104</v>
      </c>
      <c r="CG2474" s="1" t="s">
        <v>104</v>
      </c>
      <c r="CH2474" s="1">
        <v>2</v>
      </c>
      <c r="CJ2474" s="1">
        <v>0</v>
      </c>
      <c r="CK2474" s="1">
        <v>0</v>
      </c>
      <c r="CL2474" s="1">
        <v>0</v>
      </c>
      <c r="CM2474" s="1">
        <v>3</v>
      </c>
    </row>
    <row r="2475" spans="1:91" ht="14.25" customHeight="1" x14ac:dyDescent="0.3">
      <c r="A2475" s="1" t="s">
        <v>12641</v>
      </c>
      <c r="B2475" s="1" t="s">
        <v>123</v>
      </c>
      <c r="C2475" s="1" t="s">
        <v>124</v>
      </c>
      <c r="D2475" s="1" t="s">
        <v>125</v>
      </c>
      <c r="E2475" s="1" t="s">
        <v>12642</v>
      </c>
      <c r="F2475" s="1" t="s">
        <v>95</v>
      </c>
      <c r="G2475" s="1" t="s">
        <v>116</v>
      </c>
      <c r="H2475" s="1">
        <v>0</v>
      </c>
      <c r="I2475" s="1" t="s">
        <v>117</v>
      </c>
      <c r="L2475" s="1" t="s">
        <v>417</v>
      </c>
      <c r="M2475" s="1" t="s">
        <v>12643</v>
      </c>
      <c r="N2475" s="1">
        <v>1</v>
      </c>
      <c r="O2475" s="1">
        <v>0</v>
      </c>
      <c r="P2475" s="1" t="s">
        <v>211</v>
      </c>
      <c r="Q2475" s="1" t="s">
        <v>184</v>
      </c>
      <c r="R2475" s="1" t="s">
        <v>12644</v>
      </c>
      <c r="S2475" s="1" t="s">
        <v>12615</v>
      </c>
      <c r="T2475" s="1">
        <v>1</v>
      </c>
      <c r="U2475" s="1">
        <v>1</v>
      </c>
      <c r="V2475" s="1">
        <v>0</v>
      </c>
      <c r="W2475" s="1">
        <v>0</v>
      </c>
      <c r="X2475" s="1">
        <v>0</v>
      </c>
      <c r="Y2475" s="1">
        <v>2</v>
      </c>
      <c r="Z2475" s="1">
        <v>2</v>
      </c>
      <c r="AA2475" s="1" t="s">
        <v>104</v>
      </c>
      <c r="AB2475" s="1" t="s">
        <v>104</v>
      </c>
      <c r="AC2475" s="1" t="s">
        <v>104</v>
      </c>
      <c r="AD2475" s="1">
        <v>2</v>
      </c>
      <c r="AE2475" s="1" t="s">
        <v>104</v>
      </c>
      <c r="AF2475" s="1" t="s">
        <v>104</v>
      </c>
      <c r="AG2475" s="1" t="s">
        <v>104</v>
      </c>
      <c r="AH2475" s="1">
        <v>2</v>
      </c>
      <c r="AI2475" s="1" t="s">
        <v>104</v>
      </c>
      <c r="AJ2475" s="1" t="s">
        <v>104</v>
      </c>
      <c r="AK2475" s="1" t="s">
        <v>104</v>
      </c>
      <c r="AL2475" s="1" t="s">
        <v>104</v>
      </c>
      <c r="AM2475" s="1" t="s">
        <v>104</v>
      </c>
      <c r="AO2475" s="1">
        <v>2</v>
      </c>
      <c r="AR2475" s="1">
        <v>0</v>
      </c>
      <c r="AS2475" s="1">
        <v>0</v>
      </c>
      <c r="AT2475" s="1">
        <v>0</v>
      </c>
      <c r="AU2475" s="1">
        <v>0</v>
      </c>
      <c r="AV2475" s="1">
        <v>0</v>
      </c>
      <c r="AW2475" s="1">
        <v>0</v>
      </c>
      <c r="AX2475" s="1">
        <v>0</v>
      </c>
      <c r="AY2475" s="1">
        <v>0</v>
      </c>
      <c r="AZ2475" s="1">
        <v>0</v>
      </c>
      <c r="BA2475" s="1">
        <v>0</v>
      </c>
      <c r="BB2475" s="1">
        <v>0</v>
      </c>
      <c r="BC2475" s="1">
        <v>0</v>
      </c>
      <c r="BD2475" s="1">
        <v>0</v>
      </c>
      <c r="BE2475" s="1">
        <v>0</v>
      </c>
      <c r="BF2475" s="1">
        <v>0</v>
      </c>
      <c r="BG2475" s="1">
        <v>0</v>
      </c>
      <c r="BH2475" s="1">
        <v>0</v>
      </c>
      <c r="BI2475" s="1">
        <v>0</v>
      </c>
      <c r="BJ2475" s="1">
        <v>0</v>
      </c>
      <c r="BK2475" s="1">
        <v>1</v>
      </c>
      <c r="BL2475" s="1">
        <v>0</v>
      </c>
      <c r="BM2475" s="1">
        <v>0</v>
      </c>
      <c r="BN2475" s="1">
        <v>0</v>
      </c>
      <c r="BO2475" s="1">
        <v>0</v>
      </c>
      <c r="BP2475" s="1">
        <v>0</v>
      </c>
      <c r="BQ2475" s="1" t="s">
        <v>104</v>
      </c>
      <c r="BR2475" s="1">
        <v>2603</v>
      </c>
      <c r="BS2475" s="1" t="s">
        <v>104</v>
      </c>
      <c r="BX2475" s="1">
        <v>0</v>
      </c>
      <c r="BY2475" s="1" t="s">
        <v>104</v>
      </c>
      <c r="BZ2475" s="1" t="s">
        <v>104</v>
      </c>
      <c r="CA2475" s="1">
        <v>2</v>
      </c>
      <c r="CB2475" s="1" t="s">
        <v>104</v>
      </c>
      <c r="CC2475" s="1">
        <v>2</v>
      </c>
      <c r="CD2475" s="1" t="s">
        <v>104</v>
      </c>
      <c r="CE2475" s="1" t="s">
        <v>104</v>
      </c>
      <c r="CF2475" s="1" t="s">
        <v>104</v>
      </c>
      <c r="CG2475" s="1" t="s">
        <v>104</v>
      </c>
      <c r="CH2475" s="1" t="s">
        <v>104</v>
      </c>
      <c r="CJ2475" s="1">
        <v>0</v>
      </c>
      <c r="CK2475" s="1">
        <v>0</v>
      </c>
      <c r="CL2475" s="1">
        <v>0</v>
      </c>
      <c r="CM2475" s="1" t="s">
        <v>104</v>
      </c>
    </row>
    <row r="2476" spans="1:91" ht="14.25" customHeight="1" x14ac:dyDescent="0.3">
      <c r="A2476" s="1" t="s">
        <v>12645</v>
      </c>
      <c r="B2476" s="1" t="s">
        <v>123</v>
      </c>
      <c r="C2476" s="1" t="s">
        <v>124</v>
      </c>
      <c r="D2476" s="1" t="s">
        <v>125</v>
      </c>
      <c r="E2476" s="1" t="s">
        <v>12515</v>
      </c>
      <c r="F2476" s="1" t="s">
        <v>95</v>
      </c>
      <c r="G2476" s="1" t="s">
        <v>116</v>
      </c>
      <c r="H2476" s="1">
        <v>0</v>
      </c>
      <c r="I2476" s="1" t="s">
        <v>117</v>
      </c>
      <c r="L2476" s="1" t="s">
        <v>5242</v>
      </c>
      <c r="M2476" s="1" t="s">
        <v>12643</v>
      </c>
      <c r="N2476" s="1">
        <v>1</v>
      </c>
      <c r="O2476" s="1">
        <v>0</v>
      </c>
      <c r="P2476" s="1" t="s">
        <v>211</v>
      </c>
      <c r="Q2476" s="1" t="s">
        <v>184</v>
      </c>
      <c r="R2476" s="1" t="s">
        <v>12646</v>
      </c>
      <c r="S2476" s="1" t="s">
        <v>12615</v>
      </c>
      <c r="T2476" s="1">
        <v>1</v>
      </c>
      <c r="U2476" s="1">
        <v>1</v>
      </c>
      <c r="V2476" s="1">
        <v>0</v>
      </c>
      <c r="W2476" s="1">
        <v>0</v>
      </c>
      <c r="X2476" s="1">
        <v>0</v>
      </c>
      <c r="Y2476" s="1">
        <v>5</v>
      </c>
      <c r="Z2476" s="1">
        <v>5</v>
      </c>
      <c r="AA2476" s="1" t="s">
        <v>104</v>
      </c>
      <c r="AB2476" s="1" t="s">
        <v>104</v>
      </c>
      <c r="AC2476" s="1" t="s">
        <v>104</v>
      </c>
      <c r="AD2476" s="1">
        <v>4</v>
      </c>
      <c r="AE2476" s="1" t="s">
        <v>104</v>
      </c>
      <c r="AF2476" s="1" t="s">
        <v>104</v>
      </c>
      <c r="AG2476" s="1" t="s">
        <v>104</v>
      </c>
      <c r="AH2476" s="1">
        <v>5</v>
      </c>
      <c r="AI2476" s="1" t="s">
        <v>104</v>
      </c>
      <c r="AJ2476" s="1" t="s">
        <v>104</v>
      </c>
      <c r="AK2476" s="1" t="s">
        <v>104</v>
      </c>
      <c r="AL2476" s="1" t="s">
        <v>104</v>
      </c>
      <c r="AM2476" s="1" t="s">
        <v>104</v>
      </c>
      <c r="AO2476" s="1">
        <v>5</v>
      </c>
      <c r="AR2476" s="1">
        <v>0</v>
      </c>
      <c r="AS2476" s="1">
        <v>0</v>
      </c>
      <c r="AT2476" s="1">
        <v>0</v>
      </c>
      <c r="AU2476" s="1">
        <v>0</v>
      </c>
      <c r="AV2476" s="1">
        <v>0</v>
      </c>
      <c r="AW2476" s="1">
        <v>0</v>
      </c>
      <c r="AX2476" s="1">
        <v>0</v>
      </c>
      <c r="AY2476" s="1">
        <v>0</v>
      </c>
      <c r="AZ2476" s="1">
        <v>0</v>
      </c>
      <c r="BA2476" s="1">
        <v>0</v>
      </c>
      <c r="BB2476" s="1">
        <v>0</v>
      </c>
      <c r="BC2476" s="1">
        <v>0</v>
      </c>
      <c r="BD2476" s="1">
        <v>0</v>
      </c>
      <c r="BE2476" s="1">
        <v>0</v>
      </c>
      <c r="BF2476" s="1">
        <v>0</v>
      </c>
      <c r="BG2476" s="1">
        <v>0</v>
      </c>
      <c r="BH2476" s="1">
        <v>0</v>
      </c>
      <c r="BI2476" s="1">
        <v>0</v>
      </c>
      <c r="BJ2476" s="1">
        <v>0</v>
      </c>
      <c r="BK2476" s="1">
        <v>1</v>
      </c>
      <c r="BL2476" s="1">
        <v>0</v>
      </c>
      <c r="BM2476" s="1">
        <v>0</v>
      </c>
      <c r="BN2476" s="1">
        <v>0</v>
      </c>
      <c r="BO2476" s="1">
        <v>0</v>
      </c>
      <c r="BP2476" s="1">
        <v>0</v>
      </c>
      <c r="BQ2476" s="1" t="s">
        <v>104</v>
      </c>
      <c r="BR2476" s="1">
        <v>2604</v>
      </c>
      <c r="BS2476" s="1" t="s">
        <v>104</v>
      </c>
      <c r="BX2476" s="1">
        <v>0</v>
      </c>
      <c r="BY2476" s="1" t="s">
        <v>104</v>
      </c>
      <c r="BZ2476" s="1" t="s">
        <v>104</v>
      </c>
      <c r="CA2476" s="1">
        <v>5</v>
      </c>
      <c r="CB2476" s="1" t="s">
        <v>104</v>
      </c>
      <c r="CC2476" s="1">
        <v>4</v>
      </c>
      <c r="CD2476" s="1" t="s">
        <v>104</v>
      </c>
      <c r="CE2476" s="1" t="s">
        <v>104</v>
      </c>
      <c r="CF2476" s="1" t="s">
        <v>104</v>
      </c>
      <c r="CG2476" s="1" t="s">
        <v>104</v>
      </c>
      <c r="CH2476" s="1" t="s">
        <v>104</v>
      </c>
      <c r="CJ2476" s="1">
        <v>0</v>
      </c>
      <c r="CK2476" s="1">
        <v>0</v>
      </c>
      <c r="CL2476" s="1">
        <v>0</v>
      </c>
      <c r="CM2476" s="1" t="s">
        <v>104</v>
      </c>
    </row>
    <row r="2477" spans="1:91" ht="14.25" customHeight="1" x14ac:dyDescent="0.3">
      <c r="A2477" s="1" t="s">
        <v>12647</v>
      </c>
      <c r="B2477" s="1" t="s">
        <v>137</v>
      </c>
      <c r="C2477" s="1" t="s">
        <v>154</v>
      </c>
      <c r="E2477" s="1" t="s">
        <v>12648</v>
      </c>
      <c r="F2477" s="1" t="s">
        <v>95</v>
      </c>
      <c r="G2477" s="1" t="s">
        <v>12649</v>
      </c>
      <c r="H2477" s="1">
        <v>1</v>
      </c>
      <c r="I2477" s="1" t="s">
        <v>117</v>
      </c>
      <c r="L2477" s="1" t="s">
        <v>374</v>
      </c>
      <c r="M2477" s="1" t="s">
        <v>298</v>
      </c>
      <c r="N2477" s="1">
        <v>0</v>
      </c>
      <c r="O2477" s="1">
        <v>0</v>
      </c>
      <c r="P2477" s="1" t="s">
        <v>183</v>
      </c>
      <c r="Q2477" s="1" t="s">
        <v>184</v>
      </c>
      <c r="R2477" s="1" t="s">
        <v>12650</v>
      </c>
      <c r="S2477" s="1" t="s">
        <v>12615</v>
      </c>
      <c r="T2477" s="1">
        <v>1</v>
      </c>
      <c r="U2477" s="1">
        <v>1</v>
      </c>
      <c r="V2477" s="1">
        <v>0</v>
      </c>
      <c r="W2477" s="1">
        <v>0</v>
      </c>
      <c r="X2477" s="1">
        <v>0</v>
      </c>
      <c r="Y2477" s="1">
        <v>9</v>
      </c>
      <c r="Z2477" s="1">
        <v>9</v>
      </c>
      <c r="AA2477" s="1" t="s">
        <v>104</v>
      </c>
      <c r="AB2477" s="1" t="s">
        <v>104</v>
      </c>
      <c r="AC2477" s="1" t="s">
        <v>104</v>
      </c>
      <c r="AD2477" s="1" t="s">
        <v>104</v>
      </c>
      <c r="AE2477" s="1" t="s">
        <v>104</v>
      </c>
      <c r="AF2477" s="1" t="s">
        <v>104</v>
      </c>
      <c r="AG2477" s="1" t="s">
        <v>104</v>
      </c>
      <c r="AH2477" s="1">
        <v>9</v>
      </c>
      <c r="AI2477" s="1" t="s">
        <v>104</v>
      </c>
      <c r="AJ2477" s="1" t="s">
        <v>104</v>
      </c>
      <c r="AK2477" s="1" t="s">
        <v>104</v>
      </c>
      <c r="AL2477" s="1" t="s">
        <v>104</v>
      </c>
      <c r="AM2477" s="1" t="s">
        <v>104</v>
      </c>
      <c r="AO2477" s="1">
        <v>9</v>
      </c>
      <c r="AR2477" s="1">
        <v>0</v>
      </c>
      <c r="AS2477" s="1">
        <v>0</v>
      </c>
      <c r="AT2477" s="1">
        <v>0</v>
      </c>
      <c r="AU2477" s="1">
        <v>0</v>
      </c>
      <c r="AV2477" s="1">
        <v>0</v>
      </c>
      <c r="AW2477" s="1">
        <v>0</v>
      </c>
      <c r="AX2477" s="1">
        <v>0</v>
      </c>
      <c r="AY2477" s="1">
        <v>0</v>
      </c>
      <c r="AZ2477" s="1">
        <v>0</v>
      </c>
      <c r="BA2477" s="1">
        <v>0</v>
      </c>
      <c r="BB2477" s="1">
        <v>0</v>
      </c>
      <c r="BC2477" s="1">
        <v>0</v>
      </c>
      <c r="BD2477" s="1">
        <v>0</v>
      </c>
      <c r="BE2477" s="1">
        <v>0</v>
      </c>
      <c r="BF2477" s="1">
        <v>0</v>
      </c>
      <c r="BG2477" s="1">
        <v>0</v>
      </c>
      <c r="BH2477" s="1">
        <v>0</v>
      </c>
      <c r="BI2477" s="1">
        <v>0</v>
      </c>
      <c r="BJ2477" s="1">
        <v>0</v>
      </c>
      <c r="BK2477" s="1">
        <v>0</v>
      </c>
      <c r="BL2477" s="1">
        <v>0</v>
      </c>
      <c r="BM2477" s="1">
        <v>0</v>
      </c>
      <c r="BN2477" s="1">
        <v>0</v>
      </c>
      <c r="BO2477" s="1">
        <v>0</v>
      </c>
      <c r="BP2477" s="1">
        <v>0</v>
      </c>
      <c r="BQ2477" s="1" t="s">
        <v>104</v>
      </c>
      <c r="BR2477" s="1">
        <v>2605</v>
      </c>
      <c r="BS2477" s="1">
        <v>1000</v>
      </c>
      <c r="BX2477" s="1">
        <v>0</v>
      </c>
      <c r="BY2477" s="1" t="s">
        <v>104</v>
      </c>
      <c r="BZ2477" s="1" t="s">
        <v>104</v>
      </c>
      <c r="CA2477" s="1" t="s">
        <v>104</v>
      </c>
      <c r="CB2477" s="1" t="s">
        <v>104</v>
      </c>
      <c r="CC2477" s="1" t="s">
        <v>104</v>
      </c>
      <c r="CD2477" s="1">
        <v>6</v>
      </c>
      <c r="CE2477" s="1" t="s">
        <v>104</v>
      </c>
      <c r="CF2477" s="1" t="s">
        <v>104</v>
      </c>
      <c r="CG2477" s="1" t="s">
        <v>104</v>
      </c>
      <c r="CH2477" s="1" t="s">
        <v>104</v>
      </c>
      <c r="CJ2477" s="1">
        <v>0</v>
      </c>
      <c r="CK2477" s="1">
        <v>0</v>
      </c>
      <c r="CL2477" s="1">
        <v>0</v>
      </c>
      <c r="CM2477" s="1" t="s">
        <v>104</v>
      </c>
    </row>
    <row r="2478" spans="1:91" ht="14.25" customHeight="1" x14ac:dyDescent="0.3">
      <c r="A2478" s="1" t="s">
        <v>12651</v>
      </c>
      <c r="B2478" s="1" t="s">
        <v>434</v>
      </c>
      <c r="D2478" s="1" t="s">
        <v>12652</v>
      </c>
      <c r="E2478" s="1" t="s">
        <v>12653</v>
      </c>
      <c r="F2478" s="1" t="s">
        <v>95</v>
      </c>
      <c r="G2478" s="1" t="s">
        <v>1623</v>
      </c>
      <c r="H2478" s="1">
        <v>0</v>
      </c>
      <c r="I2478" s="1" t="s">
        <v>157</v>
      </c>
      <c r="L2478" s="1" t="s">
        <v>158</v>
      </c>
      <c r="M2478" s="1" t="s">
        <v>2330</v>
      </c>
      <c r="N2478" s="1">
        <v>0</v>
      </c>
      <c r="O2478" s="1">
        <v>0</v>
      </c>
      <c r="P2478" s="1" t="s">
        <v>375</v>
      </c>
      <c r="Q2478" s="1" t="s">
        <v>101</v>
      </c>
      <c r="R2478" s="1" t="s">
        <v>12654</v>
      </c>
      <c r="S2478" s="1" t="s">
        <v>12655</v>
      </c>
      <c r="T2478" s="1">
        <v>1</v>
      </c>
      <c r="U2478" s="1">
        <v>1</v>
      </c>
      <c r="V2478" s="1">
        <v>1</v>
      </c>
      <c r="W2478" s="1">
        <v>0</v>
      </c>
      <c r="X2478" s="1">
        <v>0</v>
      </c>
      <c r="Y2478" s="1">
        <v>3</v>
      </c>
      <c r="Z2478" s="1">
        <v>3</v>
      </c>
      <c r="AA2478" s="1" t="s">
        <v>104</v>
      </c>
      <c r="AB2478" s="1" t="s">
        <v>104</v>
      </c>
      <c r="AC2478" s="1" t="s">
        <v>104</v>
      </c>
      <c r="AD2478" s="1" t="s">
        <v>104</v>
      </c>
      <c r="AE2478" s="1" t="s">
        <v>104</v>
      </c>
      <c r="AF2478" s="1">
        <v>3</v>
      </c>
      <c r="AG2478" s="1" t="s">
        <v>104</v>
      </c>
      <c r="AH2478" s="1" t="s">
        <v>104</v>
      </c>
      <c r="AI2478" s="1" t="s">
        <v>104</v>
      </c>
      <c r="AJ2478" s="1" t="s">
        <v>104</v>
      </c>
      <c r="AK2478" s="1" t="s">
        <v>104</v>
      </c>
      <c r="AL2478" s="1" t="s">
        <v>104</v>
      </c>
      <c r="AM2478" s="1" t="s">
        <v>104</v>
      </c>
      <c r="AO2478" s="1">
        <v>3</v>
      </c>
      <c r="AR2478" s="1">
        <v>0</v>
      </c>
      <c r="AS2478" s="1">
        <v>0</v>
      </c>
      <c r="AT2478" s="1">
        <v>0</v>
      </c>
      <c r="AU2478" s="1">
        <v>0</v>
      </c>
      <c r="AV2478" s="1">
        <v>0</v>
      </c>
      <c r="AW2478" s="1">
        <v>0</v>
      </c>
      <c r="AX2478" s="1">
        <v>0</v>
      </c>
      <c r="AY2478" s="1">
        <v>0</v>
      </c>
      <c r="AZ2478" s="1">
        <v>0</v>
      </c>
      <c r="BA2478" s="1">
        <v>0</v>
      </c>
      <c r="BB2478" s="1">
        <v>0</v>
      </c>
      <c r="BC2478" s="1">
        <v>0</v>
      </c>
      <c r="BD2478" s="1">
        <v>0</v>
      </c>
      <c r="BE2478" s="1">
        <v>0</v>
      </c>
      <c r="BF2478" s="1">
        <v>0</v>
      </c>
      <c r="BG2478" s="1">
        <v>1</v>
      </c>
      <c r="BH2478" s="1">
        <v>0</v>
      </c>
      <c r="BI2478" s="1">
        <v>0</v>
      </c>
      <c r="BJ2478" s="1">
        <v>0</v>
      </c>
      <c r="BK2478" s="1">
        <v>0</v>
      </c>
      <c r="BL2478" s="1">
        <v>0</v>
      </c>
      <c r="BM2478" s="1">
        <v>0</v>
      </c>
      <c r="BN2478" s="1">
        <v>0</v>
      </c>
      <c r="BO2478" s="1">
        <v>0</v>
      </c>
      <c r="BP2478" s="1">
        <v>0</v>
      </c>
      <c r="BQ2478" s="1" t="s">
        <v>104</v>
      </c>
      <c r="BR2478" s="1">
        <v>2611</v>
      </c>
      <c r="BS2478" s="1" t="s">
        <v>104</v>
      </c>
      <c r="BX2478" s="1">
        <v>0</v>
      </c>
      <c r="BY2478" s="1">
        <v>3</v>
      </c>
      <c r="BZ2478" s="1" t="s">
        <v>104</v>
      </c>
      <c r="CA2478" s="1" t="s">
        <v>104</v>
      </c>
      <c r="CB2478" s="1">
        <v>3</v>
      </c>
      <c r="CC2478" s="1" t="s">
        <v>104</v>
      </c>
      <c r="CD2478" s="1" t="s">
        <v>104</v>
      </c>
      <c r="CE2478" s="1" t="s">
        <v>104</v>
      </c>
      <c r="CF2478" s="1" t="s">
        <v>104</v>
      </c>
      <c r="CG2478" s="1" t="s">
        <v>104</v>
      </c>
      <c r="CH2478" s="1" t="s">
        <v>104</v>
      </c>
      <c r="CJ2478" s="1">
        <v>0</v>
      </c>
      <c r="CK2478" s="1">
        <v>1</v>
      </c>
      <c r="CL2478" s="1">
        <v>0</v>
      </c>
      <c r="CM2478" s="1" t="s">
        <v>104</v>
      </c>
    </row>
    <row r="2479" spans="1:91" ht="14.25" customHeight="1" x14ac:dyDescent="0.3">
      <c r="A2479" s="1" t="s">
        <v>12656</v>
      </c>
      <c r="B2479" s="1" t="s">
        <v>123</v>
      </c>
      <c r="C2479" s="1" t="s">
        <v>124</v>
      </c>
      <c r="D2479" s="1" t="s">
        <v>12657</v>
      </c>
      <c r="E2479" s="1" t="s">
        <v>12658</v>
      </c>
      <c r="F2479" s="1" t="s">
        <v>95</v>
      </c>
      <c r="G2479" s="1" t="s">
        <v>12659</v>
      </c>
      <c r="H2479" s="1">
        <v>0</v>
      </c>
      <c r="I2479" s="1" t="s">
        <v>128</v>
      </c>
      <c r="L2479" s="1" t="s">
        <v>374</v>
      </c>
      <c r="M2479" s="1" t="s">
        <v>111</v>
      </c>
      <c r="N2479" s="1">
        <v>0</v>
      </c>
      <c r="O2479" s="1">
        <v>0</v>
      </c>
      <c r="P2479" s="1" t="s">
        <v>211</v>
      </c>
      <c r="Q2479" s="1" t="s">
        <v>184</v>
      </c>
      <c r="R2479" s="1" t="s">
        <v>12660</v>
      </c>
      <c r="S2479" s="1" t="s">
        <v>12655</v>
      </c>
      <c r="T2479" s="1">
        <v>1</v>
      </c>
      <c r="U2479" s="1">
        <v>1</v>
      </c>
      <c r="V2479" s="1">
        <v>1</v>
      </c>
      <c r="W2479" s="1">
        <v>0</v>
      </c>
      <c r="X2479" s="1">
        <v>0</v>
      </c>
      <c r="Y2479" s="1">
        <v>5</v>
      </c>
      <c r="Z2479" s="1">
        <v>5</v>
      </c>
      <c r="AA2479" s="1" t="s">
        <v>104</v>
      </c>
      <c r="AB2479" s="1" t="s">
        <v>104</v>
      </c>
      <c r="AC2479" s="1" t="s">
        <v>104</v>
      </c>
      <c r="AD2479" s="1" t="s">
        <v>104</v>
      </c>
      <c r="AE2479" s="1" t="s">
        <v>104</v>
      </c>
      <c r="AF2479" s="1" t="s">
        <v>104</v>
      </c>
      <c r="AG2479" s="1" t="s">
        <v>104</v>
      </c>
      <c r="AH2479" s="1">
        <v>5</v>
      </c>
      <c r="AI2479" s="1" t="s">
        <v>104</v>
      </c>
      <c r="AJ2479" s="1" t="s">
        <v>104</v>
      </c>
      <c r="AK2479" s="1" t="s">
        <v>104</v>
      </c>
      <c r="AL2479" s="1" t="s">
        <v>104</v>
      </c>
      <c r="AM2479" s="1" t="s">
        <v>104</v>
      </c>
      <c r="AO2479" s="1">
        <v>5</v>
      </c>
      <c r="AR2479" s="1">
        <v>0</v>
      </c>
      <c r="AS2479" s="1">
        <v>0</v>
      </c>
      <c r="AT2479" s="1">
        <v>0</v>
      </c>
      <c r="AU2479" s="1">
        <v>0</v>
      </c>
      <c r="AV2479" s="1">
        <v>0</v>
      </c>
      <c r="AW2479" s="1">
        <v>0</v>
      </c>
      <c r="AX2479" s="1">
        <v>0</v>
      </c>
      <c r="AY2479" s="1">
        <v>0</v>
      </c>
      <c r="AZ2479" s="1">
        <v>0</v>
      </c>
      <c r="BA2479" s="1">
        <v>0</v>
      </c>
      <c r="BB2479" s="1">
        <v>0</v>
      </c>
      <c r="BC2479" s="1">
        <v>1</v>
      </c>
      <c r="BD2479" s="1">
        <v>0</v>
      </c>
      <c r="BE2479" s="1">
        <v>0</v>
      </c>
      <c r="BF2479" s="1">
        <v>0</v>
      </c>
      <c r="BG2479" s="1">
        <v>0</v>
      </c>
      <c r="BH2479" s="1">
        <v>0</v>
      </c>
      <c r="BI2479" s="1">
        <v>0</v>
      </c>
      <c r="BJ2479" s="1">
        <v>0</v>
      </c>
      <c r="BK2479" s="1">
        <v>1</v>
      </c>
      <c r="BL2479" s="1">
        <v>0</v>
      </c>
      <c r="BM2479" s="1">
        <v>0</v>
      </c>
      <c r="BN2479" s="1">
        <v>0</v>
      </c>
      <c r="BO2479" s="1">
        <v>0</v>
      </c>
      <c r="BP2479" s="1">
        <v>0</v>
      </c>
      <c r="BQ2479" s="1" t="s">
        <v>104</v>
      </c>
      <c r="BR2479" s="1">
        <v>2612</v>
      </c>
      <c r="BS2479" s="1" t="s">
        <v>104</v>
      </c>
      <c r="BX2479" s="1">
        <v>0</v>
      </c>
      <c r="BY2479" s="1" t="s">
        <v>104</v>
      </c>
      <c r="BZ2479" s="1">
        <v>5</v>
      </c>
      <c r="CA2479" s="1" t="s">
        <v>104</v>
      </c>
      <c r="CB2479" s="1" t="s">
        <v>104</v>
      </c>
      <c r="CC2479" s="1">
        <v>5</v>
      </c>
      <c r="CD2479" s="1">
        <v>5</v>
      </c>
      <c r="CE2479" s="1" t="s">
        <v>104</v>
      </c>
      <c r="CF2479" s="1" t="s">
        <v>104</v>
      </c>
      <c r="CG2479" s="1" t="s">
        <v>104</v>
      </c>
      <c r="CH2479" s="1" t="s">
        <v>104</v>
      </c>
      <c r="CJ2479" s="1">
        <v>0</v>
      </c>
      <c r="CK2479" s="1">
        <v>1</v>
      </c>
      <c r="CL2479" s="1">
        <v>0</v>
      </c>
      <c r="CM2479" s="1" t="s">
        <v>104</v>
      </c>
    </row>
    <row r="2480" spans="1:91" ht="14.25" customHeight="1" x14ac:dyDescent="0.3">
      <c r="A2480" s="1" t="s">
        <v>12661</v>
      </c>
      <c r="B2480" s="1" t="s">
        <v>92</v>
      </c>
      <c r="C2480" s="1" t="s">
        <v>93</v>
      </c>
      <c r="D2480" s="1" t="s">
        <v>88</v>
      </c>
      <c r="E2480" s="1" t="s">
        <v>12662</v>
      </c>
      <c r="F2480" s="1" t="s">
        <v>287</v>
      </c>
      <c r="G2480" s="1" t="s">
        <v>12663</v>
      </c>
      <c r="H2480" s="1">
        <v>1</v>
      </c>
      <c r="I2480" s="1" t="s">
        <v>117</v>
      </c>
      <c r="K2480" s="1" t="s">
        <v>12664</v>
      </c>
      <c r="M2480" s="1" t="s">
        <v>4400</v>
      </c>
      <c r="N2480" s="1">
        <v>1</v>
      </c>
      <c r="O2480" s="1">
        <v>0</v>
      </c>
      <c r="P2480" s="1" t="s">
        <v>100</v>
      </c>
      <c r="Q2480" s="1" t="s">
        <v>101</v>
      </c>
      <c r="R2480" s="1" t="s">
        <v>12665</v>
      </c>
      <c r="S2480" s="1" t="s">
        <v>12655</v>
      </c>
      <c r="T2480" s="1">
        <v>1</v>
      </c>
      <c r="U2480" s="1">
        <v>1</v>
      </c>
      <c r="V2480" s="1">
        <v>1</v>
      </c>
      <c r="W2480" s="1">
        <v>0</v>
      </c>
      <c r="X2480" s="1">
        <v>0</v>
      </c>
      <c r="Y2480" s="1">
        <v>3</v>
      </c>
      <c r="Z2480" s="1">
        <v>3</v>
      </c>
      <c r="AA2480" s="1" t="s">
        <v>104</v>
      </c>
      <c r="AB2480" s="1" t="s">
        <v>104</v>
      </c>
      <c r="AC2480" s="1" t="s">
        <v>104</v>
      </c>
      <c r="AD2480" s="1" t="s">
        <v>104</v>
      </c>
      <c r="AE2480" s="1">
        <v>3</v>
      </c>
      <c r="AF2480" s="1" t="s">
        <v>104</v>
      </c>
      <c r="AG2480" s="1">
        <v>3</v>
      </c>
      <c r="AH2480" s="1" t="s">
        <v>104</v>
      </c>
      <c r="AI2480" s="1" t="s">
        <v>104</v>
      </c>
      <c r="AJ2480" s="1" t="s">
        <v>104</v>
      </c>
      <c r="AK2480" s="1">
        <v>3</v>
      </c>
      <c r="AL2480" s="1" t="s">
        <v>104</v>
      </c>
      <c r="AM2480" s="1" t="s">
        <v>104</v>
      </c>
      <c r="AO2480" s="1">
        <v>3</v>
      </c>
      <c r="AR2480" s="1">
        <v>0</v>
      </c>
      <c r="AS2480" s="1">
        <v>0</v>
      </c>
      <c r="AT2480" s="1">
        <v>0</v>
      </c>
      <c r="AU2480" s="1">
        <v>0</v>
      </c>
      <c r="AV2480" s="1">
        <v>0</v>
      </c>
      <c r="AW2480" s="1">
        <v>0</v>
      </c>
      <c r="AX2480" s="1">
        <v>0</v>
      </c>
      <c r="AY2480" s="1">
        <v>0</v>
      </c>
      <c r="AZ2480" s="1">
        <v>0</v>
      </c>
      <c r="BA2480" s="1">
        <v>0</v>
      </c>
      <c r="BB2480" s="1">
        <v>0</v>
      </c>
      <c r="BC2480" s="1">
        <v>0</v>
      </c>
      <c r="BD2480" s="1">
        <v>0</v>
      </c>
      <c r="BE2480" s="1">
        <v>0</v>
      </c>
      <c r="BF2480" s="1">
        <v>0</v>
      </c>
      <c r="BG2480" s="1">
        <v>0</v>
      </c>
      <c r="BH2480" s="1">
        <v>0</v>
      </c>
      <c r="BI2480" s="1">
        <v>0</v>
      </c>
      <c r="BJ2480" s="1">
        <v>0</v>
      </c>
      <c r="BK2480" s="1">
        <v>0</v>
      </c>
      <c r="BL2480" s="1">
        <v>0</v>
      </c>
      <c r="BM2480" s="1">
        <v>0</v>
      </c>
      <c r="BN2480" s="1">
        <v>0</v>
      </c>
      <c r="BO2480" s="1">
        <v>0</v>
      </c>
      <c r="BP2480" s="1">
        <v>0</v>
      </c>
      <c r="BQ2480" s="1" t="s">
        <v>104</v>
      </c>
      <c r="BR2480" s="1">
        <v>2613</v>
      </c>
      <c r="BS2480" s="1">
        <v>250</v>
      </c>
      <c r="BX2480" s="1">
        <v>0</v>
      </c>
      <c r="BY2480" s="1">
        <v>3</v>
      </c>
      <c r="BZ2480" s="1" t="s">
        <v>104</v>
      </c>
      <c r="CA2480" s="1">
        <v>3</v>
      </c>
      <c r="CB2480" s="1" t="s">
        <v>104</v>
      </c>
      <c r="CC2480" s="1" t="s">
        <v>104</v>
      </c>
      <c r="CD2480" s="1">
        <v>3</v>
      </c>
      <c r="CE2480" s="1">
        <v>3</v>
      </c>
      <c r="CF2480" s="1" t="s">
        <v>104</v>
      </c>
      <c r="CG2480" s="1" t="s">
        <v>104</v>
      </c>
      <c r="CH2480" s="1" t="s">
        <v>104</v>
      </c>
      <c r="CJ2480" s="1">
        <v>0</v>
      </c>
      <c r="CK2480" s="1">
        <v>1</v>
      </c>
      <c r="CL2480" s="1">
        <v>0</v>
      </c>
      <c r="CM2480" s="1">
        <v>3</v>
      </c>
    </row>
    <row r="2481" spans="1:91" ht="14.25" customHeight="1" x14ac:dyDescent="0.3">
      <c r="A2481" s="1" t="s">
        <v>12666</v>
      </c>
      <c r="B2481" s="1" t="s">
        <v>123</v>
      </c>
      <c r="D2481" s="1" t="s">
        <v>88</v>
      </c>
      <c r="E2481" s="1" t="s">
        <v>12667</v>
      </c>
      <c r="F2481" s="1" t="s">
        <v>95</v>
      </c>
      <c r="G2481" s="1" t="s">
        <v>116</v>
      </c>
      <c r="H2481" s="1">
        <v>0</v>
      </c>
      <c r="I2481" s="1" t="s">
        <v>157</v>
      </c>
      <c r="K2481" s="1" t="s">
        <v>12668</v>
      </c>
      <c r="L2481" s="1" t="s">
        <v>158</v>
      </c>
      <c r="M2481" s="1" t="s">
        <v>2330</v>
      </c>
      <c r="N2481" s="1">
        <v>0</v>
      </c>
      <c r="O2481" s="1">
        <v>0</v>
      </c>
      <c r="P2481" s="1" t="s">
        <v>375</v>
      </c>
      <c r="Q2481" s="1" t="s">
        <v>101</v>
      </c>
      <c r="R2481" s="1" t="s">
        <v>12669</v>
      </c>
      <c r="S2481" s="1" t="s">
        <v>12655</v>
      </c>
      <c r="T2481" s="1">
        <v>1</v>
      </c>
      <c r="U2481" s="1">
        <v>1</v>
      </c>
      <c r="V2481" s="1">
        <v>0</v>
      </c>
      <c r="W2481" s="1">
        <v>0</v>
      </c>
      <c r="X2481" s="1">
        <v>0</v>
      </c>
      <c r="Y2481" s="1">
        <v>3</v>
      </c>
      <c r="Z2481" s="1">
        <v>3</v>
      </c>
      <c r="AA2481" s="1">
        <v>3</v>
      </c>
      <c r="AB2481" s="1" t="s">
        <v>104</v>
      </c>
      <c r="AC2481" s="1" t="s">
        <v>104</v>
      </c>
      <c r="AD2481" s="1">
        <v>3</v>
      </c>
      <c r="AE2481" s="1" t="s">
        <v>104</v>
      </c>
      <c r="AF2481" s="1" t="s">
        <v>104</v>
      </c>
      <c r="AG2481" s="1" t="s">
        <v>104</v>
      </c>
      <c r="AH2481" s="1">
        <v>3</v>
      </c>
      <c r="AI2481" s="1">
        <v>3</v>
      </c>
      <c r="AJ2481" s="1">
        <v>3</v>
      </c>
      <c r="AK2481" s="1">
        <v>3</v>
      </c>
      <c r="AL2481" s="1" t="s">
        <v>104</v>
      </c>
      <c r="AM2481" s="1" t="s">
        <v>104</v>
      </c>
      <c r="AO2481" s="1">
        <v>3</v>
      </c>
      <c r="AR2481" s="1">
        <v>0</v>
      </c>
      <c r="AS2481" s="1">
        <v>0</v>
      </c>
      <c r="AT2481" s="1">
        <v>0</v>
      </c>
      <c r="AU2481" s="1">
        <v>0</v>
      </c>
      <c r="AV2481" s="1">
        <v>0</v>
      </c>
      <c r="AW2481" s="1">
        <v>0</v>
      </c>
      <c r="AX2481" s="1">
        <v>0</v>
      </c>
      <c r="AY2481" s="1">
        <v>0</v>
      </c>
      <c r="AZ2481" s="1">
        <v>0</v>
      </c>
      <c r="BA2481" s="1">
        <v>0</v>
      </c>
      <c r="BB2481" s="1">
        <v>0</v>
      </c>
      <c r="BC2481" s="1">
        <v>0</v>
      </c>
      <c r="BD2481" s="1">
        <v>0</v>
      </c>
      <c r="BE2481" s="1">
        <v>0</v>
      </c>
      <c r="BF2481" s="1">
        <v>0</v>
      </c>
      <c r="BG2481" s="1">
        <v>0</v>
      </c>
      <c r="BH2481" s="1">
        <v>0</v>
      </c>
      <c r="BI2481" s="1">
        <v>0</v>
      </c>
      <c r="BJ2481" s="1">
        <v>0</v>
      </c>
      <c r="BK2481" s="1">
        <v>0</v>
      </c>
      <c r="BL2481" s="1">
        <v>0</v>
      </c>
      <c r="BM2481" s="1">
        <v>0</v>
      </c>
      <c r="BN2481" s="1">
        <v>0</v>
      </c>
      <c r="BO2481" s="1">
        <v>0</v>
      </c>
      <c r="BP2481" s="1">
        <v>0</v>
      </c>
      <c r="BQ2481" s="1" t="s">
        <v>104</v>
      </c>
      <c r="BR2481" s="1">
        <v>2614</v>
      </c>
      <c r="BS2481" s="1" t="s">
        <v>104</v>
      </c>
      <c r="BX2481" s="1">
        <v>0</v>
      </c>
      <c r="BY2481" s="1">
        <v>3</v>
      </c>
      <c r="BZ2481" s="1">
        <v>3</v>
      </c>
      <c r="CA2481" s="1">
        <v>3</v>
      </c>
      <c r="CB2481" s="1" t="s">
        <v>104</v>
      </c>
      <c r="CC2481" s="1">
        <v>3</v>
      </c>
      <c r="CD2481" s="1" t="s">
        <v>104</v>
      </c>
      <c r="CE2481" s="1" t="s">
        <v>104</v>
      </c>
      <c r="CF2481" s="1" t="s">
        <v>104</v>
      </c>
      <c r="CG2481" s="1" t="s">
        <v>104</v>
      </c>
      <c r="CH2481" s="1" t="s">
        <v>104</v>
      </c>
      <c r="CJ2481" s="1">
        <v>0</v>
      </c>
      <c r="CK2481" s="1">
        <v>1</v>
      </c>
      <c r="CL2481" s="1">
        <v>0</v>
      </c>
      <c r="CM2481" s="1" t="s">
        <v>104</v>
      </c>
    </row>
    <row r="2482" spans="1:91" ht="14.25" customHeight="1" x14ac:dyDescent="0.3">
      <c r="A2482" s="1" t="s">
        <v>12670</v>
      </c>
      <c r="B2482" s="1" t="s">
        <v>137</v>
      </c>
      <c r="C2482" s="1" t="s">
        <v>154</v>
      </c>
      <c r="E2482" s="1" t="s">
        <v>12671</v>
      </c>
      <c r="F2482" s="1" t="s">
        <v>95</v>
      </c>
      <c r="G2482" s="1" t="s">
        <v>1675</v>
      </c>
      <c r="H2482" s="1">
        <v>0</v>
      </c>
      <c r="I2482" s="1" t="s">
        <v>157</v>
      </c>
      <c r="L2482" s="1" t="s">
        <v>158</v>
      </c>
      <c r="M2482" s="1" t="s">
        <v>4641</v>
      </c>
      <c r="N2482" s="1">
        <v>1</v>
      </c>
      <c r="O2482" s="1">
        <v>0</v>
      </c>
      <c r="P2482" s="1" t="s">
        <v>145</v>
      </c>
      <c r="Q2482" s="1" t="s">
        <v>101</v>
      </c>
      <c r="R2482" s="1" t="s">
        <v>12672</v>
      </c>
      <c r="S2482" s="1" t="s">
        <v>12655</v>
      </c>
      <c r="T2482" s="1">
        <v>1</v>
      </c>
      <c r="U2482" s="1">
        <v>1</v>
      </c>
      <c r="V2482" s="1">
        <v>1</v>
      </c>
      <c r="W2482" s="1">
        <v>0</v>
      </c>
      <c r="X2482" s="1">
        <v>0</v>
      </c>
      <c r="Y2482" s="1">
        <v>6</v>
      </c>
      <c r="Z2482" s="1">
        <v>6</v>
      </c>
      <c r="AA2482" s="1" t="s">
        <v>104</v>
      </c>
      <c r="AB2482" s="1" t="s">
        <v>104</v>
      </c>
      <c r="AC2482" s="1" t="s">
        <v>104</v>
      </c>
      <c r="AD2482" s="1" t="s">
        <v>104</v>
      </c>
      <c r="AE2482" s="1" t="s">
        <v>104</v>
      </c>
      <c r="AF2482" s="1">
        <v>6</v>
      </c>
      <c r="AG2482" s="1" t="s">
        <v>104</v>
      </c>
      <c r="AH2482" s="1" t="s">
        <v>104</v>
      </c>
      <c r="AI2482" s="1" t="s">
        <v>104</v>
      </c>
      <c r="AJ2482" s="1" t="s">
        <v>104</v>
      </c>
      <c r="AK2482" s="1" t="s">
        <v>104</v>
      </c>
      <c r="AL2482" s="1">
        <v>6</v>
      </c>
      <c r="AM2482" s="1" t="s">
        <v>104</v>
      </c>
      <c r="AO2482" s="1">
        <v>6</v>
      </c>
      <c r="AR2482" s="1">
        <v>0</v>
      </c>
      <c r="AS2482" s="1">
        <v>0</v>
      </c>
      <c r="AT2482" s="1">
        <v>0</v>
      </c>
      <c r="AU2482" s="1">
        <v>0</v>
      </c>
      <c r="AV2482" s="1">
        <v>0</v>
      </c>
      <c r="AW2482" s="1">
        <v>0</v>
      </c>
      <c r="AX2482" s="1">
        <v>0</v>
      </c>
      <c r="AY2482" s="1">
        <v>0</v>
      </c>
      <c r="AZ2482" s="1">
        <v>0</v>
      </c>
      <c r="BA2482" s="1">
        <v>0</v>
      </c>
      <c r="BB2482" s="1">
        <v>0</v>
      </c>
      <c r="BC2482" s="1">
        <v>0</v>
      </c>
      <c r="BD2482" s="1">
        <v>0</v>
      </c>
      <c r="BE2482" s="1">
        <v>0</v>
      </c>
      <c r="BF2482" s="1">
        <v>0</v>
      </c>
      <c r="BG2482" s="1">
        <v>0</v>
      </c>
      <c r="BH2482" s="1">
        <v>0</v>
      </c>
      <c r="BI2482" s="1">
        <v>0</v>
      </c>
      <c r="BJ2482" s="1">
        <v>0</v>
      </c>
      <c r="BK2482" s="1">
        <v>0</v>
      </c>
      <c r="BL2482" s="1">
        <v>0</v>
      </c>
      <c r="BM2482" s="1">
        <v>0</v>
      </c>
      <c r="BN2482" s="1">
        <v>0</v>
      </c>
      <c r="BO2482" s="1">
        <v>0</v>
      </c>
      <c r="BP2482" s="1">
        <v>0</v>
      </c>
      <c r="BQ2482" s="1" t="s">
        <v>104</v>
      </c>
      <c r="BR2482" s="1">
        <v>2615</v>
      </c>
      <c r="BS2482" s="1" t="s">
        <v>104</v>
      </c>
      <c r="BX2482" s="1">
        <v>0</v>
      </c>
      <c r="BY2482" s="1" t="s">
        <v>104</v>
      </c>
      <c r="BZ2482" s="1" t="s">
        <v>104</v>
      </c>
      <c r="CA2482" s="1">
        <v>7</v>
      </c>
      <c r="CB2482" s="1" t="s">
        <v>104</v>
      </c>
      <c r="CC2482" s="1" t="s">
        <v>104</v>
      </c>
      <c r="CD2482" s="1" t="s">
        <v>104</v>
      </c>
      <c r="CE2482" s="1" t="s">
        <v>104</v>
      </c>
      <c r="CF2482" s="1" t="s">
        <v>104</v>
      </c>
      <c r="CG2482" s="1" t="s">
        <v>104</v>
      </c>
      <c r="CH2482" s="1" t="s">
        <v>104</v>
      </c>
      <c r="CJ2482" s="1">
        <v>0</v>
      </c>
      <c r="CK2482" s="1">
        <v>0</v>
      </c>
      <c r="CL2482" s="1">
        <v>0</v>
      </c>
      <c r="CM2482" s="1" t="s">
        <v>104</v>
      </c>
    </row>
    <row r="2483" spans="1:91" ht="14.25" customHeight="1" x14ac:dyDescent="0.3">
      <c r="A2483" s="1" t="s">
        <v>12673</v>
      </c>
      <c r="B2483" s="1" t="s">
        <v>137</v>
      </c>
      <c r="C2483" s="1" t="s">
        <v>154</v>
      </c>
      <c r="E2483" s="1" t="s">
        <v>12674</v>
      </c>
      <c r="F2483" s="1" t="s">
        <v>95</v>
      </c>
      <c r="G2483" s="1" t="s">
        <v>1675</v>
      </c>
      <c r="H2483" s="1">
        <v>0</v>
      </c>
      <c r="I2483" s="1" t="s">
        <v>157</v>
      </c>
      <c r="L2483" s="1" t="s">
        <v>158</v>
      </c>
      <c r="M2483" s="1" t="s">
        <v>4641</v>
      </c>
      <c r="N2483" s="1">
        <v>1</v>
      </c>
      <c r="O2483" s="1">
        <v>0</v>
      </c>
      <c r="P2483" s="1" t="s">
        <v>145</v>
      </c>
      <c r="Q2483" s="1" t="s">
        <v>101</v>
      </c>
      <c r="R2483" s="1" t="s">
        <v>12675</v>
      </c>
      <c r="S2483" s="1" t="s">
        <v>12655</v>
      </c>
      <c r="T2483" s="1">
        <v>1</v>
      </c>
      <c r="U2483" s="1">
        <v>1</v>
      </c>
      <c r="V2483" s="1">
        <v>1</v>
      </c>
      <c r="W2483" s="1">
        <v>0</v>
      </c>
      <c r="X2483" s="1">
        <v>0</v>
      </c>
      <c r="Y2483" s="1">
        <v>7</v>
      </c>
      <c r="Z2483" s="1">
        <v>7</v>
      </c>
      <c r="AA2483" s="1" t="s">
        <v>104</v>
      </c>
      <c r="AB2483" s="1" t="s">
        <v>104</v>
      </c>
      <c r="AC2483" s="1" t="s">
        <v>104</v>
      </c>
      <c r="AD2483" s="1" t="s">
        <v>104</v>
      </c>
      <c r="AE2483" s="1" t="s">
        <v>104</v>
      </c>
      <c r="AF2483" s="1" t="s">
        <v>104</v>
      </c>
      <c r="AG2483" s="1" t="s">
        <v>104</v>
      </c>
      <c r="AH2483" s="1" t="s">
        <v>104</v>
      </c>
      <c r="AI2483" s="1" t="s">
        <v>104</v>
      </c>
      <c r="AJ2483" s="1" t="s">
        <v>104</v>
      </c>
      <c r="AK2483" s="1" t="s">
        <v>104</v>
      </c>
      <c r="AL2483" s="1" t="s">
        <v>104</v>
      </c>
      <c r="AM2483" s="1" t="s">
        <v>104</v>
      </c>
      <c r="AO2483" s="1">
        <v>7</v>
      </c>
      <c r="AR2483" s="1">
        <v>0</v>
      </c>
      <c r="AS2483" s="1">
        <v>0</v>
      </c>
      <c r="AT2483" s="1">
        <v>0</v>
      </c>
      <c r="AU2483" s="1">
        <v>0</v>
      </c>
      <c r="AV2483" s="1">
        <v>0</v>
      </c>
      <c r="AW2483" s="1">
        <v>0</v>
      </c>
      <c r="AX2483" s="1">
        <v>0</v>
      </c>
      <c r="AY2483" s="1">
        <v>0</v>
      </c>
      <c r="AZ2483" s="1">
        <v>0</v>
      </c>
      <c r="BA2483" s="1">
        <v>0</v>
      </c>
      <c r="BB2483" s="1">
        <v>0</v>
      </c>
      <c r="BC2483" s="1">
        <v>0</v>
      </c>
      <c r="BD2483" s="1">
        <v>0</v>
      </c>
      <c r="BE2483" s="1">
        <v>0</v>
      </c>
      <c r="BF2483" s="1">
        <v>0</v>
      </c>
      <c r="BG2483" s="1">
        <v>0</v>
      </c>
      <c r="BH2483" s="1">
        <v>0</v>
      </c>
      <c r="BI2483" s="1">
        <v>0</v>
      </c>
      <c r="BJ2483" s="1">
        <v>0</v>
      </c>
      <c r="BK2483" s="1">
        <v>0</v>
      </c>
      <c r="BL2483" s="1">
        <v>0</v>
      </c>
      <c r="BM2483" s="1">
        <v>0</v>
      </c>
      <c r="BN2483" s="1">
        <v>0</v>
      </c>
      <c r="BO2483" s="1">
        <v>0</v>
      </c>
      <c r="BP2483" s="1">
        <v>0</v>
      </c>
      <c r="BQ2483" s="1" t="s">
        <v>104</v>
      </c>
      <c r="BR2483" s="1">
        <v>2616</v>
      </c>
      <c r="BS2483" s="1" t="s">
        <v>104</v>
      </c>
      <c r="BX2483" s="1">
        <v>0</v>
      </c>
      <c r="BY2483" s="1" t="s">
        <v>104</v>
      </c>
      <c r="BZ2483" s="1" t="s">
        <v>104</v>
      </c>
      <c r="CA2483" s="1">
        <v>8</v>
      </c>
      <c r="CB2483" s="1" t="s">
        <v>104</v>
      </c>
      <c r="CC2483" s="1" t="s">
        <v>104</v>
      </c>
      <c r="CD2483" s="1" t="s">
        <v>104</v>
      </c>
      <c r="CE2483" s="1" t="s">
        <v>104</v>
      </c>
      <c r="CF2483" s="1" t="s">
        <v>104</v>
      </c>
      <c r="CG2483" s="1" t="s">
        <v>104</v>
      </c>
      <c r="CH2483" s="1" t="s">
        <v>104</v>
      </c>
      <c r="CJ2483" s="1">
        <v>0</v>
      </c>
      <c r="CK2483" s="1">
        <v>0</v>
      </c>
      <c r="CL2483" s="1">
        <v>0</v>
      </c>
      <c r="CM2483" s="1" t="s">
        <v>104</v>
      </c>
    </row>
    <row r="2484" spans="1:91" ht="14.25" customHeight="1" x14ac:dyDescent="0.3">
      <c r="A2484" s="1" t="s">
        <v>12676</v>
      </c>
      <c r="B2484" s="1" t="s">
        <v>137</v>
      </c>
      <c r="C2484" s="1" t="s">
        <v>154</v>
      </c>
      <c r="E2484" s="1" t="s">
        <v>12677</v>
      </c>
      <c r="F2484" s="1" t="s">
        <v>95</v>
      </c>
      <c r="G2484" s="1" t="s">
        <v>1675</v>
      </c>
      <c r="H2484" s="1">
        <v>0</v>
      </c>
      <c r="I2484" s="1" t="s">
        <v>157</v>
      </c>
      <c r="L2484" s="1" t="s">
        <v>158</v>
      </c>
      <c r="M2484" s="1" t="s">
        <v>4641</v>
      </c>
      <c r="N2484" s="1">
        <v>1</v>
      </c>
      <c r="O2484" s="1">
        <v>0</v>
      </c>
      <c r="P2484" s="1" t="s">
        <v>145</v>
      </c>
      <c r="Q2484" s="1" t="s">
        <v>101</v>
      </c>
      <c r="R2484" s="1" t="s">
        <v>12678</v>
      </c>
      <c r="S2484" s="1" t="s">
        <v>12655</v>
      </c>
      <c r="T2484" s="1">
        <v>1</v>
      </c>
      <c r="U2484" s="1">
        <v>1</v>
      </c>
      <c r="V2484" s="1">
        <v>1</v>
      </c>
      <c r="W2484" s="1">
        <v>0</v>
      </c>
      <c r="X2484" s="1">
        <v>0</v>
      </c>
      <c r="Y2484" s="1">
        <v>8</v>
      </c>
      <c r="Z2484" s="1">
        <v>8</v>
      </c>
      <c r="AA2484" s="1" t="s">
        <v>104</v>
      </c>
      <c r="AB2484" s="1" t="s">
        <v>104</v>
      </c>
      <c r="AC2484" s="1" t="s">
        <v>104</v>
      </c>
      <c r="AD2484" s="1" t="s">
        <v>104</v>
      </c>
      <c r="AE2484" s="1" t="s">
        <v>104</v>
      </c>
      <c r="AF2484" s="1" t="s">
        <v>104</v>
      </c>
      <c r="AG2484" s="1" t="s">
        <v>104</v>
      </c>
      <c r="AH2484" s="1" t="s">
        <v>104</v>
      </c>
      <c r="AI2484" s="1" t="s">
        <v>104</v>
      </c>
      <c r="AJ2484" s="1" t="s">
        <v>104</v>
      </c>
      <c r="AK2484" s="1" t="s">
        <v>104</v>
      </c>
      <c r="AL2484" s="1" t="s">
        <v>104</v>
      </c>
      <c r="AM2484" s="1" t="s">
        <v>104</v>
      </c>
      <c r="AO2484" s="1">
        <v>8</v>
      </c>
      <c r="AR2484" s="1">
        <v>0</v>
      </c>
      <c r="AS2484" s="1">
        <v>0</v>
      </c>
      <c r="AT2484" s="1">
        <v>0</v>
      </c>
      <c r="AU2484" s="1">
        <v>0</v>
      </c>
      <c r="AV2484" s="1">
        <v>0</v>
      </c>
      <c r="AW2484" s="1">
        <v>0</v>
      </c>
      <c r="AX2484" s="1">
        <v>0</v>
      </c>
      <c r="AY2484" s="1">
        <v>0</v>
      </c>
      <c r="AZ2484" s="1">
        <v>0</v>
      </c>
      <c r="BA2484" s="1">
        <v>0</v>
      </c>
      <c r="BB2484" s="1">
        <v>0</v>
      </c>
      <c r="BC2484" s="1">
        <v>0</v>
      </c>
      <c r="BD2484" s="1">
        <v>0</v>
      </c>
      <c r="BE2484" s="1">
        <v>0</v>
      </c>
      <c r="BF2484" s="1">
        <v>0</v>
      </c>
      <c r="BG2484" s="1">
        <v>0</v>
      </c>
      <c r="BH2484" s="1">
        <v>0</v>
      </c>
      <c r="BI2484" s="1">
        <v>0</v>
      </c>
      <c r="BJ2484" s="1">
        <v>0</v>
      </c>
      <c r="BK2484" s="1">
        <v>0</v>
      </c>
      <c r="BL2484" s="1">
        <v>0</v>
      </c>
      <c r="BM2484" s="1">
        <v>0</v>
      </c>
      <c r="BN2484" s="1">
        <v>0</v>
      </c>
      <c r="BO2484" s="1">
        <v>0</v>
      </c>
      <c r="BP2484" s="1">
        <v>0</v>
      </c>
      <c r="BQ2484" s="1" t="s">
        <v>104</v>
      </c>
      <c r="BR2484" s="1">
        <v>2617</v>
      </c>
      <c r="BS2484" s="1" t="s">
        <v>104</v>
      </c>
      <c r="BX2484" s="1">
        <v>0</v>
      </c>
      <c r="BY2484" s="1" t="s">
        <v>104</v>
      </c>
      <c r="BZ2484" s="1" t="s">
        <v>104</v>
      </c>
      <c r="CA2484" s="1">
        <v>9</v>
      </c>
      <c r="CB2484" s="1" t="s">
        <v>104</v>
      </c>
      <c r="CC2484" s="1" t="s">
        <v>104</v>
      </c>
      <c r="CD2484" s="1" t="s">
        <v>104</v>
      </c>
      <c r="CE2484" s="1" t="s">
        <v>104</v>
      </c>
      <c r="CF2484" s="1" t="s">
        <v>104</v>
      </c>
      <c r="CG2484" s="1" t="s">
        <v>104</v>
      </c>
      <c r="CH2484" s="1" t="s">
        <v>104</v>
      </c>
      <c r="CJ2484" s="1">
        <v>0</v>
      </c>
      <c r="CK2484" s="1">
        <v>0</v>
      </c>
      <c r="CL2484" s="1">
        <v>0</v>
      </c>
      <c r="CM2484" s="1" t="s">
        <v>104</v>
      </c>
    </row>
    <row r="2485" spans="1:91" ht="14.25" customHeight="1" x14ac:dyDescent="0.3">
      <c r="A2485" s="1" t="s">
        <v>12679</v>
      </c>
      <c r="B2485" s="1" t="s">
        <v>137</v>
      </c>
      <c r="C2485" s="1" t="s">
        <v>154</v>
      </c>
      <c r="E2485" s="1" t="s">
        <v>12680</v>
      </c>
      <c r="F2485" s="1" t="s">
        <v>95</v>
      </c>
      <c r="G2485" s="1" t="s">
        <v>1675</v>
      </c>
      <c r="H2485" s="1">
        <v>0</v>
      </c>
      <c r="I2485" s="1" t="s">
        <v>157</v>
      </c>
      <c r="L2485" s="1" t="s">
        <v>158</v>
      </c>
      <c r="M2485" s="1" t="s">
        <v>4641</v>
      </c>
      <c r="N2485" s="1">
        <v>1</v>
      </c>
      <c r="O2485" s="1">
        <v>0</v>
      </c>
      <c r="P2485" s="1" t="s">
        <v>1676</v>
      </c>
      <c r="Q2485" s="1" t="s">
        <v>101</v>
      </c>
      <c r="R2485" s="1" t="s">
        <v>12681</v>
      </c>
      <c r="S2485" s="1" t="s">
        <v>12655</v>
      </c>
      <c r="T2485" s="1">
        <v>1</v>
      </c>
      <c r="U2485" s="1">
        <v>1</v>
      </c>
      <c r="V2485" s="1">
        <v>1</v>
      </c>
      <c r="W2485" s="1">
        <v>0</v>
      </c>
      <c r="X2485" s="1">
        <v>0</v>
      </c>
      <c r="Y2485" s="1">
        <v>6</v>
      </c>
      <c r="Z2485" s="1">
        <v>6</v>
      </c>
      <c r="AA2485" s="1" t="s">
        <v>104</v>
      </c>
      <c r="AB2485" s="1">
        <v>7</v>
      </c>
      <c r="AC2485" s="1" t="s">
        <v>104</v>
      </c>
      <c r="AD2485" s="1" t="s">
        <v>104</v>
      </c>
      <c r="AE2485" s="1" t="s">
        <v>104</v>
      </c>
      <c r="AF2485" s="1">
        <v>6</v>
      </c>
      <c r="AG2485" s="1" t="s">
        <v>104</v>
      </c>
      <c r="AH2485" s="1" t="s">
        <v>104</v>
      </c>
      <c r="AI2485" s="1" t="s">
        <v>104</v>
      </c>
      <c r="AJ2485" s="1" t="s">
        <v>104</v>
      </c>
      <c r="AK2485" s="1" t="s">
        <v>104</v>
      </c>
      <c r="AL2485" s="1" t="s">
        <v>104</v>
      </c>
      <c r="AM2485" s="1" t="s">
        <v>104</v>
      </c>
      <c r="AO2485" s="1">
        <v>6</v>
      </c>
      <c r="AR2485" s="1">
        <v>0</v>
      </c>
      <c r="AS2485" s="1">
        <v>0</v>
      </c>
      <c r="AT2485" s="1">
        <v>0</v>
      </c>
      <c r="AU2485" s="1">
        <v>0</v>
      </c>
      <c r="AV2485" s="1">
        <v>0</v>
      </c>
      <c r="AW2485" s="1">
        <v>0</v>
      </c>
      <c r="AX2485" s="1">
        <v>0</v>
      </c>
      <c r="AY2485" s="1">
        <v>0</v>
      </c>
      <c r="AZ2485" s="1">
        <v>0</v>
      </c>
      <c r="BA2485" s="1">
        <v>0</v>
      </c>
      <c r="BB2485" s="1">
        <v>0</v>
      </c>
      <c r="BC2485" s="1">
        <v>0</v>
      </c>
      <c r="BD2485" s="1">
        <v>0</v>
      </c>
      <c r="BE2485" s="1">
        <v>0</v>
      </c>
      <c r="BF2485" s="1">
        <v>0</v>
      </c>
      <c r="BG2485" s="1">
        <v>0</v>
      </c>
      <c r="BH2485" s="1">
        <v>0</v>
      </c>
      <c r="BI2485" s="1">
        <v>0</v>
      </c>
      <c r="BJ2485" s="1">
        <v>0</v>
      </c>
      <c r="BK2485" s="1">
        <v>0</v>
      </c>
      <c r="BL2485" s="1">
        <v>0</v>
      </c>
      <c r="BM2485" s="1">
        <v>0</v>
      </c>
      <c r="BN2485" s="1">
        <v>0</v>
      </c>
      <c r="BO2485" s="1">
        <v>0</v>
      </c>
      <c r="BP2485" s="1">
        <v>0</v>
      </c>
      <c r="BQ2485" s="1" t="s">
        <v>104</v>
      </c>
      <c r="BR2485" s="1">
        <v>2618</v>
      </c>
      <c r="BS2485" s="1" t="s">
        <v>104</v>
      </c>
      <c r="BX2485" s="1">
        <v>0</v>
      </c>
      <c r="BY2485" s="1" t="s">
        <v>104</v>
      </c>
      <c r="BZ2485" s="1" t="s">
        <v>104</v>
      </c>
      <c r="CA2485" s="1" t="s">
        <v>104</v>
      </c>
      <c r="CB2485" s="1" t="s">
        <v>104</v>
      </c>
      <c r="CC2485" s="1" t="s">
        <v>104</v>
      </c>
      <c r="CD2485" s="1" t="s">
        <v>104</v>
      </c>
      <c r="CE2485" s="1" t="s">
        <v>104</v>
      </c>
      <c r="CF2485" s="1" t="s">
        <v>104</v>
      </c>
      <c r="CG2485" s="1" t="s">
        <v>104</v>
      </c>
      <c r="CH2485" s="1" t="s">
        <v>104</v>
      </c>
      <c r="CJ2485" s="1">
        <v>0</v>
      </c>
      <c r="CK2485" s="1">
        <v>0</v>
      </c>
      <c r="CL2485" s="1">
        <v>0</v>
      </c>
      <c r="CM2485" s="1" t="s">
        <v>104</v>
      </c>
    </row>
    <row r="2486" spans="1:91" ht="14.25" customHeight="1" x14ac:dyDescent="0.3">
      <c r="A2486" s="1" t="s">
        <v>12682</v>
      </c>
      <c r="B2486" s="1" t="s">
        <v>137</v>
      </c>
      <c r="C2486" s="1" t="s">
        <v>154</v>
      </c>
      <c r="E2486" s="1" t="s">
        <v>12683</v>
      </c>
      <c r="F2486" s="1" t="s">
        <v>95</v>
      </c>
      <c r="G2486" s="1" t="s">
        <v>1675</v>
      </c>
      <c r="H2486" s="1">
        <v>0</v>
      </c>
      <c r="I2486" s="1" t="s">
        <v>157</v>
      </c>
      <c r="L2486" s="1" t="s">
        <v>158</v>
      </c>
      <c r="M2486" s="1" t="s">
        <v>4641</v>
      </c>
      <c r="N2486" s="1">
        <v>1</v>
      </c>
      <c r="O2486" s="1">
        <v>0</v>
      </c>
      <c r="P2486" s="1" t="s">
        <v>1676</v>
      </c>
      <c r="Q2486" s="1" t="s">
        <v>101</v>
      </c>
      <c r="R2486" s="1" t="s">
        <v>12684</v>
      </c>
      <c r="S2486" s="1" t="s">
        <v>12655</v>
      </c>
      <c r="T2486" s="1">
        <v>1</v>
      </c>
      <c r="U2486" s="1">
        <v>1</v>
      </c>
      <c r="V2486" s="1">
        <v>1</v>
      </c>
      <c r="W2486" s="1">
        <v>0</v>
      </c>
      <c r="X2486" s="1">
        <v>0</v>
      </c>
      <c r="Y2486" s="1">
        <v>7</v>
      </c>
      <c r="Z2486" s="1">
        <v>7</v>
      </c>
      <c r="AA2486" s="1" t="s">
        <v>104</v>
      </c>
      <c r="AB2486" s="1">
        <v>8</v>
      </c>
      <c r="AC2486" s="1" t="s">
        <v>104</v>
      </c>
      <c r="AD2486" s="1" t="s">
        <v>104</v>
      </c>
      <c r="AE2486" s="1" t="s">
        <v>104</v>
      </c>
      <c r="AF2486" s="1" t="s">
        <v>104</v>
      </c>
      <c r="AG2486" s="1" t="s">
        <v>104</v>
      </c>
      <c r="AH2486" s="1" t="s">
        <v>104</v>
      </c>
      <c r="AI2486" s="1" t="s">
        <v>104</v>
      </c>
      <c r="AJ2486" s="1" t="s">
        <v>104</v>
      </c>
      <c r="AK2486" s="1" t="s">
        <v>104</v>
      </c>
      <c r="AL2486" s="1" t="s">
        <v>104</v>
      </c>
      <c r="AM2486" s="1" t="s">
        <v>104</v>
      </c>
      <c r="AO2486" s="1">
        <v>7</v>
      </c>
      <c r="AR2486" s="1">
        <v>0</v>
      </c>
      <c r="AS2486" s="1">
        <v>0</v>
      </c>
      <c r="AT2486" s="1">
        <v>0</v>
      </c>
      <c r="AU2486" s="1">
        <v>0</v>
      </c>
      <c r="AV2486" s="1">
        <v>0</v>
      </c>
      <c r="AW2486" s="1">
        <v>0</v>
      </c>
      <c r="AX2486" s="1">
        <v>0</v>
      </c>
      <c r="AY2486" s="1">
        <v>0</v>
      </c>
      <c r="AZ2486" s="1">
        <v>0</v>
      </c>
      <c r="BA2486" s="1">
        <v>0</v>
      </c>
      <c r="BB2486" s="1">
        <v>0</v>
      </c>
      <c r="BC2486" s="1">
        <v>0</v>
      </c>
      <c r="BD2486" s="1">
        <v>0</v>
      </c>
      <c r="BE2486" s="1">
        <v>0</v>
      </c>
      <c r="BF2486" s="1">
        <v>0</v>
      </c>
      <c r="BG2486" s="1">
        <v>0</v>
      </c>
      <c r="BH2486" s="1">
        <v>0</v>
      </c>
      <c r="BI2486" s="1">
        <v>0</v>
      </c>
      <c r="BJ2486" s="1">
        <v>0</v>
      </c>
      <c r="BK2486" s="1">
        <v>0</v>
      </c>
      <c r="BL2486" s="1">
        <v>0</v>
      </c>
      <c r="BM2486" s="1">
        <v>0</v>
      </c>
      <c r="BN2486" s="1">
        <v>0</v>
      </c>
      <c r="BO2486" s="1">
        <v>0</v>
      </c>
      <c r="BP2486" s="1">
        <v>0</v>
      </c>
      <c r="BQ2486" s="1" t="s">
        <v>104</v>
      </c>
      <c r="BR2486" s="1">
        <v>2619</v>
      </c>
      <c r="BS2486" s="1" t="s">
        <v>104</v>
      </c>
      <c r="BX2486" s="1">
        <v>0</v>
      </c>
      <c r="BY2486" s="1" t="s">
        <v>104</v>
      </c>
      <c r="BZ2486" s="1" t="s">
        <v>104</v>
      </c>
      <c r="CA2486" s="1" t="s">
        <v>104</v>
      </c>
      <c r="CB2486" s="1" t="s">
        <v>104</v>
      </c>
      <c r="CC2486" s="1" t="s">
        <v>104</v>
      </c>
      <c r="CD2486" s="1" t="s">
        <v>104</v>
      </c>
      <c r="CE2486" s="1" t="s">
        <v>104</v>
      </c>
      <c r="CF2486" s="1" t="s">
        <v>104</v>
      </c>
      <c r="CG2486" s="1" t="s">
        <v>104</v>
      </c>
      <c r="CH2486" s="1" t="s">
        <v>104</v>
      </c>
      <c r="CJ2486" s="1">
        <v>0</v>
      </c>
      <c r="CK2486" s="1">
        <v>0</v>
      </c>
      <c r="CL2486" s="1">
        <v>0</v>
      </c>
      <c r="CM2486" s="1" t="s">
        <v>104</v>
      </c>
    </row>
    <row r="2487" spans="1:91" ht="14.25" customHeight="1" x14ac:dyDescent="0.3">
      <c r="A2487" s="1" t="s">
        <v>12685</v>
      </c>
      <c r="B2487" s="1" t="s">
        <v>137</v>
      </c>
      <c r="C2487" s="1" t="s">
        <v>154</v>
      </c>
      <c r="E2487" s="1" t="s">
        <v>12686</v>
      </c>
      <c r="F2487" s="1" t="s">
        <v>95</v>
      </c>
      <c r="G2487" s="1" t="s">
        <v>1675</v>
      </c>
      <c r="H2487" s="1">
        <v>0</v>
      </c>
      <c r="I2487" s="1" t="s">
        <v>157</v>
      </c>
      <c r="L2487" s="1" t="s">
        <v>158</v>
      </c>
      <c r="M2487" s="1" t="s">
        <v>4641</v>
      </c>
      <c r="N2487" s="1">
        <v>1</v>
      </c>
      <c r="O2487" s="1">
        <v>0</v>
      </c>
      <c r="P2487" s="1" t="s">
        <v>1676</v>
      </c>
      <c r="Q2487" s="1" t="s">
        <v>101</v>
      </c>
      <c r="R2487" s="1" t="s">
        <v>12687</v>
      </c>
      <c r="S2487" s="1" t="s">
        <v>12655</v>
      </c>
      <c r="T2487" s="1">
        <v>1</v>
      </c>
      <c r="U2487" s="1">
        <v>1</v>
      </c>
      <c r="V2487" s="1">
        <v>1</v>
      </c>
      <c r="W2487" s="1">
        <v>0</v>
      </c>
      <c r="X2487" s="1">
        <v>0</v>
      </c>
      <c r="Y2487" s="1">
        <v>8</v>
      </c>
      <c r="Z2487" s="1">
        <v>8</v>
      </c>
      <c r="AA2487" s="1" t="s">
        <v>104</v>
      </c>
      <c r="AB2487" s="1">
        <v>9</v>
      </c>
      <c r="AC2487" s="1" t="s">
        <v>104</v>
      </c>
      <c r="AD2487" s="1" t="s">
        <v>104</v>
      </c>
      <c r="AE2487" s="1" t="s">
        <v>104</v>
      </c>
      <c r="AF2487" s="1" t="s">
        <v>104</v>
      </c>
      <c r="AG2487" s="1" t="s">
        <v>104</v>
      </c>
      <c r="AH2487" s="1" t="s">
        <v>104</v>
      </c>
      <c r="AI2487" s="1" t="s">
        <v>104</v>
      </c>
      <c r="AJ2487" s="1" t="s">
        <v>104</v>
      </c>
      <c r="AK2487" s="1" t="s">
        <v>104</v>
      </c>
      <c r="AL2487" s="1" t="s">
        <v>104</v>
      </c>
      <c r="AM2487" s="1" t="s">
        <v>104</v>
      </c>
      <c r="AO2487" s="1">
        <v>8</v>
      </c>
      <c r="AR2487" s="1">
        <v>0</v>
      </c>
      <c r="AS2487" s="1">
        <v>0</v>
      </c>
      <c r="AT2487" s="1">
        <v>0</v>
      </c>
      <c r="AU2487" s="1">
        <v>0</v>
      </c>
      <c r="AV2487" s="1">
        <v>0</v>
      </c>
      <c r="AW2487" s="1">
        <v>0</v>
      </c>
      <c r="AX2487" s="1">
        <v>0</v>
      </c>
      <c r="AY2487" s="1">
        <v>0</v>
      </c>
      <c r="AZ2487" s="1">
        <v>0</v>
      </c>
      <c r="BA2487" s="1">
        <v>0</v>
      </c>
      <c r="BB2487" s="1">
        <v>0</v>
      </c>
      <c r="BC2487" s="1">
        <v>0</v>
      </c>
      <c r="BD2487" s="1">
        <v>0</v>
      </c>
      <c r="BE2487" s="1">
        <v>0</v>
      </c>
      <c r="BF2487" s="1">
        <v>0</v>
      </c>
      <c r="BG2487" s="1">
        <v>0</v>
      </c>
      <c r="BH2487" s="1">
        <v>0</v>
      </c>
      <c r="BI2487" s="1">
        <v>0</v>
      </c>
      <c r="BJ2487" s="1">
        <v>0</v>
      </c>
      <c r="BK2487" s="1">
        <v>0</v>
      </c>
      <c r="BL2487" s="1">
        <v>0</v>
      </c>
      <c r="BM2487" s="1">
        <v>0</v>
      </c>
      <c r="BN2487" s="1">
        <v>0</v>
      </c>
      <c r="BO2487" s="1">
        <v>0</v>
      </c>
      <c r="BP2487" s="1">
        <v>0</v>
      </c>
      <c r="BQ2487" s="1" t="s">
        <v>104</v>
      </c>
      <c r="BR2487" s="1">
        <v>2620</v>
      </c>
      <c r="BS2487" s="1" t="s">
        <v>104</v>
      </c>
      <c r="BX2487" s="1">
        <v>0</v>
      </c>
      <c r="BY2487" s="1" t="s">
        <v>104</v>
      </c>
      <c r="BZ2487" s="1" t="s">
        <v>104</v>
      </c>
      <c r="CA2487" s="1" t="s">
        <v>104</v>
      </c>
      <c r="CB2487" s="1" t="s">
        <v>104</v>
      </c>
      <c r="CC2487" s="1" t="s">
        <v>104</v>
      </c>
      <c r="CD2487" s="1" t="s">
        <v>104</v>
      </c>
      <c r="CE2487" s="1" t="s">
        <v>104</v>
      </c>
      <c r="CF2487" s="1" t="s">
        <v>104</v>
      </c>
      <c r="CG2487" s="1" t="s">
        <v>104</v>
      </c>
      <c r="CH2487" s="1" t="s">
        <v>104</v>
      </c>
      <c r="CJ2487" s="1">
        <v>0</v>
      </c>
      <c r="CK2487" s="1">
        <v>0</v>
      </c>
      <c r="CL2487" s="1">
        <v>0</v>
      </c>
      <c r="CM2487" s="1" t="s">
        <v>104</v>
      </c>
    </row>
    <row r="2488" spans="1:91" ht="14.25" customHeight="1" x14ac:dyDescent="0.3">
      <c r="A2488" s="1" t="s">
        <v>12688</v>
      </c>
      <c r="B2488" s="1" t="s">
        <v>123</v>
      </c>
      <c r="C2488" s="1" t="s">
        <v>124</v>
      </c>
      <c r="D2488" s="1" t="s">
        <v>125</v>
      </c>
      <c r="E2488" s="1" t="s">
        <v>12689</v>
      </c>
      <c r="F2488" s="1" t="s">
        <v>95</v>
      </c>
      <c r="G2488" s="1" t="s">
        <v>12690</v>
      </c>
      <c r="H2488" s="1">
        <v>0</v>
      </c>
      <c r="I2488" s="1" t="s">
        <v>128</v>
      </c>
      <c r="L2488" s="1" t="s">
        <v>374</v>
      </c>
      <c r="M2488" s="1" t="s">
        <v>2330</v>
      </c>
      <c r="N2488" s="1">
        <v>0</v>
      </c>
      <c r="O2488" s="1">
        <v>0</v>
      </c>
      <c r="P2488" s="1" t="s">
        <v>375</v>
      </c>
      <c r="Q2488" s="1" t="s">
        <v>101</v>
      </c>
      <c r="R2488" s="1" t="s">
        <v>12691</v>
      </c>
      <c r="S2488" s="1" t="s">
        <v>12655</v>
      </c>
      <c r="T2488" s="1">
        <v>1</v>
      </c>
      <c r="U2488" s="1">
        <v>1</v>
      </c>
      <c r="V2488" s="1">
        <v>0</v>
      </c>
      <c r="W2488" s="1">
        <v>0</v>
      </c>
      <c r="X2488" s="1">
        <v>0</v>
      </c>
      <c r="Y2488" s="1" t="s">
        <v>104</v>
      </c>
      <c r="Z2488" s="1" t="s">
        <v>104</v>
      </c>
      <c r="AA2488" s="1" t="s">
        <v>104</v>
      </c>
      <c r="AB2488" s="1" t="s">
        <v>104</v>
      </c>
      <c r="AC2488" s="1" t="s">
        <v>104</v>
      </c>
      <c r="AD2488" s="1" t="s">
        <v>104</v>
      </c>
      <c r="AE2488" s="1" t="s">
        <v>104</v>
      </c>
      <c r="AF2488" s="1" t="s">
        <v>104</v>
      </c>
      <c r="AG2488" s="1" t="s">
        <v>104</v>
      </c>
      <c r="AH2488" s="1">
        <v>1</v>
      </c>
      <c r="AI2488" s="1" t="s">
        <v>104</v>
      </c>
      <c r="AJ2488" s="1" t="s">
        <v>104</v>
      </c>
      <c r="AK2488" s="1" t="s">
        <v>104</v>
      </c>
      <c r="AL2488" s="1" t="s">
        <v>104</v>
      </c>
      <c r="AM2488" s="1" t="s">
        <v>104</v>
      </c>
      <c r="AO2488" s="1">
        <v>1</v>
      </c>
      <c r="AR2488" s="1">
        <v>0</v>
      </c>
      <c r="AS2488" s="1">
        <v>0</v>
      </c>
      <c r="AT2488" s="1">
        <v>0</v>
      </c>
      <c r="AU2488" s="1">
        <v>0</v>
      </c>
      <c r="AV2488" s="1">
        <v>0</v>
      </c>
      <c r="AW2488" s="1">
        <v>0</v>
      </c>
      <c r="AX2488" s="1">
        <v>0</v>
      </c>
      <c r="AY2488" s="1">
        <v>0</v>
      </c>
      <c r="AZ2488" s="1">
        <v>0</v>
      </c>
      <c r="BA2488" s="1">
        <v>0</v>
      </c>
      <c r="BB2488" s="1">
        <v>0</v>
      </c>
      <c r="BC2488" s="1">
        <v>0</v>
      </c>
      <c r="BD2488" s="1">
        <v>0</v>
      </c>
      <c r="BE2488" s="1">
        <v>0</v>
      </c>
      <c r="BF2488" s="1">
        <v>0</v>
      </c>
      <c r="BG2488" s="1">
        <v>0</v>
      </c>
      <c r="BH2488" s="1">
        <v>0</v>
      </c>
      <c r="BI2488" s="1">
        <v>0</v>
      </c>
      <c r="BJ2488" s="1">
        <v>0</v>
      </c>
      <c r="BK2488" s="1">
        <v>1</v>
      </c>
      <c r="BL2488" s="1">
        <v>0</v>
      </c>
      <c r="BM2488" s="1">
        <v>0</v>
      </c>
      <c r="BN2488" s="1">
        <v>0</v>
      </c>
      <c r="BO2488" s="1">
        <v>0</v>
      </c>
      <c r="BP2488" s="1">
        <v>0</v>
      </c>
      <c r="BQ2488" s="1" t="s">
        <v>104</v>
      </c>
      <c r="BR2488" s="1">
        <v>2621</v>
      </c>
      <c r="BS2488" s="1" t="s">
        <v>104</v>
      </c>
      <c r="BX2488" s="1">
        <v>0</v>
      </c>
      <c r="BY2488" s="1" t="s">
        <v>104</v>
      </c>
      <c r="BZ2488" s="1" t="s">
        <v>104</v>
      </c>
      <c r="CA2488" s="1">
        <v>1</v>
      </c>
      <c r="CB2488" s="1">
        <v>1</v>
      </c>
      <c r="CC2488" s="1">
        <v>1</v>
      </c>
      <c r="CD2488" s="1" t="s">
        <v>104</v>
      </c>
      <c r="CE2488" s="1" t="s">
        <v>104</v>
      </c>
      <c r="CF2488" s="1" t="s">
        <v>104</v>
      </c>
      <c r="CG2488" s="1" t="s">
        <v>104</v>
      </c>
      <c r="CH2488" s="1" t="s">
        <v>104</v>
      </c>
      <c r="CJ2488" s="1">
        <v>0</v>
      </c>
      <c r="CK2488" s="1">
        <v>0</v>
      </c>
      <c r="CL2488" s="1">
        <v>0</v>
      </c>
      <c r="CM2488" s="1" t="s">
        <v>104</v>
      </c>
    </row>
    <row r="2489" spans="1:91" ht="14.25" customHeight="1" x14ac:dyDescent="0.3">
      <c r="A2489" s="1" t="s">
        <v>12692</v>
      </c>
      <c r="B2489" s="1" t="s">
        <v>162</v>
      </c>
      <c r="D2489" s="1" t="s">
        <v>88</v>
      </c>
      <c r="E2489" s="1" t="s">
        <v>12693</v>
      </c>
      <c r="F2489" s="1" t="s">
        <v>95</v>
      </c>
      <c r="G2489" s="1" t="s">
        <v>12694</v>
      </c>
      <c r="H2489" s="1">
        <v>0</v>
      </c>
      <c r="I2489" s="1" t="s">
        <v>157</v>
      </c>
      <c r="L2489" s="1" t="s">
        <v>158</v>
      </c>
      <c r="M2489" s="1" t="s">
        <v>9708</v>
      </c>
      <c r="N2489" s="1">
        <v>0</v>
      </c>
      <c r="O2489" s="1">
        <v>0</v>
      </c>
      <c r="R2489" s="1" t="s">
        <v>12695</v>
      </c>
      <c r="S2489" s="1" t="s">
        <v>12655</v>
      </c>
      <c r="T2489" s="1">
        <v>1</v>
      </c>
      <c r="U2489" s="1">
        <v>0</v>
      </c>
      <c r="V2489" s="1">
        <v>1</v>
      </c>
      <c r="W2489" s="1">
        <v>0</v>
      </c>
      <c r="X2489" s="1">
        <v>0</v>
      </c>
      <c r="Y2489" s="1">
        <v>3</v>
      </c>
      <c r="Z2489" s="1">
        <v>3</v>
      </c>
      <c r="AA2489" s="1" t="s">
        <v>104</v>
      </c>
      <c r="AB2489" s="1" t="s">
        <v>104</v>
      </c>
      <c r="AC2489" s="1" t="s">
        <v>104</v>
      </c>
      <c r="AD2489" s="1" t="s">
        <v>104</v>
      </c>
      <c r="AE2489" s="1">
        <v>3</v>
      </c>
      <c r="AF2489" s="1" t="s">
        <v>104</v>
      </c>
      <c r="AG2489" s="1">
        <v>3</v>
      </c>
      <c r="AH2489" s="1" t="s">
        <v>104</v>
      </c>
      <c r="AI2489" s="1" t="s">
        <v>104</v>
      </c>
      <c r="AJ2489" s="1" t="s">
        <v>104</v>
      </c>
      <c r="AK2489" s="1" t="s">
        <v>104</v>
      </c>
      <c r="AL2489" s="1">
        <v>3</v>
      </c>
      <c r="AM2489" s="1" t="s">
        <v>104</v>
      </c>
      <c r="AO2489" s="1">
        <v>3</v>
      </c>
      <c r="AR2489" s="1">
        <v>0</v>
      </c>
      <c r="AS2489" s="1">
        <v>0</v>
      </c>
      <c r="AT2489" s="1">
        <v>0</v>
      </c>
      <c r="AU2489" s="1">
        <v>0</v>
      </c>
      <c r="AV2489" s="1">
        <v>0</v>
      </c>
      <c r="AW2489" s="1">
        <v>0</v>
      </c>
      <c r="AX2489" s="1">
        <v>0</v>
      </c>
      <c r="AY2489" s="1">
        <v>0</v>
      </c>
      <c r="AZ2489" s="1">
        <v>0</v>
      </c>
      <c r="BA2489" s="1">
        <v>0</v>
      </c>
      <c r="BB2489" s="1">
        <v>0</v>
      </c>
      <c r="BC2489" s="1">
        <v>0</v>
      </c>
      <c r="BD2489" s="1">
        <v>0</v>
      </c>
      <c r="BE2489" s="1">
        <v>0</v>
      </c>
      <c r="BF2489" s="1">
        <v>0</v>
      </c>
      <c r="BG2489" s="1">
        <v>0</v>
      </c>
      <c r="BH2489" s="1">
        <v>0</v>
      </c>
      <c r="BI2489" s="1">
        <v>0</v>
      </c>
      <c r="BJ2489" s="1">
        <v>0</v>
      </c>
      <c r="BK2489" s="1">
        <v>0</v>
      </c>
      <c r="BL2489" s="1">
        <v>0</v>
      </c>
      <c r="BM2489" s="1">
        <v>0</v>
      </c>
      <c r="BN2489" s="1">
        <v>0</v>
      </c>
      <c r="BO2489" s="1">
        <v>0</v>
      </c>
      <c r="BP2489" s="1">
        <v>0</v>
      </c>
      <c r="BQ2489" s="1" t="s">
        <v>104</v>
      </c>
      <c r="BR2489" s="1">
        <v>2622</v>
      </c>
      <c r="BS2489" s="1" t="s">
        <v>104</v>
      </c>
      <c r="BX2489" s="1">
        <v>0</v>
      </c>
      <c r="BY2489" s="1">
        <v>2</v>
      </c>
      <c r="BZ2489" s="1" t="s">
        <v>104</v>
      </c>
      <c r="CA2489" s="1">
        <v>3</v>
      </c>
      <c r="CB2489" s="1" t="s">
        <v>104</v>
      </c>
      <c r="CC2489" s="1" t="s">
        <v>104</v>
      </c>
      <c r="CD2489" s="1">
        <v>3</v>
      </c>
      <c r="CE2489" s="1">
        <v>3</v>
      </c>
      <c r="CF2489" s="1" t="s">
        <v>104</v>
      </c>
      <c r="CG2489" s="1" t="s">
        <v>104</v>
      </c>
      <c r="CH2489" s="1" t="s">
        <v>104</v>
      </c>
      <c r="CJ2489" s="1">
        <v>0</v>
      </c>
      <c r="CK2489" s="1">
        <v>1</v>
      </c>
      <c r="CL2489" s="1">
        <v>0</v>
      </c>
      <c r="CM2489" s="1">
        <v>3</v>
      </c>
    </row>
    <row r="2490" spans="1:91" ht="14.25" customHeight="1" x14ac:dyDescent="0.3">
      <c r="A2490" s="1" t="s">
        <v>12696</v>
      </c>
      <c r="B2490" s="1" t="s">
        <v>137</v>
      </c>
      <c r="D2490" s="1" t="s">
        <v>88</v>
      </c>
      <c r="E2490" s="1" t="s">
        <v>12697</v>
      </c>
      <c r="F2490" s="1" t="s">
        <v>95</v>
      </c>
      <c r="G2490" s="1" t="s">
        <v>12694</v>
      </c>
      <c r="H2490" s="1">
        <v>0</v>
      </c>
      <c r="I2490" s="1" t="s">
        <v>157</v>
      </c>
      <c r="L2490" s="1" t="s">
        <v>158</v>
      </c>
      <c r="M2490" s="1" t="s">
        <v>9708</v>
      </c>
      <c r="N2490" s="1">
        <v>0</v>
      </c>
      <c r="O2490" s="1">
        <v>0</v>
      </c>
      <c r="R2490" s="1" t="s">
        <v>12698</v>
      </c>
      <c r="S2490" s="1" t="s">
        <v>12655</v>
      </c>
      <c r="T2490" s="1">
        <v>1</v>
      </c>
      <c r="U2490" s="1">
        <v>0</v>
      </c>
      <c r="V2490" s="1">
        <v>1</v>
      </c>
      <c r="W2490" s="1">
        <v>0</v>
      </c>
      <c r="X2490" s="1">
        <v>0</v>
      </c>
      <c r="Y2490" s="1">
        <v>3</v>
      </c>
      <c r="Z2490" s="1">
        <v>3</v>
      </c>
      <c r="AA2490" s="1" t="s">
        <v>104</v>
      </c>
      <c r="AB2490" s="1" t="s">
        <v>104</v>
      </c>
      <c r="AC2490" s="1" t="s">
        <v>104</v>
      </c>
      <c r="AD2490" s="1" t="s">
        <v>104</v>
      </c>
      <c r="AE2490" s="1">
        <v>3</v>
      </c>
      <c r="AF2490" s="1">
        <v>4</v>
      </c>
      <c r="AG2490" s="1" t="s">
        <v>104</v>
      </c>
      <c r="AH2490" s="1" t="s">
        <v>104</v>
      </c>
      <c r="AI2490" s="1" t="s">
        <v>104</v>
      </c>
      <c r="AJ2490" s="1" t="s">
        <v>104</v>
      </c>
      <c r="AK2490" s="1">
        <v>3</v>
      </c>
      <c r="AL2490" s="1" t="s">
        <v>104</v>
      </c>
      <c r="AM2490" s="1" t="s">
        <v>104</v>
      </c>
      <c r="AO2490" s="1">
        <v>3</v>
      </c>
      <c r="AR2490" s="1">
        <v>0</v>
      </c>
      <c r="AS2490" s="1">
        <v>0</v>
      </c>
      <c r="AT2490" s="1">
        <v>0</v>
      </c>
      <c r="AU2490" s="1">
        <v>0</v>
      </c>
      <c r="AV2490" s="1">
        <v>0</v>
      </c>
      <c r="AW2490" s="1">
        <v>0</v>
      </c>
      <c r="AX2490" s="1">
        <v>0</v>
      </c>
      <c r="AY2490" s="1">
        <v>0</v>
      </c>
      <c r="AZ2490" s="1">
        <v>0</v>
      </c>
      <c r="BA2490" s="1">
        <v>0</v>
      </c>
      <c r="BB2490" s="1">
        <v>0</v>
      </c>
      <c r="BC2490" s="1">
        <v>0</v>
      </c>
      <c r="BD2490" s="1">
        <v>0</v>
      </c>
      <c r="BE2490" s="1">
        <v>0</v>
      </c>
      <c r="BF2490" s="1">
        <v>0</v>
      </c>
      <c r="BG2490" s="1">
        <v>0</v>
      </c>
      <c r="BH2490" s="1">
        <v>0</v>
      </c>
      <c r="BI2490" s="1">
        <v>0</v>
      </c>
      <c r="BJ2490" s="1">
        <v>0</v>
      </c>
      <c r="BK2490" s="1">
        <v>0</v>
      </c>
      <c r="BL2490" s="1">
        <v>0</v>
      </c>
      <c r="BM2490" s="1">
        <v>0</v>
      </c>
      <c r="BN2490" s="1">
        <v>0</v>
      </c>
      <c r="BO2490" s="1">
        <v>0</v>
      </c>
      <c r="BP2490" s="1">
        <v>0</v>
      </c>
      <c r="BQ2490" s="1" t="s">
        <v>104</v>
      </c>
      <c r="BR2490" s="1">
        <v>2623</v>
      </c>
      <c r="BS2490" s="1" t="s">
        <v>104</v>
      </c>
      <c r="BX2490" s="1">
        <v>0</v>
      </c>
      <c r="BY2490" s="1">
        <v>3</v>
      </c>
      <c r="BZ2490" s="1" t="s">
        <v>104</v>
      </c>
      <c r="CA2490" s="1" t="s">
        <v>104</v>
      </c>
      <c r="CB2490" s="1">
        <v>3</v>
      </c>
      <c r="CC2490" s="1" t="s">
        <v>104</v>
      </c>
      <c r="CD2490" s="1" t="s">
        <v>104</v>
      </c>
      <c r="CE2490" s="1" t="s">
        <v>104</v>
      </c>
      <c r="CF2490" s="1" t="s">
        <v>104</v>
      </c>
      <c r="CG2490" s="1" t="s">
        <v>104</v>
      </c>
      <c r="CH2490" s="1" t="s">
        <v>104</v>
      </c>
      <c r="CJ2490" s="1">
        <v>0</v>
      </c>
      <c r="CK2490" s="1">
        <v>1</v>
      </c>
      <c r="CL2490" s="1">
        <v>0</v>
      </c>
      <c r="CM2490" s="1" t="s">
        <v>104</v>
      </c>
    </row>
    <row r="2491" spans="1:91" ht="14.25" customHeight="1" x14ac:dyDescent="0.3">
      <c r="A2491" s="1" t="s">
        <v>12699</v>
      </c>
      <c r="B2491" s="1" t="s">
        <v>507</v>
      </c>
      <c r="C2491" s="1" t="s">
        <v>1308</v>
      </c>
      <c r="D2491" s="1" t="s">
        <v>11422</v>
      </c>
      <c r="E2491" s="1" t="s">
        <v>12700</v>
      </c>
      <c r="F2491" s="1" t="s">
        <v>95</v>
      </c>
      <c r="G2491" s="1" t="s">
        <v>116</v>
      </c>
      <c r="H2491" s="1">
        <v>0</v>
      </c>
      <c r="I2491" s="1" t="s">
        <v>109</v>
      </c>
      <c r="L2491" s="1" t="s">
        <v>5447</v>
      </c>
      <c r="M2491" s="1" t="s">
        <v>4641</v>
      </c>
      <c r="N2491" s="1">
        <v>1</v>
      </c>
      <c r="O2491" s="1">
        <v>0</v>
      </c>
      <c r="P2491" s="1" t="s">
        <v>211</v>
      </c>
      <c r="Q2491" s="1" t="s">
        <v>101</v>
      </c>
      <c r="R2491" s="1" t="s">
        <v>12701</v>
      </c>
      <c r="S2491" s="1" t="s">
        <v>12702</v>
      </c>
      <c r="T2491" s="1">
        <v>1</v>
      </c>
      <c r="U2491" s="1">
        <v>1</v>
      </c>
      <c r="V2491" s="1">
        <v>0</v>
      </c>
      <c r="W2491" s="1">
        <v>0</v>
      </c>
      <c r="X2491" s="1">
        <v>0</v>
      </c>
      <c r="Y2491" s="1" t="s">
        <v>104</v>
      </c>
      <c r="Z2491" s="1" t="s">
        <v>104</v>
      </c>
      <c r="AA2491" s="1" t="s">
        <v>104</v>
      </c>
      <c r="AB2491" s="1" t="s">
        <v>104</v>
      </c>
      <c r="AC2491" s="1" t="s">
        <v>104</v>
      </c>
      <c r="AD2491" s="1">
        <v>2</v>
      </c>
      <c r="AE2491" s="1" t="s">
        <v>104</v>
      </c>
      <c r="AF2491" s="1" t="s">
        <v>104</v>
      </c>
      <c r="AG2491" s="1" t="s">
        <v>104</v>
      </c>
      <c r="AH2491" s="1" t="s">
        <v>104</v>
      </c>
      <c r="AI2491" s="1" t="s">
        <v>104</v>
      </c>
      <c r="AJ2491" s="1" t="s">
        <v>104</v>
      </c>
      <c r="AK2491" s="1" t="s">
        <v>104</v>
      </c>
      <c r="AL2491" s="1" t="s">
        <v>104</v>
      </c>
      <c r="AM2491" s="1" t="s">
        <v>104</v>
      </c>
      <c r="AO2491" s="1">
        <v>2</v>
      </c>
      <c r="AQ2491" s="1" t="s">
        <v>12703</v>
      </c>
      <c r="AR2491" s="1">
        <v>0</v>
      </c>
      <c r="AS2491" s="1">
        <v>0</v>
      </c>
      <c r="AT2491" s="1">
        <v>0</v>
      </c>
      <c r="AU2491" s="1">
        <v>0</v>
      </c>
      <c r="AV2491" s="1">
        <v>0</v>
      </c>
      <c r="AW2491" s="1">
        <v>0</v>
      </c>
      <c r="AX2491" s="1">
        <v>0</v>
      </c>
      <c r="AY2491" s="1">
        <v>0</v>
      </c>
      <c r="AZ2491" s="1">
        <v>0</v>
      </c>
      <c r="BA2491" s="1">
        <v>0</v>
      </c>
      <c r="BB2491" s="1">
        <v>1</v>
      </c>
      <c r="BC2491" s="1">
        <v>0</v>
      </c>
      <c r="BD2491" s="1">
        <v>0</v>
      </c>
      <c r="BE2491" s="1">
        <v>0</v>
      </c>
      <c r="BF2491" s="1">
        <v>0</v>
      </c>
      <c r="BG2491" s="1">
        <v>0</v>
      </c>
      <c r="BH2491" s="1">
        <v>0</v>
      </c>
      <c r="BI2491" s="1">
        <v>0</v>
      </c>
      <c r="BJ2491" s="1">
        <v>0</v>
      </c>
      <c r="BK2491" s="1">
        <v>1</v>
      </c>
      <c r="BL2491" s="1">
        <v>0</v>
      </c>
      <c r="BM2491" s="1">
        <v>0</v>
      </c>
      <c r="BN2491" s="1">
        <v>0</v>
      </c>
      <c r="BO2491" s="1">
        <v>0</v>
      </c>
      <c r="BP2491" s="1">
        <v>0</v>
      </c>
      <c r="BQ2491" s="1" t="s">
        <v>104</v>
      </c>
      <c r="BR2491" s="1">
        <v>2624</v>
      </c>
      <c r="BS2491" s="1" t="s">
        <v>104</v>
      </c>
      <c r="BX2491" s="1">
        <v>0</v>
      </c>
      <c r="BY2491" s="1" t="s">
        <v>104</v>
      </c>
      <c r="BZ2491" s="1" t="s">
        <v>104</v>
      </c>
      <c r="CA2491" s="1">
        <v>2</v>
      </c>
      <c r="CB2491" s="1">
        <v>2</v>
      </c>
      <c r="CC2491" s="1">
        <v>2</v>
      </c>
      <c r="CD2491" s="1" t="s">
        <v>104</v>
      </c>
      <c r="CE2491" s="1">
        <v>2</v>
      </c>
      <c r="CF2491" s="1" t="s">
        <v>104</v>
      </c>
      <c r="CG2491" s="1" t="s">
        <v>104</v>
      </c>
      <c r="CH2491" s="1" t="s">
        <v>104</v>
      </c>
      <c r="CJ2491" s="1">
        <v>0</v>
      </c>
      <c r="CK2491" s="1">
        <v>0</v>
      </c>
      <c r="CL2491" s="1">
        <v>0</v>
      </c>
      <c r="CM2491" s="1" t="s">
        <v>104</v>
      </c>
    </row>
    <row r="2492" spans="1:91" ht="14.25" customHeight="1" x14ac:dyDescent="0.3">
      <c r="A2492" s="1" t="s">
        <v>12704</v>
      </c>
      <c r="B2492" s="1" t="s">
        <v>162</v>
      </c>
      <c r="E2492" s="1" t="s">
        <v>12705</v>
      </c>
      <c r="F2492" s="1" t="s">
        <v>191</v>
      </c>
      <c r="G2492" s="1" t="s">
        <v>12706</v>
      </c>
      <c r="H2492" s="1">
        <v>1</v>
      </c>
      <c r="I2492" s="1" t="s">
        <v>128</v>
      </c>
      <c r="L2492" s="1" t="s">
        <v>12707</v>
      </c>
      <c r="M2492" s="1" t="s">
        <v>119</v>
      </c>
      <c r="N2492" s="1">
        <v>0</v>
      </c>
      <c r="O2492" s="1">
        <v>0</v>
      </c>
      <c r="P2492" s="1" t="s">
        <v>375</v>
      </c>
      <c r="Q2492" s="1" t="s">
        <v>131</v>
      </c>
      <c r="R2492" s="1" t="s">
        <v>12708</v>
      </c>
      <c r="S2492" s="1" t="s">
        <v>12702</v>
      </c>
      <c r="T2492" s="1">
        <v>1</v>
      </c>
      <c r="U2492" s="1">
        <v>1</v>
      </c>
      <c r="V2492" s="1">
        <v>1</v>
      </c>
      <c r="W2492" s="1">
        <v>0</v>
      </c>
      <c r="X2492" s="1">
        <v>0</v>
      </c>
      <c r="Y2492" s="1" t="s">
        <v>104</v>
      </c>
      <c r="Z2492" s="1" t="s">
        <v>104</v>
      </c>
      <c r="AA2492" s="1">
        <v>6</v>
      </c>
      <c r="AB2492" s="1" t="s">
        <v>104</v>
      </c>
      <c r="AC2492" s="1" t="s">
        <v>104</v>
      </c>
      <c r="AD2492" s="1" t="s">
        <v>104</v>
      </c>
      <c r="AE2492" s="1" t="s">
        <v>104</v>
      </c>
      <c r="AF2492" s="1" t="s">
        <v>104</v>
      </c>
      <c r="AG2492" s="1" t="s">
        <v>104</v>
      </c>
      <c r="AH2492" s="1">
        <v>6</v>
      </c>
      <c r="AI2492" s="1" t="s">
        <v>104</v>
      </c>
      <c r="AJ2492" s="1">
        <v>6</v>
      </c>
      <c r="AK2492" s="1" t="s">
        <v>104</v>
      </c>
      <c r="AL2492" s="1" t="s">
        <v>104</v>
      </c>
      <c r="AM2492" s="1" t="s">
        <v>104</v>
      </c>
      <c r="AO2492" s="1">
        <v>6</v>
      </c>
      <c r="AQ2492" s="1" t="s">
        <v>12709</v>
      </c>
      <c r="AR2492" s="1">
        <v>0</v>
      </c>
      <c r="AS2492" s="1">
        <v>0</v>
      </c>
      <c r="AT2492" s="1">
        <v>0</v>
      </c>
      <c r="AU2492" s="1">
        <v>0</v>
      </c>
      <c r="AV2492" s="1">
        <v>0</v>
      </c>
      <c r="AW2492" s="1">
        <v>0</v>
      </c>
      <c r="AX2492" s="1">
        <v>0</v>
      </c>
      <c r="AY2492" s="1">
        <v>0</v>
      </c>
      <c r="AZ2492" s="1">
        <v>0</v>
      </c>
      <c r="BA2492" s="1">
        <v>0</v>
      </c>
      <c r="BB2492" s="1">
        <v>0</v>
      </c>
      <c r="BC2492" s="1">
        <v>0</v>
      </c>
      <c r="BD2492" s="1">
        <v>0</v>
      </c>
      <c r="BE2492" s="1">
        <v>0</v>
      </c>
      <c r="BF2492" s="1">
        <v>0</v>
      </c>
      <c r="BG2492" s="1">
        <v>0</v>
      </c>
      <c r="BH2492" s="1">
        <v>0</v>
      </c>
      <c r="BI2492" s="1">
        <v>0</v>
      </c>
      <c r="BJ2492" s="1">
        <v>0</v>
      </c>
      <c r="BK2492" s="1">
        <v>0</v>
      </c>
      <c r="BL2492" s="1">
        <v>0</v>
      </c>
      <c r="BM2492" s="1">
        <v>0</v>
      </c>
      <c r="BN2492" s="1">
        <v>0</v>
      </c>
      <c r="BO2492" s="1">
        <v>0</v>
      </c>
      <c r="BP2492" s="1">
        <v>0</v>
      </c>
      <c r="BQ2492" s="1" t="s">
        <v>104</v>
      </c>
      <c r="BR2492" s="1">
        <v>2625</v>
      </c>
      <c r="BS2492" s="1">
        <v>500</v>
      </c>
      <c r="BX2492" s="1">
        <v>0</v>
      </c>
      <c r="BY2492" s="1" t="s">
        <v>104</v>
      </c>
      <c r="BZ2492" s="1">
        <v>6</v>
      </c>
      <c r="CA2492" s="1">
        <v>6</v>
      </c>
      <c r="CB2492" s="1" t="s">
        <v>104</v>
      </c>
      <c r="CC2492" s="1" t="s">
        <v>104</v>
      </c>
      <c r="CD2492" s="1" t="s">
        <v>104</v>
      </c>
      <c r="CE2492" s="1">
        <v>6</v>
      </c>
      <c r="CF2492" s="1" t="s">
        <v>104</v>
      </c>
      <c r="CG2492" s="1" t="s">
        <v>104</v>
      </c>
      <c r="CH2492" s="1" t="s">
        <v>104</v>
      </c>
      <c r="CJ2492" s="1">
        <v>0</v>
      </c>
      <c r="CK2492" s="1">
        <v>0</v>
      </c>
      <c r="CL2492" s="1">
        <v>0</v>
      </c>
      <c r="CM2492" s="1" t="s">
        <v>104</v>
      </c>
    </row>
    <row r="2493" spans="1:91" ht="14.25" customHeight="1" x14ac:dyDescent="0.3">
      <c r="A2493" s="1" t="s">
        <v>12710</v>
      </c>
      <c r="B2493" s="1" t="s">
        <v>507</v>
      </c>
      <c r="C2493" s="1" t="s">
        <v>508</v>
      </c>
      <c r="D2493" s="1" t="s">
        <v>54</v>
      </c>
      <c r="E2493" s="1" t="s">
        <v>12711</v>
      </c>
      <c r="F2493" s="1" t="s">
        <v>255</v>
      </c>
      <c r="G2493" s="1" t="s">
        <v>12712</v>
      </c>
      <c r="H2493" s="1">
        <v>0</v>
      </c>
      <c r="I2493" s="1" t="s">
        <v>12713</v>
      </c>
      <c r="L2493" s="1" t="s">
        <v>12714</v>
      </c>
      <c r="M2493" s="1" t="s">
        <v>4992</v>
      </c>
      <c r="N2493" s="1">
        <v>1</v>
      </c>
      <c r="O2493" s="1">
        <v>0</v>
      </c>
      <c r="P2493" s="1" t="s">
        <v>12715</v>
      </c>
      <c r="Q2493" s="1" t="s">
        <v>101</v>
      </c>
      <c r="R2493" s="1" t="s">
        <v>12716</v>
      </c>
      <c r="S2493" s="1" t="s">
        <v>12702</v>
      </c>
      <c r="T2493" s="1">
        <v>1</v>
      </c>
      <c r="U2493" s="1">
        <v>1</v>
      </c>
      <c r="V2493" s="1">
        <v>1</v>
      </c>
      <c r="W2493" s="1">
        <v>0</v>
      </c>
      <c r="X2493" s="1">
        <v>0</v>
      </c>
      <c r="Y2493" s="1">
        <v>3</v>
      </c>
      <c r="Z2493" s="1">
        <v>3</v>
      </c>
      <c r="AA2493" s="1">
        <v>3</v>
      </c>
      <c r="AB2493" s="1" t="s">
        <v>104</v>
      </c>
      <c r="AC2493" s="1" t="s">
        <v>104</v>
      </c>
      <c r="AD2493" s="1" t="s">
        <v>104</v>
      </c>
      <c r="AE2493" s="1" t="s">
        <v>104</v>
      </c>
      <c r="AF2493" s="1" t="s">
        <v>104</v>
      </c>
      <c r="AG2493" s="1" t="s">
        <v>104</v>
      </c>
      <c r="AH2493" s="1">
        <v>3</v>
      </c>
      <c r="AI2493" s="1" t="s">
        <v>104</v>
      </c>
      <c r="AJ2493" s="1">
        <v>3</v>
      </c>
      <c r="AK2493" s="1" t="s">
        <v>104</v>
      </c>
      <c r="AL2493" s="1" t="s">
        <v>104</v>
      </c>
      <c r="AM2493" s="1" t="s">
        <v>104</v>
      </c>
      <c r="AO2493" s="1">
        <v>3</v>
      </c>
      <c r="AQ2493" s="1" t="s">
        <v>12717</v>
      </c>
      <c r="AR2493" s="1">
        <v>0</v>
      </c>
      <c r="AS2493" s="1">
        <v>0</v>
      </c>
      <c r="AT2493" s="1">
        <v>0</v>
      </c>
      <c r="AU2493" s="1">
        <v>0</v>
      </c>
      <c r="AV2493" s="1">
        <v>0</v>
      </c>
      <c r="AW2493" s="1">
        <v>0</v>
      </c>
      <c r="AX2493" s="1">
        <v>0</v>
      </c>
      <c r="AY2493" s="1">
        <v>0</v>
      </c>
      <c r="AZ2493" s="1">
        <v>0</v>
      </c>
      <c r="BA2493" s="1">
        <v>0</v>
      </c>
      <c r="BB2493" s="1">
        <v>0</v>
      </c>
      <c r="BC2493" s="1">
        <v>1</v>
      </c>
      <c r="BD2493" s="1">
        <v>0</v>
      </c>
      <c r="BE2493" s="1">
        <v>0</v>
      </c>
      <c r="BF2493" s="1">
        <v>0</v>
      </c>
      <c r="BG2493" s="1">
        <v>0</v>
      </c>
      <c r="BH2493" s="1">
        <v>0</v>
      </c>
      <c r="BI2493" s="1">
        <v>0</v>
      </c>
      <c r="BJ2493" s="1">
        <v>0</v>
      </c>
      <c r="BK2493" s="1">
        <v>0</v>
      </c>
      <c r="BL2493" s="1">
        <v>0</v>
      </c>
      <c r="BM2493" s="1">
        <v>0</v>
      </c>
      <c r="BN2493" s="1">
        <v>0</v>
      </c>
      <c r="BO2493" s="1">
        <v>0</v>
      </c>
      <c r="BP2493" s="1">
        <v>0</v>
      </c>
      <c r="BQ2493" s="1" t="s">
        <v>104</v>
      </c>
      <c r="BR2493" s="1">
        <v>2626</v>
      </c>
      <c r="BS2493" s="1" t="s">
        <v>104</v>
      </c>
      <c r="BX2493" s="1">
        <v>0</v>
      </c>
      <c r="BY2493" s="1" t="s">
        <v>104</v>
      </c>
      <c r="BZ2493" s="1" t="s">
        <v>104</v>
      </c>
      <c r="CA2493" s="1">
        <v>3</v>
      </c>
      <c r="CB2493" s="1">
        <v>2</v>
      </c>
      <c r="CC2493" s="1">
        <v>3</v>
      </c>
      <c r="CD2493" s="1" t="s">
        <v>104</v>
      </c>
      <c r="CE2493" s="1">
        <v>3</v>
      </c>
      <c r="CF2493" s="1" t="s">
        <v>104</v>
      </c>
      <c r="CG2493" s="1" t="s">
        <v>104</v>
      </c>
      <c r="CH2493" s="1" t="s">
        <v>104</v>
      </c>
      <c r="CJ2493" s="1">
        <v>0</v>
      </c>
      <c r="CK2493" s="1">
        <v>0</v>
      </c>
      <c r="CL2493" s="1">
        <v>0</v>
      </c>
      <c r="CM2493" s="1" t="s">
        <v>104</v>
      </c>
    </row>
    <row r="2494" spans="1:91" ht="14.25" customHeight="1" x14ac:dyDescent="0.3">
      <c r="A2494" s="1" t="s">
        <v>12718</v>
      </c>
      <c r="B2494" s="1" t="s">
        <v>137</v>
      </c>
      <c r="C2494" s="1" t="s">
        <v>154</v>
      </c>
      <c r="E2494" s="1" t="s">
        <v>12719</v>
      </c>
      <c r="F2494" s="1" t="s">
        <v>191</v>
      </c>
      <c r="G2494" s="1" t="s">
        <v>12720</v>
      </c>
      <c r="H2494" s="1">
        <v>0</v>
      </c>
      <c r="I2494" s="1" t="s">
        <v>157</v>
      </c>
      <c r="L2494" s="1" t="s">
        <v>158</v>
      </c>
      <c r="M2494" s="1" t="s">
        <v>4400</v>
      </c>
      <c r="N2494" s="1">
        <v>1</v>
      </c>
      <c r="O2494" s="1">
        <v>0</v>
      </c>
      <c r="R2494" s="1" t="s">
        <v>12721</v>
      </c>
      <c r="S2494" s="1" t="s">
        <v>12702</v>
      </c>
      <c r="T2494" s="1">
        <v>1</v>
      </c>
      <c r="U2494" s="1">
        <v>1</v>
      </c>
      <c r="V2494" s="1">
        <v>0</v>
      </c>
      <c r="W2494" s="1">
        <v>0</v>
      </c>
      <c r="X2494" s="1">
        <v>0</v>
      </c>
      <c r="Y2494" s="1">
        <v>3</v>
      </c>
      <c r="Z2494" s="1">
        <v>3</v>
      </c>
      <c r="AA2494" s="1" t="s">
        <v>104</v>
      </c>
      <c r="AB2494" s="1" t="s">
        <v>104</v>
      </c>
      <c r="AC2494" s="1" t="s">
        <v>104</v>
      </c>
      <c r="AD2494" s="1">
        <v>3</v>
      </c>
      <c r="AE2494" s="1" t="s">
        <v>104</v>
      </c>
      <c r="AF2494" s="1">
        <v>3</v>
      </c>
      <c r="AG2494" s="1">
        <v>3</v>
      </c>
      <c r="AH2494" s="1">
        <v>3</v>
      </c>
      <c r="AI2494" s="1" t="s">
        <v>104</v>
      </c>
      <c r="AJ2494" s="1" t="s">
        <v>104</v>
      </c>
      <c r="AK2494" s="1" t="s">
        <v>104</v>
      </c>
      <c r="AL2494" s="1" t="s">
        <v>104</v>
      </c>
      <c r="AM2494" s="1" t="s">
        <v>104</v>
      </c>
      <c r="AO2494" s="1">
        <v>3</v>
      </c>
      <c r="AQ2494" s="1" t="s">
        <v>12722</v>
      </c>
      <c r="AR2494" s="1">
        <v>0</v>
      </c>
      <c r="AS2494" s="1">
        <v>0</v>
      </c>
      <c r="AT2494" s="1">
        <v>0</v>
      </c>
      <c r="AU2494" s="1">
        <v>0</v>
      </c>
      <c r="AV2494" s="1">
        <v>0</v>
      </c>
      <c r="AW2494" s="1">
        <v>0</v>
      </c>
      <c r="AX2494" s="1">
        <v>0</v>
      </c>
      <c r="AY2494" s="1">
        <v>0</v>
      </c>
      <c r="AZ2494" s="1">
        <v>0</v>
      </c>
      <c r="BA2494" s="1">
        <v>0</v>
      </c>
      <c r="BB2494" s="1">
        <v>0</v>
      </c>
      <c r="BC2494" s="1">
        <v>0</v>
      </c>
      <c r="BD2494" s="1">
        <v>0</v>
      </c>
      <c r="BE2494" s="1">
        <v>0</v>
      </c>
      <c r="BF2494" s="1">
        <v>0</v>
      </c>
      <c r="BG2494" s="1">
        <v>0</v>
      </c>
      <c r="BH2494" s="1">
        <v>0</v>
      </c>
      <c r="BI2494" s="1">
        <v>0</v>
      </c>
      <c r="BJ2494" s="1">
        <v>0</v>
      </c>
      <c r="BK2494" s="1">
        <v>0</v>
      </c>
      <c r="BL2494" s="1">
        <v>0</v>
      </c>
      <c r="BM2494" s="1">
        <v>0</v>
      </c>
      <c r="BN2494" s="1">
        <v>0</v>
      </c>
      <c r="BO2494" s="1">
        <v>0</v>
      </c>
      <c r="BP2494" s="1">
        <v>0</v>
      </c>
      <c r="BQ2494" s="1" t="s">
        <v>104</v>
      </c>
      <c r="BR2494" s="1">
        <v>2627</v>
      </c>
      <c r="BS2494" s="1" t="s">
        <v>104</v>
      </c>
      <c r="BX2494" s="1">
        <v>0</v>
      </c>
      <c r="BY2494" s="1" t="s">
        <v>104</v>
      </c>
      <c r="BZ2494" s="1">
        <v>3</v>
      </c>
      <c r="CA2494" s="1">
        <v>3</v>
      </c>
      <c r="CB2494" s="1">
        <v>3</v>
      </c>
      <c r="CC2494" s="1">
        <v>3</v>
      </c>
      <c r="CD2494" s="1">
        <v>3</v>
      </c>
      <c r="CE2494" s="1">
        <v>3</v>
      </c>
      <c r="CF2494" s="1" t="s">
        <v>104</v>
      </c>
      <c r="CG2494" s="1" t="s">
        <v>104</v>
      </c>
      <c r="CH2494" s="1" t="s">
        <v>104</v>
      </c>
      <c r="CJ2494" s="1">
        <v>0</v>
      </c>
      <c r="CK2494" s="1">
        <v>0</v>
      </c>
      <c r="CL2494" s="1">
        <v>0</v>
      </c>
      <c r="CM2494" s="1">
        <v>3</v>
      </c>
    </row>
    <row r="2495" spans="1:91" ht="14.25" customHeight="1" x14ac:dyDescent="0.3">
      <c r="A2495" s="1" t="s">
        <v>12723</v>
      </c>
      <c r="B2495" s="1" t="s">
        <v>137</v>
      </c>
      <c r="C2495" s="1" t="s">
        <v>154</v>
      </c>
      <c r="E2495" s="1" t="s">
        <v>12724</v>
      </c>
      <c r="F2495" s="1" t="s">
        <v>191</v>
      </c>
      <c r="G2495" s="1" t="s">
        <v>12725</v>
      </c>
      <c r="H2495" s="1">
        <v>0</v>
      </c>
      <c r="I2495" s="1" t="s">
        <v>157</v>
      </c>
      <c r="L2495" s="1" t="s">
        <v>158</v>
      </c>
      <c r="M2495" s="1" t="s">
        <v>4400</v>
      </c>
      <c r="N2495" s="1">
        <v>1</v>
      </c>
      <c r="O2495" s="1">
        <v>0</v>
      </c>
      <c r="R2495" s="1" t="s">
        <v>12726</v>
      </c>
      <c r="S2495" s="1" t="s">
        <v>12702</v>
      </c>
      <c r="T2495" s="1">
        <v>1</v>
      </c>
      <c r="U2495" s="1">
        <v>1</v>
      </c>
      <c r="V2495" s="1">
        <v>0</v>
      </c>
      <c r="W2495" s="1">
        <v>0</v>
      </c>
      <c r="X2495" s="1">
        <v>0</v>
      </c>
      <c r="Y2495" s="1">
        <v>4</v>
      </c>
      <c r="Z2495" s="1">
        <v>4</v>
      </c>
      <c r="AA2495" s="1" t="s">
        <v>104</v>
      </c>
      <c r="AB2495" s="1" t="s">
        <v>104</v>
      </c>
      <c r="AC2495" s="1" t="s">
        <v>104</v>
      </c>
      <c r="AD2495" s="1">
        <v>4</v>
      </c>
      <c r="AE2495" s="1" t="s">
        <v>104</v>
      </c>
      <c r="AF2495" s="1">
        <v>4</v>
      </c>
      <c r="AG2495" s="1">
        <v>4</v>
      </c>
      <c r="AH2495" s="1">
        <v>4</v>
      </c>
      <c r="AI2495" s="1" t="s">
        <v>104</v>
      </c>
      <c r="AJ2495" s="1" t="s">
        <v>104</v>
      </c>
      <c r="AK2495" s="1" t="s">
        <v>104</v>
      </c>
      <c r="AL2495" s="1" t="s">
        <v>104</v>
      </c>
      <c r="AM2495" s="1" t="s">
        <v>104</v>
      </c>
      <c r="AO2495" s="1">
        <v>4</v>
      </c>
      <c r="AQ2495" s="1" t="s">
        <v>12727</v>
      </c>
      <c r="AR2495" s="1">
        <v>0</v>
      </c>
      <c r="AS2495" s="1">
        <v>0</v>
      </c>
      <c r="AT2495" s="1">
        <v>0</v>
      </c>
      <c r="AU2495" s="1">
        <v>0</v>
      </c>
      <c r="AV2495" s="1">
        <v>0</v>
      </c>
      <c r="AW2495" s="1">
        <v>0</v>
      </c>
      <c r="AX2495" s="1">
        <v>0</v>
      </c>
      <c r="AY2495" s="1">
        <v>0</v>
      </c>
      <c r="AZ2495" s="1">
        <v>0</v>
      </c>
      <c r="BA2495" s="1">
        <v>0</v>
      </c>
      <c r="BB2495" s="1">
        <v>0</v>
      </c>
      <c r="BC2495" s="1">
        <v>0</v>
      </c>
      <c r="BD2495" s="1">
        <v>0</v>
      </c>
      <c r="BE2495" s="1">
        <v>0</v>
      </c>
      <c r="BF2495" s="1">
        <v>0</v>
      </c>
      <c r="BG2495" s="1">
        <v>0</v>
      </c>
      <c r="BH2495" s="1">
        <v>0</v>
      </c>
      <c r="BI2495" s="1">
        <v>0</v>
      </c>
      <c r="BJ2495" s="1">
        <v>0</v>
      </c>
      <c r="BK2495" s="1">
        <v>0</v>
      </c>
      <c r="BL2495" s="1">
        <v>0</v>
      </c>
      <c r="BM2495" s="1">
        <v>0</v>
      </c>
      <c r="BN2495" s="1">
        <v>0</v>
      </c>
      <c r="BO2495" s="1">
        <v>0</v>
      </c>
      <c r="BP2495" s="1">
        <v>0</v>
      </c>
      <c r="BQ2495" s="1" t="s">
        <v>104</v>
      </c>
      <c r="BR2495" s="1">
        <v>2628</v>
      </c>
      <c r="BS2495" s="1" t="s">
        <v>104</v>
      </c>
      <c r="BX2495" s="1">
        <v>0</v>
      </c>
      <c r="BY2495" s="1" t="s">
        <v>104</v>
      </c>
      <c r="BZ2495" s="1">
        <v>4</v>
      </c>
      <c r="CA2495" s="1">
        <v>4</v>
      </c>
      <c r="CB2495" s="1">
        <v>4</v>
      </c>
      <c r="CC2495" s="1">
        <v>4</v>
      </c>
      <c r="CD2495" s="1">
        <v>4</v>
      </c>
      <c r="CE2495" s="1">
        <v>4</v>
      </c>
      <c r="CF2495" s="1" t="s">
        <v>104</v>
      </c>
      <c r="CG2495" s="1" t="s">
        <v>104</v>
      </c>
      <c r="CH2495" s="1" t="s">
        <v>104</v>
      </c>
      <c r="CJ2495" s="1">
        <v>0</v>
      </c>
      <c r="CK2495" s="1">
        <v>0</v>
      </c>
      <c r="CL2495" s="1">
        <v>0</v>
      </c>
      <c r="CM2495" s="1">
        <v>4</v>
      </c>
    </row>
    <row r="2496" spans="1:91" ht="14.25" customHeight="1" x14ac:dyDescent="0.3">
      <c r="A2496" s="1" t="s">
        <v>12728</v>
      </c>
      <c r="B2496" s="1" t="s">
        <v>162</v>
      </c>
      <c r="D2496" s="1" t="s">
        <v>58</v>
      </c>
      <c r="E2496" s="1" t="s">
        <v>12729</v>
      </c>
      <c r="F2496" s="1" t="s">
        <v>95</v>
      </c>
      <c r="G2496" s="1" t="s">
        <v>12730</v>
      </c>
      <c r="H2496" s="1">
        <v>0</v>
      </c>
      <c r="J2496" s="1" t="s">
        <v>5007</v>
      </c>
      <c r="M2496" s="1" t="s">
        <v>12731</v>
      </c>
      <c r="N2496" s="1">
        <v>0</v>
      </c>
      <c r="O2496" s="1">
        <v>0</v>
      </c>
      <c r="P2496" s="1" t="s">
        <v>211</v>
      </c>
      <c r="Q2496" s="1" t="s">
        <v>184</v>
      </c>
      <c r="R2496" s="1" t="s">
        <v>12732</v>
      </c>
      <c r="S2496" s="1" t="s">
        <v>12702</v>
      </c>
      <c r="T2496" s="1">
        <v>1</v>
      </c>
      <c r="U2496" s="1">
        <v>1</v>
      </c>
      <c r="V2496" s="1">
        <v>0</v>
      </c>
      <c r="W2496" s="1">
        <v>0</v>
      </c>
      <c r="X2496" s="1">
        <v>0</v>
      </c>
      <c r="Y2496" s="1" t="s">
        <v>104</v>
      </c>
      <c r="Z2496" s="1" t="s">
        <v>104</v>
      </c>
      <c r="AA2496" s="1">
        <v>5</v>
      </c>
      <c r="AB2496" s="1" t="s">
        <v>104</v>
      </c>
      <c r="AC2496" s="1" t="s">
        <v>104</v>
      </c>
      <c r="AD2496" s="1" t="s">
        <v>104</v>
      </c>
      <c r="AE2496" s="1">
        <v>4</v>
      </c>
      <c r="AF2496" s="1" t="s">
        <v>104</v>
      </c>
      <c r="AG2496" s="1" t="s">
        <v>104</v>
      </c>
      <c r="AH2496" s="1" t="s">
        <v>104</v>
      </c>
      <c r="AI2496" s="1">
        <v>4</v>
      </c>
      <c r="AJ2496" s="1">
        <v>5</v>
      </c>
      <c r="AK2496" s="1" t="s">
        <v>104</v>
      </c>
      <c r="AL2496" s="1" t="s">
        <v>104</v>
      </c>
      <c r="AM2496" s="1" t="s">
        <v>104</v>
      </c>
      <c r="AO2496" s="1">
        <v>5</v>
      </c>
      <c r="AQ2496" s="1" t="s">
        <v>12733</v>
      </c>
      <c r="AR2496" s="1">
        <v>0</v>
      </c>
      <c r="AS2496" s="1">
        <v>0</v>
      </c>
      <c r="AT2496" s="1">
        <v>0</v>
      </c>
      <c r="AU2496" s="1">
        <v>0</v>
      </c>
      <c r="AV2496" s="1">
        <v>0</v>
      </c>
      <c r="AW2496" s="1">
        <v>0</v>
      </c>
      <c r="AX2496" s="1">
        <v>0</v>
      </c>
      <c r="AY2496" s="1">
        <v>0</v>
      </c>
      <c r="AZ2496" s="1">
        <v>0</v>
      </c>
      <c r="BA2496" s="1">
        <v>0</v>
      </c>
      <c r="BB2496" s="1">
        <v>0</v>
      </c>
      <c r="BC2496" s="1">
        <v>0</v>
      </c>
      <c r="BD2496" s="1">
        <v>0</v>
      </c>
      <c r="BE2496" s="1">
        <v>0</v>
      </c>
      <c r="BF2496" s="1">
        <v>0</v>
      </c>
      <c r="BG2496" s="1">
        <v>1</v>
      </c>
      <c r="BH2496" s="1">
        <v>0</v>
      </c>
      <c r="BI2496" s="1">
        <v>0</v>
      </c>
      <c r="BJ2496" s="1">
        <v>0</v>
      </c>
      <c r="BK2496" s="1">
        <v>0</v>
      </c>
      <c r="BL2496" s="1">
        <v>0</v>
      </c>
      <c r="BM2496" s="1">
        <v>0</v>
      </c>
      <c r="BN2496" s="1">
        <v>0</v>
      </c>
      <c r="BO2496" s="1">
        <v>0</v>
      </c>
      <c r="BP2496" s="1">
        <v>0</v>
      </c>
      <c r="BQ2496" s="1" t="s">
        <v>104</v>
      </c>
      <c r="BR2496" s="1">
        <v>2629</v>
      </c>
      <c r="BS2496" s="1" t="s">
        <v>104</v>
      </c>
      <c r="BX2496" s="1">
        <v>0</v>
      </c>
      <c r="BY2496" s="1" t="s">
        <v>104</v>
      </c>
      <c r="BZ2496" s="1">
        <v>5</v>
      </c>
      <c r="CA2496" s="1" t="s">
        <v>104</v>
      </c>
      <c r="CB2496" s="1">
        <v>3</v>
      </c>
      <c r="CC2496" s="1" t="s">
        <v>104</v>
      </c>
      <c r="CD2496" s="1">
        <v>4</v>
      </c>
      <c r="CE2496" s="1" t="s">
        <v>104</v>
      </c>
      <c r="CF2496" s="1" t="s">
        <v>104</v>
      </c>
      <c r="CG2496" s="1" t="s">
        <v>104</v>
      </c>
      <c r="CH2496" s="1" t="s">
        <v>104</v>
      </c>
      <c r="CJ2496" s="1">
        <v>0</v>
      </c>
      <c r="CK2496" s="1">
        <v>0</v>
      </c>
      <c r="CL2496" s="1">
        <v>0</v>
      </c>
      <c r="CM2496" s="1" t="s">
        <v>104</v>
      </c>
    </row>
    <row r="2497" spans="1:91" ht="14.25" customHeight="1" x14ac:dyDescent="0.3">
      <c r="A2497" s="1" t="s">
        <v>12734</v>
      </c>
      <c r="B2497" s="1" t="s">
        <v>92</v>
      </c>
      <c r="C2497" s="1" t="s">
        <v>903</v>
      </c>
      <c r="D2497" s="1" t="s">
        <v>11457</v>
      </c>
      <c r="E2497" s="1" t="s">
        <v>12735</v>
      </c>
      <c r="F2497" s="1" t="s">
        <v>95</v>
      </c>
      <c r="G2497" s="1" t="s">
        <v>12736</v>
      </c>
      <c r="H2497" s="1">
        <v>0</v>
      </c>
      <c r="I2497" s="1" t="s">
        <v>4350</v>
      </c>
      <c r="K2497" s="1" t="s">
        <v>12737</v>
      </c>
      <c r="M2497" s="1" t="s">
        <v>119</v>
      </c>
      <c r="N2497" s="1">
        <v>0</v>
      </c>
      <c r="O2497" s="1">
        <v>0</v>
      </c>
      <c r="P2497" s="1" t="s">
        <v>5901</v>
      </c>
      <c r="Q2497" s="1" t="s">
        <v>101</v>
      </c>
      <c r="R2497" s="1" t="s">
        <v>12738</v>
      </c>
      <c r="S2497" s="1" t="s">
        <v>12702</v>
      </c>
      <c r="T2497" s="1">
        <v>1</v>
      </c>
      <c r="U2497" s="1">
        <v>1</v>
      </c>
      <c r="V2497" s="1">
        <v>1</v>
      </c>
      <c r="W2497" s="1">
        <v>0</v>
      </c>
      <c r="X2497" s="1">
        <v>0</v>
      </c>
      <c r="Y2497" s="1" t="s">
        <v>104</v>
      </c>
      <c r="Z2497" s="1" t="s">
        <v>104</v>
      </c>
      <c r="AA2497" s="1">
        <v>1</v>
      </c>
      <c r="AB2497" s="1" t="s">
        <v>104</v>
      </c>
      <c r="AC2497" s="1" t="s">
        <v>104</v>
      </c>
      <c r="AD2497" s="1" t="s">
        <v>104</v>
      </c>
      <c r="AE2497" s="1" t="s">
        <v>104</v>
      </c>
      <c r="AF2497" s="1" t="s">
        <v>104</v>
      </c>
      <c r="AG2497" s="1">
        <v>1</v>
      </c>
      <c r="AH2497" s="1" t="s">
        <v>104</v>
      </c>
      <c r="AI2497" s="1">
        <v>1</v>
      </c>
      <c r="AJ2497" s="1">
        <v>1</v>
      </c>
      <c r="AK2497" s="1">
        <v>1</v>
      </c>
      <c r="AL2497" s="1" t="s">
        <v>104</v>
      </c>
      <c r="AM2497" s="1" t="s">
        <v>104</v>
      </c>
      <c r="AO2497" s="1">
        <v>1</v>
      </c>
      <c r="AQ2497" s="1" t="s">
        <v>12739</v>
      </c>
      <c r="AR2497" s="1">
        <v>0</v>
      </c>
      <c r="AS2497" s="1">
        <v>0</v>
      </c>
      <c r="AT2497" s="1">
        <v>0</v>
      </c>
      <c r="AU2497" s="1">
        <v>0</v>
      </c>
      <c r="AV2497" s="1">
        <v>0</v>
      </c>
      <c r="AW2497" s="1">
        <v>0</v>
      </c>
      <c r="AX2497" s="1">
        <v>0</v>
      </c>
      <c r="AY2497" s="1">
        <v>0</v>
      </c>
      <c r="AZ2497" s="1">
        <v>0</v>
      </c>
      <c r="BA2497" s="1">
        <v>0</v>
      </c>
      <c r="BB2497" s="1">
        <v>1</v>
      </c>
      <c r="BC2497" s="1">
        <v>0</v>
      </c>
      <c r="BD2497" s="1">
        <v>1</v>
      </c>
      <c r="BE2497" s="1">
        <v>0</v>
      </c>
      <c r="BF2497" s="1">
        <v>0</v>
      </c>
      <c r="BG2497" s="1">
        <v>0</v>
      </c>
      <c r="BH2497" s="1">
        <v>0</v>
      </c>
      <c r="BI2497" s="1">
        <v>0</v>
      </c>
      <c r="BJ2497" s="1">
        <v>0</v>
      </c>
      <c r="BK2497" s="1">
        <v>1</v>
      </c>
      <c r="BL2497" s="1">
        <v>0</v>
      </c>
      <c r="BM2497" s="1">
        <v>0</v>
      </c>
      <c r="BN2497" s="1">
        <v>0</v>
      </c>
      <c r="BO2497" s="1">
        <v>0</v>
      </c>
      <c r="BP2497" s="1">
        <v>0</v>
      </c>
      <c r="BQ2497" s="1" t="s">
        <v>104</v>
      </c>
      <c r="BR2497" s="1">
        <v>2630</v>
      </c>
      <c r="BS2497" s="1" t="s">
        <v>104</v>
      </c>
      <c r="BX2497" s="1">
        <v>0</v>
      </c>
      <c r="BY2497" s="1">
        <v>1</v>
      </c>
      <c r="BZ2497" s="1">
        <v>1</v>
      </c>
      <c r="CA2497" s="1" t="s">
        <v>104</v>
      </c>
      <c r="CB2497" s="1" t="s">
        <v>104</v>
      </c>
      <c r="CC2497" s="1" t="s">
        <v>104</v>
      </c>
      <c r="CD2497" s="1">
        <v>1</v>
      </c>
      <c r="CE2497" s="1" t="s">
        <v>104</v>
      </c>
      <c r="CF2497" s="1" t="s">
        <v>104</v>
      </c>
      <c r="CG2497" s="1" t="s">
        <v>104</v>
      </c>
      <c r="CH2497" s="1" t="s">
        <v>104</v>
      </c>
      <c r="CJ2497" s="1">
        <v>0</v>
      </c>
      <c r="CK2497" s="1">
        <v>0</v>
      </c>
      <c r="CL2497" s="1">
        <v>0</v>
      </c>
      <c r="CM2497" s="1">
        <v>1</v>
      </c>
    </row>
    <row r="2498" spans="1:91" ht="14.25" customHeight="1" x14ac:dyDescent="0.3">
      <c r="A2498" s="1" t="s">
        <v>12740</v>
      </c>
      <c r="B2498" s="1" t="s">
        <v>216</v>
      </c>
      <c r="D2498" s="1" t="s">
        <v>54</v>
      </c>
      <c r="E2498" s="1" t="s">
        <v>12741</v>
      </c>
      <c r="F2498" s="1" t="s">
        <v>95</v>
      </c>
      <c r="G2498" s="1" t="s">
        <v>12742</v>
      </c>
      <c r="H2498" s="1">
        <v>0</v>
      </c>
      <c r="I2498" s="1" t="s">
        <v>12743</v>
      </c>
      <c r="L2498" s="1" t="s">
        <v>12189</v>
      </c>
      <c r="M2498" s="1" t="s">
        <v>4400</v>
      </c>
      <c r="N2498" s="1">
        <v>1</v>
      </c>
      <c r="O2498" s="1">
        <v>0</v>
      </c>
      <c r="P2498" s="1" t="s">
        <v>1902</v>
      </c>
      <c r="Q2498" s="1" t="s">
        <v>101</v>
      </c>
      <c r="R2498" s="1" t="s">
        <v>12744</v>
      </c>
      <c r="S2498" s="1" t="s">
        <v>12702</v>
      </c>
      <c r="T2498" s="1">
        <v>1</v>
      </c>
      <c r="U2498" s="1">
        <v>1</v>
      </c>
      <c r="V2498" s="1">
        <v>0</v>
      </c>
      <c r="W2498" s="1">
        <v>0</v>
      </c>
      <c r="X2498" s="1">
        <v>0</v>
      </c>
      <c r="Y2498" s="1" t="s">
        <v>104</v>
      </c>
      <c r="Z2498" s="1" t="s">
        <v>104</v>
      </c>
      <c r="AA2498" s="1">
        <v>5</v>
      </c>
      <c r="AB2498" s="1">
        <v>5</v>
      </c>
      <c r="AC2498" s="1" t="s">
        <v>104</v>
      </c>
      <c r="AD2498" s="1" t="s">
        <v>104</v>
      </c>
      <c r="AE2498" s="1" t="s">
        <v>104</v>
      </c>
      <c r="AF2498" s="1" t="s">
        <v>104</v>
      </c>
      <c r="AG2498" s="1" t="s">
        <v>104</v>
      </c>
      <c r="AH2498" s="1">
        <v>5</v>
      </c>
      <c r="AI2498" s="1">
        <v>5</v>
      </c>
      <c r="AJ2498" s="1">
        <v>5</v>
      </c>
      <c r="AK2498" s="1">
        <v>4</v>
      </c>
      <c r="AL2498" s="1" t="s">
        <v>104</v>
      </c>
      <c r="AM2498" s="1" t="s">
        <v>104</v>
      </c>
      <c r="AO2498" s="1">
        <v>5</v>
      </c>
      <c r="AQ2498" s="1" t="s">
        <v>12745</v>
      </c>
      <c r="AR2498" s="1">
        <v>0</v>
      </c>
      <c r="AS2498" s="1">
        <v>0</v>
      </c>
      <c r="AT2498" s="1">
        <v>0</v>
      </c>
      <c r="AU2498" s="1">
        <v>0</v>
      </c>
      <c r="AV2498" s="1">
        <v>0</v>
      </c>
      <c r="AW2498" s="1">
        <v>0</v>
      </c>
      <c r="AX2498" s="1">
        <v>0</v>
      </c>
      <c r="AY2498" s="1">
        <v>0</v>
      </c>
      <c r="AZ2498" s="1">
        <v>0</v>
      </c>
      <c r="BA2498" s="1">
        <v>0</v>
      </c>
      <c r="BB2498" s="1">
        <v>0</v>
      </c>
      <c r="BC2498" s="1">
        <v>1</v>
      </c>
      <c r="BD2498" s="1">
        <v>0</v>
      </c>
      <c r="BE2498" s="1">
        <v>0</v>
      </c>
      <c r="BF2498" s="1">
        <v>0</v>
      </c>
      <c r="BG2498" s="1">
        <v>0</v>
      </c>
      <c r="BH2498" s="1">
        <v>0</v>
      </c>
      <c r="BI2498" s="1">
        <v>0</v>
      </c>
      <c r="BJ2498" s="1">
        <v>0</v>
      </c>
      <c r="BK2498" s="1">
        <v>0</v>
      </c>
      <c r="BL2498" s="1">
        <v>0</v>
      </c>
      <c r="BM2498" s="1">
        <v>0</v>
      </c>
      <c r="BN2498" s="1">
        <v>0</v>
      </c>
      <c r="BO2498" s="1">
        <v>0</v>
      </c>
      <c r="BP2498" s="1">
        <v>0</v>
      </c>
      <c r="BQ2498" s="1" t="s">
        <v>104</v>
      </c>
      <c r="BR2498" s="1">
        <v>2631</v>
      </c>
      <c r="BS2498" s="1" t="s">
        <v>104</v>
      </c>
      <c r="BX2498" s="1">
        <v>0</v>
      </c>
      <c r="BY2498" s="1" t="s">
        <v>104</v>
      </c>
      <c r="BZ2498" s="1">
        <v>5</v>
      </c>
      <c r="CA2498" s="1">
        <v>5</v>
      </c>
      <c r="CB2498" s="1" t="s">
        <v>104</v>
      </c>
      <c r="CC2498" s="1" t="s">
        <v>104</v>
      </c>
      <c r="CD2498" s="1" t="s">
        <v>104</v>
      </c>
      <c r="CE2498" s="1" t="s">
        <v>104</v>
      </c>
      <c r="CF2498" s="1" t="s">
        <v>104</v>
      </c>
      <c r="CG2498" s="1" t="s">
        <v>104</v>
      </c>
      <c r="CH2498" s="1">
        <v>5</v>
      </c>
      <c r="CJ2498" s="1">
        <v>0</v>
      </c>
      <c r="CK2498" s="1">
        <v>0</v>
      </c>
      <c r="CL2498" s="1">
        <v>0</v>
      </c>
      <c r="CM2498" s="1" t="s">
        <v>104</v>
      </c>
    </row>
    <row r="2499" spans="1:91" ht="14.25" customHeight="1" x14ac:dyDescent="0.3">
      <c r="A2499" s="1" t="s">
        <v>12746</v>
      </c>
      <c r="B2499" s="1" t="s">
        <v>216</v>
      </c>
      <c r="E2499" s="1" t="s">
        <v>12747</v>
      </c>
      <c r="F2499" s="1" t="s">
        <v>95</v>
      </c>
      <c r="G2499" s="1" t="s">
        <v>12730</v>
      </c>
      <c r="H2499" s="1">
        <v>0</v>
      </c>
      <c r="I2499" s="1" t="s">
        <v>4350</v>
      </c>
      <c r="L2499" s="1" t="s">
        <v>12748</v>
      </c>
      <c r="M2499" s="1" t="s">
        <v>426</v>
      </c>
      <c r="N2499" s="1">
        <v>1</v>
      </c>
      <c r="O2499" s="1">
        <v>0</v>
      </c>
      <c r="P2499" s="1" t="s">
        <v>183</v>
      </c>
      <c r="Q2499" s="1" t="s">
        <v>184</v>
      </c>
      <c r="R2499" s="1" t="s">
        <v>12749</v>
      </c>
      <c r="S2499" s="1" t="s">
        <v>12702</v>
      </c>
      <c r="T2499" s="1">
        <v>1</v>
      </c>
      <c r="U2499" s="1">
        <v>1</v>
      </c>
      <c r="V2499" s="1">
        <v>0</v>
      </c>
      <c r="W2499" s="1">
        <v>0</v>
      </c>
      <c r="X2499" s="1">
        <v>0</v>
      </c>
      <c r="Y2499" s="1">
        <v>2</v>
      </c>
      <c r="Z2499" s="1">
        <v>2</v>
      </c>
      <c r="AA2499" s="1">
        <v>2</v>
      </c>
      <c r="AB2499" s="1" t="s">
        <v>104</v>
      </c>
      <c r="AC2499" s="1" t="s">
        <v>104</v>
      </c>
      <c r="AD2499" s="1" t="s">
        <v>104</v>
      </c>
      <c r="AE2499" s="1" t="s">
        <v>104</v>
      </c>
      <c r="AF2499" s="1" t="s">
        <v>104</v>
      </c>
      <c r="AG2499" s="1" t="s">
        <v>104</v>
      </c>
      <c r="AH2499" s="1">
        <v>2</v>
      </c>
      <c r="AI2499" s="1">
        <v>2</v>
      </c>
      <c r="AJ2499" s="1">
        <v>2</v>
      </c>
      <c r="AK2499" s="1">
        <v>1</v>
      </c>
      <c r="AL2499" s="1" t="s">
        <v>104</v>
      </c>
      <c r="AM2499" s="1" t="s">
        <v>104</v>
      </c>
      <c r="AO2499" s="1">
        <v>2</v>
      </c>
      <c r="AQ2499" s="1" t="s">
        <v>12750</v>
      </c>
      <c r="AR2499" s="1">
        <v>0</v>
      </c>
      <c r="AS2499" s="1">
        <v>0</v>
      </c>
      <c r="AT2499" s="1">
        <v>0</v>
      </c>
      <c r="AU2499" s="1">
        <v>0</v>
      </c>
      <c r="AV2499" s="1">
        <v>0</v>
      </c>
      <c r="AW2499" s="1">
        <v>0</v>
      </c>
      <c r="AX2499" s="1">
        <v>0</v>
      </c>
      <c r="AY2499" s="1">
        <v>0</v>
      </c>
      <c r="AZ2499" s="1">
        <v>0</v>
      </c>
      <c r="BA2499" s="1">
        <v>0</v>
      </c>
      <c r="BB2499" s="1">
        <v>0</v>
      </c>
      <c r="BC2499" s="1">
        <v>0</v>
      </c>
      <c r="BD2499" s="1">
        <v>0</v>
      </c>
      <c r="BE2499" s="1">
        <v>0</v>
      </c>
      <c r="BF2499" s="1">
        <v>0</v>
      </c>
      <c r="BG2499" s="1">
        <v>0</v>
      </c>
      <c r="BH2499" s="1">
        <v>0</v>
      </c>
      <c r="BI2499" s="1">
        <v>0</v>
      </c>
      <c r="BJ2499" s="1">
        <v>0</v>
      </c>
      <c r="BK2499" s="1">
        <v>0</v>
      </c>
      <c r="BL2499" s="1">
        <v>0</v>
      </c>
      <c r="BM2499" s="1">
        <v>0</v>
      </c>
      <c r="BN2499" s="1">
        <v>0</v>
      </c>
      <c r="BO2499" s="1">
        <v>0</v>
      </c>
      <c r="BP2499" s="1">
        <v>0</v>
      </c>
      <c r="BQ2499" s="1" t="s">
        <v>104</v>
      </c>
      <c r="BR2499" s="1">
        <v>2632</v>
      </c>
      <c r="BS2499" s="1" t="s">
        <v>104</v>
      </c>
      <c r="BX2499" s="1">
        <v>0</v>
      </c>
      <c r="BY2499" s="1">
        <v>1</v>
      </c>
      <c r="BZ2499" s="1" t="s">
        <v>104</v>
      </c>
      <c r="CA2499" s="1">
        <v>2</v>
      </c>
      <c r="CB2499" s="1">
        <v>1</v>
      </c>
      <c r="CC2499" s="1" t="s">
        <v>104</v>
      </c>
      <c r="CD2499" s="1" t="s">
        <v>104</v>
      </c>
      <c r="CE2499" s="1">
        <v>2</v>
      </c>
      <c r="CF2499" s="1" t="s">
        <v>104</v>
      </c>
      <c r="CG2499" s="1" t="s">
        <v>104</v>
      </c>
      <c r="CH2499" s="1" t="s">
        <v>104</v>
      </c>
      <c r="CJ2499" s="1">
        <v>0</v>
      </c>
      <c r="CK2499" s="1">
        <v>0</v>
      </c>
      <c r="CL2499" s="1">
        <v>0</v>
      </c>
      <c r="CM2499" s="1" t="s">
        <v>104</v>
      </c>
    </row>
    <row r="2500" spans="1:91" ht="14.25" customHeight="1" x14ac:dyDescent="0.3">
      <c r="A2500" s="1" t="s">
        <v>12751</v>
      </c>
      <c r="B2500" s="1" t="s">
        <v>216</v>
      </c>
      <c r="E2500" s="1" t="s">
        <v>12752</v>
      </c>
      <c r="F2500" s="1" t="s">
        <v>95</v>
      </c>
      <c r="G2500" s="1" t="s">
        <v>12753</v>
      </c>
      <c r="H2500" s="1">
        <v>0</v>
      </c>
      <c r="I2500" s="1" t="s">
        <v>109</v>
      </c>
      <c r="L2500" s="1" t="s">
        <v>12754</v>
      </c>
      <c r="M2500" s="1" t="s">
        <v>119</v>
      </c>
      <c r="N2500" s="1">
        <v>0</v>
      </c>
      <c r="O2500" s="1">
        <v>0</v>
      </c>
      <c r="P2500" s="1" t="s">
        <v>12755</v>
      </c>
      <c r="Q2500" s="1" t="s">
        <v>184</v>
      </c>
      <c r="R2500" s="1" t="s">
        <v>12756</v>
      </c>
      <c r="S2500" s="1" t="s">
        <v>12702</v>
      </c>
      <c r="T2500" s="1">
        <v>1</v>
      </c>
      <c r="U2500" s="1">
        <v>1</v>
      </c>
      <c r="V2500" s="1">
        <v>0</v>
      </c>
      <c r="W2500" s="1">
        <v>0</v>
      </c>
      <c r="X2500" s="1">
        <v>0</v>
      </c>
      <c r="Y2500" s="1">
        <v>2</v>
      </c>
      <c r="Z2500" s="1">
        <v>2</v>
      </c>
      <c r="AA2500" s="1">
        <v>2</v>
      </c>
      <c r="AB2500" s="1" t="s">
        <v>104</v>
      </c>
      <c r="AC2500" s="1" t="s">
        <v>104</v>
      </c>
      <c r="AD2500" s="1" t="s">
        <v>104</v>
      </c>
      <c r="AE2500" s="1" t="s">
        <v>104</v>
      </c>
      <c r="AF2500" s="1" t="s">
        <v>104</v>
      </c>
      <c r="AG2500" s="1" t="s">
        <v>104</v>
      </c>
      <c r="AH2500" s="1">
        <v>2</v>
      </c>
      <c r="AI2500" s="1">
        <v>2</v>
      </c>
      <c r="AJ2500" s="1">
        <v>2</v>
      </c>
      <c r="AK2500" s="1">
        <v>1</v>
      </c>
      <c r="AL2500" s="1" t="s">
        <v>104</v>
      </c>
      <c r="AM2500" s="1" t="s">
        <v>104</v>
      </c>
      <c r="AO2500" s="1">
        <v>2</v>
      </c>
      <c r="AQ2500" s="1" t="s">
        <v>12757</v>
      </c>
      <c r="AR2500" s="1">
        <v>0</v>
      </c>
      <c r="AS2500" s="1">
        <v>0</v>
      </c>
      <c r="AT2500" s="1">
        <v>0</v>
      </c>
      <c r="AU2500" s="1">
        <v>0</v>
      </c>
      <c r="AV2500" s="1">
        <v>0</v>
      </c>
      <c r="AW2500" s="1">
        <v>0</v>
      </c>
      <c r="AX2500" s="1">
        <v>0</v>
      </c>
      <c r="AY2500" s="1">
        <v>0</v>
      </c>
      <c r="AZ2500" s="1">
        <v>0</v>
      </c>
      <c r="BA2500" s="1">
        <v>0</v>
      </c>
      <c r="BB2500" s="1">
        <v>0</v>
      </c>
      <c r="BC2500" s="1">
        <v>0</v>
      </c>
      <c r="BD2500" s="1">
        <v>0</v>
      </c>
      <c r="BE2500" s="1">
        <v>0</v>
      </c>
      <c r="BF2500" s="1">
        <v>0</v>
      </c>
      <c r="BG2500" s="1">
        <v>0</v>
      </c>
      <c r="BH2500" s="1">
        <v>0</v>
      </c>
      <c r="BI2500" s="1">
        <v>0</v>
      </c>
      <c r="BJ2500" s="1">
        <v>0</v>
      </c>
      <c r="BK2500" s="1">
        <v>0</v>
      </c>
      <c r="BL2500" s="1">
        <v>0</v>
      </c>
      <c r="BM2500" s="1">
        <v>0</v>
      </c>
      <c r="BN2500" s="1">
        <v>0</v>
      </c>
      <c r="BO2500" s="1">
        <v>0</v>
      </c>
      <c r="BP2500" s="1">
        <v>0</v>
      </c>
      <c r="BQ2500" s="1" t="s">
        <v>104</v>
      </c>
      <c r="BR2500" s="1">
        <v>2633</v>
      </c>
      <c r="BS2500" s="1" t="s">
        <v>104</v>
      </c>
      <c r="BX2500" s="1">
        <v>0</v>
      </c>
      <c r="BY2500" s="1" t="s">
        <v>104</v>
      </c>
      <c r="BZ2500" s="1" t="s">
        <v>104</v>
      </c>
      <c r="CA2500" s="1" t="s">
        <v>104</v>
      </c>
      <c r="CB2500" s="1" t="s">
        <v>104</v>
      </c>
      <c r="CC2500" s="1" t="s">
        <v>104</v>
      </c>
      <c r="CD2500" s="1" t="s">
        <v>104</v>
      </c>
      <c r="CE2500" s="1">
        <v>2</v>
      </c>
      <c r="CF2500" s="1" t="s">
        <v>104</v>
      </c>
      <c r="CG2500" s="1" t="s">
        <v>104</v>
      </c>
      <c r="CH2500" s="1" t="s">
        <v>104</v>
      </c>
      <c r="CJ2500" s="1">
        <v>0</v>
      </c>
      <c r="CK2500" s="1">
        <v>0</v>
      </c>
      <c r="CL2500" s="1">
        <v>0</v>
      </c>
      <c r="CM2500" s="1" t="s">
        <v>104</v>
      </c>
    </row>
    <row r="2501" spans="1:91" ht="14.25" customHeight="1" x14ac:dyDescent="0.3">
      <c r="A2501" s="1" t="s">
        <v>12758</v>
      </c>
      <c r="B2501" s="1" t="s">
        <v>137</v>
      </c>
      <c r="D2501" s="1" t="s">
        <v>54</v>
      </c>
      <c r="E2501" s="1" t="s">
        <v>12759</v>
      </c>
      <c r="F2501" s="1" t="s">
        <v>95</v>
      </c>
      <c r="G2501" s="1" t="s">
        <v>12760</v>
      </c>
      <c r="H2501" s="1">
        <v>0</v>
      </c>
      <c r="I2501" s="1" t="s">
        <v>128</v>
      </c>
      <c r="L2501" s="1" t="s">
        <v>374</v>
      </c>
      <c r="M2501" s="1" t="s">
        <v>4641</v>
      </c>
      <c r="N2501" s="1">
        <v>1</v>
      </c>
      <c r="O2501" s="1">
        <v>0</v>
      </c>
      <c r="P2501" s="1" t="s">
        <v>100</v>
      </c>
      <c r="Q2501" s="1" t="s">
        <v>101</v>
      </c>
      <c r="R2501" s="1" t="s">
        <v>12761</v>
      </c>
      <c r="S2501" s="1" t="s">
        <v>12702</v>
      </c>
      <c r="T2501" s="1">
        <v>1</v>
      </c>
      <c r="U2501" s="1">
        <v>1</v>
      </c>
      <c r="V2501" s="1">
        <v>1</v>
      </c>
      <c r="W2501" s="1">
        <v>0</v>
      </c>
      <c r="X2501" s="1">
        <v>0</v>
      </c>
      <c r="Y2501" s="1" t="s">
        <v>104</v>
      </c>
      <c r="Z2501" s="1" t="s">
        <v>104</v>
      </c>
      <c r="AA2501" s="1">
        <v>4</v>
      </c>
      <c r="AB2501" s="1">
        <v>4</v>
      </c>
      <c r="AC2501" s="1" t="s">
        <v>104</v>
      </c>
      <c r="AD2501" s="1" t="s">
        <v>104</v>
      </c>
      <c r="AE2501" s="1" t="s">
        <v>104</v>
      </c>
      <c r="AF2501" s="1" t="s">
        <v>104</v>
      </c>
      <c r="AG2501" s="1" t="s">
        <v>104</v>
      </c>
      <c r="AH2501" s="1">
        <v>4</v>
      </c>
      <c r="AI2501" s="1" t="s">
        <v>104</v>
      </c>
      <c r="AJ2501" s="1">
        <v>4</v>
      </c>
      <c r="AK2501" s="1">
        <v>2</v>
      </c>
      <c r="AL2501" s="1" t="s">
        <v>104</v>
      </c>
      <c r="AM2501" s="1" t="s">
        <v>104</v>
      </c>
      <c r="AO2501" s="1">
        <v>4</v>
      </c>
      <c r="AQ2501" s="1" t="s">
        <v>12762</v>
      </c>
      <c r="AR2501" s="1">
        <v>0</v>
      </c>
      <c r="AS2501" s="1">
        <v>0</v>
      </c>
      <c r="AT2501" s="1">
        <v>0</v>
      </c>
      <c r="AU2501" s="1">
        <v>0</v>
      </c>
      <c r="AV2501" s="1">
        <v>0</v>
      </c>
      <c r="AW2501" s="1">
        <v>0</v>
      </c>
      <c r="AX2501" s="1">
        <v>0</v>
      </c>
      <c r="AY2501" s="1">
        <v>0</v>
      </c>
      <c r="AZ2501" s="1">
        <v>0</v>
      </c>
      <c r="BA2501" s="1">
        <v>0</v>
      </c>
      <c r="BB2501" s="1">
        <v>0</v>
      </c>
      <c r="BC2501" s="1">
        <v>1</v>
      </c>
      <c r="BD2501" s="1">
        <v>0</v>
      </c>
      <c r="BE2501" s="1">
        <v>0</v>
      </c>
      <c r="BF2501" s="1">
        <v>0</v>
      </c>
      <c r="BG2501" s="1">
        <v>0</v>
      </c>
      <c r="BH2501" s="1">
        <v>0</v>
      </c>
      <c r="BI2501" s="1">
        <v>0</v>
      </c>
      <c r="BJ2501" s="1">
        <v>0</v>
      </c>
      <c r="BK2501" s="1">
        <v>0</v>
      </c>
      <c r="BL2501" s="1">
        <v>0</v>
      </c>
      <c r="BM2501" s="1">
        <v>0</v>
      </c>
      <c r="BN2501" s="1">
        <v>0</v>
      </c>
      <c r="BO2501" s="1">
        <v>0</v>
      </c>
      <c r="BP2501" s="1">
        <v>0</v>
      </c>
      <c r="BQ2501" s="1" t="s">
        <v>104</v>
      </c>
      <c r="BR2501" s="1">
        <v>2634</v>
      </c>
      <c r="BS2501" s="1" t="s">
        <v>104</v>
      </c>
      <c r="BX2501" s="1">
        <v>0</v>
      </c>
      <c r="BY2501" s="1" t="s">
        <v>104</v>
      </c>
      <c r="BZ2501" s="1">
        <v>4</v>
      </c>
      <c r="CA2501" s="1">
        <v>4</v>
      </c>
      <c r="CB2501" s="1">
        <v>2</v>
      </c>
      <c r="CC2501" s="1" t="s">
        <v>104</v>
      </c>
      <c r="CD2501" s="1">
        <v>3</v>
      </c>
      <c r="CE2501" s="1" t="s">
        <v>104</v>
      </c>
      <c r="CF2501" s="1" t="s">
        <v>104</v>
      </c>
      <c r="CG2501" s="1" t="s">
        <v>104</v>
      </c>
      <c r="CH2501" s="1">
        <v>4</v>
      </c>
      <c r="CJ2501" s="1">
        <v>0</v>
      </c>
      <c r="CK2501" s="1">
        <v>0</v>
      </c>
      <c r="CL2501" s="1">
        <v>0</v>
      </c>
      <c r="CM2501" s="1" t="s">
        <v>104</v>
      </c>
    </row>
    <row r="2502" spans="1:91" ht="14.25" customHeight="1" x14ac:dyDescent="0.3">
      <c r="A2502" s="1" t="s">
        <v>12763</v>
      </c>
      <c r="B2502" s="1" t="s">
        <v>507</v>
      </c>
      <c r="C2502" s="1" t="s">
        <v>65</v>
      </c>
      <c r="D2502" s="1" t="s">
        <v>11833</v>
      </c>
      <c r="E2502" s="1" t="s">
        <v>12764</v>
      </c>
      <c r="F2502" s="1" t="s">
        <v>287</v>
      </c>
      <c r="G2502" s="1" t="s">
        <v>12712</v>
      </c>
      <c r="H2502" s="1">
        <v>0</v>
      </c>
      <c r="I2502" s="1" t="s">
        <v>117</v>
      </c>
      <c r="J2502" s="1" t="s">
        <v>12765</v>
      </c>
      <c r="M2502" s="1" t="s">
        <v>4292</v>
      </c>
      <c r="N2502" s="1">
        <v>0</v>
      </c>
      <c r="O2502" s="1">
        <v>1</v>
      </c>
      <c r="P2502" s="1" t="s">
        <v>276</v>
      </c>
      <c r="Q2502" s="1" t="s">
        <v>101</v>
      </c>
      <c r="R2502" s="1" t="s">
        <v>12766</v>
      </c>
      <c r="S2502" s="1" t="s">
        <v>12702</v>
      </c>
      <c r="T2502" s="1">
        <v>1</v>
      </c>
      <c r="U2502" s="1">
        <v>1</v>
      </c>
      <c r="V2502" s="1">
        <v>1</v>
      </c>
      <c r="W2502" s="1">
        <v>0</v>
      </c>
      <c r="X2502" s="1">
        <v>0</v>
      </c>
      <c r="Y2502" s="1">
        <v>5</v>
      </c>
      <c r="Z2502" s="1">
        <v>5</v>
      </c>
      <c r="AA2502" s="1">
        <v>5</v>
      </c>
      <c r="AB2502" s="1" t="s">
        <v>104</v>
      </c>
      <c r="AC2502" s="1" t="s">
        <v>104</v>
      </c>
      <c r="AD2502" s="1" t="s">
        <v>104</v>
      </c>
      <c r="AE2502" s="1" t="s">
        <v>104</v>
      </c>
      <c r="AF2502" s="1" t="s">
        <v>104</v>
      </c>
      <c r="AG2502" s="1" t="s">
        <v>104</v>
      </c>
      <c r="AH2502" s="1">
        <v>5</v>
      </c>
      <c r="AI2502" s="1" t="s">
        <v>104</v>
      </c>
      <c r="AJ2502" s="1">
        <v>5</v>
      </c>
      <c r="AK2502" s="1">
        <v>3</v>
      </c>
      <c r="AL2502" s="1" t="s">
        <v>104</v>
      </c>
      <c r="AM2502" s="1" t="s">
        <v>104</v>
      </c>
      <c r="AO2502" s="1">
        <v>5</v>
      </c>
      <c r="AQ2502" s="1" t="s">
        <v>12767</v>
      </c>
      <c r="AR2502" s="1">
        <v>0</v>
      </c>
      <c r="AS2502" s="1">
        <v>0</v>
      </c>
      <c r="AT2502" s="1">
        <v>0</v>
      </c>
      <c r="AU2502" s="1">
        <v>0</v>
      </c>
      <c r="AV2502" s="1">
        <v>0</v>
      </c>
      <c r="AW2502" s="1">
        <v>0</v>
      </c>
      <c r="AX2502" s="1">
        <v>0</v>
      </c>
      <c r="AY2502" s="1">
        <v>0</v>
      </c>
      <c r="AZ2502" s="1">
        <v>0</v>
      </c>
      <c r="BA2502" s="1">
        <v>0</v>
      </c>
      <c r="BB2502" s="1">
        <v>0</v>
      </c>
      <c r="BC2502" s="1">
        <v>1</v>
      </c>
      <c r="BD2502" s="1">
        <v>0</v>
      </c>
      <c r="BE2502" s="1">
        <v>0</v>
      </c>
      <c r="BF2502" s="1">
        <v>0</v>
      </c>
      <c r="BG2502" s="1">
        <v>0</v>
      </c>
      <c r="BH2502" s="1">
        <v>0</v>
      </c>
      <c r="BI2502" s="1">
        <v>0</v>
      </c>
      <c r="BJ2502" s="1">
        <v>0</v>
      </c>
      <c r="BK2502" s="1">
        <v>0</v>
      </c>
      <c r="BL2502" s="1">
        <v>0</v>
      </c>
      <c r="BM2502" s="1">
        <v>0</v>
      </c>
      <c r="BN2502" s="1">
        <v>1</v>
      </c>
      <c r="BO2502" s="1">
        <v>0</v>
      </c>
      <c r="BP2502" s="1">
        <v>0</v>
      </c>
      <c r="BQ2502" s="1" t="s">
        <v>104</v>
      </c>
      <c r="BR2502" s="1">
        <v>2635</v>
      </c>
      <c r="BS2502" s="1" t="s">
        <v>104</v>
      </c>
      <c r="BX2502" s="1">
        <v>0</v>
      </c>
      <c r="BY2502" s="1" t="s">
        <v>104</v>
      </c>
      <c r="BZ2502" s="1" t="s">
        <v>104</v>
      </c>
      <c r="CA2502" s="1">
        <v>5</v>
      </c>
      <c r="CB2502" s="1" t="s">
        <v>104</v>
      </c>
      <c r="CC2502" s="1">
        <v>5</v>
      </c>
      <c r="CD2502" s="1" t="s">
        <v>104</v>
      </c>
      <c r="CE2502" s="1" t="s">
        <v>104</v>
      </c>
      <c r="CF2502" s="1" t="s">
        <v>104</v>
      </c>
      <c r="CG2502" s="1" t="s">
        <v>104</v>
      </c>
      <c r="CH2502" s="1" t="s">
        <v>104</v>
      </c>
      <c r="CJ2502" s="1">
        <v>0</v>
      </c>
      <c r="CK2502" s="1">
        <v>0</v>
      </c>
      <c r="CL2502" s="1">
        <v>0</v>
      </c>
      <c r="CM2502" s="1" t="s">
        <v>104</v>
      </c>
    </row>
    <row r="2503" spans="1:91" ht="14.25" customHeight="1" x14ac:dyDescent="0.3">
      <c r="A2503" s="1" t="s">
        <v>12768</v>
      </c>
      <c r="B2503" s="1" t="s">
        <v>123</v>
      </c>
      <c r="C2503" s="1" t="s">
        <v>635</v>
      </c>
      <c r="E2503" s="1" t="s">
        <v>12769</v>
      </c>
      <c r="F2503" s="1" t="s">
        <v>191</v>
      </c>
      <c r="G2503" s="1" t="s">
        <v>12770</v>
      </c>
      <c r="H2503" s="1">
        <v>0</v>
      </c>
      <c r="I2503" s="1" t="s">
        <v>109</v>
      </c>
      <c r="L2503" s="1" t="s">
        <v>1416</v>
      </c>
      <c r="M2503" s="1" t="s">
        <v>12731</v>
      </c>
      <c r="N2503" s="1">
        <v>0</v>
      </c>
      <c r="O2503" s="1">
        <v>0</v>
      </c>
      <c r="P2503" s="1" t="s">
        <v>1902</v>
      </c>
      <c r="Q2503" s="1" t="s">
        <v>101</v>
      </c>
      <c r="R2503" s="1" t="s">
        <v>12771</v>
      </c>
      <c r="S2503" s="1" t="s">
        <v>12702</v>
      </c>
      <c r="T2503" s="1">
        <v>1</v>
      </c>
      <c r="U2503" s="1">
        <v>1</v>
      </c>
      <c r="V2503" s="1">
        <v>1</v>
      </c>
      <c r="W2503" s="1">
        <v>0</v>
      </c>
      <c r="X2503" s="1">
        <v>1</v>
      </c>
      <c r="Y2503" s="1">
        <v>5</v>
      </c>
      <c r="Z2503" s="1">
        <v>5</v>
      </c>
      <c r="AA2503" s="1">
        <v>5</v>
      </c>
      <c r="AB2503" s="1" t="s">
        <v>104</v>
      </c>
      <c r="AC2503" s="1" t="s">
        <v>104</v>
      </c>
      <c r="AD2503" s="1">
        <v>5</v>
      </c>
      <c r="AE2503" s="1" t="s">
        <v>104</v>
      </c>
      <c r="AF2503" s="1" t="s">
        <v>104</v>
      </c>
      <c r="AG2503" s="1" t="s">
        <v>104</v>
      </c>
      <c r="AH2503" s="1" t="s">
        <v>104</v>
      </c>
      <c r="AI2503" s="1">
        <v>5</v>
      </c>
      <c r="AJ2503" s="1">
        <v>5</v>
      </c>
      <c r="AK2503" s="1" t="s">
        <v>104</v>
      </c>
      <c r="AL2503" s="1" t="s">
        <v>104</v>
      </c>
      <c r="AM2503" s="1" t="s">
        <v>104</v>
      </c>
      <c r="AO2503" s="1">
        <v>5</v>
      </c>
      <c r="AQ2503" s="1" t="s">
        <v>12772</v>
      </c>
      <c r="AR2503" s="1">
        <v>0</v>
      </c>
      <c r="AS2503" s="1">
        <v>0</v>
      </c>
      <c r="AT2503" s="1">
        <v>0</v>
      </c>
      <c r="AU2503" s="1">
        <v>0</v>
      </c>
      <c r="AV2503" s="1">
        <v>0</v>
      </c>
      <c r="AW2503" s="1">
        <v>0</v>
      </c>
      <c r="AX2503" s="1">
        <v>0</v>
      </c>
      <c r="AY2503" s="1">
        <v>0</v>
      </c>
      <c r="AZ2503" s="1">
        <v>0</v>
      </c>
      <c r="BA2503" s="1">
        <v>0</v>
      </c>
      <c r="BB2503" s="1">
        <v>0</v>
      </c>
      <c r="BC2503" s="1">
        <v>0</v>
      </c>
      <c r="BD2503" s="1">
        <v>0</v>
      </c>
      <c r="BE2503" s="1">
        <v>0</v>
      </c>
      <c r="BF2503" s="1">
        <v>0</v>
      </c>
      <c r="BG2503" s="1">
        <v>0</v>
      </c>
      <c r="BH2503" s="1">
        <v>0</v>
      </c>
      <c r="BI2503" s="1">
        <v>0</v>
      </c>
      <c r="BJ2503" s="1">
        <v>0</v>
      </c>
      <c r="BK2503" s="1">
        <v>0</v>
      </c>
      <c r="BL2503" s="1">
        <v>0</v>
      </c>
      <c r="BM2503" s="1">
        <v>0</v>
      </c>
      <c r="BN2503" s="1">
        <v>0</v>
      </c>
      <c r="BO2503" s="1">
        <v>0</v>
      </c>
      <c r="BP2503" s="1">
        <v>0</v>
      </c>
      <c r="BQ2503" s="1" t="s">
        <v>104</v>
      </c>
      <c r="BR2503" s="1">
        <v>2636</v>
      </c>
      <c r="BS2503" s="1" t="s">
        <v>104</v>
      </c>
      <c r="BX2503" s="1">
        <v>0</v>
      </c>
      <c r="BY2503" s="1" t="s">
        <v>104</v>
      </c>
      <c r="BZ2503" s="1" t="s">
        <v>104</v>
      </c>
      <c r="CA2503" s="1">
        <v>5</v>
      </c>
      <c r="CB2503" s="1" t="s">
        <v>104</v>
      </c>
      <c r="CC2503" s="1">
        <v>5</v>
      </c>
      <c r="CD2503" s="1" t="s">
        <v>104</v>
      </c>
      <c r="CE2503" s="1" t="s">
        <v>104</v>
      </c>
      <c r="CF2503" s="1" t="s">
        <v>104</v>
      </c>
      <c r="CG2503" s="1" t="s">
        <v>104</v>
      </c>
      <c r="CH2503" s="1" t="s">
        <v>104</v>
      </c>
      <c r="CJ2503" s="1">
        <v>0</v>
      </c>
      <c r="CK2503" s="1">
        <v>0</v>
      </c>
      <c r="CL2503" s="1">
        <v>0</v>
      </c>
      <c r="CM2503" s="1" t="s">
        <v>104</v>
      </c>
    </row>
    <row r="2504" spans="1:91" ht="14.25" customHeight="1" x14ac:dyDescent="0.3">
      <c r="A2504" s="1" t="s">
        <v>12773</v>
      </c>
      <c r="B2504" s="1" t="s">
        <v>434</v>
      </c>
      <c r="E2504" s="1" t="s">
        <v>12774</v>
      </c>
      <c r="F2504" s="1" t="s">
        <v>191</v>
      </c>
      <c r="G2504" s="1" t="s">
        <v>1739</v>
      </c>
      <c r="H2504" s="1">
        <v>0</v>
      </c>
      <c r="I2504" s="1" t="s">
        <v>12775</v>
      </c>
      <c r="L2504" s="1" t="s">
        <v>12776</v>
      </c>
      <c r="M2504" s="1" t="s">
        <v>119</v>
      </c>
      <c r="N2504" s="1">
        <v>0</v>
      </c>
      <c r="O2504" s="1">
        <v>0</v>
      </c>
      <c r="P2504" s="1" t="s">
        <v>100</v>
      </c>
      <c r="Q2504" s="1" t="s">
        <v>101</v>
      </c>
      <c r="R2504" s="1" t="s">
        <v>12777</v>
      </c>
      <c r="S2504" s="1" t="s">
        <v>12702</v>
      </c>
      <c r="T2504" s="1">
        <v>1</v>
      </c>
      <c r="U2504" s="1">
        <v>1</v>
      </c>
      <c r="V2504" s="1">
        <v>1</v>
      </c>
      <c r="W2504" s="1">
        <v>0</v>
      </c>
      <c r="X2504" s="1">
        <v>0</v>
      </c>
      <c r="Y2504" s="1">
        <v>2</v>
      </c>
      <c r="Z2504" s="1">
        <v>2</v>
      </c>
      <c r="AA2504" s="1">
        <v>2</v>
      </c>
      <c r="AB2504" s="1" t="s">
        <v>104</v>
      </c>
      <c r="AC2504" s="1" t="s">
        <v>104</v>
      </c>
      <c r="AD2504" s="1" t="s">
        <v>104</v>
      </c>
      <c r="AE2504" s="1" t="s">
        <v>104</v>
      </c>
      <c r="AF2504" s="1" t="s">
        <v>104</v>
      </c>
      <c r="AG2504" s="1">
        <v>2</v>
      </c>
      <c r="AH2504" s="1">
        <v>2</v>
      </c>
      <c r="AI2504" s="1" t="s">
        <v>104</v>
      </c>
      <c r="AJ2504" s="1">
        <v>2</v>
      </c>
      <c r="AK2504" s="1" t="s">
        <v>104</v>
      </c>
      <c r="AL2504" s="1" t="s">
        <v>104</v>
      </c>
      <c r="AM2504" s="1" t="s">
        <v>104</v>
      </c>
      <c r="AO2504" s="1">
        <v>2</v>
      </c>
      <c r="AQ2504" s="1" t="s">
        <v>12778</v>
      </c>
      <c r="AR2504" s="1">
        <v>0</v>
      </c>
      <c r="AS2504" s="1">
        <v>0</v>
      </c>
      <c r="AT2504" s="1">
        <v>0</v>
      </c>
      <c r="AU2504" s="1">
        <v>0</v>
      </c>
      <c r="AV2504" s="1">
        <v>0</v>
      </c>
      <c r="AW2504" s="1">
        <v>0</v>
      </c>
      <c r="AX2504" s="1">
        <v>0</v>
      </c>
      <c r="AY2504" s="1">
        <v>0</v>
      </c>
      <c r="AZ2504" s="1">
        <v>0</v>
      </c>
      <c r="BA2504" s="1">
        <v>0</v>
      </c>
      <c r="BB2504" s="1">
        <v>0</v>
      </c>
      <c r="BC2504" s="1">
        <v>0</v>
      </c>
      <c r="BD2504" s="1">
        <v>0</v>
      </c>
      <c r="BE2504" s="1">
        <v>0</v>
      </c>
      <c r="BF2504" s="1">
        <v>0</v>
      </c>
      <c r="BG2504" s="1">
        <v>0</v>
      </c>
      <c r="BH2504" s="1">
        <v>0</v>
      </c>
      <c r="BI2504" s="1">
        <v>0</v>
      </c>
      <c r="BJ2504" s="1">
        <v>0</v>
      </c>
      <c r="BK2504" s="1">
        <v>0</v>
      </c>
      <c r="BL2504" s="1">
        <v>0</v>
      </c>
      <c r="BM2504" s="1">
        <v>0</v>
      </c>
      <c r="BN2504" s="1">
        <v>0</v>
      </c>
      <c r="BO2504" s="1">
        <v>0</v>
      </c>
      <c r="BP2504" s="1">
        <v>0</v>
      </c>
      <c r="BQ2504" s="1" t="s">
        <v>104</v>
      </c>
      <c r="BR2504" s="1">
        <v>2637</v>
      </c>
      <c r="BS2504" s="1" t="s">
        <v>104</v>
      </c>
      <c r="BX2504" s="1">
        <v>0</v>
      </c>
      <c r="BY2504" s="1" t="s">
        <v>104</v>
      </c>
      <c r="BZ2504" s="1">
        <v>2</v>
      </c>
      <c r="CA2504" s="1">
        <v>2</v>
      </c>
      <c r="CB2504" s="1">
        <v>1</v>
      </c>
      <c r="CC2504" s="1" t="s">
        <v>104</v>
      </c>
      <c r="CD2504" s="1">
        <v>2</v>
      </c>
      <c r="CE2504" s="1" t="s">
        <v>104</v>
      </c>
      <c r="CF2504" s="1" t="s">
        <v>104</v>
      </c>
      <c r="CG2504" s="1" t="s">
        <v>104</v>
      </c>
      <c r="CH2504" s="1" t="s">
        <v>104</v>
      </c>
      <c r="CJ2504" s="1">
        <v>0</v>
      </c>
      <c r="CK2504" s="1">
        <v>0</v>
      </c>
      <c r="CL2504" s="1">
        <v>0</v>
      </c>
      <c r="CM2504" s="1">
        <v>2</v>
      </c>
    </row>
    <row r="2505" spans="1:91" ht="14.25" customHeight="1" x14ac:dyDescent="0.3">
      <c r="A2505" s="1" t="s">
        <v>12779</v>
      </c>
      <c r="B2505" s="1" t="s">
        <v>434</v>
      </c>
      <c r="E2505" s="1" t="s">
        <v>12780</v>
      </c>
      <c r="F2505" s="1" t="s">
        <v>191</v>
      </c>
      <c r="G2505" s="1" t="s">
        <v>1739</v>
      </c>
      <c r="H2505" s="1">
        <v>0</v>
      </c>
      <c r="I2505" s="1" t="s">
        <v>12781</v>
      </c>
      <c r="L2505" s="1" t="s">
        <v>12782</v>
      </c>
      <c r="M2505" s="1" t="s">
        <v>119</v>
      </c>
      <c r="N2505" s="1">
        <v>0</v>
      </c>
      <c r="O2505" s="1">
        <v>0</v>
      </c>
      <c r="P2505" s="1" t="s">
        <v>100</v>
      </c>
      <c r="Q2505" s="1" t="s">
        <v>101</v>
      </c>
      <c r="R2505" s="1" t="s">
        <v>12783</v>
      </c>
      <c r="S2505" s="1" t="s">
        <v>12702</v>
      </c>
      <c r="T2505" s="1">
        <v>1</v>
      </c>
      <c r="U2505" s="1">
        <v>1</v>
      </c>
      <c r="V2505" s="1">
        <v>1</v>
      </c>
      <c r="W2505" s="1">
        <v>0</v>
      </c>
      <c r="X2505" s="1">
        <v>0</v>
      </c>
      <c r="Y2505" s="1">
        <v>3</v>
      </c>
      <c r="Z2505" s="1">
        <v>3</v>
      </c>
      <c r="AA2505" s="1">
        <v>3</v>
      </c>
      <c r="AB2505" s="1" t="s">
        <v>104</v>
      </c>
      <c r="AC2505" s="1" t="s">
        <v>104</v>
      </c>
      <c r="AD2505" s="1" t="s">
        <v>104</v>
      </c>
      <c r="AE2505" s="1" t="s">
        <v>104</v>
      </c>
      <c r="AF2505" s="1" t="s">
        <v>104</v>
      </c>
      <c r="AG2505" s="1">
        <v>3</v>
      </c>
      <c r="AH2505" s="1">
        <v>3</v>
      </c>
      <c r="AI2505" s="1" t="s">
        <v>104</v>
      </c>
      <c r="AJ2505" s="1">
        <v>3</v>
      </c>
      <c r="AK2505" s="1" t="s">
        <v>104</v>
      </c>
      <c r="AL2505" s="1" t="s">
        <v>104</v>
      </c>
      <c r="AM2505" s="1" t="s">
        <v>104</v>
      </c>
      <c r="AO2505" s="1">
        <v>3</v>
      </c>
      <c r="AQ2505" s="1" t="s">
        <v>12784</v>
      </c>
      <c r="AR2505" s="1">
        <v>0</v>
      </c>
      <c r="AS2505" s="1">
        <v>0</v>
      </c>
      <c r="AT2505" s="1">
        <v>0</v>
      </c>
      <c r="AU2505" s="1">
        <v>0</v>
      </c>
      <c r="AV2505" s="1">
        <v>0</v>
      </c>
      <c r="AW2505" s="1">
        <v>0</v>
      </c>
      <c r="AX2505" s="1">
        <v>0</v>
      </c>
      <c r="AY2505" s="1">
        <v>0</v>
      </c>
      <c r="AZ2505" s="1">
        <v>0</v>
      </c>
      <c r="BA2505" s="1">
        <v>0</v>
      </c>
      <c r="BB2505" s="1">
        <v>0</v>
      </c>
      <c r="BC2505" s="1">
        <v>0</v>
      </c>
      <c r="BD2505" s="1">
        <v>0</v>
      </c>
      <c r="BE2505" s="1">
        <v>0</v>
      </c>
      <c r="BF2505" s="1">
        <v>0</v>
      </c>
      <c r="BG2505" s="1">
        <v>0</v>
      </c>
      <c r="BH2505" s="1">
        <v>0</v>
      </c>
      <c r="BI2505" s="1">
        <v>0</v>
      </c>
      <c r="BJ2505" s="1">
        <v>0</v>
      </c>
      <c r="BK2505" s="1">
        <v>0</v>
      </c>
      <c r="BL2505" s="1">
        <v>0</v>
      </c>
      <c r="BM2505" s="1">
        <v>0</v>
      </c>
      <c r="BN2505" s="1">
        <v>0</v>
      </c>
      <c r="BO2505" s="1">
        <v>0</v>
      </c>
      <c r="BP2505" s="1">
        <v>0</v>
      </c>
      <c r="BQ2505" s="1" t="s">
        <v>104</v>
      </c>
      <c r="BR2505" s="1">
        <v>2638</v>
      </c>
      <c r="BS2505" s="1" t="s">
        <v>104</v>
      </c>
      <c r="BX2505" s="1">
        <v>0</v>
      </c>
      <c r="BY2505" s="1" t="s">
        <v>104</v>
      </c>
      <c r="BZ2505" s="1">
        <v>3</v>
      </c>
      <c r="CA2505" s="1">
        <v>3</v>
      </c>
      <c r="CB2505" s="1">
        <v>2</v>
      </c>
      <c r="CC2505" s="1" t="s">
        <v>104</v>
      </c>
      <c r="CD2505" s="1">
        <v>3</v>
      </c>
      <c r="CE2505" s="1" t="s">
        <v>104</v>
      </c>
      <c r="CF2505" s="1" t="s">
        <v>104</v>
      </c>
      <c r="CG2505" s="1" t="s">
        <v>104</v>
      </c>
      <c r="CH2505" s="1" t="s">
        <v>104</v>
      </c>
      <c r="CJ2505" s="1">
        <v>0</v>
      </c>
      <c r="CK2505" s="1">
        <v>0</v>
      </c>
      <c r="CL2505" s="1">
        <v>0</v>
      </c>
      <c r="CM2505" s="1">
        <v>3</v>
      </c>
    </row>
    <row r="2506" spans="1:91" ht="14.25" customHeight="1" x14ac:dyDescent="0.3">
      <c r="A2506" s="1" t="s">
        <v>12785</v>
      </c>
      <c r="B2506" s="1" t="s">
        <v>434</v>
      </c>
      <c r="E2506" s="1" t="s">
        <v>12786</v>
      </c>
      <c r="F2506" s="1" t="s">
        <v>191</v>
      </c>
      <c r="G2506" s="1" t="s">
        <v>1739</v>
      </c>
      <c r="H2506" s="1">
        <v>0</v>
      </c>
      <c r="I2506" s="1" t="s">
        <v>12781</v>
      </c>
      <c r="L2506" s="1" t="s">
        <v>12787</v>
      </c>
      <c r="M2506" s="1" t="s">
        <v>119</v>
      </c>
      <c r="N2506" s="1">
        <v>0</v>
      </c>
      <c r="O2506" s="1">
        <v>0</v>
      </c>
      <c r="P2506" s="1" t="s">
        <v>100</v>
      </c>
      <c r="Q2506" s="1" t="s">
        <v>101</v>
      </c>
      <c r="R2506" s="1" t="s">
        <v>12788</v>
      </c>
      <c r="S2506" s="1" t="s">
        <v>12702</v>
      </c>
      <c r="T2506" s="1">
        <v>1</v>
      </c>
      <c r="U2506" s="1">
        <v>1</v>
      </c>
      <c r="V2506" s="1">
        <v>1</v>
      </c>
      <c r="W2506" s="1">
        <v>0</v>
      </c>
      <c r="X2506" s="1">
        <v>0</v>
      </c>
      <c r="Y2506" s="1">
        <v>5</v>
      </c>
      <c r="Z2506" s="1">
        <v>5</v>
      </c>
      <c r="AA2506" s="1">
        <v>5</v>
      </c>
      <c r="AB2506" s="1" t="s">
        <v>104</v>
      </c>
      <c r="AC2506" s="1" t="s">
        <v>104</v>
      </c>
      <c r="AD2506" s="1" t="s">
        <v>104</v>
      </c>
      <c r="AE2506" s="1" t="s">
        <v>104</v>
      </c>
      <c r="AF2506" s="1" t="s">
        <v>104</v>
      </c>
      <c r="AG2506" s="1">
        <v>4</v>
      </c>
      <c r="AH2506" s="1">
        <v>5</v>
      </c>
      <c r="AI2506" s="1" t="s">
        <v>104</v>
      </c>
      <c r="AJ2506" s="1">
        <v>5</v>
      </c>
      <c r="AK2506" s="1" t="s">
        <v>104</v>
      </c>
      <c r="AL2506" s="1" t="s">
        <v>104</v>
      </c>
      <c r="AM2506" s="1" t="s">
        <v>104</v>
      </c>
      <c r="AO2506" s="1">
        <v>5</v>
      </c>
      <c r="AQ2506" s="1" t="s">
        <v>12789</v>
      </c>
      <c r="AR2506" s="1">
        <v>0</v>
      </c>
      <c r="AS2506" s="1">
        <v>0</v>
      </c>
      <c r="AT2506" s="1">
        <v>0</v>
      </c>
      <c r="AU2506" s="1">
        <v>0</v>
      </c>
      <c r="AV2506" s="1">
        <v>0</v>
      </c>
      <c r="AW2506" s="1">
        <v>0</v>
      </c>
      <c r="AX2506" s="1">
        <v>0</v>
      </c>
      <c r="AY2506" s="1">
        <v>0</v>
      </c>
      <c r="AZ2506" s="1">
        <v>0</v>
      </c>
      <c r="BA2506" s="1">
        <v>0</v>
      </c>
      <c r="BB2506" s="1">
        <v>0</v>
      </c>
      <c r="BC2506" s="1">
        <v>0</v>
      </c>
      <c r="BD2506" s="1">
        <v>0</v>
      </c>
      <c r="BE2506" s="1">
        <v>0</v>
      </c>
      <c r="BF2506" s="1">
        <v>0</v>
      </c>
      <c r="BG2506" s="1">
        <v>0</v>
      </c>
      <c r="BH2506" s="1">
        <v>0</v>
      </c>
      <c r="BI2506" s="1">
        <v>0</v>
      </c>
      <c r="BJ2506" s="1">
        <v>0</v>
      </c>
      <c r="BK2506" s="1">
        <v>0</v>
      </c>
      <c r="BL2506" s="1">
        <v>0</v>
      </c>
      <c r="BM2506" s="1">
        <v>0</v>
      </c>
      <c r="BN2506" s="1">
        <v>0</v>
      </c>
      <c r="BO2506" s="1">
        <v>0</v>
      </c>
      <c r="BP2506" s="1">
        <v>0</v>
      </c>
      <c r="BQ2506" s="1" t="s">
        <v>104</v>
      </c>
      <c r="BR2506" s="1">
        <v>2639</v>
      </c>
      <c r="BS2506" s="1" t="s">
        <v>104</v>
      </c>
      <c r="BX2506" s="1">
        <v>0</v>
      </c>
      <c r="BY2506" s="1" t="s">
        <v>104</v>
      </c>
      <c r="BZ2506" s="1">
        <v>5</v>
      </c>
      <c r="CA2506" s="1">
        <v>5</v>
      </c>
      <c r="CB2506" s="1">
        <v>3</v>
      </c>
      <c r="CC2506" s="1" t="s">
        <v>104</v>
      </c>
      <c r="CD2506" s="1">
        <v>4</v>
      </c>
      <c r="CE2506" s="1" t="s">
        <v>104</v>
      </c>
      <c r="CF2506" s="1" t="s">
        <v>104</v>
      </c>
      <c r="CG2506" s="1" t="s">
        <v>104</v>
      </c>
      <c r="CH2506" s="1" t="s">
        <v>104</v>
      </c>
      <c r="CJ2506" s="1">
        <v>0</v>
      </c>
      <c r="CK2506" s="1">
        <v>0</v>
      </c>
      <c r="CL2506" s="1">
        <v>0</v>
      </c>
      <c r="CM2506" s="1">
        <v>4</v>
      </c>
    </row>
    <row r="2507" spans="1:91" ht="14.25" customHeight="1" x14ac:dyDescent="0.3">
      <c r="A2507" s="1" t="s">
        <v>12790</v>
      </c>
      <c r="B2507" s="1" t="s">
        <v>434</v>
      </c>
      <c r="E2507" s="1" t="s">
        <v>12791</v>
      </c>
      <c r="F2507" s="1" t="s">
        <v>191</v>
      </c>
      <c r="G2507" s="1" t="s">
        <v>1739</v>
      </c>
      <c r="H2507" s="1">
        <v>0</v>
      </c>
      <c r="I2507" s="1" t="s">
        <v>12792</v>
      </c>
      <c r="L2507" s="1" t="s">
        <v>12793</v>
      </c>
      <c r="M2507" s="1" t="s">
        <v>119</v>
      </c>
      <c r="N2507" s="1">
        <v>0</v>
      </c>
      <c r="O2507" s="1">
        <v>0</v>
      </c>
      <c r="P2507" s="1" t="s">
        <v>100</v>
      </c>
      <c r="Q2507" s="1" t="s">
        <v>101</v>
      </c>
      <c r="R2507" s="1" t="s">
        <v>12794</v>
      </c>
      <c r="S2507" s="1" t="s">
        <v>12702</v>
      </c>
      <c r="T2507" s="1">
        <v>1</v>
      </c>
      <c r="U2507" s="1">
        <v>1</v>
      </c>
      <c r="V2507" s="1">
        <v>1</v>
      </c>
      <c r="W2507" s="1">
        <v>0</v>
      </c>
      <c r="X2507" s="1">
        <v>0</v>
      </c>
      <c r="Y2507" s="1">
        <v>7</v>
      </c>
      <c r="Z2507" s="1">
        <v>7</v>
      </c>
      <c r="AA2507" s="1">
        <v>7</v>
      </c>
      <c r="AB2507" s="1" t="s">
        <v>104</v>
      </c>
      <c r="AC2507" s="1" t="s">
        <v>104</v>
      </c>
      <c r="AD2507" s="1" t="s">
        <v>104</v>
      </c>
      <c r="AE2507" s="1" t="s">
        <v>104</v>
      </c>
      <c r="AF2507" s="1" t="s">
        <v>104</v>
      </c>
      <c r="AG2507" s="1">
        <v>6</v>
      </c>
      <c r="AH2507" s="1">
        <v>7</v>
      </c>
      <c r="AI2507" s="1" t="s">
        <v>104</v>
      </c>
      <c r="AJ2507" s="1">
        <v>7</v>
      </c>
      <c r="AK2507" s="1" t="s">
        <v>104</v>
      </c>
      <c r="AL2507" s="1" t="s">
        <v>104</v>
      </c>
      <c r="AM2507" s="1" t="s">
        <v>104</v>
      </c>
      <c r="AO2507" s="1">
        <v>7</v>
      </c>
      <c r="AQ2507" s="1" t="s">
        <v>12795</v>
      </c>
      <c r="AR2507" s="1">
        <v>0</v>
      </c>
      <c r="AS2507" s="1">
        <v>0</v>
      </c>
      <c r="AT2507" s="1">
        <v>0</v>
      </c>
      <c r="AU2507" s="1">
        <v>0</v>
      </c>
      <c r="AV2507" s="1">
        <v>0</v>
      </c>
      <c r="AW2507" s="1">
        <v>0</v>
      </c>
      <c r="AX2507" s="1">
        <v>0</v>
      </c>
      <c r="AY2507" s="1">
        <v>0</v>
      </c>
      <c r="AZ2507" s="1">
        <v>0</v>
      </c>
      <c r="BA2507" s="1">
        <v>0</v>
      </c>
      <c r="BB2507" s="1">
        <v>0</v>
      </c>
      <c r="BC2507" s="1">
        <v>0</v>
      </c>
      <c r="BD2507" s="1">
        <v>0</v>
      </c>
      <c r="BE2507" s="1">
        <v>0</v>
      </c>
      <c r="BF2507" s="1">
        <v>0</v>
      </c>
      <c r="BG2507" s="1">
        <v>0</v>
      </c>
      <c r="BH2507" s="1">
        <v>0</v>
      </c>
      <c r="BI2507" s="1">
        <v>0</v>
      </c>
      <c r="BJ2507" s="1">
        <v>0</v>
      </c>
      <c r="BK2507" s="1">
        <v>0</v>
      </c>
      <c r="BL2507" s="1">
        <v>0</v>
      </c>
      <c r="BM2507" s="1">
        <v>0</v>
      </c>
      <c r="BN2507" s="1">
        <v>0</v>
      </c>
      <c r="BO2507" s="1">
        <v>0</v>
      </c>
      <c r="BP2507" s="1">
        <v>0</v>
      </c>
      <c r="BQ2507" s="1" t="s">
        <v>104</v>
      </c>
      <c r="BR2507" s="1">
        <v>2640</v>
      </c>
      <c r="BS2507" s="1" t="s">
        <v>104</v>
      </c>
      <c r="BX2507" s="1">
        <v>0</v>
      </c>
      <c r="BY2507" s="1" t="s">
        <v>104</v>
      </c>
      <c r="BZ2507" s="1">
        <v>7</v>
      </c>
      <c r="CA2507" s="1">
        <v>7</v>
      </c>
      <c r="CB2507" s="1">
        <v>4</v>
      </c>
      <c r="CC2507" s="1" t="s">
        <v>104</v>
      </c>
      <c r="CD2507" s="1">
        <v>6</v>
      </c>
      <c r="CE2507" s="1" t="s">
        <v>104</v>
      </c>
      <c r="CF2507" s="1" t="s">
        <v>104</v>
      </c>
      <c r="CG2507" s="1" t="s">
        <v>104</v>
      </c>
      <c r="CH2507" s="1" t="s">
        <v>104</v>
      </c>
      <c r="CJ2507" s="1">
        <v>0</v>
      </c>
      <c r="CK2507" s="1">
        <v>0</v>
      </c>
      <c r="CL2507" s="1">
        <v>0</v>
      </c>
      <c r="CM2507" s="1">
        <v>6</v>
      </c>
    </row>
    <row r="2508" spans="1:91" ht="14.25" customHeight="1" x14ac:dyDescent="0.3">
      <c r="A2508" s="1" t="s">
        <v>12796</v>
      </c>
      <c r="B2508" s="1" t="s">
        <v>92</v>
      </c>
      <c r="C2508" s="1" t="s">
        <v>1160</v>
      </c>
      <c r="D2508" s="1" t="s">
        <v>12797</v>
      </c>
      <c r="E2508" s="1" t="s">
        <v>12798</v>
      </c>
      <c r="F2508" s="1" t="s">
        <v>95</v>
      </c>
      <c r="G2508" s="1" t="s">
        <v>12799</v>
      </c>
      <c r="H2508" s="1">
        <v>0</v>
      </c>
      <c r="I2508" s="1" t="s">
        <v>12800</v>
      </c>
      <c r="L2508" s="1" t="s">
        <v>158</v>
      </c>
      <c r="M2508" s="1" t="s">
        <v>426</v>
      </c>
      <c r="N2508" s="1">
        <v>1</v>
      </c>
      <c r="O2508" s="1">
        <v>0</v>
      </c>
      <c r="P2508" s="1" t="s">
        <v>100</v>
      </c>
      <c r="Q2508" s="1" t="s">
        <v>101</v>
      </c>
      <c r="R2508" s="1" t="s">
        <v>12801</v>
      </c>
      <c r="S2508" s="1" t="s">
        <v>12702</v>
      </c>
      <c r="T2508" s="1">
        <v>1</v>
      </c>
      <c r="U2508" s="1">
        <v>1</v>
      </c>
      <c r="V2508" s="1">
        <v>1</v>
      </c>
      <c r="W2508" s="1">
        <v>0</v>
      </c>
      <c r="X2508" s="1">
        <v>1</v>
      </c>
      <c r="Y2508" s="1">
        <v>6</v>
      </c>
      <c r="Z2508" s="1">
        <v>6</v>
      </c>
      <c r="AA2508" s="1">
        <v>6</v>
      </c>
      <c r="AB2508" s="1" t="s">
        <v>104</v>
      </c>
      <c r="AC2508" s="1" t="s">
        <v>104</v>
      </c>
      <c r="AD2508" s="1" t="s">
        <v>104</v>
      </c>
      <c r="AE2508" s="1" t="s">
        <v>104</v>
      </c>
      <c r="AF2508" s="1" t="s">
        <v>104</v>
      </c>
      <c r="AG2508" s="1" t="s">
        <v>104</v>
      </c>
      <c r="AH2508" s="1">
        <v>6</v>
      </c>
      <c r="AI2508" s="1">
        <v>6</v>
      </c>
      <c r="AJ2508" s="1">
        <v>6</v>
      </c>
      <c r="AK2508" s="1">
        <v>4</v>
      </c>
      <c r="AL2508" s="1">
        <v>6</v>
      </c>
      <c r="AM2508" s="1" t="s">
        <v>104</v>
      </c>
      <c r="AO2508" s="1">
        <v>6</v>
      </c>
      <c r="AQ2508" s="1" t="s">
        <v>12802</v>
      </c>
      <c r="AR2508" s="1">
        <v>0</v>
      </c>
      <c r="AS2508" s="1">
        <v>0</v>
      </c>
      <c r="AT2508" s="1">
        <v>0</v>
      </c>
      <c r="AU2508" s="1">
        <v>0</v>
      </c>
      <c r="AV2508" s="1">
        <v>0</v>
      </c>
      <c r="AW2508" s="1">
        <v>0</v>
      </c>
      <c r="AX2508" s="1">
        <v>0</v>
      </c>
      <c r="AY2508" s="1">
        <v>0</v>
      </c>
      <c r="AZ2508" s="1">
        <v>0</v>
      </c>
      <c r="BA2508" s="1">
        <v>0</v>
      </c>
      <c r="BB2508" s="1">
        <v>0</v>
      </c>
      <c r="BC2508" s="1">
        <v>1</v>
      </c>
      <c r="BD2508" s="1">
        <v>1</v>
      </c>
      <c r="BE2508" s="1">
        <v>0</v>
      </c>
      <c r="BF2508" s="1">
        <v>0</v>
      </c>
      <c r="BG2508" s="1">
        <v>0</v>
      </c>
      <c r="BH2508" s="1">
        <v>0</v>
      </c>
      <c r="BI2508" s="1">
        <v>0</v>
      </c>
      <c r="BJ2508" s="1">
        <v>0</v>
      </c>
      <c r="BK2508" s="1">
        <v>1</v>
      </c>
      <c r="BL2508" s="1">
        <v>0</v>
      </c>
      <c r="BM2508" s="1">
        <v>0</v>
      </c>
      <c r="BN2508" s="1">
        <v>0</v>
      </c>
      <c r="BO2508" s="1">
        <v>0</v>
      </c>
      <c r="BP2508" s="1">
        <v>0</v>
      </c>
      <c r="BQ2508" s="1" t="s">
        <v>104</v>
      </c>
      <c r="BR2508" s="1">
        <v>2641</v>
      </c>
      <c r="BS2508" s="1" t="s">
        <v>104</v>
      </c>
      <c r="BX2508" s="1">
        <v>0</v>
      </c>
      <c r="BY2508" s="1" t="s">
        <v>104</v>
      </c>
      <c r="BZ2508" s="1">
        <v>6</v>
      </c>
      <c r="CA2508" s="1">
        <v>6</v>
      </c>
      <c r="CB2508" s="1" t="s">
        <v>104</v>
      </c>
      <c r="CC2508" s="1" t="s">
        <v>104</v>
      </c>
      <c r="CD2508" s="1" t="s">
        <v>104</v>
      </c>
      <c r="CE2508" s="1" t="s">
        <v>104</v>
      </c>
      <c r="CF2508" s="1" t="s">
        <v>104</v>
      </c>
      <c r="CG2508" s="1" t="s">
        <v>104</v>
      </c>
      <c r="CH2508" s="1" t="s">
        <v>104</v>
      </c>
      <c r="CJ2508" s="1">
        <v>0</v>
      </c>
      <c r="CK2508" s="1">
        <v>0</v>
      </c>
      <c r="CL2508" s="1">
        <v>0</v>
      </c>
      <c r="CM2508" s="1" t="s">
        <v>104</v>
      </c>
    </row>
    <row r="2509" spans="1:91" ht="14.25" customHeight="1" x14ac:dyDescent="0.3">
      <c r="A2509" s="1" t="s">
        <v>12803</v>
      </c>
      <c r="B2509" s="1" t="s">
        <v>137</v>
      </c>
      <c r="D2509" s="1" t="s">
        <v>12804</v>
      </c>
      <c r="E2509" s="1" t="s">
        <v>12805</v>
      </c>
      <c r="F2509" s="1" t="s">
        <v>287</v>
      </c>
      <c r="G2509" s="1" t="s">
        <v>12806</v>
      </c>
      <c r="H2509" s="1">
        <v>1</v>
      </c>
      <c r="I2509" s="1" t="s">
        <v>128</v>
      </c>
      <c r="J2509" s="1" t="s">
        <v>12807</v>
      </c>
      <c r="M2509" s="1" t="s">
        <v>493</v>
      </c>
      <c r="N2509" s="1">
        <v>1</v>
      </c>
      <c r="O2509" s="1">
        <v>0</v>
      </c>
      <c r="P2509" s="1" t="s">
        <v>100</v>
      </c>
      <c r="Q2509" s="1" t="s">
        <v>101</v>
      </c>
      <c r="R2509" s="1" t="s">
        <v>12808</v>
      </c>
      <c r="S2509" s="1" t="s">
        <v>12702</v>
      </c>
      <c r="T2509" s="1">
        <v>1</v>
      </c>
      <c r="U2509" s="1">
        <v>1</v>
      </c>
      <c r="V2509" s="1">
        <v>0</v>
      </c>
      <c r="W2509" s="1">
        <v>0</v>
      </c>
      <c r="X2509" s="1">
        <v>0</v>
      </c>
      <c r="Y2509" s="1">
        <v>9</v>
      </c>
      <c r="Z2509" s="1">
        <v>9</v>
      </c>
      <c r="AA2509" s="1" t="s">
        <v>104</v>
      </c>
      <c r="AB2509" s="1">
        <v>9</v>
      </c>
      <c r="AC2509" s="1" t="s">
        <v>104</v>
      </c>
      <c r="AD2509" s="1" t="s">
        <v>104</v>
      </c>
      <c r="AE2509" s="1" t="s">
        <v>104</v>
      </c>
      <c r="AF2509" s="1" t="s">
        <v>104</v>
      </c>
      <c r="AG2509" s="1" t="s">
        <v>104</v>
      </c>
      <c r="AH2509" s="1">
        <v>9</v>
      </c>
      <c r="AI2509" s="1" t="s">
        <v>104</v>
      </c>
      <c r="AJ2509" s="1" t="s">
        <v>104</v>
      </c>
      <c r="AK2509" s="1" t="s">
        <v>104</v>
      </c>
      <c r="AL2509" s="1" t="s">
        <v>104</v>
      </c>
      <c r="AM2509" s="1" t="s">
        <v>104</v>
      </c>
      <c r="AO2509" s="1">
        <v>9</v>
      </c>
      <c r="AQ2509" s="1" t="s">
        <v>12809</v>
      </c>
      <c r="AR2509" s="1">
        <v>0</v>
      </c>
      <c r="AS2509" s="1">
        <v>0</v>
      </c>
      <c r="AT2509" s="1">
        <v>0</v>
      </c>
      <c r="AU2509" s="1">
        <v>0</v>
      </c>
      <c r="AV2509" s="1">
        <v>1</v>
      </c>
      <c r="AW2509" s="1">
        <v>1</v>
      </c>
      <c r="AX2509" s="1">
        <v>0</v>
      </c>
      <c r="AY2509" s="1">
        <v>0</v>
      </c>
      <c r="AZ2509" s="1">
        <v>0</v>
      </c>
      <c r="BA2509" s="1">
        <v>0</v>
      </c>
      <c r="BB2509" s="1">
        <v>0</v>
      </c>
      <c r="BC2509" s="1">
        <v>0</v>
      </c>
      <c r="BD2509" s="1">
        <v>0</v>
      </c>
      <c r="BE2509" s="1">
        <v>0</v>
      </c>
      <c r="BF2509" s="1">
        <v>0</v>
      </c>
      <c r="BG2509" s="1">
        <v>0</v>
      </c>
      <c r="BH2509" s="1">
        <v>0</v>
      </c>
      <c r="BI2509" s="1">
        <v>0</v>
      </c>
      <c r="BJ2509" s="1">
        <v>0</v>
      </c>
      <c r="BK2509" s="1">
        <v>0</v>
      </c>
      <c r="BL2509" s="1">
        <v>0</v>
      </c>
      <c r="BM2509" s="1">
        <v>0</v>
      </c>
      <c r="BN2509" s="1">
        <v>0</v>
      </c>
      <c r="BO2509" s="1">
        <v>0</v>
      </c>
      <c r="BP2509" s="1">
        <v>0</v>
      </c>
      <c r="BQ2509" s="1" t="s">
        <v>104</v>
      </c>
      <c r="BR2509" s="1">
        <v>2642</v>
      </c>
      <c r="BS2509" s="1">
        <v>15000</v>
      </c>
      <c r="BX2509" s="1">
        <v>0</v>
      </c>
      <c r="BY2509" s="1" t="s">
        <v>104</v>
      </c>
      <c r="BZ2509" s="1">
        <v>9</v>
      </c>
      <c r="CA2509" s="1" t="s">
        <v>104</v>
      </c>
      <c r="CB2509" s="1" t="s">
        <v>104</v>
      </c>
      <c r="CC2509" s="1" t="s">
        <v>104</v>
      </c>
      <c r="CD2509" s="1" t="s">
        <v>104</v>
      </c>
      <c r="CE2509" s="1" t="s">
        <v>104</v>
      </c>
      <c r="CF2509" s="1" t="s">
        <v>104</v>
      </c>
      <c r="CG2509" s="1" t="s">
        <v>104</v>
      </c>
      <c r="CH2509" s="1" t="s">
        <v>104</v>
      </c>
      <c r="CJ2509" s="1">
        <v>0</v>
      </c>
      <c r="CK2509" s="1">
        <v>0</v>
      </c>
      <c r="CL2509" s="1">
        <v>0</v>
      </c>
      <c r="CM2509" s="1" t="s">
        <v>104</v>
      </c>
    </row>
    <row r="2510" spans="1:91" ht="14.25" customHeight="1" x14ac:dyDescent="0.3">
      <c r="A2510" s="1" t="s">
        <v>12810</v>
      </c>
      <c r="B2510" s="1" t="s">
        <v>434</v>
      </c>
      <c r="D2510" s="1" t="s">
        <v>12804</v>
      </c>
      <c r="E2510" s="1" t="s">
        <v>8837</v>
      </c>
      <c r="F2510" s="1" t="s">
        <v>287</v>
      </c>
      <c r="G2510" s="1" t="s">
        <v>12811</v>
      </c>
      <c r="H2510" s="1">
        <v>1</v>
      </c>
      <c r="I2510" s="1" t="s">
        <v>128</v>
      </c>
      <c r="J2510" s="1" t="s">
        <v>6113</v>
      </c>
      <c r="M2510" s="1" t="s">
        <v>493</v>
      </c>
      <c r="N2510" s="1">
        <v>1</v>
      </c>
      <c r="O2510" s="1">
        <v>0</v>
      </c>
      <c r="P2510" s="1" t="s">
        <v>12812</v>
      </c>
      <c r="Q2510" s="1" t="s">
        <v>101</v>
      </c>
      <c r="R2510" s="1" t="s">
        <v>12813</v>
      </c>
      <c r="S2510" s="1" t="s">
        <v>12702</v>
      </c>
      <c r="T2510" s="1">
        <v>1</v>
      </c>
      <c r="U2510" s="1">
        <v>1</v>
      </c>
      <c r="V2510" s="1">
        <v>0</v>
      </c>
      <c r="W2510" s="1">
        <v>0</v>
      </c>
      <c r="X2510" s="1">
        <v>0</v>
      </c>
      <c r="Y2510" s="1">
        <v>8</v>
      </c>
      <c r="Z2510" s="1">
        <v>8</v>
      </c>
      <c r="AA2510" s="1">
        <v>8</v>
      </c>
      <c r="AB2510" s="1">
        <v>8</v>
      </c>
      <c r="AC2510" s="1" t="s">
        <v>104</v>
      </c>
      <c r="AD2510" s="1" t="s">
        <v>104</v>
      </c>
      <c r="AE2510" s="1" t="s">
        <v>104</v>
      </c>
      <c r="AF2510" s="1" t="s">
        <v>104</v>
      </c>
      <c r="AG2510" s="1" t="s">
        <v>104</v>
      </c>
      <c r="AH2510" s="1">
        <v>8</v>
      </c>
      <c r="AI2510" s="1" t="s">
        <v>104</v>
      </c>
      <c r="AJ2510" s="1">
        <v>8</v>
      </c>
      <c r="AK2510" s="1" t="s">
        <v>104</v>
      </c>
      <c r="AL2510" s="1" t="s">
        <v>104</v>
      </c>
      <c r="AM2510" s="1" t="s">
        <v>104</v>
      </c>
      <c r="AO2510" s="1">
        <v>8</v>
      </c>
      <c r="AQ2510" s="1" t="s">
        <v>12814</v>
      </c>
      <c r="AR2510" s="1">
        <v>0</v>
      </c>
      <c r="AS2510" s="1">
        <v>0</v>
      </c>
      <c r="AT2510" s="1">
        <v>0</v>
      </c>
      <c r="AU2510" s="1">
        <v>0</v>
      </c>
      <c r="AV2510" s="1">
        <v>1</v>
      </c>
      <c r="AW2510" s="1">
        <v>1</v>
      </c>
      <c r="AX2510" s="1">
        <v>0</v>
      </c>
      <c r="AY2510" s="1">
        <v>0</v>
      </c>
      <c r="AZ2510" s="1">
        <v>0</v>
      </c>
      <c r="BA2510" s="1">
        <v>0</v>
      </c>
      <c r="BB2510" s="1">
        <v>0</v>
      </c>
      <c r="BC2510" s="1">
        <v>0</v>
      </c>
      <c r="BD2510" s="1">
        <v>0</v>
      </c>
      <c r="BE2510" s="1">
        <v>0</v>
      </c>
      <c r="BF2510" s="1">
        <v>0</v>
      </c>
      <c r="BG2510" s="1">
        <v>0</v>
      </c>
      <c r="BH2510" s="1">
        <v>0</v>
      </c>
      <c r="BI2510" s="1">
        <v>0</v>
      </c>
      <c r="BJ2510" s="1">
        <v>0</v>
      </c>
      <c r="BK2510" s="1">
        <v>0</v>
      </c>
      <c r="BL2510" s="1">
        <v>0</v>
      </c>
      <c r="BM2510" s="1">
        <v>0</v>
      </c>
      <c r="BN2510" s="1">
        <v>0</v>
      </c>
      <c r="BO2510" s="1">
        <v>0</v>
      </c>
      <c r="BP2510" s="1">
        <v>0</v>
      </c>
      <c r="BQ2510" s="1" t="s">
        <v>104</v>
      </c>
      <c r="BR2510" s="1">
        <v>2643</v>
      </c>
      <c r="BS2510" s="1">
        <v>10000</v>
      </c>
      <c r="BX2510" s="1">
        <v>0</v>
      </c>
      <c r="BY2510" s="1" t="s">
        <v>104</v>
      </c>
      <c r="BZ2510" s="1" t="s">
        <v>104</v>
      </c>
      <c r="CA2510" s="1" t="s">
        <v>104</v>
      </c>
      <c r="CB2510" s="1" t="s">
        <v>104</v>
      </c>
      <c r="CC2510" s="1" t="s">
        <v>104</v>
      </c>
      <c r="CD2510" s="1" t="s">
        <v>104</v>
      </c>
      <c r="CE2510" s="1" t="s">
        <v>104</v>
      </c>
      <c r="CF2510" s="1" t="s">
        <v>104</v>
      </c>
      <c r="CG2510" s="1" t="s">
        <v>104</v>
      </c>
      <c r="CH2510" s="1" t="s">
        <v>104</v>
      </c>
      <c r="CJ2510" s="1">
        <v>0</v>
      </c>
      <c r="CK2510" s="1">
        <v>0</v>
      </c>
      <c r="CL2510" s="1">
        <v>0</v>
      </c>
      <c r="CM2510" s="1" t="s">
        <v>104</v>
      </c>
    </row>
    <row r="2511" spans="1:91" ht="14.25" customHeight="1" x14ac:dyDescent="0.3">
      <c r="A2511" s="1" t="s">
        <v>12815</v>
      </c>
      <c r="B2511" s="1" t="s">
        <v>216</v>
      </c>
      <c r="D2511" s="1" t="s">
        <v>12816</v>
      </c>
      <c r="E2511" s="1" t="s">
        <v>12817</v>
      </c>
      <c r="F2511" s="1" t="s">
        <v>287</v>
      </c>
      <c r="G2511" s="1" t="s">
        <v>12818</v>
      </c>
      <c r="H2511" s="1">
        <v>1</v>
      </c>
      <c r="I2511" s="1" t="s">
        <v>128</v>
      </c>
      <c r="J2511" s="1" t="s">
        <v>12819</v>
      </c>
      <c r="M2511" s="1" t="s">
        <v>12820</v>
      </c>
      <c r="N2511" s="1">
        <v>1</v>
      </c>
      <c r="O2511" s="1">
        <v>0</v>
      </c>
      <c r="P2511" s="1" t="s">
        <v>100</v>
      </c>
      <c r="Q2511" s="1" t="s">
        <v>101</v>
      </c>
      <c r="R2511" s="1" t="s">
        <v>12821</v>
      </c>
      <c r="S2511" s="1" t="s">
        <v>12702</v>
      </c>
      <c r="T2511" s="1">
        <v>1</v>
      </c>
      <c r="U2511" s="1">
        <v>1</v>
      </c>
      <c r="V2511" s="1">
        <v>1</v>
      </c>
      <c r="W2511" s="1">
        <v>0</v>
      </c>
      <c r="X2511" s="1">
        <v>0</v>
      </c>
      <c r="Y2511" s="1">
        <v>2</v>
      </c>
      <c r="Z2511" s="1">
        <v>2</v>
      </c>
      <c r="AA2511" s="1">
        <v>2</v>
      </c>
      <c r="AB2511" s="1">
        <v>2</v>
      </c>
      <c r="AC2511" s="1" t="s">
        <v>104</v>
      </c>
      <c r="AD2511" s="1" t="s">
        <v>104</v>
      </c>
      <c r="AE2511" s="1" t="s">
        <v>104</v>
      </c>
      <c r="AF2511" s="1" t="s">
        <v>104</v>
      </c>
      <c r="AG2511" s="1" t="s">
        <v>104</v>
      </c>
      <c r="AH2511" s="1">
        <v>2</v>
      </c>
      <c r="AI2511" s="1" t="s">
        <v>104</v>
      </c>
      <c r="AJ2511" s="1">
        <v>2</v>
      </c>
      <c r="AK2511" s="1" t="s">
        <v>104</v>
      </c>
      <c r="AL2511" s="1" t="s">
        <v>104</v>
      </c>
      <c r="AM2511" s="1" t="s">
        <v>104</v>
      </c>
      <c r="AO2511" s="1">
        <v>2</v>
      </c>
      <c r="AQ2511" s="1" t="s">
        <v>12822</v>
      </c>
      <c r="AR2511" s="1">
        <v>0</v>
      </c>
      <c r="AS2511" s="1">
        <v>0</v>
      </c>
      <c r="AT2511" s="1">
        <v>0</v>
      </c>
      <c r="AU2511" s="1">
        <v>0</v>
      </c>
      <c r="AV2511" s="1">
        <v>1</v>
      </c>
      <c r="AW2511" s="1">
        <v>0</v>
      </c>
      <c r="AX2511" s="1">
        <v>0</v>
      </c>
      <c r="AY2511" s="1">
        <v>0</v>
      </c>
      <c r="AZ2511" s="1">
        <v>0</v>
      </c>
      <c r="BA2511" s="1">
        <v>0</v>
      </c>
      <c r="BB2511" s="1">
        <v>0</v>
      </c>
      <c r="BC2511" s="1">
        <v>1</v>
      </c>
      <c r="BD2511" s="1">
        <v>0</v>
      </c>
      <c r="BE2511" s="1">
        <v>0</v>
      </c>
      <c r="BF2511" s="1">
        <v>0</v>
      </c>
      <c r="BG2511" s="1">
        <v>0</v>
      </c>
      <c r="BH2511" s="1">
        <v>0</v>
      </c>
      <c r="BI2511" s="1">
        <v>0</v>
      </c>
      <c r="BJ2511" s="1">
        <v>0</v>
      </c>
      <c r="BK2511" s="1">
        <v>0</v>
      </c>
      <c r="BL2511" s="1">
        <v>0</v>
      </c>
      <c r="BM2511" s="1">
        <v>0</v>
      </c>
      <c r="BN2511" s="1">
        <v>0</v>
      </c>
      <c r="BO2511" s="1">
        <v>0</v>
      </c>
      <c r="BP2511" s="1">
        <v>0</v>
      </c>
      <c r="BQ2511" s="1" t="s">
        <v>104</v>
      </c>
      <c r="BR2511" s="1">
        <v>2644</v>
      </c>
      <c r="BS2511" s="1">
        <v>350</v>
      </c>
      <c r="BX2511" s="1">
        <v>0</v>
      </c>
      <c r="BY2511" s="1" t="s">
        <v>104</v>
      </c>
      <c r="BZ2511" s="1">
        <v>2</v>
      </c>
      <c r="CA2511" s="1" t="s">
        <v>104</v>
      </c>
      <c r="CB2511" s="1" t="s">
        <v>104</v>
      </c>
      <c r="CC2511" s="1" t="s">
        <v>104</v>
      </c>
      <c r="CD2511" s="1" t="s">
        <v>104</v>
      </c>
      <c r="CE2511" s="1" t="s">
        <v>104</v>
      </c>
      <c r="CF2511" s="1" t="s">
        <v>104</v>
      </c>
      <c r="CG2511" s="1" t="s">
        <v>104</v>
      </c>
      <c r="CH2511" s="1">
        <v>2</v>
      </c>
      <c r="CJ2511" s="1">
        <v>0</v>
      </c>
      <c r="CK2511" s="1">
        <v>0</v>
      </c>
      <c r="CL2511" s="1">
        <v>0</v>
      </c>
      <c r="CM2511" s="1" t="s">
        <v>104</v>
      </c>
    </row>
    <row r="2512" spans="1:91" ht="14.25" customHeight="1" x14ac:dyDescent="0.3">
      <c r="A2512" s="1" t="s">
        <v>12823</v>
      </c>
      <c r="B2512" s="1" t="s">
        <v>216</v>
      </c>
      <c r="D2512" s="1" t="s">
        <v>12816</v>
      </c>
      <c r="E2512" s="1" t="s">
        <v>12824</v>
      </c>
      <c r="F2512" s="1" t="s">
        <v>287</v>
      </c>
      <c r="G2512" s="1" t="s">
        <v>12825</v>
      </c>
      <c r="H2512" s="1">
        <v>1</v>
      </c>
      <c r="I2512" s="1" t="s">
        <v>128</v>
      </c>
      <c r="J2512" s="1" t="s">
        <v>6113</v>
      </c>
      <c r="M2512" s="1" t="s">
        <v>12820</v>
      </c>
      <c r="N2512" s="1">
        <v>1</v>
      </c>
      <c r="O2512" s="1">
        <v>0</v>
      </c>
      <c r="P2512" s="1" t="s">
        <v>100</v>
      </c>
      <c r="Q2512" s="1" t="s">
        <v>101</v>
      </c>
      <c r="R2512" s="1" t="s">
        <v>12826</v>
      </c>
      <c r="S2512" s="1" t="s">
        <v>12702</v>
      </c>
      <c r="T2512" s="1">
        <v>1</v>
      </c>
      <c r="U2512" s="1">
        <v>1</v>
      </c>
      <c r="V2512" s="1">
        <v>1</v>
      </c>
      <c r="W2512" s="1">
        <v>0</v>
      </c>
      <c r="X2512" s="1">
        <v>0</v>
      </c>
      <c r="Y2512" s="1">
        <v>4</v>
      </c>
      <c r="Z2512" s="1">
        <v>4</v>
      </c>
      <c r="AA2512" s="1">
        <v>4</v>
      </c>
      <c r="AB2512" s="1">
        <v>4</v>
      </c>
      <c r="AC2512" s="1" t="s">
        <v>104</v>
      </c>
      <c r="AD2512" s="1" t="s">
        <v>104</v>
      </c>
      <c r="AE2512" s="1" t="s">
        <v>104</v>
      </c>
      <c r="AF2512" s="1" t="s">
        <v>104</v>
      </c>
      <c r="AG2512" s="1" t="s">
        <v>104</v>
      </c>
      <c r="AH2512" s="1">
        <v>4</v>
      </c>
      <c r="AI2512" s="1" t="s">
        <v>104</v>
      </c>
      <c r="AJ2512" s="1">
        <v>4</v>
      </c>
      <c r="AK2512" s="1" t="s">
        <v>104</v>
      </c>
      <c r="AL2512" s="1" t="s">
        <v>104</v>
      </c>
      <c r="AM2512" s="1" t="s">
        <v>104</v>
      </c>
      <c r="AO2512" s="1">
        <v>4</v>
      </c>
      <c r="AQ2512" s="1" t="s">
        <v>12827</v>
      </c>
      <c r="AR2512" s="1">
        <v>0</v>
      </c>
      <c r="AS2512" s="1">
        <v>0</v>
      </c>
      <c r="AT2512" s="1">
        <v>0</v>
      </c>
      <c r="AU2512" s="1">
        <v>0</v>
      </c>
      <c r="AV2512" s="1">
        <v>1</v>
      </c>
      <c r="AW2512" s="1">
        <v>0</v>
      </c>
      <c r="AX2512" s="1">
        <v>0</v>
      </c>
      <c r="AY2512" s="1">
        <v>0</v>
      </c>
      <c r="AZ2512" s="1">
        <v>0</v>
      </c>
      <c r="BA2512" s="1">
        <v>0</v>
      </c>
      <c r="BB2512" s="1">
        <v>0</v>
      </c>
      <c r="BC2512" s="1">
        <v>1</v>
      </c>
      <c r="BD2512" s="1">
        <v>0</v>
      </c>
      <c r="BE2512" s="1">
        <v>0</v>
      </c>
      <c r="BF2512" s="1">
        <v>0</v>
      </c>
      <c r="BG2512" s="1">
        <v>0</v>
      </c>
      <c r="BH2512" s="1">
        <v>0</v>
      </c>
      <c r="BI2512" s="1">
        <v>0</v>
      </c>
      <c r="BJ2512" s="1">
        <v>0</v>
      </c>
      <c r="BK2512" s="1">
        <v>0</v>
      </c>
      <c r="BL2512" s="1">
        <v>0</v>
      </c>
      <c r="BM2512" s="1">
        <v>0</v>
      </c>
      <c r="BN2512" s="1">
        <v>0</v>
      </c>
      <c r="BO2512" s="1">
        <v>0</v>
      </c>
      <c r="BP2512" s="1">
        <v>0</v>
      </c>
      <c r="BQ2512" s="1" t="s">
        <v>104</v>
      </c>
      <c r="BR2512" s="1">
        <v>2645</v>
      </c>
      <c r="BS2512" s="1">
        <v>700</v>
      </c>
      <c r="BX2512" s="1">
        <v>0</v>
      </c>
      <c r="BY2512" s="1" t="s">
        <v>104</v>
      </c>
      <c r="BZ2512" s="1">
        <v>4</v>
      </c>
      <c r="CA2512" s="1" t="s">
        <v>104</v>
      </c>
      <c r="CB2512" s="1" t="s">
        <v>104</v>
      </c>
      <c r="CC2512" s="1" t="s">
        <v>104</v>
      </c>
      <c r="CD2512" s="1" t="s">
        <v>104</v>
      </c>
      <c r="CE2512" s="1" t="s">
        <v>104</v>
      </c>
      <c r="CF2512" s="1" t="s">
        <v>104</v>
      </c>
      <c r="CG2512" s="1" t="s">
        <v>104</v>
      </c>
      <c r="CH2512" s="1">
        <v>4</v>
      </c>
      <c r="CJ2512" s="1">
        <v>0</v>
      </c>
      <c r="CK2512" s="1">
        <v>0</v>
      </c>
      <c r="CL2512" s="1">
        <v>0</v>
      </c>
      <c r="CM2512" s="1" t="s">
        <v>104</v>
      </c>
    </row>
    <row r="2513" spans="1:91" ht="14.25" customHeight="1" x14ac:dyDescent="0.3">
      <c r="A2513" s="1" t="s">
        <v>12828</v>
      </c>
      <c r="B2513" s="1" t="s">
        <v>216</v>
      </c>
      <c r="D2513" s="1" t="s">
        <v>12816</v>
      </c>
      <c r="E2513" s="1" t="s">
        <v>12829</v>
      </c>
      <c r="F2513" s="1" t="s">
        <v>287</v>
      </c>
      <c r="G2513" s="1" t="s">
        <v>12830</v>
      </c>
      <c r="H2513" s="1">
        <v>1</v>
      </c>
      <c r="I2513" s="1" t="s">
        <v>128</v>
      </c>
      <c r="J2513" s="1" t="s">
        <v>12831</v>
      </c>
      <c r="M2513" s="1" t="s">
        <v>12820</v>
      </c>
      <c r="N2513" s="1">
        <v>1</v>
      </c>
      <c r="O2513" s="1">
        <v>0</v>
      </c>
      <c r="P2513" s="1" t="s">
        <v>100</v>
      </c>
      <c r="Q2513" s="1" t="s">
        <v>101</v>
      </c>
      <c r="R2513" s="1" t="s">
        <v>12832</v>
      </c>
      <c r="S2513" s="1" t="s">
        <v>12702</v>
      </c>
      <c r="T2513" s="1">
        <v>1</v>
      </c>
      <c r="U2513" s="1">
        <v>1</v>
      </c>
      <c r="V2513" s="1">
        <v>1</v>
      </c>
      <c r="W2513" s="1">
        <v>0</v>
      </c>
      <c r="X2513" s="1">
        <v>0</v>
      </c>
      <c r="Y2513" s="1">
        <v>6</v>
      </c>
      <c r="Z2513" s="1">
        <v>6</v>
      </c>
      <c r="AA2513" s="1">
        <v>6</v>
      </c>
      <c r="AB2513" s="1">
        <v>6</v>
      </c>
      <c r="AC2513" s="1" t="s">
        <v>104</v>
      </c>
      <c r="AD2513" s="1" t="s">
        <v>104</v>
      </c>
      <c r="AE2513" s="1" t="s">
        <v>104</v>
      </c>
      <c r="AF2513" s="1" t="s">
        <v>104</v>
      </c>
      <c r="AG2513" s="1" t="s">
        <v>104</v>
      </c>
      <c r="AH2513" s="1">
        <v>6</v>
      </c>
      <c r="AI2513" s="1" t="s">
        <v>104</v>
      </c>
      <c r="AJ2513" s="1">
        <v>6</v>
      </c>
      <c r="AK2513" s="1" t="s">
        <v>104</v>
      </c>
      <c r="AL2513" s="1" t="s">
        <v>104</v>
      </c>
      <c r="AM2513" s="1" t="s">
        <v>104</v>
      </c>
      <c r="AO2513" s="1">
        <v>6</v>
      </c>
      <c r="AQ2513" s="1" t="s">
        <v>12833</v>
      </c>
      <c r="AR2513" s="1">
        <v>0</v>
      </c>
      <c r="AS2513" s="1">
        <v>0</v>
      </c>
      <c r="AT2513" s="1">
        <v>0</v>
      </c>
      <c r="AU2513" s="1">
        <v>0</v>
      </c>
      <c r="AV2513" s="1">
        <v>1</v>
      </c>
      <c r="AW2513" s="1">
        <v>0</v>
      </c>
      <c r="AX2513" s="1">
        <v>0</v>
      </c>
      <c r="AY2513" s="1">
        <v>0</v>
      </c>
      <c r="AZ2513" s="1">
        <v>0</v>
      </c>
      <c r="BA2513" s="1">
        <v>0</v>
      </c>
      <c r="BB2513" s="1">
        <v>0</v>
      </c>
      <c r="BC2513" s="1">
        <v>1</v>
      </c>
      <c r="BD2513" s="1">
        <v>0</v>
      </c>
      <c r="BE2513" s="1">
        <v>0</v>
      </c>
      <c r="BF2513" s="1">
        <v>0</v>
      </c>
      <c r="BG2513" s="1">
        <v>0</v>
      </c>
      <c r="BH2513" s="1">
        <v>0</v>
      </c>
      <c r="BI2513" s="1">
        <v>0</v>
      </c>
      <c r="BJ2513" s="1">
        <v>0</v>
      </c>
      <c r="BK2513" s="1">
        <v>0</v>
      </c>
      <c r="BL2513" s="1">
        <v>0</v>
      </c>
      <c r="BM2513" s="1">
        <v>0</v>
      </c>
      <c r="BN2513" s="1">
        <v>0</v>
      </c>
      <c r="BO2513" s="1">
        <v>0</v>
      </c>
      <c r="BP2513" s="1">
        <v>0</v>
      </c>
      <c r="BQ2513" s="1" t="s">
        <v>104</v>
      </c>
      <c r="BR2513" s="1">
        <v>2646</v>
      </c>
      <c r="BS2513" s="1">
        <v>1500</v>
      </c>
      <c r="BX2513" s="1">
        <v>0</v>
      </c>
      <c r="BY2513" s="1" t="s">
        <v>104</v>
      </c>
      <c r="BZ2513" s="1">
        <v>6</v>
      </c>
      <c r="CA2513" s="1" t="s">
        <v>104</v>
      </c>
      <c r="CB2513" s="1" t="s">
        <v>104</v>
      </c>
      <c r="CC2513" s="1" t="s">
        <v>104</v>
      </c>
      <c r="CD2513" s="1" t="s">
        <v>104</v>
      </c>
      <c r="CE2513" s="1" t="s">
        <v>104</v>
      </c>
      <c r="CF2513" s="1" t="s">
        <v>104</v>
      </c>
      <c r="CG2513" s="1" t="s">
        <v>104</v>
      </c>
      <c r="CH2513" s="1">
        <v>6</v>
      </c>
      <c r="CJ2513" s="1">
        <v>0</v>
      </c>
      <c r="CK2513" s="1">
        <v>0</v>
      </c>
      <c r="CL2513" s="1">
        <v>0</v>
      </c>
      <c r="CM2513" s="1" t="s">
        <v>104</v>
      </c>
    </row>
    <row r="2514" spans="1:91" ht="14.25" customHeight="1" x14ac:dyDescent="0.3">
      <c r="A2514" s="1" t="s">
        <v>12834</v>
      </c>
      <c r="B2514" s="1" t="s">
        <v>216</v>
      </c>
      <c r="D2514" s="1" t="s">
        <v>12816</v>
      </c>
      <c r="E2514" s="1" t="s">
        <v>12835</v>
      </c>
      <c r="F2514" s="1" t="s">
        <v>287</v>
      </c>
      <c r="G2514" s="1" t="s">
        <v>12836</v>
      </c>
      <c r="H2514" s="1">
        <v>1</v>
      </c>
      <c r="I2514" s="1" t="s">
        <v>128</v>
      </c>
      <c r="J2514" s="1" t="s">
        <v>12831</v>
      </c>
      <c r="M2514" s="1" t="s">
        <v>12820</v>
      </c>
      <c r="N2514" s="1">
        <v>1</v>
      </c>
      <c r="O2514" s="1">
        <v>0</v>
      </c>
      <c r="P2514" s="1" t="s">
        <v>100</v>
      </c>
      <c r="Q2514" s="1" t="s">
        <v>101</v>
      </c>
      <c r="R2514" s="1" t="s">
        <v>12837</v>
      </c>
      <c r="S2514" s="1" t="s">
        <v>12702</v>
      </c>
      <c r="T2514" s="1">
        <v>1</v>
      </c>
      <c r="U2514" s="1">
        <v>1</v>
      </c>
      <c r="V2514" s="1">
        <v>1</v>
      </c>
      <c r="W2514" s="1">
        <v>0</v>
      </c>
      <c r="X2514" s="1">
        <v>0</v>
      </c>
      <c r="Y2514" s="1">
        <v>8</v>
      </c>
      <c r="Z2514" s="1">
        <v>8</v>
      </c>
      <c r="AA2514" s="1">
        <v>8</v>
      </c>
      <c r="AB2514" s="1">
        <v>8</v>
      </c>
      <c r="AC2514" s="1" t="s">
        <v>104</v>
      </c>
      <c r="AD2514" s="1" t="s">
        <v>104</v>
      </c>
      <c r="AE2514" s="1" t="s">
        <v>104</v>
      </c>
      <c r="AF2514" s="1" t="s">
        <v>104</v>
      </c>
      <c r="AG2514" s="1" t="s">
        <v>104</v>
      </c>
      <c r="AH2514" s="1">
        <v>8</v>
      </c>
      <c r="AI2514" s="1" t="s">
        <v>104</v>
      </c>
      <c r="AJ2514" s="1">
        <v>8</v>
      </c>
      <c r="AK2514" s="1" t="s">
        <v>104</v>
      </c>
      <c r="AL2514" s="1" t="s">
        <v>104</v>
      </c>
      <c r="AM2514" s="1" t="s">
        <v>104</v>
      </c>
      <c r="AO2514" s="1">
        <v>8</v>
      </c>
      <c r="AQ2514" s="1" t="s">
        <v>12838</v>
      </c>
      <c r="AR2514" s="1">
        <v>0</v>
      </c>
      <c r="AS2514" s="1">
        <v>0</v>
      </c>
      <c r="AT2514" s="1">
        <v>0</v>
      </c>
      <c r="AU2514" s="1">
        <v>0</v>
      </c>
      <c r="AV2514" s="1">
        <v>1</v>
      </c>
      <c r="AW2514" s="1">
        <v>0</v>
      </c>
      <c r="AX2514" s="1">
        <v>0</v>
      </c>
      <c r="AY2514" s="1">
        <v>0</v>
      </c>
      <c r="AZ2514" s="1">
        <v>0</v>
      </c>
      <c r="BA2514" s="1">
        <v>0</v>
      </c>
      <c r="BB2514" s="1">
        <v>0</v>
      </c>
      <c r="BC2514" s="1">
        <v>1</v>
      </c>
      <c r="BD2514" s="1">
        <v>0</v>
      </c>
      <c r="BE2514" s="1">
        <v>0</v>
      </c>
      <c r="BF2514" s="1">
        <v>0</v>
      </c>
      <c r="BG2514" s="1">
        <v>0</v>
      </c>
      <c r="BH2514" s="1">
        <v>0</v>
      </c>
      <c r="BI2514" s="1">
        <v>0</v>
      </c>
      <c r="BJ2514" s="1">
        <v>0</v>
      </c>
      <c r="BK2514" s="1">
        <v>0</v>
      </c>
      <c r="BL2514" s="1">
        <v>0</v>
      </c>
      <c r="BM2514" s="1">
        <v>0</v>
      </c>
      <c r="BN2514" s="1">
        <v>0</v>
      </c>
      <c r="BO2514" s="1">
        <v>0</v>
      </c>
      <c r="BP2514" s="1">
        <v>0</v>
      </c>
      <c r="BQ2514" s="1" t="s">
        <v>104</v>
      </c>
      <c r="BR2514" s="1">
        <v>2647</v>
      </c>
      <c r="BS2514" s="1">
        <v>4000</v>
      </c>
      <c r="BX2514" s="1">
        <v>0</v>
      </c>
      <c r="BY2514" s="1" t="s">
        <v>104</v>
      </c>
      <c r="BZ2514" s="1">
        <v>8</v>
      </c>
      <c r="CA2514" s="1" t="s">
        <v>104</v>
      </c>
      <c r="CB2514" s="1" t="s">
        <v>104</v>
      </c>
      <c r="CC2514" s="1" t="s">
        <v>104</v>
      </c>
      <c r="CD2514" s="1" t="s">
        <v>104</v>
      </c>
      <c r="CE2514" s="1" t="s">
        <v>104</v>
      </c>
      <c r="CF2514" s="1" t="s">
        <v>104</v>
      </c>
      <c r="CG2514" s="1" t="s">
        <v>104</v>
      </c>
      <c r="CH2514" s="1" t="s">
        <v>104</v>
      </c>
      <c r="CJ2514" s="1">
        <v>0</v>
      </c>
      <c r="CK2514" s="1">
        <v>0</v>
      </c>
      <c r="CL2514" s="1">
        <v>0</v>
      </c>
      <c r="CM2514" s="1" t="s">
        <v>104</v>
      </c>
    </row>
    <row r="2515" spans="1:91" ht="14.25" customHeight="1" x14ac:dyDescent="0.3">
      <c r="A2515" s="1" t="s">
        <v>12839</v>
      </c>
      <c r="B2515" s="1" t="s">
        <v>434</v>
      </c>
      <c r="D2515" s="1" t="s">
        <v>58</v>
      </c>
      <c r="E2515" s="1" t="s">
        <v>10432</v>
      </c>
      <c r="F2515" s="1" t="s">
        <v>95</v>
      </c>
      <c r="G2515" s="1" t="s">
        <v>12840</v>
      </c>
      <c r="H2515" s="1">
        <v>0</v>
      </c>
      <c r="J2515" s="1" t="s">
        <v>4508</v>
      </c>
      <c r="M2515" s="1" t="s">
        <v>119</v>
      </c>
      <c r="N2515" s="1">
        <v>0</v>
      </c>
      <c r="O2515" s="1">
        <v>0</v>
      </c>
      <c r="P2515" s="1" t="s">
        <v>2127</v>
      </c>
      <c r="Q2515" s="1" t="s">
        <v>184</v>
      </c>
      <c r="R2515" s="1" t="s">
        <v>12841</v>
      </c>
      <c r="S2515" s="1" t="s">
        <v>12702</v>
      </c>
      <c r="T2515" s="1">
        <v>1</v>
      </c>
      <c r="U2515" s="1">
        <v>1</v>
      </c>
      <c r="V2515" s="1">
        <v>1</v>
      </c>
      <c r="W2515" s="1">
        <v>0</v>
      </c>
      <c r="X2515" s="1">
        <v>1</v>
      </c>
      <c r="Y2515" s="1" t="s">
        <v>104</v>
      </c>
      <c r="Z2515" s="1" t="s">
        <v>104</v>
      </c>
      <c r="AA2515" s="1">
        <v>3</v>
      </c>
      <c r="AB2515" s="1" t="s">
        <v>104</v>
      </c>
      <c r="AC2515" s="1" t="s">
        <v>104</v>
      </c>
      <c r="AD2515" s="1" t="s">
        <v>104</v>
      </c>
      <c r="AE2515" s="1">
        <v>3</v>
      </c>
      <c r="AF2515" s="1" t="s">
        <v>104</v>
      </c>
      <c r="AG2515" s="1" t="s">
        <v>104</v>
      </c>
      <c r="AH2515" s="1" t="s">
        <v>104</v>
      </c>
      <c r="AI2515" s="1">
        <v>3</v>
      </c>
      <c r="AJ2515" s="1">
        <v>3</v>
      </c>
      <c r="AK2515" s="1" t="s">
        <v>104</v>
      </c>
      <c r="AL2515" s="1" t="s">
        <v>104</v>
      </c>
      <c r="AM2515" s="1" t="s">
        <v>104</v>
      </c>
      <c r="AO2515" s="1">
        <v>3</v>
      </c>
      <c r="AQ2515" s="1" t="s">
        <v>12842</v>
      </c>
      <c r="AR2515" s="1">
        <v>0</v>
      </c>
      <c r="AS2515" s="1">
        <v>0</v>
      </c>
      <c r="AT2515" s="1">
        <v>0</v>
      </c>
      <c r="AU2515" s="1">
        <v>0</v>
      </c>
      <c r="AV2515" s="1">
        <v>0</v>
      </c>
      <c r="AW2515" s="1">
        <v>0</v>
      </c>
      <c r="AX2515" s="1">
        <v>0</v>
      </c>
      <c r="AY2515" s="1">
        <v>0</v>
      </c>
      <c r="AZ2515" s="1">
        <v>0</v>
      </c>
      <c r="BA2515" s="1">
        <v>0</v>
      </c>
      <c r="BB2515" s="1">
        <v>0</v>
      </c>
      <c r="BC2515" s="1">
        <v>0</v>
      </c>
      <c r="BD2515" s="1">
        <v>0</v>
      </c>
      <c r="BE2515" s="1">
        <v>0</v>
      </c>
      <c r="BF2515" s="1">
        <v>0</v>
      </c>
      <c r="BG2515" s="1">
        <v>1</v>
      </c>
      <c r="BH2515" s="1">
        <v>0</v>
      </c>
      <c r="BI2515" s="1">
        <v>0</v>
      </c>
      <c r="BJ2515" s="1">
        <v>0</v>
      </c>
      <c r="BK2515" s="1">
        <v>0</v>
      </c>
      <c r="BL2515" s="1">
        <v>0</v>
      </c>
      <c r="BM2515" s="1">
        <v>0</v>
      </c>
      <c r="BN2515" s="1">
        <v>0</v>
      </c>
      <c r="BO2515" s="1">
        <v>0</v>
      </c>
      <c r="BP2515" s="1">
        <v>0</v>
      </c>
      <c r="BQ2515" s="1" t="s">
        <v>104</v>
      </c>
      <c r="BR2515" s="1">
        <v>2648</v>
      </c>
      <c r="BS2515" s="1" t="s">
        <v>104</v>
      </c>
      <c r="BX2515" s="1">
        <v>0</v>
      </c>
      <c r="BY2515" s="1" t="s">
        <v>104</v>
      </c>
      <c r="BZ2515" s="1" t="s">
        <v>104</v>
      </c>
      <c r="CA2515" s="1" t="s">
        <v>104</v>
      </c>
      <c r="CB2515" s="1" t="s">
        <v>104</v>
      </c>
      <c r="CC2515" s="1" t="s">
        <v>104</v>
      </c>
      <c r="CD2515" s="1" t="s">
        <v>104</v>
      </c>
      <c r="CE2515" s="1" t="s">
        <v>104</v>
      </c>
      <c r="CF2515" s="1" t="s">
        <v>104</v>
      </c>
      <c r="CG2515" s="1" t="s">
        <v>104</v>
      </c>
      <c r="CH2515" s="1" t="s">
        <v>104</v>
      </c>
      <c r="CJ2515" s="1">
        <v>0</v>
      </c>
      <c r="CK2515" s="1">
        <v>0</v>
      </c>
      <c r="CL2515" s="1">
        <v>0</v>
      </c>
      <c r="CM2515" s="1" t="s">
        <v>104</v>
      </c>
    </row>
    <row r="2516" spans="1:91" ht="14.25" customHeight="1" x14ac:dyDescent="0.3">
      <c r="A2516" s="1" t="s">
        <v>12843</v>
      </c>
      <c r="B2516" s="1" t="s">
        <v>216</v>
      </c>
      <c r="D2516" s="1" t="s">
        <v>1015</v>
      </c>
      <c r="E2516" s="1" t="s">
        <v>12844</v>
      </c>
      <c r="F2516" s="1" t="s">
        <v>95</v>
      </c>
      <c r="G2516" s="1" t="s">
        <v>116</v>
      </c>
      <c r="H2516" s="1">
        <v>0</v>
      </c>
      <c r="I2516" s="1" t="s">
        <v>117</v>
      </c>
      <c r="L2516" s="1" t="s">
        <v>417</v>
      </c>
      <c r="M2516" s="1" t="s">
        <v>119</v>
      </c>
      <c r="N2516" s="1">
        <v>0</v>
      </c>
      <c r="O2516" s="1">
        <v>0</v>
      </c>
      <c r="P2516" s="1" t="s">
        <v>6205</v>
      </c>
      <c r="Q2516" s="1" t="s">
        <v>184</v>
      </c>
      <c r="R2516" s="1" t="s">
        <v>12845</v>
      </c>
      <c r="S2516" s="1" t="s">
        <v>12702</v>
      </c>
      <c r="T2516" s="1">
        <v>1</v>
      </c>
      <c r="U2516" s="1">
        <v>1</v>
      </c>
      <c r="V2516" s="1">
        <v>0</v>
      </c>
      <c r="W2516" s="1">
        <v>0</v>
      </c>
      <c r="X2516" s="1">
        <v>0</v>
      </c>
      <c r="Y2516" s="1">
        <v>8</v>
      </c>
      <c r="Z2516" s="1">
        <v>8</v>
      </c>
      <c r="AA2516" s="1">
        <v>8</v>
      </c>
      <c r="AB2516" s="1">
        <v>9</v>
      </c>
      <c r="AC2516" s="1" t="s">
        <v>104</v>
      </c>
      <c r="AD2516" s="1" t="s">
        <v>104</v>
      </c>
      <c r="AE2516" s="1" t="s">
        <v>104</v>
      </c>
      <c r="AF2516" s="1" t="s">
        <v>104</v>
      </c>
      <c r="AG2516" s="1" t="s">
        <v>104</v>
      </c>
      <c r="AH2516" s="1">
        <v>8</v>
      </c>
      <c r="AI2516" s="1" t="s">
        <v>104</v>
      </c>
      <c r="AJ2516" s="1">
        <v>8</v>
      </c>
      <c r="AK2516" s="1" t="s">
        <v>104</v>
      </c>
      <c r="AL2516" s="1" t="s">
        <v>104</v>
      </c>
      <c r="AM2516" s="1" t="s">
        <v>104</v>
      </c>
      <c r="AO2516" s="1">
        <v>8</v>
      </c>
      <c r="AQ2516" s="1" t="s">
        <v>12846</v>
      </c>
      <c r="AR2516" s="1">
        <v>0</v>
      </c>
      <c r="AS2516" s="1">
        <v>0</v>
      </c>
      <c r="AT2516" s="1">
        <v>0</v>
      </c>
      <c r="AU2516" s="1">
        <v>0</v>
      </c>
      <c r="AV2516" s="1">
        <v>0</v>
      </c>
      <c r="AW2516" s="1">
        <v>0</v>
      </c>
      <c r="AX2516" s="1">
        <v>1</v>
      </c>
      <c r="AY2516" s="1">
        <v>0</v>
      </c>
      <c r="AZ2516" s="1">
        <v>0</v>
      </c>
      <c r="BA2516" s="1">
        <v>0</v>
      </c>
      <c r="BB2516" s="1">
        <v>0</v>
      </c>
      <c r="BC2516" s="1">
        <v>1</v>
      </c>
      <c r="BD2516" s="1">
        <v>0</v>
      </c>
      <c r="BE2516" s="1">
        <v>0</v>
      </c>
      <c r="BF2516" s="1">
        <v>0</v>
      </c>
      <c r="BG2516" s="1">
        <v>0</v>
      </c>
      <c r="BH2516" s="1">
        <v>0</v>
      </c>
      <c r="BI2516" s="1">
        <v>0</v>
      </c>
      <c r="BJ2516" s="1">
        <v>0</v>
      </c>
      <c r="BK2516" s="1">
        <v>0</v>
      </c>
      <c r="BL2516" s="1">
        <v>0</v>
      </c>
      <c r="BM2516" s="1">
        <v>0</v>
      </c>
      <c r="BN2516" s="1">
        <v>0</v>
      </c>
      <c r="BO2516" s="1">
        <v>0</v>
      </c>
      <c r="BP2516" s="1">
        <v>0</v>
      </c>
      <c r="BQ2516" s="1" t="s">
        <v>104</v>
      </c>
      <c r="BR2516" s="1">
        <v>2649</v>
      </c>
      <c r="BS2516" s="1" t="s">
        <v>104</v>
      </c>
      <c r="BX2516" s="1">
        <v>0</v>
      </c>
      <c r="BY2516" s="1" t="s">
        <v>104</v>
      </c>
      <c r="BZ2516" s="1" t="s">
        <v>104</v>
      </c>
      <c r="CA2516" s="1">
        <v>8</v>
      </c>
      <c r="CB2516" s="1" t="s">
        <v>104</v>
      </c>
      <c r="CC2516" s="1" t="s">
        <v>104</v>
      </c>
      <c r="CD2516" s="1" t="s">
        <v>104</v>
      </c>
      <c r="CE2516" s="1" t="s">
        <v>104</v>
      </c>
      <c r="CF2516" s="1" t="s">
        <v>104</v>
      </c>
      <c r="CG2516" s="1" t="s">
        <v>104</v>
      </c>
      <c r="CH2516" s="1" t="s">
        <v>104</v>
      </c>
      <c r="CJ2516" s="1">
        <v>0</v>
      </c>
      <c r="CK2516" s="1">
        <v>0</v>
      </c>
      <c r="CL2516" s="1">
        <v>0</v>
      </c>
      <c r="CM2516" s="1" t="s">
        <v>104</v>
      </c>
    </row>
    <row r="2517" spans="1:91" ht="14.25" customHeight="1" x14ac:dyDescent="0.3">
      <c r="A2517" s="1" t="s">
        <v>12847</v>
      </c>
      <c r="B2517" s="1" t="s">
        <v>434</v>
      </c>
      <c r="E2517" s="1" t="s">
        <v>12848</v>
      </c>
      <c r="F2517" s="1" t="s">
        <v>1502</v>
      </c>
      <c r="G2517" s="1" t="s">
        <v>12849</v>
      </c>
      <c r="H2517" s="1">
        <v>0</v>
      </c>
      <c r="I2517" s="1" t="s">
        <v>117</v>
      </c>
      <c r="L2517" s="1" t="s">
        <v>8917</v>
      </c>
      <c r="M2517" s="1" t="s">
        <v>119</v>
      </c>
      <c r="N2517" s="1">
        <v>0</v>
      </c>
      <c r="O2517" s="1">
        <v>0</v>
      </c>
      <c r="P2517" s="1" t="s">
        <v>6205</v>
      </c>
      <c r="Q2517" s="1" t="s">
        <v>184</v>
      </c>
      <c r="R2517" s="1" t="s">
        <v>12850</v>
      </c>
      <c r="S2517" s="1" t="s">
        <v>12702</v>
      </c>
      <c r="T2517" s="1">
        <v>1</v>
      </c>
      <c r="U2517" s="1">
        <v>1</v>
      </c>
      <c r="V2517" s="1">
        <v>0</v>
      </c>
      <c r="W2517" s="1">
        <v>0</v>
      </c>
      <c r="X2517" s="1">
        <v>0</v>
      </c>
      <c r="Y2517" s="1">
        <v>6</v>
      </c>
      <c r="Z2517" s="1">
        <v>6</v>
      </c>
      <c r="AA2517" s="1" t="s">
        <v>104</v>
      </c>
      <c r="AB2517" s="1" t="s">
        <v>104</v>
      </c>
      <c r="AC2517" s="1" t="s">
        <v>104</v>
      </c>
      <c r="AD2517" s="1" t="s">
        <v>104</v>
      </c>
      <c r="AE2517" s="1" t="s">
        <v>104</v>
      </c>
      <c r="AF2517" s="1" t="s">
        <v>104</v>
      </c>
      <c r="AG2517" s="1" t="s">
        <v>104</v>
      </c>
      <c r="AH2517" s="1" t="s">
        <v>104</v>
      </c>
      <c r="AI2517" s="1">
        <v>5</v>
      </c>
      <c r="AJ2517" s="1" t="s">
        <v>104</v>
      </c>
      <c r="AK2517" s="1" t="s">
        <v>104</v>
      </c>
      <c r="AL2517" s="1">
        <v>6</v>
      </c>
      <c r="AM2517" s="1" t="s">
        <v>104</v>
      </c>
      <c r="AO2517" s="1">
        <v>6</v>
      </c>
      <c r="AQ2517" s="1" t="s">
        <v>12851</v>
      </c>
      <c r="AR2517" s="1">
        <v>0</v>
      </c>
      <c r="AS2517" s="1">
        <v>0</v>
      </c>
      <c r="AT2517" s="1">
        <v>0</v>
      </c>
      <c r="AU2517" s="1">
        <v>0</v>
      </c>
      <c r="AV2517" s="1">
        <v>0</v>
      </c>
      <c r="AW2517" s="1">
        <v>0</v>
      </c>
      <c r="AX2517" s="1">
        <v>0</v>
      </c>
      <c r="AY2517" s="1">
        <v>0</v>
      </c>
      <c r="AZ2517" s="1">
        <v>0</v>
      </c>
      <c r="BA2517" s="1">
        <v>0</v>
      </c>
      <c r="BB2517" s="1">
        <v>0</v>
      </c>
      <c r="BC2517" s="1">
        <v>0</v>
      </c>
      <c r="BD2517" s="1">
        <v>0</v>
      </c>
      <c r="BE2517" s="1">
        <v>0</v>
      </c>
      <c r="BF2517" s="1">
        <v>0</v>
      </c>
      <c r="BG2517" s="1">
        <v>0</v>
      </c>
      <c r="BH2517" s="1">
        <v>0</v>
      </c>
      <c r="BI2517" s="1">
        <v>0</v>
      </c>
      <c r="BJ2517" s="1">
        <v>0</v>
      </c>
      <c r="BK2517" s="1">
        <v>0</v>
      </c>
      <c r="BL2517" s="1">
        <v>0</v>
      </c>
      <c r="BM2517" s="1">
        <v>0</v>
      </c>
      <c r="BN2517" s="1">
        <v>0</v>
      </c>
      <c r="BO2517" s="1">
        <v>0</v>
      </c>
      <c r="BP2517" s="1">
        <v>0</v>
      </c>
      <c r="BQ2517" s="1" t="s">
        <v>104</v>
      </c>
      <c r="BR2517" s="1">
        <v>2650</v>
      </c>
      <c r="BS2517" s="1" t="s">
        <v>104</v>
      </c>
      <c r="BX2517" s="1">
        <v>0</v>
      </c>
      <c r="BY2517" s="1" t="s">
        <v>104</v>
      </c>
      <c r="BZ2517" s="1" t="s">
        <v>104</v>
      </c>
      <c r="CA2517" s="1">
        <v>6</v>
      </c>
      <c r="CB2517" s="1" t="s">
        <v>104</v>
      </c>
      <c r="CC2517" s="1" t="s">
        <v>104</v>
      </c>
      <c r="CD2517" s="1" t="s">
        <v>104</v>
      </c>
      <c r="CE2517" s="1" t="s">
        <v>104</v>
      </c>
      <c r="CF2517" s="1" t="s">
        <v>104</v>
      </c>
      <c r="CG2517" s="1" t="s">
        <v>104</v>
      </c>
      <c r="CH2517" s="1" t="s">
        <v>104</v>
      </c>
      <c r="CJ2517" s="1">
        <v>0</v>
      </c>
      <c r="CK2517" s="1">
        <v>0</v>
      </c>
      <c r="CL2517" s="1">
        <v>0</v>
      </c>
      <c r="CM2517" s="1" t="s">
        <v>104</v>
      </c>
    </row>
    <row r="2518" spans="1:91" ht="14.25" customHeight="1" x14ac:dyDescent="0.3">
      <c r="A2518" s="1" t="s">
        <v>12852</v>
      </c>
      <c r="B2518" s="1" t="s">
        <v>216</v>
      </c>
      <c r="E2518" s="1" t="s">
        <v>12853</v>
      </c>
      <c r="F2518" s="1" t="s">
        <v>95</v>
      </c>
      <c r="G2518" s="1" t="s">
        <v>12854</v>
      </c>
      <c r="H2518" s="1">
        <v>0</v>
      </c>
      <c r="I2518" s="1" t="s">
        <v>128</v>
      </c>
      <c r="L2518" s="1" t="s">
        <v>12855</v>
      </c>
      <c r="M2518" s="1" t="s">
        <v>341</v>
      </c>
      <c r="N2518" s="1">
        <v>0</v>
      </c>
      <c r="O2518" s="1">
        <v>0</v>
      </c>
      <c r="P2518" s="1" t="s">
        <v>100</v>
      </c>
      <c r="Q2518" s="1" t="s">
        <v>131</v>
      </c>
      <c r="R2518" s="1" t="s">
        <v>12856</v>
      </c>
      <c r="S2518" s="1" t="s">
        <v>12702</v>
      </c>
      <c r="T2518" s="1">
        <v>1</v>
      </c>
      <c r="U2518" s="1">
        <v>1</v>
      </c>
      <c r="V2518" s="1">
        <v>0</v>
      </c>
      <c r="W2518" s="1">
        <v>0</v>
      </c>
      <c r="X2518" s="1">
        <v>0</v>
      </c>
      <c r="Y2518" s="1">
        <v>5</v>
      </c>
      <c r="Z2518" s="1">
        <v>5</v>
      </c>
      <c r="AA2518" s="1">
        <v>5</v>
      </c>
      <c r="AB2518" s="1" t="s">
        <v>104</v>
      </c>
      <c r="AC2518" s="1" t="s">
        <v>104</v>
      </c>
      <c r="AD2518" s="1" t="s">
        <v>104</v>
      </c>
      <c r="AE2518" s="1" t="s">
        <v>104</v>
      </c>
      <c r="AF2518" s="1">
        <v>4</v>
      </c>
      <c r="AG2518" s="1" t="s">
        <v>104</v>
      </c>
      <c r="AH2518" s="1">
        <v>5</v>
      </c>
      <c r="AI2518" s="1" t="s">
        <v>104</v>
      </c>
      <c r="AJ2518" s="1">
        <v>5</v>
      </c>
      <c r="AK2518" s="1">
        <v>4</v>
      </c>
      <c r="AL2518" s="1" t="s">
        <v>104</v>
      </c>
      <c r="AM2518" s="1" t="s">
        <v>104</v>
      </c>
      <c r="AO2518" s="1">
        <v>5</v>
      </c>
      <c r="AQ2518" s="1" t="s">
        <v>12857</v>
      </c>
      <c r="AR2518" s="1">
        <v>0</v>
      </c>
      <c r="AS2518" s="1">
        <v>0</v>
      </c>
      <c r="AT2518" s="1">
        <v>0</v>
      </c>
      <c r="AU2518" s="1">
        <v>0</v>
      </c>
      <c r="AV2518" s="1">
        <v>0</v>
      </c>
      <c r="AW2518" s="1">
        <v>0</v>
      </c>
      <c r="AX2518" s="1">
        <v>0</v>
      </c>
      <c r="AY2518" s="1">
        <v>0</v>
      </c>
      <c r="AZ2518" s="1">
        <v>0</v>
      </c>
      <c r="BA2518" s="1">
        <v>0</v>
      </c>
      <c r="BB2518" s="1">
        <v>0</v>
      </c>
      <c r="BC2518" s="1">
        <v>0</v>
      </c>
      <c r="BD2518" s="1">
        <v>0</v>
      </c>
      <c r="BE2518" s="1">
        <v>0</v>
      </c>
      <c r="BF2518" s="1">
        <v>0</v>
      </c>
      <c r="BG2518" s="1">
        <v>0</v>
      </c>
      <c r="BH2518" s="1">
        <v>0</v>
      </c>
      <c r="BI2518" s="1">
        <v>0</v>
      </c>
      <c r="BJ2518" s="1">
        <v>0</v>
      </c>
      <c r="BK2518" s="1">
        <v>0</v>
      </c>
      <c r="BL2518" s="1">
        <v>0</v>
      </c>
      <c r="BM2518" s="1">
        <v>0</v>
      </c>
      <c r="BN2518" s="1">
        <v>0</v>
      </c>
      <c r="BO2518" s="1">
        <v>0</v>
      </c>
      <c r="BP2518" s="1">
        <v>0</v>
      </c>
      <c r="BQ2518" s="1" t="s">
        <v>104</v>
      </c>
      <c r="BR2518" s="1">
        <v>2651</v>
      </c>
      <c r="BS2518" s="1" t="s">
        <v>104</v>
      </c>
      <c r="BX2518" s="1">
        <v>0</v>
      </c>
      <c r="BY2518" s="1" t="s">
        <v>104</v>
      </c>
      <c r="BZ2518" s="1" t="s">
        <v>104</v>
      </c>
      <c r="CA2518" s="1">
        <v>6</v>
      </c>
      <c r="CB2518" s="1" t="s">
        <v>104</v>
      </c>
      <c r="CC2518" s="1" t="s">
        <v>104</v>
      </c>
      <c r="CD2518" s="1" t="s">
        <v>104</v>
      </c>
      <c r="CE2518" s="1">
        <v>4</v>
      </c>
      <c r="CF2518" s="1" t="s">
        <v>104</v>
      </c>
      <c r="CG2518" s="1" t="s">
        <v>104</v>
      </c>
      <c r="CH2518" s="1" t="s">
        <v>104</v>
      </c>
      <c r="CJ2518" s="1">
        <v>0</v>
      </c>
      <c r="CK2518" s="1">
        <v>0</v>
      </c>
      <c r="CL2518" s="1">
        <v>0</v>
      </c>
      <c r="CM2518" s="1" t="s">
        <v>104</v>
      </c>
    </row>
    <row r="2519" spans="1:91" ht="14.25" customHeight="1" x14ac:dyDescent="0.3">
      <c r="A2519" s="1" t="s">
        <v>12858</v>
      </c>
      <c r="B2519" s="1" t="s">
        <v>507</v>
      </c>
      <c r="C2519" s="1" t="s">
        <v>1308</v>
      </c>
      <c r="D2519" s="1" t="s">
        <v>11457</v>
      </c>
      <c r="E2519" s="1" t="s">
        <v>12859</v>
      </c>
      <c r="F2519" s="1" t="s">
        <v>95</v>
      </c>
      <c r="G2519" s="1" t="s">
        <v>12860</v>
      </c>
      <c r="H2519" s="1">
        <v>0</v>
      </c>
      <c r="I2519" s="1" t="s">
        <v>117</v>
      </c>
      <c r="L2519" s="1" t="s">
        <v>12861</v>
      </c>
      <c r="M2519" s="1" t="s">
        <v>4292</v>
      </c>
      <c r="N2519" s="1">
        <v>0</v>
      </c>
      <c r="O2519" s="1">
        <v>0</v>
      </c>
      <c r="P2519" s="1" t="s">
        <v>211</v>
      </c>
      <c r="Q2519" s="1" t="s">
        <v>184</v>
      </c>
      <c r="R2519" s="1" t="s">
        <v>12862</v>
      </c>
      <c r="S2519" s="1" t="s">
        <v>12702</v>
      </c>
      <c r="T2519" s="1">
        <v>1</v>
      </c>
      <c r="U2519" s="1">
        <v>1</v>
      </c>
      <c r="V2519" s="1">
        <v>1</v>
      </c>
      <c r="W2519" s="1">
        <v>0</v>
      </c>
      <c r="X2519" s="1">
        <v>0</v>
      </c>
      <c r="Y2519" s="1">
        <v>4</v>
      </c>
      <c r="Z2519" s="1">
        <v>4</v>
      </c>
      <c r="AA2519" s="1" t="s">
        <v>104</v>
      </c>
      <c r="AB2519" s="1" t="s">
        <v>104</v>
      </c>
      <c r="AC2519" s="1" t="s">
        <v>104</v>
      </c>
      <c r="AD2519" s="1">
        <v>3</v>
      </c>
      <c r="AE2519" s="1" t="s">
        <v>104</v>
      </c>
      <c r="AF2519" s="1" t="s">
        <v>104</v>
      </c>
      <c r="AG2519" s="1" t="s">
        <v>104</v>
      </c>
      <c r="AH2519" s="1" t="s">
        <v>104</v>
      </c>
      <c r="AI2519" s="1" t="s">
        <v>104</v>
      </c>
      <c r="AJ2519" s="1" t="s">
        <v>104</v>
      </c>
      <c r="AK2519" s="1" t="s">
        <v>104</v>
      </c>
      <c r="AL2519" s="1" t="s">
        <v>104</v>
      </c>
      <c r="AM2519" s="1" t="s">
        <v>104</v>
      </c>
      <c r="AO2519" s="1">
        <v>4</v>
      </c>
      <c r="AQ2519" s="1" t="s">
        <v>12863</v>
      </c>
      <c r="AR2519" s="1">
        <v>0</v>
      </c>
      <c r="AS2519" s="1">
        <v>0</v>
      </c>
      <c r="AT2519" s="1">
        <v>0</v>
      </c>
      <c r="AU2519" s="1">
        <v>0</v>
      </c>
      <c r="AV2519" s="1">
        <v>0</v>
      </c>
      <c r="AW2519" s="1">
        <v>0</v>
      </c>
      <c r="AX2519" s="1">
        <v>0</v>
      </c>
      <c r="AY2519" s="1">
        <v>0</v>
      </c>
      <c r="AZ2519" s="1">
        <v>0</v>
      </c>
      <c r="BA2519" s="1">
        <v>0</v>
      </c>
      <c r="BB2519" s="1">
        <v>1</v>
      </c>
      <c r="BC2519" s="1">
        <v>0</v>
      </c>
      <c r="BD2519" s="1">
        <v>1</v>
      </c>
      <c r="BE2519" s="1">
        <v>0</v>
      </c>
      <c r="BF2519" s="1">
        <v>0</v>
      </c>
      <c r="BG2519" s="1">
        <v>0</v>
      </c>
      <c r="BH2519" s="1">
        <v>0</v>
      </c>
      <c r="BI2519" s="1">
        <v>0</v>
      </c>
      <c r="BJ2519" s="1">
        <v>0</v>
      </c>
      <c r="BK2519" s="1">
        <v>1</v>
      </c>
      <c r="BL2519" s="1">
        <v>0</v>
      </c>
      <c r="BM2519" s="1">
        <v>0</v>
      </c>
      <c r="BN2519" s="1">
        <v>0</v>
      </c>
      <c r="BO2519" s="1">
        <v>0</v>
      </c>
      <c r="BP2519" s="1">
        <v>0</v>
      </c>
      <c r="BQ2519" s="1" t="s">
        <v>104</v>
      </c>
      <c r="BR2519" s="1">
        <v>2652</v>
      </c>
      <c r="BS2519" s="1" t="s">
        <v>104</v>
      </c>
      <c r="BX2519" s="1">
        <v>0</v>
      </c>
      <c r="BY2519" s="1" t="s">
        <v>104</v>
      </c>
      <c r="BZ2519" s="1" t="s">
        <v>104</v>
      </c>
      <c r="CA2519" s="1">
        <v>4</v>
      </c>
      <c r="CB2519" s="1">
        <v>3</v>
      </c>
      <c r="CC2519" s="1">
        <v>3</v>
      </c>
      <c r="CD2519" s="1" t="s">
        <v>104</v>
      </c>
      <c r="CE2519" s="1" t="s">
        <v>104</v>
      </c>
      <c r="CF2519" s="1" t="s">
        <v>104</v>
      </c>
      <c r="CG2519" s="1" t="s">
        <v>104</v>
      </c>
      <c r="CH2519" s="1" t="s">
        <v>104</v>
      </c>
      <c r="CJ2519" s="1">
        <v>0</v>
      </c>
      <c r="CK2519" s="1">
        <v>0</v>
      </c>
      <c r="CL2519" s="1">
        <v>0</v>
      </c>
      <c r="CM2519" s="1" t="s">
        <v>104</v>
      </c>
    </row>
    <row r="2520" spans="1:91" ht="14.25" customHeight="1" x14ac:dyDescent="0.3">
      <c r="A2520" s="1" t="s">
        <v>12864</v>
      </c>
      <c r="B2520" s="1" t="s">
        <v>216</v>
      </c>
      <c r="D2520" s="1" t="s">
        <v>54</v>
      </c>
      <c r="E2520" s="1" t="s">
        <v>12865</v>
      </c>
      <c r="F2520" s="1" t="s">
        <v>255</v>
      </c>
      <c r="G2520" s="1" t="s">
        <v>12866</v>
      </c>
      <c r="H2520" s="1">
        <v>1</v>
      </c>
      <c r="I2520" s="1" t="s">
        <v>128</v>
      </c>
      <c r="L2520" s="1" t="s">
        <v>12867</v>
      </c>
      <c r="M2520" s="1" t="s">
        <v>493</v>
      </c>
      <c r="N2520" s="1">
        <v>1</v>
      </c>
      <c r="O2520" s="1">
        <v>0</v>
      </c>
      <c r="P2520" s="1" t="s">
        <v>100</v>
      </c>
      <c r="Q2520" s="1" t="s">
        <v>101</v>
      </c>
      <c r="R2520" s="1" t="s">
        <v>12868</v>
      </c>
      <c r="S2520" s="1" t="s">
        <v>12702</v>
      </c>
      <c r="T2520" s="1">
        <v>1</v>
      </c>
      <c r="U2520" s="1">
        <v>1</v>
      </c>
      <c r="V2520" s="1">
        <v>1</v>
      </c>
      <c r="W2520" s="1">
        <v>0</v>
      </c>
      <c r="X2520" s="1">
        <v>0</v>
      </c>
      <c r="Y2520" s="1">
        <v>4</v>
      </c>
      <c r="Z2520" s="1">
        <v>4</v>
      </c>
      <c r="AA2520" s="1">
        <v>3</v>
      </c>
      <c r="AB2520" s="1" t="s">
        <v>104</v>
      </c>
      <c r="AC2520" s="1" t="s">
        <v>104</v>
      </c>
      <c r="AD2520" s="1" t="s">
        <v>104</v>
      </c>
      <c r="AE2520" s="1" t="s">
        <v>104</v>
      </c>
      <c r="AF2520" s="1" t="s">
        <v>104</v>
      </c>
      <c r="AG2520" s="1" t="s">
        <v>104</v>
      </c>
      <c r="AH2520" s="1">
        <v>4</v>
      </c>
      <c r="AI2520" s="1" t="s">
        <v>104</v>
      </c>
      <c r="AJ2520" s="1">
        <v>3</v>
      </c>
      <c r="AK2520" s="1">
        <v>2</v>
      </c>
      <c r="AL2520" s="1" t="s">
        <v>104</v>
      </c>
      <c r="AM2520" s="1" t="s">
        <v>104</v>
      </c>
      <c r="AO2520" s="1">
        <v>4</v>
      </c>
      <c r="AQ2520" s="1" t="s">
        <v>12869</v>
      </c>
      <c r="AR2520" s="1">
        <v>0</v>
      </c>
      <c r="AS2520" s="1">
        <v>0</v>
      </c>
      <c r="AT2520" s="1">
        <v>0</v>
      </c>
      <c r="AU2520" s="1">
        <v>0</v>
      </c>
      <c r="AV2520" s="1">
        <v>0</v>
      </c>
      <c r="AW2520" s="1">
        <v>0</v>
      </c>
      <c r="AX2520" s="1">
        <v>0</v>
      </c>
      <c r="AY2520" s="1">
        <v>0</v>
      </c>
      <c r="AZ2520" s="1">
        <v>0</v>
      </c>
      <c r="BA2520" s="1">
        <v>0</v>
      </c>
      <c r="BB2520" s="1">
        <v>0</v>
      </c>
      <c r="BC2520" s="1">
        <v>1</v>
      </c>
      <c r="BD2520" s="1">
        <v>0</v>
      </c>
      <c r="BE2520" s="1">
        <v>0</v>
      </c>
      <c r="BF2520" s="1">
        <v>0</v>
      </c>
      <c r="BG2520" s="1">
        <v>0</v>
      </c>
      <c r="BH2520" s="1">
        <v>0</v>
      </c>
      <c r="BI2520" s="1">
        <v>0</v>
      </c>
      <c r="BJ2520" s="1">
        <v>0</v>
      </c>
      <c r="BK2520" s="1">
        <v>0</v>
      </c>
      <c r="BL2520" s="1">
        <v>0</v>
      </c>
      <c r="BM2520" s="1">
        <v>0</v>
      </c>
      <c r="BN2520" s="1">
        <v>0</v>
      </c>
      <c r="BO2520" s="1">
        <v>0</v>
      </c>
      <c r="BP2520" s="1">
        <v>0</v>
      </c>
      <c r="BQ2520" s="1" t="s">
        <v>104</v>
      </c>
      <c r="BR2520" s="1">
        <v>2653</v>
      </c>
      <c r="BS2520" s="1">
        <v>25</v>
      </c>
      <c r="BX2520" s="1">
        <v>0</v>
      </c>
      <c r="BY2520" s="1" t="s">
        <v>104</v>
      </c>
      <c r="BZ2520" s="1">
        <v>3</v>
      </c>
      <c r="CA2520" s="1" t="s">
        <v>104</v>
      </c>
      <c r="CB2520" s="1" t="s">
        <v>104</v>
      </c>
      <c r="CC2520" s="1" t="s">
        <v>104</v>
      </c>
      <c r="CD2520" s="1">
        <v>3</v>
      </c>
      <c r="CE2520" s="1">
        <v>3</v>
      </c>
      <c r="CF2520" s="1" t="s">
        <v>104</v>
      </c>
      <c r="CG2520" s="1" t="s">
        <v>104</v>
      </c>
      <c r="CH2520" s="1" t="s">
        <v>104</v>
      </c>
      <c r="CJ2520" s="1">
        <v>0</v>
      </c>
      <c r="CK2520" s="1">
        <v>0</v>
      </c>
      <c r="CL2520" s="1">
        <v>0</v>
      </c>
      <c r="CM2520" s="1" t="s">
        <v>104</v>
      </c>
    </row>
    <row r="2521" spans="1:91" ht="14.25" customHeight="1" x14ac:dyDescent="0.3">
      <c r="A2521" s="1" t="s">
        <v>12870</v>
      </c>
      <c r="B2521" s="1" t="s">
        <v>216</v>
      </c>
      <c r="D2521" s="1" t="s">
        <v>54</v>
      </c>
      <c r="E2521" s="1" t="s">
        <v>12871</v>
      </c>
      <c r="F2521" s="1" t="s">
        <v>287</v>
      </c>
      <c r="G2521" s="1" t="s">
        <v>12872</v>
      </c>
      <c r="H2521" s="1">
        <v>1</v>
      </c>
      <c r="I2521" s="1" t="s">
        <v>128</v>
      </c>
      <c r="L2521" s="1" t="s">
        <v>219</v>
      </c>
      <c r="M2521" s="1" t="s">
        <v>493</v>
      </c>
      <c r="N2521" s="1">
        <v>1</v>
      </c>
      <c r="O2521" s="1">
        <v>0</v>
      </c>
      <c r="P2521" s="1" t="s">
        <v>100</v>
      </c>
      <c r="Q2521" s="1" t="s">
        <v>101</v>
      </c>
      <c r="R2521" s="1" t="s">
        <v>12873</v>
      </c>
      <c r="S2521" s="1" t="s">
        <v>12702</v>
      </c>
      <c r="T2521" s="1">
        <v>1</v>
      </c>
      <c r="U2521" s="1">
        <v>1</v>
      </c>
      <c r="V2521" s="1">
        <v>1</v>
      </c>
      <c r="W2521" s="1">
        <v>0</v>
      </c>
      <c r="X2521" s="1">
        <v>0</v>
      </c>
      <c r="Y2521" s="1">
        <v>5</v>
      </c>
      <c r="Z2521" s="1">
        <v>5</v>
      </c>
      <c r="AA2521" s="1">
        <v>4</v>
      </c>
      <c r="AB2521" s="1" t="s">
        <v>104</v>
      </c>
      <c r="AC2521" s="1" t="s">
        <v>104</v>
      </c>
      <c r="AD2521" s="1" t="s">
        <v>104</v>
      </c>
      <c r="AE2521" s="1" t="s">
        <v>104</v>
      </c>
      <c r="AF2521" s="1" t="s">
        <v>104</v>
      </c>
      <c r="AG2521" s="1" t="s">
        <v>104</v>
      </c>
      <c r="AH2521" s="1">
        <v>5</v>
      </c>
      <c r="AI2521" s="1" t="s">
        <v>104</v>
      </c>
      <c r="AJ2521" s="1">
        <v>4</v>
      </c>
      <c r="AK2521" s="1">
        <v>3</v>
      </c>
      <c r="AL2521" s="1" t="s">
        <v>104</v>
      </c>
      <c r="AM2521" s="1" t="s">
        <v>104</v>
      </c>
      <c r="AO2521" s="1">
        <v>5</v>
      </c>
      <c r="AQ2521" s="1" t="s">
        <v>12874</v>
      </c>
      <c r="AR2521" s="1">
        <v>0</v>
      </c>
      <c r="AS2521" s="1">
        <v>0</v>
      </c>
      <c r="AT2521" s="1">
        <v>0</v>
      </c>
      <c r="AU2521" s="1">
        <v>0</v>
      </c>
      <c r="AV2521" s="1">
        <v>0</v>
      </c>
      <c r="AW2521" s="1">
        <v>0</v>
      </c>
      <c r="AX2521" s="1">
        <v>0</v>
      </c>
      <c r="AY2521" s="1">
        <v>0</v>
      </c>
      <c r="AZ2521" s="1">
        <v>0</v>
      </c>
      <c r="BA2521" s="1">
        <v>0</v>
      </c>
      <c r="BB2521" s="1">
        <v>0</v>
      </c>
      <c r="BC2521" s="1">
        <v>1</v>
      </c>
      <c r="BD2521" s="1">
        <v>0</v>
      </c>
      <c r="BE2521" s="1">
        <v>0</v>
      </c>
      <c r="BF2521" s="1">
        <v>0</v>
      </c>
      <c r="BG2521" s="1">
        <v>0</v>
      </c>
      <c r="BH2521" s="1">
        <v>0</v>
      </c>
      <c r="BI2521" s="1">
        <v>0</v>
      </c>
      <c r="BJ2521" s="1">
        <v>0</v>
      </c>
      <c r="BK2521" s="1">
        <v>0</v>
      </c>
      <c r="BL2521" s="1">
        <v>0</v>
      </c>
      <c r="BM2521" s="1">
        <v>0</v>
      </c>
      <c r="BN2521" s="1">
        <v>0</v>
      </c>
      <c r="BO2521" s="1">
        <v>0</v>
      </c>
      <c r="BP2521" s="1">
        <v>0</v>
      </c>
      <c r="BQ2521" s="1" t="s">
        <v>104</v>
      </c>
      <c r="BR2521" s="1">
        <v>2654</v>
      </c>
      <c r="BS2521" s="1">
        <v>50</v>
      </c>
      <c r="BX2521" s="1">
        <v>0</v>
      </c>
      <c r="BY2521" s="1" t="s">
        <v>104</v>
      </c>
      <c r="BZ2521" s="1">
        <v>4</v>
      </c>
      <c r="CA2521" s="1" t="s">
        <v>104</v>
      </c>
      <c r="CB2521" s="1" t="s">
        <v>104</v>
      </c>
      <c r="CC2521" s="1" t="s">
        <v>104</v>
      </c>
      <c r="CD2521" s="1">
        <v>4</v>
      </c>
      <c r="CE2521" s="1">
        <v>4</v>
      </c>
      <c r="CF2521" s="1" t="s">
        <v>104</v>
      </c>
      <c r="CG2521" s="1" t="s">
        <v>104</v>
      </c>
      <c r="CH2521" s="1" t="s">
        <v>104</v>
      </c>
      <c r="CJ2521" s="1">
        <v>0</v>
      </c>
      <c r="CK2521" s="1">
        <v>0</v>
      </c>
      <c r="CL2521" s="1">
        <v>0</v>
      </c>
      <c r="CM2521" s="1" t="s">
        <v>104</v>
      </c>
    </row>
    <row r="2522" spans="1:91" ht="14.25" customHeight="1" x14ac:dyDescent="0.3">
      <c r="A2522" s="1" t="s">
        <v>12875</v>
      </c>
      <c r="B2522" s="1" t="s">
        <v>216</v>
      </c>
      <c r="D2522" s="1" t="s">
        <v>54</v>
      </c>
      <c r="E2522" s="1" t="s">
        <v>12876</v>
      </c>
      <c r="F2522" s="1" t="s">
        <v>95</v>
      </c>
      <c r="G2522" s="1" t="s">
        <v>12877</v>
      </c>
      <c r="H2522" s="1">
        <v>0</v>
      </c>
      <c r="I2522" s="1" t="s">
        <v>109</v>
      </c>
      <c r="K2522" s="1" t="s">
        <v>12878</v>
      </c>
      <c r="M2522" s="1" t="s">
        <v>5978</v>
      </c>
      <c r="N2522" s="1">
        <v>1</v>
      </c>
      <c r="O2522" s="1">
        <v>0</v>
      </c>
      <c r="P2522" s="1" t="s">
        <v>100</v>
      </c>
      <c r="Q2522" s="1" t="s">
        <v>101</v>
      </c>
      <c r="R2522" s="1" t="s">
        <v>12879</v>
      </c>
      <c r="S2522" s="1" t="s">
        <v>12702</v>
      </c>
      <c r="T2522" s="1">
        <v>1</v>
      </c>
      <c r="U2522" s="1">
        <v>1</v>
      </c>
      <c r="V2522" s="1">
        <v>1</v>
      </c>
      <c r="W2522" s="1">
        <v>0</v>
      </c>
      <c r="X2522" s="1">
        <v>1</v>
      </c>
      <c r="Y2522" s="1">
        <v>6</v>
      </c>
      <c r="Z2522" s="1">
        <v>6</v>
      </c>
      <c r="AA2522" s="1">
        <v>6</v>
      </c>
      <c r="AB2522" s="1" t="s">
        <v>104</v>
      </c>
      <c r="AC2522" s="1" t="s">
        <v>104</v>
      </c>
      <c r="AD2522" s="1" t="s">
        <v>104</v>
      </c>
      <c r="AE2522" s="1" t="s">
        <v>104</v>
      </c>
      <c r="AF2522" s="1" t="s">
        <v>104</v>
      </c>
      <c r="AG2522" s="1">
        <v>5</v>
      </c>
      <c r="AH2522" s="1">
        <v>6</v>
      </c>
      <c r="AI2522" s="1" t="s">
        <v>104</v>
      </c>
      <c r="AJ2522" s="1">
        <v>6</v>
      </c>
      <c r="AK2522" s="1" t="s">
        <v>104</v>
      </c>
      <c r="AL2522" s="1" t="s">
        <v>104</v>
      </c>
      <c r="AM2522" s="1" t="s">
        <v>104</v>
      </c>
      <c r="AO2522" s="1">
        <v>6</v>
      </c>
      <c r="AQ2522" s="1" t="s">
        <v>12880</v>
      </c>
      <c r="AR2522" s="1">
        <v>0</v>
      </c>
      <c r="AS2522" s="1">
        <v>0</v>
      </c>
      <c r="AT2522" s="1">
        <v>0</v>
      </c>
      <c r="AU2522" s="1">
        <v>0</v>
      </c>
      <c r="AV2522" s="1">
        <v>0</v>
      </c>
      <c r="AW2522" s="1">
        <v>0</v>
      </c>
      <c r="AX2522" s="1">
        <v>0</v>
      </c>
      <c r="AY2522" s="1">
        <v>0</v>
      </c>
      <c r="AZ2522" s="1">
        <v>0</v>
      </c>
      <c r="BA2522" s="1">
        <v>0</v>
      </c>
      <c r="BB2522" s="1">
        <v>0</v>
      </c>
      <c r="BC2522" s="1">
        <v>1</v>
      </c>
      <c r="BD2522" s="1">
        <v>0</v>
      </c>
      <c r="BE2522" s="1">
        <v>0</v>
      </c>
      <c r="BF2522" s="1">
        <v>0</v>
      </c>
      <c r="BG2522" s="1">
        <v>0</v>
      </c>
      <c r="BH2522" s="1">
        <v>0</v>
      </c>
      <c r="BI2522" s="1">
        <v>0</v>
      </c>
      <c r="BJ2522" s="1">
        <v>0</v>
      </c>
      <c r="BK2522" s="1">
        <v>0</v>
      </c>
      <c r="BL2522" s="1">
        <v>0</v>
      </c>
      <c r="BM2522" s="1">
        <v>0</v>
      </c>
      <c r="BN2522" s="1">
        <v>0</v>
      </c>
      <c r="BO2522" s="1">
        <v>0</v>
      </c>
      <c r="BP2522" s="1">
        <v>0</v>
      </c>
      <c r="BQ2522" s="1" t="s">
        <v>104</v>
      </c>
      <c r="BR2522" s="1">
        <v>2655</v>
      </c>
      <c r="BS2522" s="1" t="s">
        <v>104</v>
      </c>
      <c r="BX2522" s="1">
        <v>0</v>
      </c>
      <c r="BY2522" s="1" t="s">
        <v>104</v>
      </c>
      <c r="BZ2522" s="1">
        <v>6</v>
      </c>
      <c r="CA2522" s="1" t="s">
        <v>104</v>
      </c>
      <c r="CB2522" s="1" t="s">
        <v>104</v>
      </c>
      <c r="CC2522" s="1" t="s">
        <v>104</v>
      </c>
      <c r="CD2522" s="1" t="s">
        <v>104</v>
      </c>
      <c r="CE2522" s="1">
        <v>5</v>
      </c>
      <c r="CF2522" s="1" t="s">
        <v>104</v>
      </c>
      <c r="CG2522" s="1" t="s">
        <v>104</v>
      </c>
      <c r="CH2522" s="1" t="s">
        <v>104</v>
      </c>
      <c r="CJ2522" s="1">
        <v>0</v>
      </c>
      <c r="CK2522" s="1">
        <v>0</v>
      </c>
      <c r="CL2522" s="1">
        <v>0</v>
      </c>
      <c r="CM2522" s="1">
        <v>5</v>
      </c>
    </row>
    <row r="2523" spans="1:91" ht="14.25" customHeight="1" x14ac:dyDescent="0.3">
      <c r="A2523" s="1" t="s">
        <v>12881</v>
      </c>
      <c r="B2523" s="1" t="s">
        <v>434</v>
      </c>
      <c r="D2523" s="1" t="s">
        <v>11802</v>
      </c>
      <c r="E2523" s="1" t="s">
        <v>12882</v>
      </c>
      <c r="F2523" s="1" t="s">
        <v>255</v>
      </c>
      <c r="G2523" s="1" t="s">
        <v>12883</v>
      </c>
      <c r="H2523" s="1">
        <v>0</v>
      </c>
      <c r="I2523" s="1" t="s">
        <v>109</v>
      </c>
      <c r="J2523" s="1" t="s">
        <v>12884</v>
      </c>
      <c r="M2523" s="1" t="s">
        <v>111</v>
      </c>
      <c r="N2523" s="1">
        <v>0</v>
      </c>
      <c r="O2523" s="1">
        <v>1</v>
      </c>
      <c r="P2523" s="1" t="s">
        <v>211</v>
      </c>
      <c r="Q2523" s="1" t="s">
        <v>184</v>
      </c>
      <c r="R2523" s="1" t="s">
        <v>12885</v>
      </c>
      <c r="S2523" s="1" t="s">
        <v>12702</v>
      </c>
      <c r="T2523" s="1">
        <v>1</v>
      </c>
      <c r="U2523" s="1">
        <v>1</v>
      </c>
      <c r="V2523" s="1">
        <v>1</v>
      </c>
      <c r="W2523" s="1">
        <v>0</v>
      </c>
      <c r="X2523" s="1">
        <v>0</v>
      </c>
      <c r="Y2523" s="1">
        <v>2</v>
      </c>
      <c r="Z2523" s="1">
        <v>2</v>
      </c>
      <c r="AA2523" s="1">
        <v>2</v>
      </c>
      <c r="AB2523" s="1" t="s">
        <v>104</v>
      </c>
      <c r="AC2523" s="1" t="s">
        <v>104</v>
      </c>
      <c r="AD2523" s="1">
        <v>2</v>
      </c>
      <c r="AE2523" s="1" t="s">
        <v>104</v>
      </c>
      <c r="AF2523" s="1" t="s">
        <v>104</v>
      </c>
      <c r="AG2523" s="1" t="s">
        <v>104</v>
      </c>
      <c r="AH2523" s="1" t="s">
        <v>104</v>
      </c>
      <c r="AI2523" s="1">
        <v>2</v>
      </c>
      <c r="AJ2523" s="1">
        <v>2</v>
      </c>
      <c r="AK2523" s="1" t="s">
        <v>104</v>
      </c>
      <c r="AL2523" s="1">
        <v>2</v>
      </c>
      <c r="AM2523" s="1" t="s">
        <v>104</v>
      </c>
      <c r="AO2523" s="1">
        <v>2</v>
      </c>
      <c r="AQ2523" s="1" t="s">
        <v>12886</v>
      </c>
      <c r="AR2523" s="1">
        <v>0</v>
      </c>
      <c r="AS2523" s="1">
        <v>0</v>
      </c>
      <c r="AT2523" s="1">
        <v>0</v>
      </c>
      <c r="AU2523" s="1">
        <v>0</v>
      </c>
      <c r="AV2523" s="1">
        <v>0</v>
      </c>
      <c r="AW2523" s="1">
        <v>1</v>
      </c>
      <c r="AX2523" s="1">
        <v>0</v>
      </c>
      <c r="AY2523" s="1">
        <v>0</v>
      </c>
      <c r="AZ2523" s="1">
        <v>0</v>
      </c>
      <c r="BA2523" s="1">
        <v>0</v>
      </c>
      <c r="BB2523" s="1">
        <v>0</v>
      </c>
      <c r="BC2523" s="1">
        <v>0</v>
      </c>
      <c r="BD2523" s="1">
        <v>0</v>
      </c>
      <c r="BE2523" s="1">
        <v>0</v>
      </c>
      <c r="BF2523" s="1">
        <v>0</v>
      </c>
      <c r="BG2523" s="1">
        <v>0</v>
      </c>
      <c r="BH2523" s="1">
        <v>0</v>
      </c>
      <c r="BI2523" s="1">
        <v>0</v>
      </c>
      <c r="BJ2523" s="1">
        <v>1</v>
      </c>
      <c r="BK2523" s="1">
        <v>0</v>
      </c>
      <c r="BL2523" s="1">
        <v>0</v>
      </c>
      <c r="BM2523" s="1">
        <v>0</v>
      </c>
      <c r="BN2523" s="1">
        <v>0</v>
      </c>
      <c r="BO2523" s="1">
        <v>0</v>
      </c>
      <c r="BP2523" s="1">
        <v>0</v>
      </c>
      <c r="BQ2523" s="1" t="s">
        <v>104</v>
      </c>
      <c r="BR2523" s="1">
        <v>2656</v>
      </c>
      <c r="BS2523" s="1" t="s">
        <v>104</v>
      </c>
      <c r="BX2523" s="1">
        <v>0</v>
      </c>
      <c r="BY2523" s="1" t="s">
        <v>104</v>
      </c>
      <c r="BZ2523" s="1">
        <v>2</v>
      </c>
      <c r="CA2523" s="1" t="s">
        <v>104</v>
      </c>
      <c r="CB2523" s="1" t="s">
        <v>104</v>
      </c>
      <c r="CC2523" s="1" t="s">
        <v>104</v>
      </c>
      <c r="CD2523" s="1">
        <v>2</v>
      </c>
      <c r="CE2523" s="1" t="s">
        <v>104</v>
      </c>
      <c r="CF2523" s="1" t="s">
        <v>104</v>
      </c>
      <c r="CG2523" s="1" t="s">
        <v>104</v>
      </c>
      <c r="CH2523" s="1" t="s">
        <v>104</v>
      </c>
      <c r="CJ2523" s="1">
        <v>0</v>
      </c>
      <c r="CK2523" s="1">
        <v>0</v>
      </c>
      <c r="CL2523" s="1">
        <v>0</v>
      </c>
      <c r="CM2523" s="1" t="s">
        <v>104</v>
      </c>
    </row>
    <row r="2524" spans="1:91" ht="14.25" customHeight="1" x14ac:dyDescent="0.3">
      <c r="A2524" s="1" t="s">
        <v>12887</v>
      </c>
      <c r="B2524" s="1" t="s">
        <v>216</v>
      </c>
      <c r="D2524" s="1" t="s">
        <v>54</v>
      </c>
      <c r="E2524" s="1" t="s">
        <v>12888</v>
      </c>
      <c r="F2524" s="1" t="s">
        <v>95</v>
      </c>
      <c r="G2524" s="1" t="s">
        <v>12889</v>
      </c>
      <c r="H2524" s="1">
        <v>1</v>
      </c>
      <c r="I2524" s="1" t="s">
        <v>117</v>
      </c>
      <c r="L2524" s="1" t="s">
        <v>886</v>
      </c>
      <c r="M2524" s="1" t="s">
        <v>119</v>
      </c>
      <c r="N2524" s="1">
        <v>0</v>
      </c>
      <c r="O2524" s="1">
        <v>0</v>
      </c>
      <c r="P2524" s="1" t="s">
        <v>100</v>
      </c>
      <c r="Q2524" s="1" t="s">
        <v>101</v>
      </c>
      <c r="R2524" s="1" t="s">
        <v>12890</v>
      </c>
      <c r="S2524" s="1" t="s">
        <v>12702</v>
      </c>
      <c r="T2524" s="1">
        <v>1</v>
      </c>
      <c r="U2524" s="1">
        <v>1</v>
      </c>
      <c r="V2524" s="1">
        <v>1</v>
      </c>
      <c r="W2524" s="1">
        <v>0</v>
      </c>
      <c r="X2524" s="1">
        <v>0</v>
      </c>
      <c r="Y2524" s="1">
        <v>1</v>
      </c>
      <c r="Z2524" s="1">
        <v>1</v>
      </c>
      <c r="AA2524" s="1">
        <v>1</v>
      </c>
      <c r="AB2524" s="1" t="s">
        <v>104</v>
      </c>
      <c r="AC2524" s="1" t="s">
        <v>104</v>
      </c>
      <c r="AD2524" s="1" t="s">
        <v>104</v>
      </c>
      <c r="AE2524" s="1" t="s">
        <v>104</v>
      </c>
      <c r="AF2524" s="1" t="s">
        <v>104</v>
      </c>
      <c r="AG2524" s="1" t="s">
        <v>104</v>
      </c>
      <c r="AH2524" s="1">
        <v>1</v>
      </c>
      <c r="AI2524" s="1" t="s">
        <v>104</v>
      </c>
      <c r="AJ2524" s="1">
        <v>1</v>
      </c>
      <c r="AK2524" s="1">
        <v>1</v>
      </c>
      <c r="AL2524" s="1" t="s">
        <v>104</v>
      </c>
      <c r="AM2524" s="1" t="s">
        <v>104</v>
      </c>
      <c r="AO2524" s="1">
        <v>1</v>
      </c>
      <c r="AQ2524" s="1" t="s">
        <v>12891</v>
      </c>
      <c r="AR2524" s="1">
        <v>0</v>
      </c>
      <c r="AS2524" s="1">
        <v>0</v>
      </c>
      <c r="AT2524" s="1">
        <v>0</v>
      </c>
      <c r="AU2524" s="1">
        <v>0</v>
      </c>
      <c r="AV2524" s="1">
        <v>0</v>
      </c>
      <c r="AW2524" s="1">
        <v>0</v>
      </c>
      <c r="AX2524" s="1">
        <v>0</v>
      </c>
      <c r="AY2524" s="1">
        <v>0</v>
      </c>
      <c r="AZ2524" s="1">
        <v>0</v>
      </c>
      <c r="BA2524" s="1">
        <v>0</v>
      </c>
      <c r="BB2524" s="1">
        <v>0</v>
      </c>
      <c r="BC2524" s="1">
        <v>1</v>
      </c>
      <c r="BD2524" s="1">
        <v>0</v>
      </c>
      <c r="BE2524" s="1">
        <v>0</v>
      </c>
      <c r="BF2524" s="1">
        <v>0</v>
      </c>
      <c r="BG2524" s="1">
        <v>0</v>
      </c>
      <c r="BH2524" s="1">
        <v>0</v>
      </c>
      <c r="BI2524" s="1">
        <v>0</v>
      </c>
      <c r="BJ2524" s="1">
        <v>0</v>
      </c>
      <c r="BK2524" s="1">
        <v>0</v>
      </c>
      <c r="BL2524" s="1">
        <v>0</v>
      </c>
      <c r="BM2524" s="1">
        <v>0</v>
      </c>
      <c r="BN2524" s="1">
        <v>0</v>
      </c>
      <c r="BO2524" s="1">
        <v>0</v>
      </c>
      <c r="BP2524" s="1">
        <v>0</v>
      </c>
      <c r="BQ2524" s="1" t="s">
        <v>104</v>
      </c>
      <c r="BR2524" s="1">
        <v>2657</v>
      </c>
      <c r="BS2524" s="1">
        <v>1</v>
      </c>
      <c r="BX2524" s="1">
        <v>0</v>
      </c>
      <c r="BY2524" s="1" t="s">
        <v>104</v>
      </c>
      <c r="BZ2524" s="1">
        <v>1</v>
      </c>
      <c r="CA2524" s="1" t="s">
        <v>104</v>
      </c>
      <c r="CB2524" s="1" t="s">
        <v>104</v>
      </c>
      <c r="CC2524" s="1" t="s">
        <v>104</v>
      </c>
      <c r="CD2524" s="1">
        <v>1</v>
      </c>
      <c r="CE2524" s="1">
        <v>1</v>
      </c>
      <c r="CF2524" s="1" t="s">
        <v>104</v>
      </c>
      <c r="CG2524" s="1" t="s">
        <v>104</v>
      </c>
      <c r="CH2524" s="1" t="s">
        <v>104</v>
      </c>
      <c r="CJ2524" s="1">
        <v>0</v>
      </c>
      <c r="CK2524" s="1">
        <v>0</v>
      </c>
      <c r="CL2524" s="1">
        <v>0</v>
      </c>
      <c r="CM2524" s="1" t="s">
        <v>104</v>
      </c>
    </row>
    <row r="2525" spans="1:91" ht="14.25" customHeight="1" x14ac:dyDescent="0.3">
      <c r="A2525" s="1" t="s">
        <v>12892</v>
      </c>
      <c r="B2525" s="1" t="s">
        <v>137</v>
      </c>
      <c r="E2525" s="1" t="s">
        <v>12893</v>
      </c>
      <c r="F2525" s="1" t="s">
        <v>95</v>
      </c>
      <c r="G2525" s="1" t="s">
        <v>12894</v>
      </c>
      <c r="H2525" s="1">
        <v>0</v>
      </c>
      <c r="I2525" s="1" t="s">
        <v>128</v>
      </c>
      <c r="L2525" s="1" t="s">
        <v>417</v>
      </c>
      <c r="M2525" s="1" t="s">
        <v>12895</v>
      </c>
      <c r="N2525" s="1">
        <v>0</v>
      </c>
      <c r="O2525" s="1">
        <v>0</v>
      </c>
      <c r="P2525" s="1" t="s">
        <v>6205</v>
      </c>
      <c r="Q2525" s="1" t="s">
        <v>184</v>
      </c>
      <c r="R2525" s="1" t="s">
        <v>12896</v>
      </c>
      <c r="S2525" s="1" t="s">
        <v>12702</v>
      </c>
      <c r="T2525" s="1">
        <v>1</v>
      </c>
      <c r="U2525" s="1">
        <v>1</v>
      </c>
      <c r="V2525" s="1">
        <v>1</v>
      </c>
      <c r="W2525" s="1">
        <v>0</v>
      </c>
      <c r="X2525" s="1">
        <v>0</v>
      </c>
      <c r="Y2525" s="1" t="s">
        <v>104</v>
      </c>
      <c r="Z2525" s="1" t="s">
        <v>104</v>
      </c>
      <c r="AA2525" s="1" t="s">
        <v>104</v>
      </c>
      <c r="AB2525" s="1">
        <v>6</v>
      </c>
      <c r="AC2525" s="1">
        <v>4</v>
      </c>
      <c r="AD2525" s="1" t="s">
        <v>104</v>
      </c>
      <c r="AE2525" s="1" t="s">
        <v>104</v>
      </c>
      <c r="AF2525" s="1" t="s">
        <v>104</v>
      </c>
      <c r="AG2525" s="1" t="s">
        <v>104</v>
      </c>
      <c r="AH2525" s="1">
        <v>6</v>
      </c>
      <c r="AI2525" s="1" t="s">
        <v>104</v>
      </c>
      <c r="AJ2525" s="1" t="s">
        <v>104</v>
      </c>
      <c r="AK2525" s="1" t="s">
        <v>104</v>
      </c>
      <c r="AL2525" s="1" t="s">
        <v>104</v>
      </c>
      <c r="AM2525" s="1" t="s">
        <v>104</v>
      </c>
      <c r="AO2525" s="1">
        <v>6</v>
      </c>
      <c r="AQ2525" s="1" t="s">
        <v>12897</v>
      </c>
      <c r="AR2525" s="1">
        <v>0</v>
      </c>
      <c r="AS2525" s="1">
        <v>0</v>
      </c>
      <c r="AT2525" s="1">
        <v>0</v>
      </c>
      <c r="AU2525" s="1">
        <v>0</v>
      </c>
      <c r="AV2525" s="1">
        <v>0</v>
      </c>
      <c r="AW2525" s="1">
        <v>0</v>
      </c>
      <c r="AX2525" s="1">
        <v>0</v>
      </c>
      <c r="AY2525" s="1">
        <v>0</v>
      </c>
      <c r="AZ2525" s="1">
        <v>0</v>
      </c>
      <c r="BA2525" s="1">
        <v>0</v>
      </c>
      <c r="BB2525" s="1">
        <v>0</v>
      </c>
      <c r="BC2525" s="1">
        <v>0</v>
      </c>
      <c r="BD2525" s="1">
        <v>0</v>
      </c>
      <c r="BE2525" s="1">
        <v>0</v>
      </c>
      <c r="BF2525" s="1">
        <v>0</v>
      </c>
      <c r="BG2525" s="1">
        <v>0</v>
      </c>
      <c r="BH2525" s="1">
        <v>0</v>
      </c>
      <c r="BI2525" s="1">
        <v>0</v>
      </c>
      <c r="BJ2525" s="1">
        <v>0</v>
      </c>
      <c r="BK2525" s="1">
        <v>0</v>
      </c>
      <c r="BL2525" s="1">
        <v>0</v>
      </c>
      <c r="BM2525" s="1">
        <v>0</v>
      </c>
      <c r="BN2525" s="1">
        <v>0</v>
      </c>
      <c r="BO2525" s="1">
        <v>0</v>
      </c>
      <c r="BP2525" s="1">
        <v>0</v>
      </c>
      <c r="BQ2525" s="1" t="s">
        <v>104</v>
      </c>
      <c r="BR2525" s="1">
        <v>2658</v>
      </c>
      <c r="BS2525" s="1" t="s">
        <v>104</v>
      </c>
      <c r="BX2525" s="1">
        <v>0</v>
      </c>
      <c r="BY2525" s="1" t="s">
        <v>104</v>
      </c>
      <c r="BZ2525" s="1">
        <v>6</v>
      </c>
      <c r="CA2525" s="1" t="s">
        <v>104</v>
      </c>
      <c r="CB2525" s="1" t="s">
        <v>104</v>
      </c>
      <c r="CC2525" s="1" t="s">
        <v>104</v>
      </c>
      <c r="CD2525" s="1" t="s">
        <v>104</v>
      </c>
      <c r="CE2525" s="1" t="s">
        <v>104</v>
      </c>
      <c r="CF2525" s="1" t="s">
        <v>104</v>
      </c>
      <c r="CG2525" s="1" t="s">
        <v>104</v>
      </c>
      <c r="CH2525" s="1">
        <v>4</v>
      </c>
      <c r="CJ2525" s="1">
        <v>0</v>
      </c>
      <c r="CK2525" s="1">
        <v>0</v>
      </c>
      <c r="CL2525" s="1">
        <v>0</v>
      </c>
      <c r="CM2525" s="1" t="s">
        <v>104</v>
      </c>
    </row>
    <row r="2526" spans="1:91" ht="14.25" customHeight="1" x14ac:dyDescent="0.3">
      <c r="A2526" s="1" t="s">
        <v>12898</v>
      </c>
      <c r="B2526" s="1" t="s">
        <v>162</v>
      </c>
      <c r="D2526" s="1" t="s">
        <v>57</v>
      </c>
      <c r="E2526" s="1" t="s">
        <v>12899</v>
      </c>
      <c r="F2526" s="1" t="s">
        <v>95</v>
      </c>
      <c r="G2526" s="1" t="s">
        <v>127</v>
      </c>
      <c r="H2526" s="1">
        <v>0</v>
      </c>
      <c r="I2526" s="1" t="s">
        <v>157</v>
      </c>
      <c r="L2526" s="1" t="s">
        <v>158</v>
      </c>
      <c r="M2526" s="1" t="s">
        <v>4641</v>
      </c>
      <c r="N2526" s="1">
        <v>1</v>
      </c>
      <c r="O2526" s="1">
        <v>0</v>
      </c>
      <c r="R2526" s="1" t="s">
        <v>12900</v>
      </c>
      <c r="S2526" s="1" t="s">
        <v>12702</v>
      </c>
      <c r="T2526" s="1">
        <v>1</v>
      </c>
      <c r="U2526" s="1">
        <v>1</v>
      </c>
      <c r="V2526" s="1">
        <v>0</v>
      </c>
      <c r="W2526" s="1">
        <v>0</v>
      </c>
      <c r="X2526" s="1">
        <v>1</v>
      </c>
      <c r="Y2526" s="1" t="s">
        <v>104</v>
      </c>
      <c r="Z2526" s="1" t="s">
        <v>104</v>
      </c>
      <c r="AA2526" s="1">
        <v>1</v>
      </c>
      <c r="AB2526" s="1" t="s">
        <v>104</v>
      </c>
      <c r="AC2526" s="1" t="s">
        <v>104</v>
      </c>
      <c r="AD2526" s="1" t="s">
        <v>104</v>
      </c>
      <c r="AE2526" s="1">
        <v>1</v>
      </c>
      <c r="AF2526" s="1" t="s">
        <v>104</v>
      </c>
      <c r="AG2526" s="1" t="s">
        <v>104</v>
      </c>
      <c r="AH2526" s="1" t="s">
        <v>104</v>
      </c>
      <c r="AI2526" s="1">
        <v>1</v>
      </c>
      <c r="AJ2526" s="1">
        <v>1</v>
      </c>
      <c r="AK2526" s="1">
        <v>1</v>
      </c>
      <c r="AL2526" s="1" t="s">
        <v>104</v>
      </c>
      <c r="AM2526" s="1" t="s">
        <v>104</v>
      </c>
      <c r="AO2526" s="1">
        <v>1</v>
      </c>
      <c r="AQ2526" s="1" t="s">
        <v>12901</v>
      </c>
      <c r="AR2526" s="1">
        <v>0</v>
      </c>
      <c r="AS2526" s="1">
        <v>0</v>
      </c>
      <c r="AT2526" s="1">
        <v>0</v>
      </c>
      <c r="AU2526" s="1">
        <v>0</v>
      </c>
      <c r="AV2526" s="1">
        <v>0</v>
      </c>
      <c r="AW2526" s="1">
        <v>0</v>
      </c>
      <c r="AX2526" s="1">
        <v>0</v>
      </c>
      <c r="AY2526" s="1">
        <v>0</v>
      </c>
      <c r="AZ2526" s="1">
        <v>0</v>
      </c>
      <c r="BA2526" s="1">
        <v>0</v>
      </c>
      <c r="BB2526" s="1">
        <v>0</v>
      </c>
      <c r="BC2526" s="1">
        <v>0</v>
      </c>
      <c r="BD2526" s="1">
        <v>0</v>
      </c>
      <c r="BE2526" s="1">
        <v>0</v>
      </c>
      <c r="BF2526" s="1">
        <v>1</v>
      </c>
      <c r="BG2526" s="1">
        <v>0</v>
      </c>
      <c r="BH2526" s="1">
        <v>0</v>
      </c>
      <c r="BI2526" s="1">
        <v>0</v>
      </c>
      <c r="BJ2526" s="1">
        <v>0</v>
      </c>
      <c r="BK2526" s="1">
        <v>0</v>
      </c>
      <c r="BL2526" s="1">
        <v>0</v>
      </c>
      <c r="BM2526" s="1">
        <v>0</v>
      </c>
      <c r="BN2526" s="1">
        <v>0</v>
      </c>
      <c r="BO2526" s="1">
        <v>0</v>
      </c>
      <c r="BP2526" s="1">
        <v>0</v>
      </c>
      <c r="BQ2526" s="1" t="s">
        <v>104</v>
      </c>
      <c r="BR2526" s="1">
        <v>2659</v>
      </c>
      <c r="BS2526" s="1" t="s">
        <v>104</v>
      </c>
      <c r="BX2526" s="1">
        <v>0</v>
      </c>
      <c r="BY2526" s="1" t="s">
        <v>104</v>
      </c>
      <c r="BZ2526" s="1" t="s">
        <v>104</v>
      </c>
      <c r="CA2526" s="1" t="s">
        <v>104</v>
      </c>
      <c r="CB2526" s="1" t="s">
        <v>104</v>
      </c>
      <c r="CC2526" s="1" t="s">
        <v>104</v>
      </c>
      <c r="CD2526" s="1" t="s">
        <v>104</v>
      </c>
      <c r="CE2526" s="1" t="s">
        <v>104</v>
      </c>
      <c r="CF2526" s="1" t="s">
        <v>104</v>
      </c>
      <c r="CG2526" s="1" t="s">
        <v>104</v>
      </c>
      <c r="CH2526" s="1" t="s">
        <v>104</v>
      </c>
      <c r="CJ2526" s="1">
        <v>0</v>
      </c>
      <c r="CK2526" s="1">
        <v>0</v>
      </c>
      <c r="CL2526" s="1">
        <v>0</v>
      </c>
      <c r="CM2526" s="1" t="s">
        <v>104</v>
      </c>
    </row>
    <row r="2527" spans="1:91" ht="14.25" customHeight="1" x14ac:dyDescent="0.3">
      <c r="A2527" s="1" t="s">
        <v>12902</v>
      </c>
      <c r="B2527" s="1" t="s">
        <v>92</v>
      </c>
      <c r="C2527" s="1" t="s">
        <v>93</v>
      </c>
      <c r="D2527" s="1" t="s">
        <v>58</v>
      </c>
      <c r="E2527" s="1" t="s">
        <v>7218</v>
      </c>
      <c r="F2527" s="1" t="s">
        <v>95</v>
      </c>
      <c r="G2527" s="1" t="s">
        <v>127</v>
      </c>
      <c r="H2527" s="1">
        <v>0</v>
      </c>
      <c r="I2527" s="1" t="s">
        <v>109</v>
      </c>
      <c r="K2527" s="1" t="s">
        <v>12903</v>
      </c>
      <c r="M2527" s="1" t="s">
        <v>12904</v>
      </c>
      <c r="N2527" s="1">
        <v>0</v>
      </c>
      <c r="O2527" s="1">
        <v>0</v>
      </c>
      <c r="P2527" s="1" t="s">
        <v>100</v>
      </c>
      <c r="Q2527" s="1" t="s">
        <v>184</v>
      </c>
      <c r="R2527" s="1" t="s">
        <v>12905</v>
      </c>
      <c r="S2527" s="1" t="s">
        <v>12702</v>
      </c>
      <c r="T2527" s="1">
        <v>1</v>
      </c>
      <c r="U2527" s="1">
        <v>1</v>
      </c>
      <c r="V2527" s="1">
        <v>0</v>
      </c>
      <c r="W2527" s="1">
        <v>0</v>
      </c>
      <c r="X2527" s="1">
        <v>1</v>
      </c>
      <c r="Y2527" s="1" t="s">
        <v>104</v>
      </c>
      <c r="Z2527" s="1" t="s">
        <v>104</v>
      </c>
      <c r="AA2527" s="1">
        <v>3</v>
      </c>
      <c r="AB2527" s="1" t="s">
        <v>104</v>
      </c>
      <c r="AC2527" s="1" t="s">
        <v>104</v>
      </c>
      <c r="AD2527" s="1" t="s">
        <v>104</v>
      </c>
      <c r="AE2527" s="1">
        <v>2</v>
      </c>
      <c r="AF2527" s="1" t="s">
        <v>104</v>
      </c>
      <c r="AG2527" s="1" t="s">
        <v>104</v>
      </c>
      <c r="AH2527" s="1" t="s">
        <v>104</v>
      </c>
      <c r="AI2527" s="1">
        <v>3</v>
      </c>
      <c r="AJ2527" s="1">
        <v>3</v>
      </c>
      <c r="AK2527" s="1" t="s">
        <v>104</v>
      </c>
      <c r="AL2527" s="1" t="s">
        <v>104</v>
      </c>
      <c r="AM2527" s="1" t="s">
        <v>104</v>
      </c>
      <c r="AO2527" s="1">
        <v>3</v>
      </c>
      <c r="AQ2527" s="1" t="s">
        <v>12906</v>
      </c>
      <c r="AR2527" s="1">
        <v>0</v>
      </c>
      <c r="AS2527" s="1">
        <v>0</v>
      </c>
      <c r="AT2527" s="1">
        <v>0</v>
      </c>
      <c r="AU2527" s="1">
        <v>0</v>
      </c>
      <c r="AV2527" s="1">
        <v>0</v>
      </c>
      <c r="AW2527" s="1">
        <v>0</v>
      </c>
      <c r="AX2527" s="1">
        <v>0</v>
      </c>
      <c r="AY2527" s="1">
        <v>0</v>
      </c>
      <c r="AZ2527" s="1">
        <v>0</v>
      </c>
      <c r="BA2527" s="1">
        <v>0</v>
      </c>
      <c r="BB2527" s="1">
        <v>0</v>
      </c>
      <c r="BC2527" s="1">
        <v>0</v>
      </c>
      <c r="BD2527" s="1">
        <v>0</v>
      </c>
      <c r="BE2527" s="1">
        <v>0</v>
      </c>
      <c r="BF2527" s="1">
        <v>0</v>
      </c>
      <c r="BG2527" s="1">
        <v>1</v>
      </c>
      <c r="BH2527" s="1">
        <v>0</v>
      </c>
      <c r="BI2527" s="1">
        <v>0</v>
      </c>
      <c r="BJ2527" s="1">
        <v>0</v>
      </c>
      <c r="BK2527" s="1">
        <v>0</v>
      </c>
      <c r="BL2527" s="1">
        <v>0</v>
      </c>
      <c r="BM2527" s="1">
        <v>0</v>
      </c>
      <c r="BN2527" s="1">
        <v>0</v>
      </c>
      <c r="BO2527" s="1">
        <v>0</v>
      </c>
      <c r="BP2527" s="1">
        <v>0</v>
      </c>
      <c r="BQ2527" s="1" t="s">
        <v>104</v>
      </c>
      <c r="BR2527" s="1">
        <v>2660</v>
      </c>
      <c r="BS2527" s="1" t="s">
        <v>104</v>
      </c>
      <c r="BX2527" s="1">
        <v>0</v>
      </c>
      <c r="BY2527" s="1" t="s">
        <v>104</v>
      </c>
      <c r="BZ2527" s="1" t="s">
        <v>104</v>
      </c>
      <c r="CA2527" s="1" t="s">
        <v>104</v>
      </c>
      <c r="CB2527" s="1" t="s">
        <v>104</v>
      </c>
      <c r="CC2527" s="1" t="s">
        <v>104</v>
      </c>
      <c r="CD2527" s="1" t="s">
        <v>104</v>
      </c>
      <c r="CE2527" s="1" t="s">
        <v>104</v>
      </c>
      <c r="CF2527" s="1" t="s">
        <v>104</v>
      </c>
      <c r="CG2527" s="1" t="s">
        <v>104</v>
      </c>
      <c r="CH2527" s="1" t="s">
        <v>104</v>
      </c>
      <c r="CJ2527" s="1">
        <v>0</v>
      </c>
      <c r="CK2527" s="1">
        <v>0</v>
      </c>
      <c r="CL2527" s="1">
        <v>0</v>
      </c>
      <c r="CM2527" s="1" t="s">
        <v>104</v>
      </c>
    </row>
    <row r="2528" spans="1:91" ht="14.25" customHeight="1" x14ac:dyDescent="0.3">
      <c r="A2528" s="1" t="s">
        <v>12907</v>
      </c>
      <c r="B2528" s="1" t="s">
        <v>507</v>
      </c>
      <c r="C2528" s="1" t="s">
        <v>1767</v>
      </c>
      <c r="E2528" s="1" t="s">
        <v>12908</v>
      </c>
      <c r="F2528" s="1" t="s">
        <v>95</v>
      </c>
      <c r="G2528" s="1" t="s">
        <v>116</v>
      </c>
      <c r="H2528" s="1">
        <v>0</v>
      </c>
      <c r="I2528" s="1" t="s">
        <v>157</v>
      </c>
      <c r="L2528" s="1" t="s">
        <v>158</v>
      </c>
      <c r="M2528" s="1" t="s">
        <v>2330</v>
      </c>
      <c r="N2528" s="1">
        <v>0</v>
      </c>
      <c r="O2528" s="1">
        <v>0</v>
      </c>
      <c r="R2528" s="1" t="s">
        <v>12909</v>
      </c>
      <c r="S2528" s="1" t="s">
        <v>12702</v>
      </c>
      <c r="T2528" s="1">
        <v>1</v>
      </c>
      <c r="U2528" s="1">
        <v>1</v>
      </c>
      <c r="V2528" s="1">
        <v>0</v>
      </c>
      <c r="W2528" s="1">
        <v>0</v>
      </c>
      <c r="X2528" s="1">
        <v>0</v>
      </c>
      <c r="Y2528" s="1">
        <v>4</v>
      </c>
      <c r="Z2528" s="1">
        <v>4</v>
      </c>
      <c r="AA2528" s="1" t="s">
        <v>104</v>
      </c>
      <c r="AB2528" s="1" t="s">
        <v>104</v>
      </c>
      <c r="AC2528" s="1" t="s">
        <v>104</v>
      </c>
      <c r="AD2528" s="1">
        <v>4</v>
      </c>
      <c r="AE2528" s="1" t="s">
        <v>104</v>
      </c>
      <c r="AF2528" s="1" t="s">
        <v>104</v>
      </c>
      <c r="AG2528" s="1" t="s">
        <v>104</v>
      </c>
      <c r="AH2528" s="1" t="s">
        <v>104</v>
      </c>
      <c r="AI2528" s="1" t="s">
        <v>104</v>
      </c>
      <c r="AJ2528" s="1" t="s">
        <v>104</v>
      </c>
      <c r="AK2528" s="1" t="s">
        <v>104</v>
      </c>
      <c r="AL2528" s="1" t="s">
        <v>104</v>
      </c>
      <c r="AM2528" s="1" t="s">
        <v>104</v>
      </c>
      <c r="AO2528" s="1">
        <v>4</v>
      </c>
      <c r="AQ2528" s="1" t="s">
        <v>12910</v>
      </c>
      <c r="AR2528" s="1">
        <v>0</v>
      </c>
      <c r="AS2528" s="1">
        <v>0</v>
      </c>
      <c r="AT2528" s="1">
        <v>0</v>
      </c>
      <c r="AU2528" s="1">
        <v>0</v>
      </c>
      <c r="AV2528" s="1">
        <v>0</v>
      </c>
      <c r="AW2528" s="1">
        <v>0</v>
      </c>
      <c r="AX2528" s="1">
        <v>0</v>
      </c>
      <c r="AY2528" s="1">
        <v>0</v>
      </c>
      <c r="AZ2528" s="1">
        <v>0</v>
      </c>
      <c r="BA2528" s="1">
        <v>0</v>
      </c>
      <c r="BB2528" s="1">
        <v>0</v>
      </c>
      <c r="BC2528" s="1">
        <v>0</v>
      </c>
      <c r="BD2528" s="1">
        <v>0</v>
      </c>
      <c r="BE2528" s="1">
        <v>0</v>
      </c>
      <c r="BF2528" s="1">
        <v>0</v>
      </c>
      <c r="BG2528" s="1">
        <v>0</v>
      </c>
      <c r="BH2528" s="1">
        <v>0</v>
      </c>
      <c r="BI2528" s="1">
        <v>0</v>
      </c>
      <c r="BJ2528" s="1">
        <v>0</v>
      </c>
      <c r="BK2528" s="1">
        <v>0</v>
      </c>
      <c r="BL2528" s="1">
        <v>0</v>
      </c>
      <c r="BM2528" s="1">
        <v>0</v>
      </c>
      <c r="BN2528" s="1">
        <v>0</v>
      </c>
      <c r="BO2528" s="1">
        <v>0</v>
      </c>
      <c r="BP2528" s="1">
        <v>0</v>
      </c>
      <c r="BQ2528" s="1" t="s">
        <v>104</v>
      </c>
      <c r="BR2528" s="1">
        <v>2661</v>
      </c>
      <c r="BS2528" s="1" t="s">
        <v>104</v>
      </c>
      <c r="BX2528" s="1">
        <v>0</v>
      </c>
      <c r="BY2528" s="1">
        <v>4</v>
      </c>
      <c r="BZ2528" s="1" t="s">
        <v>104</v>
      </c>
      <c r="CA2528" s="1">
        <v>4</v>
      </c>
      <c r="CB2528" s="1">
        <v>3</v>
      </c>
      <c r="CC2528" s="1">
        <v>4</v>
      </c>
      <c r="CD2528" s="1" t="s">
        <v>104</v>
      </c>
      <c r="CE2528" s="1" t="s">
        <v>104</v>
      </c>
      <c r="CF2528" s="1" t="s">
        <v>104</v>
      </c>
      <c r="CG2528" s="1" t="s">
        <v>104</v>
      </c>
      <c r="CH2528" s="1" t="s">
        <v>104</v>
      </c>
      <c r="CJ2528" s="1">
        <v>0</v>
      </c>
      <c r="CK2528" s="1">
        <v>0</v>
      </c>
      <c r="CL2528" s="1">
        <v>0</v>
      </c>
      <c r="CM2528" s="1" t="s">
        <v>104</v>
      </c>
    </row>
    <row r="2529" spans="1:91" ht="14.25" customHeight="1" x14ac:dyDescent="0.3">
      <c r="A2529" s="1" t="s">
        <v>12911</v>
      </c>
      <c r="B2529" s="1" t="s">
        <v>216</v>
      </c>
      <c r="D2529" s="1" t="s">
        <v>9230</v>
      </c>
      <c r="E2529" s="1" t="s">
        <v>12912</v>
      </c>
      <c r="F2529" s="1" t="s">
        <v>95</v>
      </c>
      <c r="G2529" s="1" t="s">
        <v>12913</v>
      </c>
      <c r="H2529" s="1">
        <v>0</v>
      </c>
      <c r="I2529" s="1" t="s">
        <v>117</v>
      </c>
      <c r="L2529" s="1" t="s">
        <v>12914</v>
      </c>
      <c r="M2529" s="1" t="s">
        <v>111</v>
      </c>
      <c r="N2529" s="1">
        <v>0</v>
      </c>
      <c r="O2529" s="1">
        <v>0</v>
      </c>
      <c r="P2529" s="1" t="s">
        <v>211</v>
      </c>
      <c r="Q2529" s="1" t="s">
        <v>184</v>
      </c>
      <c r="R2529" s="1" t="s">
        <v>12915</v>
      </c>
      <c r="S2529" s="1" t="s">
        <v>12702</v>
      </c>
      <c r="T2529" s="1">
        <v>1</v>
      </c>
      <c r="U2529" s="1">
        <v>1</v>
      </c>
      <c r="V2529" s="1">
        <v>1</v>
      </c>
      <c r="W2529" s="1">
        <v>0</v>
      </c>
      <c r="X2529" s="1">
        <v>1</v>
      </c>
      <c r="Y2529" s="1">
        <v>4</v>
      </c>
      <c r="Z2529" s="1">
        <v>4</v>
      </c>
      <c r="AA2529" s="1">
        <v>4</v>
      </c>
      <c r="AB2529" s="1" t="s">
        <v>104</v>
      </c>
      <c r="AC2529" s="1" t="s">
        <v>104</v>
      </c>
      <c r="AD2529" s="1" t="s">
        <v>104</v>
      </c>
      <c r="AE2529" s="1" t="s">
        <v>104</v>
      </c>
      <c r="AF2529" s="1" t="s">
        <v>104</v>
      </c>
      <c r="AG2529" s="1" t="s">
        <v>104</v>
      </c>
      <c r="AH2529" s="1">
        <v>4</v>
      </c>
      <c r="AI2529" s="1" t="s">
        <v>104</v>
      </c>
      <c r="AJ2529" s="1">
        <v>4</v>
      </c>
      <c r="AK2529" s="1">
        <v>3</v>
      </c>
      <c r="AL2529" s="1" t="s">
        <v>104</v>
      </c>
      <c r="AM2529" s="1" t="s">
        <v>104</v>
      </c>
      <c r="AO2529" s="1">
        <v>4</v>
      </c>
      <c r="AQ2529" s="1" t="s">
        <v>12916</v>
      </c>
      <c r="AR2529" s="1">
        <v>0</v>
      </c>
      <c r="AS2529" s="1">
        <v>0</v>
      </c>
      <c r="AT2529" s="1">
        <v>0</v>
      </c>
      <c r="AU2529" s="1">
        <v>0</v>
      </c>
      <c r="AV2529" s="1">
        <v>0</v>
      </c>
      <c r="AW2529" s="1">
        <v>0</v>
      </c>
      <c r="AX2529" s="1">
        <v>0</v>
      </c>
      <c r="AY2529" s="1">
        <v>0</v>
      </c>
      <c r="AZ2529" s="1">
        <v>0</v>
      </c>
      <c r="BA2529" s="1">
        <v>0</v>
      </c>
      <c r="BB2529" s="1">
        <v>0</v>
      </c>
      <c r="BC2529" s="1">
        <v>1</v>
      </c>
      <c r="BD2529" s="1">
        <v>0</v>
      </c>
      <c r="BE2529" s="1">
        <v>0</v>
      </c>
      <c r="BF2529" s="1">
        <v>0</v>
      </c>
      <c r="BG2529" s="1">
        <v>0</v>
      </c>
      <c r="BH2529" s="1">
        <v>0</v>
      </c>
      <c r="BI2529" s="1">
        <v>0</v>
      </c>
      <c r="BJ2529" s="1">
        <v>0</v>
      </c>
      <c r="BK2529" s="1">
        <v>1</v>
      </c>
      <c r="BL2529" s="1">
        <v>0</v>
      </c>
      <c r="BM2529" s="1">
        <v>0</v>
      </c>
      <c r="BN2529" s="1">
        <v>0</v>
      </c>
      <c r="BO2529" s="1">
        <v>0</v>
      </c>
      <c r="BP2529" s="1">
        <v>0</v>
      </c>
      <c r="BQ2529" s="1" t="s">
        <v>104</v>
      </c>
      <c r="BR2529" s="1">
        <v>2662</v>
      </c>
      <c r="BS2529" s="1" t="s">
        <v>104</v>
      </c>
      <c r="BX2529" s="1">
        <v>0</v>
      </c>
      <c r="BY2529" s="1" t="s">
        <v>104</v>
      </c>
      <c r="BZ2529" s="1">
        <v>4</v>
      </c>
      <c r="CA2529" s="1">
        <v>4</v>
      </c>
      <c r="CB2529" s="1" t="s">
        <v>104</v>
      </c>
      <c r="CC2529" s="1" t="s">
        <v>104</v>
      </c>
      <c r="CD2529" s="1" t="s">
        <v>104</v>
      </c>
      <c r="CE2529" s="1">
        <v>4</v>
      </c>
      <c r="CF2529" s="1" t="s">
        <v>104</v>
      </c>
      <c r="CG2529" s="1" t="s">
        <v>104</v>
      </c>
      <c r="CH2529" s="1" t="s">
        <v>104</v>
      </c>
      <c r="CJ2529" s="1">
        <v>0</v>
      </c>
      <c r="CK2529" s="1">
        <v>0</v>
      </c>
      <c r="CL2529" s="1">
        <v>0</v>
      </c>
      <c r="CM2529" s="1" t="s">
        <v>104</v>
      </c>
    </row>
    <row r="2530" spans="1:91" ht="14.25" customHeight="1" x14ac:dyDescent="0.3">
      <c r="A2530" s="1" t="s">
        <v>12917</v>
      </c>
      <c r="B2530" s="1" t="s">
        <v>216</v>
      </c>
      <c r="D2530" s="1" t="s">
        <v>9230</v>
      </c>
      <c r="E2530" s="1" t="s">
        <v>12918</v>
      </c>
      <c r="F2530" s="1" t="s">
        <v>95</v>
      </c>
      <c r="G2530" s="1" t="s">
        <v>12913</v>
      </c>
      <c r="H2530" s="1">
        <v>0</v>
      </c>
      <c r="I2530" s="1" t="s">
        <v>117</v>
      </c>
      <c r="L2530" s="1" t="s">
        <v>12919</v>
      </c>
      <c r="M2530" s="1" t="s">
        <v>111</v>
      </c>
      <c r="N2530" s="1">
        <v>0</v>
      </c>
      <c r="O2530" s="1">
        <v>0</v>
      </c>
      <c r="P2530" s="1" t="s">
        <v>211</v>
      </c>
      <c r="Q2530" s="1" t="s">
        <v>184</v>
      </c>
      <c r="R2530" s="1" t="s">
        <v>12920</v>
      </c>
      <c r="S2530" s="1" t="s">
        <v>12702</v>
      </c>
      <c r="T2530" s="1">
        <v>1</v>
      </c>
      <c r="U2530" s="1">
        <v>1</v>
      </c>
      <c r="V2530" s="1">
        <v>1</v>
      </c>
      <c r="W2530" s="1">
        <v>0</v>
      </c>
      <c r="X2530" s="1">
        <v>1</v>
      </c>
      <c r="Y2530" s="1">
        <v>7</v>
      </c>
      <c r="Z2530" s="1">
        <v>7</v>
      </c>
      <c r="AA2530" s="1">
        <v>7</v>
      </c>
      <c r="AB2530" s="1" t="s">
        <v>104</v>
      </c>
      <c r="AC2530" s="1" t="s">
        <v>104</v>
      </c>
      <c r="AD2530" s="1" t="s">
        <v>104</v>
      </c>
      <c r="AE2530" s="1" t="s">
        <v>104</v>
      </c>
      <c r="AF2530" s="1" t="s">
        <v>104</v>
      </c>
      <c r="AG2530" s="1" t="s">
        <v>104</v>
      </c>
      <c r="AH2530" s="1">
        <v>7</v>
      </c>
      <c r="AI2530" s="1" t="s">
        <v>104</v>
      </c>
      <c r="AJ2530" s="1">
        <v>7</v>
      </c>
      <c r="AK2530" s="1" t="s">
        <v>104</v>
      </c>
      <c r="AL2530" s="1" t="s">
        <v>104</v>
      </c>
      <c r="AM2530" s="1" t="s">
        <v>104</v>
      </c>
      <c r="AO2530" s="1">
        <v>7</v>
      </c>
      <c r="AQ2530" s="1" t="s">
        <v>12921</v>
      </c>
      <c r="AR2530" s="1">
        <v>0</v>
      </c>
      <c r="AS2530" s="1">
        <v>0</v>
      </c>
      <c r="AT2530" s="1">
        <v>0</v>
      </c>
      <c r="AU2530" s="1">
        <v>0</v>
      </c>
      <c r="AV2530" s="1">
        <v>0</v>
      </c>
      <c r="AW2530" s="1">
        <v>0</v>
      </c>
      <c r="AX2530" s="1">
        <v>0</v>
      </c>
      <c r="AY2530" s="1">
        <v>0</v>
      </c>
      <c r="AZ2530" s="1">
        <v>0</v>
      </c>
      <c r="BA2530" s="1">
        <v>0</v>
      </c>
      <c r="BB2530" s="1">
        <v>0</v>
      </c>
      <c r="BC2530" s="1">
        <v>1</v>
      </c>
      <c r="BD2530" s="1">
        <v>0</v>
      </c>
      <c r="BE2530" s="1">
        <v>0</v>
      </c>
      <c r="BF2530" s="1">
        <v>0</v>
      </c>
      <c r="BG2530" s="1">
        <v>0</v>
      </c>
      <c r="BH2530" s="1">
        <v>0</v>
      </c>
      <c r="BI2530" s="1">
        <v>0</v>
      </c>
      <c r="BJ2530" s="1">
        <v>0</v>
      </c>
      <c r="BK2530" s="1">
        <v>1</v>
      </c>
      <c r="BL2530" s="1">
        <v>0</v>
      </c>
      <c r="BM2530" s="1">
        <v>0</v>
      </c>
      <c r="BN2530" s="1">
        <v>0</v>
      </c>
      <c r="BO2530" s="1">
        <v>0</v>
      </c>
      <c r="BP2530" s="1">
        <v>0</v>
      </c>
      <c r="BQ2530" s="1" t="s">
        <v>104</v>
      </c>
      <c r="BR2530" s="1">
        <v>2663</v>
      </c>
      <c r="BS2530" s="1" t="s">
        <v>104</v>
      </c>
      <c r="BX2530" s="1">
        <v>0</v>
      </c>
      <c r="BY2530" s="1" t="s">
        <v>104</v>
      </c>
      <c r="BZ2530" s="1">
        <v>7</v>
      </c>
      <c r="CA2530" s="1">
        <v>7</v>
      </c>
      <c r="CB2530" s="1" t="s">
        <v>104</v>
      </c>
      <c r="CC2530" s="1" t="s">
        <v>104</v>
      </c>
      <c r="CD2530" s="1" t="s">
        <v>104</v>
      </c>
      <c r="CE2530" s="1">
        <v>6</v>
      </c>
      <c r="CF2530" s="1" t="s">
        <v>104</v>
      </c>
      <c r="CG2530" s="1" t="s">
        <v>104</v>
      </c>
      <c r="CH2530" s="1" t="s">
        <v>104</v>
      </c>
      <c r="CJ2530" s="1">
        <v>0</v>
      </c>
      <c r="CK2530" s="1">
        <v>0</v>
      </c>
      <c r="CL2530" s="1">
        <v>0</v>
      </c>
      <c r="CM2530" s="1" t="s">
        <v>104</v>
      </c>
    </row>
    <row r="2531" spans="1:91" ht="14.25" customHeight="1" x14ac:dyDescent="0.3">
      <c r="A2531" s="1" t="s">
        <v>12922</v>
      </c>
      <c r="B2531" s="1" t="s">
        <v>507</v>
      </c>
      <c r="C2531" s="1" t="s">
        <v>1767</v>
      </c>
      <c r="E2531" s="1" t="s">
        <v>12923</v>
      </c>
      <c r="F2531" s="1" t="s">
        <v>95</v>
      </c>
      <c r="G2531" s="1" t="s">
        <v>12924</v>
      </c>
      <c r="H2531" s="1">
        <v>0</v>
      </c>
      <c r="I2531" s="1" t="s">
        <v>109</v>
      </c>
      <c r="J2531" s="1" t="s">
        <v>12925</v>
      </c>
      <c r="M2531" s="1" t="s">
        <v>2330</v>
      </c>
      <c r="N2531" s="1">
        <v>0</v>
      </c>
      <c r="O2531" s="1">
        <v>1</v>
      </c>
      <c r="P2531" s="1" t="s">
        <v>211</v>
      </c>
      <c r="Q2531" s="1" t="s">
        <v>184</v>
      </c>
      <c r="R2531" s="1" t="s">
        <v>12926</v>
      </c>
      <c r="S2531" s="1" t="s">
        <v>12702</v>
      </c>
      <c r="T2531" s="1">
        <v>1</v>
      </c>
      <c r="U2531" s="1">
        <v>1</v>
      </c>
      <c r="V2531" s="1">
        <v>1</v>
      </c>
      <c r="W2531" s="1">
        <v>0</v>
      </c>
      <c r="X2531" s="1">
        <v>0</v>
      </c>
      <c r="Y2531" s="1">
        <v>5</v>
      </c>
      <c r="Z2531" s="1">
        <v>5</v>
      </c>
      <c r="AA2531" s="1" t="s">
        <v>104</v>
      </c>
      <c r="AB2531" s="1" t="s">
        <v>104</v>
      </c>
      <c r="AC2531" s="1" t="s">
        <v>104</v>
      </c>
      <c r="AD2531" s="1" t="s">
        <v>104</v>
      </c>
      <c r="AE2531" s="1" t="s">
        <v>104</v>
      </c>
      <c r="AF2531" s="1" t="s">
        <v>104</v>
      </c>
      <c r="AG2531" s="1" t="s">
        <v>104</v>
      </c>
      <c r="AH2531" s="1" t="s">
        <v>104</v>
      </c>
      <c r="AI2531" s="1" t="s">
        <v>104</v>
      </c>
      <c r="AJ2531" s="1" t="s">
        <v>104</v>
      </c>
      <c r="AK2531" s="1" t="s">
        <v>104</v>
      </c>
      <c r="AL2531" s="1" t="s">
        <v>104</v>
      </c>
      <c r="AM2531" s="1" t="s">
        <v>104</v>
      </c>
      <c r="AO2531" s="1">
        <v>5</v>
      </c>
      <c r="AQ2531" s="1" t="s">
        <v>12927</v>
      </c>
      <c r="AR2531" s="1">
        <v>0</v>
      </c>
      <c r="AS2531" s="1">
        <v>0</v>
      </c>
      <c r="AT2531" s="1">
        <v>0</v>
      </c>
      <c r="AU2531" s="1">
        <v>0</v>
      </c>
      <c r="AV2531" s="1">
        <v>0</v>
      </c>
      <c r="AW2531" s="1">
        <v>0</v>
      </c>
      <c r="AX2531" s="1">
        <v>0</v>
      </c>
      <c r="AY2531" s="1">
        <v>0</v>
      </c>
      <c r="AZ2531" s="1">
        <v>0</v>
      </c>
      <c r="BA2531" s="1">
        <v>0</v>
      </c>
      <c r="BB2531" s="1">
        <v>0</v>
      </c>
      <c r="BC2531" s="1">
        <v>0</v>
      </c>
      <c r="BD2531" s="1">
        <v>0</v>
      </c>
      <c r="BE2531" s="1">
        <v>0</v>
      </c>
      <c r="BF2531" s="1">
        <v>0</v>
      </c>
      <c r="BG2531" s="1">
        <v>0</v>
      </c>
      <c r="BH2531" s="1">
        <v>0</v>
      </c>
      <c r="BI2531" s="1">
        <v>0</v>
      </c>
      <c r="BJ2531" s="1">
        <v>0</v>
      </c>
      <c r="BK2531" s="1">
        <v>0</v>
      </c>
      <c r="BL2531" s="1">
        <v>0</v>
      </c>
      <c r="BM2531" s="1">
        <v>0</v>
      </c>
      <c r="BN2531" s="1">
        <v>0</v>
      </c>
      <c r="BO2531" s="1">
        <v>0</v>
      </c>
      <c r="BP2531" s="1">
        <v>0</v>
      </c>
      <c r="BQ2531" s="1" t="s">
        <v>104</v>
      </c>
      <c r="BR2531" s="1">
        <v>2664</v>
      </c>
      <c r="BS2531" s="1" t="s">
        <v>104</v>
      </c>
      <c r="BX2531" s="1">
        <v>0</v>
      </c>
      <c r="BY2531" s="1" t="s">
        <v>104</v>
      </c>
      <c r="BZ2531" s="1" t="s">
        <v>104</v>
      </c>
      <c r="CA2531" s="1">
        <v>5</v>
      </c>
      <c r="CB2531" s="1">
        <v>3</v>
      </c>
      <c r="CC2531" s="1">
        <v>4</v>
      </c>
      <c r="CD2531" s="1">
        <v>4</v>
      </c>
      <c r="CE2531" s="1" t="s">
        <v>104</v>
      </c>
      <c r="CF2531" s="1" t="s">
        <v>104</v>
      </c>
      <c r="CG2531" s="1" t="s">
        <v>104</v>
      </c>
      <c r="CH2531" s="1" t="s">
        <v>104</v>
      </c>
      <c r="CJ2531" s="1">
        <v>0</v>
      </c>
      <c r="CK2531" s="1">
        <v>0</v>
      </c>
      <c r="CL2531" s="1">
        <v>0</v>
      </c>
      <c r="CM2531" s="1" t="s">
        <v>104</v>
      </c>
    </row>
    <row r="2532" spans="1:91" ht="14.25" customHeight="1" x14ac:dyDescent="0.3">
      <c r="A2532" s="1" t="s">
        <v>12928</v>
      </c>
      <c r="B2532" s="1" t="s">
        <v>216</v>
      </c>
      <c r="E2532" s="1" t="s">
        <v>742</v>
      </c>
      <c r="F2532" s="1" t="s">
        <v>95</v>
      </c>
      <c r="G2532" s="1" t="s">
        <v>12929</v>
      </c>
      <c r="H2532" s="1">
        <v>0</v>
      </c>
      <c r="I2532" s="1" t="s">
        <v>12930</v>
      </c>
      <c r="J2532" s="1" t="s">
        <v>12931</v>
      </c>
      <c r="M2532" s="1" t="s">
        <v>119</v>
      </c>
      <c r="N2532" s="1">
        <v>0</v>
      </c>
      <c r="O2532" s="1">
        <v>0</v>
      </c>
      <c r="P2532" s="1" t="s">
        <v>2127</v>
      </c>
      <c r="Q2532" s="1" t="s">
        <v>184</v>
      </c>
      <c r="R2532" s="1" t="s">
        <v>12932</v>
      </c>
      <c r="S2532" s="1" t="s">
        <v>12702</v>
      </c>
      <c r="T2532" s="1">
        <v>1</v>
      </c>
      <c r="U2532" s="1">
        <v>1</v>
      </c>
      <c r="V2532" s="1">
        <v>1</v>
      </c>
      <c r="W2532" s="1">
        <v>0</v>
      </c>
      <c r="X2532" s="1">
        <v>0</v>
      </c>
      <c r="Y2532" s="1" t="s">
        <v>104</v>
      </c>
      <c r="Z2532" s="1" t="s">
        <v>104</v>
      </c>
      <c r="AA2532" s="1" t="s">
        <v>104</v>
      </c>
      <c r="AB2532" s="1">
        <v>4</v>
      </c>
      <c r="AC2532" s="1">
        <v>3</v>
      </c>
      <c r="AD2532" s="1" t="s">
        <v>104</v>
      </c>
      <c r="AE2532" s="1" t="s">
        <v>104</v>
      </c>
      <c r="AF2532" s="1" t="s">
        <v>104</v>
      </c>
      <c r="AG2532" s="1" t="s">
        <v>104</v>
      </c>
      <c r="AH2532" s="1" t="s">
        <v>104</v>
      </c>
      <c r="AI2532" s="1" t="s">
        <v>104</v>
      </c>
      <c r="AJ2532" s="1" t="s">
        <v>104</v>
      </c>
      <c r="AK2532" s="1" t="s">
        <v>104</v>
      </c>
      <c r="AL2532" s="1" t="s">
        <v>104</v>
      </c>
      <c r="AM2532" s="1" t="s">
        <v>104</v>
      </c>
      <c r="AO2532" s="1">
        <v>4</v>
      </c>
      <c r="AQ2532" s="1" t="s">
        <v>12933</v>
      </c>
      <c r="AR2532" s="1">
        <v>0</v>
      </c>
      <c r="AS2532" s="1">
        <v>0</v>
      </c>
      <c r="AT2532" s="1">
        <v>0</v>
      </c>
      <c r="AU2532" s="1">
        <v>0</v>
      </c>
      <c r="AV2532" s="1">
        <v>0</v>
      </c>
      <c r="AW2532" s="1">
        <v>0</v>
      </c>
      <c r="AX2532" s="1">
        <v>0</v>
      </c>
      <c r="AY2532" s="1">
        <v>0</v>
      </c>
      <c r="AZ2532" s="1">
        <v>0</v>
      </c>
      <c r="BA2532" s="1">
        <v>0</v>
      </c>
      <c r="BB2532" s="1">
        <v>0</v>
      </c>
      <c r="BC2532" s="1">
        <v>0</v>
      </c>
      <c r="BD2532" s="1">
        <v>0</v>
      </c>
      <c r="BE2532" s="1">
        <v>0</v>
      </c>
      <c r="BF2532" s="1">
        <v>0</v>
      </c>
      <c r="BG2532" s="1">
        <v>0</v>
      </c>
      <c r="BH2532" s="1">
        <v>0</v>
      </c>
      <c r="BI2532" s="1">
        <v>0</v>
      </c>
      <c r="BJ2532" s="1">
        <v>0</v>
      </c>
      <c r="BK2532" s="1">
        <v>0</v>
      </c>
      <c r="BL2532" s="1">
        <v>0</v>
      </c>
      <c r="BM2532" s="1">
        <v>0</v>
      </c>
      <c r="BN2532" s="1">
        <v>0</v>
      </c>
      <c r="BO2532" s="1">
        <v>0</v>
      </c>
      <c r="BP2532" s="1">
        <v>0</v>
      </c>
      <c r="BQ2532" s="1" t="s">
        <v>104</v>
      </c>
      <c r="BR2532" s="1">
        <v>2665</v>
      </c>
      <c r="BS2532" s="1" t="s">
        <v>104</v>
      </c>
      <c r="BX2532" s="1">
        <v>0</v>
      </c>
      <c r="BY2532" s="1" t="s">
        <v>104</v>
      </c>
      <c r="BZ2532" s="1">
        <v>4</v>
      </c>
      <c r="CA2532" s="1" t="s">
        <v>104</v>
      </c>
      <c r="CB2532" s="1" t="s">
        <v>104</v>
      </c>
      <c r="CC2532" s="1" t="s">
        <v>104</v>
      </c>
      <c r="CD2532" s="1" t="s">
        <v>104</v>
      </c>
      <c r="CE2532" s="1" t="s">
        <v>104</v>
      </c>
      <c r="CF2532" s="1" t="s">
        <v>104</v>
      </c>
      <c r="CG2532" s="1" t="s">
        <v>104</v>
      </c>
      <c r="CH2532" s="1">
        <v>3</v>
      </c>
      <c r="CJ2532" s="1">
        <v>0</v>
      </c>
      <c r="CK2532" s="1">
        <v>0</v>
      </c>
      <c r="CL2532" s="1">
        <v>0</v>
      </c>
      <c r="CM2532" s="1" t="s">
        <v>104</v>
      </c>
    </row>
    <row r="2533" spans="1:91" ht="14.25" customHeight="1" x14ac:dyDescent="0.3">
      <c r="A2533" s="1" t="s">
        <v>12934</v>
      </c>
      <c r="B2533" s="1" t="s">
        <v>172</v>
      </c>
      <c r="E2533" s="1" t="s">
        <v>12935</v>
      </c>
      <c r="F2533" s="1" t="s">
        <v>95</v>
      </c>
      <c r="G2533" s="1" t="s">
        <v>12936</v>
      </c>
      <c r="H2533" s="1">
        <v>0</v>
      </c>
      <c r="I2533" s="1" t="s">
        <v>97</v>
      </c>
      <c r="J2533" s="1" t="s">
        <v>12937</v>
      </c>
      <c r="M2533" s="1" t="s">
        <v>2330</v>
      </c>
      <c r="N2533" s="1">
        <v>0</v>
      </c>
      <c r="O2533" s="1">
        <v>0</v>
      </c>
      <c r="P2533" s="1" t="s">
        <v>100</v>
      </c>
      <c r="Q2533" s="1" t="s">
        <v>101</v>
      </c>
      <c r="R2533" s="1" t="s">
        <v>12938</v>
      </c>
      <c r="S2533" s="1" t="s">
        <v>12702</v>
      </c>
      <c r="T2533" s="1">
        <v>1</v>
      </c>
      <c r="U2533" s="1">
        <v>1</v>
      </c>
      <c r="V2533" s="1">
        <v>0</v>
      </c>
      <c r="W2533" s="1">
        <v>0</v>
      </c>
      <c r="X2533" s="1">
        <v>1</v>
      </c>
      <c r="Y2533" s="1">
        <v>5</v>
      </c>
      <c r="Z2533" s="1">
        <v>5</v>
      </c>
      <c r="AA2533" s="1">
        <v>5</v>
      </c>
      <c r="AB2533" s="1" t="s">
        <v>104</v>
      </c>
      <c r="AC2533" s="1" t="s">
        <v>104</v>
      </c>
      <c r="AD2533" s="1">
        <v>5</v>
      </c>
      <c r="AE2533" s="1" t="s">
        <v>104</v>
      </c>
      <c r="AF2533" s="1" t="s">
        <v>104</v>
      </c>
      <c r="AG2533" s="1">
        <v>5</v>
      </c>
      <c r="AH2533" s="1" t="s">
        <v>104</v>
      </c>
      <c r="AI2533" s="1" t="s">
        <v>104</v>
      </c>
      <c r="AJ2533" s="1">
        <v>5</v>
      </c>
      <c r="AK2533" s="1" t="s">
        <v>104</v>
      </c>
      <c r="AL2533" s="1" t="s">
        <v>104</v>
      </c>
      <c r="AM2533" s="1" t="s">
        <v>104</v>
      </c>
      <c r="AO2533" s="1">
        <v>5</v>
      </c>
      <c r="AQ2533" s="1" t="s">
        <v>12939</v>
      </c>
      <c r="AR2533" s="1">
        <v>0</v>
      </c>
      <c r="AS2533" s="1">
        <v>0</v>
      </c>
      <c r="AT2533" s="1">
        <v>0</v>
      </c>
      <c r="AU2533" s="1">
        <v>0</v>
      </c>
      <c r="AV2533" s="1">
        <v>0</v>
      </c>
      <c r="AW2533" s="1">
        <v>0</v>
      </c>
      <c r="AX2533" s="1">
        <v>0</v>
      </c>
      <c r="AY2533" s="1">
        <v>0</v>
      </c>
      <c r="AZ2533" s="1">
        <v>0</v>
      </c>
      <c r="BA2533" s="1">
        <v>0</v>
      </c>
      <c r="BB2533" s="1">
        <v>0</v>
      </c>
      <c r="BC2533" s="1">
        <v>0</v>
      </c>
      <c r="BD2533" s="1">
        <v>0</v>
      </c>
      <c r="BE2533" s="1">
        <v>0</v>
      </c>
      <c r="BF2533" s="1">
        <v>0</v>
      </c>
      <c r="BG2533" s="1">
        <v>0</v>
      </c>
      <c r="BH2533" s="1">
        <v>0</v>
      </c>
      <c r="BI2533" s="1">
        <v>0</v>
      </c>
      <c r="BJ2533" s="1">
        <v>0</v>
      </c>
      <c r="BK2533" s="1">
        <v>0</v>
      </c>
      <c r="BL2533" s="1">
        <v>0</v>
      </c>
      <c r="BM2533" s="1">
        <v>0</v>
      </c>
      <c r="BN2533" s="1">
        <v>0</v>
      </c>
      <c r="BO2533" s="1">
        <v>0</v>
      </c>
      <c r="BP2533" s="1">
        <v>0</v>
      </c>
      <c r="BQ2533" s="1" t="s">
        <v>104</v>
      </c>
      <c r="BR2533" s="1">
        <v>2666</v>
      </c>
      <c r="BS2533" s="1" t="s">
        <v>104</v>
      </c>
      <c r="BX2533" s="1">
        <v>0</v>
      </c>
      <c r="BY2533" s="1" t="s">
        <v>104</v>
      </c>
      <c r="BZ2533" s="1" t="s">
        <v>104</v>
      </c>
      <c r="CA2533" s="1">
        <v>5</v>
      </c>
      <c r="CB2533" s="1" t="s">
        <v>104</v>
      </c>
      <c r="CC2533" s="1" t="s">
        <v>104</v>
      </c>
      <c r="CD2533" s="1">
        <v>5</v>
      </c>
      <c r="CE2533" s="1" t="s">
        <v>104</v>
      </c>
      <c r="CF2533" s="1" t="s">
        <v>104</v>
      </c>
      <c r="CG2533" s="1" t="s">
        <v>104</v>
      </c>
      <c r="CH2533" s="1" t="s">
        <v>104</v>
      </c>
      <c r="CJ2533" s="1">
        <v>0</v>
      </c>
      <c r="CK2533" s="1">
        <v>0</v>
      </c>
      <c r="CL2533" s="1">
        <v>0</v>
      </c>
      <c r="CM2533" s="1">
        <v>5</v>
      </c>
    </row>
    <row r="2534" spans="1:91" ht="14.25" customHeight="1" x14ac:dyDescent="0.3">
      <c r="A2534" s="1" t="s">
        <v>12940</v>
      </c>
      <c r="B2534" s="1" t="s">
        <v>123</v>
      </c>
      <c r="C2534" s="1" t="s">
        <v>124</v>
      </c>
      <c r="D2534" s="1" t="s">
        <v>207</v>
      </c>
      <c r="E2534" s="1" t="s">
        <v>12941</v>
      </c>
      <c r="F2534" s="1" t="s">
        <v>95</v>
      </c>
      <c r="G2534" s="1" t="s">
        <v>12942</v>
      </c>
      <c r="H2534" s="1">
        <v>0</v>
      </c>
      <c r="I2534" s="1" t="s">
        <v>117</v>
      </c>
      <c r="L2534" s="1" t="s">
        <v>12943</v>
      </c>
      <c r="M2534" s="1" t="s">
        <v>426</v>
      </c>
      <c r="N2534" s="1">
        <v>1</v>
      </c>
      <c r="O2534" s="1">
        <v>0</v>
      </c>
      <c r="P2534" s="1" t="s">
        <v>211</v>
      </c>
      <c r="Q2534" s="1" t="s">
        <v>184</v>
      </c>
      <c r="R2534" s="1" t="s">
        <v>12944</v>
      </c>
      <c r="S2534" s="1" t="s">
        <v>12702</v>
      </c>
      <c r="T2534" s="1">
        <v>1</v>
      </c>
      <c r="U2534" s="1">
        <v>1</v>
      </c>
      <c r="V2534" s="1">
        <v>0</v>
      </c>
      <c r="W2534" s="1">
        <v>0</v>
      </c>
      <c r="X2534" s="1">
        <v>0</v>
      </c>
      <c r="Y2534" s="1">
        <v>4</v>
      </c>
      <c r="Z2534" s="1">
        <v>4</v>
      </c>
      <c r="AA2534" s="1" t="s">
        <v>104</v>
      </c>
      <c r="AB2534" s="1" t="s">
        <v>104</v>
      </c>
      <c r="AC2534" s="1" t="s">
        <v>104</v>
      </c>
      <c r="AD2534" s="1">
        <v>3</v>
      </c>
      <c r="AE2534" s="1" t="s">
        <v>104</v>
      </c>
      <c r="AF2534" s="1" t="s">
        <v>104</v>
      </c>
      <c r="AG2534" s="1" t="s">
        <v>104</v>
      </c>
      <c r="AH2534" s="1">
        <v>4</v>
      </c>
      <c r="AI2534" s="1" t="s">
        <v>104</v>
      </c>
      <c r="AJ2534" s="1" t="s">
        <v>104</v>
      </c>
      <c r="AK2534" s="1" t="s">
        <v>104</v>
      </c>
      <c r="AL2534" s="1" t="s">
        <v>104</v>
      </c>
      <c r="AM2534" s="1" t="s">
        <v>104</v>
      </c>
      <c r="AO2534" s="1">
        <v>4</v>
      </c>
      <c r="AQ2534" s="1" t="s">
        <v>12945</v>
      </c>
      <c r="AR2534" s="1">
        <v>0</v>
      </c>
      <c r="AS2534" s="1">
        <v>0</v>
      </c>
      <c r="AT2534" s="1">
        <v>0</v>
      </c>
      <c r="AU2534" s="1">
        <v>0</v>
      </c>
      <c r="AV2534" s="1">
        <v>0</v>
      </c>
      <c r="AW2534" s="1">
        <v>0</v>
      </c>
      <c r="AX2534" s="1">
        <v>0</v>
      </c>
      <c r="AY2534" s="1">
        <v>0</v>
      </c>
      <c r="AZ2534" s="1">
        <v>0</v>
      </c>
      <c r="BA2534" s="1">
        <v>0</v>
      </c>
      <c r="BB2534" s="1">
        <v>0</v>
      </c>
      <c r="BC2534" s="1">
        <v>0</v>
      </c>
      <c r="BD2534" s="1">
        <v>0</v>
      </c>
      <c r="BE2534" s="1">
        <v>0</v>
      </c>
      <c r="BF2534" s="1">
        <v>0</v>
      </c>
      <c r="BG2534" s="1">
        <v>0</v>
      </c>
      <c r="BH2534" s="1">
        <v>0</v>
      </c>
      <c r="BI2534" s="1">
        <v>0</v>
      </c>
      <c r="BJ2534" s="1">
        <v>0</v>
      </c>
      <c r="BK2534" s="1">
        <v>1</v>
      </c>
      <c r="BL2534" s="1">
        <v>0</v>
      </c>
      <c r="BM2534" s="1">
        <v>0</v>
      </c>
      <c r="BN2534" s="1">
        <v>0</v>
      </c>
      <c r="BO2534" s="1">
        <v>1</v>
      </c>
      <c r="BP2534" s="1">
        <v>0</v>
      </c>
      <c r="BQ2534" s="1" t="s">
        <v>104</v>
      </c>
      <c r="BR2534" s="1">
        <v>2667</v>
      </c>
      <c r="BS2534" s="1" t="s">
        <v>104</v>
      </c>
      <c r="BX2534" s="1">
        <v>0</v>
      </c>
      <c r="BY2534" s="1" t="s">
        <v>104</v>
      </c>
      <c r="BZ2534" s="1" t="s">
        <v>104</v>
      </c>
      <c r="CA2534" s="1">
        <v>4</v>
      </c>
      <c r="CB2534" s="1" t="s">
        <v>104</v>
      </c>
      <c r="CC2534" s="1">
        <v>4</v>
      </c>
      <c r="CD2534" s="1">
        <v>4</v>
      </c>
      <c r="CE2534" s="1" t="s">
        <v>104</v>
      </c>
      <c r="CF2534" s="1" t="s">
        <v>104</v>
      </c>
      <c r="CG2534" s="1" t="s">
        <v>104</v>
      </c>
      <c r="CH2534" s="1" t="s">
        <v>104</v>
      </c>
      <c r="CJ2534" s="1">
        <v>0</v>
      </c>
      <c r="CK2534" s="1">
        <v>0</v>
      </c>
      <c r="CL2534" s="1">
        <v>0</v>
      </c>
      <c r="CM2534" s="1" t="s">
        <v>104</v>
      </c>
    </row>
    <row r="2535" spans="1:91" ht="14.25" customHeight="1" x14ac:dyDescent="0.3">
      <c r="A2535" s="1" t="s">
        <v>12946</v>
      </c>
      <c r="B2535" s="1" t="s">
        <v>216</v>
      </c>
      <c r="D2535" s="1" t="s">
        <v>49</v>
      </c>
      <c r="E2535" s="1" t="s">
        <v>12947</v>
      </c>
      <c r="F2535" s="1" t="s">
        <v>95</v>
      </c>
      <c r="G2535" s="1" t="s">
        <v>12948</v>
      </c>
      <c r="H2535" s="1">
        <v>0</v>
      </c>
      <c r="J2535" s="1" t="s">
        <v>5111</v>
      </c>
      <c r="M2535" s="1" t="s">
        <v>119</v>
      </c>
      <c r="N2535" s="1">
        <v>0</v>
      </c>
      <c r="O2535" s="1">
        <v>0</v>
      </c>
      <c r="P2535" s="1" t="s">
        <v>183</v>
      </c>
      <c r="Q2535" s="1" t="s">
        <v>184</v>
      </c>
      <c r="R2535" s="1" t="s">
        <v>12949</v>
      </c>
      <c r="S2535" s="1" t="s">
        <v>12702</v>
      </c>
      <c r="T2535" s="1">
        <v>1</v>
      </c>
      <c r="U2535" s="1">
        <v>1</v>
      </c>
      <c r="V2535" s="1">
        <v>1</v>
      </c>
      <c r="W2535" s="1">
        <v>0</v>
      </c>
      <c r="X2535" s="1">
        <v>0</v>
      </c>
      <c r="Y2535" s="1">
        <v>9</v>
      </c>
      <c r="Z2535" s="1">
        <v>9</v>
      </c>
      <c r="AA2535" s="1">
        <v>9</v>
      </c>
      <c r="AB2535" s="1" t="s">
        <v>104</v>
      </c>
      <c r="AC2535" s="1" t="s">
        <v>104</v>
      </c>
      <c r="AD2535" s="1" t="s">
        <v>104</v>
      </c>
      <c r="AE2535" s="1" t="s">
        <v>104</v>
      </c>
      <c r="AF2535" s="1" t="s">
        <v>104</v>
      </c>
      <c r="AG2535" s="1" t="s">
        <v>104</v>
      </c>
      <c r="AH2535" s="1">
        <v>9</v>
      </c>
      <c r="AI2535" s="1" t="s">
        <v>104</v>
      </c>
      <c r="AJ2535" s="1">
        <v>9</v>
      </c>
      <c r="AK2535" s="1" t="s">
        <v>104</v>
      </c>
      <c r="AL2535" s="1" t="s">
        <v>104</v>
      </c>
      <c r="AM2535" s="1" t="s">
        <v>104</v>
      </c>
      <c r="AO2535" s="1">
        <v>9</v>
      </c>
      <c r="AQ2535" s="1" t="s">
        <v>12950</v>
      </c>
      <c r="AR2535" s="1">
        <v>0</v>
      </c>
      <c r="AS2535" s="1">
        <v>0</v>
      </c>
      <c r="AT2535" s="1">
        <v>0</v>
      </c>
      <c r="AU2535" s="1">
        <v>0</v>
      </c>
      <c r="AV2535" s="1">
        <v>0</v>
      </c>
      <c r="AW2535" s="1">
        <v>0</v>
      </c>
      <c r="AX2535" s="1">
        <v>1</v>
      </c>
      <c r="AY2535" s="1">
        <v>0</v>
      </c>
      <c r="AZ2535" s="1">
        <v>0</v>
      </c>
      <c r="BA2535" s="1">
        <v>0</v>
      </c>
      <c r="BB2535" s="1">
        <v>0</v>
      </c>
      <c r="BC2535" s="1">
        <v>0</v>
      </c>
      <c r="BD2535" s="1">
        <v>0</v>
      </c>
      <c r="BE2535" s="1">
        <v>0</v>
      </c>
      <c r="BF2535" s="1">
        <v>0</v>
      </c>
      <c r="BG2535" s="1">
        <v>0</v>
      </c>
      <c r="BH2535" s="1">
        <v>0</v>
      </c>
      <c r="BI2535" s="1">
        <v>0</v>
      </c>
      <c r="BJ2535" s="1">
        <v>0</v>
      </c>
      <c r="BK2535" s="1">
        <v>0</v>
      </c>
      <c r="BL2535" s="1">
        <v>0</v>
      </c>
      <c r="BM2535" s="1">
        <v>0</v>
      </c>
      <c r="BN2535" s="1">
        <v>0</v>
      </c>
      <c r="BO2535" s="1">
        <v>0</v>
      </c>
      <c r="BP2535" s="1">
        <v>0</v>
      </c>
      <c r="BQ2535" s="1" t="s">
        <v>104</v>
      </c>
      <c r="BR2535" s="1">
        <v>2668</v>
      </c>
      <c r="BS2535" s="1" t="s">
        <v>104</v>
      </c>
      <c r="BX2535" s="1">
        <v>0</v>
      </c>
      <c r="BY2535" s="1" t="s">
        <v>104</v>
      </c>
      <c r="BZ2535" s="1">
        <v>9</v>
      </c>
      <c r="CA2535" s="1">
        <v>9</v>
      </c>
      <c r="CB2535" s="1" t="s">
        <v>104</v>
      </c>
      <c r="CC2535" s="1" t="s">
        <v>104</v>
      </c>
      <c r="CD2535" s="1" t="s">
        <v>104</v>
      </c>
      <c r="CE2535" s="1" t="s">
        <v>104</v>
      </c>
      <c r="CF2535" s="1" t="s">
        <v>104</v>
      </c>
      <c r="CG2535" s="1" t="s">
        <v>104</v>
      </c>
      <c r="CH2535" s="1" t="s">
        <v>104</v>
      </c>
      <c r="CJ2535" s="1">
        <v>0</v>
      </c>
      <c r="CK2535" s="1">
        <v>0</v>
      </c>
      <c r="CL2535" s="1">
        <v>0</v>
      </c>
      <c r="CM2535" s="1" t="s">
        <v>104</v>
      </c>
    </row>
    <row r="2536" spans="1:91" ht="14.25" customHeight="1" x14ac:dyDescent="0.3">
      <c r="A2536" s="1" t="s">
        <v>12951</v>
      </c>
      <c r="B2536" s="1" t="s">
        <v>92</v>
      </c>
      <c r="C2536" s="1" t="s">
        <v>1160</v>
      </c>
      <c r="D2536" s="1" t="s">
        <v>9230</v>
      </c>
      <c r="E2536" s="1" t="s">
        <v>12952</v>
      </c>
      <c r="F2536" s="1" t="s">
        <v>95</v>
      </c>
      <c r="G2536" s="1" t="s">
        <v>12953</v>
      </c>
      <c r="H2536" s="1">
        <v>1</v>
      </c>
      <c r="I2536" s="1" t="s">
        <v>117</v>
      </c>
      <c r="L2536" s="1" t="s">
        <v>1065</v>
      </c>
      <c r="M2536" s="1" t="s">
        <v>145</v>
      </c>
      <c r="N2536" s="1">
        <v>0</v>
      </c>
      <c r="O2536" s="1">
        <v>0</v>
      </c>
      <c r="P2536" s="1" t="s">
        <v>12954</v>
      </c>
      <c r="Q2536" s="1" t="s">
        <v>184</v>
      </c>
      <c r="R2536" s="1" t="s">
        <v>12955</v>
      </c>
      <c r="S2536" s="1" t="s">
        <v>12702</v>
      </c>
      <c r="T2536" s="1">
        <v>1</v>
      </c>
      <c r="U2536" s="1">
        <v>1</v>
      </c>
      <c r="V2536" s="1">
        <v>1</v>
      </c>
      <c r="W2536" s="1">
        <v>0</v>
      </c>
      <c r="X2536" s="1">
        <v>0</v>
      </c>
      <c r="Y2536" s="1">
        <v>9</v>
      </c>
      <c r="Z2536" s="1">
        <v>9</v>
      </c>
      <c r="AA2536" s="1" t="s">
        <v>104</v>
      </c>
      <c r="AB2536" s="1" t="s">
        <v>104</v>
      </c>
      <c r="AC2536" s="1" t="s">
        <v>104</v>
      </c>
      <c r="AD2536" s="1" t="s">
        <v>104</v>
      </c>
      <c r="AE2536" s="1" t="s">
        <v>104</v>
      </c>
      <c r="AF2536" s="1" t="s">
        <v>104</v>
      </c>
      <c r="AG2536" s="1" t="s">
        <v>104</v>
      </c>
      <c r="AH2536" s="1">
        <v>9</v>
      </c>
      <c r="AI2536" s="1" t="s">
        <v>104</v>
      </c>
      <c r="AJ2536" s="1" t="s">
        <v>104</v>
      </c>
      <c r="AK2536" s="1" t="s">
        <v>104</v>
      </c>
      <c r="AL2536" s="1" t="s">
        <v>104</v>
      </c>
      <c r="AM2536" s="1" t="s">
        <v>104</v>
      </c>
      <c r="AO2536" s="1">
        <v>9</v>
      </c>
      <c r="AQ2536" s="1" t="s">
        <v>12956</v>
      </c>
      <c r="AR2536" s="1">
        <v>0</v>
      </c>
      <c r="AS2536" s="1">
        <v>0</v>
      </c>
      <c r="AT2536" s="1">
        <v>0</v>
      </c>
      <c r="AU2536" s="1">
        <v>0</v>
      </c>
      <c r="AV2536" s="1">
        <v>0</v>
      </c>
      <c r="AW2536" s="1">
        <v>0</v>
      </c>
      <c r="AX2536" s="1">
        <v>0</v>
      </c>
      <c r="AY2536" s="1">
        <v>0</v>
      </c>
      <c r="AZ2536" s="1">
        <v>0</v>
      </c>
      <c r="BA2536" s="1">
        <v>0</v>
      </c>
      <c r="BB2536" s="1">
        <v>0</v>
      </c>
      <c r="BC2536" s="1">
        <v>1</v>
      </c>
      <c r="BD2536" s="1">
        <v>0</v>
      </c>
      <c r="BE2536" s="1">
        <v>0</v>
      </c>
      <c r="BF2536" s="1">
        <v>0</v>
      </c>
      <c r="BG2536" s="1">
        <v>0</v>
      </c>
      <c r="BH2536" s="1">
        <v>0</v>
      </c>
      <c r="BI2536" s="1">
        <v>0</v>
      </c>
      <c r="BJ2536" s="1">
        <v>0</v>
      </c>
      <c r="BK2536" s="1">
        <v>1</v>
      </c>
      <c r="BL2536" s="1">
        <v>0</v>
      </c>
      <c r="BM2536" s="1">
        <v>0</v>
      </c>
      <c r="BN2536" s="1">
        <v>0</v>
      </c>
      <c r="BO2536" s="1">
        <v>0</v>
      </c>
      <c r="BP2536" s="1">
        <v>0</v>
      </c>
      <c r="BQ2536" s="1" t="s">
        <v>104</v>
      </c>
      <c r="BR2536" s="1">
        <v>2669</v>
      </c>
      <c r="BS2536" s="1">
        <v>1000</v>
      </c>
      <c r="BX2536" s="1">
        <v>0</v>
      </c>
      <c r="BY2536" s="1" t="s">
        <v>104</v>
      </c>
      <c r="BZ2536" s="1" t="s">
        <v>104</v>
      </c>
      <c r="CA2536" s="1">
        <v>9</v>
      </c>
      <c r="CB2536" s="1" t="s">
        <v>104</v>
      </c>
      <c r="CC2536" s="1" t="s">
        <v>104</v>
      </c>
      <c r="CD2536" s="1" t="s">
        <v>104</v>
      </c>
      <c r="CE2536" s="1" t="s">
        <v>104</v>
      </c>
      <c r="CF2536" s="1" t="s">
        <v>104</v>
      </c>
      <c r="CG2536" s="1" t="s">
        <v>104</v>
      </c>
      <c r="CH2536" s="1" t="s">
        <v>104</v>
      </c>
      <c r="CJ2536" s="1">
        <v>0</v>
      </c>
      <c r="CK2536" s="1">
        <v>0</v>
      </c>
      <c r="CL2536" s="1">
        <v>0</v>
      </c>
      <c r="CM2536" s="1" t="s">
        <v>104</v>
      </c>
    </row>
    <row r="2537" spans="1:91" ht="14.25" customHeight="1" x14ac:dyDescent="0.3">
      <c r="A2537" s="1" t="s">
        <v>12957</v>
      </c>
      <c r="B2537" s="1" t="s">
        <v>507</v>
      </c>
      <c r="C2537" s="1" t="s">
        <v>1308</v>
      </c>
      <c r="D2537" s="1" t="s">
        <v>12958</v>
      </c>
      <c r="E2537" s="1" t="s">
        <v>12959</v>
      </c>
      <c r="F2537" s="1" t="s">
        <v>95</v>
      </c>
      <c r="G2537" s="1" t="s">
        <v>12960</v>
      </c>
      <c r="H2537" s="1">
        <v>0</v>
      </c>
      <c r="I2537" s="1" t="s">
        <v>128</v>
      </c>
      <c r="L2537" s="1" t="s">
        <v>12961</v>
      </c>
      <c r="M2537" s="1" t="s">
        <v>4400</v>
      </c>
      <c r="N2537" s="1">
        <v>1</v>
      </c>
      <c r="O2537" s="1">
        <v>0</v>
      </c>
      <c r="P2537" s="1" t="s">
        <v>211</v>
      </c>
      <c r="Q2537" s="1" t="s">
        <v>184</v>
      </c>
      <c r="R2537" s="1" t="s">
        <v>12962</v>
      </c>
      <c r="S2537" s="1" t="s">
        <v>12702</v>
      </c>
      <c r="T2537" s="1">
        <v>1</v>
      </c>
      <c r="U2537" s="1">
        <v>1</v>
      </c>
      <c r="V2537" s="1">
        <v>1</v>
      </c>
      <c r="W2537" s="1">
        <v>0</v>
      </c>
      <c r="X2537" s="1">
        <v>1</v>
      </c>
      <c r="Y2537" s="1">
        <v>6</v>
      </c>
      <c r="Z2537" s="1">
        <v>6</v>
      </c>
      <c r="AA2537" s="1" t="s">
        <v>104</v>
      </c>
      <c r="AB2537" s="1" t="s">
        <v>104</v>
      </c>
      <c r="AC2537" s="1" t="s">
        <v>104</v>
      </c>
      <c r="AD2537" s="1">
        <v>6</v>
      </c>
      <c r="AE2537" s="1" t="s">
        <v>104</v>
      </c>
      <c r="AF2537" s="1" t="s">
        <v>104</v>
      </c>
      <c r="AG2537" s="1" t="s">
        <v>104</v>
      </c>
      <c r="AH2537" s="1">
        <v>6</v>
      </c>
      <c r="AI2537" s="1" t="s">
        <v>104</v>
      </c>
      <c r="AJ2537" s="1" t="s">
        <v>104</v>
      </c>
      <c r="AK2537" s="1" t="s">
        <v>104</v>
      </c>
      <c r="AL2537" s="1" t="s">
        <v>104</v>
      </c>
      <c r="AM2537" s="1" t="s">
        <v>104</v>
      </c>
      <c r="AO2537" s="1">
        <v>6</v>
      </c>
      <c r="AQ2537" s="1" t="s">
        <v>12963</v>
      </c>
      <c r="AR2537" s="1">
        <v>0</v>
      </c>
      <c r="AS2537" s="1">
        <v>0</v>
      </c>
      <c r="AT2537" s="1">
        <v>0</v>
      </c>
      <c r="AU2537" s="1">
        <v>0</v>
      </c>
      <c r="AV2537" s="1">
        <v>0</v>
      </c>
      <c r="AW2537" s="1">
        <v>0</v>
      </c>
      <c r="AX2537" s="1">
        <v>0</v>
      </c>
      <c r="AY2537" s="1">
        <v>0</v>
      </c>
      <c r="AZ2537" s="1">
        <v>0</v>
      </c>
      <c r="BA2537" s="1">
        <v>0</v>
      </c>
      <c r="BB2537" s="1">
        <v>1</v>
      </c>
      <c r="BC2537" s="1">
        <v>1</v>
      </c>
      <c r="BD2537" s="1">
        <v>0</v>
      </c>
      <c r="BE2537" s="1">
        <v>0</v>
      </c>
      <c r="BF2537" s="1">
        <v>0</v>
      </c>
      <c r="BG2537" s="1">
        <v>0</v>
      </c>
      <c r="BH2537" s="1">
        <v>0</v>
      </c>
      <c r="BI2537" s="1">
        <v>0</v>
      </c>
      <c r="BJ2537" s="1">
        <v>0</v>
      </c>
      <c r="BK2537" s="1">
        <v>1</v>
      </c>
      <c r="BL2537" s="1">
        <v>0</v>
      </c>
      <c r="BM2537" s="1">
        <v>0</v>
      </c>
      <c r="BN2537" s="1">
        <v>0</v>
      </c>
      <c r="BO2537" s="1">
        <v>0</v>
      </c>
      <c r="BP2537" s="1">
        <v>0</v>
      </c>
      <c r="BQ2537" s="1" t="s">
        <v>104</v>
      </c>
      <c r="BR2537" s="1">
        <v>2670</v>
      </c>
      <c r="BS2537" s="1" t="s">
        <v>104</v>
      </c>
      <c r="BX2537" s="1">
        <v>0</v>
      </c>
      <c r="BY2537" s="1" t="s">
        <v>104</v>
      </c>
      <c r="BZ2537" s="1" t="s">
        <v>104</v>
      </c>
      <c r="CA2537" s="1">
        <v>6</v>
      </c>
      <c r="CB2537" s="1" t="s">
        <v>104</v>
      </c>
      <c r="CC2537" s="1">
        <v>6</v>
      </c>
      <c r="CD2537" s="1" t="s">
        <v>104</v>
      </c>
      <c r="CE2537" s="1" t="s">
        <v>104</v>
      </c>
      <c r="CF2537" s="1" t="s">
        <v>104</v>
      </c>
      <c r="CG2537" s="1" t="s">
        <v>104</v>
      </c>
      <c r="CH2537" s="1" t="s">
        <v>104</v>
      </c>
      <c r="CJ2537" s="1">
        <v>0</v>
      </c>
      <c r="CK2537" s="1">
        <v>0</v>
      </c>
      <c r="CL2537" s="1">
        <v>0</v>
      </c>
      <c r="CM2537" s="1" t="s">
        <v>104</v>
      </c>
    </row>
    <row r="2538" spans="1:91" ht="14.25" customHeight="1" x14ac:dyDescent="0.3">
      <c r="A2538" s="1" t="s">
        <v>12964</v>
      </c>
      <c r="B2538" s="1" t="s">
        <v>123</v>
      </c>
      <c r="C2538" s="1" t="s">
        <v>124</v>
      </c>
      <c r="D2538" s="1" t="s">
        <v>11422</v>
      </c>
      <c r="E2538" s="1" t="s">
        <v>12965</v>
      </c>
      <c r="F2538" s="1" t="s">
        <v>95</v>
      </c>
      <c r="G2538" s="1" t="s">
        <v>12966</v>
      </c>
      <c r="H2538" s="1">
        <v>0</v>
      </c>
      <c r="I2538" s="1" t="s">
        <v>117</v>
      </c>
      <c r="L2538" s="1" t="s">
        <v>1065</v>
      </c>
      <c r="M2538" s="1" t="s">
        <v>201</v>
      </c>
      <c r="N2538" s="1">
        <v>0</v>
      </c>
      <c r="O2538" s="1">
        <v>0</v>
      </c>
      <c r="P2538" s="1" t="s">
        <v>211</v>
      </c>
      <c r="Q2538" s="1" t="s">
        <v>184</v>
      </c>
      <c r="R2538" s="1" t="s">
        <v>12967</v>
      </c>
      <c r="S2538" s="1" t="s">
        <v>12702</v>
      </c>
      <c r="T2538" s="1">
        <v>1</v>
      </c>
      <c r="U2538" s="1">
        <v>1</v>
      </c>
      <c r="V2538" s="1">
        <v>1</v>
      </c>
      <c r="W2538" s="1">
        <v>0</v>
      </c>
      <c r="X2538" s="1">
        <v>1</v>
      </c>
      <c r="Y2538" s="1">
        <v>5</v>
      </c>
      <c r="Z2538" s="1">
        <v>5</v>
      </c>
      <c r="AA2538" s="1" t="s">
        <v>104</v>
      </c>
      <c r="AB2538" s="1" t="s">
        <v>104</v>
      </c>
      <c r="AC2538" s="1" t="s">
        <v>104</v>
      </c>
      <c r="AD2538" s="1">
        <v>4</v>
      </c>
      <c r="AE2538" s="1" t="s">
        <v>104</v>
      </c>
      <c r="AF2538" s="1" t="s">
        <v>104</v>
      </c>
      <c r="AG2538" s="1" t="s">
        <v>104</v>
      </c>
      <c r="AH2538" s="1">
        <v>5</v>
      </c>
      <c r="AI2538" s="1" t="s">
        <v>104</v>
      </c>
      <c r="AJ2538" s="1" t="s">
        <v>104</v>
      </c>
      <c r="AK2538" s="1" t="s">
        <v>104</v>
      </c>
      <c r="AL2538" s="1" t="s">
        <v>104</v>
      </c>
      <c r="AM2538" s="1" t="s">
        <v>104</v>
      </c>
      <c r="AO2538" s="1">
        <v>5</v>
      </c>
      <c r="AQ2538" s="1" t="s">
        <v>12968</v>
      </c>
      <c r="AR2538" s="1">
        <v>0</v>
      </c>
      <c r="AS2538" s="1">
        <v>0</v>
      </c>
      <c r="AT2538" s="1">
        <v>0</v>
      </c>
      <c r="AU2538" s="1">
        <v>0</v>
      </c>
      <c r="AV2538" s="1">
        <v>0</v>
      </c>
      <c r="AW2538" s="1">
        <v>0</v>
      </c>
      <c r="AX2538" s="1">
        <v>0</v>
      </c>
      <c r="AY2538" s="1">
        <v>0</v>
      </c>
      <c r="AZ2538" s="1">
        <v>0</v>
      </c>
      <c r="BA2538" s="1">
        <v>0</v>
      </c>
      <c r="BB2538" s="1">
        <v>1</v>
      </c>
      <c r="BC2538" s="1">
        <v>0</v>
      </c>
      <c r="BD2538" s="1">
        <v>0</v>
      </c>
      <c r="BE2538" s="1">
        <v>0</v>
      </c>
      <c r="BF2538" s="1">
        <v>0</v>
      </c>
      <c r="BG2538" s="1">
        <v>0</v>
      </c>
      <c r="BH2538" s="1">
        <v>0</v>
      </c>
      <c r="BI2538" s="1">
        <v>0</v>
      </c>
      <c r="BJ2538" s="1">
        <v>0</v>
      </c>
      <c r="BK2538" s="1">
        <v>1</v>
      </c>
      <c r="BL2538" s="1">
        <v>0</v>
      </c>
      <c r="BM2538" s="1">
        <v>0</v>
      </c>
      <c r="BN2538" s="1">
        <v>0</v>
      </c>
      <c r="BO2538" s="1">
        <v>0</v>
      </c>
      <c r="BP2538" s="1">
        <v>0</v>
      </c>
      <c r="BQ2538" s="1" t="s">
        <v>104</v>
      </c>
      <c r="BR2538" s="1">
        <v>2671</v>
      </c>
      <c r="BS2538" s="1" t="s">
        <v>104</v>
      </c>
      <c r="BX2538" s="1">
        <v>0</v>
      </c>
      <c r="BY2538" s="1" t="s">
        <v>104</v>
      </c>
      <c r="BZ2538" s="1" t="s">
        <v>104</v>
      </c>
      <c r="CA2538" s="1">
        <v>5</v>
      </c>
      <c r="CB2538" s="1">
        <v>4</v>
      </c>
      <c r="CC2538" s="1">
        <v>4</v>
      </c>
      <c r="CD2538" s="1" t="s">
        <v>104</v>
      </c>
      <c r="CE2538" s="1" t="s">
        <v>104</v>
      </c>
      <c r="CF2538" s="1" t="s">
        <v>104</v>
      </c>
      <c r="CG2538" s="1" t="s">
        <v>104</v>
      </c>
      <c r="CH2538" s="1" t="s">
        <v>104</v>
      </c>
      <c r="CJ2538" s="1">
        <v>0</v>
      </c>
      <c r="CK2538" s="1">
        <v>0</v>
      </c>
      <c r="CL2538" s="1">
        <v>0</v>
      </c>
      <c r="CM2538" s="1" t="s">
        <v>104</v>
      </c>
    </row>
    <row r="2539" spans="1:91" ht="14.25" customHeight="1" x14ac:dyDescent="0.3">
      <c r="A2539" s="1" t="s">
        <v>12969</v>
      </c>
      <c r="B2539" s="1" t="s">
        <v>507</v>
      </c>
      <c r="C2539" s="1" t="s">
        <v>1308</v>
      </c>
      <c r="D2539" s="1" t="s">
        <v>125</v>
      </c>
      <c r="E2539" s="1" t="s">
        <v>12970</v>
      </c>
      <c r="F2539" s="1" t="s">
        <v>95</v>
      </c>
      <c r="G2539" s="1" t="s">
        <v>12971</v>
      </c>
      <c r="H2539" s="1">
        <v>0</v>
      </c>
      <c r="I2539" s="1" t="s">
        <v>109</v>
      </c>
      <c r="L2539" s="1" t="s">
        <v>417</v>
      </c>
      <c r="M2539" s="1" t="s">
        <v>426</v>
      </c>
      <c r="N2539" s="1">
        <v>1</v>
      </c>
      <c r="O2539" s="1">
        <v>0</v>
      </c>
      <c r="P2539" s="1" t="s">
        <v>12972</v>
      </c>
      <c r="Q2539" s="1" t="s">
        <v>184</v>
      </c>
      <c r="R2539" s="1" t="s">
        <v>12973</v>
      </c>
      <c r="S2539" s="1" t="s">
        <v>12702</v>
      </c>
      <c r="T2539" s="1">
        <v>1</v>
      </c>
      <c r="U2539" s="1">
        <v>1</v>
      </c>
      <c r="V2539" s="1">
        <v>1</v>
      </c>
      <c r="W2539" s="1">
        <v>0</v>
      </c>
      <c r="X2539" s="1">
        <v>0</v>
      </c>
      <c r="Y2539" s="1">
        <v>4</v>
      </c>
      <c r="Z2539" s="1">
        <v>4</v>
      </c>
      <c r="AA2539" s="1" t="s">
        <v>104</v>
      </c>
      <c r="AB2539" s="1" t="s">
        <v>104</v>
      </c>
      <c r="AC2539" s="1" t="s">
        <v>104</v>
      </c>
      <c r="AD2539" s="1" t="s">
        <v>104</v>
      </c>
      <c r="AE2539" s="1" t="s">
        <v>104</v>
      </c>
      <c r="AF2539" s="1" t="s">
        <v>104</v>
      </c>
      <c r="AG2539" s="1" t="s">
        <v>104</v>
      </c>
      <c r="AH2539" s="1">
        <v>4</v>
      </c>
      <c r="AI2539" s="1" t="s">
        <v>104</v>
      </c>
      <c r="AJ2539" s="1" t="s">
        <v>104</v>
      </c>
      <c r="AK2539" s="1" t="s">
        <v>104</v>
      </c>
      <c r="AL2539" s="1" t="s">
        <v>104</v>
      </c>
      <c r="AM2539" s="1" t="s">
        <v>104</v>
      </c>
      <c r="AO2539" s="1">
        <v>4</v>
      </c>
      <c r="AQ2539" s="1" t="s">
        <v>12974</v>
      </c>
      <c r="AR2539" s="1">
        <v>0</v>
      </c>
      <c r="AS2539" s="1">
        <v>0</v>
      </c>
      <c r="AT2539" s="1">
        <v>0</v>
      </c>
      <c r="AU2539" s="1">
        <v>0</v>
      </c>
      <c r="AV2539" s="1">
        <v>0</v>
      </c>
      <c r="AW2539" s="1">
        <v>0</v>
      </c>
      <c r="AX2539" s="1">
        <v>0</v>
      </c>
      <c r="AY2539" s="1">
        <v>0</v>
      </c>
      <c r="AZ2539" s="1">
        <v>0</v>
      </c>
      <c r="BA2539" s="1">
        <v>0</v>
      </c>
      <c r="BB2539" s="1">
        <v>0</v>
      </c>
      <c r="BC2539" s="1">
        <v>0</v>
      </c>
      <c r="BD2539" s="1">
        <v>0</v>
      </c>
      <c r="BE2539" s="1">
        <v>0</v>
      </c>
      <c r="BF2539" s="1">
        <v>0</v>
      </c>
      <c r="BG2539" s="1">
        <v>0</v>
      </c>
      <c r="BH2539" s="1">
        <v>0</v>
      </c>
      <c r="BI2539" s="1">
        <v>0</v>
      </c>
      <c r="BJ2539" s="1">
        <v>0</v>
      </c>
      <c r="BK2539" s="1">
        <v>1</v>
      </c>
      <c r="BL2539" s="1">
        <v>0</v>
      </c>
      <c r="BM2539" s="1">
        <v>0</v>
      </c>
      <c r="BN2539" s="1">
        <v>0</v>
      </c>
      <c r="BO2539" s="1">
        <v>0</v>
      </c>
      <c r="BP2539" s="1">
        <v>0</v>
      </c>
      <c r="BQ2539" s="1" t="s">
        <v>104</v>
      </c>
      <c r="BR2539" s="1">
        <v>2672</v>
      </c>
      <c r="BS2539" s="1" t="s">
        <v>104</v>
      </c>
      <c r="BX2539" s="1">
        <v>0</v>
      </c>
      <c r="BY2539" s="1" t="s">
        <v>104</v>
      </c>
      <c r="BZ2539" s="1" t="s">
        <v>104</v>
      </c>
      <c r="CA2539" s="1">
        <v>4</v>
      </c>
      <c r="CB2539" s="1">
        <v>3</v>
      </c>
      <c r="CC2539" s="1">
        <v>4</v>
      </c>
      <c r="CD2539" s="1" t="s">
        <v>104</v>
      </c>
      <c r="CE2539" s="1">
        <v>4</v>
      </c>
      <c r="CF2539" s="1" t="s">
        <v>104</v>
      </c>
      <c r="CG2539" s="1" t="s">
        <v>104</v>
      </c>
      <c r="CH2539" s="1" t="s">
        <v>104</v>
      </c>
      <c r="CJ2539" s="1">
        <v>0</v>
      </c>
      <c r="CK2539" s="1">
        <v>0</v>
      </c>
      <c r="CL2539" s="1">
        <v>0</v>
      </c>
      <c r="CM2539" s="1" t="s">
        <v>104</v>
      </c>
    </row>
    <row r="2540" spans="1:91" ht="14.25" customHeight="1" x14ac:dyDescent="0.3">
      <c r="A2540" s="1" t="s">
        <v>12975</v>
      </c>
      <c r="B2540" s="1" t="s">
        <v>507</v>
      </c>
      <c r="C2540" s="1" t="s">
        <v>1308</v>
      </c>
      <c r="D2540" s="1" t="s">
        <v>347</v>
      </c>
      <c r="E2540" s="1" t="s">
        <v>12976</v>
      </c>
      <c r="F2540" s="1" t="s">
        <v>95</v>
      </c>
      <c r="G2540" s="1" t="s">
        <v>116</v>
      </c>
      <c r="H2540" s="1">
        <v>0</v>
      </c>
      <c r="I2540" s="1" t="s">
        <v>109</v>
      </c>
      <c r="L2540" s="1" t="s">
        <v>541</v>
      </c>
      <c r="M2540" s="1" t="s">
        <v>426</v>
      </c>
      <c r="N2540" s="1">
        <v>1</v>
      </c>
      <c r="O2540" s="1">
        <v>0</v>
      </c>
      <c r="P2540" s="1" t="s">
        <v>12972</v>
      </c>
      <c r="Q2540" s="1" t="s">
        <v>184</v>
      </c>
      <c r="R2540" s="1" t="s">
        <v>12977</v>
      </c>
      <c r="S2540" s="1" t="s">
        <v>12702</v>
      </c>
      <c r="T2540" s="1">
        <v>1</v>
      </c>
      <c r="U2540" s="1">
        <v>1</v>
      </c>
      <c r="V2540" s="1">
        <v>0</v>
      </c>
      <c r="W2540" s="1">
        <v>0</v>
      </c>
      <c r="X2540" s="1">
        <v>0</v>
      </c>
      <c r="Y2540" s="1">
        <v>6</v>
      </c>
      <c r="Z2540" s="1">
        <v>6</v>
      </c>
      <c r="AA2540" s="1" t="s">
        <v>104</v>
      </c>
      <c r="AB2540" s="1" t="s">
        <v>104</v>
      </c>
      <c r="AC2540" s="1" t="s">
        <v>104</v>
      </c>
      <c r="AD2540" s="1" t="s">
        <v>104</v>
      </c>
      <c r="AE2540" s="1" t="s">
        <v>104</v>
      </c>
      <c r="AF2540" s="1" t="s">
        <v>104</v>
      </c>
      <c r="AG2540" s="1" t="s">
        <v>104</v>
      </c>
      <c r="AH2540" s="1">
        <v>6</v>
      </c>
      <c r="AI2540" s="1" t="s">
        <v>104</v>
      </c>
      <c r="AJ2540" s="1" t="s">
        <v>104</v>
      </c>
      <c r="AK2540" s="1" t="s">
        <v>104</v>
      </c>
      <c r="AL2540" s="1" t="s">
        <v>104</v>
      </c>
      <c r="AM2540" s="1" t="s">
        <v>104</v>
      </c>
      <c r="AO2540" s="1">
        <v>6</v>
      </c>
      <c r="AQ2540" s="1" t="s">
        <v>12978</v>
      </c>
      <c r="AR2540" s="1">
        <v>0</v>
      </c>
      <c r="AS2540" s="1">
        <v>0</v>
      </c>
      <c r="AT2540" s="1">
        <v>0</v>
      </c>
      <c r="AU2540" s="1">
        <v>0</v>
      </c>
      <c r="AV2540" s="1">
        <v>0</v>
      </c>
      <c r="AW2540" s="1">
        <v>0</v>
      </c>
      <c r="AX2540" s="1">
        <v>0</v>
      </c>
      <c r="AY2540" s="1">
        <v>0</v>
      </c>
      <c r="AZ2540" s="1">
        <v>0</v>
      </c>
      <c r="BA2540" s="1">
        <v>0</v>
      </c>
      <c r="BB2540" s="1">
        <v>0</v>
      </c>
      <c r="BC2540" s="1">
        <v>0</v>
      </c>
      <c r="BD2540" s="1">
        <v>1</v>
      </c>
      <c r="BE2540" s="1">
        <v>0</v>
      </c>
      <c r="BF2540" s="1">
        <v>0</v>
      </c>
      <c r="BG2540" s="1">
        <v>0</v>
      </c>
      <c r="BH2540" s="1">
        <v>0</v>
      </c>
      <c r="BI2540" s="1">
        <v>0</v>
      </c>
      <c r="BJ2540" s="1">
        <v>0</v>
      </c>
      <c r="BK2540" s="1">
        <v>1</v>
      </c>
      <c r="BL2540" s="1">
        <v>0</v>
      </c>
      <c r="BM2540" s="1">
        <v>0</v>
      </c>
      <c r="BN2540" s="1">
        <v>0</v>
      </c>
      <c r="BO2540" s="1">
        <v>0</v>
      </c>
      <c r="BP2540" s="1">
        <v>0</v>
      </c>
      <c r="BQ2540" s="1" t="s">
        <v>104</v>
      </c>
      <c r="BR2540" s="1">
        <v>2673</v>
      </c>
      <c r="BS2540" s="1" t="s">
        <v>104</v>
      </c>
      <c r="BX2540" s="1">
        <v>0</v>
      </c>
      <c r="BY2540" s="1" t="s">
        <v>104</v>
      </c>
      <c r="BZ2540" s="1" t="s">
        <v>104</v>
      </c>
      <c r="CA2540" s="1" t="s">
        <v>104</v>
      </c>
      <c r="CB2540" s="1">
        <v>4</v>
      </c>
      <c r="CC2540" s="1">
        <v>5</v>
      </c>
      <c r="CD2540" s="1" t="s">
        <v>104</v>
      </c>
      <c r="CE2540" s="1" t="s">
        <v>104</v>
      </c>
      <c r="CF2540" s="1" t="s">
        <v>104</v>
      </c>
      <c r="CG2540" s="1" t="s">
        <v>104</v>
      </c>
      <c r="CH2540" s="1" t="s">
        <v>104</v>
      </c>
      <c r="CJ2540" s="1">
        <v>0</v>
      </c>
      <c r="CK2540" s="1">
        <v>0</v>
      </c>
      <c r="CL2540" s="1">
        <v>0</v>
      </c>
      <c r="CM2540" s="1" t="s">
        <v>104</v>
      </c>
    </row>
    <row r="2541" spans="1:91" ht="14.25" customHeight="1" x14ac:dyDescent="0.3">
      <c r="A2541" s="1" t="s">
        <v>12979</v>
      </c>
      <c r="B2541" s="1" t="s">
        <v>123</v>
      </c>
      <c r="C2541" s="1" t="s">
        <v>124</v>
      </c>
      <c r="D2541" s="1" t="s">
        <v>11457</v>
      </c>
      <c r="E2541" s="1" t="s">
        <v>12980</v>
      </c>
      <c r="F2541" s="1" t="s">
        <v>95</v>
      </c>
      <c r="G2541" s="1" t="s">
        <v>12981</v>
      </c>
      <c r="H2541" s="1">
        <v>0</v>
      </c>
      <c r="I2541" s="1" t="s">
        <v>117</v>
      </c>
      <c r="L2541" s="1" t="s">
        <v>12318</v>
      </c>
      <c r="M2541" s="1" t="s">
        <v>119</v>
      </c>
      <c r="N2541" s="1">
        <v>0</v>
      </c>
      <c r="O2541" s="1">
        <v>0</v>
      </c>
      <c r="P2541" s="1" t="s">
        <v>211</v>
      </c>
      <c r="Q2541" s="1" t="s">
        <v>184</v>
      </c>
      <c r="R2541" s="1" t="s">
        <v>12982</v>
      </c>
      <c r="S2541" s="1" t="s">
        <v>12702</v>
      </c>
      <c r="T2541" s="1">
        <v>1</v>
      </c>
      <c r="U2541" s="1">
        <v>1</v>
      </c>
      <c r="V2541" s="1">
        <v>1</v>
      </c>
      <c r="W2541" s="1">
        <v>0</v>
      </c>
      <c r="X2541" s="1">
        <v>0</v>
      </c>
      <c r="Y2541" s="1">
        <v>6</v>
      </c>
      <c r="Z2541" s="1">
        <v>6</v>
      </c>
      <c r="AA2541" s="1" t="s">
        <v>104</v>
      </c>
      <c r="AB2541" s="1" t="s">
        <v>104</v>
      </c>
      <c r="AC2541" s="1" t="s">
        <v>104</v>
      </c>
      <c r="AD2541" s="1">
        <v>5</v>
      </c>
      <c r="AE2541" s="1" t="s">
        <v>104</v>
      </c>
      <c r="AF2541" s="1" t="s">
        <v>104</v>
      </c>
      <c r="AG2541" s="1" t="s">
        <v>104</v>
      </c>
      <c r="AH2541" s="1">
        <v>6</v>
      </c>
      <c r="AI2541" s="1" t="s">
        <v>104</v>
      </c>
      <c r="AJ2541" s="1" t="s">
        <v>104</v>
      </c>
      <c r="AK2541" s="1" t="s">
        <v>104</v>
      </c>
      <c r="AL2541" s="1" t="s">
        <v>104</v>
      </c>
      <c r="AM2541" s="1" t="s">
        <v>104</v>
      </c>
      <c r="AO2541" s="1">
        <v>6</v>
      </c>
      <c r="AQ2541" s="1" t="s">
        <v>12983</v>
      </c>
      <c r="AR2541" s="1">
        <v>0</v>
      </c>
      <c r="AS2541" s="1">
        <v>0</v>
      </c>
      <c r="AT2541" s="1">
        <v>0</v>
      </c>
      <c r="AU2541" s="1">
        <v>0</v>
      </c>
      <c r="AV2541" s="1">
        <v>0</v>
      </c>
      <c r="AW2541" s="1">
        <v>0</v>
      </c>
      <c r="AX2541" s="1">
        <v>0</v>
      </c>
      <c r="AY2541" s="1">
        <v>0</v>
      </c>
      <c r="AZ2541" s="1">
        <v>0</v>
      </c>
      <c r="BA2541" s="1">
        <v>0</v>
      </c>
      <c r="BB2541" s="1">
        <v>1</v>
      </c>
      <c r="BC2541" s="1">
        <v>0</v>
      </c>
      <c r="BD2541" s="1">
        <v>1</v>
      </c>
      <c r="BE2541" s="1">
        <v>0</v>
      </c>
      <c r="BF2541" s="1">
        <v>0</v>
      </c>
      <c r="BG2541" s="1">
        <v>0</v>
      </c>
      <c r="BH2541" s="1">
        <v>0</v>
      </c>
      <c r="BI2541" s="1">
        <v>0</v>
      </c>
      <c r="BJ2541" s="1">
        <v>0</v>
      </c>
      <c r="BK2541" s="1">
        <v>1</v>
      </c>
      <c r="BL2541" s="1">
        <v>0</v>
      </c>
      <c r="BM2541" s="1">
        <v>0</v>
      </c>
      <c r="BN2541" s="1">
        <v>0</v>
      </c>
      <c r="BO2541" s="1">
        <v>0</v>
      </c>
      <c r="BP2541" s="1">
        <v>0</v>
      </c>
      <c r="BQ2541" s="1" t="s">
        <v>104</v>
      </c>
      <c r="BR2541" s="1">
        <v>2674</v>
      </c>
      <c r="BS2541" s="1" t="s">
        <v>104</v>
      </c>
      <c r="BX2541" s="1">
        <v>0</v>
      </c>
      <c r="BY2541" s="1" t="s">
        <v>104</v>
      </c>
      <c r="BZ2541" s="1" t="s">
        <v>104</v>
      </c>
      <c r="CA2541" s="1">
        <v>6</v>
      </c>
      <c r="CB2541" s="1" t="s">
        <v>104</v>
      </c>
      <c r="CC2541" s="1">
        <v>5</v>
      </c>
      <c r="CD2541" s="1" t="s">
        <v>104</v>
      </c>
      <c r="CE2541" s="1" t="s">
        <v>104</v>
      </c>
      <c r="CF2541" s="1" t="s">
        <v>104</v>
      </c>
      <c r="CG2541" s="1" t="s">
        <v>104</v>
      </c>
      <c r="CH2541" s="1" t="s">
        <v>104</v>
      </c>
      <c r="CJ2541" s="1">
        <v>0</v>
      </c>
      <c r="CK2541" s="1">
        <v>0</v>
      </c>
      <c r="CL2541" s="1">
        <v>0</v>
      </c>
      <c r="CM2541" s="1" t="s">
        <v>104</v>
      </c>
    </row>
    <row r="2542" spans="1:91" ht="14.25" customHeight="1" x14ac:dyDescent="0.3">
      <c r="A2542" s="1" t="s">
        <v>12984</v>
      </c>
      <c r="B2542" s="1" t="s">
        <v>216</v>
      </c>
      <c r="D2542" s="1" t="s">
        <v>54</v>
      </c>
      <c r="E2542" s="1" t="s">
        <v>12985</v>
      </c>
      <c r="F2542" s="1" t="s">
        <v>287</v>
      </c>
      <c r="G2542" s="1" t="s">
        <v>12986</v>
      </c>
      <c r="H2542" s="1">
        <v>1</v>
      </c>
      <c r="I2542" s="1" t="s">
        <v>117</v>
      </c>
      <c r="L2542" s="1" t="s">
        <v>1065</v>
      </c>
      <c r="M2542" s="1" t="s">
        <v>194</v>
      </c>
      <c r="N2542" s="1">
        <v>0</v>
      </c>
      <c r="O2542" s="1">
        <v>0</v>
      </c>
      <c r="P2542" s="1" t="s">
        <v>211</v>
      </c>
      <c r="Q2542" s="1" t="s">
        <v>101</v>
      </c>
      <c r="R2542" s="1" t="s">
        <v>12987</v>
      </c>
      <c r="S2542" s="1" t="s">
        <v>12702</v>
      </c>
      <c r="T2542" s="1">
        <v>1</v>
      </c>
      <c r="U2542" s="1">
        <v>1</v>
      </c>
      <c r="V2542" s="1">
        <v>1</v>
      </c>
      <c r="W2542" s="1">
        <v>0</v>
      </c>
      <c r="X2542" s="1">
        <v>0</v>
      </c>
      <c r="Y2542" s="1">
        <v>7</v>
      </c>
      <c r="Z2542" s="1">
        <v>7</v>
      </c>
      <c r="AA2542" s="1">
        <v>7</v>
      </c>
      <c r="AB2542" s="1">
        <v>7</v>
      </c>
      <c r="AC2542" s="1" t="s">
        <v>104</v>
      </c>
      <c r="AD2542" s="1" t="s">
        <v>104</v>
      </c>
      <c r="AE2542" s="1" t="s">
        <v>104</v>
      </c>
      <c r="AF2542" s="1" t="s">
        <v>104</v>
      </c>
      <c r="AG2542" s="1">
        <v>6</v>
      </c>
      <c r="AH2542" s="1">
        <v>7</v>
      </c>
      <c r="AI2542" s="1" t="s">
        <v>104</v>
      </c>
      <c r="AJ2542" s="1">
        <v>7</v>
      </c>
      <c r="AK2542" s="1" t="s">
        <v>104</v>
      </c>
      <c r="AL2542" s="1" t="s">
        <v>104</v>
      </c>
      <c r="AM2542" s="1" t="s">
        <v>104</v>
      </c>
      <c r="AO2542" s="1">
        <v>7</v>
      </c>
      <c r="AQ2542" s="1" t="s">
        <v>12988</v>
      </c>
      <c r="AR2542" s="1">
        <v>0</v>
      </c>
      <c r="AS2542" s="1">
        <v>0</v>
      </c>
      <c r="AT2542" s="1">
        <v>0</v>
      </c>
      <c r="AU2542" s="1">
        <v>0</v>
      </c>
      <c r="AV2542" s="1">
        <v>0</v>
      </c>
      <c r="AW2542" s="1">
        <v>0</v>
      </c>
      <c r="AX2542" s="1">
        <v>0</v>
      </c>
      <c r="AY2542" s="1">
        <v>0</v>
      </c>
      <c r="AZ2542" s="1">
        <v>0</v>
      </c>
      <c r="BA2542" s="1">
        <v>0</v>
      </c>
      <c r="BB2542" s="1">
        <v>0</v>
      </c>
      <c r="BC2542" s="1">
        <v>1</v>
      </c>
      <c r="BD2542" s="1">
        <v>0</v>
      </c>
      <c r="BE2542" s="1">
        <v>0</v>
      </c>
      <c r="BF2542" s="1">
        <v>0</v>
      </c>
      <c r="BG2542" s="1">
        <v>0</v>
      </c>
      <c r="BH2542" s="1">
        <v>0</v>
      </c>
      <c r="BI2542" s="1">
        <v>0</v>
      </c>
      <c r="BJ2542" s="1">
        <v>0</v>
      </c>
      <c r="BK2542" s="1">
        <v>0</v>
      </c>
      <c r="BL2542" s="1">
        <v>0</v>
      </c>
      <c r="BM2542" s="1">
        <v>0</v>
      </c>
      <c r="BN2542" s="1">
        <v>0</v>
      </c>
      <c r="BO2542" s="1">
        <v>0</v>
      </c>
      <c r="BP2542" s="1">
        <v>0</v>
      </c>
      <c r="BQ2542" s="1" t="s">
        <v>104</v>
      </c>
      <c r="BR2542" s="1">
        <v>2675</v>
      </c>
      <c r="BS2542" s="1">
        <v>2500</v>
      </c>
      <c r="BX2542" s="1">
        <v>0</v>
      </c>
      <c r="BY2542" s="1" t="s">
        <v>104</v>
      </c>
      <c r="BZ2542" s="1">
        <v>7</v>
      </c>
      <c r="CA2542" s="1" t="s">
        <v>104</v>
      </c>
      <c r="CB2542" s="1" t="s">
        <v>104</v>
      </c>
      <c r="CC2542" s="1" t="s">
        <v>104</v>
      </c>
      <c r="CD2542" s="1">
        <v>6</v>
      </c>
      <c r="CE2542" s="1" t="s">
        <v>104</v>
      </c>
      <c r="CF2542" s="1" t="s">
        <v>104</v>
      </c>
      <c r="CG2542" s="1" t="s">
        <v>104</v>
      </c>
      <c r="CH2542" s="1" t="s">
        <v>104</v>
      </c>
      <c r="CJ2542" s="1">
        <v>0</v>
      </c>
      <c r="CK2542" s="1">
        <v>0</v>
      </c>
      <c r="CL2542" s="1">
        <v>0</v>
      </c>
      <c r="CM2542" s="1">
        <v>6</v>
      </c>
    </row>
    <row r="2543" spans="1:91" ht="14.25" customHeight="1" x14ac:dyDescent="0.3">
      <c r="A2543" s="1" t="s">
        <v>12989</v>
      </c>
      <c r="B2543" s="1" t="s">
        <v>434</v>
      </c>
      <c r="D2543" s="1" t="s">
        <v>54</v>
      </c>
      <c r="E2543" s="1" t="s">
        <v>12990</v>
      </c>
      <c r="F2543" s="1" t="s">
        <v>95</v>
      </c>
      <c r="G2543" s="1" t="s">
        <v>127</v>
      </c>
      <c r="H2543" s="1">
        <v>0</v>
      </c>
      <c r="I2543" s="1" t="s">
        <v>157</v>
      </c>
      <c r="L2543" s="1" t="s">
        <v>158</v>
      </c>
      <c r="M2543" s="1" t="s">
        <v>426</v>
      </c>
      <c r="N2543" s="1">
        <v>1</v>
      </c>
      <c r="O2543" s="1">
        <v>0</v>
      </c>
      <c r="R2543" s="1" t="s">
        <v>12991</v>
      </c>
      <c r="S2543" s="1" t="s">
        <v>12702</v>
      </c>
      <c r="T2543" s="1">
        <v>1</v>
      </c>
      <c r="U2543" s="1">
        <v>1</v>
      </c>
      <c r="V2543" s="1">
        <v>0</v>
      </c>
      <c r="W2543" s="1">
        <v>0</v>
      </c>
      <c r="X2543" s="1">
        <v>1</v>
      </c>
      <c r="Y2543" s="1" t="s">
        <v>104</v>
      </c>
      <c r="Z2543" s="1" t="s">
        <v>104</v>
      </c>
      <c r="AA2543" s="1">
        <v>5</v>
      </c>
      <c r="AB2543" s="1" t="s">
        <v>104</v>
      </c>
      <c r="AC2543" s="1" t="s">
        <v>104</v>
      </c>
      <c r="AD2543" s="1" t="s">
        <v>104</v>
      </c>
      <c r="AE2543" s="1" t="s">
        <v>104</v>
      </c>
      <c r="AF2543" s="1" t="s">
        <v>104</v>
      </c>
      <c r="AG2543" s="1" t="s">
        <v>104</v>
      </c>
      <c r="AH2543" s="1" t="s">
        <v>104</v>
      </c>
      <c r="AI2543" s="1">
        <v>5</v>
      </c>
      <c r="AJ2543" s="1">
        <v>5</v>
      </c>
      <c r="AK2543" s="1">
        <v>4</v>
      </c>
      <c r="AL2543" s="1" t="s">
        <v>104</v>
      </c>
      <c r="AM2543" s="1" t="s">
        <v>104</v>
      </c>
      <c r="AO2543" s="1">
        <v>5</v>
      </c>
      <c r="AQ2543" s="1" t="s">
        <v>12992</v>
      </c>
      <c r="AR2543" s="1">
        <v>0</v>
      </c>
      <c r="AS2543" s="1">
        <v>0</v>
      </c>
      <c r="AT2543" s="1">
        <v>0</v>
      </c>
      <c r="AU2543" s="1">
        <v>0</v>
      </c>
      <c r="AV2543" s="1">
        <v>0</v>
      </c>
      <c r="AW2543" s="1">
        <v>0</v>
      </c>
      <c r="AX2543" s="1">
        <v>0</v>
      </c>
      <c r="AY2543" s="1">
        <v>0</v>
      </c>
      <c r="AZ2543" s="1">
        <v>0</v>
      </c>
      <c r="BA2543" s="1">
        <v>0</v>
      </c>
      <c r="BB2543" s="1">
        <v>0</v>
      </c>
      <c r="BC2543" s="1">
        <v>1</v>
      </c>
      <c r="BD2543" s="1">
        <v>0</v>
      </c>
      <c r="BE2543" s="1">
        <v>0</v>
      </c>
      <c r="BF2543" s="1">
        <v>0</v>
      </c>
      <c r="BG2543" s="1">
        <v>0</v>
      </c>
      <c r="BH2543" s="1">
        <v>0</v>
      </c>
      <c r="BI2543" s="1">
        <v>0</v>
      </c>
      <c r="BJ2543" s="1">
        <v>0</v>
      </c>
      <c r="BK2543" s="1">
        <v>0</v>
      </c>
      <c r="BL2543" s="1">
        <v>0</v>
      </c>
      <c r="BM2543" s="1">
        <v>0</v>
      </c>
      <c r="BN2543" s="1">
        <v>0</v>
      </c>
      <c r="BO2543" s="1">
        <v>0</v>
      </c>
      <c r="BP2543" s="1">
        <v>0</v>
      </c>
      <c r="BQ2543" s="1" t="s">
        <v>104</v>
      </c>
      <c r="BR2543" s="1">
        <v>2676</v>
      </c>
      <c r="BS2543" s="1" t="s">
        <v>104</v>
      </c>
      <c r="BX2543" s="1">
        <v>0</v>
      </c>
      <c r="BY2543" s="1" t="s">
        <v>104</v>
      </c>
      <c r="BZ2543" s="1" t="s">
        <v>104</v>
      </c>
      <c r="CA2543" s="1" t="s">
        <v>104</v>
      </c>
      <c r="CB2543" s="1" t="s">
        <v>104</v>
      </c>
      <c r="CC2543" s="1" t="s">
        <v>104</v>
      </c>
      <c r="CD2543" s="1" t="s">
        <v>104</v>
      </c>
      <c r="CE2543" s="1" t="s">
        <v>104</v>
      </c>
      <c r="CF2543" s="1" t="s">
        <v>104</v>
      </c>
      <c r="CG2543" s="1" t="s">
        <v>104</v>
      </c>
      <c r="CH2543" s="1" t="s">
        <v>104</v>
      </c>
      <c r="CJ2543" s="1">
        <v>0</v>
      </c>
      <c r="CK2543" s="1">
        <v>0</v>
      </c>
      <c r="CL2543" s="1">
        <v>0</v>
      </c>
      <c r="CM2543" s="1" t="s">
        <v>104</v>
      </c>
    </row>
    <row r="2544" spans="1:91" ht="14.25" customHeight="1" x14ac:dyDescent="0.3">
      <c r="A2544" s="1" t="s">
        <v>12993</v>
      </c>
      <c r="B2544" s="1" t="s">
        <v>434</v>
      </c>
      <c r="D2544" s="1" t="s">
        <v>56</v>
      </c>
      <c r="E2544" s="1" t="s">
        <v>12994</v>
      </c>
      <c r="F2544" s="1" t="s">
        <v>95</v>
      </c>
      <c r="G2544" s="1" t="s">
        <v>12995</v>
      </c>
      <c r="H2544" s="1">
        <v>0</v>
      </c>
      <c r="I2544" s="1" t="s">
        <v>109</v>
      </c>
      <c r="L2544" s="1" t="s">
        <v>1065</v>
      </c>
      <c r="M2544" s="1" t="s">
        <v>145</v>
      </c>
      <c r="N2544" s="1">
        <v>0</v>
      </c>
      <c r="O2544" s="1">
        <v>0</v>
      </c>
      <c r="P2544" s="1" t="s">
        <v>6014</v>
      </c>
      <c r="Q2544" s="1" t="s">
        <v>184</v>
      </c>
      <c r="R2544" s="1" t="s">
        <v>12996</v>
      </c>
      <c r="S2544" s="1" t="s">
        <v>12702</v>
      </c>
      <c r="T2544" s="1">
        <v>1</v>
      </c>
      <c r="U2544" s="1">
        <v>1</v>
      </c>
      <c r="V2544" s="1">
        <v>1</v>
      </c>
      <c r="W2544" s="1">
        <v>0</v>
      </c>
      <c r="X2544" s="1">
        <v>0</v>
      </c>
      <c r="Y2544" s="1">
        <v>4</v>
      </c>
      <c r="Z2544" s="1">
        <v>4</v>
      </c>
      <c r="AA2544" s="1" t="s">
        <v>104</v>
      </c>
      <c r="AB2544" s="1" t="s">
        <v>104</v>
      </c>
      <c r="AC2544" s="1" t="s">
        <v>104</v>
      </c>
      <c r="AD2544" s="1" t="s">
        <v>104</v>
      </c>
      <c r="AE2544" s="1" t="s">
        <v>104</v>
      </c>
      <c r="AF2544" s="1" t="s">
        <v>104</v>
      </c>
      <c r="AG2544" s="1" t="s">
        <v>104</v>
      </c>
      <c r="AH2544" s="1" t="s">
        <v>104</v>
      </c>
      <c r="AI2544" s="1" t="s">
        <v>104</v>
      </c>
      <c r="AJ2544" s="1" t="s">
        <v>104</v>
      </c>
      <c r="AK2544" s="1" t="s">
        <v>104</v>
      </c>
      <c r="AL2544" s="1">
        <v>4</v>
      </c>
      <c r="AM2544" s="1" t="s">
        <v>104</v>
      </c>
      <c r="AO2544" s="1">
        <v>4</v>
      </c>
      <c r="AQ2544" s="1" t="s">
        <v>12997</v>
      </c>
      <c r="AR2544" s="1">
        <v>0</v>
      </c>
      <c r="AS2544" s="1">
        <v>0</v>
      </c>
      <c r="AT2544" s="1">
        <v>0</v>
      </c>
      <c r="AU2544" s="1">
        <v>0</v>
      </c>
      <c r="AV2544" s="1">
        <v>0</v>
      </c>
      <c r="AW2544" s="1">
        <v>0</v>
      </c>
      <c r="AX2544" s="1">
        <v>0</v>
      </c>
      <c r="AY2544" s="1">
        <v>0</v>
      </c>
      <c r="AZ2544" s="1">
        <v>0</v>
      </c>
      <c r="BA2544" s="1">
        <v>0</v>
      </c>
      <c r="BB2544" s="1">
        <v>0</v>
      </c>
      <c r="BC2544" s="1">
        <v>0</v>
      </c>
      <c r="BD2544" s="1">
        <v>0</v>
      </c>
      <c r="BE2544" s="1">
        <v>1</v>
      </c>
      <c r="BF2544" s="1">
        <v>0</v>
      </c>
      <c r="BG2544" s="1">
        <v>0</v>
      </c>
      <c r="BH2544" s="1">
        <v>0</v>
      </c>
      <c r="BI2544" s="1">
        <v>0</v>
      </c>
      <c r="BJ2544" s="1">
        <v>0</v>
      </c>
      <c r="BK2544" s="1">
        <v>0</v>
      </c>
      <c r="BL2544" s="1">
        <v>0</v>
      </c>
      <c r="BM2544" s="1">
        <v>0</v>
      </c>
      <c r="BN2544" s="1">
        <v>0</v>
      </c>
      <c r="BO2544" s="1">
        <v>0</v>
      </c>
      <c r="BP2544" s="1">
        <v>0</v>
      </c>
      <c r="BQ2544" s="1" t="s">
        <v>104</v>
      </c>
      <c r="BR2544" s="1">
        <v>2677</v>
      </c>
      <c r="BS2544" s="1" t="s">
        <v>104</v>
      </c>
      <c r="BX2544" s="1">
        <v>0</v>
      </c>
      <c r="BY2544" s="1">
        <v>3</v>
      </c>
      <c r="BZ2544" s="1" t="s">
        <v>104</v>
      </c>
      <c r="CA2544" s="1" t="s">
        <v>104</v>
      </c>
      <c r="CB2544" s="1" t="s">
        <v>104</v>
      </c>
      <c r="CC2544" s="1" t="s">
        <v>104</v>
      </c>
      <c r="CD2544" s="1">
        <v>4</v>
      </c>
      <c r="CE2544" s="1" t="s">
        <v>104</v>
      </c>
      <c r="CF2544" s="1" t="s">
        <v>104</v>
      </c>
      <c r="CG2544" s="1" t="s">
        <v>104</v>
      </c>
      <c r="CH2544" s="1" t="s">
        <v>104</v>
      </c>
      <c r="CJ2544" s="1">
        <v>0</v>
      </c>
      <c r="CK2544" s="1">
        <v>0</v>
      </c>
      <c r="CL2544" s="1">
        <v>0</v>
      </c>
      <c r="CM2544" s="1" t="s">
        <v>104</v>
      </c>
    </row>
    <row r="2545" spans="1:91" ht="14.25" customHeight="1" x14ac:dyDescent="0.3">
      <c r="A2545" s="1" t="s">
        <v>12998</v>
      </c>
      <c r="B2545" s="1" t="s">
        <v>137</v>
      </c>
      <c r="C2545" s="1" t="s">
        <v>154</v>
      </c>
      <c r="E2545" s="1" t="s">
        <v>12999</v>
      </c>
      <c r="F2545" s="1" t="s">
        <v>95</v>
      </c>
      <c r="G2545" s="1" t="s">
        <v>116</v>
      </c>
      <c r="H2545" s="1">
        <v>0</v>
      </c>
      <c r="I2545" s="1" t="s">
        <v>157</v>
      </c>
      <c r="L2545" s="1" t="s">
        <v>158</v>
      </c>
      <c r="M2545" s="1" t="s">
        <v>201</v>
      </c>
      <c r="N2545" s="1">
        <v>0</v>
      </c>
      <c r="O2545" s="1">
        <v>0</v>
      </c>
      <c r="R2545" s="1" t="s">
        <v>13000</v>
      </c>
      <c r="S2545" s="1" t="s">
        <v>12702</v>
      </c>
      <c r="T2545" s="1">
        <v>1</v>
      </c>
      <c r="U2545" s="1">
        <v>1</v>
      </c>
      <c r="V2545" s="1">
        <v>0</v>
      </c>
      <c r="W2545" s="1">
        <v>0</v>
      </c>
      <c r="X2545" s="1">
        <v>0</v>
      </c>
      <c r="Y2545" s="1">
        <v>2</v>
      </c>
      <c r="Z2545" s="1">
        <v>2</v>
      </c>
      <c r="AA2545" s="1" t="s">
        <v>104</v>
      </c>
      <c r="AB2545" s="1">
        <v>2</v>
      </c>
      <c r="AC2545" s="1">
        <v>2</v>
      </c>
      <c r="AD2545" s="1">
        <v>2</v>
      </c>
      <c r="AE2545" s="1" t="s">
        <v>104</v>
      </c>
      <c r="AF2545" s="1">
        <v>2</v>
      </c>
      <c r="AG2545" s="1">
        <v>2</v>
      </c>
      <c r="AH2545" s="1">
        <v>2</v>
      </c>
      <c r="AI2545" s="1">
        <v>2</v>
      </c>
      <c r="AJ2545" s="1" t="s">
        <v>104</v>
      </c>
      <c r="AK2545" s="1" t="s">
        <v>104</v>
      </c>
      <c r="AL2545" s="1">
        <v>2</v>
      </c>
      <c r="AM2545" s="1" t="s">
        <v>104</v>
      </c>
      <c r="AO2545" s="1">
        <v>2</v>
      </c>
      <c r="AQ2545" s="1" t="s">
        <v>13001</v>
      </c>
      <c r="AR2545" s="1">
        <v>0</v>
      </c>
      <c r="AS2545" s="1">
        <v>0</v>
      </c>
      <c r="AT2545" s="1">
        <v>0</v>
      </c>
      <c r="AU2545" s="1">
        <v>0</v>
      </c>
      <c r="AV2545" s="1">
        <v>0</v>
      </c>
      <c r="AW2545" s="1">
        <v>0</v>
      </c>
      <c r="AX2545" s="1">
        <v>0</v>
      </c>
      <c r="AY2545" s="1">
        <v>0</v>
      </c>
      <c r="AZ2545" s="1">
        <v>0</v>
      </c>
      <c r="BA2545" s="1">
        <v>0</v>
      </c>
      <c r="BB2545" s="1">
        <v>0</v>
      </c>
      <c r="BC2545" s="1">
        <v>0</v>
      </c>
      <c r="BD2545" s="1">
        <v>0</v>
      </c>
      <c r="BE2545" s="1">
        <v>0</v>
      </c>
      <c r="BF2545" s="1">
        <v>0</v>
      </c>
      <c r="BG2545" s="1">
        <v>0</v>
      </c>
      <c r="BH2545" s="1">
        <v>0</v>
      </c>
      <c r="BI2545" s="1">
        <v>0</v>
      </c>
      <c r="BJ2545" s="1">
        <v>0</v>
      </c>
      <c r="BK2545" s="1">
        <v>0</v>
      </c>
      <c r="BL2545" s="1">
        <v>0</v>
      </c>
      <c r="BM2545" s="1">
        <v>0</v>
      </c>
      <c r="BN2545" s="1">
        <v>0</v>
      </c>
      <c r="BO2545" s="1">
        <v>0</v>
      </c>
      <c r="BP2545" s="1">
        <v>0</v>
      </c>
      <c r="BQ2545" s="1" t="s">
        <v>104</v>
      </c>
      <c r="BR2545" s="1">
        <v>2678</v>
      </c>
      <c r="BS2545" s="1" t="s">
        <v>104</v>
      </c>
      <c r="BX2545" s="1">
        <v>0</v>
      </c>
      <c r="BY2545" s="1">
        <v>2</v>
      </c>
      <c r="BZ2545" s="1">
        <v>2</v>
      </c>
      <c r="CA2545" s="1" t="s">
        <v>104</v>
      </c>
      <c r="CB2545" s="1">
        <v>2</v>
      </c>
      <c r="CC2545" s="1">
        <v>2</v>
      </c>
      <c r="CD2545" s="1">
        <v>2</v>
      </c>
      <c r="CE2545" s="1">
        <v>2</v>
      </c>
      <c r="CF2545" s="1" t="s">
        <v>104</v>
      </c>
      <c r="CG2545" s="1" t="s">
        <v>104</v>
      </c>
      <c r="CH2545" s="1">
        <v>2</v>
      </c>
      <c r="CJ2545" s="1">
        <v>0</v>
      </c>
      <c r="CK2545" s="1">
        <v>0</v>
      </c>
      <c r="CL2545" s="1">
        <v>0</v>
      </c>
      <c r="CM2545" s="1">
        <v>2</v>
      </c>
    </row>
    <row r="2546" spans="1:91" ht="14.25" customHeight="1" x14ac:dyDescent="0.3">
      <c r="A2546" s="1" t="s">
        <v>13002</v>
      </c>
      <c r="B2546" s="1" t="s">
        <v>137</v>
      </c>
      <c r="D2546" s="1" t="s">
        <v>13003</v>
      </c>
      <c r="E2546" s="1" t="s">
        <v>13004</v>
      </c>
      <c r="F2546" s="1" t="s">
        <v>95</v>
      </c>
      <c r="G2546" s="1" t="s">
        <v>13005</v>
      </c>
      <c r="H2546" s="1">
        <v>0</v>
      </c>
      <c r="I2546" s="1" t="s">
        <v>109</v>
      </c>
      <c r="L2546" s="1" t="s">
        <v>417</v>
      </c>
      <c r="M2546" s="1" t="s">
        <v>723</v>
      </c>
      <c r="N2546" s="1">
        <v>0</v>
      </c>
      <c r="O2546" s="1">
        <v>0</v>
      </c>
      <c r="P2546" s="1" t="s">
        <v>6205</v>
      </c>
      <c r="Q2546" s="1" t="s">
        <v>184</v>
      </c>
      <c r="R2546" s="1" t="s">
        <v>13006</v>
      </c>
      <c r="S2546" s="1" t="s">
        <v>12702</v>
      </c>
      <c r="T2546" s="1">
        <v>1</v>
      </c>
      <c r="U2546" s="1">
        <v>1</v>
      </c>
      <c r="V2546" s="1">
        <v>1</v>
      </c>
      <c r="W2546" s="1">
        <v>0</v>
      </c>
      <c r="X2546" s="1">
        <v>1</v>
      </c>
      <c r="Y2546" s="1">
        <v>4</v>
      </c>
      <c r="Z2546" s="1">
        <v>4</v>
      </c>
      <c r="AA2546" s="1">
        <v>4</v>
      </c>
      <c r="AB2546" s="1" t="s">
        <v>104</v>
      </c>
      <c r="AC2546" s="1" t="s">
        <v>104</v>
      </c>
      <c r="AD2546" s="1" t="s">
        <v>104</v>
      </c>
      <c r="AE2546" s="1" t="s">
        <v>104</v>
      </c>
      <c r="AF2546" s="1" t="s">
        <v>104</v>
      </c>
      <c r="AG2546" s="1" t="s">
        <v>104</v>
      </c>
      <c r="AH2546" s="1">
        <v>4</v>
      </c>
      <c r="AI2546" s="1" t="s">
        <v>104</v>
      </c>
      <c r="AJ2546" s="1">
        <v>4</v>
      </c>
      <c r="AK2546" s="1" t="s">
        <v>104</v>
      </c>
      <c r="AL2546" s="1">
        <v>4</v>
      </c>
      <c r="AM2546" s="1" t="s">
        <v>104</v>
      </c>
      <c r="AO2546" s="1">
        <v>4</v>
      </c>
      <c r="AQ2546" s="1" t="s">
        <v>13007</v>
      </c>
      <c r="AR2546" s="1">
        <v>0</v>
      </c>
      <c r="AS2546" s="1">
        <v>0</v>
      </c>
      <c r="AT2546" s="1">
        <v>0</v>
      </c>
      <c r="AU2546" s="1">
        <v>0</v>
      </c>
      <c r="AV2546" s="1">
        <v>0</v>
      </c>
      <c r="AW2546" s="1">
        <v>0</v>
      </c>
      <c r="AX2546" s="1">
        <v>0</v>
      </c>
      <c r="AY2546" s="1">
        <v>0</v>
      </c>
      <c r="AZ2546" s="1">
        <v>0</v>
      </c>
      <c r="BA2546" s="1">
        <v>0</v>
      </c>
      <c r="BB2546" s="1">
        <v>0</v>
      </c>
      <c r="BC2546" s="1">
        <v>0</v>
      </c>
      <c r="BD2546" s="1">
        <v>0</v>
      </c>
      <c r="BE2546" s="1">
        <v>0</v>
      </c>
      <c r="BF2546" s="1">
        <v>0</v>
      </c>
      <c r="BG2546" s="1">
        <v>0</v>
      </c>
      <c r="BH2546" s="1">
        <v>0</v>
      </c>
      <c r="BI2546" s="1">
        <v>0</v>
      </c>
      <c r="BJ2546" s="1">
        <v>0</v>
      </c>
      <c r="BK2546" s="1">
        <v>0</v>
      </c>
      <c r="BL2546" s="1">
        <v>1</v>
      </c>
      <c r="BM2546" s="1">
        <v>0</v>
      </c>
      <c r="BN2546" s="1">
        <v>0</v>
      </c>
      <c r="BO2546" s="1">
        <v>0</v>
      </c>
      <c r="BP2546" s="1">
        <v>0</v>
      </c>
      <c r="BQ2546" s="1" t="s">
        <v>104</v>
      </c>
      <c r="BR2546" s="1">
        <v>2679</v>
      </c>
      <c r="BS2546" s="1" t="s">
        <v>104</v>
      </c>
      <c r="BX2546" s="1">
        <v>0</v>
      </c>
      <c r="BY2546" s="1" t="s">
        <v>104</v>
      </c>
      <c r="BZ2546" s="1">
        <v>4</v>
      </c>
      <c r="CA2546" s="1">
        <v>4</v>
      </c>
      <c r="CB2546" s="1" t="s">
        <v>104</v>
      </c>
      <c r="CC2546" s="1" t="s">
        <v>104</v>
      </c>
      <c r="CD2546" s="1">
        <v>4</v>
      </c>
      <c r="CE2546" s="1">
        <v>3</v>
      </c>
      <c r="CF2546" s="1" t="s">
        <v>104</v>
      </c>
      <c r="CG2546" s="1" t="s">
        <v>104</v>
      </c>
      <c r="CH2546" s="1" t="s">
        <v>104</v>
      </c>
      <c r="CJ2546" s="1">
        <v>0</v>
      </c>
      <c r="CK2546" s="1">
        <v>0</v>
      </c>
      <c r="CL2546" s="1">
        <v>0</v>
      </c>
      <c r="CM2546" s="1" t="s">
        <v>104</v>
      </c>
    </row>
    <row r="2547" spans="1:91" ht="14.25" customHeight="1" x14ac:dyDescent="0.3">
      <c r="A2547" s="1" t="s">
        <v>13008</v>
      </c>
      <c r="B2547" s="1" t="s">
        <v>216</v>
      </c>
      <c r="E2547" s="1" t="s">
        <v>695</v>
      </c>
      <c r="F2547" s="1" t="s">
        <v>255</v>
      </c>
      <c r="G2547" s="1" t="s">
        <v>13009</v>
      </c>
      <c r="H2547" s="1">
        <v>1</v>
      </c>
      <c r="I2547" s="1" t="s">
        <v>128</v>
      </c>
      <c r="L2547" s="1" t="s">
        <v>374</v>
      </c>
      <c r="M2547" s="1" t="s">
        <v>119</v>
      </c>
      <c r="N2547" s="1">
        <v>0</v>
      </c>
      <c r="O2547" s="1">
        <v>0</v>
      </c>
      <c r="P2547" s="1" t="s">
        <v>211</v>
      </c>
      <c r="Q2547" s="1" t="s">
        <v>184</v>
      </c>
      <c r="R2547" s="1" t="s">
        <v>13010</v>
      </c>
      <c r="S2547" s="1" t="s">
        <v>12702</v>
      </c>
      <c r="T2547" s="1">
        <v>1</v>
      </c>
      <c r="U2547" s="1">
        <v>1</v>
      </c>
      <c r="V2547" s="1">
        <v>0</v>
      </c>
      <c r="W2547" s="1">
        <v>0</v>
      </c>
      <c r="X2547" s="1">
        <v>0</v>
      </c>
      <c r="Y2547" s="1" t="s">
        <v>104</v>
      </c>
      <c r="Z2547" s="1" t="s">
        <v>104</v>
      </c>
      <c r="AA2547" s="1">
        <v>8</v>
      </c>
      <c r="AB2547" s="1" t="s">
        <v>104</v>
      </c>
      <c r="AC2547" s="1" t="s">
        <v>104</v>
      </c>
      <c r="AD2547" s="1" t="s">
        <v>104</v>
      </c>
      <c r="AE2547" s="1" t="s">
        <v>104</v>
      </c>
      <c r="AF2547" s="1" t="s">
        <v>104</v>
      </c>
      <c r="AG2547" s="1" t="s">
        <v>104</v>
      </c>
      <c r="AH2547" s="1" t="s">
        <v>104</v>
      </c>
      <c r="AI2547" s="1" t="s">
        <v>104</v>
      </c>
      <c r="AJ2547" s="1">
        <v>8</v>
      </c>
      <c r="AK2547" s="1" t="s">
        <v>104</v>
      </c>
      <c r="AL2547" s="1" t="s">
        <v>104</v>
      </c>
      <c r="AM2547" s="1" t="s">
        <v>104</v>
      </c>
      <c r="AO2547" s="1">
        <v>8</v>
      </c>
      <c r="AQ2547" s="1" t="s">
        <v>13011</v>
      </c>
      <c r="AR2547" s="1">
        <v>0</v>
      </c>
      <c r="AS2547" s="1">
        <v>0</v>
      </c>
      <c r="AT2547" s="1">
        <v>0</v>
      </c>
      <c r="AU2547" s="1">
        <v>0</v>
      </c>
      <c r="AV2547" s="1">
        <v>0</v>
      </c>
      <c r="AW2547" s="1">
        <v>0</v>
      </c>
      <c r="AX2547" s="1">
        <v>0</v>
      </c>
      <c r="AY2547" s="1">
        <v>0</v>
      </c>
      <c r="AZ2547" s="1">
        <v>0</v>
      </c>
      <c r="BA2547" s="1">
        <v>0</v>
      </c>
      <c r="BB2547" s="1">
        <v>0</v>
      </c>
      <c r="BC2547" s="1">
        <v>0</v>
      </c>
      <c r="BD2547" s="1">
        <v>0</v>
      </c>
      <c r="BE2547" s="1">
        <v>0</v>
      </c>
      <c r="BF2547" s="1">
        <v>0</v>
      </c>
      <c r="BG2547" s="1">
        <v>0</v>
      </c>
      <c r="BH2547" s="1">
        <v>0</v>
      </c>
      <c r="BI2547" s="1">
        <v>0</v>
      </c>
      <c r="BJ2547" s="1">
        <v>0</v>
      </c>
      <c r="BK2547" s="1">
        <v>0</v>
      </c>
      <c r="BL2547" s="1">
        <v>0</v>
      </c>
      <c r="BM2547" s="1">
        <v>0</v>
      </c>
      <c r="BN2547" s="1">
        <v>0</v>
      </c>
      <c r="BO2547" s="1">
        <v>0</v>
      </c>
      <c r="BP2547" s="1">
        <v>0</v>
      </c>
      <c r="BQ2547" s="1" t="s">
        <v>104</v>
      </c>
      <c r="BR2547" s="1">
        <v>2680</v>
      </c>
      <c r="BS2547" s="1">
        <v>2000</v>
      </c>
      <c r="BX2547" s="1">
        <v>0</v>
      </c>
      <c r="BY2547" s="1" t="s">
        <v>104</v>
      </c>
      <c r="BZ2547" s="1" t="s">
        <v>104</v>
      </c>
      <c r="CA2547" s="1" t="s">
        <v>104</v>
      </c>
      <c r="CB2547" s="1" t="s">
        <v>104</v>
      </c>
      <c r="CC2547" s="1" t="s">
        <v>104</v>
      </c>
      <c r="CD2547" s="1" t="s">
        <v>104</v>
      </c>
      <c r="CE2547" s="1" t="s">
        <v>104</v>
      </c>
      <c r="CF2547" s="1" t="s">
        <v>104</v>
      </c>
      <c r="CG2547" s="1" t="s">
        <v>104</v>
      </c>
      <c r="CH2547" s="1" t="s">
        <v>104</v>
      </c>
      <c r="CJ2547" s="1">
        <v>0</v>
      </c>
      <c r="CK2547" s="1">
        <v>0</v>
      </c>
      <c r="CL2547" s="1">
        <v>0</v>
      </c>
      <c r="CM2547" s="1" t="s">
        <v>104</v>
      </c>
    </row>
    <row r="2548" spans="1:91" ht="14.25" customHeight="1" x14ac:dyDescent="0.3">
      <c r="A2548" s="1" t="s">
        <v>13012</v>
      </c>
      <c r="B2548" s="1" t="s">
        <v>434</v>
      </c>
      <c r="D2548" s="1" t="s">
        <v>58</v>
      </c>
      <c r="E2548" s="1" t="s">
        <v>13013</v>
      </c>
      <c r="F2548" s="1" t="s">
        <v>95</v>
      </c>
      <c r="G2548" s="1" t="s">
        <v>127</v>
      </c>
      <c r="H2548" s="1">
        <v>0</v>
      </c>
      <c r="I2548" s="1" t="s">
        <v>157</v>
      </c>
      <c r="L2548" s="1" t="s">
        <v>158</v>
      </c>
      <c r="M2548" s="1" t="s">
        <v>426</v>
      </c>
      <c r="N2548" s="1">
        <v>1</v>
      </c>
      <c r="O2548" s="1">
        <v>0</v>
      </c>
      <c r="R2548" s="1" t="s">
        <v>13014</v>
      </c>
      <c r="S2548" s="1" t="s">
        <v>12702</v>
      </c>
      <c r="T2548" s="1">
        <v>1</v>
      </c>
      <c r="U2548" s="1">
        <v>1</v>
      </c>
      <c r="V2548" s="1">
        <v>0</v>
      </c>
      <c r="W2548" s="1">
        <v>0</v>
      </c>
      <c r="X2548" s="1">
        <v>1</v>
      </c>
      <c r="Y2548" s="1" t="s">
        <v>104</v>
      </c>
      <c r="Z2548" s="1" t="s">
        <v>104</v>
      </c>
      <c r="AA2548" s="1">
        <v>5</v>
      </c>
      <c r="AB2548" s="1" t="s">
        <v>104</v>
      </c>
      <c r="AC2548" s="1" t="s">
        <v>104</v>
      </c>
      <c r="AD2548" s="1" t="s">
        <v>104</v>
      </c>
      <c r="AE2548" s="1">
        <v>4</v>
      </c>
      <c r="AF2548" s="1" t="s">
        <v>104</v>
      </c>
      <c r="AG2548" s="1" t="s">
        <v>104</v>
      </c>
      <c r="AH2548" s="1" t="s">
        <v>104</v>
      </c>
      <c r="AI2548" s="1">
        <v>5</v>
      </c>
      <c r="AJ2548" s="1">
        <v>5</v>
      </c>
      <c r="AK2548" s="1" t="s">
        <v>104</v>
      </c>
      <c r="AL2548" s="1" t="s">
        <v>104</v>
      </c>
      <c r="AM2548" s="1" t="s">
        <v>104</v>
      </c>
      <c r="AO2548" s="1">
        <v>5</v>
      </c>
      <c r="AQ2548" s="1" t="s">
        <v>13015</v>
      </c>
      <c r="AR2548" s="1">
        <v>0</v>
      </c>
      <c r="AS2548" s="1">
        <v>0</v>
      </c>
      <c r="AT2548" s="1">
        <v>0</v>
      </c>
      <c r="AU2548" s="1">
        <v>0</v>
      </c>
      <c r="AV2548" s="1">
        <v>0</v>
      </c>
      <c r="AW2548" s="1">
        <v>0</v>
      </c>
      <c r="AX2548" s="1">
        <v>0</v>
      </c>
      <c r="AY2548" s="1">
        <v>0</v>
      </c>
      <c r="AZ2548" s="1">
        <v>0</v>
      </c>
      <c r="BA2548" s="1">
        <v>0</v>
      </c>
      <c r="BB2548" s="1">
        <v>0</v>
      </c>
      <c r="BC2548" s="1">
        <v>0</v>
      </c>
      <c r="BD2548" s="1">
        <v>0</v>
      </c>
      <c r="BE2548" s="1">
        <v>0</v>
      </c>
      <c r="BF2548" s="1">
        <v>0</v>
      </c>
      <c r="BG2548" s="1">
        <v>1</v>
      </c>
      <c r="BH2548" s="1">
        <v>0</v>
      </c>
      <c r="BI2548" s="1">
        <v>0</v>
      </c>
      <c r="BJ2548" s="1">
        <v>0</v>
      </c>
      <c r="BK2548" s="1">
        <v>0</v>
      </c>
      <c r="BL2548" s="1">
        <v>0</v>
      </c>
      <c r="BM2548" s="1">
        <v>0</v>
      </c>
      <c r="BN2548" s="1">
        <v>0</v>
      </c>
      <c r="BO2548" s="1">
        <v>0</v>
      </c>
      <c r="BP2548" s="1">
        <v>0</v>
      </c>
      <c r="BQ2548" s="1" t="s">
        <v>104</v>
      </c>
      <c r="BR2548" s="1">
        <v>2681</v>
      </c>
      <c r="BS2548" s="1" t="s">
        <v>104</v>
      </c>
      <c r="BX2548" s="1">
        <v>0</v>
      </c>
      <c r="BY2548" s="1" t="s">
        <v>104</v>
      </c>
      <c r="BZ2548" s="1" t="s">
        <v>104</v>
      </c>
      <c r="CA2548" s="1" t="s">
        <v>104</v>
      </c>
      <c r="CB2548" s="1" t="s">
        <v>104</v>
      </c>
      <c r="CC2548" s="1" t="s">
        <v>104</v>
      </c>
      <c r="CD2548" s="1" t="s">
        <v>104</v>
      </c>
      <c r="CE2548" s="1" t="s">
        <v>104</v>
      </c>
      <c r="CF2548" s="1" t="s">
        <v>104</v>
      </c>
      <c r="CG2548" s="1" t="s">
        <v>104</v>
      </c>
      <c r="CH2548" s="1" t="s">
        <v>104</v>
      </c>
      <c r="CJ2548" s="1">
        <v>0</v>
      </c>
      <c r="CK2548" s="1">
        <v>0</v>
      </c>
      <c r="CL2548" s="1">
        <v>0</v>
      </c>
      <c r="CM2548" s="1" t="s">
        <v>104</v>
      </c>
    </row>
    <row r="2549" spans="1:91" ht="14.25" customHeight="1" x14ac:dyDescent="0.3">
      <c r="A2549" s="1" t="s">
        <v>13016</v>
      </c>
      <c r="B2549" s="1" t="s">
        <v>434</v>
      </c>
      <c r="D2549" s="1" t="s">
        <v>13017</v>
      </c>
      <c r="E2549" s="1" t="s">
        <v>13018</v>
      </c>
      <c r="F2549" s="1" t="s">
        <v>95</v>
      </c>
      <c r="G2549" s="1" t="s">
        <v>13019</v>
      </c>
      <c r="H2549" s="1">
        <v>0</v>
      </c>
      <c r="I2549" s="1" t="s">
        <v>117</v>
      </c>
      <c r="K2549" s="1" t="s">
        <v>13020</v>
      </c>
      <c r="M2549" s="1" t="s">
        <v>119</v>
      </c>
      <c r="N2549" s="1">
        <v>0</v>
      </c>
      <c r="O2549" s="1">
        <v>0</v>
      </c>
      <c r="P2549" s="1" t="s">
        <v>9641</v>
      </c>
      <c r="Q2549" s="1" t="s">
        <v>184</v>
      </c>
      <c r="R2549" s="1" t="s">
        <v>13021</v>
      </c>
      <c r="S2549" s="1" t="s">
        <v>12702</v>
      </c>
      <c r="T2549" s="1">
        <v>1</v>
      </c>
      <c r="U2549" s="1">
        <v>1</v>
      </c>
      <c r="V2549" s="1">
        <v>1</v>
      </c>
      <c r="W2549" s="1">
        <v>0</v>
      </c>
      <c r="X2549" s="1">
        <v>1</v>
      </c>
      <c r="Y2549" s="1" t="s">
        <v>104</v>
      </c>
      <c r="Z2549" s="1" t="s">
        <v>104</v>
      </c>
      <c r="AA2549" s="1">
        <v>3</v>
      </c>
      <c r="AB2549" s="1" t="s">
        <v>104</v>
      </c>
      <c r="AC2549" s="1" t="s">
        <v>104</v>
      </c>
      <c r="AD2549" s="1" t="s">
        <v>104</v>
      </c>
      <c r="AE2549" s="1" t="s">
        <v>104</v>
      </c>
      <c r="AF2549" s="1" t="s">
        <v>104</v>
      </c>
      <c r="AG2549" s="1" t="s">
        <v>104</v>
      </c>
      <c r="AH2549" s="1" t="s">
        <v>104</v>
      </c>
      <c r="AI2549" s="1" t="s">
        <v>104</v>
      </c>
      <c r="AJ2549" s="1">
        <v>3</v>
      </c>
      <c r="AK2549" s="1">
        <v>3</v>
      </c>
      <c r="AL2549" s="1" t="s">
        <v>104</v>
      </c>
      <c r="AM2549" s="1" t="s">
        <v>104</v>
      </c>
      <c r="AO2549" s="1">
        <v>3</v>
      </c>
      <c r="AQ2549" s="1" t="s">
        <v>13022</v>
      </c>
      <c r="AR2549" s="1">
        <v>0</v>
      </c>
      <c r="AS2549" s="1">
        <v>0</v>
      </c>
      <c r="AT2549" s="1">
        <v>0</v>
      </c>
      <c r="AU2549" s="1">
        <v>0</v>
      </c>
      <c r="AV2549" s="1">
        <v>0</v>
      </c>
      <c r="AW2549" s="1">
        <v>0</v>
      </c>
      <c r="AX2549" s="1">
        <v>0</v>
      </c>
      <c r="AY2549" s="1">
        <v>0</v>
      </c>
      <c r="AZ2549" s="1">
        <v>0</v>
      </c>
      <c r="BA2549" s="1">
        <v>0</v>
      </c>
      <c r="BB2549" s="1">
        <v>0</v>
      </c>
      <c r="BC2549" s="1">
        <v>1</v>
      </c>
      <c r="BD2549" s="1">
        <v>0</v>
      </c>
      <c r="BE2549" s="1">
        <v>1</v>
      </c>
      <c r="BF2549" s="1">
        <v>0</v>
      </c>
      <c r="BG2549" s="1">
        <v>0</v>
      </c>
      <c r="BH2549" s="1">
        <v>0</v>
      </c>
      <c r="BI2549" s="1">
        <v>0</v>
      </c>
      <c r="BJ2549" s="1">
        <v>0</v>
      </c>
      <c r="BK2549" s="1">
        <v>1</v>
      </c>
      <c r="BL2549" s="1">
        <v>0</v>
      </c>
      <c r="BM2549" s="1">
        <v>0</v>
      </c>
      <c r="BN2549" s="1">
        <v>0</v>
      </c>
      <c r="BO2549" s="1">
        <v>0</v>
      </c>
      <c r="BP2549" s="1">
        <v>0</v>
      </c>
      <c r="BQ2549" s="1" t="s">
        <v>104</v>
      </c>
      <c r="BR2549" s="1">
        <v>2682</v>
      </c>
      <c r="BS2549" s="1" t="s">
        <v>104</v>
      </c>
      <c r="BX2549" s="1">
        <v>0</v>
      </c>
      <c r="BY2549" s="1" t="s">
        <v>104</v>
      </c>
      <c r="BZ2549" s="1" t="s">
        <v>104</v>
      </c>
      <c r="CA2549" s="1" t="s">
        <v>104</v>
      </c>
      <c r="CB2549" s="1" t="s">
        <v>104</v>
      </c>
      <c r="CC2549" s="1" t="s">
        <v>104</v>
      </c>
      <c r="CD2549" s="1" t="s">
        <v>104</v>
      </c>
      <c r="CE2549" s="1" t="s">
        <v>104</v>
      </c>
      <c r="CF2549" s="1" t="s">
        <v>104</v>
      </c>
      <c r="CG2549" s="1" t="s">
        <v>104</v>
      </c>
      <c r="CH2549" s="1" t="s">
        <v>104</v>
      </c>
      <c r="CJ2549" s="1">
        <v>0</v>
      </c>
      <c r="CK2549" s="1">
        <v>0</v>
      </c>
      <c r="CL2549" s="1">
        <v>0</v>
      </c>
      <c r="CM2549" s="1" t="s">
        <v>104</v>
      </c>
    </row>
    <row r="2550" spans="1:91" ht="14.25" customHeight="1" x14ac:dyDescent="0.3">
      <c r="A2550" s="1" t="s">
        <v>13023</v>
      </c>
      <c r="B2550" s="1" t="s">
        <v>172</v>
      </c>
      <c r="E2550" s="1" t="s">
        <v>13024</v>
      </c>
      <c r="F2550" s="1" t="s">
        <v>95</v>
      </c>
      <c r="G2550" s="1" t="s">
        <v>13025</v>
      </c>
      <c r="H2550" s="1">
        <v>0</v>
      </c>
      <c r="I2550" s="1" t="s">
        <v>157</v>
      </c>
      <c r="L2550" s="1" t="s">
        <v>158</v>
      </c>
      <c r="M2550" s="1" t="s">
        <v>4992</v>
      </c>
      <c r="N2550" s="1">
        <v>1</v>
      </c>
      <c r="O2550" s="1">
        <v>0</v>
      </c>
      <c r="R2550" s="1" t="s">
        <v>13026</v>
      </c>
      <c r="S2550" s="1" t="s">
        <v>12702</v>
      </c>
      <c r="T2550" s="1">
        <v>1</v>
      </c>
      <c r="U2550" s="1">
        <v>1</v>
      </c>
      <c r="V2550" s="1">
        <v>1</v>
      </c>
      <c r="W2550" s="1">
        <v>0</v>
      </c>
      <c r="X2550" s="1">
        <v>1</v>
      </c>
      <c r="Y2550" s="1" t="s">
        <v>104</v>
      </c>
      <c r="Z2550" s="1" t="s">
        <v>104</v>
      </c>
      <c r="AA2550" s="1">
        <v>2</v>
      </c>
      <c r="AB2550" s="1">
        <v>2</v>
      </c>
      <c r="AC2550" s="1">
        <v>2</v>
      </c>
      <c r="AD2550" s="1" t="s">
        <v>104</v>
      </c>
      <c r="AE2550" s="1" t="s">
        <v>104</v>
      </c>
      <c r="AF2550" s="1" t="s">
        <v>104</v>
      </c>
      <c r="AG2550" s="1" t="s">
        <v>104</v>
      </c>
      <c r="AH2550" s="1">
        <v>2</v>
      </c>
      <c r="AI2550" s="1">
        <v>2</v>
      </c>
      <c r="AJ2550" s="1">
        <v>2</v>
      </c>
      <c r="AK2550" s="1">
        <v>1</v>
      </c>
      <c r="AL2550" s="1" t="s">
        <v>104</v>
      </c>
      <c r="AM2550" s="1" t="s">
        <v>104</v>
      </c>
      <c r="AO2550" s="1">
        <v>2</v>
      </c>
      <c r="AQ2550" s="1" t="s">
        <v>13027</v>
      </c>
      <c r="AR2550" s="1">
        <v>0</v>
      </c>
      <c r="AS2550" s="1">
        <v>0</v>
      </c>
      <c r="AT2550" s="1">
        <v>0</v>
      </c>
      <c r="AU2550" s="1">
        <v>0</v>
      </c>
      <c r="AV2550" s="1">
        <v>0</v>
      </c>
      <c r="AW2550" s="1">
        <v>0</v>
      </c>
      <c r="AX2550" s="1">
        <v>0</v>
      </c>
      <c r="AY2550" s="1">
        <v>0</v>
      </c>
      <c r="AZ2550" s="1">
        <v>0</v>
      </c>
      <c r="BA2550" s="1">
        <v>0</v>
      </c>
      <c r="BB2550" s="1">
        <v>0</v>
      </c>
      <c r="BC2550" s="1">
        <v>0</v>
      </c>
      <c r="BD2550" s="1">
        <v>0</v>
      </c>
      <c r="BE2550" s="1">
        <v>0</v>
      </c>
      <c r="BF2550" s="1">
        <v>0</v>
      </c>
      <c r="BG2550" s="1">
        <v>0</v>
      </c>
      <c r="BH2550" s="1">
        <v>0</v>
      </c>
      <c r="BI2550" s="1">
        <v>0</v>
      </c>
      <c r="BJ2550" s="1">
        <v>0</v>
      </c>
      <c r="BK2550" s="1">
        <v>0</v>
      </c>
      <c r="BL2550" s="1">
        <v>0</v>
      </c>
      <c r="BM2550" s="1">
        <v>0</v>
      </c>
      <c r="BN2550" s="1">
        <v>0</v>
      </c>
      <c r="BO2550" s="1">
        <v>0</v>
      </c>
      <c r="BP2550" s="1">
        <v>0</v>
      </c>
      <c r="BQ2550" s="1" t="s">
        <v>104</v>
      </c>
      <c r="BR2550" s="1">
        <v>2683</v>
      </c>
      <c r="BS2550" s="1" t="s">
        <v>104</v>
      </c>
      <c r="BX2550" s="1">
        <v>0</v>
      </c>
      <c r="BY2550" s="1">
        <v>1</v>
      </c>
      <c r="BZ2550" s="1">
        <v>2</v>
      </c>
      <c r="CA2550" s="1">
        <v>2</v>
      </c>
      <c r="CB2550" s="1">
        <v>1</v>
      </c>
      <c r="CC2550" s="1">
        <v>2</v>
      </c>
      <c r="CD2550" s="1">
        <v>2</v>
      </c>
      <c r="CE2550" s="1">
        <v>2</v>
      </c>
      <c r="CF2550" s="1" t="s">
        <v>104</v>
      </c>
      <c r="CG2550" s="1" t="s">
        <v>104</v>
      </c>
      <c r="CH2550" s="1">
        <v>2</v>
      </c>
      <c r="CJ2550" s="1">
        <v>0</v>
      </c>
      <c r="CK2550" s="1">
        <v>0</v>
      </c>
      <c r="CL2550" s="1">
        <v>0</v>
      </c>
      <c r="CM2550" s="1" t="s">
        <v>104</v>
      </c>
    </row>
    <row r="2551" spans="1:91" ht="14.25" customHeight="1" x14ac:dyDescent="0.3">
      <c r="A2551" s="1" t="s">
        <v>13028</v>
      </c>
      <c r="B2551" s="1" t="s">
        <v>172</v>
      </c>
      <c r="E2551" s="1" t="s">
        <v>13029</v>
      </c>
      <c r="F2551" s="1" t="s">
        <v>95</v>
      </c>
      <c r="G2551" s="1" t="s">
        <v>116</v>
      </c>
      <c r="H2551" s="1">
        <v>0</v>
      </c>
      <c r="I2551" s="1" t="s">
        <v>117</v>
      </c>
      <c r="L2551" s="1" t="s">
        <v>13030</v>
      </c>
      <c r="M2551" s="1" t="s">
        <v>8625</v>
      </c>
      <c r="N2551" s="1">
        <v>1</v>
      </c>
      <c r="O2551" s="1">
        <v>0</v>
      </c>
      <c r="P2551" s="1" t="s">
        <v>100</v>
      </c>
      <c r="Q2551" s="1" t="s">
        <v>101</v>
      </c>
      <c r="R2551" s="1" t="s">
        <v>13031</v>
      </c>
      <c r="S2551" s="1" t="s">
        <v>12702</v>
      </c>
      <c r="T2551" s="1">
        <v>1</v>
      </c>
      <c r="U2551" s="1">
        <v>1</v>
      </c>
      <c r="V2551" s="1">
        <v>0</v>
      </c>
      <c r="W2551" s="1">
        <v>0</v>
      </c>
      <c r="X2551" s="1">
        <v>0</v>
      </c>
      <c r="Y2551" s="1" t="s">
        <v>104</v>
      </c>
      <c r="Z2551" s="1" t="s">
        <v>104</v>
      </c>
      <c r="AA2551" s="1">
        <v>2</v>
      </c>
      <c r="AB2551" s="1" t="s">
        <v>104</v>
      </c>
      <c r="AC2551" s="1" t="s">
        <v>104</v>
      </c>
      <c r="AD2551" s="1" t="s">
        <v>104</v>
      </c>
      <c r="AE2551" s="1">
        <v>2</v>
      </c>
      <c r="AF2551" s="1" t="s">
        <v>104</v>
      </c>
      <c r="AG2551" s="1" t="s">
        <v>104</v>
      </c>
      <c r="AH2551" s="1" t="s">
        <v>104</v>
      </c>
      <c r="AI2551" s="1">
        <v>2</v>
      </c>
      <c r="AJ2551" s="1">
        <v>2</v>
      </c>
      <c r="AK2551" s="1" t="s">
        <v>104</v>
      </c>
      <c r="AL2551" s="1" t="s">
        <v>104</v>
      </c>
      <c r="AM2551" s="1" t="s">
        <v>104</v>
      </c>
      <c r="AO2551" s="1">
        <v>2</v>
      </c>
      <c r="AQ2551" s="1" t="s">
        <v>13032</v>
      </c>
      <c r="AR2551" s="1">
        <v>0</v>
      </c>
      <c r="AS2551" s="1">
        <v>0</v>
      </c>
      <c r="AT2551" s="1">
        <v>0</v>
      </c>
      <c r="AU2551" s="1">
        <v>0</v>
      </c>
      <c r="AV2551" s="1">
        <v>0</v>
      </c>
      <c r="AW2551" s="1">
        <v>0</v>
      </c>
      <c r="AX2551" s="1">
        <v>0</v>
      </c>
      <c r="AY2551" s="1">
        <v>0</v>
      </c>
      <c r="AZ2551" s="1">
        <v>0</v>
      </c>
      <c r="BA2551" s="1">
        <v>0</v>
      </c>
      <c r="BB2551" s="1">
        <v>0</v>
      </c>
      <c r="BC2551" s="1">
        <v>0</v>
      </c>
      <c r="BD2551" s="1">
        <v>0</v>
      </c>
      <c r="BE2551" s="1">
        <v>0</v>
      </c>
      <c r="BF2551" s="1">
        <v>0</v>
      </c>
      <c r="BG2551" s="1">
        <v>0</v>
      </c>
      <c r="BH2551" s="1">
        <v>0</v>
      </c>
      <c r="BI2551" s="1">
        <v>0</v>
      </c>
      <c r="BJ2551" s="1">
        <v>0</v>
      </c>
      <c r="BK2551" s="1">
        <v>0</v>
      </c>
      <c r="BL2551" s="1">
        <v>0</v>
      </c>
      <c r="BM2551" s="1">
        <v>0</v>
      </c>
      <c r="BN2551" s="1">
        <v>0</v>
      </c>
      <c r="BO2551" s="1">
        <v>0</v>
      </c>
      <c r="BP2551" s="1">
        <v>0</v>
      </c>
      <c r="BQ2551" s="1" t="s">
        <v>104</v>
      </c>
      <c r="BR2551" s="1">
        <v>2684</v>
      </c>
      <c r="BS2551" s="1" t="s">
        <v>104</v>
      </c>
      <c r="BX2551" s="1">
        <v>0</v>
      </c>
      <c r="BY2551" s="1" t="s">
        <v>104</v>
      </c>
      <c r="BZ2551" s="1" t="s">
        <v>104</v>
      </c>
      <c r="CA2551" s="1">
        <v>2</v>
      </c>
      <c r="CB2551" s="1">
        <v>2</v>
      </c>
      <c r="CC2551" s="1" t="s">
        <v>104</v>
      </c>
      <c r="CD2551" s="1">
        <v>2</v>
      </c>
      <c r="CE2551" s="1" t="s">
        <v>104</v>
      </c>
      <c r="CF2551" s="1" t="s">
        <v>104</v>
      </c>
      <c r="CG2551" s="1" t="s">
        <v>104</v>
      </c>
      <c r="CH2551" s="1" t="s">
        <v>104</v>
      </c>
      <c r="CJ2551" s="1">
        <v>0</v>
      </c>
      <c r="CK2551" s="1">
        <v>0</v>
      </c>
      <c r="CL2551" s="1">
        <v>0</v>
      </c>
      <c r="CM2551" s="1" t="s">
        <v>104</v>
      </c>
    </row>
    <row r="2552" spans="1:91" ht="14.25" customHeight="1" x14ac:dyDescent="0.3">
      <c r="A2552" s="1" t="s">
        <v>13033</v>
      </c>
      <c r="B2552" s="1" t="s">
        <v>123</v>
      </c>
      <c r="C2552" s="1" t="s">
        <v>124</v>
      </c>
      <c r="D2552" s="1" t="s">
        <v>125</v>
      </c>
      <c r="E2552" s="1" t="s">
        <v>13034</v>
      </c>
      <c r="F2552" s="1" t="s">
        <v>95</v>
      </c>
      <c r="G2552" s="1" t="s">
        <v>13035</v>
      </c>
      <c r="H2552" s="1">
        <v>1</v>
      </c>
      <c r="I2552" s="1" t="s">
        <v>117</v>
      </c>
      <c r="L2552" s="1" t="s">
        <v>1065</v>
      </c>
      <c r="M2552" s="1" t="s">
        <v>341</v>
      </c>
      <c r="N2552" s="1">
        <v>0</v>
      </c>
      <c r="O2552" s="1">
        <v>0</v>
      </c>
      <c r="P2552" s="1" t="s">
        <v>13036</v>
      </c>
      <c r="Q2552" s="1" t="s">
        <v>184</v>
      </c>
      <c r="R2552" s="1" t="s">
        <v>13037</v>
      </c>
      <c r="S2552" s="1" t="s">
        <v>12702</v>
      </c>
      <c r="T2552" s="1">
        <v>1</v>
      </c>
      <c r="U2552" s="1">
        <v>1</v>
      </c>
      <c r="V2552" s="1">
        <v>1</v>
      </c>
      <c r="W2552" s="1">
        <v>0</v>
      </c>
      <c r="X2552" s="1">
        <v>0</v>
      </c>
      <c r="Y2552" s="1">
        <v>5</v>
      </c>
      <c r="Z2552" s="1">
        <v>5</v>
      </c>
      <c r="AA2552" s="1" t="s">
        <v>104</v>
      </c>
      <c r="AB2552" s="1" t="s">
        <v>104</v>
      </c>
      <c r="AC2552" s="1" t="s">
        <v>104</v>
      </c>
      <c r="AD2552" s="1">
        <v>4</v>
      </c>
      <c r="AE2552" s="1" t="s">
        <v>104</v>
      </c>
      <c r="AF2552" s="1" t="s">
        <v>104</v>
      </c>
      <c r="AG2552" s="1" t="s">
        <v>104</v>
      </c>
      <c r="AH2552" s="1">
        <v>5</v>
      </c>
      <c r="AI2552" s="1" t="s">
        <v>104</v>
      </c>
      <c r="AJ2552" s="1" t="s">
        <v>104</v>
      </c>
      <c r="AK2552" s="1" t="s">
        <v>104</v>
      </c>
      <c r="AL2552" s="1" t="s">
        <v>104</v>
      </c>
      <c r="AM2552" s="1" t="s">
        <v>104</v>
      </c>
      <c r="AO2552" s="1">
        <v>5</v>
      </c>
      <c r="AQ2552" s="1" t="s">
        <v>13038</v>
      </c>
      <c r="AR2552" s="1">
        <v>0</v>
      </c>
      <c r="AS2552" s="1">
        <v>0</v>
      </c>
      <c r="AT2552" s="1">
        <v>0</v>
      </c>
      <c r="AU2552" s="1">
        <v>0</v>
      </c>
      <c r="AV2552" s="1">
        <v>0</v>
      </c>
      <c r="AW2552" s="1">
        <v>0</v>
      </c>
      <c r="AX2552" s="1">
        <v>0</v>
      </c>
      <c r="AY2552" s="1">
        <v>0</v>
      </c>
      <c r="AZ2552" s="1">
        <v>0</v>
      </c>
      <c r="BA2552" s="1">
        <v>0</v>
      </c>
      <c r="BB2552" s="1">
        <v>0</v>
      </c>
      <c r="BC2552" s="1">
        <v>0</v>
      </c>
      <c r="BD2552" s="1">
        <v>0</v>
      </c>
      <c r="BE2552" s="1">
        <v>0</v>
      </c>
      <c r="BF2552" s="1">
        <v>0</v>
      </c>
      <c r="BG2552" s="1">
        <v>0</v>
      </c>
      <c r="BH2552" s="1">
        <v>0</v>
      </c>
      <c r="BI2552" s="1">
        <v>0</v>
      </c>
      <c r="BJ2552" s="1">
        <v>0</v>
      </c>
      <c r="BK2552" s="1">
        <v>1</v>
      </c>
      <c r="BL2552" s="1">
        <v>0</v>
      </c>
      <c r="BM2552" s="1">
        <v>0</v>
      </c>
      <c r="BN2552" s="1">
        <v>0</v>
      </c>
      <c r="BO2552" s="1">
        <v>0</v>
      </c>
      <c r="BP2552" s="1">
        <v>0</v>
      </c>
      <c r="BQ2552" s="1" t="s">
        <v>104</v>
      </c>
      <c r="BR2552" s="1">
        <v>2685</v>
      </c>
      <c r="BS2552" s="1">
        <v>180</v>
      </c>
      <c r="BX2552" s="1">
        <v>0</v>
      </c>
      <c r="BY2552" s="1" t="s">
        <v>104</v>
      </c>
      <c r="BZ2552" s="1" t="s">
        <v>104</v>
      </c>
      <c r="CA2552" s="1">
        <v>5</v>
      </c>
      <c r="CB2552" s="1">
        <v>3</v>
      </c>
      <c r="CC2552" s="1">
        <v>4</v>
      </c>
      <c r="CD2552" s="1" t="s">
        <v>104</v>
      </c>
      <c r="CE2552" s="1" t="s">
        <v>104</v>
      </c>
      <c r="CF2552" s="1" t="s">
        <v>104</v>
      </c>
      <c r="CG2552" s="1" t="s">
        <v>104</v>
      </c>
      <c r="CH2552" s="1" t="s">
        <v>104</v>
      </c>
      <c r="CJ2552" s="1">
        <v>0</v>
      </c>
      <c r="CK2552" s="1">
        <v>0</v>
      </c>
      <c r="CL2552" s="1">
        <v>0</v>
      </c>
      <c r="CM2552" s="1" t="s">
        <v>104</v>
      </c>
    </row>
    <row r="2553" spans="1:91" ht="14.25" customHeight="1" x14ac:dyDescent="0.3">
      <c r="A2553" s="1" t="s">
        <v>13039</v>
      </c>
      <c r="B2553" s="1" t="s">
        <v>137</v>
      </c>
      <c r="D2553" s="1" t="s">
        <v>54</v>
      </c>
      <c r="E2553" s="1" t="s">
        <v>13040</v>
      </c>
      <c r="F2553" s="1" t="s">
        <v>95</v>
      </c>
      <c r="G2553" s="1" t="s">
        <v>13041</v>
      </c>
      <c r="H2553" s="1">
        <v>0</v>
      </c>
      <c r="I2553" s="1" t="s">
        <v>13042</v>
      </c>
      <c r="L2553" s="1" t="s">
        <v>417</v>
      </c>
      <c r="M2553" s="1" t="s">
        <v>119</v>
      </c>
      <c r="N2553" s="1">
        <v>0</v>
      </c>
      <c r="O2553" s="1">
        <v>0</v>
      </c>
      <c r="P2553" s="1" t="s">
        <v>183</v>
      </c>
      <c r="Q2553" s="1" t="s">
        <v>184</v>
      </c>
      <c r="R2553" s="1" t="s">
        <v>13043</v>
      </c>
      <c r="S2553" s="1" t="s">
        <v>12702</v>
      </c>
      <c r="T2553" s="1">
        <v>1</v>
      </c>
      <c r="U2553" s="1">
        <v>1</v>
      </c>
      <c r="V2553" s="1">
        <v>1</v>
      </c>
      <c r="W2553" s="1">
        <v>0</v>
      </c>
      <c r="X2553" s="1">
        <v>1</v>
      </c>
      <c r="Y2553" s="1">
        <v>5</v>
      </c>
      <c r="Z2553" s="1">
        <v>5</v>
      </c>
      <c r="AA2553" s="1">
        <v>5</v>
      </c>
      <c r="AB2553" s="1" t="s">
        <v>104</v>
      </c>
      <c r="AC2553" s="1" t="s">
        <v>104</v>
      </c>
      <c r="AD2553" s="1" t="s">
        <v>104</v>
      </c>
      <c r="AE2553" s="1" t="s">
        <v>104</v>
      </c>
      <c r="AF2553" s="1" t="s">
        <v>104</v>
      </c>
      <c r="AG2553" s="1" t="s">
        <v>104</v>
      </c>
      <c r="AH2553" s="1">
        <v>5</v>
      </c>
      <c r="AI2553" s="1" t="s">
        <v>104</v>
      </c>
      <c r="AJ2553" s="1">
        <v>5</v>
      </c>
      <c r="AK2553" s="1" t="s">
        <v>104</v>
      </c>
      <c r="AL2553" s="1" t="s">
        <v>104</v>
      </c>
      <c r="AM2553" s="1" t="s">
        <v>104</v>
      </c>
      <c r="AO2553" s="1">
        <v>5</v>
      </c>
      <c r="AQ2553" s="1" t="s">
        <v>13044</v>
      </c>
      <c r="AR2553" s="1">
        <v>0</v>
      </c>
      <c r="AS2553" s="1">
        <v>0</v>
      </c>
      <c r="AT2553" s="1">
        <v>0</v>
      </c>
      <c r="AU2553" s="1">
        <v>0</v>
      </c>
      <c r="AV2553" s="1">
        <v>0</v>
      </c>
      <c r="AW2553" s="1">
        <v>0</v>
      </c>
      <c r="AX2553" s="1">
        <v>0</v>
      </c>
      <c r="AY2553" s="1">
        <v>0</v>
      </c>
      <c r="AZ2553" s="1">
        <v>0</v>
      </c>
      <c r="BA2553" s="1">
        <v>0</v>
      </c>
      <c r="BB2553" s="1">
        <v>0</v>
      </c>
      <c r="BC2553" s="1">
        <v>1</v>
      </c>
      <c r="BD2553" s="1">
        <v>0</v>
      </c>
      <c r="BE2553" s="1">
        <v>0</v>
      </c>
      <c r="BF2553" s="1">
        <v>0</v>
      </c>
      <c r="BG2553" s="1">
        <v>0</v>
      </c>
      <c r="BH2553" s="1">
        <v>0</v>
      </c>
      <c r="BI2553" s="1">
        <v>0</v>
      </c>
      <c r="BJ2553" s="1">
        <v>0</v>
      </c>
      <c r="BK2553" s="1">
        <v>0</v>
      </c>
      <c r="BL2553" s="1">
        <v>0</v>
      </c>
      <c r="BM2553" s="1">
        <v>0</v>
      </c>
      <c r="BN2553" s="1">
        <v>0</v>
      </c>
      <c r="BO2553" s="1">
        <v>0</v>
      </c>
      <c r="BP2553" s="1">
        <v>0</v>
      </c>
      <c r="BQ2553" s="1" t="s">
        <v>104</v>
      </c>
      <c r="BR2553" s="1">
        <v>2686</v>
      </c>
      <c r="BS2553" s="1" t="s">
        <v>104</v>
      </c>
      <c r="BX2553" s="1">
        <v>0</v>
      </c>
      <c r="BY2553" s="1" t="s">
        <v>104</v>
      </c>
      <c r="BZ2553" s="1" t="s">
        <v>104</v>
      </c>
      <c r="CA2553" s="1">
        <v>5</v>
      </c>
      <c r="CB2553" s="1" t="s">
        <v>104</v>
      </c>
      <c r="CC2553" s="1" t="s">
        <v>104</v>
      </c>
      <c r="CD2553" s="1">
        <v>4</v>
      </c>
      <c r="CE2553" s="1">
        <v>4</v>
      </c>
      <c r="CF2553" s="1" t="s">
        <v>104</v>
      </c>
      <c r="CG2553" s="1" t="s">
        <v>104</v>
      </c>
      <c r="CH2553" s="1" t="s">
        <v>104</v>
      </c>
      <c r="CJ2553" s="1">
        <v>0</v>
      </c>
      <c r="CK2553" s="1">
        <v>0</v>
      </c>
      <c r="CL2553" s="1">
        <v>0</v>
      </c>
      <c r="CM2553" s="1" t="s">
        <v>104</v>
      </c>
    </row>
    <row r="2554" spans="1:91" ht="14.25" customHeight="1" x14ac:dyDescent="0.3">
      <c r="A2554" s="1" t="s">
        <v>13045</v>
      </c>
      <c r="B2554" s="1" t="s">
        <v>162</v>
      </c>
      <c r="E2554" s="1" t="s">
        <v>5774</v>
      </c>
      <c r="F2554" s="1" t="s">
        <v>95</v>
      </c>
      <c r="G2554" s="1" t="s">
        <v>1739</v>
      </c>
      <c r="H2554" s="1">
        <v>0</v>
      </c>
      <c r="I2554" s="1" t="s">
        <v>128</v>
      </c>
      <c r="L2554" s="1" t="s">
        <v>1065</v>
      </c>
      <c r="M2554" s="1" t="s">
        <v>13046</v>
      </c>
      <c r="N2554" s="1">
        <v>0</v>
      </c>
      <c r="O2554" s="1">
        <v>0</v>
      </c>
      <c r="P2554" s="1" t="s">
        <v>375</v>
      </c>
      <c r="Q2554" s="1" t="s">
        <v>131</v>
      </c>
      <c r="R2554" s="1" t="s">
        <v>13047</v>
      </c>
      <c r="S2554" s="1" t="s">
        <v>12702</v>
      </c>
      <c r="T2554" s="1">
        <v>1</v>
      </c>
      <c r="U2554" s="1">
        <v>1</v>
      </c>
      <c r="V2554" s="1">
        <v>1</v>
      </c>
      <c r="W2554" s="1">
        <v>0</v>
      </c>
      <c r="X2554" s="1">
        <v>0</v>
      </c>
      <c r="Y2554" s="1" t="s">
        <v>104</v>
      </c>
      <c r="Z2554" s="1" t="s">
        <v>104</v>
      </c>
      <c r="AA2554" s="1">
        <v>2</v>
      </c>
      <c r="AB2554" s="1" t="s">
        <v>104</v>
      </c>
      <c r="AC2554" s="1" t="s">
        <v>104</v>
      </c>
      <c r="AD2554" s="1" t="s">
        <v>104</v>
      </c>
      <c r="AE2554" s="1">
        <v>2</v>
      </c>
      <c r="AF2554" s="1" t="s">
        <v>104</v>
      </c>
      <c r="AG2554" s="1" t="s">
        <v>104</v>
      </c>
      <c r="AH2554" s="1" t="s">
        <v>104</v>
      </c>
      <c r="AI2554" s="1" t="s">
        <v>104</v>
      </c>
      <c r="AJ2554" s="1">
        <v>2</v>
      </c>
      <c r="AK2554" s="1" t="s">
        <v>104</v>
      </c>
      <c r="AL2554" s="1" t="s">
        <v>104</v>
      </c>
      <c r="AM2554" s="1" t="s">
        <v>104</v>
      </c>
      <c r="AO2554" s="1">
        <v>2</v>
      </c>
      <c r="AQ2554" s="1" t="s">
        <v>13048</v>
      </c>
      <c r="AR2554" s="1">
        <v>0</v>
      </c>
      <c r="AS2554" s="1">
        <v>0</v>
      </c>
      <c r="AT2554" s="1">
        <v>0</v>
      </c>
      <c r="AU2554" s="1">
        <v>0</v>
      </c>
      <c r="AV2554" s="1">
        <v>0</v>
      </c>
      <c r="AW2554" s="1">
        <v>0</v>
      </c>
      <c r="AX2554" s="1">
        <v>0</v>
      </c>
      <c r="AY2554" s="1">
        <v>0</v>
      </c>
      <c r="AZ2554" s="1">
        <v>0</v>
      </c>
      <c r="BA2554" s="1">
        <v>0</v>
      </c>
      <c r="BB2554" s="1">
        <v>0</v>
      </c>
      <c r="BC2554" s="1">
        <v>0</v>
      </c>
      <c r="BD2554" s="1">
        <v>0</v>
      </c>
      <c r="BE2554" s="1">
        <v>0</v>
      </c>
      <c r="BF2554" s="1">
        <v>0</v>
      </c>
      <c r="BG2554" s="1">
        <v>0</v>
      </c>
      <c r="BH2554" s="1">
        <v>0</v>
      </c>
      <c r="BI2554" s="1">
        <v>0</v>
      </c>
      <c r="BJ2554" s="1">
        <v>0</v>
      </c>
      <c r="BK2554" s="1">
        <v>0</v>
      </c>
      <c r="BL2554" s="1">
        <v>0</v>
      </c>
      <c r="BM2554" s="1">
        <v>0</v>
      </c>
      <c r="BN2554" s="1">
        <v>0</v>
      </c>
      <c r="BO2554" s="1">
        <v>0</v>
      </c>
      <c r="BP2554" s="1">
        <v>0</v>
      </c>
      <c r="BQ2554" s="1" t="s">
        <v>104</v>
      </c>
      <c r="BR2554" s="1">
        <v>2687</v>
      </c>
      <c r="BS2554" s="1" t="s">
        <v>104</v>
      </c>
      <c r="BX2554" s="1">
        <v>0</v>
      </c>
      <c r="BY2554" s="1" t="s">
        <v>104</v>
      </c>
      <c r="BZ2554" s="1" t="s">
        <v>104</v>
      </c>
      <c r="CA2554" s="1" t="s">
        <v>104</v>
      </c>
      <c r="CB2554" s="1" t="s">
        <v>104</v>
      </c>
      <c r="CC2554" s="1" t="s">
        <v>104</v>
      </c>
      <c r="CD2554" s="1" t="s">
        <v>104</v>
      </c>
      <c r="CE2554" s="1" t="s">
        <v>104</v>
      </c>
      <c r="CF2554" s="1" t="s">
        <v>104</v>
      </c>
      <c r="CG2554" s="1" t="s">
        <v>104</v>
      </c>
      <c r="CH2554" s="1" t="s">
        <v>104</v>
      </c>
      <c r="CJ2554" s="1">
        <v>0</v>
      </c>
      <c r="CK2554" s="1">
        <v>0</v>
      </c>
      <c r="CL2554" s="1">
        <v>0</v>
      </c>
      <c r="CM2554" s="1" t="s">
        <v>104</v>
      </c>
    </row>
    <row r="2555" spans="1:91" ht="14.25" customHeight="1" x14ac:dyDescent="0.3">
      <c r="A2555" s="1" t="s">
        <v>13049</v>
      </c>
      <c r="B2555" s="1" t="s">
        <v>92</v>
      </c>
      <c r="C2555" s="1" t="s">
        <v>93</v>
      </c>
      <c r="E2555" s="1" t="s">
        <v>13050</v>
      </c>
      <c r="F2555" s="1" t="s">
        <v>95</v>
      </c>
      <c r="G2555" s="1" t="s">
        <v>13051</v>
      </c>
      <c r="H2555" s="1">
        <v>0</v>
      </c>
      <c r="I2555" s="1" t="s">
        <v>13052</v>
      </c>
      <c r="L2555" s="1" t="s">
        <v>1065</v>
      </c>
      <c r="M2555" s="1" t="s">
        <v>426</v>
      </c>
      <c r="N2555" s="1">
        <v>1</v>
      </c>
      <c r="O2555" s="1">
        <v>0</v>
      </c>
      <c r="P2555" s="1" t="s">
        <v>100</v>
      </c>
      <c r="Q2555" s="1" t="s">
        <v>184</v>
      </c>
      <c r="R2555" s="1" t="s">
        <v>13053</v>
      </c>
      <c r="S2555" s="1" t="s">
        <v>12702</v>
      </c>
      <c r="T2555" s="1">
        <v>1</v>
      </c>
      <c r="U2555" s="1">
        <v>1</v>
      </c>
      <c r="V2555" s="1">
        <v>1</v>
      </c>
      <c r="W2555" s="1">
        <v>0</v>
      </c>
      <c r="X2555" s="1">
        <v>0</v>
      </c>
      <c r="Y2555" s="1">
        <v>5</v>
      </c>
      <c r="Z2555" s="1">
        <v>5</v>
      </c>
      <c r="AA2555" s="1" t="s">
        <v>104</v>
      </c>
      <c r="AB2555" s="1" t="s">
        <v>104</v>
      </c>
      <c r="AC2555" s="1" t="s">
        <v>104</v>
      </c>
      <c r="AD2555" s="1" t="s">
        <v>104</v>
      </c>
      <c r="AE2555" s="1" t="s">
        <v>104</v>
      </c>
      <c r="AF2555" s="1" t="s">
        <v>104</v>
      </c>
      <c r="AG2555" s="1">
        <v>5</v>
      </c>
      <c r="AH2555" s="1" t="s">
        <v>104</v>
      </c>
      <c r="AI2555" s="1">
        <v>4</v>
      </c>
      <c r="AJ2555" s="1" t="s">
        <v>104</v>
      </c>
      <c r="AK2555" s="1" t="s">
        <v>104</v>
      </c>
      <c r="AL2555" s="1" t="s">
        <v>104</v>
      </c>
      <c r="AM2555" s="1" t="s">
        <v>104</v>
      </c>
      <c r="AO2555" s="1">
        <v>5</v>
      </c>
      <c r="AQ2555" s="1" t="s">
        <v>13054</v>
      </c>
      <c r="AR2555" s="1">
        <v>0</v>
      </c>
      <c r="AS2555" s="1">
        <v>0</v>
      </c>
      <c r="AT2555" s="1">
        <v>0</v>
      </c>
      <c r="AU2555" s="1">
        <v>0</v>
      </c>
      <c r="AV2555" s="1">
        <v>0</v>
      </c>
      <c r="AW2555" s="1">
        <v>0</v>
      </c>
      <c r="AX2555" s="1">
        <v>0</v>
      </c>
      <c r="AY2555" s="1">
        <v>0</v>
      </c>
      <c r="AZ2555" s="1">
        <v>0</v>
      </c>
      <c r="BA2555" s="1">
        <v>0</v>
      </c>
      <c r="BB2555" s="1">
        <v>0</v>
      </c>
      <c r="BC2555" s="1">
        <v>0</v>
      </c>
      <c r="BD2555" s="1">
        <v>0</v>
      </c>
      <c r="BE2555" s="1">
        <v>0</v>
      </c>
      <c r="BF2555" s="1">
        <v>0</v>
      </c>
      <c r="BG2555" s="1">
        <v>0</v>
      </c>
      <c r="BH2555" s="1">
        <v>0</v>
      </c>
      <c r="BI2555" s="1">
        <v>0</v>
      </c>
      <c r="BJ2555" s="1">
        <v>0</v>
      </c>
      <c r="BK2555" s="1">
        <v>0</v>
      </c>
      <c r="BL2555" s="1">
        <v>0</v>
      </c>
      <c r="BM2555" s="1">
        <v>0</v>
      </c>
      <c r="BN2555" s="1">
        <v>0</v>
      </c>
      <c r="BO2555" s="1">
        <v>0</v>
      </c>
      <c r="BP2555" s="1">
        <v>0</v>
      </c>
      <c r="BQ2555" s="1" t="s">
        <v>104</v>
      </c>
      <c r="BR2555" s="1">
        <v>2688</v>
      </c>
      <c r="BS2555" s="1" t="s">
        <v>104</v>
      </c>
      <c r="BX2555" s="1">
        <v>0</v>
      </c>
      <c r="BY2555" s="1" t="s">
        <v>104</v>
      </c>
      <c r="BZ2555" s="1" t="s">
        <v>104</v>
      </c>
      <c r="CA2555" s="1" t="s">
        <v>104</v>
      </c>
      <c r="CB2555" s="1" t="s">
        <v>104</v>
      </c>
      <c r="CC2555" s="1" t="s">
        <v>104</v>
      </c>
      <c r="CD2555" s="1">
        <v>4</v>
      </c>
      <c r="CE2555" s="1" t="s">
        <v>104</v>
      </c>
      <c r="CF2555" s="1" t="s">
        <v>104</v>
      </c>
      <c r="CG2555" s="1" t="s">
        <v>104</v>
      </c>
      <c r="CH2555" s="1" t="s">
        <v>104</v>
      </c>
      <c r="CJ2555" s="1">
        <v>0</v>
      </c>
      <c r="CK2555" s="1">
        <v>0</v>
      </c>
      <c r="CL2555" s="1">
        <v>0</v>
      </c>
      <c r="CM2555" s="1">
        <v>5</v>
      </c>
    </row>
    <row r="2556" spans="1:91" ht="14.25" customHeight="1" x14ac:dyDescent="0.3">
      <c r="A2556" s="1" t="s">
        <v>13055</v>
      </c>
      <c r="B2556" s="1" t="s">
        <v>216</v>
      </c>
      <c r="D2556" s="1" t="s">
        <v>54</v>
      </c>
      <c r="E2556" s="1" t="s">
        <v>13056</v>
      </c>
      <c r="F2556" s="1" t="s">
        <v>287</v>
      </c>
      <c r="G2556" s="1" t="s">
        <v>13057</v>
      </c>
      <c r="H2556" s="1">
        <v>1</v>
      </c>
      <c r="I2556" s="1" t="s">
        <v>3750</v>
      </c>
      <c r="K2556" s="1" t="s">
        <v>3751</v>
      </c>
      <c r="M2556" s="1" t="s">
        <v>4292</v>
      </c>
      <c r="N2556" s="1">
        <v>0</v>
      </c>
      <c r="O2556" s="1">
        <v>0</v>
      </c>
      <c r="P2556" s="1" t="s">
        <v>183</v>
      </c>
      <c r="Q2556" s="1" t="s">
        <v>184</v>
      </c>
      <c r="R2556" s="1" t="s">
        <v>13058</v>
      </c>
      <c r="S2556" s="1" t="s">
        <v>12702</v>
      </c>
      <c r="T2556" s="1">
        <v>1</v>
      </c>
      <c r="U2556" s="1">
        <v>1</v>
      </c>
      <c r="V2556" s="1">
        <v>1</v>
      </c>
      <c r="W2556" s="1">
        <v>0</v>
      </c>
      <c r="X2556" s="1">
        <v>0</v>
      </c>
      <c r="Y2556" s="1">
        <v>3</v>
      </c>
      <c r="Z2556" s="1">
        <v>3</v>
      </c>
      <c r="AA2556" s="1">
        <v>3</v>
      </c>
      <c r="AB2556" s="1" t="s">
        <v>104</v>
      </c>
      <c r="AC2556" s="1" t="s">
        <v>104</v>
      </c>
      <c r="AD2556" s="1" t="s">
        <v>104</v>
      </c>
      <c r="AE2556" s="1" t="s">
        <v>104</v>
      </c>
      <c r="AF2556" s="1" t="s">
        <v>104</v>
      </c>
      <c r="AG2556" s="1" t="s">
        <v>104</v>
      </c>
      <c r="AH2556" s="1">
        <v>3</v>
      </c>
      <c r="AI2556" s="1" t="s">
        <v>104</v>
      </c>
      <c r="AJ2556" s="1">
        <v>3</v>
      </c>
      <c r="AK2556" s="1" t="s">
        <v>104</v>
      </c>
      <c r="AL2556" s="1" t="s">
        <v>104</v>
      </c>
      <c r="AM2556" s="1" t="s">
        <v>104</v>
      </c>
      <c r="AO2556" s="1">
        <v>3</v>
      </c>
      <c r="AQ2556" s="1" t="s">
        <v>13059</v>
      </c>
      <c r="AR2556" s="1">
        <v>0</v>
      </c>
      <c r="AS2556" s="1">
        <v>0</v>
      </c>
      <c r="AT2556" s="1">
        <v>0</v>
      </c>
      <c r="AU2556" s="1">
        <v>0</v>
      </c>
      <c r="AV2556" s="1">
        <v>0</v>
      </c>
      <c r="AW2556" s="1">
        <v>0</v>
      </c>
      <c r="AX2556" s="1">
        <v>0</v>
      </c>
      <c r="AY2556" s="1">
        <v>0</v>
      </c>
      <c r="AZ2556" s="1">
        <v>0</v>
      </c>
      <c r="BA2556" s="1">
        <v>0</v>
      </c>
      <c r="BB2556" s="1">
        <v>0</v>
      </c>
      <c r="BC2556" s="1">
        <v>1</v>
      </c>
      <c r="BD2556" s="1">
        <v>0</v>
      </c>
      <c r="BE2556" s="1">
        <v>0</v>
      </c>
      <c r="BF2556" s="1">
        <v>0</v>
      </c>
      <c r="BG2556" s="1">
        <v>0</v>
      </c>
      <c r="BH2556" s="1">
        <v>0</v>
      </c>
      <c r="BI2556" s="1">
        <v>0</v>
      </c>
      <c r="BJ2556" s="1">
        <v>0</v>
      </c>
      <c r="BK2556" s="1">
        <v>0</v>
      </c>
      <c r="BL2556" s="1">
        <v>0</v>
      </c>
      <c r="BM2556" s="1">
        <v>0</v>
      </c>
      <c r="BN2556" s="1">
        <v>0</v>
      </c>
      <c r="BO2556" s="1">
        <v>0</v>
      </c>
      <c r="BP2556" s="1">
        <v>0</v>
      </c>
      <c r="BQ2556" s="1" t="s">
        <v>104</v>
      </c>
      <c r="BR2556" s="1">
        <v>2689</v>
      </c>
      <c r="BS2556" s="1">
        <v>500</v>
      </c>
      <c r="BX2556" s="1">
        <v>0</v>
      </c>
      <c r="BY2556" s="1">
        <v>2</v>
      </c>
      <c r="BZ2556" s="1" t="s">
        <v>104</v>
      </c>
      <c r="CA2556" s="1" t="s">
        <v>104</v>
      </c>
      <c r="CB2556" s="1" t="s">
        <v>104</v>
      </c>
      <c r="CC2556" s="1" t="s">
        <v>104</v>
      </c>
      <c r="CD2556" s="1">
        <v>2</v>
      </c>
      <c r="CE2556" s="1" t="s">
        <v>104</v>
      </c>
      <c r="CF2556" s="1" t="s">
        <v>104</v>
      </c>
      <c r="CG2556" s="1" t="s">
        <v>104</v>
      </c>
      <c r="CH2556" s="1" t="s">
        <v>104</v>
      </c>
      <c r="CJ2556" s="1">
        <v>0</v>
      </c>
      <c r="CK2556" s="1">
        <v>0</v>
      </c>
      <c r="CL2556" s="1">
        <v>0</v>
      </c>
      <c r="CM2556" s="1" t="s">
        <v>104</v>
      </c>
    </row>
    <row r="2557" spans="1:91" ht="14.25" customHeight="1" x14ac:dyDescent="0.3">
      <c r="A2557" s="1" t="s">
        <v>13060</v>
      </c>
      <c r="B2557" s="1" t="s">
        <v>137</v>
      </c>
      <c r="E2557" s="1" t="s">
        <v>13061</v>
      </c>
      <c r="F2557" s="1" t="s">
        <v>95</v>
      </c>
      <c r="G2557" s="1" t="s">
        <v>13062</v>
      </c>
      <c r="H2557" s="1">
        <v>0</v>
      </c>
      <c r="I2557" s="1" t="s">
        <v>157</v>
      </c>
      <c r="L2557" s="1" t="s">
        <v>158</v>
      </c>
      <c r="M2557" s="1" t="s">
        <v>4641</v>
      </c>
      <c r="N2557" s="1">
        <v>1</v>
      </c>
      <c r="O2557" s="1">
        <v>0</v>
      </c>
      <c r="R2557" s="1" t="s">
        <v>13063</v>
      </c>
      <c r="S2557" s="1" t="s">
        <v>12702</v>
      </c>
      <c r="T2557" s="1">
        <v>1</v>
      </c>
      <c r="U2557" s="1">
        <v>1</v>
      </c>
      <c r="V2557" s="1">
        <v>0</v>
      </c>
      <c r="W2557" s="1">
        <v>0</v>
      </c>
      <c r="X2557" s="1">
        <v>0</v>
      </c>
      <c r="Y2557" s="1">
        <v>4</v>
      </c>
      <c r="Z2557" s="1">
        <v>4</v>
      </c>
      <c r="AA2557" s="1" t="s">
        <v>104</v>
      </c>
      <c r="AB2557" s="1" t="s">
        <v>104</v>
      </c>
      <c r="AC2557" s="1" t="s">
        <v>104</v>
      </c>
      <c r="AD2557" s="1" t="s">
        <v>104</v>
      </c>
      <c r="AE2557" s="1" t="s">
        <v>104</v>
      </c>
      <c r="AF2557" s="1">
        <v>3</v>
      </c>
      <c r="AG2557" s="1" t="s">
        <v>104</v>
      </c>
      <c r="AH2557" s="1" t="s">
        <v>104</v>
      </c>
      <c r="AI2557" s="1" t="s">
        <v>104</v>
      </c>
      <c r="AJ2557" s="1" t="s">
        <v>104</v>
      </c>
      <c r="AK2557" s="1" t="s">
        <v>104</v>
      </c>
      <c r="AL2557" s="1">
        <v>4</v>
      </c>
      <c r="AM2557" s="1" t="s">
        <v>104</v>
      </c>
      <c r="AO2557" s="1">
        <v>4</v>
      </c>
      <c r="AQ2557" s="1" t="s">
        <v>13064</v>
      </c>
      <c r="AR2557" s="1">
        <v>0</v>
      </c>
      <c r="AS2557" s="1">
        <v>0</v>
      </c>
      <c r="AT2557" s="1">
        <v>0</v>
      </c>
      <c r="AU2557" s="1">
        <v>0</v>
      </c>
      <c r="AV2557" s="1">
        <v>0</v>
      </c>
      <c r="AW2557" s="1">
        <v>0</v>
      </c>
      <c r="AX2557" s="1">
        <v>0</v>
      </c>
      <c r="AY2557" s="1">
        <v>0</v>
      </c>
      <c r="AZ2557" s="1">
        <v>0</v>
      </c>
      <c r="BA2557" s="1">
        <v>0</v>
      </c>
      <c r="BB2557" s="1">
        <v>0</v>
      </c>
      <c r="BC2557" s="1">
        <v>0</v>
      </c>
      <c r="BD2557" s="1">
        <v>0</v>
      </c>
      <c r="BE2557" s="1">
        <v>0</v>
      </c>
      <c r="BF2557" s="1">
        <v>0</v>
      </c>
      <c r="BG2557" s="1">
        <v>0</v>
      </c>
      <c r="BH2557" s="1">
        <v>0</v>
      </c>
      <c r="BI2557" s="1">
        <v>0</v>
      </c>
      <c r="BJ2557" s="1">
        <v>0</v>
      </c>
      <c r="BK2557" s="1">
        <v>0</v>
      </c>
      <c r="BL2557" s="1">
        <v>0</v>
      </c>
      <c r="BM2557" s="1">
        <v>0</v>
      </c>
      <c r="BN2557" s="1">
        <v>0</v>
      </c>
      <c r="BO2557" s="1">
        <v>0</v>
      </c>
      <c r="BP2557" s="1">
        <v>0</v>
      </c>
      <c r="BQ2557" s="1" t="s">
        <v>104</v>
      </c>
      <c r="BR2557" s="1">
        <v>2690</v>
      </c>
      <c r="BS2557" s="1" t="s">
        <v>104</v>
      </c>
      <c r="BX2557" s="1">
        <v>0</v>
      </c>
      <c r="BY2557" s="1">
        <v>3</v>
      </c>
      <c r="BZ2557" s="1" t="s">
        <v>104</v>
      </c>
      <c r="CA2557" s="1" t="s">
        <v>104</v>
      </c>
      <c r="CB2557" s="1" t="s">
        <v>104</v>
      </c>
      <c r="CC2557" s="1" t="s">
        <v>104</v>
      </c>
      <c r="CD2557" s="1">
        <v>3</v>
      </c>
      <c r="CE2557" s="1" t="s">
        <v>104</v>
      </c>
      <c r="CF2557" s="1" t="s">
        <v>104</v>
      </c>
      <c r="CG2557" s="1" t="s">
        <v>104</v>
      </c>
      <c r="CH2557" s="1" t="s">
        <v>104</v>
      </c>
      <c r="CJ2557" s="1">
        <v>0</v>
      </c>
      <c r="CK2557" s="1">
        <v>0</v>
      </c>
      <c r="CL2557" s="1">
        <v>0</v>
      </c>
      <c r="CM2557" s="1" t="s">
        <v>104</v>
      </c>
    </row>
    <row r="2558" spans="1:91" ht="14.25" customHeight="1" x14ac:dyDescent="0.3">
      <c r="A2558" s="1" t="s">
        <v>13065</v>
      </c>
      <c r="B2558" s="1" t="s">
        <v>216</v>
      </c>
      <c r="D2558" s="1" t="s">
        <v>54</v>
      </c>
      <c r="E2558" s="1" t="s">
        <v>13066</v>
      </c>
      <c r="F2558" s="1" t="s">
        <v>95</v>
      </c>
      <c r="G2558" s="1" t="s">
        <v>13067</v>
      </c>
      <c r="H2558" s="1">
        <v>1</v>
      </c>
      <c r="I2558" s="1" t="s">
        <v>128</v>
      </c>
      <c r="L2558" s="1" t="s">
        <v>219</v>
      </c>
      <c r="M2558" s="1" t="s">
        <v>13068</v>
      </c>
      <c r="N2558" s="1">
        <v>0</v>
      </c>
      <c r="O2558" s="1">
        <v>0</v>
      </c>
      <c r="P2558" s="1" t="s">
        <v>100</v>
      </c>
      <c r="Q2558" s="1" t="s">
        <v>101</v>
      </c>
      <c r="R2558" s="1" t="s">
        <v>13069</v>
      </c>
      <c r="S2558" s="1" t="s">
        <v>12702</v>
      </c>
      <c r="T2558" s="1">
        <v>1</v>
      </c>
      <c r="U2558" s="1">
        <v>1</v>
      </c>
      <c r="V2558" s="1">
        <v>1</v>
      </c>
      <c r="W2558" s="1">
        <v>0</v>
      </c>
      <c r="X2558" s="1">
        <v>0</v>
      </c>
      <c r="Y2558" s="1">
        <v>5</v>
      </c>
      <c r="Z2558" s="1">
        <v>5</v>
      </c>
      <c r="AA2558" s="1">
        <v>4</v>
      </c>
      <c r="AB2558" s="1" t="s">
        <v>104</v>
      </c>
      <c r="AC2558" s="1" t="s">
        <v>104</v>
      </c>
      <c r="AD2558" s="1" t="s">
        <v>104</v>
      </c>
      <c r="AE2558" s="1" t="s">
        <v>104</v>
      </c>
      <c r="AF2558" s="1" t="s">
        <v>104</v>
      </c>
      <c r="AG2558" s="1" t="s">
        <v>104</v>
      </c>
      <c r="AH2558" s="1" t="s">
        <v>104</v>
      </c>
      <c r="AI2558" s="1" t="s">
        <v>104</v>
      </c>
      <c r="AJ2558" s="1">
        <v>4</v>
      </c>
      <c r="AK2558" s="1">
        <v>4</v>
      </c>
      <c r="AL2558" s="1" t="s">
        <v>104</v>
      </c>
      <c r="AM2558" s="1" t="s">
        <v>104</v>
      </c>
      <c r="AO2558" s="1">
        <v>5</v>
      </c>
      <c r="AQ2558" s="1" t="s">
        <v>13070</v>
      </c>
      <c r="AR2558" s="1">
        <v>0</v>
      </c>
      <c r="AS2558" s="1">
        <v>0</v>
      </c>
      <c r="AT2558" s="1">
        <v>0</v>
      </c>
      <c r="AU2558" s="1">
        <v>0</v>
      </c>
      <c r="AV2558" s="1">
        <v>0</v>
      </c>
      <c r="AW2558" s="1">
        <v>0</v>
      </c>
      <c r="AX2558" s="1">
        <v>0</v>
      </c>
      <c r="AY2558" s="1">
        <v>0</v>
      </c>
      <c r="AZ2558" s="1">
        <v>0</v>
      </c>
      <c r="BA2558" s="1">
        <v>0</v>
      </c>
      <c r="BB2558" s="1">
        <v>0</v>
      </c>
      <c r="BC2558" s="1">
        <v>1</v>
      </c>
      <c r="BD2558" s="1">
        <v>0</v>
      </c>
      <c r="BE2558" s="1">
        <v>0</v>
      </c>
      <c r="BF2558" s="1">
        <v>0</v>
      </c>
      <c r="BG2558" s="1">
        <v>0</v>
      </c>
      <c r="BH2558" s="1">
        <v>0</v>
      </c>
      <c r="BI2558" s="1">
        <v>0</v>
      </c>
      <c r="BJ2558" s="1">
        <v>0</v>
      </c>
      <c r="BK2558" s="1">
        <v>0</v>
      </c>
      <c r="BL2558" s="1">
        <v>0</v>
      </c>
      <c r="BM2558" s="1">
        <v>0</v>
      </c>
      <c r="BN2558" s="1">
        <v>0</v>
      </c>
      <c r="BO2558" s="1">
        <v>0</v>
      </c>
      <c r="BP2558" s="1">
        <v>0</v>
      </c>
      <c r="BQ2558" s="1" t="s">
        <v>104</v>
      </c>
      <c r="BR2558" s="1">
        <v>2691</v>
      </c>
      <c r="BS2558" s="1">
        <v>25</v>
      </c>
      <c r="BX2558" s="1">
        <v>0</v>
      </c>
      <c r="BY2558" s="1" t="s">
        <v>104</v>
      </c>
      <c r="BZ2558" s="1">
        <v>4</v>
      </c>
      <c r="CA2558" s="1" t="s">
        <v>104</v>
      </c>
      <c r="CB2558" s="1" t="s">
        <v>104</v>
      </c>
      <c r="CC2558" s="1" t="s">
        <v>104</v>
      </c>
      <c r="CD2558" s="1">
        <v>4</v>
      </c>
      <c r="CE2558" s="1">
        <v>4</v>
      </c>
      <c r="CF2558" s="1" t="s">
        <v>104</v>
      </c>
      <c r="CG2558" s="1" t="s">
        <v>104</v>
      </c>
      <c r="CH2558" s="1" t="s">
        <v>104</v>
      </c>
      <c r="CJ2558" s="1">
        <v>0</v>
      </c>
      <c r="CK2558" s="1">
        <v>0</v>
      </c>
      <c r="CL2558" s="1">
        <v>0</v>
      </c>
      <c r="CM2558" s="1" t="s">
        <v>104</v>
      </c>
    </row>
    <row r="2559" spans="1:91" ht="14.25" customHeight="1" x14ac:dyDescent="0.3">
      <c r="A2559" s="1" t="s">
        <v>13071</v>
      </c>
      <c r="B2559" s="1" t="s">
        <v>137</v>
      </c>
      <c r="C2559" s="1" t="s">
        <v>154</v>
      </c>
      <c r="E2559" s="1" t="s">
        <v>13072</v>
      </c>
      <c r="F2559" s="1" t="s">
        <v>95</v>
      </c>
      <c r="G2559" s="1" t="s">
        <v>13073</v>
      </c>
      <c r="H2559" s="1">
        <v>0</v>
      </c>
      <c r="I2559" s="1" t="s">
        <v>157</v>
      </c>
      <c r="L2559" s="1" t="s">
        <v>158</v>
      </c>
      <c r="M2559" s="1" t="s">
        <v>426</v>
      </c>
      <c r="N2559" s="1">
        <v>1</v>
      </c>
      <c r="O2559" s="1">
        <v>0</v>
      </c>
      <c r="R2559" s="1" t="s">
        <v>13074</v>
      </c>
      <c r="S2559" s="1" t="s">
        <v>12702</v>
      </c>
      <c r="T2559" s="1">
        <v>1</v>
      </c>
      <c r="U2559" s="1">
        <v>1</v>
      </c>
      <c r="V2559" s="1">
        <v>1</v>
      </c>
      <c r="W2559" s="1">
        <v>0</v>
      </c>
      <c r="X2559" s="1">
        <v>0</v>
      </c>
      <c r="Y2559" s="1" t="s">
        <v>104</v>
      </c>
      <c r="Z2559" s="1" t="s">
        <v>104</v>
      </c>
      <c r="AA2559" s="1" t="s">
        <v>104</v>
      </c>
      <c r="AB2559" s="1" t="s">
        <v>104</v>
      </c>
      <c r="AC2559" s="1" t="s">
        <v>104</v>
      </c>
      <c r="AD2559" s="1" t="s">
        <v>104</v>
      </c>
      <c r="AE2559" s="1" t="s">
        <v>104</v>
      </c>
      <c r="AF2559" s="1">
        <v>6</v>
      </c>
      <c r="AG2559" s="1" t="s">
        <v>104</v>
      </c>
      <c r="AH2559" s="1">
        <v>7</v>
      </c>
      <c r="AI2559" s="1" t="s">
        <v>104</v>
      </c>
      <c r="AJ2559" s="1" t="s">
        <v>104</v>
      </c>
      <c r="AK2559" s="1" t="s">
        <v>104</v>
      </c>
      <c r="AL2559" s="1" t="s">
        <v>104</v>
      </c>
      <c r="AM2559" s="1" t="s">
        <v>104</v>
      </c>
      <c r="AO2559" s="1" t="s">
        <v>104</v>
      </c>
      <c r="AQ2559" s="1" t="s">
        <v>13075</v>
      </c>
      <c r="AR2559" s="1">
        <v>0</v>
      </c>
      <c r="AS2559" s="1">
        <v>0</v>
      </c>
      <c r="AT2559" s="1">
        <v>0</v>
      </c>
      <c r="AU2559" s="1">
        <v>0</v>
      </c>
      <c r="AV2559" s="1">
        <v>0</v>
      </c>
      <c r="AW2559" s="1">
        <v>0</v>
      </c>
      <c r="AX2559" s="1">
        <v>0</v>
      </c>
      <c r="AY2559" s="1">
        <v>0</v>
      </c>
      <c r="AZ2559" s="1">
        <v>0</v>
      </c>
      <c r="BA2559" s="1">
        <v>0</v>
      </c>
      <c r="BB2559" s="1">
        <v>0</v>
      </c>
      <c r="BC2559" s="1">
        <v>0</v>
      </c>
      <c r="BD2559" s="1">
        <v>0</v>
      </c>
      <c r="BE2559" s="1">
        <v>0</v>
      </c>
      <c r="BF2559" s="1">
        <v>0</v>
      </c>
      <c r="BG2559" s="1">
        <v>0</v>
      </c>
      <c r="BH2559" s="1">
        <v>0</v>
      </c>
      <c r="BI2559" s="1">
        <v>0</v>
      </c>
      <c r="BJ2559" s="1">
        <v>0</v>
      </c>
      <c r="BK2559" s="1">
        <v>0</v>
      </c>
      <c r="BL2559" s="1">
        <v>0</v>
      </c>
      <c r="BM2559" s="1">
        <v>0</v>
      </c>
      <c r="BN2559" s="1">
        <v>0</v>
      </c>
      <c r="BO2559" s="1">
        <v>0</v>
      </c>
      <c r="BP2559" s="1">
        <v>0</v>
      </c>
      <c r="BQ2559" s="1" t="s">
        <v>104</v>
      </c>
      <c r="BR2559" s="1">
        <v>2692</v>
      </c>
      <c r="BS2559" s="1" t="s">
        <v>104</v>
      </c>
      <c r="BX2559" s="1">
        <v>0</v>
      </c>
      <c r="BY2559" s="1" t="s">
        <v>104</v>
      </c>
      <c r="BZ2559" s="1">
        <v>7</v>
      </c>
      <c r="CA2559" s="1" t="s">
        <v>104</v>
      </c>
      <c r="CB2559" s="1" t="s">
        <v>104</v>
      </c>
      <c r="CC2559" s="1" t="s">
        <v>104</v>
      </c>
      <c r="CD2559" s="1" t="s">
        <v>104</v>
      </c>
      <c r="CE2559" s="1" t="s">
        <v>104</v>
      </c>
      <c r="CF2559" s="1" t="s">
        <v>104</v>
      </c>
      <c r="CG2559" s="1" t="s">
        <v>104</v>
      </c>
      <c r="CH2559" s="1" t="s">
        <v>104</v>
      </c>
      <c r="CJ2559" s="1">
        <v>0</v>
      </c>
      <c r="CK2559" s="1">
        <v>0</v>
      </c>
      <c r="CL2559" s="1">
        <v>0</v>
      </c>
      <c r="CM2559" s="1" t="s">
        <v>104</v>
      </c>
    </row>
    <row r="2560" spans="1:91" ht="14.25" customHeight="1" x14ac:dyDescent="0.3">
      <c r="A2560" s="1" t="s">
        <v>13076</v>
      </c>
      <c r="B2560" s="1" t="s">
        <v>137</v>
      </c>
      <c r="C2560" s="1" t="s">
        <v>154</v>
      </c>
      <c r="D2560" s="1" t="s">
        <v>54</v>
      </c>
      <c r="E2560" s="1" t="s">
        <v>13077</v>
      </c>
      <c r="F2560" s="1" t="s">
        <v>287</v>
      </c>
      <c r="G2560" s="1" t="s">
        <v>13078</v>
      </c>
      <c r="H2560" s="1">
        <v>0</v>
      </c>
      <c r="I2560" s="1" t="s">
        <v>128</v>
      </c>
      <c r="L2560" s="1" t="s">
        <v>13079</v>
      </c>
      <c r="M2560" s="1" t="s">
        <v>201</v>
      </c>
      <c r="N2560" s="1">
        <v>0</v>
      </c>
      <c r="O2560" s="1">
        <v>0</v>
      </c>
      <c r="P2560" s="1" t="s">
        <v>1902</v>
      </c>
      <c r="Q2560" s="1" t="s">
        <v>101</v>
      </c>
      <c r="R2560" s="1" t="s">
        <v>13080</v>
      </c>
      <c r="S2560" s="1" t="s">
        <v>12702</v>
      </c>
      <c r="T2560" s="1">
        <v>1</v>
      </c>
      <c r="U2560" s="1">
        <v>1</v>
      </c>
      <c r="V2560" s="1">
        <v>1</v>
      </c>
      <c r="W2560" s="1">
        <v>0</v>
      </c>
      <c r="X2560" s="1">
        <v>0</v>
      </c>
      <c r="Y2560" s="1">
        <v>5</v>
      </c>
      <c r="Z2560" s="1">
        <v>5</v>
      </c>
      <c r="AA2560" s="1">
        <v>5</v>
      </c>
      <c r="AB2560" s="1">
        <v>5</v>
      </c>
      <c r="AC2560" s="1" t="s">
        <v>104</v>
      </c>
      <c r="AD2560" s="1" t="s">
        <v>104</v>
      </c>
      <c r="AE2560" s="1" t="s">
        <v>104</v>
      </c>
      <c r="AF2560" s="1" t="s">
        <v>104</v>
      </c>
      <c r="AG2560" s="1" t="s">
        <v>104</v>
      </c>
      <c r="AH2560" s="1">
        <v>5</v>
      </c>
      <c r="AI2560" s="1" t="s">
        <v>104</v>
      </c>
      <c r="AJ2560" s="1">
        <v>5</v>
      </c>
      <c r="AK2560" s="1">
        <v>3</v>
      </c>
      <c r="AL2560" s="1" t="s">
        <v>104</v>
      </c>
      <c r="AM2560" s="1" t="s">
        <v>104</v>
      </c>
      <c r="AO2560" s="1">
        <v>5</v>
      </c>
      <c r="AQ2560" s="1" t="s">
        <v>13081</v>
      </c>
      <c r="AR2560" s="1">
        <v>0</v>
      </c>
      <c r="AS2560" s="1">
        <v>0</v>
      </c>
      <c r="AT2560" s="1">
        <v>0</v>
      </c>
      <c r="AU2560" s="1">
        <v>0</v>
      </c>
      <c r="AV2560" s="1">
        <v>0</v>
      </c>
      <c r="AW2560" s="1">
        <v>0</v>
      </c>
      <c r="AX2560" s="1">
        <v>0</v>
      </c>
      <c r="AY2560" s="1">
        <v>0</v>
      </c>
      <c r="AZ2560" s="1">
        <v>0</v>
      </c>
      <c r="BA2560" s="1">
        <v>0</v>
      </c>
      <c r="BB2560" s="1">
        <v>0</v>
      </c>
      <c r="BC2560" s="1">
        <v>1</v>
      </c>
      <c r="BD2560" s="1">
        <v>0</v>
      </c>
      <c r="BE2560" s="1">
        <v>0</v>
      </c>
      <c r="BF2560" s="1">
        <v>0</v>
      </c>
      <c r="BG2560" s="1">
        <v>0</v>
      </c>
      <c r="BH2560" s="1">
        <v>0</v>
      </c>
      <c r="BI2560" s="1">
        <v>0</v>
      </c>
      <c r="BJ2560" s="1">
        <v>0</v>
      </c>
      <c r="BK2560" s="1">
        <v>0</v>
      </c>
      <c r="BL2560" s="1">
        <v>0</v>
      </c>
      <c r="BM2560" s="1">
        <v>0</v>
      </c>
      <c r="BN2560" s="1">
        <v>0</v>
      </c>
      <c r="BO2560" s="1">
        <v>0</v>
      </c>
      <c r="BP2560" s="1">
        <v>0</v>
      </c>
      <c r="BQ2560" s="1" t="s">
        <v>104</v>
      </c>
      <c r="BR2560" s="1">
        <v>2693</v>
      </c>
      <c r="BS2560" s="1" t="s">
        <v>104</v>
      </c>
      <c r="BX2560" s="1">
        <v>0</v>
      </c>
      <c r="BY2560" s="1" t="s">
        <v>104</v>
      </c>
      <c r="BZ2560" s="1">
        <v>5</v>
      </c>
      <c r="CA2560" s="1" t="s">
        <v>104</v>
      </c>
      <c r="CB2560" s="1" t="s">
        <v>104</v>
      </c>
      <c r="CC2560" s="1" t="s">
        <v>104</v>
      </c>
      <c r="CD2560" s="1" t="s">
        <v>104</v>
      </c>
      <c r="CE2560" s="1" t="s">
        <v>104</v>
      </c>
      <c r="CF2560" s="1" t="s">
        <v>104</v>
      </c>
      <c r="CG2560" s="1" t="s">
        <v>104</v>
      </c>
      <c r="CH2560" s="1">
        <v>5</v>
      </c>
      <c r="CJ2560" s="1">
        <v>0</v>
      </c>
      <c r="CK2560" s="1">
        <v>0</v>
      </c>
      <c r="CL2560" s="1">
        <v>0</v>
      </c>
      <c r="CM2560" s="1" t="s">
        <v>104</v>
      </c>
    </row>
    <row r="2561" spans="1:91" ht="14.25" customHeight="1" x14ac:dyDescent="0.3">
      <c r="A2561" s="1" t="s">
        <v>13082</v>
      </c>
      <c r="B2561" s="1" t="s">
        <v>92</v>
      </c>
      <c r="C2561" s="1" t="s">
        <v>93</v>
      </c>
      <c r="E2561" s="1" t="s">
        <v>13083</v>
      </c>
      <c r="F2561" s="1" t="s">
        <v>95</v>
      </c>
      <c r="G2561" s="1" t="s">
        <v>13084</v>
      </c>
      <c r="H2561" s="1">
        <v>0</v>
      </c>
      <c r="I2561" s="1" t="s">
        <v>914</v>
      </c>
      <c r="J2561" s="1" t="s">
        <v>549</v>
      </c>
      <c r="M2561" s="1" t="s">
        <v>13085</v>
      </c>
      <c r="N2561" s="1">
        <v>0</v>
      </c>
      <c r="O2561" s="1">
        <v>0</v>
      </c>
      <c r="P2561" s="1" t="s">
        <v>13086</v>
      </c>
      <c r="Q2561" s="1" t="s">
        <v>101</v>
      </c>
      <c r="R2561" s="1" t="s">
        <v>13087</v>
      </c>
      <c r="S2561" s="1" t="s">
        <v>12702</v>
      </c>
      <c r="T2561" s="1">
        <v>1</v>
      </c>
      <c r="U2561" s="1">
        <v>1</v>
      </c>
      <c r="V2561" s="1">
        <v>1</v>
      </c>
      <c r="W2561" s="1">
        <v>0</v>
      </c>
      <c r="X2561" s="1">
        <v>0</v>
      </c>
      <c r="Y2561" s="1">
        <v>3</v>
      </c>
      <c r="Z2561" s="1">
        <v>3</v>
      </c>
      <c r="AA2561" s="1" t="s">
        <v>104</v>
      </c>
      <c r="AB2561" s="1" t="s">
        <v>104</v>
      </c>
      <c r="AC2561" s="1" t="s">
        <v>104</v>
      </c>
      <c r="AD2561" s="1" t="s">
        <v>104</v>
      </c>
      <c r="AE2561" s="1" t="s">
        <v>104</v>
      </c>
      <c r="AF2561" s="1" t="s">
        <v>104</v>
      </c>
      <c r="AG2561" s="1" t="s">
        <v>104</v>
      </c>
      <c r="AH2561" s="1">
        <v>3</v>
      </c>
      <c r="AI2561" s="1" t="s">
        <v>104</v>
      </c>
      <c r="AJ2561" s="1" t="s">
        <v>104</v>
      </c>
      <c r="AK2561" s="1" t="s">
        <v>104</v>
      </c>
      <c r="AL2561" s="1">
        <v>3</v>
      </c>
      <c r="AM2561" s="1" t="s">
        <v>104</v>
      </c>
      <c r="AO2561" s="1">
        <v>3</v>
      </c>
      <c r="AQ2561" s="1" t="s">
        <v>13088</v>
      </c>
      <c r="AR2561" s="1">
        <v>0</v>
      </c>
      <c r="AS2561" s="1">
        <v>0</v>
      </c>
      <c r="AT2561" s="1">
        <v>0</v>
      </c>
      <c r="AU2561" s="1">
        <v>0</v>
      </c>
      <c r="AV2561" s="1">
        <v>0</v>
      </c>
      <c r="AW2561" s="1">
        <v>0</v>
      </c>
      <c r="AX2561" s="1">
        <v>0</v>
      </c>
      <c r="AY2561" s="1">
        <v>0</v>
      </c>
      <c r="AZ2561" s="1">
        <v>0</v>
      </c>
      <c r="BA2561" s="1">
        <v>0</v>
      </c>
      <c r="BB2561" s="1">
        <v>0</v>
      </c>
      <c r="BC2561" s="1">
        <v>0</v>
      </c>
      <c r="BD2561" s="1">
        <v>0</v>
      </c>
      <c r="BE2561" s="1">
        <v>0</v>
      </c>
      <c r="BF2561" s="1">
        <v>0</v>
      </c>
      <c r="BG2561" s="1">
        <v>0</v>
      </c>
      <c r="BH2561" s="1">
        <v>0</v>
      </c>
      <c r="BI2561" s="1">
        <v>0</v>
      </c>
      <c r="BJ2561" s="1">
        <v>0</v>
      </c>
      <c r="BK2561" s="1">
        <v>0</v>
      </c>
      <c r="BL2561" s="1">
        <v>0</v>
      </c>
      <c r="BM2561" s="1">
        <v>0</v>
      </c>
      <c r="BN2561" s="1">
        <v>0</v>
      </c>
      <c r="BO2561" s="1">
        <v>0</v>
      </c>
      <c r="BP2561" s="1">
        <v>0</v>
      </c>
      <c r="BQ2561" s="1" t="s">
        <v>104</v>
      </c>
      <c r="BR2561" s="1">
        <v>2694</v>
      </c>
      <c r="BS2561" s="1" t="s">
        <v>104</v>
      </c>
      <c r="BX2561" s="1">
        <v>0</v>
      </c>
      <c r="BY2561" s="1">
        <v>3</v>
      </c>
      <c r="BZ2561" s="1" t="s">
        <v>104</v>
      </c>
      <c r="CA2561" s="1">
        <v>3</v>
      </c>
      <c r="CB2561" s="1" t="s">
        <v>104</v>
      </c>
      <c r="CC2561" s="1" t="s">
        <v>104</v>
      </c>
      <c r="CD2561" s="1" t="s">
        <v>104</v>
      </c>
      <c r="CE2561" s="1">
        <v>3</v>
      </c>
      <c r="CF2561" s="1" t="s">
        <v>104</v>
      </c>
      <c r="CG2561" s="1" t="s">
        <v>104</v>
      </c>
      <c r="CH2561" s="1" t="s">
        <v>104</v>
      </c>
      <c r="CJ2561" s="1">
        <v>0</v>
      </c>
      <c r="CK2561" s="1">
        <v>0</v>
      </c>
      <c r="CL2561" s="1">
        <v>0</v>
      </c>
      <c r="CM2561" s="1" t="s">
        <v>104</v>
      </c>
    </row>
    <row r="2562" spans="1:91" ht="14.25" customHeight="1" x14ac:dyDescent="0.3">
      <c r="A2562" s="1" t="s">
        <v>13089</v>
      </c>
      <c r="B2562" s="1" t="s">
        <v>216</v>
      </c>
      <c r="E2562" s="1" t="s">
        <v>13090</v>
      </c>
      <c r="F2562" s="1" t="s">
        <v>95</v>
      </c>
      <c r="G2562" s="1" t="s">
        <v>116</v>
      </c>
      <c r="H2562" s="1">
        <v>0</v>
      </c>
      <c r="I2562" s="1" t="s">
        <v>128</v>
      </c>
      <c r="L2562" s="1" t="s">
        <v>129</v>
      </c>
      <c r="M2562" s="1" t="s">
        <v>119</v>
      </c>
      <c r="N2562" s="1">
        <v>0</v>
      </c>
      <c r="O2562" s="1">
        <v>0</v>
      </c>
      <c r="P2562" s="1" t="s">
        <v>183</v>
      </c>
      <c r="Q2562" s="1" t="s">
        <v>184</v>
      </c>
      <c r="R2562" s="1" t="s">
        <v>13091</v>
      </c>
      <c r="S2562" s="1" t="s">
        <v>12702</v>
      </c>
      <c r="T2562" s="1">
        <v>1</v>
      </c>
      <c r="U2562" s="1">
        <v>1</v>
      </c>
      <c r="V2562" s="1">
        <v>0</v>
      </c>
      <c r="W2562" s="1">
        <v>0</v>
      </c>
      <c r="X2562" s="1">
        <v>0</v>
      </c>
      <c r="Y2562" s="1">
        <v>6</v>
      </c>
      <c r="Z2562" s="1">
        <v>6</v>
      </c>
      <c r="AA2562" s="1">
        <v>6</v>
      </c>
      <c r="AB2562" s="1" t="s">
        <v>104</v>
      </c>
      <c r="AC2562" s="1" t="s">
        <v>104</v>
      </c>
      <c r="AD2562" s="1" t="s">
        <v>104</v>
      </c>
      <c r="AE2562" s="1" t="s">
        <v>104</v>
      </c>
      <c r="AF2562" s="1" t="s">
        <v>104</v>
      </c>
      <c r="AG2562" s="1" t="s">
        <v>104</v>
      </c>
      <c r="AH2562" s="1">
        <v>6</v>
      </c>
      <c r="AI2562" s="1">
        <v>6</v>
      </c>
      <c r="AJ2562" s="1">
        <v>6</v>
      </c>
      <c r="AK2562" s="1" t="s">
        <v>104</v>
      </c>
      <c r="AL2562" s="1" t="s">
        <v>104</v>
      </c>
      <c r="AM2562" s="1" t="s">
        <v>104</v>
      </c>
      <c r="AO2562" s="1">
        <v>6</v>
      </c>
      <c r="AQ2562" s="1" t="s">
        <v>13092</v>
      </c>
      <c r="AR2562" s="1">
        <v>0</v>
      </c>
      <c r="AS2562" s="1">
        <v>0</v>
      </c>
      <c r="AT2562" s="1">
        <v>0</v>
      </c>
      <c r="AU2562" s="1">
        <v>0</v>
      </c>
      <c r="AV2562" s="1">
        <v>0</v>
      </c>
      <c r="AW2562" s="1">
        <v>0</v>
      </c>
      <c r="AX2562" s="1">
        <v>0</v>
      </c>
      <c r="AY2562" s="1">
        <v>0</v>
      </c>
      <c r="AZ2562" s="1">
        <v>0</v>
      </c>
      <c r="BA2562" s="1">
        <v>0</v>
      </c>
      <c r="BB2562" s="1">
        <v>0</v>
      </c>
      <c r="BC2562" s="1">
        <v>0</v>
      </c>
      <c r="BD2562" s="1">
        <v>0</v>
      </c>
      <c r="BE2562" s="1">
        <v>0</v>
      </c>
      <c r="BF2562" s="1">
        <v>0</v>
      </c>
      <c r="BG2562" s="1">
        <v>0</v>
      </c>
      <c r="BH2562" s="1">
        <v>0</v>
      </c>
      <c r="BI2562" s="1">
        <v>0</v>
      </c>
      <c r="BJ2562" s="1">
        <v>0</v>
      </c>
      <c r="BK2562" s="1">
        <v>0</v>
      </c>
      <c r="BL2562" s="1">
        <v>0</v>
      </c>
      <c r="BM2562" s="1">
        <v>0</v>
      </c>
      <c r="BN2562" s="1">
        <v>0</v>
      </c>
      <c r="BO2562" s="1">
        <v>0</v>
      </c>
      <c r="BP2562" s="1">
        <v>0</v>
      </c>
      <c r="BQ2562" s="1" t="s">
        <v>104</v>
      </c>
      <c r="BR2562" s="1">
        <v>2695</v>
      </c>
      <c r="BS2562" s="1" t="s">
        <v>104</v>
      </c>
      <c r="BX2562" s="1">
        <v>0</v>
      </c>
      <c r="BY2562" s="1" t="s">
        <v>104</v>
      </c>
      <c r="BZ2562" s="1">
        <v>6</v>
      </c>
      <c r="CA2562" s="1" t="s">
        <v>104</v>
      </c>
      <c r="CB2562" s="1" t="s">
        <v>104</v>
      </c>
      <c r="CC2562" s="1" t="s">
        <v>104</v>
      </c>
      <c r="CD2562" s="1" t="s">
        <v>104</v>
      </c>
      <c r="CE2562" s="1">
        <v>5</v>
      </c>
      <c r="CF2562" s="1" t="s">
        <v>104</v>
      </c>
      <c r="CG2562" s="1" t="s">
        <v>104</v>
      </c>
      <c r="CH2562" s="1" t="s">
        <v>104</v>
      </c>
      <c r="CJ2562" s="1">
        <v>0</v>
      </c>
      <c r="CK2562" s="1">
        <v>0</v>
      </c>
      <c r="CL2562" s="1">
        <v>0</v>
      </c>
      <c r="CM2562" s="1" t="s">
        <v>104</v>
      </c>
    </row>
    <row r="2563" spans="1:91" ht="14.25" customHeight="1" x14ac:dyDescent="0.3">
      <c r="A2563" s="1" t="s">
        <v>13093</v>
      </c>
      <c r="B2563" s="1" t="s">
        <v>216</v>
      </c>
      <c r="C2563" s="1" t="s">
        <v>13094</v>
      </c>
      <c r="D2563" s="1" t="s">
        <v>11457</v>
      </c>
      <c r="E2563" s="1" t="s">
        <v>13095</v>
      </c>
      <c r="F2563" s="1" t="s">
        <v>95</v>
      </c>
      <c r="G2563" s="1" t="s">
        <v>13096</v>
      </c>
      <c r="H2563" s="1">
        <v>0</v>
      </c>
      <c r="I2563" s="1" t="s">
        <v>117</v>
      </c>
      <c r="J2563" s="1" t="s">
        <v>13097</v>
      </c>
      <c r="M2563" s="1" t="s">
        <v>145</v>
      </c>
      <c r="N2563" s="1">
        <v>0</v>
      </c>
      <c r="O2563" s="1">
        <v>1</v>
      </c>
      <c r="P2563" s="1" t="s">
        <v>629</v>
      </c>
      <c r="Q2563" s="1" t="s">
        <v>184</v>
      </c>
      <c r="R2563" s="1" t="s">
        <v>13098</v>
      </c>
      <c r="S2563" s="1" t="s">
        <v>13099</v>
      </c>
      <c r="T2563" s="1">
        <v>1</v>
      </c>
      <c r="U2563" s="1">
        <v>1</v>
      </c>
      <c r="V2563" s="1">
        <v>1</v>
      </c>
      <c r="W2563" s="1">
        <v>0</v>
      </c>
      <c r="X2563" s="1">
        <v>1</v>
      </c>
      <c r="Y2563" s="1" t="s">
        <v>104</v>
      </c>
      <c r="Z2563" s="1" t="s">
        <v>104</v>
      </c>
      <c r="AA2563" s="1">
        <v>5</v>
      </c>
      <c r="AB2563" s="1" t="s">
        <v>104</v>
      </c>
      <c r="AC2563" s="1" t="s">
        <v>104</v>
      </c>
      <c r="AD2563" s="1" t="s">
        <v>104</v>
      </c>
      <c r="AE2563" s="1" t="s">
        <v>104</v>
      </c>
      <c r="AF2563" s="1" t="s">
        <v>104</v>
      </c>
      <c r="AG2563" s="1" t="s">
        <v>104</v>
      </c>
      <c r="AH2563" s="1">
        <v>6</v>
      </c>
      <c r="AI2563" s="1">
        <v>6</v>
      </c>
      <c r="AJ2563" s="1">
        <v>5</v>
      </c>
      <c r="AK2563" s="1" t="s">
        <v>104</v>
      </c>
      <c r="AL2563" s="1" t="s">
        <v>104</v>
      </c>
      <c r="AM2563" s="1" t="s">
        <v>104</v>
      </c>
      <c r="AO2563" s="1">
        <v>5</v>
      </c>
      <c r="AR2563" s="1">
        <v>0</v>
      </c>
      <c r="AS2563" s="1">
        <v>0</v>
      </c>
      <c r="AT2563" s="1">
        <v>0</v>
      </c>
      <c r="AU2563" s="1">
        <v>0</v>
      </c>
      <c r="AV2563" s="1">
        <v>0</v>
      </c>
      <c r="AW2563" s="1">
        <v>0</v>
      </c>
      <c r="AX2563" s="1">
        <v>0</v>
      </c>
      <c r="AY2563" s="1">
        <v>0</v>
      </c>
      <c r="AZ2563" s="1">
        <v>0</v>
      </c>
      <c r="BA2563" s="1">
        <v>0</v>
      </c>
      <c r="BB2563" s="1">
        <v>1</v>
      </c>
      <c r="BC2563" s="1">
        <v>0</v>
      </c>
      <c r="BD2563" s="1">
        <v>1</v>
      </c>
      <c r="BE2563" s="1">
        <v>0</v>
      </c>
      <c r="BF2563" s="1">
        <v>0</v>
      </c>
      <c r="BG2563" s="1">
        <v>0</v>
      </c>
      <c r="BH2563" s="1">
        <v>0</v>
      </c>
      <c r="BI2563" s="1">
        <v>0</v>
      </c>
      <c r="BJ2563" s="1">
        <v>0</v>
      </c>
      <c r="BK2563" s="1">
        <v>1</v>
      </c>
      <c r="BL2563" s="1">
        <v>0</v>
      </c>
      <c r="BM2563" s="1">
        <v>0</v>
      </c>
      <c r="BN2563" s="1">
        <v>0</v>
      </c>
      <c r="BO2563" s="1">
        <v>0</v>
      </c>
      <c r="BP2563" s="1">
        <v>0</v>
      </c>
      <c r="BQ2563" s="1" t="s">
        <v>104</v>
      </c>
      <c r="BR2563" s="1">
        <v>2696</v>
      </c>
      <c r="BS2563" s="1" t="s">
        <v>104</v>
      </c>
      <c r="BX2563" s="1">
        <v>0</v>
      </c>
      <c r="BY2563" s="1" t="s">
        <v>104</v>
      </c>
      <c r="BZ2563" s="1">
        <v>6</v>
      </c>
      <c r="CA2563" s="1" t="s">
        <v>104</v>
      </c>
      <c r="CB2563" s="1" t="s">
        <v>104</v>
      </c>
      <c r="CC2563" s="1" t="s">
        <v>104</v>
      </c>
      <c r="CD2563" s="1" t="s">
        <v>104</v>
      </c>
      <c r="CE2563" s="1">
        <v>5</v>
      </c>
      <c r="CF2563" s="1" t="s">
        <v>104</v>
      </c>
      <c r="CG2563" s="1" t="s">
        <v>104</v>
      </c>
      <c r="CH2563" s="1" t="s">
        <v>104</v>
      </c>
      <c r="CI2563" s="1" t="s">
        <v>13100</v>
      </c>
      <c r="CJ2563" s="1">
        <v>0</v>
      </c>
      <c r="CK2563" s="1">
        <v>0</v>
      </c>
      <c r="CL2563" s="1">
        <v>0</v>
      </c>
      <c r="CM2563" s="1" t="s">
        <v>104</v>
      </c>
    </row>
    <row r="2564" spans="1:91" ht="14.25" customHeight="1" x14ac:dyDescent="0.3">
      <c r="A2564" s="1" t="s">
        <v>13101</v>
      </c>
      <c r="B2564" s="1" t="s">
        <v>216</v>
      </c>
      <c r="C2564" s="1" t="s">
        <v>13094</v>
      </c>
      <c r="D2564" s="1" t="s">
        <v>11457</v>
      </c>
      <c r="E2564" s="1" t="s">
        <v>13102</v>
      </c>
      <c r="F2564" s="1" t="s">
        <v>95</v>
      </c>
      <c r="G2564" s="1" t="s">
        <v>4701</v>
      </c>
      <c r="H2564" s="1">
        <v>0</v>
      </c>
      <c r="I2564" s="1" t="s">
        <v>117</v>
      </c>
      <c r="J2564" s="1" t="s">
        <v>13097</v>
      </c>
      <c r="M2564" s="1" t="s">
        <v>4400</v>
      </c>
      <c r="N2564" s="1">
        <v>1</v>
      </c>
      <c r="O2564" s="1">
        <v>1</v>
      </c>
      <c r="P2564" s="1" t="s">
        <v>211</v>
      </c>
      <c r="Q2564" s="1" t="s">
        <v>184</v>
      </c>
      <c r="R2564" s="1" t="s">
        <v>13103</v>
      </c>
      <c r="S2564" s="1" t="s">
        <v>13099</v>
      </c>
      <c r="T2564" s="1">
        <v>1</v>
      </c>
      <c r="U2564" s="1">
        <v>1</v>
      </c>
      <c r="V2564" s="1">
        <v>1</v>
      </c>
      <c r="W2564" s="1">
        <v>0</v>
      </c>
      <c r="X2564" s="1">
        <v>0</v>
      </c>
      <c r="Y2564" s="1">
        <v>2</v>
      </c>
      <c r="Z2564" s="1">
        <v>2</v>
      </c>
      <c r="AA2564" s="1" t="s">
        <v>104</v>
      </c>
      <c r="AB2564" s="1">
        <v>2</v>
      </c>
      <c r="AC2564" s="1" t="s">
        <v>104</v>
      </c>
      <c r="AD2564" s="1">
        <v>2</v>
      </c>
      <c r="AE2564" s="1" t="s">
        <v>104</v>
      </c>
      <c r="AF2564" s="1" t="s">
        <v>104</v>
      </c>
      <c r="AG2564" s="1" t="s">
        <v>104</v>
      </c>
      <c r="AH2564" s="1">
        <v>2</v>
      </c>
      <c r="AI2564" s="1" t="s">
        <v>104</v>
      </c>
      <c r="AJ2564" s="1" t="s">
        <v>104</v>
      </c>
      <c r="AK2564" s="1" t="s">
        <v>104</v>
      </c>
      <c r="AL2564" s="1" t="s">
        <v>104</v>
      </c>
      <c r="AM2564" s="1" t="s">
        <v>104</v>
      </c>
      <c r="AO2564" s="1">
        <v>2</v>
      </c>
      <c r="AR2564" s="1">
        <v>0</v>
      </c>
      <c r="AS2564" s="1">
        <v>0</v>
      </c>
      <c r="AT2564" s="1">
        <v>0</v>
      </c>
      <c r="AU2564" s="1">
        <v>0</v>
      </c>
      <c r="AV2564" s="1">
        <v>0</v>
      </c>
      <c r="AW2564" s="1">
        <v>0</v>
      </c>
      <c r="AX2564" s="1">
        <v>0</v>
      </c>
      <c r="AY2564" s="1">
        <v>0</v>
      </c>
      <c r="AZ2564" s="1">
        <v>0</v>
      </c>
      <c r="BA2564" s="1">
        <v>0</v>
      </c>
      <c r="BB2564" s="1">
        <v>1</v>
      </c>
      <c r="BC2564" s="1">
        <v>0</v>
      </c>
      <c r="BD2564" s="1">
        <v>1</v>
      </c>
      <c r="BE2564" s="1">
        <v>0</v>
      </c>
      <c r="BF2564" s="1">
        <v>0</v>
      </c>
      <c r="BG2564" s="1">
        <v>0</v>
      </c>
      <c r="BH2564" s="1">
        <v>0</v>
      </c>
      <c r="BI2564" s="1">
        <v>0</v>
      </c>
      <c r="BJ2564" s="1">
        <v>0</v>
      </c>
      <c r="BK2564" s="1">
        <v>1</v>
      </c>
      <c r="BL2564" s="1">
        <v>0</v>
      </c>
      <c r="BM2564" s="1">
        <v>0</v>
      </c>
      <c r="BN2564" s="1">
        <v>0</v>
      </c>
      <c r="BO2564" s="1">
        <v>0</v>
      </c>
      <c r="BP2564" s="1">
        <v>0</v>
      </c>
      <c r="BQ2564" s="1" t="s">
        <v>104</v>
      </c>
      <c r="BR2564" s="1">
        <v>2697</v>
      </c>
      <c r="BS2564" s="1" t="s">
        <v>104</v>
      </c>
      <c r="BX2564" s="1">
        <v>0</v>
      </c>
      <c r="BY2564" s="1" t="s">
        <v>104</v>
      </c>
      <c r="BZ2564" s="1" t="s">
        <v>104</v>
      </c>
      <c r="CA2564" s="1">
        <v>2</v>
      </c>
      <c r="CB2564" s="1">
        <v>1</v>
      </c>
      <c r="CC2564" s="1">
        <v>2</v>
      </c>
      <c r="CD2564" s="1">
        <v>2</v>
      </c>
      <c r="CE2564" s="1">
        <v>2</v>
      </c>
      <c r="CF2564" s="1" t="s">
        <v>104</v>
      </c>
      <c r="CG2564" s="1" t="s">
        <v>104</v>
      </c>
      <c r="CH2564" s="1">
        <v>2</v>
      </c>
      <c r="CI2564" s="1" t="s">
        <v>13104</v>
      </c>
      <c r="CJ2564" s="1">
        <v>0</v>
      </c>
      <c r="CK2564" s="1">
        <v>0</v>
      </c>
      <c r="CL2564" s="1">
        <v>0</v>
      </c>
      <c r="CM2564" s="1" t="s">
        <v>104</v>
      </c>
    </row>
    <row r="2565" spans="1:91" ht="14.25" customHeight="1" x14ac:dyDescent="0.3">
      <c r="A2565" s="1" t="s">
        <v>13105</v>
      </c>
      <c r="B2565" s="1" t="s">
        <v>216</v>
      </c>
      <c r="C2565" s="1" t="s">
        <v>13094</v>
      </c>
      <c r="D2565" s="1" t="s">
        <v>13106</v>
      </c>
      <c r="E2565" s="1" t="s">
        <v>13107</v>
      </c>
      <c r="F2565" s="1" t="s">
        <v>95</v>
      </c>
      <c r="G2565" s="1" t="s">
        <v>13108</v>
      </c>
      <c r="H2565" s="1">
        <v>0</v>
      </c>
      <c r="I2565" s="1" t="s">
        <v>117</v>
      </c>
      <c r="J2565" s="1" t="s">
        <v>13097</v>
      </c>
      <c r="M2565" s="1" t="s">
        <v>620</v>
      </c>
      <c r="N2565" s="1">
        <v>1</v>
      </c>
      <c r="O2565" s="1">
        <v>1</v>
      </c>
      <c r="P2565" s="1" t="s">
        <v>211</v>
      </c>
      <c r="Q2565" s="1" t="s">
        <v>184</v>
      </c>
      <c r="R2565" s="1" t="s">
        <v>13109</v>
      </c>
      <c r="S2565" s="1" t="s">
        <v>13099</v>
      </c>
      <c r="T2565" s="1">
        <v>1</v>
      </c>
      <c r="U2565" s="1">
        <v>1</v>
      </c>
      <c r="V2565" s="1">
        <v>1</v>
      </c>
      <c r="W2565" s="1">
        <v>0</v>
      </c>
      <c r="X2565" s="1">
        <v>1</v>
      </c>
      <c r="Y2565" s="1">
        <v>4</v>
      </c>
      <c r="Z2565" s="1">
        <v>4</v>
      </c>
      <c r="AA2565" s="1">
        <v>4</v>
      </c>
      <c r="AB2565" s="1">
        <v>4</v>
      </c>
      <c r="AC2565" s="1">
        <v>3</v>
      </c>
      <c r="AD2565" s="1" t="s">
        <v>104</v>
      </c>
      <c r="AE2565" s="1" t="s">
        <v>104</v>
      </c>
      <c r="AF2565" s="1" t="s">
        <v>104</v>
      </c>
      <c r="AG2565" s="1" t="s">
        <v>104</v>
      </c>
      <c r="AH2565" s="1">
        <v>4</v>
      </c>
      <c r="AI2565" s="1" t="s">
        <v>104</v>
      </c>
      <c r="AJ2565" s="1">
        <v>4</v>
      </c>
      <c r="AK2565" s="1" t="s">
        <v>104</v>
      </c>
      <c r="AL2565" s="1" t="s">
        <v>104</v>
      </c>
      <c r="AM2565" s="1" t="s">
        <v>104</v>
      </c>
      <c r="AO2565" s="1">
        <v>4</v>
      </c>
      <c r="AR2565" s="1">
        <v>0</v>
      </c>
      <c r="AS2565" s="1">
        <v>0</v>
      </c>
      <c r="AT2565" s="1">
        <v>0</v>
      </c>
      <c r="AU2565" s="1">
        <v>1</v>
      </c>
      <c r="AV2565" s="1">
        <v>0</v>
      </c>
      <c r="AW2565" s="1">
        <v>0</v>
      </c>
      <c r="AX2565" s="1">
        <v>0</v>
      </c>
      <c r="AY2565" s="1">
        <v>0</v>
      </c>
      <c r="AZ2565" s="1">
        <v>0</v>
      </c>
      <c r="BA2565" s="1">
        <v>0</v>
      </c>
      <c r="BB2565" s="1">
        <v>1</v>
      </c>
      <c r="BC2565" s="1">
        <v>0</v>
      </c>
      <c r="BD2565" s="1">
        <v>1</v>
      </c>
      <c r="BE2565" s="1">
        <v>0</v>
      </c>
      <c r="BF2565" s="1">
        <v>0</v>
      </c>
      <c r="BG2565" s="1">
        <v>0</v>
      </c>
      <c r="BH2565" s="1">
        <v>0</v>
      </c>
      <c r="BI2565" s="1">
        <v>0</v>
      </c>
      <c r="BJ2565" s="1">
        <v>0</v>
      </c>
      <c r="BK2565" s="1">
        <v>1</v>
      </c>
      <c r="BL2565" s="1">
        <v>0</v>
      </c>
      <c r="BM2565" s="1">
        <v>0</v>
      </c>
      <c r="BN2565" s="1">
        <v>0</v>
      </c>
      <c r="BO2565" s="1">
        <v>0</v>
      </c>
      <c r="BP2565" s="1">
        <v>0</v>
      </c>
      <c r="BQ2565" s="1" t="s">
        <v>104</v>
      </c>
      <c r="BR2565" s="1">
        <v>2698</v>
      </c>
      <c r="BS2565" s="1" t="s">
        <v>104</v>
      </c>
      <c r="BX2565" s="1">
        <v>0</v>
      </c>
      <c r="BY2565" s="1" t="s">
        <v>104</v>
      </c>
      <c r="BZ2565" s="1">
        <v>4</v>
      </c>
      <c r="CA2565" s="1" t="s">
        <v>104</v>
      </c>
      <c r="CB2565" s="1" t="s">
        <v>104</v>
      </c>
      <c r="CC2565" s="1" t="s">
        <v>104</v>
      </c>
      <c r="CD2565" s="1" t="s">
        <v>104</v>
      </c>
      <c r="CE2565" s="1" t="s">
        <v>104</v>
      </c>
      <c r="CF2565" s="1" t="s">
        <v>104</v>
      </c>
      <c r="CG2565" s="1" t="s">
        <v>104</v>
      </c>
      <c r="CH2565" s="1">
        <v>3</v>
      </c>
      <c r="CI2565" s="1" t="s">
        <v>13110</v>
      </c>
      <c r="CJ2565" s="1">
        <v>0</v>
      </c>
      <c r="CK2565" s="1">
        <v>0</v>
      </c>
      <c r="CL2565" s="1">
        <v>0</v>
      </c>
      <c r="CM2565" s="1" t="s">
        <v>104</v>
      </c>
    </row>
    <row r="2566" spans="1:91" ht="14.25" customHeight="1" x14ac:dyDescent="0.3">
      <c r="A2566" s="1" t="s">
        <v>13111</v>
      </c>
      <c r="B2566" s="1" t="s">
        <v>216</v>
      </c>
      <c r="C2566" s="1" t="s">
        <v>13094</v>
      </c>
      <c r="D2566" s="1" t="s">
        <v>13112</v>
      </c>
      <c r="E2566" s="1" t="s">
        <v>13113</v>
      </c>
      <c r="F2566" s="1" t="s">
        <v>191</v>
      </c>
      <c r="G2566" s="1" t="s">
        <v>13114</v>
      </c>
      <c r="H2566" s="1">
        <v>0</v>
      </c>
      <c r="I2566" s="1" t="s">
        <v>128</v>
      </c>
      <c r="L2566" s="1" t="s">
        <v>13115</v>
      </c>
      <c r="M2566" s="1" t="s">
        <v>4400</v>
      </c>
      <c r="N2566" s="1">
        <v>1</v>
      </c>
      <c r="O2566" s="1">
        <v>0</v>
      </c>
      <c r="P2566" s="1" t="s">
        <v>7501</v>
      </c>
      <c r="Q2566" s="1" t="s">
        <v>472</v>
      </c>
      <c r="R2566" s="1" t="s">
        <v>13116</v>
      </c>
      <c r="S2566" s="1" t="s">
        <v>13099</v>
      </c>
      <c r="T2566" s="1">
        <v>1</v>
      </c>
      <c r="U2566" s="1">
        <v>1</v>
      </c>
      <c r="V2566" s="1">
        <v>1</v>
      </c>
      <c r="W2566" s="1">
        <v>0</v>
      </c>
      <c r="X2566" s="1">
        <v>1</v>
      </c>
      <c r="Y2566" s="1">
        <v>7</v>
      </c>
      <c r="Z2566" s="1">
        <v>7</v>
      </c>
      <c r="AA2566" s="1">
        <v>7</v>
      </c>
      <c r="AB2566" s="1" t="s">
        <v>104</v>
      </c>
      <c r="AC2566" s="1" t="s">
        <v>104</v>
      </c>
      <c r="AD2566" s="1" t="s">
        <v>104</v>
      </c>
      <c r="AE2566" s="1" t="s">
        <v>104</v>
      </c>
      <c r="AF2566" s="1" t="s">
        <v>104</v>
      </c>
      <c r="AG2566" s="1">
        <v>6</v>
      </c>
      <c r="AH2566" s="1">
        <v>7</v>
      </c>
      <c r="AI2566" s="1" t="s">
        <v>104</v>
      </c>
      <c r="AJ2566" s="1">
        <v>7</v>
      </c>
      <c r="AK2566" s="1" t="s">
        <v>104</v>
      </c>
      <c r="AL2566" s="1">
        <v>6</v>
      </c>
      <c r="AM2566" s="1" t="s">
        <v>104</v>
      </c>
      <c r="AO2566" s="1">
        <v>7</v>
      </c>
      <c r="AR2566" s="1">
        <v>0</v>
      </c>
      <c r="AS2566" s="1">
        <v>0</v>
      </c>
      <c r="AT2566" s="1">
        <v>0</v>
      </c>
      <c r="AU2566" s="1">
        <v>0</v>
      </c>
      <c r="AV2566" s="1">
        <v>0</v>
      </c>
      <c r="AW2566" s="1">
        <v>0</v>
      </c>
      <c r="AX2566" s="1">
        <v>1</v>
      </c>
      <c r="AY2566" s="1">
        <v>0</v>
      </c>
      <c r="AZ2566" s="1">
        <v>0</v>
      </c>
      <c r="BA2566" s="1">
        <v>0</v>
      </c>
      <c r="BB2566" s="1">
        <v>1</v>
      </c>
      <c r="BC2566" s="1">
        <v>0</v>
      </c>
      <c r="BD2566" s="1">
        <v>1</v>
      </c>
      <c r="BE2566" s="1">
        <v>0</v>
      </c>
      <c r="BF2566" s="1">
        <v>0</v>
      </c>
      <c r="BG2566" s="1">
        <v>0</v>
      </c>
      <c r="BH2566" s="1">
        <v>0</v>
      </c>
      <c r="BI2566" s="1">
        <v>0</v>
      </c>
      <c r="BJ2566" s="1">
        <v>0</v>
      </c>
      <c r="BK2566" s="1">
        <v>1</v>
      </c>
      <c r="BL2566" s="1">
        <v>0</v>
      </c>
      <c r="BM2566" s="1">
        <v>0</v>
      </c>
      <c r="BN2566" s="1">
        <v>0</v>
      </c>
      <c r="BO2566" s="1">
        <v>0</v>
      </c>
      <c r="BP2566" s="1">
        <v>0</v>
      </c>
      <c r="BQ2566" s="1" t="s">
        <v>104</v>
      </c>
      <c r="BR2566" s="1">
        <v>2699</v>
      </c>
      <c r="BS2566" s="1" t="s">
        <v>104</v>
      </c>
      <c r="BX2566" s="1">
        <v>0</v>
      </c>
      <c r="BY2566" s="1" t="s">
        <v>104</v>
      </c>
      <c r="BZ2566" s="1">
        <v>7</v>
      </c>
      <c r="CA2566" s="1" t="s">
        <v>104</v>
      </c>
      <c r="CB2566" s="1" t="s">
        <v>104</v>
      </c>
      <c r="CC2566" s="1" t="s">
        <v>104</v>
      </c>
      <c r="CD2566" s="1" t="s">
        <v>104</v>
      </c>
      <c r="CE2566" s="1" t="s">
        <v>104</v>
      </c>
      <c r="CF2566" s="1" t="s">
        <v>104</v>
      </c>
      <c r="CG2566" s="1" t="s">
        <v>104</v>
      </c>
      <c r="CH2566" s="1" t="s">
        <v>104</v>
      </c>
      <c r="CI2566" s="1" t="s">
        <v>13117</v>
      </c>
      <c r="CJ2566" s="1">
        <v>0</v>
      </c>
      <c r="CK2566" s="1">
        <v>0</v>
      </c>
      <c r="CL2566" s="1">
        <v>0</v>
      </c>
      <c r="CM2566" s="1">
        <v>6</v>
      </c>
    </row>
    <row r="2567" spans="1:91" ht="14.25" customHeight="1" x14ac:dyDescent="0.3">
      <c r="A2567" s="1" t="s">
        <v>13118</v>
      </c>
      <c r="B2567" s="1" t="s">
        <v>216</v>
      </c>
      <c r="C2567" s="1" t="s">
        <v>13094</v>
      </c>
      <c r="D2567" s="1" t="s">
        <v>11457</v>
      </c>
      <c r="E2567" s="1" t="s">
        <v>13119</v>
      </c>
      <c r="F2567" s="1" t="s">
        <v>95</v>
      </c>
      <c r="G2567" s="1" t="s">
        <v>3546</v>
      </c>
      <c r="H2567" s="1">
        <v>0</v>
      </c>
      <c r="I2567" s="1" t="s">
        <v>117</v>
      </c>
      <c r="J2567" s="1" t="s">
        <v>13097</v>
      </c>
      <c r="M2567" s="1" t="s">
        <v>4400</v>
      </c>
      <c r="N2567" s="1">
        <v>1</v>
      </c>
      <c r="O2567" s="1">
        <v>1</v>
      </c>
      <c r="P2567" s="1" t="s">
        <v>211</v>
      </c>
      <c r="Q2567" s="1" t="s">
        <v>184</v>
      </c>
      <c r="R2567" s="1" t="s">
        <v>13120</v>
      </c>
      <c r="S2567" s="1" t="s">
        <v>13099</v>
      </c>
      <c r="T2567" s="1">
        <v>1</v>
      </c>
      <c r="U2567" s="1">
        <v>1</v>
      </c>
      <c r="V2567" s="1">
        <v>1</v>
      </c>
      <c r="W2567" s="1">
        <v>0</v>
      </c>
      <c r="X2567" s="1">
        <v>0</v>
      </c>
      <c r="Y2567" s="1">
        <v>3</v>
      </c>
      <c r="Z2567" s="1">
        <v>3</v>
      </c>
      <c r="AA2567" s="1">
        <v>3</v>
      </c>
      <c r="AB2567" s="1" t="s">
        <v>104</v>
      </c>
      <c r="AC2567" s="1" t="s">
        <v>104</v>
      </c>
      <c r="AD2567" s="1">
        <v>3</v>
      </c>
      <c r="AE2567" s="1" t="s">
        <v>104</v>
      </c>
      <c r="AF2567" s="1" t="s">
        <v>104</v>
      </c>
      <c r="AG2567" s="1" t="s">
        <v>104</v>
      </c>
      <c r="AH2567" s="1">
        <v>3</v>
      </c>
      <c r="AI2567" s="1">
        <v>3</v>
      </c>
      <c r="AJ2567" s="1">
        <v>3</v>
      </c>
      <c r="AK2567" s="1" t="s">
        <v>104</v>
      </c>
      <c r="AL2567" s="1">
        <v>3</v>
      </c>
      <c r="AM2567" s="1" t="s">
        <v>104</v>
      </c>
      <c r="AO2567" s="1">
        <v>3</v>
      </c>
      <c r="AR2567" s="1">
        <v>0</v>
      </c>
      <c r="AS2567" s="1">
        <v>0</v>
      </c>
      <c r="AT2567" s="1">
        <v>0</v>
      </c>
      <c r="AU2567" s="1">
        <v>0</v>
      </c>
      <c r="AV2567" s="1">
        <v>0</v>
      </c>
      <c r="AW2567" s="1">
        <v>0</v>
      </c>
      <c r="AX2567" s="1">
        <v>0</v>
      </c>
      <c r="AY2567" s="1">
        <v>0</v>
      </c>
      <c r="AZ2567" s="1">
        <v>0</v>
      </c>
      <c r="BA2567" s="1">
        <v>0</v>
      </c>
      <c r="BB2567" s="1">
        <v>1</v>
      </c>
      <c r="BC2567" s="1">
        <v>0</v>
      </c>
      <c r="BD2567" s="1">
        <v>1</v>
      </c>
      <c r="BE2567" s="1">
        <v>0</v>
      </c>
      <c r="BF2567" s="1">
        <v>0</v>
      </c>
      <c r="BG2567" s="1">
        <v>0</v>
      </c>
      <c r="BH2567" s="1">
        <v>0</v>
      </c>
      <c r="BI2567" s="1">
        <v>0</v>
      </c>
      <c r="BJ2567" s="1">
        <v>0</v>
      </c>
      <c r="BK2567" s="1">
        <v>1</v>
      </c>
      <c r="BL2567" s="1">
        <v>0</v>
      </c>
      <c r="BM2567" s="1">
        <v>0</v>
      </c>
      <c r="BN2567" s="1">
        <v>0</v>
      </c>
      <c r="BO2567" s="1">
        <v>0</v>
      </c>
      <c r="BP2567" s="1">
        <v>0</v>
      </c>
      <c r="BQ2567" s="1" t="s">
        <v>104</v>
      </c>
      <c r="BR2567" s="1">
        <v>2700</v>
      </c>
      <c r="BS2567" s="1" t="s">
        <v>104</v>
      </c>
      <c r="BX2567" s="1">
        <v>0</v>
      </c>
      <c r="BY2567" s="1" t="s">
        <v>104</v>
      </c>
      <c r="BZ2567" s="1">
        <v>3</v>
      </c>
      <c r="CA2567" s="1">
        <v>3</v>
      </c>
      <c r="CB2567" s="1" t="s">
        <v>104</v>
      </c>
      <c r="CC2567" s="1" t="s">
        <v>104</v>
      </c>
      <c r="CD2567" s="1" t="s">
        <v>104</v>
      </c>
      <c r="CE2567" s="1">
        <v>3</v>
      </c>
      <c r="CF2567" s="1" t="s">
        <v>104</v>
      </c>
      <c r="CG2567" s="1" t="s">
        <v>104</v>
      </c>
      <c r="CH2567" s="1" t="s">
        <v>104</v>
      </c>
      <c r="CI2567" s="1" t="s">
        <v>13121</v>
      </c>
      <c r="CJ2567" s="1">
        <v>0</v>
      </c>
      <c r="CK2567" s="1">
        <v>0</v>
      </c>
      <c r="CL2567" s="1">
        <v>0</v>
      </c>
      <c r="CM2567" s="1" t="s">
        <v>104</v>
      </c>
    </row>
    <row r="2568" spans="1:91" ht="14.25" customHeight="1" x14ac:dyDescent="0.3">
      <c r="A2568" s="1" t="s">
        <v>13122</v>
      </c>
      <c r="B2568" s="1" t="s">
        <v>216</v>
      </c>
      <c r="C2568" s="1" t="s">
        <v>13094</v>
      </c>
      <c r="D2568" s="1" t="s">
        <v>11457</v>
      </c>
      <c r="E2568" s="1" t="s">
        <v>13123</v>
      </c>
      <c r="F2568" s="1" t="s">
        <v>95</v>
      </c>
      <c r="G2568" s="1" t="s">
        <v>13124</v>
      </c>
      <c r="H2568" s="1">
        <v>0</v>
      </c>
      <c r="I2568" s="1" t="s">
        <v>117</v>
      </c>
      <c r="J2568" s="1" t="s">
        <v>13097</v>
      </c>
      <c r="M2568" s="1" t="s">
        <v>4400</v>
      </c>
      <c r="N2568" s="1">
        <v>1</v>
      </c>
      <c r="O2568" s="1">
        <v>1</v>
      </c>
      <c r="P2568" s="1" t="s">
        <v>211</v>
      </c>
      <c r="Q2568" s="1" t="s">
        <v>184</v>
      </c>
      <c r="R2568" s="1" t="s">
        <v>13125</v>
      </c>
      <c r="S2568" s="1" t="s">
        <v>13099</v>
      </c>
      <c r="T2568" s="1">
        <v>1</v>
      </c>
      <c r="U2568" s="1">
        <v>1</v>
      </c>
      <c r="V2568" s="1">
        <v>1</v>
      </c>
      <c r="W2568" s="1">
        <v>0</v>
      </c>
      <c r="X2568" s="1">
        <v>0</v>
      </c>
      <c r="Y2568" s="1">
        <v>4</v>
      </c>
      <c r="Z2568" s="1">
        <v>4</v>
      </c>
      <c r="AA2568" s="1" t="s">
        <v>104</v>
      </c>
      <c r="AB2568" s="1" t="s">
        <v>104</v>
      </c>
      <c r="AC2568" s="1" t="s">
        <v>104</v>
      </c>
      <c r="AD2568" s="1">
        <v>4</v>
      </c>
      <c r="AE2568" s="1" t="s">
        <v>104</v>
      </c>
      <c r="AF2568" s="1" t="s">
        <v>104</v>
      </c>
      <c r="AG2568" s="1">
        <v>4</v>
      </c>
      <c r="AH2568" s="1">
        <v>4</v>
      </c>
      <c r="AI2568" s="1" t="s">
        <v>104</v>
      </c>
      <c r="AJ2568" s="1" t="s">
        <v>104</v>
      </c>
      <c r="AK2568" s="1" t="s">
        <v>104</v>
      </c>
      <c r="AL2568" s="1">
        <v>4</v>
      </c>
      <c r="AM2568" s="1" t="s">
        <v>104</v>
      </c>
      <c r="AO2568" s="1">
        <v>4</v>
      </c>
      <c r="AR2568" s="1">
        <v>0</v>
      </c>
      <c r="AS2568" s="1">
        <v>0</v>
      </c>
      <c r="AT2568" s="1">
        <v>0</v>
      </c>
      <c r="AU2568" s="1">
        <v>0</v>
      </c>
      <c r="AV2568" s="1">
        <v>0</v>
      </c>
      <c r="AW2568" s="1">
        <v>0</v>
      </c>
      <c r="AX2568" s="1">
        <v>0</v>
      </c>
      <c r="AY2568" s="1">
        <v>0</v>
      </c>
      <c r="AZ2568" s="1">
        <v>0</v>
      </c>
      <c r="BA2568" s="1">
        <v>0</v>
      </c>
      <c r="BB2568" s="1">
        <v>1</v>
      </c>
      <c r="BC2568" s="1">
        <v>0</v>
      </c>
      <c r="BD2568" s="1">
        <v>1</v>
      </c>
      <c r="BE2568" s="1">
        <v>0</v>
      </c>
      <c r="BF2568" s="1">
        <v>0</v>
      </c>
      <c r="BG2568" s="1">
        <v>0</v>
      </c>
      <c r="BH2568" s="1">
        <v>0</v>
      </c>
      <c r="BI2568" s="1">
        <v>0</v>
      </c>
      <c r="BJ2568" s="1">
        <v>0</v>
      </c>
      <c r="BK2568" s="1">
        <v>1</v>
      </c>
      <c r="BL2568" s="1">
        <v>0</v>
      </c>
      <c r="BM2568" s="1">
        <v>0</v>
      </c>
      <c r="BN2568" s="1">
        <v>0</v>
      </c>
      <c r="BO2568" s="1">
        <v>0</v>
      </c>
      <c r="BP2568" s="1">
        <v>0</v>
      </c>
      <c r="BQ2568" s="1" t="s">
        <v>104</v>
      </c>
      <c r="BR2568" s="1">
        <v>2701</v>
      </c>
      <c r="BS2568" s="1" t="s">
        <v>104</v>
      </c>
      <c r="BX2568" s="1">
        <v>0</v>
      </c>
      <c r="BY2568" s="1" t="s">
        <v>104</v>
      </c>
      <c r="BZ2568" s="1">
        <v>4</v>
      </c>
      <c r="CA2568" s="1" t="s">
        <v>104</v>
      </c>
      <c r="CB2568" s="1">
        <v>3</v>
      </c>
      <c r="CC2568" s="1" t="s">
        <v>104</v>
      </c>
      <c r="CD2568" s="1" t="s">
        <v>104</v>
      </c>
      <c r="CE2568" s="1">
        <v>4</v>
      </c>
      <c r="CF2568" s="1" t="s">
        <v>104</v>
      </c>
      <c r="CG2568" s="1" t="s">
        <v>104</v>
      </c>
      <c r="CH2568" s="1" t="s">
        <v>104</v>
      </c>
      <c r="CI2568" s="1" t="s">
        <v>13126</v>
      </c>
      <c r="CJ2568" s="1">
        <v>0</v>
      </c>
      <c r="CK2568" s="1">
        <v>0</v>
      </c>
      <c r="CL2568" s="1">
        <v>0</v>
      </c>
      <c r="CM2568" s="1">
        <v>4</v>
      </c>
    </row>
    <row r="2569" spans="1:91" ht="14.25" customHeight="1" x14ac:dyDescent="0.3">
      <c r="A2569" s="1" t="s">
        <v>13127</v>
      </c>
      <c r="B2569" s="1" t="s">
        <v>216</v>
      </c>
      <c r="C2569" s="1" t="s">
        <v>13094</v>
      </c>
      <c r="D2569" s="1" t="s">
        <v>11457</v>
      </c>
      <c r="E2569" s="1" t="s">
        <v>13128</v>
      </c>
      <c r="F2569" s="1" t="s">
        <v>191</v>
      </c>
      <c r="G2569" s="1" t="s">
        <v>13129</v>
      </c>
      <c r="H2569" s="1">
        <v>1</v>
      </c>
      <c r="I2569" s="1" t="s">
        <v>13130</v>
      </c>
      <c r="L2569" s="1" t="s">
        <v>13131</v>
      </c>
      <c r="M2569" s="1" t="s">
        <v>13132</v>
      </c>
      <c r="N2569" s="1">
        <v>1</v>
      </c>
      <c r="O2569" s="1">
        <v>0</v>
      </c>
      <c r="P2569" s="1" t="s">
        <v>13133</v>
      </c>
      <c r="Q2569" s="1" t="s">
        <v>13134</v>
      </c>
      <c r="R2569" s="1" t="s">
        <v>13135</v>
      </c>
      <c r="S2569" s="1" t="s">
        <v>13099</v>
      </c>
      <c r="T2569" s="1">
        <v>1</v>
      </c>
      <c r="U2569" s="1">
        <v>1</v>
      </c>
      <c r="V2569" s="1">
        <v>1</v>
      </c>
      <c r="W2569" s="1">
        <v>0</v>
      </c>
      <c r="X2569" s="1">
        <v>0</v>
      </c>
      <c r="Y2569" s="1">
        <v>1</v>
      </c>
      <c r="Z2569" s="1">
        <v>1</v>
      </c>
      <c r="AA2569" s="1" t="s">
        <v>104</v>
      </c>
      <c r="AB2569" s="1" t="s">
        <v>104</v>
      </c>
      <c r="AC2569" s="1" t="s">
        <v>104</v>
      </c>
      <c r="AD2569" s="1" t="s">
        <v>104</v>
      </c>
      <c r="AE2569" s="1" t="s">
        <v>104</v>
      </c>
      <c r="AF2569" s="1">
        <v>1</v>
      </c>
      <c r="AG2569" s="1" t="s">
        <v>104</v>
      </c>
      <c r="AH2569" s="1">
        <v>1</v>
      </c>
      <c r="AI2569" s="1" t="s">
        <v>104</v>
      </c>
      <c r="AJ2569" s="1" t="s">
        <v>104</v>
      </c>
      <c r="AK2569" s="1" t="s">
        <v>104</v>
      </c>
      <c r="AL2569" s="1" t="s">
        <v>104</v>
      </c>
      <c r="AM2569" s="1" t="s">
        <v>104</v>
      </c>
      <c r="AO2569" s="1">
        <v>1</v>
      </c>
      <c r="AR2569" s="1">
        <v>0</v>
      </c>
      <c r="AS2569" s="1">
        <v>0</v>
      </c>
      <c r="AT2569" s="1">
        <v>0</v>
      </c>
      <c r="AU2569" s="1">
        <v>0</v>
      </c>
      <c r="AV2569" s="1">
        <v>0</v>
      </c>
      <c r="AW2569" s="1">
        <v>0</v>
      </c>
      <c r="AX2569" s="1">
        <v>0</v>
      </c>
      <c r="AY2569" s="1">
        <v>0</v>
      </c>
      <c r="AZ2569" s="1">
        <v>0</v>
      </c>
      <c r="BA2569" s="1">
        <v>0</v>
      </c>
      <c r="BB2569" s="1">
        <v>1</v>
      </c>
      <c r="BC2569" s="1">
        <v>0</v>
      </c>
      <c r="BD2569" s="1">
        <v>1</v>
      </c>
      <c r="BE2569" s="1">
        <v>0</v>
      </c>
      <c r="BF2569" s="1">
        <v>0</v>
      </c>
      <c r="BG2569" s="1">
        <v>0</v>
      </c>
      <c r="BH2569" s="1">
        <v>0</v>
      </c>
      <c r="BI2569" s="1">
        <v>0</v>
      </c>
      <c r="BJ2569" s="1">
        <v>0</v>
      </c>
      <c r="BK2569" s="1">
        <v>1</v>
      </c>
      <c r="BL2569" s="1">
        <v>0</v>
      </c>
      <c r="BM2569" s="1">
        <v>0</v>
      </c>
      <c r="BN2569" s="1">
        <v>0</v>
      </c>
      <c r="BO2569" s="1">
        <v>0</v>
      </c>
      <c r="BP2569" s="1">
        <v>0</v>
      </c>
      <c r="BQ2569" s="1" t="s">
        <v>104</v>
      </c>
      <c r="BR2569" s="1">
        <v>2702</v>
      </c>
      <c r="BS2569" s="1">
        <v>25</v>
      </c>
      <c r="BX2569" s="1">
        <v>0</v>
      </c>
      <c r="BY2569" s="1" t="s">
        <v>104</v>
      </c>
      <c r="BZ2569" s="1">
        <v>1</v>
      </c>
      <c r="CA2569" s="1" t="s">
        <v>104</v>
      </c>
      <c r="CB2569" s="1">
        <v>1</v>
      </c>
      <c r="CC2569" s="1" t="s">
        <v>104</v>
      </c>
      <c r="CD2569" s="1">
        <v>1</v>
      </c>
      <c r="CE2569" s="1" t="s">
        <v>104</v>
      </c>
      <c r="CF2569" s="1" t="s">
        <v>104</v>
      </c>
      <c r="CG2569" s="1" t="s">
        <v>104</v>
      </c>
      <c r="CH2569" s="1" t="s">
        <v>104</v>
      </c>
      <c r="CI2569" s="1" t="s">
        <v>13136</v>
      </c>
      <c r="CJ2569" s="1">
        <v>0</v>
      </c>
      <c r="CK2569" s="1">
        <v>0</v>
      </c>
      <c r="CL2569" s="1">
        <v>0</v>
      </c>
      <c r="CM2569" s="1" t="s">
        <v>104</v>
      </c>
    </row>
    <row r="2570" spans="1:91" ht="14.25" customHeight="1" x14ac:dyDescent="0.3">
      <c r="A2570" s="1" t="s">
        <v>13137</v>
      </c>
      <c r="B2570" s="1" t="s">
        <v>216</v>
      </c>
      <c r="C2570" s="1" t="s">
        <v>13094</v>
      </c>
      <c r="D2570" s="1" t="s">
        <v>11457</v>
      </c>
      <c r="E2570" s="1" t="s">
        <v>13138</v>
      </c>
      <c r="F2570" s="1" t="s">
        <v>95</v>
      </c>
      <c r="G2570" s="1" t="s">
        <v>116</v>
      </c>
      <c r="H2570" s="1">
        <v>0</v>
      </c>
      <c r="I2570" s="1" t="s">
        <v>117</v>
      </c>
      <c r="J2570" s="1" t="s">
        <v>13097</v>
      </c>
      <c r="M2570" s="1" t="s">
        <v>620</v>
      </c>
      <c r="N2570" s="1">
        <v>1</v>
      </c>
      <c r="O2570" s="1">
        <v>1</v>
      </c>
      <c r="P2570" s="1" t="s">
        <v>211</v>
      </c>
      <c r="Q2570" s="1" t="s">
        <v>184</v>
      </c>
      <c r="R2570" s="1" t="s">
        <v>13139</v>
      </c>
      <c r="S2570" s="1" t="s">
        <v>13099</v>
      </c>
      <c r="T2570" s="1">
        <v>1</v>
      </c>
      <c r="U2570" s="1">
        <v>1</v>
      </c>
      <c r="V2570" s="1">
        <v>0</v>
      </c>
      <c r="W2570" s="1">
        <v>0</v>
      </c>
      <c r="X2570" s="1">
        <v>0</v>
      </c>
      <c r="Y2570" s="1">
        <v>2</v>
      </c>
      <c r="Z2570" s="1">
        <v>2</v>
      </c>
      <c r="AA2570" s="1" t="s">
        <v>104</v>
      </c>
      <c r="AB2570" s="1" t="s">
        <v>104</v>
      </c>
      <c r="AC2570" s="1" t="s">
        <v>104</v>
      </c>
      <c r="AD2570" s="1">
        <v>2</v>
      </c>
      <c r="AE2570" s="1" t="s">
        <v>104</v>
      </c>
      <c r="AF2570" s="1" t="s">
        <v>104</v>
      </c>
      <c r="AG2570" s="1" t="s">
        <v>104</v>
      </c>
      <c r="AH2570" s="1">
        <v>2</v>
      </c>
      <c r="AI2570" s="1" t="s">
        <v>104</v>
      </c>
      <c r="AJ2570" s="1" t="s">
        <v>104</v>
      </c>
      <c r="AK2570" s="1" t="s">
        <v>104</v>
      </c>
      <c r="AL2570" s="1" t="s">
        <v>104</v>
      </c>
      <c r="AM2570" s="1" t="s">
        <v>104</v>
      </c>
      <c r="AO2570" s="1">
        <v>2</v>
      </c>
      <c r="AR2570" s="1">
        <v>0</v>
      </c>
      <c r="AS2570" s="1">
        <v>0</v>
      </c>
      <c r="AT2570" s="1">
        <v>0</v>
      </c>
      <c r="AU2570" s="1">
        <v>0</v>
      </c>
      <c r="AV2570" s="1">
        <v>0</v>
      </c>
      <c r="AW2570" s="1">
        <v>0</v>
      </c>
      <c r="AX2570" s="1">
        <v>0</v>
      </c>
      <c r="AY2570" s="1">
        <v>0</v>
      </c>
      <c r="AZ2570" s="1">
        <v>0</v>
      </c>
      <c r="BA2570" s="1">
        <v>0</v>
      </c>
      <c r="BB2570" s="1">
        <v>1</v>
      </c>
      <c r="BC2570" s="1">
        <v>0</v>
      </c>
      <c r="BD2570" s="1">
        <v>1</v>
      </c>
      <c r="BE2570" s="1">
        <v>0</v>
      </c>
      <c r="BF2570" s="1">
        <v>0</v>
      </c>
      <c r="BG2570" s="1">
        <v>0</v>
      </c>
      <c r="BH2570" s="1">
        <v>0</v>
      </c>
      <c r="BI2570" s="1">
        <v>0</v>
      </c>
      <c r="BJ2570" s="1">
        <v>0</v>
      </c>
      <c r="BK2570" s="1">
        <v>1</v>
      </c>
      <c r="BL2570" s="1">
        <v>0</v>
      </c>
      <c r="BM2570" s="1">
        <v>0</v>
      </c>
      <c r="BN2570" s="1">
        <v>0</v>
      </c>
      <c r="BO2570" s="1">
        <v>0</v>
      </c>
      <c r="BP2570" s="1">
        <v>0</v>
      </c>
      <c r="BQ2570" s="1" t="s">
        <v>104</v>
      </c>
      <c r="BR2570" s="1">
        <v>2703</v>
      </c>
      <c r="BS2570" s="1" t="s">
        <v>104</v>
      </c>
      <c r="BX2570" s="1">
        <v>0</v>
      </c>
      <c r="BY2570" s="1" t="s">
        <v>104</v>
      </c>
      <c r="BZ2570" s="1">
        <v>2</v>
      </c>
      <c r="CA2570" s="1">
        <v>2</v>
      </c>
      <c r="CB2570" s="1">
        <v>1</v>
      </c>
      <c r="CC2570" s="1">
        <v>2</v>
      </c>
      <c r="CD2570" s="1">
        <v>2</v>
      </c>
      <c r="CE2570" s="1" t="s">
        <v>104</v>
      </c>
      <c r="CF2570" s="1" t="s">
        <v>104</v>
      </c>
      <c r="CG2570" s="1" t="s">
        <v>104</v>
      </c>
      <c r="CH2570" s="1" t="s">
        <v>104</v>
      </c>
      <c r="CI2570" s="1" t="s">
        <v>13140</v>
      </c>
      <c r="CJ2570" s="1">
        <v>0</v>
      </c>
      <c r="CK2570" s="1">
        <v>0</v>
      </c>
      <c r="CL2570" s="1">
        <v>0</v>
      </c>
      <c r="CM2570" s="1" t="s">
        <v>104</v>
      </c>
    </row>
    <row r="2571" spans="1:91" ht="14.25" customHeight="1" x14ac:dyDescent="0.3">
      <c r="A2571" s="1" t="s">
        <v>13141</v>
      </c>
      <c r="B2571" s="1" t="s">
        <v>216</v>
      </c>
      <c r="C2571" s="1" t="s">
        <v>13094</v>
      </c>
      <c r="D2571" s="1" t="s">
        <v>13142</v>
      </c>
      <c r="E2571" s="1" t="s">
        <v>13143</v>
      </c>
      <c r="F2571" s="1" t="s">
        <v>95</v>
      </c>
      <c r="G2571" s="1" t="s">
        <v>127</v>
      </c>
      <c r="H2571" s="1">
        <v>0</v>
      </c>
      <c r="I2571" s="1" t="s">
        <v>117</v>
      </c>
      <c r="J2571" s="1" t="s">
        <v>13097</v>
      </c>
      <c r="M2571" s="1" t="s">
        <v>620</v>
      </c>
      <c r="N2571" s="1">
        <v>1</v>
      </c>
      <c r="O2571" s="1">
        <v>1</v>
      </c>
      <c r="P2571" s="1" t="s">
        <v>211</v>
      </c>
      <c r="Q2571" s="1" t="s">
        <v>184</v>
      </c>
      <c r="R2571" s="1" t="s">
        <v>13144</v>
      </c>
      <c r="S2571" s="1" t="s">
        <v>13099</v>
      </c>
      <c r="T2571" s="1">
        <v>1</v>
      </c>
      <c r="U2571" s="1">
        <v>1</v>
      </c>
      <c r="V2571" s="1">
        <v>0</v>
      </c>
      <c r="W2571" s="1">
        <v>0</v>
      </c>
      <c r="X2571" s="1">
        <v>1</v>
      </c>
      <c r="Y2571" s="1" t="s">
        <v>104</v>
      </c>
      <c r="Z2571" s="1" t="s">
        <v>104</v>
      </c>
      <c r="AA2571" s="1">
        <v>2</v>
      </c>
      <c r="AB2571" s="1" t="s">
        <v>104</v>
      </c>
      <c r="AC2571" s="1" t="s">
        <v>104</v>
      </c>
      <c r="AD2571" s="1" t="s">
        <v>104</v>
      </c>
      <c r="AE2571" s="1" t="s">
        <v>104</v>
      </c>
      <c r="AF2571" s="1" t="s">
        <v>104</v>
      </c>
      <c r="AG2571" s="1" t="s">
        <v>104</v>
      </c>
      <c r="AH2571" s="1" t="s">
        <v>104</v>
      </c>
      <c r="AI2571" s="1">
        <v>2</v>
      </c>
      <c r="AJ2571" s="1">
        <v>2</v>
      </c>
      <c r="AK2571" s="1">
        <v>2</v>
      </c>
      <c r="AL2571" s="1" t="s">
        <v>104</v>
      </c>
      <c r="AM2571" s="1" t="s">
        <v>104</v>
      </c>
      <c r="AO2571" s="1">
        <v>2</v>
      </c>
      <c r="AR2571" s="1">
        <v>0</v>
      </c>
      <c r="AS2571" s="1">
        <v>0</v>
      </c>
      <c r="AT2571" s="1">
        <v>0</v>
      </c>
      <c r="AU2571" s="1">
        <v>0</v>
      </c>
      <c r="AV2571" s="1">
        <v>0</v>
      </c>
      <c r="AW2571" s="1">
        <v>0</v>
      </c>
      <c r="AX2571" s="1">
        <v>0</v>
      </c>
      <c r="AY2571" s="1">
        <v>0</v>
      </c>
      <c r="AZ2571" s="1">
        <v>0</v>
      </c>
      <c r="BA2571" s="1">
        <v>0</v>
      </c>
      <c r="BB2571" s="1">
        <v>1</v>
      </c>
      <c r="BC2571" s="1">
        <v>1</v>
      </c>
      <c r="BD2571" s="1">
        <v>1</v>
      </c>
      <c r="BE2571" s="1">
        <v>0</v>
      </c>
      <c r="BF2571" s="1">
        <v>0</v>
      </c>
      <c r="BG2571" s="1">
        <v>0</v>
      </c>
      <c r="BH2571" s="1">
        <v>0</v>
      </c>
      <c r="BI2571" s="1">
        <v>0</v>
      </c>
      <c r="BJ2571" s="1">
        <v>0</v>
      </c>
      <c r="BK2571" s="1">
        <v>1</v>
      </c>
      <c r="BL2571" s="1">
        <v>0</v>
      </c>
      <c r="BM2571" s="1">
        <v>0</v>
      </c>
      <c r="BN2571" s="1">
        <v>0</v>
      </c>
      <c r="BO2571" s="1">
        <v>0</v>
      </c>
      <c r="BP2571" s="1">
        <v>0</v>
      </c>
      <c r="BQ2571" s="1" t="s">
        <v>104</v>
      </c>
      <c r="BR2571" s="1">
        <v>2704</v>
      </c>
      <c r="BS2571" s="1" t="s">
        <v>104</v>
      </c>
      <c r="BX2571" s="1">
        <v>0</v>
      </c>
      <c r="BY2571" s="1" t="s">
        <v>104</v>
      </c>
      <c r="BZ2571" s="1" t="s">
        <v>104</v>
      </c>
      <c r="CA2571" s="1" t="s">
        <v>104</v>
      </c>
      <c r="CB2571" s="1" t="s">
        <v>104</v>
      </c>
      <c r="CC2571" s="1" t="s">
        <v>104</v>
      </c>
      <c r="CD2571" s="1" t="s">
        <v>104</v>
      </c>
      <c r="CE2571" s="1" t="s">
        <v>104</v>
      </c>
      <c r="CF2571" s="1" t="s">
        <v>104</v>
      </c>
      <c r="CG2571" s="1" t="s">
        <v>104</v>
      </c>
      <c r="CH2571" s="1" t="s">
        <v>104</v>
      </c>
      <c r="CI2571" s="1" t="s">
        <v>13145</v>
      </c>
      <c r="CJ2571" s="1">
        <v>0</v>
      </c>
      <c r="CK2571" s="1">
        <v>0</v>
      </c>
      <c r="CL2571" s="1">
        <v>0</v>
      </c>
      <c r="CM2571" s="1" t="s">
        <v>104</v>
      </c>
    </row>
    <row r="2572" spans="1:91" ht="14.25" customHeight="1" x14ac:dyDescent="0.3">
      <c r="A2572" s="1" t="s">
        <v>13146</v>
      </c>
      <c r="B2572" s="1" t="s">
        <v>123</v>
      </c>
      <c r="C2572" s="1" t="s">
        <v>124</v>
      </c>
      <c r="D2572" s="1" t="s">
        <v>125</v>
      </c>
      <c r="E2572" s="1" t="s">
        <v>13147</v>
      </c>
      <c r="F2572" s="1" t="s">
        <v>287</v>
      </c>
      <c r="G2572" s="1" t="s">
        <v>13148</v>
      </c>
      <c r="H2572" s="1">
        <v>1</v>
      </c>
      <c r="I2572" s="1" t="s">
        <v>3750</v>
      </c>
      <c r="K2572" s="1" t="s">
        <v>3751</v>
      </c>
      <c r="M2572" s="1" t="s">
        <v>145</v>
      </c>
      <c r="N2572" s="1">
        <v>0</v>
      </c>
      <c r="O2572" s="1">
        <v>0</v>
      </c>
      <c r="P2572" s="1" t="s">
        <v>211</v>
      </c>
      <c r="Q2572" s="1" t="s">
        <v>184</v>
      </c>
      <c r="R2572" s="1" t="s">
        <v>13149</v>
      </c>
      <c r="S2572" s="1" t="s">
        <v>13150</v>
      </c>
      <c r="T2572" s="1">
        <v>1</v>
      </c>
      <c r="U2572" s="1">
        <v>1</v>
      </c>
      <c r="V2572" s="1">
        <v>1</v>
      </c>
      <c r="W2572" s="1">
        <v>0</v>
      </c>
      <c r="X2572" s="1">
        <v>0</v>
      </c>
      <c r="Y2572" s="1">
        <v>9</v>
      </c>
      <c r="Z2572" s="1">
        <v>9</v>
      </c>
      <c r="AA2572" s="1">
        <v>9</v>
      </c>
      <c r="AB2572" s="1" t="s">
        <v>104</v>
      </c>
      <c r="AC2572" s="1" t="s">
        <v>104</v>
      </c>
      <c r="AD2572" s="1">
        <v>6</v>
      </c>
      <c r="AE2572" s="1" t="s">
        <v>104</v>
      </c>
      <c r="AF2572" s="1" t="s">
        <v>104</v>
      </c>
      <c r="AG2572" s="1" t="s">
        <v>104</v>
      </c>
      <c r="AH2572" s="1">
        <v>9</v>
      </c>
      <c r="AI2572" s="1" t="s">
        <v>104</v>
      </c>
      <c r="AJ2572" s="1">
        <v>9</v>
      </c>
      <c r="AK2572" s="1" t="s">
        <v>104</v>
      </c>
      <c r="AL2572" s="1" t="s">
        <v>104</v>
      </c>
      <c r="AM2572" s="1" t="s">
        <v>104</v>
      </c>
      <c r="AN2572" s="1" t="s">
        <v>13151</v>
      </c>
      <c r="AO2572" s="1">
        <v>9</v>
      </c>
      <c r="AR2572" s="1">
        <v>0</v>
      </c>
      <c r="AS2572" s="1">
        <v>0</v>
      </c>
      <c r="AT2572" s="1">
        <v>0</v>
      </c>
      <c r="AU2572" s="1">
        <v>0</v>
      </c>
      <c r="AV2572" s="1">
        <v>0</v>
      </c>
      <c r="AW2572" s="1">
        <v>0</v>
      </c>
      <c r="AX2572" s="1">
        <v>0</v>
      </c>
      <c r="AY2572" s="1">
        <v>0</v>
      </c>
      <c r="AZ2572" s="1">
        <v>0</v>
      </c>
      <c r="BA2572" s="1">
        <v>0</v>
      </c>
      <c r="BB2572" s="1">
        <v>0</v>
      </c>
      <c r="BC2572" s="1">
        <v>0</v>
      </c>
      <c r="BD2572" s="1">
        <v>0</v>
      </c>
      <c r="BE2572" s="1">
        <v>0</v>
      </c>
      <c r="BF2572" s="1">
        <v>0</v>
      </c>
      <c r="BG2572" s="1">
        <v>0</v>
      </c>
      <c r="BH2572" s="1">
        <v>0</v>
      </c>
      <c r="BI2572" s="1">
        <v>0</v>
      </c>
      <c r="BJ2572" s="1">
        <v>0</v>
      </c>
      <c r="BK2572" s="1">
        <v>1</v>
      </c>
      <c r="BL2572" s="1">
        <v>0</v>
      </c>
      <c r="BM2572" s="1">
        <v>0</v>
      </c>
      <c r="BN2572" s="1">
        <v>0</v>
      </c>
      <c r="BO2572" s="1">
        <v>0</v>
      </c>
      <c r="BP2572" s="1">
        <v>0</v>
      </c>
      <c r="BQ2572" s="1" t="s">
        <v>104</v>
      </c>
      <c r="BR2572" s="1">
        <v>2705</v>
      </c>
      <c r="BS2572" s="1">
        <v>15000</v>
      </c>
      <c r="BX2572" s="1">
        <v>0</v>
      </c>
      <c r="BY2572" s="1" t="s">
        <v>104</v>
      </c>
      <c r="BZ2572" s="1" t="s">
        <v>104</v>
      </c>
      <c r="CA2572" s="1" t="s">
        <v>104</v>
      </c>
      <c r="CB2572" s="1" t="s">
        <v>104</v>
      </c>
      <c r="CC2572" s="1" t="s">
        <v>104</v>
      </c>
      <c r="CD2572" s="1" t="s">
        <v>104</v>
      </c>
      <c r="CE2572" s="1" t="s">
        <v>104</v>
      </c>
      <c r="CF2572" s="1" t="s">
        <v>104</v>
      </c>
      <c r="CG2572" s="1" t="s">
        <v>104</v>
      </c>
      <c r="CH2572" s="1" t="s">
        <v>104</v>
      </c>
      <c r="CJ2572" s="1">
        <v>0</v>
      </c>
      <c r="CK2572" s="1">
        <v>0</v>
      </c>
      <c r="CL2572" s="1">
        <v>0</v>
      </c>
      <c r="CM2572" s="1" t="s">
        <v>104</v>
      </c>
    </row>
    <row r="2573" spans="1:91" ht="14.25" customHeight="1" x14ac:dyDescent="0.3">
      <c r="A2573" s="1" t="s">
        <v>13152</v>
      </c>
      <c r="B2573" s="1" t="s">
        <v>92</v>
      </c>
      <c r="C2573" s="1" t="s">
        <v>1160</v>
      </c>
      <c r="E2573" s="1" t="s">
        <v>13153</v>
      </c>
      <c r="F2573" s="1" t="s">
        <v>95</v>
      </c>
      <c r="G2573" s="1" t="s">
        <v>2781</v>
      </c>
      <c r="H2573" s="1">
        <v>0</v>
      </c>
      <c r="I2573" s="1" t="s">
        <v>128</v>
      </c>
      <c r="L2573" s="1" t="s">
        <v>2782</v>
      </c>
      <c r="M2573" s="1" t="s">
        <v>119</v>
      </c>
      <c r="N2573" s="1">
        <v>0</v>
      </c>
      <c r="O2573" s="1">
        <v>0</v>
      </c>
      <c r="P2573" s="1" t="s">
        <v>211</v>
      </c>
      <c r="Q2573" s="1" t="s">
        <v>184</v>
      </c>
      <c r="R2573" s="1" t="s">
        <v>13154</v>
      </c>
      <c r="S2573" s="1" t="s">
        <v>13155</v>
      </c>
      <c r="T2573" s="1">
        <v>1</v>
      </c>
      <c r="U2573" s="1">
        <v>1</v>
      </c>
      <c r="V2573" s="1">
        <v>0</v>
      </c>
      <c r="W2573" s="1">
        <v>0</v>
      </c>
      <c r="X2573" s="1">
        <v>0</v>
      </c>
      <c r="Y2573" s="1">
        <v>6</v>
      </c>
      <c r="Z2573" s="1">
        <v>6</v>
      </c>
      <c r="AA2573" s="1">
        <v>4</v>
      </c>
      <c r="AB2573" s="1" t="s">
        <v>104</v>
      </c>
      <c r="AC2573" s="1" t="s">
        <v>104</v>
      </c>
      <c r="AD2573" s="1" t="s">
        <v>104</v>
      </c>
      <c r="AE2573" s="1" t="s">
        <v>104</v>
      </c>
      <c r="AF2573" s="1" t="s">
        <v>104</v>
      </c>
      <c r="AG2573" s="1">
        <v>5</v>
      </c>
      <c r="AH2573" s="1">
        <v>6</v>
      </c>
      <c r="AI2573" s="1" t="s">
        <v>104</v>
      </c>
      <c r="AJ2573" s="1">
        <v>4</v>
      </c>
      <c r="AK2573" s="1" t="s">
        <v>104</v>
      </c>
      <c r="AL2573" s="1" t="s">
        <v>104</v>
      </c>
      <c r="AM2573" s="1" t="s">
        <v>104</v>
      </c>
      <c r="AO2573" s="1">
        <v>6</v>
      </c>
      <c r="AR2573" s="1">
        <v>0</v>
      </c>
      <c r="AS2573" s="1">
        <v>0</v>
      </c>
      <c r="AT2573" s="1">
        <v>0</v>
      </c>
      <c r="AU2573" s="1">
        <v>0</v>
      </c>
      <c r="AV2573" s="1">
        <v>0</v>
      </c>
      <c r="AW2573" s="1">
        <v>0</v>
      </c>
      <c r="AX2573" s="1">
        <v>0</v>
      </c>
      <c r="AY2573" s="1">
        <v>0</v>
      </c>
      <c r="AZ2573" s="1">
        <v>0</v>
      </c>
      <c r="BA2573" s="1">
        <v>0</v>
      </c>
      <c r="BB2573" s="1">
        <v>0</v>
      </c>
      <c r="BC2573" s="1">
        <v>0</v>
      </c>
      <c r="BD2573" s="1">
        <v>0</v>
      </c>
      <c r="BE2573" s="1">
        <v>0</v>
      </c>
      <c r="BF2573" s="1">
        <v>0</v>
      </c>
      <c r="BG2573" s="1">
        <v>0</v>
      </c>
      <c r="BH2573" s="1">
        <v>0</v>
      </c>
      <c r="BI2573" s="1">
        <v>0</v>
      </c>
      <c r="BJ2573" s="1">
        <v>0</v>
      </c>
      <c r="BK2573" s="1">
        <v>0</v>
      </c>
      <c r="BL2573" s="1">
        <v>0</v>
      </c>
      <c r="BM2573" s="1">
        <v>0</v>
      </c>
      <c r="BN2573" s="1">
        <v>0</v>
      </c>
      <c r="BO2573" s="1">
        <v>0</v>
      </c>
      <c r="BP2573" s="1">
        <v>0</v>
      </c>
      <c r="BQ2573" s="1" t="s">
        <v>104</v>
      </c>
      <c r="BR2573" s="1">
        <v>2706</v>
      </c>
      <c r="BS2573" s="1" t="s">
        <v>104</v>
      </c>
      <c r="BX2573" s="1">
        <v>0</v>
      </c>
      <c r="BY2573" s="1" t="s">
        <v>104</v>
      </c>
      <c r="BZ2573" s="1">
        <v>6</v>
      </c>
      <c r="CA2573" s="1">
        <v>4</v>
      </c>
      <c r="CB2573" s="1">
        <v>3</v>
      </c>
      <c r="CC2573" s="1" t="s">
        <v>104</v>
      </c>
      <c r="CD2573" s="1" t="s">
        <v>104</v>
      </c>
      <c r="CE2573" s="1" t="s">
        <v>104</v>
      </c>
      <c r="CF2573" s="1" t="s">
        <v>104</v>
      </c>
      <c r="CG2573" s="1" t="s">
        <v>104</v>
      </c>
      <c r="CH2573" s="1" t="s">
        <v>104</v>
      </c>
      <c r="CJ2573" s="1">
        <v>0</v>
      </c>
      <c r="CK2573" s="1">
        <v>0</v>
      </c>
      <c r="CL2573" s="1">
        <v>0</v>
      </c>
      <c r="CM2573" s="1">
        <v>5</v>
      </c>
    </row>
    <row r="2574" spans="1:91" ht="14.25" customHeight="1" x14ac:dyDescent="0.3">
      <c r="A2574" s="1" t="s">
        <v>13156</v>
      </c>
      <c r="B2574" s="1" t="s">
        <v>162</v>
      </c>
      <c r="E2574" s="1" t="s">
        <v>7183</v>
      </c>
      <c r="F2574" s="1" t="s">
        <v>95</v>
      </c>
      <c r="G2574" s="1" t="s">
        <v>13157</v>
      </c>
      <c r="H2574" s="1">
        <v>0</v>
      </c>
      <c r="I2574" s="1" t="s">
        <v>157</v>
      </c>
      <c r="L2574" s="1" t="s">
        <v>158</v>
      </c>
      <c r="M2574" s="1" t="s">
        <v>111</v>
      </c>
      <c r="N2574" s="1">
        <v>0</v>
      </c>
      <c r="O2574" s="1">
        <v>0</v>
      </c>
      <c r="R2574" s="1" t="s">
        <v>13158</v>
      </c>
      <c r="S2574" s="1" t="s">
        <v>13159</v>
      </c>
      <c r="T2574" s="1">
        <v>1</v>
      </c>
      <c r="U2574" s="1">
        <v>1</v>
      </c>
      <c r="V2574" s="1">
        <v>1</v>
      </c>
      <c r="W2574" s="1">
        <v>0</v>
      </c>
      <c r="X2574" s="1">
        <v>0</v>
      </c>
      <c r="Y2574" s="1">
        <v>4</v>
      </c>
      <c r="Z2574" s="1">
        <v>4</v>
      </c>
      <c r="AA2574" s="1" t="s">
        <v>104</v>
      </c>
      <c r="AB2574" s="1" t="s">
        <v>104</v>
      </c>
      <c r="AC2574" s="1" t="s">
        <v>104</v>
      </c>
      <c r="AD2574" s="1" t="s">
        <v>104</v>
      </c>
      <c r="AE2574" s="1" t="s">
        <v>104</v>
      </c>
      <c r="AF2574" s="1" t="s">
        <v>104</v>
      </c>
      <c r="AG2574" s="1" t="s">
        <v>104</v>
      </c>
      <c r="AH2574" s="1">
        <v>4</v>
      </c>
      <c r="AI2574" s="1" t="s">
        <v>104</v>
      </c>
      <c r="AJ2574" s="1" t="s">
        <v>104</v>
      </c>
      <c r="AK2574" s="1" t="s">
        <v>104</v>
      </c>
      <c r="AL2574" s="1" t="s">
        <v>104</v>
      </c>
      <c r="AM2574" s="1" t="s">
        <v>104</v>
      </c>
      <c r="AO2574" s="1">
        <v>4</v>
      </c>
      <c r="AR2574" s="1">
        <v>0</v>
      </c>
      <c r="AS2574" s="1">
        <v>0</v>
      </c>
      <c r="AT2574" s="1">
        <v>0</v>
      </c>
      <c r="AU2574" s="1">
        <v>0</v>
      </c>
      <c r="AV2574" s="1">
        <v>0</v>
      </c>
      <c r="AW2574" s="1">
        <v>0</v>
      </c>
      <c r="AX2574" s="1">
        <v>0</v>
      </c>
      <c r="AY2574" s="1">
        <v>0</v>
      </c>
      <c r="AZ2574" s="1">
        <v>0</v>
      </c>
      <c r="BA2574" s="1">
        <v>0</v>
      </c>
      <c r="BB2574" s="1">
        <v>0</v>
      </c>
      <c r="BC2574" s="1">
        <v>0</v>
      </c>
      <c r="BD2574" s="1">
        <v>0</v>
      </c>
      <c r="BE2574" s="1">
        <v>0</v>
      </c>
      <c r="BF2574" s="1">
        <v>0</v>
      </c>
      <c r="BG2574" s="1">
        <v>0</v>
      </c>
      <c r="BH2574" s="1">
        <v>0</v>
      </c>
      <c r="BI2574" s="1">
        <v>0</v>
      </c>
      <c r="BJ2574" s="1">
        <v>0</v>
      </c>
      <c r="BK2574" s="1">
        <v>0</v>
      </c>
      <c r="BL2574" s="1">
        <v>0</v>
      </c>
      <c r="BM2574" s="1">
        <v>0</v>
      </c>
      <c r="BN2574" s="1">
        <v>0</v>
      </c>
      <c r="BO2574" s="1">
        <v>0</v>
      </c>
      <c r="BP2574" s="1">
        <v>0</v>
      </c>
      <c r="BQ2574" s="1" t="s">
        <v>104</v>
      </c>
      <c r="BR2574" s="1">
        <v>2707</v>
      </c>
      <c r="BS2574" s="1" t="s">
        <v>104</v>
      </c>
      <c r="BX2574" s="1">
        <v>0</v>
      </c>
      <c r="BY2574" s="1" t="s">
        <v>104</v>
      </c>
      <c r="BZ2574" s="1" t="s">
        <v>104</v>
      </c>
      <c r="CA2574" s="1" t="s">
        <v>104</v>
      </c>
      <c r="CB2574" s="1" t="s">
        <v>104</v>
      </c>
      <c r="CC2574" s="1" t="s">
        <v>104</v>
      </c>
      <c r="CD2574" s="1" t="s">
        <v>104</v>
      </c>
      <c r="CE2574" s="1" t="s">
        <v>104</v>
      </c>
      <c r="CF2574" s="1" t="s">
        <v>104</v>
      </c>
      <c r="CG2574" s="1" t="s">
        <v>104</v>
      </c>
      <c r="CH2574" s="1" t="s">
        <v>104</v>
      </c>
      <c r="CJ2574" s="1">
        <v>0</v>
      </c>
      <c r="CK2574" s="1">
        <v>0</v>
      </c>
      <c r="CL2574" s="1">
        <v>0</v>
      </c>
      <c r="CM2574" s="1" t="s">
        <v>104</v>
      </c>
    </row>
    <row r="2575" spans="1:91" ht="14.25" customHeight="1" x14ac:dyDescent="0.3">
      <c r="A2575" s="1" t="s">
        <v>13160</v>
      </c>
      <c r="B2575" s="1" t="s">
        <v>137</v>
      </c>
      <c r="D2575" s="1" t="s">
        <v>13161</v>
      </c>
      <c r="E2575" s="1" t="s">
        <v>13162</v>
      </c>
      <c r="F2575" s="1" t="s">
        <v>273</v>
      </c>
      <c r="G2575" s="1" t="s">
        <v>13163</v>
      </c>
      <c r="H2575" s="1">
        <v>1</v>
      </c>
      <c r="I2575" s="1" t="s">
        <v>157</v>
      </c>
      <c r="L2575" s="1" t="s">
        <v>158</v>
      </c>
      <c r="M2575" s="1" t="s">
        <v>9397</v>
      </c>
      <c r="N2575" s="1">
        <v>0</v>
      </c>
      <c r="O2575" s="1">
        <v>0</v>
      </c>
      <c r="R2575" s="1" t="s">
        <v>13164</v>
      </c>
      <c r="S2575" s="1" t="s">
        <v>13159</v>
      </c>
      <c r="T2575" s="1">
        <v>1</v>
      </c>
      <c r="U2575" s="1">
        <v>0</v>
      </c>
      <c r="V2575" s="1">
        <v>1</v>
      </c>
      <c r="W2575" s="1">
        <v>0</v>
      </c>
      <c r="X2575" s="1">
        <v>0</v>
      </c>
      <c r="Y2575" s="1" t="s">
        <v>104</v>
      </c>
      <c r="Z2575" s="1" t="s">
        <v>104</v>
      </c>
      <c r="AA2575" s="1">
        <v>6</v>
      </c>
      <c r="AB2575" s="1">
        <v>6</v>
      </c>
      <c r="AC2575" s="1" t="s">
        <v>104</v>
      </c>
      <c r="AD2575" s="1" t="s">
        <v>104</v>
      </c>
      <c r="AE2575" s="1" t="s">
        <v>104</v>
      </c>
      <c r="AF2575" s="1" t="s">
        <v>104</v>
      </c>
      <c r="AG2575" s="1" t="s">
        <v>104</v>
      </c>
      <c r="AH2575" s="1" t="s">
        <v>104</v>
      </c>
      <c r="AI2575" s="1" t="s">
        <v>104</v>
      </c>
      <c r="AJ2575" s="1">
        <v>6</v>
      </c>
      <c r="AK2575" s="1" t="s">
        <v>104</v>
      </c>
      <c r="AL2575" s="1" t="s">
        <v>104</v>
      </c>
      <c r="AM2575" s="1" t="s">
        <v>104</v>
      </c>
      <c r="AO2575" s="1">
        <v>6</v>
      </c>
      <c r="AR2575" s="1">
        <v>0</v>
      </c>
      <c r="AS2575" s="1">
        <v>1</v>
      </c>
      <c r="AT2575" s="1">
        <v>0</v>
      </c>
      <c r="AU2575" s="1">
        <v>0</v>
      </c>
      <c r="AV2575" s="1">
        <v>0</v>
      </c>
      <c r="AW2575" s="1">
        <v>0</v>
      </c>
      <c r="AX2575" s="1">
        <v>0</v>
      </c>
      <c r="AY2575" s="1">
        <v>0</v>
      </c>
      <c r="AZ2575" s="1">
        <v>0</v>
      </c>
      <c r="BA2575" s="1">
        <v>0</v>
      </c>
      <c r="BB2575" s="1">
        <v>0</v>
      </c>
      <c r="BC2575" s="1">
        <v>0</v>
      </c>
      <c r="BD2575" s="1">
        <v>0</v>
      </c>
      <c r="BE2575" s="1">
        <v>0</v>
      </c>
      <c r="BF2575" s="1">
        <v>0</v>
      </c>
      <c r="BG2575" s="1">
        <v>0</v>
      </c>
      <c r="BH2575" s="1">
        <v>0</v>
      </c>
      <c r="BI2575" s="1">
        <v>0</v>
      </c>
      <c r="BJ2575" s="1">
        <v>0</v>
      </c>
      <c r="BK2575" s="1">
        <v>0</v>
      </c>
      <c r="BL2575" s="1">
        <v>0</v>
      </c>
      <c r="BM2575" s="1">
        <v>0</v>
      </c>
      <c r="BN2575" s="1">
        <v>0</v>
      </c>
      <c r="BO2575" s="1">
        <v>0</v>
      </c>
      <c r="BP2575" s="1">
        <v>0</v>
      </c>
      <c r="BQ2575" s="1" t="s">
        <v>104</v>
      </c>
      <c r="BR2575" s="1">
        <v>2708</v>
      </c>
      <c r="BS2575" s="1">
        <v>600</v>
      </c>
      <c r="BX2575" s="1">
        <v>0</v>
      </c>
      <c r="BY2575" s="1" t="s">
        <v>104</v>
      </c>
      <c r="BZ2575" s="1">
        <v>6</v>
      </c>
      <c r="CA2575" s="1" t="s">
        <v>104</v>
      </c>
      <c r="CB2575" s="1" t="s">
        <v>104</v>
      </c>
      <c r="CC2575" s="1" t="s">
        <v>104</v>
      </c>
      <c r="CD2575" s="1" t="s">
        <v>104</v>
      </c>
      <c r="CE2575" s="1" t="s">
        <v>104</v>
      </c>
      <c r="CF2575" s="1" t="s">
        <v>104</v>
      </c>
      <c r="CG2575" s="1" t="s">
        <v>104</v>
      </c>
      <c r="CH2575" s="1">
        <v>6</v>
      </c>
      <c r="CJ2575" s="1">
        <v>0</v>
      </c>
      <c r="CK2575" s="1">
        <v>0</v>
      </c>
      <c r="CL2575" s="1">
        <v>1</v>
      </c>
      <c r="CM2575" s="1" t="s">
        <v>104</v>
      </c>
    </row>
    <row r="2576" spans="1:91" ht="14.25" customHeight="1" x14ac:dyDescent="0.3">
      <c r="A2576" s="1" t="s">
        <v>13165</v>
      </c>
      <c r="B2576" s="1" t="s">
        <v>162</v>
      </c>
      <c r="D2576" s="1" t="s">
        <v>89</v>
      </c>
      <c r="E2576" s="1" t="s">
        <v>13166</v>
      </c>
      <c r="F2576" s="1" t="s">
        <v>273</v>
      </c>
      <c r="G2576" s="1" t="s">
        <v>13167</v>
      </c>
      <c r="H2576" s="1">
        <v>1</v>
      </c>
      <c r="I2576" s="1" t="s">
        <v>157</v>
      </c>
      <c r="L2576" s="1" t="s">
        <v>158</v>
      </c>
      <c r="M2576" s="1" t="s">
        <v>9397</v>
      </c>
      <c r="N2576" s="1">
        <v>0</v>
      </c>
      <c r="O2576" s="1">
        <v>0</v>
      </c>
      <c r="R2576" s="1" t="s">
        <v>13168</v>
      </c>
      <c r="S2576" s="1" t="s">
        <v>13159</v>
      </c>
      <c r="T2576" s="1">
        <v>1</v>
      </c>
      <c r="U2576" s="1">
        <v>0</v>
      </c>
      <c r="V2576" s="1">
        <v>1</v>
      </c>
      <c r="W2576" s="1">
        <v>0</v>
      </c>
      <c r="X2576" s="1">
        <v>0</v>
      </c>
      <c r="Y2576" s="1" t="s">
        <v>104</v>
      </c>
      <c r="Z2576" s="1">
        <v>4</v>
      </c>
      <c r="AA2576" s="1">
        <v>4</v>
      </c>
      <c r="AB2576" s="1">
        <v>4</v>
      </c>
      <c r="AC2576" s="1" t="s">
        <v>104</v>
      </c>
      <c r="AD2576" s="1" t="s">
        <v>104</v>
      </c>
      <c r="AE2576" s="1">
        <v>3</v>
      </c>
      <c r="AF2576" s="1" t="s">
        <v>104</v>
      </c>
      <c r="AG2576" s="1" t="s">
        <v>104</v>
      </c>
      <c r="AH2576" s="1" t="s">
        <v>104</v>
      </c>
      <c r="AI2576" s="1" t="s">
        <v>104</v>
      </c>
      <c r="AJ2576" s="1">
        <v>4</v>
      </c>
      <c r="AK2576" s="1" t="s">
        <v>104</v>
      </c>
      <c r="AL2576" s="1" t="s">
        <v>104</v>
      </c>
      <c r="AM2576" s="1" t="s">
        <v>104</v>
      </c>
      <c r="AO2576" s="1">
        <v>4</v>
      </c>
      <c r="AR2576" s="1">
        <v>0</v>
      </c>
      <c r="AS2576" s="1">
        <v>0</v>
      </c>
      <c r="AT2576" s="1">
        <v>0</v>
      </c>
      <c r="AU2576" s="1">
        <v>0</v>
      </c>
      <c r="AV2576" s="1">
        <v>0</v>
      </c>
      <c r="AW2576" s="1">
        <v>0</v>
      </c>
      <c r="AX2576" s="1">
        <v>0</v>
      </c>
      <c r="AY2576" s="1">
        <v>0</v>
      </c>
      <c r="AZ2576" s="1">
        <v>0</v>
      </c>
      <c r="BA2576" s="1">
        <v>0</v>
      </c>
      <c r="BB2576" s="1">
        <v>0</v>
      </c>
      <c r="BC2576" s="1">
        <v>0</v>
      </c>
      <c r="BD2576" s="1">
        <v>0</v>
      </c>
      <c r="BE2576" s="1">
        <v>0</v>
      </c>
      <c r="BF2576" s="1">
        <v>0</v>
      </c>
      <c r="BG2576" s="1">
        <v>0</v>
      </c>
      <c r="BH2576" s="1">
        <v>0</v>
      </c>
      <c r="BI2576" s="1">
        <v>0</v>
      </c>
      <c r="BJ2576" s="1">
        <v>0</v>
      </c>
      <c r="BK2576" s="1">
        <v>0</v>
      </c>
      <c r="BL2576" s="1">
        <v>0</v>
      </c>
      <c r="BM2576" s="1">
        <v>0</v>
      </c>
      <c r="BN2576" s="1">
        <v>0</v>
      </c>
      <c r="BO2576" s="1">
        <v>0</v>
      </c>
      <c r="BP2576" s="1">
        <v>0</v>
      </c>
      <c r="BQ2576" s="1" t="s">
        <v>104</v>
      </c>
      <c r="BR2576" s="1">
        <v>2709</v>
      </c>
      <c r="BS2576" s="1">
        <v>400</v>
      </c>
      <c r="BX2576" s="1">
        <v>0</v>
      </c>
      <c r="BY2576" s="1" t="s">
        <v>104</v>
      </c>
      <c r="BZ2576" s="1">
        <v>4</v>
      </c>
      <c r="CA2576" s="1" t="s">
        <v>104</v>
      </c>
      <c r="CB2576" s="1" t="s">
        <v>104</v>
      </c>
      <c r="CC2576" s="1" t="s">
        <v>104</v>
      </c>
      <c r="CD2576" s="1" t="s">
        <v>104</v>
      </c>
      <c r="CE2576" s="1" t="s">
        <v>104</v>
      </c>
      <c r="CF2576" s="1" t="s">
        <v>104</v>
      </c>
      <c r="CG2576" s="1" t="s">
        <v>104</v>
      </c>
      <c r="CH2576" s="1">
        <v>4</v>
      </c>
      <c r="CJ2576" s="1">
        <v>0</v>
      </c>
      <c r="CK2576" s="1">
        <v>0</v>
      </c>
      <c r="CL2576" s="1">
        <v>1</v>
      </c>
      <c r="CM2576" s="1" t="s">
        <v>104</v>
      </c>
    </row>
    <row r="2577" spans="1:91" ht="14.25" customHeight="1" x14ac:dyDescent="0.3">
      <c r="A2577" s="1" t="s">
        <v>13169</v>
      </c>
      <c r="B2577" s="1" t="s">
        <v>162</v>
      </c>
      <c r="D2577" s="1" t="s">
        <v>89</v>
      </c>
      <c r="E2577" s="1" t="s">
        <v>13170</v>
      </c>
      <c r="F2577" s="1" t="s">
        <v>273</v>
      </c>
      <c r="G2577" s="1" t="s">
        <v>13171</v>
      </c>
      <c r="H2577" s="1">
        <v>1</v>
      </c>
      <c r="I2577" s="1" t="s">
        <v>157</v>
      </c>
      <c r="L2577" s="1" t="s">
        <v>158</v>
      </c>
      <c r="M2577" s="1" t="s">
        <v>9397</v>
      </c>
      <c r="N2577" s="1">
        <v>0</v>
      </c>
      <c r="O2577" s="1">
        <v>0</v>
      </c>
      <c r="R2577" s="1" t="s">
        <v>13172</v>
      </c>
      <c r="S2577" s="1" t="s">
        <v>13159</v>
      </c>
      <c r="T2577" s="1">
        <v>1</v>
      </c>
      <c r="U2577" s="1">
        <v>0</v>
      </c>
      <c r="V2577" s="1">
        <v>1</v>
      </c>
      <c r="W2577" s="1">
        <v>0</v>
      </c>
      <c r="X2577" s="1">
        <v>0</v>
      </c>
      <c r="Y2577" s="1" t="s">
        <v>104</v>
      </c>
      <c r="Z2577" s="1" t="s">
        <v>104</v>
      </c>
      <c r="AA2577" s="1">
        <v>1</v>
      </c>
      <c r="AB2577" s="1">
        <v>1</v>
      </c>
      <c r="AC2577" s="1">
        <v>1</v>
      </c>
      <c r="AD2577" s="1" t="s">
        <v>104</v>
      </c>
      <c r="AE2577" s="1">
        <v>1</v>
      </c>
      <c r="AF2577" s="1" t="s">
        <v>104</v>
      </c>
      <c r="AG2577" s="1" t="s">
        <v>104</v>
      </c>
      <c r="AH2577" s="1" t="s">
        <v>104</v>
      </c>
      <c r="AI2577" s="1" t="s">
        <v>104</v>
      </c>
      <c r="AJ2577" s="1">
        <v>1</v>
      </c>
      <c r="AK2577" s="1" t="s">
        <v>104</v>
      </c>
      <c r="AL2577" s="1" t="s">
        <v>104</v>
      </c>
      <c r="AM2577" s="1" t="s">
        <v>104</v>
      </c>
      <c r="AO2577" s="1">
        <v>1</v>
      </c>
      <c r="AR2577" s="1">
        <v>0</v>
      </c>
      <c r="AS2577" s="1">
        <v>0</v>
      </c>
      <c r="AT2577" s="1">
        <v>0</v>
      </c>
      <c r="AU2577" s="1">
        <v>0</v>
      </c>
      <c r="AV2577" s="1">
        <v>0</v>
      </c>
      <c r="AW2577" s="1">
        <v>0</v>
      </c>
      <c r="AX2577" s="1">
        <v>0</v>
      </c>
      <c r="AY2577" s="1">
        <v>0</v>
      </c>
      <c r="AZ2577" s="1">
        <v>0</v>
      </c>
      <c r="BA2577" s="1">
        <v>0</v>
      </c>
      <c r="BB2577" s="1">
        <v>0</v>
      </c>
      <c r="BC2577" s="1">
        <v>0</v>
      </c>
      <c r="BD2577" s="1">
        <v>0</v>
      </c>
      <c r="BE2577" s="1">
        <v>0</v>
      </c>
      <c r="BF2577" s="1">
        <v>0</v>
      </c>
      <c r="BG2577" s="1">
        <v>0</v>
      </c>
      <c r="BH2577" s="1">
        <v>0</v>
      </c>
      <c r="BI2577" s="1">
        <v>0</v>
      </c>
      <c r="BJ2577" s="1">
        <v>0</v>
      </c>
      <c r="BK2577" s="1">
        <v>0</v>
      </c>
      <c r="BL2577" s="1">
        <v>0</v>
      </c>
      <c r="BM2577" s="1">
        <v>0</v>
      </c>
      <c r="BN2577" s="1">
        <v>0</v>
      </c>
      <c r="BO2577" s="1">
        <v>0</v>
      </c>
      <c r="BP2577" s="1">
        <v>0</v>
      </c>
      <c r="BQ2577" s="1" t="s">
        <v>104</v>
      </c>
      <c r="BR2577" s="1">
        <v>2710</v>
      </c>
      <c r="BS2577" s="1">
        <v>100</v>
      </c>
      <c r="BX2577" s="1">
        <v>0</v>
      </c>
      <c r="BY2577" s="1" t="s">
        <v>104</v>
      </c>
      <c r="BZ2577" s="1">
        <v>1</v>
      </c>
      <c r="CA2577" s="1" t="s">
        <v>104</v>
      </c>
      <c r="CB2577" s="1" t="s">
        <v>104</v>
      </c>
      <c r="CC2577" s="1" t="s">
        <v>104</v>
      </c>
      <c r="CD2577" s="1" t="s">
        <v>104</v>
      </c>
      <c r="CE2577" s="1" t="s">
        <v>104</v>
      </c>
      <c r="CF2577" s="1" t="s">
        <v>104</v>
      </c>
      <c r="CG2577" s="1" t="s">
        <v>104</v>
      </c>
      <c r="CH2577" s="1">
        <v>1</v>
      </c>
      <c r="CJ2577" s="1">
        <v>0</v>
      </c>
      <c r="CK2577" s="1">
        <v>0</v>
      </c>
      <c r="CL2577" s="1">
        <v>1</v>
      </c>
      <c r="CM2577" s="1" t="s">
        <v>104</v>
      </c>
    </row>
    <row r="2578" spans="1:91" ht="14.25" customHeight="1" x14ac:dyDescent="0.3">
      <c r="A2578" s="1" t="s">
        <v>13173</v>
      </c>
      <c r="B2578" s="1" t="s">
        <v>162</v>
      </c>
      <c r="D2578" s="1" t="s">
        <v>89</v>
      </c>
      <c r="E2578" s="1" t="s">
        <v>13174</v>
      </c>
      <c r="F2578" s="1" t="s">
        <v>273</v>
      </c>
      <c r="G2578" s="1" t="s">
        <v>13171</v>
      </c>
      <c r="H2578" s="1">
        <v>1</v>
      </c>
      <c r="I2578" s="1" t="s">
        <v>157</v>
      </c>
      <c r="L2578" s="1" t="s">
        <v>158</v>
      </c>
      <c r="M2578" s="1" t="s">
        <v>9397</v>
      </c>
      <c r="N2578" s="1">
        <v>0</v>
      </c>
      <c r="O2578" s="1">
        <v>0</v>
      </c>
      <c r="R2578" s="1" t="s">
        <v>13175</v>
      </c>
      <c r="S2578" s="1" t="s">
        <v>13159</v>
      </c>
      <c r="T2578" s="1">
        <v>1</v>
      </c>
      <c r="U2578" s="1">
        <v>0</v>
      </c>
      <c r="V2578" s="1">
        <v>1</v>
      </c>
      <c r="W2578" s="1">
        <v>0</v>
      </c>
      <c r="X2578" s="1">
        <v>0</v>
      </c>
      <c r="Y2578" s="1" t="s">
        <v>104</v>
      </c>
      <c r="Z2578" s="1">
        <v>1</v>
      </c>
      <c r="AA2578" s="1">
        <v>1</v>
      </c>
      <c r="AB2578" s="1">
        <v>1</v>
      </c>
      <c r="AC2578" s="1" t="s">
        <v>104</v>
      </c>
      <c r="AD2578" s="1" t="s">
        <v>104</v>
      </c>
      <c r="AE2578" s="1" t="s">
        <v>104</v>
      </c>
      <c r="AF2578" s="1" t="s">
        <v>104</v>
      </c>
      <c r="AG2578" s="1" t="s">
        <v>104</v>
      </c>
      <c r="AH2578" s="1" t="s">
        <v>104</v>
      </c>
      <c r="AI2578" s="1" t="s">
        <v>104</v>
      </c>
      <c r="AJ2578" s="1">
        <v>1</v>
      </c>
      <c r="AK2578" s="1" t="s">
        <v>104</v>
      </c>
      <c r="AL2578" s="1" t="s">
        <v>104</v>
      </c>
      <c r="AM2578" s="1" t="s">
        <v>104</v>
      </c>
      <c r="AO2578" s="1">
        <v>1</v>
      </c>
      <c r="AR2578" s="1">
        <v>0</v>
      </c>
      <c r="AS2578" s="1">
        <v>0</v>
      </c>
      <c r="AT2578" s="1">
        <v>0</v>
      </c>
      <c r="AU2578" s="1">
        <v>0</v>
      </c>
      <c r="AV2578" s="1">
        <v>0</v>
      </c>
      <c r="AW2578" s="1">
        <v>0</v>
      </c>
      <c r="AX2578" s="1">
        <v>0</v>
      </c>
      <c r="AY2578" s="1">
        <v>0</v>
      </c>
      <c r="AZ2578" s="1">
        <v>0</v>
      </c>
      <c r="BA2578" s="1">
        <v>0</v>
      </c>
      <c r="BB2578" s="1">
        <v>0</v>
      </c>
      <c r="BC2578" s="1">
        <v>0</v>
      </c>
      <c r="BD2578" s="1">
        <v>0</v>
      </c>
      <c r="BE2578" s="1">
        <v>0</v>
      </c>
      <c r="BF2578" s="1">
        <v>0</v>
      </c>
      <c r="BG2578" s="1">
        <v>0</v>
      </c>
      <c r="BH2578" s="1">
        <v>0</v>
      </c>
      <c r="BI2578" s="1">
        <v>0</v>
      </c>
      <c r="BJ2578" s="1">
        <v>0</v>
      </c>
      <c r="BK2578" s="1">
        <v>0</v>
      </c>
      <c r="BL2578" s="1">
        <v>0</v>
      </c>
      <c r="BM2578" s="1">
        <v>0</v>
      </c>
      <c r="BN2578" s="1">
        <v>0</v>
      </c>
      <c r="BO2578" s="1">
        <v>0</v>
      </c>
      <c r="BP2578" s="1">
        <v>0</v>
      </c>
      <c r="BQ2578" s="1" t="s">
        <v>104</v>
      </c>
      <c r="BR2578" s="1">
        <v>2711</v>
      </c>
      <c r="BS2578" s="1">
        <v>100</v>
      </c>
      <c r="BX2578" s="1">
        <v>0</v>
      </c>
      <c r="BY2578" s="1" t="s">
        <v>104</v>
      </c>
      <c r="BZ2578" s="1">
        <v>1</v>
      </c>
      <c r="CA2578" s="1" t="s">
        <v>104</v>
      </c>
      <c r="CB2578" s="1" t="s">
        <v>104</v>
      </c>
      <c r="CC2578" s="1" t="s">
        <v>104</v>
      </c>
      <c r="CD2578" s="1" t="s">
        <v>104</v>
      </c>
      <c r="CE2578" s="1" t="s">
        <v>104</v>
      </c>
      <c r="CF2578" s="1" t="s">
        <v>104</v>
      </c>
      <c r="CG2578" s="1" t="s">
        <v>104</v>
      </c>
      <c r="CH2578" s="1">
        <v>1</v>
      </c>
      <c r="CJ2578" s="1">
        <v>0</v>
      </c>
      <c r="CK2578" s="1">
        <v>0</v>
      </c>
      <c r="CL2578" s="1">
        <v>1</v>
      </c>
      <c r="CM2578" s="1" t="s">
        <v>104</v>
      </c>
    </row>
    <row r="2579" spans="1:91" ht="14.25" customHeight="1" x14ac:dyDescent="0.3">
      <c r="A2579" s="1" t="s">
        <v>13176</v>
      </c>
      <c r="B2579" s="1" t="s">
        <v>172</v>
      </c>
      <c r="D2579" s="1" t="s">
        <v>89</v>
      </c>
      <c r="E2579" s="1" t="s">
        <v>13177</v>
      </c>
      <c r="F2579" s="1" t="s">
        <v>273</v>
      </c>
      <c r="G2579" s="1" t="s">
        <v>13178</v>
      </c>
      <c r="H2579" s="1">
        <v>1</v>
      </c>
      <c r="I2579" s="1" t="s">
        <v>157</v>
      </c>
      <c r="L2579" s="1" t="s">
        <v>158</v>
      </c>
      <c r="M2579" s="1" t="s">
        <v>9397</v>
      </c>
      <c r="N2579" s="1">
        <v>0</v>
      </c>
      <c r="O2579" s="1">
        <v>0</v>
      </c>
      <c r="R2579" s="1" t="s">
        <v>13179</v>
      </c>
      <c r="S2579" s="1" t="s">
        <v>13159</v>
      </c>
      <c r="T2579" s="1">
        <v>1</v>
      </c>
      <c r="U2579" s="1">
        <v>0</v>
      </c>
      <c r="V2579" s="1">
        <v>1</v>
      </c>
      <c r="W2579" s="1">
        <v>0</v>
      </c>
      <c r="X2579" s="1">
        <v>0</v>
      </c>
      <c r="Y2579" s="1" t="s">
        <v>104</v>
      </c>
      <c r="Z2579" s="1">
        <v>3</v>
      </c>
      <c r="AA2579" s="1">
        <v>3</v>
      </c>
      <c r="AB2579" s="1" t="s">
        <v>104</v>
      </c>
      <c r="AC2579" s="1" t="s">
        <v>104</v>
      </c>
      <c r="AD2579" s="1" t="s">
        <v>104</v>
      </c>
      <c r="AE2579" s="1" t="s">
        <v>104</v>
      </c>
      <c r="AF2579" s="1" t="s">
        <v>104</v>
      </c>
      <c r="AG2579" s="1" t="s">
        <v>104</v>
      </c>
      <c r="AH2579" s="1">
        <v>3</v>
      </c>
      <c r="AI2579" s="1" t="s">
        <v>104</v>
      </c>
      <c r="AJ2579" s="1">
        <v>3</v>
      </c>
      <c r="AK2579" s="1" t="s">
        <v>104</v>
      </c>
      <c r="AL2579" s="1" t="s">
        <v>104</v>
      </c>
      <c r="AM2579" s="1" t="s">
        <v>104</v>
      </c>
      <c r="AO2579" s="1">
        <v>3</v>
      </c>
      <c r="AR2579" s="1">
        <v>0</v>
      </c>
      <c r="AS2579" s="1">
        <v>0</v>
      </c>
      <c r="AT2579" s="1">
        <v>0</v>
      </c>
      <c r="AU2579" s="1">
        <v>0</v>
      </c>
      <c r="AV2579" s="1">
        <v>0</v>
      </c>
      <c r="AW2579" s="1">
        <v>0</v>
      </c>
      <c r="AX2579" s="1">
        <v>0</v>
      </c>
      <c r="AY2579" s="1">
        <v>0</v>
      </c>
      <c r="AZ2579" s="1">
        <v>0</v>
      </c>
      <c r="BA2579" s="1">
        <v>0</v>
      </c>
      <c r="BB2579" s="1">
        <v>0</v>
      </c>
      <c r="BC2579" s="1">
        <v>0</v>
      </c>
      <c r="BD2579" s="1">
        <v>0</v>
      </c>
      <c r="BE2579" s="1">
        <v>0</v>
      </c>
      <c r="BF2579" s="1">
        <v>0</v>
      </c>
      <c r="BG2579" s="1">
        <v>0</v>
      </c>
      <c r="BH2579" s="1">
        <v>0</v>
      </c>
      <c r="BI2579" s="1">
        <v>0</v>
      </c>
      <c r="BJ2579" s="1">
        <v>0</v>
      </c>
      <c r="BK2579" s="1">
        <v>0</v>
      </c>
      <c r="BL2579" s="1">
        <v>0</v>
      </c>
      <c r="BM2579" s="1">
        <v>0</v>
      </c>
      <c r="BN2579" s="1">
        <v>0</v>
      </c>
      <c r="BO2579" s="1">
        <v>0</v>
      </c>
      <c r="BP2579" s="1">
        <v>0</v>
      </c>
      <c r="BQ2579" s="1" t="s">
        <v>104</v>
      </c>
      <c r="BR2579" s="1">
        <v>2712</v>
      </c>
      <c r="BS2579" s="1">
        <v>300</v>
      </c>
      <c r="BX2579" s="1">
        <v>0</v>
      </c>
      <c r="BY2579" s="1" t="s">
        <v>104</v>
      </c>
      <c r="BZ2579" s="1">
        <v>3</v>
      </c>
      <c r="CA2579" s="1" t="s">
        <v>104</v>
      </c>
      <c r="CB2579" s="1" t="s">
        <v>104</v>
      </c>
      <c r="CC2579" s="1" t="s">
        <v>104</v>
      </c>
      <c r="CD2579" s="1" t="s">
        <v>104</v>
      </c>
      <c r="CE2579" s="1" t="s">
        <v>104</v>
      </c>
      <c r="CF2579" s="1" t="s">
        <v>104</v>
      </c>
      <c r="CG2579" s="1" t="s">
        <v>104</v>
      </c>
      <c r="CH2579" s="1" t="s">
        <v>104</v>
      </c>
      <c r="CJ2579" s="1">
        <v>0</v>
      </c>
      <c r="CK2579" s="1">
        <v>0</v>
      </c>
      <c r="CL2579" s="1">
        <v>1</v>
      </c>
      <c r="CM2579" s="1" t="s">
        <v>104</v>
      </c>
    </row>
    <row r="2580" spans="1:91" ht="14.25" customHeight="1" x14ac:dyDescent="0.3">
      <c r="A2580" s="1" t="s">
        <v>13180</v>
      </c>
      <c r="B2580" s="1" t="s">
        <v>172</v>
      </c>
      <c r="D2580" s="1" t="s">
        <v>89</v>
      </c>
      <c r="E2580" s="1" t="s">
        <v>13177</v>
      </c>
      <c r="F2580" s="1" t="s">
        <v>273</v>
      </c>
      <c r="G2580" s="1" t="s">
        <v>13178</v>
      </c>
      <c r="H2580" s="1">
        <v>1</v>
      </c>
      <c r="I2580" s="1" t="s">
        <v>157</v>
      </c>
      <c r="L2580" s="1" t="s">
        <v>13181</v>
      </c>
      <c r="M2580" s="1" t="s">
        <v>9397</v>
      </c>
      <c r="N2580" s="1">
        <v>0</v>
      </c>
      <c r="O2580" s="1">
        <v>0</v>
      </c>
      <c r="R2580" s="1" t="s">
        <v>13182</v>
      </c>
      <c r="S2580" s="1" t="s">
        <v>13159</v>
      </c>
      <c r="T2580" s="1">
        <v>1</v>
      </c>
      <c r="U2580" s="1">
        <v>0</v>
      </c>
      <c r="V2580" s="1">
        <v>1</v>
      </c>
      <c r="W2580" s="1">
        <v>0</v>
      </c>
      <c r="X2580" s="1">
        <v>0</v>
      </c>
      <c r="Y2580" s="1" t="s">
        <v>104</v>
      </c>
      <c r="Z2580" s="1">
        <v>3</v>
      </c>
      <c r="AA2580" s="1">
        <v>3</v>
      </c>
      <c r="AB2580" s="1" t="s">
        <v>104</v>
      </c>
      <c r="AC2580" s="1" t="s">
        <v>104</v>
      </c>
      <c r="AD2580" s="1" t="s">
        <v>104</v>
      </c>
      <c r="AE2580" s="1" t="s">
        <v>104</v>
      </c>
      <c r="AF2580" s="1" t="s">
        <v>104</v>
      </c>
      <c r="AG2580" s="1" t="s">
        <v>104</v>
      </c>
      <c r="AH2580" s="1">
        <v>3</v>
      </c>
      <c r="AI2580" s="1" t="s">
        <v>104</v>
      </c>
      <c r="AJ2580" s="1">
        <v>3</v>
      </c>
      <c r="AK2580" s="1" t="s">
        <v>104</v>
      </c>
      <c r="AL2580" s="1" t="s">
        <v>104</v>
      </c>
      <c r="AM2580" s="1" t="s">
        <v>104</v>
      </c>
      <c r="AO2580" s="1">
        <v>3</v>
      </c>
      <c r="AR2580" s="1">
        <v>0</v>
      </c>
      <c r="AS2580" s="1">
        <v>0</v>
      </c>
      <c r="AT2580" s="1">
        <v>0</v>
      </c>
      <c r="AU2580" s="1">
        <v>0</v>
      </c>
      <c r="AV2580" s="1">
        <v>0</v>
      </c>
      <c r="AW2580" s="1">
        <v>0</v>
      </c>
      <c r="AX2580" s="1">
        <v>0</v>
      </c>
      <c r="AY2580" s="1">
        <v>0</v>
      </c>
      <c r="AZ2580" s="1">
        <v>0</v>
      </c>
      <c r="BA2580" s="1">
        <v>0</v>
      </c>
      <c r="BB2580" s="1">
        <v>0</v>
      </c>
      <c r="BC2580" s="1">
        <v>0</v>
      </c>
      <c r="BD2580" s="1">
        <v>0</v>
      </c>
      <c r="BE2580" s="1">
        <v>0</v>
      </c>
      <c r="BF2580" s="1">
        <v>0</v>
      </c>
      <c r="BG2580" s="1">
        <v>0</v>
      </c>
      <c r="BH2580" s="1">
        <v>0</v>
      </c>
      <c r="BI2580" s="1">
        <v>0</v>
      </c>
      <c r="BJ2580" s="1">
        <v>0</v>
      </c>
      <c r="BK2580" s="1">
        <v>0</v>
      </c>
      <c r="BL2580" s="1">
        <v>0</v>
      </c>
      <c r="BM2580" s="1">
        <v>0</v>
      </c>
      <c r="BN2580" s="1">
        <v>0</v>
      </c>
      <c r="BO2580" s="1">
        <v>0</v>
      </c>
      <c r="BP2580" s="1">
        <v>0</v>
      </c>
      <c r="BQ2580" s="1" t="s">
        <v>104</v>
      </c>
      <c r="BR2580" s="1">
        <v>2713</v>
      </c>
      <c r="BS2580" s="1">
        <v>300</v>
      </c>
      <c r="BX2580" s="1">
        <v>0</v>
      </c>
      <c r="BY2580" s="1" t="s">
        <v>104</v>
      </c>
      <c r="BZ2580" s="1">
        <v>3</v>
      </c>
      <c r="CA2580" s="1" t="s">
        <v>104</v>
      </c>
      <c r="CB2580" s="1" t="s">
        <v>104</v>
      </c>
      <c r="CC2580" s="1" t="s">
        <v>104</v>
      </c>
      <c r="CD2580" s="1" t="s">
        <v>104</v>
      </c>
      <c r="CE2580" s="1" t="s">
        <v>104</v>
      </c>
      <c r="CF2580" s="1" t="s">
        <v>104</v>
      </c>
      <c r="CG2580" s="1" t="s">
        <v>104</v>
      </c>
      <c r="CH2580" s="1" t="s">
        <v>104</v>
      </c>
      <c r="CJ2580" s="1">
        <v>0</v>
      </c>
      <c r="CK2580" s="1">
        <v>0</v>
      </c>
      <c r="CL2580" s="1">
        <v>1</v>
      </c>
      <c r="CM2580" s="1" t="s">
        <v>104</v>
      </c>
    </row>
    <row r="2581" spans="1:91" ht="14.25" customHeight="1" x14ac:dyDescent="0.3">
      <c r="A2581" s="1" t="s">
        <v>13183</v>
      </c>
      <c r="B2581" s="1" t="s">
        <v>137</v>
      </c>
      <c r="D2581" s="1" t="s">
        <v>89</v>
      </c>
      <c r="E2581" s="1" t="s">
        <v>13184</v>
      </c>
      <c r="F2581" s="1" t="s">
        <v>273</v>
      </c>
      <c r="G2581" s="1" t="s">
        <v>13185</v>
      </c>
      <c r="H2581" s="1">
        <v>1</v>
      </c>
      <c r="I2581" s="1" t="s">
        <v>157</v>
      </c>
      <c r="L2581" s="1" t="s">
        <v>158</v>
      </c>
      <c r="M2581" s="1" t="s">
        <v>9397</v>
      </c>
      <c r="N2581" s="1">
        <v>0</v>
      </c>
      <c r="O2581" s="1">
        <v>0</v>
      </c>
      <c r="R2581" s="1" t="s">
        <v>13186</v>
      </c>
      <c r="S2581" s="1" t="s">
        <v>13159</v>
      </c>
      <c r="T2581" s="1">
        <v>1</v>
      </c>
      <c r="U2581" s="1">
        <v>0</v>
      </c>
      <c r="V2581" s="1">
        <v>1</v>
      </c>
      <c r="W2581" s="1">
        <v>0</v>
      </c>
      <c r="X2581" s="1">
        <v>0</v>
      </c>
      <c r="Y2581" s="1" t="s">
        <v>104</v>
      </c>
      <c r="Z2581" s="1">
        <v>2</v>
      </c>
      <c r="AA2581" s="1">
        <v>2</v>
      </c>
      <c r="AB2581" s="1">
        <v>2</v>
      </c>
      <c r="AC2581" s="1">
        <v>2</v>
      </c>
      <c r="AD2581" s="1" t="s">
        <v>104</v>
      </c>
      <c r="AE2581" s="1" t="s">
        <v>104</v>
      </c>
      <c r="AF2581" s="1" t="s">
        <v>104</v>
      </c>
      <c r="AG2581" s="1" t="s">
        <v>104</v>
      </c>
      <c r="AH2581" s="1" t="s">
        <v>104</v>
      </c>
      <c r="AI2581" s="1" t="s">
        <v>104</v>
      </c>
      <c r="AJ2581" s="1">
        <v>2</v>
      </c>
      <c r="AK2581" s="1" t="s">
        <v>104</v>
      </c>
      <c r="AL2581" s="1">
        <v>2</v>
      </c>
      <c r="AM2581" s="1" t="s">
        <v>104</v>
      </c>
      <c r="AO2581" s="1">
        <v>2</v>
      </c>
      <c r="AR2581" s="1">
        <v>0</v>
      </c>
      <c r="AS2581" s="1">
        <v>0</v>
      </c>
      <c r="AT2581" s="1">
        <v>0</v>
      </c>
      <c r="AU2581" s="1">
        <v>0</v>
      </c>
      <c r="AV2581" s="1">
        <v>0</v>
      </c>
      <c r="AW2581" s="1">
        <v>0</v>
      </c>
      <c r="AX2581" s="1">
        <v>0</v>
      </c>
      <c r="AY2581" s="1">
        <v>0</v>
      </c>
      <c r="AZ2581" s="1">
        <v>0</v>
      </c>
      <c r="BA2581" s="1">
        <v>0</v>
      </c>
      <c r="BB2581" s="1">
        <v>0</v>
      </c>
      <c r="BC2581" s="1">
        <v>0</v>
      </c>
      <c r="BD2581" s="1">
        <v>0</v>
      </c>
      <c r="BE2581" s="1">
        <v>0</v>
      </c>
      <c r="BF2581" s="1">
        <v>0</v>
      </c>
      <c r="BG2581" s="1">
        <v>0</v>
      </c>
      <c r="BH2581" s="1">
        <v>0</v>
      </c>
      <c r="BI2581" s="1">
        <v>0</v>
      </c>
      <c r="BJ2581" s="1">
        <v>0</v>
      </c>
      <c r="BK2581" s="1">
        <v>0</v>
      </c>
      <c r="BL2581" s="1">
        <v>0</v>
      </c>
      <c r="BM2581" s="1">
        <v>0</v>
      </c>
      <c r="BN2581" s="1">
        <v>0</v>
      </c>
      <c r="BO2581" s="1">
        <v>0</v>
      </c>
      <c r="BP2581" s="1">
        <v>0</v>
      </c>
      <c r="BQ2581" s="1" t="s">
        <v>104</v>
      </c>
      <c r="BR2581" s="1">
        <v>2714</v>
      </c>
      <c r="BS2581" s="1">
        <v>200</v>
      </c>
      <c r="BX2581" s="1">
        <v>0</v>
      </c>
      <c r="BY2581" s="1" t="s">
        <v>104</v>
      </c>
      <c r="BZ2581" s="1">
        <v>2</v>
      </c>
      <c r="CA2581" s="1" t="s">
        <v>104</v>
      </c>
      <c r="CB2581" s="1" t="s">
        <v>104</v>
      </c>
      <c r="CC2581" s="1" t="s">
        <v>104</v>
      </c>
      <c r="CD2581" s="1" t="s">
        <v>104</v>
      </c>
      <c r="CE2581" s="1" t="s">
        <v>104</v>
      </c>
      <c r="CF2581" s="1" t="s">
        <v>104</v>
      </c>
      <c r="CG2581" s="1" t="s">
        <v>104</v>
      </c>
      <c r="CH2581" s="1">
        <v>2</v>
      </c>
      <c r="CJ2581" s="1">
        <v>0</v>
      </c>
      <c r="CK2581" s="1">
        <v>0</v>
      </c>
      <c r="CL2581" s="1">
        <v>1</v>
      </c>
      <c r="CM2581" s="1" t="s">
        <v>104</v>
      </c>
    </row>
    <row r="2582" spans="1:91" ht="14.25" customHeight="1" x14ac:dyDescent="0.3">
      <c r="A2582" s="1" t="s">
        <v>13187</v>
      </c>
      <c r="B2582" s="1" t="s">
        <v>137</v>
      </c>
      <c r="D2582" s="1" t="s">
        <v>89</v>
      </c>
      <c r="E2582" s="1" t="s">
        <v>13188</v>
      </c>
      <c r="F2582" s="1" t="s">
        <v>273</v>
      </c>
      <c r="G2582" s="1" t="s">
        <v>13185</v>
      </c>
      <c r="H2582" s="1">
        <v>1</v>
      </c>
      <c r="I2582" s="1" t="s">
        <v>157</v>
      </c>
      <c r="L2582" s="1" t="s">
        <v>158</v>
      </c>
      <c r="M2582" s="1" t="s">
        <v>9397</v>
      </c>
      <c r="N2582" s="1">
        <v>0</v>
      </c>
      <c r="O2582" s="1">
        <v>0</v>
      </c>
      <c r="R2582" s="1" t="s">
        <v>13189</v>
      </c>
      <c r="S2582" s="1" t="s">
        <v>13159</v>
      </c>
      <c r="T2582" s="1">
        <v>1</v>
      </c>
      <c r="U2582" s="1">
        <v>0</v>
      </c>
      <c r="V2582" s="1">
        <v>1</v>
      </c>
      <c r="W2582" s="1">
        <v>0</v>
      </c>
      <c r="X2582" s="1">
        <v>0</v>
      </c>
      <c r="Y2582" s="1" t="s">
        <v>104</v>
      </c>
      <c r="Z2582" s="1">
        <v>2</v>
      </c>
      <c r="AA2582" s="1">
        <v>2</v>
      </c>
      <c r="AB2582" s="1" t="s">
        <v>104</v>
      </c>
      <c r="AC2582" s="1" t="s">
        <v>104</v>
      </c>
      <c r="AD2582" s="1" t="s">
        <v>104</v>
      </c>
      <c r="AE2582" s="1" t="s">
        <v>104</v>
      </c>
      <c r="AF2582" s="1" t="s">
        <v>104</v>
      </c>
      <c r="AG2582" s="1" t="s">
        <v>104</v>
      </c>
      <c r="AH2582" s="1" t="s">
        <v>104</v>
      </c>
      <c r="AI2582" s="1" t="s">
        <v>104</v>
      </c>
      <c r="AJ2582" s="1">
        <v>2</v>
      </c>
      <c r="AK2582" s="1" t="s">
        <v>104</v>
      </c>
      <c r="AL2582" s="1" t="s">
        <v>104</v>
      </c>
      <c r="AM2582" s="1" t="s">
        <v>104</v>
      </c>
      <c r="AO2582" s="1">
        <v>2</v>
      </c>
      <c r="AR2582" s="1">
        <v>0</v>
      </c>
      <c r="AS2582" s="1">
        <v>0</v>
      </c>
      <c r="AT2582" s="1">
        <v>0</v>
      </c>
      <c r="AU2582" s="1">
        <v>0</v>
      </c>
      <c r="AV2582" s="1">
        <v>0</v>
      </c>
      <c r="AW2582" s="1">
        <v>0</v>
      </c>
      <c r="AX2582" s="1">
        <v>0</v>
      </c>
      <c r="AY2582" s="1">
        <v>0</v>
      </c>
      <c r="AZ2582" s="1">
        <v>0</v>
      </c>
      <c r="BA2582" s="1">
        <v>0</v>
      </c>
      <c r="BB2582" s="1">
        <v>0</v>
      </c>
      <c r="BC2582" s="1">
        <v>0</v>
      </c>
      <c r="BD2582" s="1">
        <v>0</v>
      </c>
      <c r="BE2582" s="1">
        <v>0</v>
      </c>
      <c r="BF2582" s="1">
        <v>0</v>
      </c>
      <c r="BG2582" s="1">
        <v>0</v>
      </c>
      <c r="BH2582" s="1">
        <v>0</v>
      </c>
      <c r="BI2582" s="1">
        <v>0</v>
      </c>
      <c r="BJ2582" s="1">
        <v>0</v>
      </c>
      <c r="BK2582" s="1">
        <v>0</v>
      </c>
      <c r="BL2582" s="1">
        <v>0</v>
      </c>
      <c r="BM2582" s="1">
        <v>0</v>
      </c>
      <c r="BN2582" s="1">
        <v>0</v>
      </c>
      <c r="BO2582" s="1">
        <v>0</v>
      </c>
      <c r="BP2582" s="1">
        <v>0</v>
      </c>
      <c r="BQ2582" s="1" t="s">
        <v>104</v>
      </c>
      <c r="BR2582" s="1">
        <v>2715</v>
      </c>
      <c r="BS2582" s="1">
        <v>200</v>
      </c>
      <c r="BX2582" s="1">
        <v>0</v>
      </c>
      <c r="BY2582" s="1" t="s">
        <v>104</v>
      </c>
      <c r="BZ2582" s="1">
        <v>2</v>
      </c>
      <c r="CA2582" s="1" t="s">
        <v>104</v>
      </c>
      <c r="CB2582" s="1" t="s">
        <v>104</v>
      </c>
      <c r="CC2582" s="1" t="s">
        <v>104</v>
      </c>
      <c r="CD2582" s="1" t="s">
        <v>104</v>
      </c>
      <c r="CE2582" s="1" t="s">
        <v>104</v>
      </c>
      <c r="CF2582" s="1" t="s">
        <v>104</v>
      </c>
      <c r="CG2582" s="1" t="s">
        <v>104</v>
      </c>
      <c r="CH2582" s="1" t="s">
        <v>104</v>
      </c>
      <c r="CJ2582" s="1">
        <v>0</v>
      </c>
      <c r="CK2582" s="1">
        <v>0</v>
      </c>
      <c r="CL2582" s="1">
        <v>1</v>
      </c>
      <c r="CM2582" s="1" t="s">
        <v>104</v>
      </c>
    </row>
    <row r="2583" spans="1:91" ht="14.25" customHeight="1" x14ac:dyDescent="0.3">
      <c r="A2583" s="1" t="s">
        <v>13190</v>
      </c>
      <c r="B2583" s="1" t="s">
        <v>123</v>
      </c>
      <c r="C2583" s="1" t="s">
        <v>124</v>
      </c>
      <c r="D2583" s="1" t="s">
        <v>125</v>
      </c>
      <c r="E2583" s="1" t="s">
        <v>13191</v>
      </c>
      <c r="F2583" s="1" t="s">
        <v>95</v>
      </c>
      <c r="G2583" s="1" t="s">
        <v>13192</v>
      </c>
      <c r="H2583" s="1">
        <v>0</v>
      </c>
      <c r="I2583" s="1" t="s">
        <v>109</v>
      </c>
      <c r="L2583" s="1" t="s">
        <v>785</v>
      </c>
      <c r="M2583" s="1" t="s">
        <v>111</v>
      </c>
      <c r="N2583" s="1">
        <v>0</v>
      </c>
      <c r="O2583" s="1">
        <v>0</v>
      </c>
      <c r="P2583" s="1" t="s">
        <v>211</v>
      </c>
      <c r="Q2583" s="1" t="s">
        <v>184</v>
      </c>
      <c r="R2583" s="1" t="s">
        <v>13193</v>
      </c>
      <c r="S2583" s="1" t="s">
        <v>13194</v>
      </c>
      <c r="T2583" s="1">
        <v>1</v>
      </c>
      <c r="U2583" s="1">
        <v>1</v>
      </c>
      <c r="V2583" s="1">
        <v>1</v>
      </c>
      <c r="W2583" s="1">
        <v>0</v>
      </c>
      <c r="X2583" s="1">
        <v>1</v>
      </c>
      <c r="Y2583" s="1" t="s">
        <v>104</v>
      </c>
      <c r="Z2583" s="1" t="s">
        <v>104</v>
      </c>
      <c r="AA2583" s="1">
        <v>4</v>
      </c>
      <c r="AB2583" s="1" t="s">
        <v>104</v>
      </c>
      <c r="AC2583" s="1" t="s">
        <v>104</v>
      </c>
      <c r="AD2583" s="1">
        <v>3</v>
      </c>
      <c r="AE2583" s="1" t="s">
        <v>104</v>
      </c>
      <c r="AF2583" s="1" t="s">
        <v>104</v>
      </c>
      <c r="AG2583" s="1" t="s">
        <v>104</v>
      </c>
      <c r="AH2583" s="1">
        <v>4</v>
      </c>
      <c r="AI2583" s="1" t="s">
        <v>104</v>
      </c>
      <c r="AJ2583" s="1">
        <v>4</v>
      </c>
      <c r="AK2583" s="1" t="s">
        <v>104</v>
      </c>
      <c r="AL2583" s="1" t="s">
        <v>104</v>
      </c>
      <c r="AM2583" s="1" t="s">
        <v>104</v>
      </c>
      <c r="AO2583" s="1">
        <v>4</v>
      </c>
      <c r="AR2583" s="1">
        <v>0</v>
      </c>
      <c r="AS2583" s="1">
        <v>0</v>
      </c>
      <c r="AT2583" s="1">
        <v>0</v>
      </c>
      <c r="AU2583" s="1">
        <v>0</v>
      </c>
      <c r="AV2583" s="1">
        <v>0</v>
      </c>
      <c r="AW2583" s="1">
        <v>0</v>
      </c>
      <c r="AX2583" s="1">
        <v>0</v>
      </c>
      <c r="AY2583" s="1">
        <v>0</v>
      </c>
      <c r="AZ2583" s="1">
        <v>0</v>
      </c>
      <c r="BA2583" s="1">
        <v>0</v>
      </c>
      <c r="BB2583" s="1">
        <v>0</v>
      </c>
      <c r="BC2583" s="1">
        <v>0</v>
      </c>
      <c r="BD2583" s="1">
        <v>0</v>
      </c>
      <c r="BE2583" s="1">
        <v>0</v>
      </c>
      <c r="BF2583" s="1">
        <v>0</v>
      </c>
      <c r="BG2583" s="1">
        <v>0</v>
      </c>
      <c r="BH2583" s="1">
        <v>0</v>
      </c>
      <c r="BI2583" s="1">
        <v>0</v>
      </c>
      <c r="BJ2583" s="1">
        <v>0</v>
      </c>
      <c r="BK2583" s="1">
        <v>1</v>
      </c>
      <c r="BL2583" s="1">
        <v>0</v>
      </c>
      <c r="BM2583" s="1">
        <v>0</v>
      </c>
      <c r="BN2583" s="1">
        <v>0</v>
      </c>
      <c r="BO2583" s="1">
        <v>0</v>
      </c>
      <c r="BP2583" s="1">
        <v>0</v>
      </c>
      <c r="BQ2583" s="1" t="s">
        <v>104</v>
      </c>
      <c r="BR2583" s="1">
        <v>2716</v>
      </c>
      <c r="BS2583" s="1" t="s">
        <v>104</v>
      </c>
      <c r="BX2583" s="1">
        <v>0</v>
      </c>
      <c r="BY2583" s="1" t="s">
        <v>104</v>
      </c>
      <c r="BZ2583" s="1" t="s">
        <v>104</v>
      </c>
      <c r="CA2583" s="1">
        <v>4</v>
      </c>
      <c r="CB2583" s="1" t="s">
        <v>104</v>
      </c>
      <c r="CC2583" s="1">
        <v>3</v>
      </c>
      <c r="CD2583" s="1" t="s">
        <v>104</v>
      </c>
      <c r="CE2583" s="1" t="s">
        <v>104</v>
      </c>
      <c r="CF2583" s="1" t="s">
        <v>104</v>
      </c>
      <c r="CG2583" s="1" t="s">
        <v>104</v>
      </c>
      <c r="CH2583" s="1" t="s">
        <v>104</v>
      </c>
      <c r="CJ2583" s="1">
        <v>0</v>
      </c>
      <c r="CK2583" s="1">
        <v>0</v>
      </c>
      <c r="CL2583" s="1">
        <v>0</v>
      </c>
      <c r="CM2583" s="1" t="s">
        <v>104</v>
      </c>
    </row>
    <row r="2584" spans="1:91" ht="14.25" customHeight="1" x14ac:dyDescent="0.3">
      <c r="A2584" s="1" t="s">
        <v>13195</v>
      </c>
      <c r="B2584" s="1" t="s">
        <v>137</v>
      </c>
      <c r="E2584" s="1" t="s">
        <v>13196</v>
      </c>
      <c r="F2584" s="1" t="s">
        <v>95</v>
      </c>
      <c r="G2584" s="1" t="s">
        <v>13197</v>
      </c>
      <c r="H2584" s="1">
        <v>0</v>
      </c>
      <c r="I2584" s="1" t="s">
        <v>117</v>
      </c>
      <c r="L2584" s="1" t="s">
        <v>1065</v>
      </c>
      <c r="M2584" s="1" t="s">
        <v>111</v>
      </c>
      <c r="N2584" s="1">
        <v>0</v>
      </c>
      <c r="O2584" s="1">
        <v>0</v>
      </c>
      <c r="P2584" s="1" t="s">
        <v>1058</v>
      </c>
      <c r="Q2584" s="1" t="s">
        <v>131</v>
      </c>
      <c r="R2584" s="1" t="s">
        <v>13198</v>
      </c>
      <c r="S2584" s="1" t="s">
        <v>13194</v>
      </c>
      <c r="T2584" s="1">
        <v>1</v>
      </c>
      <c r="U2584" s="1">
        <v>1</v>
      </c>
      <c r="V2584" s="1">
        <v>1</v>
      </c>
      <c r="W2584" s="1">
        <v>0</v>
      </c>
      <c r="X2584" s="1">
        <v>1</v>
      </c>
      <c r="Y2584" s="1" t="s">
        <v>104</v>
      </c>
      <c r="Z2584" s="1" t="s">
        <v>104</v>
      </c>
      <c r="AA2584" s="1">
        <v>2</v>
      </c>
      <c r="AB2584" s="1">
        <v>2</v>
      </c>
      <c r="AC2584" s="1">
        <v>2</v>
      </c>
      <c r="AD2584" s="1">
        <v>2</v>
      </c>
      <c r="AE2584" s="1" t="s">
        <v>104</v>
      </c>
      <c r="AF2584" s="1">
        <v>2</v>
      </c>
      <c r="AG2584" s="1">
        <v>2</v>
      </c>
      <c r="AH2584" s="1">
        <v>2</v>
      </c>
      <c r="AI2584" s="1" t="s">
        <v>104</v>
      </c>
      <c r="AJ2584" s="1">
        <v>2</v>
      </c>
      <c r="AK2584" s="1" t="s">
        <v>104</v>
      </c>
      <c r="AL2584" s="1" t="s">
        <v>104</v>
      </c>
      <c r="AM2584" s="1" t="s">
        <v>104</v>
      </c>
      <c r="AO2584" s="1">
        <v>2</v>
      </c>
      <c r="AR2584" s="1">
        <v>0</v>
      </c>
      <c r="AS2584" s="1">
        <v>0</v>
      </c>
      <c r="AT2584" s="1">
        <v>0</v>
      </c>
      <c r="AU2584" s="1">
        <v>0</v>
      </c>
      <c r="AV2584" s="1">
        <v>0</v>
      </c>
      <c r="AW2584" s="1">
        <v>0</v>
      </c>
      <c r="AX2584" s="1">
        <v>0</v>
      </c>
      <c r="AY2584" s="1">
        <v>0</v>
      </c>
      <c r="AZ2584" s="1">
        <v>0</v>
      </c>
      <c r="BA2584" s="1">
        <v>0</v>
      </c>
      <c r="BB2584" s="1">
        <v>0</v>
      </c>
      <c r="BC2584" s="1">
        <v>0</v>
      </c>
      <c r="BD2584" s="1">
        <v>0</v>
      </c>
      <c r="BE2584" s="1">
        <v>0</v>
      </c>
      <c r="BF2584" s="1">
        <v>0</v>
      </c>
      <c r="BG2584" s="1">
        <v>0</v>
      </c>
      <c r="BH2584" s="1">
        <v>0</v>
      </c>
      <c r="BI2584" s="1">
        <v>0</v>
      </c>
      <c r="BJ2584" s="1">
        <v>0</v>
      </c>
      <c r="BK2584" s="1">
        <v>0</v>
      </c>
      <c r="BL2584" s="1">
        <v>0</v>
      </c>
      <c r="BM2584" s="1">
        <v>0</v>
      </c>
      <c r="BN2584" s="1">
        <v>0</v>
      </c>
      <c r="BO2584" s="1">
        <v>0</v>
      </c>
      <c r="BP2584" s="1">
        <v>0</v>
      </c>
      <c r="BQ2584" s="1" t="s">
        <v>104</v>
      </c>
      <c r="BR2584" s="1">
        <v>2717</v>
      </c>
      <c r="BS2584" s="1" t="s">
        <v>104</v>
      </c>
      <c r="BX2584" s="1">
        <v>0</v>
      </c>
      <c r="BY2584" s="1">
        <v>2</v>
      </c>
      <c r="BZ2584" s="1">
        <v>2</v>
      </c>
      <c r="CA2584" s="1">
        <v>2</v>
      </c>
      <c r="CB2584" s="1" t="s">
        <v>104</v>
      </c>
      <c r="CC2584" s="1" t="s">
        <v>104</v>
      </c>
      <c r="CD2584" s="1" t="s">
        <v>104</v>
      </c>
      <c r="CE2584" s="1" t="s">
        <v>104</v>
      </c>
      <c r="CF2584" s="1" t="s">
        <v>104</v>
      </c>
      <c r="CG2584" s="1" t="s">
        <v>104</v>
      </c>
      <c r="CH2584" s="1">
        <v>2</v>
      </c>
      <c r="CJ2584" s="1">
        <v>0</v>
      </c>
      <c r="CK2584" s="1">
        <v>0</v>
      </c>
      <c r="CL2584" s="1">
        <v>0</v>
      </c>
      <c r="CM2584" s="1">
        <v>2</v>
      </c>
    </row>
    <row r="2585" spans="1:91" ht="14.25" customHeight="1" x14ac:dyDescent="0.3">
      <c r="A2585" s="1" t="s">
        <v>13199</v>
      </c>
      <c r="B2585" s="1" t="s">
        <v>216</v>
      </c>
      <c r="E2585" s="1" t="s">
        <v>13200</v>
      </c>
      <c r="F2585" s="1" t="s">
        <v>95</v>
      </c>
      <c r="G2585" s="1" t="s">
        <v>116</v>
      </c>
      <c r="H2585" s="1">
        <v>0</v>
      </c>
      <c r="I2585" s="1" t="s">
        <v>128</v>
      </c>
      <c r="L2585" s="1" t="s">
        <v>374</v>
      </c>
      <c r="M2585" s="1" t="s">
        <v>119</v>
      </c>
      <c r="N2585" s="1">
        <v>0</v>
      </c>
      <c r="O2585" s="1">
        <v>0</v>
      </c>
      <c r="P2585" s="1" t="s">
        <v>1058</v>
      </c>
      <c r="Q2585" s="1" t="s">
        <v>131</v>
      </c>
      <c r="R2585" s="1" t="s">
        <v>13201</v>
      </c>
      <c r="S2585" s="1" t="s">
        <v>13194</v>
      </c>
      <c r="T2585" s="1">
        <v>1</v>
      </c>
      <c r="U2585" s="1">
        <v>1</v>
      </c>
      <c r="V2585" s="1">
        <v>0</v>
      </c>
      <c r="W2585" s="1">
        <v>0</v>
      </c>
      <c r="X2585" s="1">
        <v>0</v>
      </c>
      <c r="Y2585" s="1" t="s">
        <v>104</v>
      </c>
      <c r="Z2585" s="1" t="s">
        <v>104</v>
      </c>
      <c r="AA2585" s="1">
        <v>1</v>
      </c>
      <c r="AB2585" s="1">
        <v>1</v>
      </c>
      <c r="AC2585" s="1" t="s">
        <v>104</v>
      </c>
      <c r="AD2585" s="1" t="s">
        <v>104</v>
      </c>
      <c r="AE2585" s="1" t="s">
        <v>104</v>
      </c>
      <c r="AF2585" s="1">
        <v>1</v>
      </c>
      <c r="AG2585" s="1" t="s">
        <v>104</v>
      </c>
      <c r="AH2585" s="1">
        <v>1</v>
      </c>
      <c r="AI2585" s="1">
        <v>1</v>
      </c>
      <c r="AJ2585" s="1">
        <v>1</v>
      </c>
      <c r="AK2585" s="1">
        <v>1</v>
      </c>
      <c r="AL2585" s="1" t="s">
        <v>104</v>
      </c>
      <c r="AM2585" s="1">
        <v>1</v>
      </c>
      <c r="AO2585" s="1">
        <v>1</v>
      </c>
      <c r="AR2585" s="1">
        <v>0</v>
      </c>
      <c r="AS2585" s="1">
        <v>0</v>
      </c>
      <c r="AT2585" s="1">
        <v>0</v>
      </c>
      <c r="AU2585" s="1">
        <v>0</v>
      </c>
      <c r="AV2585" s="1">
        <v>0</v>
      </c>
      <c r="AW2585" s="1">
        <v>0</v>
      </c>
      <c r="AX2585" s="1">
        <v>0</v>
      </c>
      <c r="AY2585" s="1">
        <v>0</v>
      </c>
      <c r="AZ2585" s="1">
        <v>0</v>
      </c>
      <c r="BA2585" s="1">
        <v>0</v>
      </c>
      <c r="BB2585" s="1">
        <v>0</v>
      </c>
      <c r="BC2585" s="1">
        <v>0</v>
      </c>
      <c r="BD2585" s="1">
        <v>0</v>
      </c>
      <c r="BE2585" s="1">
        <v>0</v>
      </c>
      <c r="BF2585" s="1">
        <v>0</v>
      </c>
      <c r="BG2585" s="1">
        <v>0</v>
      </c>
      <c r="BH2585" s="1">
        <v>0</v>
      </c>
      <c r="BI2585" s="1">
        <v>0</v>
      </c>
      <c r="BJ2585" s="1">
        <v>0</v>
      </c>
      <c r="BK2585" s="1">
        <v>0</v>
      </c>
      <c r="BL2585" s="1">
        <v>0</v>
      </c>
      <c r="BM2585" s="1">
        <v>0</v>
      </c>
      <c r="BN2585" s="1">
        <v>0</v>
      </c>
      <c r="BO2585" s="1">
        <v>0</v>
      </c>
      <c r="BP2585" s="1">
        <v>0</v>
      </c>
      <c r="BQ2585" s="1" t="s">
        <v>104</v>
      </c>
      <c r="BR2585" s="1">
        <v>2718</v>
      </c>
      <c r="BS2585" s="1" t="s">
        <v>104</v>
      </c>
      <c r="BX2585" s="1">
        <v>0</v>
      </c>
      <c r="BY2585" s="1" t="s">
        <v>104</v>
      </c>
      <c r="BZ2585" s="1">
        <v>1</v>
      </c>
      <c r="CA2585" s="1" t="s">
        <v>104</v>
      </c>
      <c r="CB2585" s="1" t="s">
        <v>104</v>
      </c>
      <c r="CC2585" s="1" t="s">
        <v>104</v>
      </c>
      <c r="CD2585" s="1" t="s">
        <v>104</v>
      </c>
      <c r="CE2585" s="1">
        <v>1</v>
      </c>
      <c r="CF2585" s="1" t="s">
        <v>104</v>
      </c>
      <c r="CG2585" s="1" t="s">
        <v>104</v>
      </c>
      <c r="CH2585" s="1">
        <v>1</v>
      </c>
      <c r="CJ2585" s="1">
        <v>0</v>
      </c>
      <c r="CK2585" s="1">
        <v>0</v>
      </c>
      <c r="CL2585" s="1">
        <v>0</v>
      </c>
      <c r="CM2585" s="1" t="s">
        <v>104</v>
      </c>
    </row>
    <row r="2586" spans="1:91" ht="14.25" customHeight="1" x14ac:dyDescent="0.3">
      <c r="A2586" s="1" t="s">
        <v>13202</v>
      </c>
      <c r="B2586" s="1" t="s">
        <v>434</v>
      </c>
      <c r="D2586" s="1" t="s">
        <v>48</v>
      </c>
      <c r="E2586" s="1" t="s">
        <v>13203</v>
      </c>
      <c r="F2586" s="1" t="s">
        <v>95</v>
      </c>
      <c r="G2586" s="1" t="s">
        <v>13204</v>
      </c>
      <c r="H2586" s="1">
        <v>0</v>
      </c>
      <c r="I2586" s="1" t="s">
        <v>109</v>
      </c>
      <c r="L2586" s="1" t="s">
        <v>13205</v>
      </c>
      <c r="M2586" s="1" t="s">
        <v>426</v>
      </c>
      <c r="N2586" s="1">
        <v>1</v>
      </c>
      <c r="O2586" s="1">
        <v>0</v>
      </c>
      <c r="P2586" s="1" t="s">
        <v>211</v>
      </c>
      <c r="Q2586" s="1" t="s">
        <v>184</v>
      </c>
      <c r="R2586" s="1" t="s">
        <v>13206</v>
      </c>
      <c r="S2586" s="1" t="s">
        <v>13194</v>
      </c>
      <c r="T2586" s="1">
        <v>1</v>
      </c>
      <c r="U2586" s="1">
        <v>1</v>
      </c>
      <c r="V2586" s="1">
        <v>1</v>
      </c>
      <c r="W2586" s="1">
        <v>0</v>
      </c>
      <c r="X2586" s="1">
        <v>1</v>
      </c>
      <c r="Y2586" s="1">
        <v>5</v>
      </c>
      <c r="Z2586" s="1">
        <v>5</v>
      </c>
      <c r="AA2586" s="1">
        <v>5</v>
      </c>
      <c r="AB2586" s="1" t="s">
        <v>104</v>
      </c>
      <c r="AC2586" s="1" t="s">
        <v>104</v>
      </c>
      <c r="AD2586" s="1">
        <v>5</v>
      </c>
      <c r="AE2586" s="1" t="s">
        <v>104</v>
      </c>
      <c r="AF2586" s="1" t="s">
        <v>104</v>
      </c>
      <c r="AG2586" s="1" t="s">
        <v>104</v>
      </c>
      <c r="AH2586" s="1" t="s">
        <v>104</v>
      </c>
      <c r="AI2586" s="1">
        <v>5</v>
      </c>
      <c r="AJ2586" s="1">
        <v>5</v>
      </c>
      <c r="AK2586" s="1">
        <v>4</v>
      </c>
      <c r="AL2586" s="1" t="s">
        <v>104</v>
      </c>
      <c r="AM2586" s="1" t="s">
        <v>104</v>
      </c>
      <c r="AO2586" s="1">
        <v>5</v>
      </c>
      <c r="AR2586" s="1">
        <v>0</v>
      </c>
      <c r="AS2586" s="1">
        <v>0</v>
      </c>
      <c r="AT2586" s="1">
        <v>0</v>
      </c>
      <c r="AU2586" s="1">
        <v>0</v>
      </c>
      <c r="AV2586" s="1">
        <v>0</v>
      </c>
      <c r="AW2586" s="1">
        <v>1</v>
      </c>
      <c r="AX2586" s="1">
        <v>0</v>
      </c>
      <c r="AY2586" s="1">
        <v>0</v>
      </c>
      <c r="AZ2586" s="1">
        <v>0</v>
      </c>
      <c r="BA2586" s="1">
        <v>0</v>
      </c>
      <c r="BB2586" s="1">
        <v>0</v>
      </c>
      <c r="BC2586" s="1">
        <v>0</v>
      </c>
      <c r="BD2586" s="1">
        <v>0</v>
      </c>
      <c r="BE2586" s="1">
        <v>0</v>
      </c>
      <c r="BF2586" s="1">
        <v>0</v>
      </c>
      <c r="BG2586" s="1">
        <v>0</v>
      </c>
      <c r="BH2586" s="1">
        <v>0</v>
      </c>
      <c r="BI2586" s="1">
        <v>0</v>
      </c>
      <c r="BJ2586" s="1">
        <v>0</v>
      </c>
      <c r="BK2586" s="1">
        <v>0</v>
      </c>
      <c r="BL2586" s="1">
        <v>0</v>
      </c>
      <c r="BM2586" s="1">
        <v>0</v>
      </c>
      <c r="BN2586" s="1">
        <v>0</v>
      </c>
      <c r="BO2586" s="1">
        <v>0</v>
      </c>
      <c r="BP2586" s="1">
        <v>0</v>
      </c>
      <c r="BQ2586" s="1" t="s">
        <v>104</v>
      </c>
      <c r="BR2586" s="1">
        <v>2719</v>
      </c>
      <c r="BS2586" s="1" t="s">
        <v>104</v>
      </c>
      <c r="BX2586" s="1">
        <v>0</v>
      </c>
      <c r="BY2586" s="1" t="s">
        <v>104</v>
      </c>
      <c r="BZ2586" s="1">
        <v>5</v>
      </c>
      <c r="CA2586" s="1" t="s">
        <v>104</v>
      </c>
      <c r="CB2586" s="1" t="s">
        <v>104</v>
      </c>
      <c r="CC2586" s="1">
        <v>4</v>
      </c>
      <c r="CD2586" s="1" t="s">
        <v>104</v>
      </c>
      <c r="CE2586" s="1" t="s">
        <v>104</v>
      </c>
      <c r="CF2586" s="1" t="s">
        <v>104</v>
      </c>
      <c r="CG2586" s="1" t="s">
        <v>104</v>
      </c>
      <c r="CH2586" s="1" t="s">
        <v>104</v>
      </c>
      <c r="CJ2586" s="1">
        <v>0</v>
      </c>
      <c r="CK2586" s="1">
        <v>0</v>
      </c>
      <c r="CL2586" s="1">
        <v>0</v>
      </c>
      <c r="CM2586" s="1" t="s">
        <v>104</v>
      </c>
    </row>
    <row r="2587" spans="1:91" ht="14.25" customHeight="1" x14ac:dyDescent="0.3">
      <c r="A2587" s="1" t="s">
        <v>13207</v>
      </c>
      <c r="B2587" s="1" t="s">
        <v>137</v>
      </c>
      <c r="E2587" s="1" t="s">
        <v>13208</v>
      </c>
      <c r="F2587" s="1" t="s">
        <v>95</v>
      </c>
      <c r="G2587" s="1" t="s">
        <v>13209</v>
      </c>
      <c r="H2587" s="1">
        <v>0</v>
      </c>
      <c r="I2587" s="1" t="s">
        <v>128</v>
      </c>
      <c r="L2587" s="1" t="s">
        <v>983</v>
      </c>
      <c r="M2587" s="1" t="s">
        <v>4292</v>
      </c>
      <c r="N2587" s="1">
        <v>0</v>
      </c>
      <c r="O2587" s="1">
        <v>0</v>
      </c>
      <c r="P2587" s="1" t="s">
        <v>4401</v>
      </c>
      <c r="Q2587" s="1" t="s">
        <v>472</v>
      </c>
      <c r="R2587" s="1" t="s">
        <v>13210</v>
      </c>
      <c r="S2587" s="1" t="s">
        <v>13194</v>
      </c>
      <c r="T2587" s="1">
        <v>1</v>
      </c>
      <c r="U2587" s="1">
        <v>1</v>
      </c>
      <c r="V2587" s="1">
        <v>1</v>
      </c>
      <c r="W2587" s="1">
        <v>0</v>
      </c>
      <c r="X2587" s="1">
        <v>0</v>
      </c>
      <c r="Y2587" s="1">
        <v>1</v>
      </c>
      <c r="Z2587" s="1">
        <v>1</v>
      </c>
      <c r="AA2587" s="1">
        <v>1</v>
      </c>
      <c r="AB2587" s="1">
        <v>1</v>
      </c>
      <c r="AC2587" s="1" t="s">
        <v>104</v>
      </c>
      <c r="AD2587" s="1">
        <v>1</v>
      </c>
      <c r="AE2587" s="1" t="s">
        <v>104</v>
      </c>
      <c r="AF2587" s="1">
        <v>1</v>
      </c>
      <c r="AG2587" s="1" t="s">
        <v>104</v>
      </c>
      <c r="AH2587" s="1">
        <v>1</v>
      </c>
      <c r="AI2587" s="1" t="s">
        <v>104</v>
      </c>
      <c r="AJ2587" s="1">
        <v>1</v>
      </c>
      <c r="AK2587" s="1" t="s">
        <v>104</v>
      </c>
      <c r="AL2587" s="1" t="s">
        <v>104</v>
      </c>
      <c r="AM2587" s="1" t="s">
        <v>104</v>
      </c>
      <c r="AO2587" s="1">
        <v>1</v>
      </c>
      <c r="AR2587" s="1">
        <v>0</v>
      </c>
      <c r="AS2587" s="1">
        <v>0</v>
      </c>
      <c r="AT2587" s="1">
        <v>0</v>
      </c>
      <c r="AU2587" s="1">
        <v>0</v>
      </c>
      <c r="AV2587" s="1">
        <v>0</v>
      </c>
      <c r="AW2587" s="1">
        <v>0</v>
      </c>
      <c r="AX2587" s="1">
        <v>0</v>
      </c>
      <c r="AY2587" s="1">
        <v>0</v>
      </c>
      <c r="AZ2587" s="1">
        <v>0</v>
      </c>
      <c r="BA2587" s="1">
        <v>0</v>
      </c>
      <c r="BB2587" s="1">
        <v>0</v>
      </c>
      <c r="BC2587" s="1">
        <v>0</v>
      </c>
      <c r="BD2587" s="1">
        <v>0</v>
      </c>
      <c r="BE2587" s="1">
        <v>0</v>
      </c>
      <c r="BF2587" s="1">
        <v>0</v>
      </c>
      <c r="BG2587" s="1">
        <v>0</v>
      </c>
      <c r="BH2587" s="1">
        <v>0</v>
      </c>
      <c r="BI2587" s="1">
        <v>0</v>
      </c>
      <c r="BJ2587" s="1">
        <v>0</v>
      </c>
      <c r="BK2587" s="1">
        <v>0</v>
      </c>
      <c r="BL2587" s="1">
        <v>0</v>
      </c>
      <c r="BM2587" s="1">
        <v>0</v>
      </c>
      <c r="BN2587" s="1">
        <v>0</v>
      </c>
      <c r="BO2587" s="1">
        <v>0</v>
      </c>
      <c r="BP2587" s="1">
        <v>0</v>
      </c>
      <c r="BQ2587" s="1" t="s">
        <v>104</v>
      </c>
      <c r="BR2587" s="1">
        <v>2720</v>
      </c>
      <c r="BS2587" s="1" t="s">
        <v>104</v>
      </c>
      <c r="BX2587" s="1">
        <v>0</v>
      </c>
      <c r="BY2587" s="1" t="s">
        <v>104</v>
      </c>
      <c r="BZ2587" s="1" t="s">
        <v>104</v>
      </c>
      <c r="CA2587" s="1" t="s">
        <v>104</v>
      </c>
      <c r="CB2587" s="1" t="s">
        <v>104</v>
      </c>
      <c r="CC2587" s="1" t="s">
        <v>104</v>
      </c>
      <c r="CD2587" s="1" t="s">
        <v>104</v>
      </c>
      <c r="CE2587" s="1" t="s">
        <v>104</v>
      </c>
      <c r="CF2587" s="1" t="s">
        <v>104</v>
      </c>
      <c r="CG2587" s="1" t="s">
        <v>104</v>
      </c>
      <c r="CH2587" s="1">
        <v>1</v>
      </c>
      <c r="CJ2587" s="1">
        <v>0</v>
      </c>
      <c r="CK2587" s="1">
        <v>0</v>
      </c>
      <c r="CL2587" s="1">
        <v>0</v>
      </c>
      <c r="CM2587" s="1" t="s">
        <v>104</v>
      </c>
    </row>
    <row r="2588" spans="1:91" ht="14.25" customHeight="1" x14ac:dyDescent="0.3">
      <c r="A2588" s="1" t="s">
        <v>13211</v>
      </c>
      <c r="B2588" s="1" t="s">
        <v>162</v>
      </c>
      <c r="E2588" s="1" t="s">
        <v>13212</v>
      </c>
      <c r="F2588" s="1" t="s">
        <v>95</v>
      </c>
      <c r="G2588" s="1" t="s">
        <v>116</v>
      </c>
      <c r="H2588" s="1">
        <v>0</v>
      </c>
      <c r="I2588" s="1" t="s">
        <v>157</v>
      </c>
      <c r="L2588" s="1" t="s">
        <v>158</v>
      </c>
      <c r="M2588" s="1" t="s">
        <v>2330</v>
      </c>
      <c r="N2588" s="1">
        <v>0</v>
      </c>
      <c r="O2588" s="1">
        <v>0</v>
      </c>
      <c r="R2588" s="1" t="s">
        <v>13213</v>
      </c>
      <c r="S2588" s="1" t="s">
        <v>13194</v>
      </c>
      <c r="T2588" s="1">
        <v>1</v>
      </c>
      <c r="U2588" s="1">
        <v>1</v>
      </c>
      <c r="V2588" s="1">
        <v>0</v>
      </c>
      <c r="W2588" s="1">
        <v>0</v>
      </c>
      <c r="X2588" s="1">
        <v>0</v>
      </c>
      <c r="Y2588" s="1" t="s">
        <v>104</v>
      </c>
      <c r="Z2588" s="1" t="s">
        <v>104</v>
      </c>
      <c r="AA2588" s="1">
        <v>3</v>
      </c>
      <c r="AB2588" s="1">
        <v>3</v>
      </c>
      <c r="AC2588" s="1" t="s">
        <v>104</v>
      </c>
      <c r="AD2588" s="1">
        <v>3</v>
      </c>
      <c r="AE2588" s="1" t="s">
        <v>104</v>
      </c>
      <c r="AF2588" s="1" t="s">
        <v>104</v>
      </c>
      <c r="AG2588" s="1" t="s">
        <v>104</v>
      </c>
      <c r="AH2588" s="1">
        <v>3</v>
      </c>
      <c r="AI2588" s="1" t="s">
        <v>104</v>
      </c>
      <c r="AJ2588" s="1">
        <v>3</v>
      </c>
      <c r="AK2588" s="1" t="s">
        <v>104</v>
      </c>
      <c r="AL2588" s="1" t="s">
        <v>104</v>
      </c>
      <c r="AM2588" s="1" t="s">
        <v>104</v>
      </c>
      <c r="AO2588" s="1">
        <v>3</v>
      </c>
      <c r="AR2588" s="1">
        <v>0</v>
      </c>
      <c r="AS2588" s="1">
        <v>0</v>
      </c>
      <c r="AT2588" s="1">
        <v>0</v>
      </c>
      <c r="AU2588" s="1">
        <v>0</v>
      </c>
      <c r="AV2588" s="1">
        <v>0</v>
      </c>
      <c r="AW2588" s="1">
        <v>0</v>
      </c>
      <c r="AX2588" s="1">
        <v>0</v>
      </c>
      <c r="AY2588" s="1">
        <v>0</v>
      </c>
      <c r="AZ2588" s="1">
        <v>0</v>
      </c>
      <c r="BA2588" s="1">
        <v>0</v>
      </c>
      <c r="BB2588" s="1">
        <v>0</v>
      </c>
      <c r="BC2588" s="1">
        <v>0</v>
      </c>
      <c r="BD2588" s="1">
        <v>0</v>
      </c>
      <c r="BE2588" s="1">
        <v>0</v>
      </c>
      <c r="BF2588" s="1">
        <v>0</v>
      </c>
      <c r="BG2588" s="1">
        <v>0</v>
      </c>
      <c r="BH2588" s="1">
        <v>0</v>
      </c>
      <c r="BI2588" s="1">
        <v>0</v>
      </c>
      <c r="BJ2588" s="1">
        <v>0</v>
      </c>
      <c r="BK2588" s="1">
        <v>0</v>
      </c>
      <c r="BL2588" s="1">
        <v>0</v>
      </c>
      <c r="BM2588" s="1">
        <v>0</v>
      </c>
      <c r="BN2588" s="1">
        <v>0</v>
      </c>
      <c r="BO2588" s="1">
        <v>0</v>
      </c>
      <c r="BP2588" s="1">
        <v>0</v>
      </c>
      <c r="BQ2588" s="1" t="s">
        <v>104</v>
      </c>
      <c r="BR2588" s="1">
        <v>2721</v>
      </c>
      <c r="BS2588" s="1" t="s">
        <v>104</v>
      </c>
      <c r="BX2588" s="1">
        <v>0</v>
      </c>
      <c r="BY2588" s="1" t="s">
        <v>104</v>
      </c>
      <c r="BZ2588" s="1">
        <v>3</v>
      </c>
      <c r="CA2588" s="1" t="s">
        <v>104</v>
      </c>
      <c r="CB2588" s="1">
        <v>3</v>
      </c>
      <c r="CC2588" s="1" t="s">
        <v>104</v>
      </c>
      <c r="CD2588" s="1" t="s">
        <v>104</v>
      </c>
      <c r="CE2588" s="1">
        <v>3</v>
      </c>
      <c r="CF2588" s="1" t="s">
        <v>104</v>
      </c>
      <c r="CG2588" s="1" t="s">
        <v>104</v>
      </c>
      <c r="CH2588" s="1">
        <v>3</v>
      </c>
      <c r="CJ2588" s="1">
        <v>0</v>
      </c>
      <c r="CK2588" s="1">
        <v>0</v>
      </c>
      <c r="CL2588" s="1">
        <v>0</v>
      </c>
      <c r="CM2588" s="1" t="s">
        <v>104</v>
      </c>
    </row>
    <row r="2589" spans="1:91" ht="14.25" customHeight="1" x14ac:dyDescent="0.3">
      <c r="A2589" s="1" t="s">
        <v>13214</v>
      </c>
      <c r="B2589" s="1" t="s">
        <v>137</v>
      </c>
      <c r="E2589" s="1" t="s">
        <v>13215</v>
      </c>
      <c r="F2589" s="1" t="s">
        <v>95</v>
      </c>
      <c r="G2589" s="1" t="s">
        <v>237</v>
      </c>
      <c r="H2589" s="1">
        <v>0</v>
      </c>
      <c r="I2589" s="1" t="s">
        <v>4350</v>
      </c>
      <c r="L2589" s="1" t="s">
        <v>13216</v>
      </c>
      <c r="M2589" s="1" t="s">
        <v>119</v>
      </c>
      <c r="N2589" s="1">
        <v>0</v>
      </c>
      <c r="O2589" s="1">
        <v>0</v>
      </c>
      <c r="P2589" s="1" t="s">
        <v>100</v>
      </c>
      <c r="Q2589" s="1" t="s">
        <v>101</v>
      </c>
      <c r="R2589" s="1" t="s">
        <v>13217</v>
      </c>
      <c r="S2589" s="1" t="s">
        <v>13194</v>
      </c>
      <c r="T2589" s="1">
        <v>1</v>
      </c>
      <c r="U2589" s="1">
        <v>0</v>
      </c>
      <c r="V2589" s="1">
        <v>0</v>
      </c>
      <c r="W2589" s="1">
        <v>0</v>
      </c>
      <c r="X2589" s="1">
        <v>0</v>
      </c>
      <c r="Y2589" s="1">
        <v>6</v>
      </c>
      <c r="Z2589" s="1">
        <v>6</v>
      </c>
      <c r="AA2589" s="1">
        <v>6</v>
      </c>
      <c r="AB2589" s="1" t="s">
        <v>104</v>
      </c>
      <c r="AC2589" s="1" t="s">
        <v>104</v>
      </c>
      <c r="AD2589" s="1" t="s">
        <v>104</v>
      </c>
      <c r="AE2589" s="1" t="s">
        <v>104</v>
      </c>
      <c r="AF2589" s="1" t="s">
        <v>104</v>
      </c>
      <c r="AG2589" s="1" t="s">
        <v>104</v>
      </c>
      <c r="AH2589" s="1" t="s">
        <v>104</v>
      </c>
      <c r="AI2589" s="1">
        <v>6</v>
      </c>
      <c r="AJ2589" s="1">
        <v>6</v>
      </c>
      <c r="AK2589" s="1" t="s">
        <v>104</v>
      </c>
      <c r="AL2589" s="1" t="s">
        <v>104</v>
      </c>
      <c r="AM2589" s="1" t="s">
        <v>104</v>
      </c>
      <c r="AO2589" s="1">
        <v>6</v>
      </c>
      <c r="AR2589" s="1">
        <v>0</v>
      </c>
      <c r="AS2589" s="1">
        <v>0</v>
      </c>
      <c r="AT2589" s="1">
        <v>0</v>
      </c>
      <c r="AU2589" s="1">
        <v>0</v>
      </c>
      <c r="AV2589" s="1">
        <v>0</v>
      </c>
      <c r="AW2589" s="1">
        <v>0</v>
      </c>
      <c r="AX2589" s="1">
        <v>0</v>
      </c>
      <c r="AY2589" s="1">
        <v>0</v>
      </c>
      <c r="AZ2589" s="1">
        <v>0</v>
      </c>
      <c r="BA2589" s="1">
        <v>0</v>
      </c>
      <c r="BB2589" s="1">
        <v>0</v>
      </c>
      <c r="BC2589" s="1">
        <v>0</v>
      </c>
      <c r="BD2589" s="1">
        <v>0</v>
      </c>
      <c r="BE2589" s="1">
        <v>0</v>
      </c>
      <c r="BF2589" s="1">
        <v>0</v>
      </c>
      <c r="BG2589" s="1">
        <v>0</v>
      </c>
      <c r="BH2589" s="1">
        <v>0</v>
      </c>
      <c r="BI2589" s="1">
        <v>0</v>
      </c>
      <c r="BJ2589" s="1">
        <v>0</v>
      </c>
      <c r="BK2589" s="1">
        <v>0</v>
      </c>
      <c r="BL2589" s="1">
        <v>0</v>
      </c>
      <c r="BM2589" s="1">
        <v>0</v>
      </c>
      <c r="BN2589" s="1">
        <v>0</v>
      </c>
      <c r="BO2589" s="1">
        <v>0</v>
      </c>
      <c r="BP2589" s="1">
        <v>0</v>
      </c>
      <c r="BQ2589" s="1" t="s">
        <v>104</v>
      </c>
      <c r="BR2589" s="1">
        <v>2722</v>
      </c>
      <c r="BS2589" s="1" t="s">
        <v>104</v>
      </c>
      <c r="BX2589" s="1">
        <v>0</v>
      </c>
      <c r="BY2589" s="1" t="s">
        <v>104</v>
      </c>
      <c r="BZ2589" s="1" t="s">
        <v>104</v>
      </c>
      <c r="CA2589" s="1">
        <v>6</v>
      </c>
      <c r="CB2589" s="1" t="s">
        <v>104</v>
      </c>
      <c r="CC2589" s="1">
        <v>6</v>
      </c>
      <c r="CD2589" s="1">
        <v>6</v>
      </c>
      <c r="CE2589" s="1" t="s">
        <v>104</v>
      </c>
      <c r="CF2589" s="1" t="s">
        <v>104</v>
      </c>
      <c r="CG2589" s="1" t="s">
        <v>104</v>
      </c>
      <c r="CH2589" s="1" t="s">
        <v>104</v>
      </c>
      <c r="CJ2589" s="1">
        <v>0</v>
      </c>
      <c r="CK2589" s="1">
        <v>0</v>
      </c>
      <c r="CL2589" s="1">
        <v>0</v>
      </c>
      <c r="CM2589" s="1" t="s">
        <v>104</v>
      </c>
    </row>
    <row r="2590" spans="1:91" ht="14.25" customHeight="1" x14ac:dyDescent="0.3">
      <c r="A2590" s="1" t="s">
        <v>13218</v>
      </c>
      <c r="B2590" s="1" t="s">
        <v>137</v>
      </c>
      <c r="E2590" s="1" t="s">
        <v>13219</v>
      </c>
      <c r="F2590" s="1" t="s">
        <v>95</v>
      </c>
      <c r="G2590" s="1" t="s">
        <v>13220</v>
      </c>
      <c r="H2590" s="1">
        <v>0</v>
      </c>
      <c r="I2590" s="1" t="s">
        <v>157</v>
      </c>
      <c r="L2590" s="1" t="s">
        <v>158</v>
      </c>
      <c r="M2590" s="1" t="s">
        <v>111</v>
      </c>
      <c r="N2590" s="1">
        <v>0</v>
      </c>
      <c r="O2590" s="1">
        <v>0</v>
      </c>
      <c r="R2590" s="1" t="s">
        <v>13221</v>
      </c>
      <c r="S2590" s="1" t="s">
        <v>13194</v>
      </c>
      <c r="T2590" s="1">
        <v>1</v>
      </c>
      <c r="U2590" s="1">
        <v>1</v>
      </c>
      <c r="V2590" s="1">
        <v>0</v>
      </c>
      <c r="W2590" s="1">
        <v>0</v>
      </c>
      <c r="X2590" s="1">
        <v>0</v>
      </c>
      <c r="Y2590" s="1">
        <v>1</v>
      </c>
      <c r="Z2590" s="1">
        <v>1</v>
      </c>
      <c r="AA2590" s="1">
        <v>1</v>
      </c>
      <c r="AB2590" s="1">
        <v>1</v>
      </c>
      <c r="AC2590" s="1" t="s">
        <v>104</v>
      </c>
      <c r="AD2590" s="1">
        <v>1</v>
      </c>
      <c r="AE2590" s="1" t="s">
        <v>104</v>
      </c>
      <c r="AF2590" s="1">
        <v>1</v>
      </c>
      <c r="AG2590" s="1" t="s">
        <v>104</v>
      </c>
      <c r="AH2590" s="1">
        <v>1</v>
      </c>
      <c r="AI2590" s="1" t="s">
        <v>104</v>
      </c>
      <c r="AJ2590" s="1">
        <v>1</v>
      </c>
      <c r="AK2590" s="1" t="s">
        <v>104</v>
      </c>
      <c r="AL2590" s="1" t="s">
        <v>104</v>
      </c>
      <c r="AM2590" s="1" t="s">
        <v>104</v>
      </c>
      <c r="AO2590" s="1">
        <v>1</v>
      </c>
      <c r="AR2590" s="1">
        <v>0</v>
      </c>
      <c r="AS2590" s="1">
        <v>0</v>
      </c>
      <c r="AT2590" s="1">
        <v>0</v>
      </c>
      <c r="AU2590" s="1">
        <v>0</v>
      </c>
      <c r="AV2590" s="1">
        <v>0</v>
      </c>
      <c r="AW2590" s="1">
        <v>0</v>
      </c>
      <c r="AX2590" s="1">
        <v>0</v>
      </c>
      <c r="AY2590" s="1">
        <v>0</v>
      </c>
      <c r="AZ2590" s="1">
        <v>0</v>
      </c>
      <c r="BA2590" s="1">
        <v>0</v>
      </c>
      <c r="BB2590" s="1">
        <v>0</v>
      </c>
      <c r="BC2590" s="1">
        <v>0</v>
      </c>
      <c r="BD2590" s="1">
        <v>0</v>
      </c>
      <c r="BE2590" s="1">
        <v>0</v>
      </c>
      <c r="BF2590" s="1">
        <v>0</v>
      </c>
      <c r="BG2590" s="1">
        <v>0</v>
      </c>
      <c r="BH2590" s="1">
        <v>0</v>
      </c>
      <c r="BI2590" s="1">
        <v>0</v>
      </c>
      <c r="BJ2590" s="1">
        <v>0</v>
      </c>
      <c r="BK2590" s="1">
        <v>0</v>
      </c>
      <c r="BL2590" s="1">
        <v>0</v>
      </c>
      <c r="BM2590" s="1">
        <v>0</v>
      </c>
      <c r="BN2590" s="1">
        <v>0</v>
      </c>
      <c r="BO2590" s="1">
        <v>0</v>
      </c>
      <c r="BP2590" s="1">
        <v>0</v>
      </c>
      <c r="BQ2590" s="1" t="s">
        <v>104</v>
      </c>
      <c r="BR2590" s="1">
        <v>2723</v>
      </c>
      <c r="BS2590" s="1" t="s">
        <v>104</v>
      </c>
      <c r="BX2590" s="1">
        <v>0</v>
      </c>
      <c r="BY2590" s="1" t="s">
        <v>104</v>
      </c>
      <c r="BZ2590" s="1">
        <v>1</v>
      </c>
      <c r="CA2590" s="1" t="s">
        <v>104</v>
      </c>
      <c r="CB2590" s="1" t="s">
        <v>104</v>
      </c>
      <c r="CC2590" s="1" t="s">
        <v>104</v>
      </c>
      <c r="CD2590" s="1">
        <v>1</v>
      </c>
      <c r="CE2590" s="1" t="s">
        <v>104</v>
      </c>
      <c r="CF2590" s="1" t="s">
        <v>104</v>
      </c>
      <c r="CG2590" s="1" t="s">
        <v>104</v>
      </c>
      <c r="CH2590" s="1">
        <v>1</v>
      </c>
      <c r="CJ2590" s="1">
        <v>0</v>
      </c>
      <c r="CK2590" s="1">
        <v>0</v>
      </c>
      <c r="CL2590" s="1">
        <v>0</v>
      </c>
      <c r="CM2590" s="1" t="s">
        <v>104</v>
      </c>
    </row>
    <row r="2591" spans="1:91" ht="14.25" customHeight="1" x14ac:dyDescent="0.3">
      <c r="A2591" s="1" t="s">
        <v>13222</v>
      </c>
      <c r="B2591" s="1" t="s">
        <v>162</v>
      </c>
      <c r="E2591" s="1" t="s">
        <v>13223</v>
      </c>
      <c r="F2591" s="1" t="s">
        <v>95</v>
      </c>
      <c r="G2591" s="1" t="s">
        <v>127</v>
      </c>
      <c r="H2591" s="1">
        <v>0</v>
      </c>
      <c r="I2591" s="1" t="s">
        <v>128</v>
      </c>
      <c r="L2591" s="1" t="s">
        <v>374</v>
      </c>
      <c r="M2591" s="1" t="s">
        <v>4292</v>
      </c>
      <c r="N2591" s="1">
        <v>0</v>
      </c>
      <c r="O2591" s="1">
        <v>0</v>
      </c>
      <c r="P2591" s="1" t="s">
        <v>375</v>
      </c>
      <c r="Q2591" s="1" t="s">
        <v>184</v>
      </c>
      <c r="R2591" s="1" t="s">
        <v>13224</v>
      </c>
      <c r="S2591" s="1" t="s">
        <v>13194</v>
      </c>
      <c r="T2591" s="1">
        <v>1</v>
      </c>
      <c r="U2591" s="1">
        <v>1</v>
      </c>
      <c r="V2591" s="1">
        <v>0</v>
      </c>
      <c r="W2591" s="1">
        <v>0</v>
      </c>
      <c r="X2591" s="1">
        <v>1</v>
      </c>
      <c r="Y2591" s="1">
        <v>4</v>
      </c>
      <c r="Z2591" s="1">
        <v>4</v>
      </c>
      <c r="AA2591" s="1">
        <v>3</v>
      </c>
      <c r="AB2591" s="1">
        <v>4</v>
      </c>
      <c r="AC2591" s="1" t="s">
        <v>104</v>
      </c>
      <c r="AD2591" s="1" t="s">
        <v>104</v>
      </c>
      <c r="AE2591" s="1" t="s">
        <v>104</v>
      </c>
      <c r="AF2591" s="1" t="s">
        <v>104</v>
      </c>
      <c r="AG2591" s="1" t="s">
        <v>104</v>
      </c>
      <c r="AH2591" s="1">
        <v>4</v>
      </c>
      <c r="AI2591" s="1">
        <v>3</v>
      </c>
      <c r="AJ2591" s="1">
        <v>3</v>
      </c>
      <c r="AK2591" s="1" t="s">
        <v>104</v>
      </c>
      <c r="AL2591" s="1" t="s">
        <v>104</v>
      </c>
      <c r="AM2591" s="1" t="s">
        <v>104</v>
      </c>
      <c r="AO2591" s="1">
        <v>4</v>
      </c>
      <c r="AR2591" s="1">
        <v>0</v>
      </c>
      <c r="AS2591" s="1">
        <v>0</v>
      </c>
      <c r="AT2591" s="1">
        <v>0</v>
      </c>
      <c r="AU2591" s="1">
        <v>0</v>
      </c>
      <c r="AV2591" s="1">
        <v>0</v>
      </c>
      <c r="AW2591" s="1">
        <v>0</v>
      </c>
      <c r="AX2591" s="1">
        <v>0</v>
      </c>
      <c r="AY2591" s="1">
        <v>0</v>
      </c>
      <c r="AZ2591" s="1">
        <v>0</v>
      </c>
      <c r="BA2591" s="1">
        <v>0</v>
      </c>
      <c r="BB2591" s="1">
        <v>0</v>
      </c>
      <c r="BC2591" s="1">
        <v>0</v>
      </c>
      <c r="BD2591" s="1">
        <v>0</v>
      </c>
      <c r="BE2591" s="1">
        <v>0</v>
      </c>
      <c r="BF2591" s="1">
        <v>0</v>
      </c>
      <c r="BG2591" s="1">
        <v>0</v>
      </c>
      <c r="BH2591" s="1">
        <v>0</v>
      </c>
      <c r="BI2591" s="1">
        <v>0</v>
      </c>
      <c r="BJ2591" s="1">
        <v>0</v>
      </c>
      <c r="BK2591" s="1">
        <v>0</v>
      </c>
      <c r="BL2591" s="1">
        <v>0</v>
      </c>
      <c r="BM2591" s="1">
        <v>0</v>
      </c>
      <c r="BN2591" s="1">
        <v>0</v>
      </c>
      <c r="BO2591" s="1">
        <v>0</v>
      </c>
      <c r="BP2591" s="1">
        <v>0</v>
      </c>
      <c r="BQ2591" s="1" t="s">
        <v>104</v>
      </c>
      <c r="BR2591" s="1">
        <v>2724</v>
      </c>
      <c r="BS2591" s="1" t="s">
        <v>104</v>
      </c>
      <c r="BX2591" s="1">
        <v>0</v>
      </c>
      <c r="BY2591" s="1" t="s">
        <v>104</v>
      </c>
      <c r="BZ2591" s="1">
        <v>3</v>
      </c>
      <c r="CA2591" s="1">
        <v>5</v>
      </c>
      <c r="CB2591" s="1" t="s">
        <v>104</v>
      </c>
      <c r="CC2591" s="1" t="s">
        <v>104</v>
      </c>
      <c r="CD2591" s="1" t="s">
        <v>104</v>
      </c>
      <c r="CE2591" s="1">
        <v>2</v>
      </c>
      <c r="CF2591" s="1" t="s">
        <v>104</v>
      </c>
      <c r="CG2591" s="1" t="s">
        <v>104</v>
      </c>
      <c r="CH2591" s="1">
        <v>4</v>
      </c>
      <c r="CJ2591" s="1">
        <v>0</v>
      </c>
      <c r="CK2591" s="1">
        <v>0</v>
      </c>
      <c r="CL2591" s="1">
        <v>0</v>
      </c>
      <c r="CM2591" s="1" t="s">
        <v>104</v>
      </c>
    </row>
    <row r="2592" spans="1:91" ht="14.25" customHeight="1" x14ac:dyDescent="0.3">
      <c r="A2592" s="1" t="s">
        <v>13225</v>
      </c>
      <c r="B2592" s="1" t="s">
        <v>172</v>
      </c>
      <c r="E2592" s="1" t="s">
        <v>13226</v>
      </c>
      <c r="F2592" s="1" t="s">
        <v>95</v>
      </c>
      <c r="G2592" s="1" t="s">
        <v>13227</v>
      </c>
      <c r="H2592" s="1">
        <v>0</v>
      </c>
      <c r="I2592" s="1" t="s">
        <v>157</v>
      </c>
      <c r="L2592" s="1" t="s">
        <v>158</v>
      </c>
      <c r="M2592" s="1" t="s">
        <v>2638</v>
      </c>
      <c r="N2592" s="1">
        <v>0</v>
      </c>
      <c r="O2592" s="1">
        <v>0</v>
      </c>
      <c r="P2592" s="1" t="s">
        <v>100</v>
      </c>
      <c r="Q2592" s="1" t="s">
        <v>101</v>
      </c>
      <c r="R2592" s="1" t="s">
        <v>13228</v>
      </c>
      <c r="S2592" s="1" t="s">
        <v>13194</v>
      </c>
      <c r="T2592" s="1">
        <v>1</v>
      </c>
      <c r="U2592" s="1">
        <v>0</v>
      </c>
      <c r="V2592" s="1">
        <v>0</v>
      </c>
      <c r="W2592" s="1">
        <v>0</v>
      </c>
      <c r="X2592" s="1">
        <v>0</v>
      </c>
      <c r="Y2592" s="1" t="s">
        <v>104</v>
      </c>
      <c r="Z2592" s="1" t="s">
        <v>104</v>
      </c>
      <c r="AA2592" s="1">
        <v>1</v>
      </c>
      <c r="AB2592" s="1" t="s">
        <v>104</v>
      </c>
      <c r="AC2592" s="1" t="s">
        <v>104</v>
      </c>
      <c r="AD2592" s="1">
        <v>1</v>
      </c>
      <c r="AE2592" s="1" t="s">
        <v>104</v>
      </c>
      <c r="AF2592" s="1" t="s">
        <v>104</v>
      </c>
      <c r="AG2592" s="1" t="s">
        <v>104</v>
      </c>
      <c r="AH2592" s="1">
        <v>1</v>
      </c>
      <c r="AI2592" s="1">
        <v>1</v>
      </c>
      <c r="AJ2592" s="1">
        <v>1</v>
      </c>
      <c r="AK2592" s="1" t="s">
        <v>104</v>
      </c>
      <c r="AL2592" s="1" t="s">
        <v>104</v>
      </c>
      <c r="AM2592" s="1" t="s">
        <v>104</v>
      </c>
      <c r="AO2592" s="1">
        <v>1</v>
      </c>
      <c r="AR2592" s="1">
        <v>0</v>
      </c>
      <c r="AS2592" s="1">
        <v>0</v>
      </c>
      <c r="AT2592" s="1">
        <v>0</v>
      </c>
      <c r="AU2592" s="1">
        <v>0</v>
      </c>
      <c r="AV2592" s="1">
        <v>0</v>
      </c>
      <c r="AW2592" s="1">
        <v>0</v>
      </c>
      <c r="AX2592" s="1">
        <v>0</v>
      </c>
      <c r="AY2592" s="1">
        <v>0</v>
      </c>
      <c r="AZ2592" s="1">
        <v>0</v>
      </c>
      <c r="BA2592" s="1">
        <v>0</v>
      </c>
      <c r="BB2592" s="1">
        <v>0</v>
      </c>
      <c r="BC2592" s="1">
        <v>0</v>
      </c>
      <c r="BD2592" s="1">
        <v>0</v>
      </c>
      <c r="BE2592" s="1">
        <v>0</v>
      </c>
      <c r="BF2592" s="1">
        <v>0</v>
      </c>
      <c r="BG2592" s="1">
        <v>0</v>
      </c>
      <c r="BH2592" s="1">
        <v>0</v>
      </c>
      <c r="BI2592" s="1">
        <v>0</v>
      </c>
      <c r="BJ2592" s="1">
        <v>0</v>
      </c>
      <c r="BK2592" s="1">
        <v>0</v>
      </c>
      <c r="BL2592" s="1">
        <v>0</v>
      </c>
      <c r="BM2592" s="1">
        <v>0</v>
      </c>
      <c r="BN2592" s="1">
        <v>0</v>
      </c>
      <c r="BO2592" s="1">
        <v>0</v>
      </c>
      <c r="BP2592" s="1">
        <v>0</v>
      </c>
      <c r="BQ2592" s="1" t="s">
        <v>104</v>
      </c>
      <c r="BR2592" s="1">
        <v>2725</v>
      </c>
      <c r="BS2592" s="1" t="s">
        <v>104</v>
      </c>
      <c r="BX2592" s="1">
        <v>0</v>
      </c>
      <c r="BY2592" s="1" t="s">
        <v>104</v>
      </c>
      <c r="BZ2592" s="1" t="s">
        <v>104</v>
      </c>
      <c r="CA2592" s="1" t="s">
        <v>104</v>
      </c>
      <c r="CB2592" s="1" t="s">
        <v>104</v>
      </c>
      <c r="CC2592" s="1" t="s">
        <v>104</v>
      </c>
      <c r="CD2592" s="1">
        <v>1</v>
      </c>
      <c r="CE2592" s="1" t="s">
        <v>104</v>
      </c>
      <c r="CF2592" s="1" t="s">
        <v>104</v>
      </c>
      <c r="CG2592" s="1" t="s">
        <v>104</v>
      </c>
      <c r="CH2592" s="1" t="s">
        <v>104</v>
      </c>
      <c r="CJ2592" s="1">
        <v>0</v>
      </c>
      <c r="CK2592" s="1">
        <v>0</v>
      </c>
      <c r="CL2592" s="1">
        <v>0</v>
      </c>
      <c r="CM2592" s="1" t="s">
        <v>104</v>
      </c>
    </row>
    <row r="2593" spans="1:91" ht="14.25" customHeight="1" x14ac:dyDescent="0.3">
      <c r="A2593" s="1" t="s">
        <v>13229</v>
      </c>
      <c r="B2593" s="1" t="s">
        <v>137</v>
      </c>
      <c r="E2593" s="1" t="s">
        <v>13230</v>
      </c>
      <c r="F2593" s="1" t="s">
        <v>95</v>
      </c>
      <c r="G2593" s="1" t="s">
        <v>127</v>
      </c>
      <c r="H2593" s="1">
        <v>0</v>
      </c>
      <c r="I2593" s="1" t="s">
        <v>128</v>
      </c>
      <c r="L2593" s="1" t="s">
        <v>147</v>
      </c>
      <c r="M2593" s="1" t="s">
        <v>2330</v>
      </c>
      <c r="N2593" s="1">
        <v>0</v>
      </c>
      <c r="O2593" s="1">
        <v>0</v>
      </c>
      <c r="P2593" s="1" t="s">
        <v>148</v>
      </c>
      <c r="Q2593" s="1" t="s">
        <v>149</v>
      </c>
      <c r="R2593" s="1" t="s">
        <v>13231</v>
      </c>
      <c r="S2593" s="1" t="s">
        <v>13194</v>
      </c>
      <c r="T2593" s="1">
        <v>1</v>
      </c>
      <c r="U2593" s="1">
        <v>1</v>
      </c>
      <c r="V2593" s="1">
        <v>0</v>
      </c>
      <c r="W2593" s="1">
        <v>0</v>
      </c>
      <c r="X2593" s="1">
        <v>1</v>
      </c>
      <c r="Y2593" s="1" t="s">
        <v>104</v>
      </c>
      <c r="Z2593" s="1" t="s">
        <v>104</v>
      </c>
      <c r="AA2593" s="1">
        <v>1</v>
      </c>
      <c r="AB2593" s="1" t="s">
        <v>104</v>
      </c>
      <c r="AC2593" s="1" t="s">
        <v>104</v>
      </c>
      <c r="AD2593" s="1" t="s">
        <v>104</v>
      </c>
      <c r="AE2593" s="1">
        <v>1</v>
      </c>
      <c r="AF2593" s="1" t="s">
        <v>104</v>
      </c>
      <c r="AG2593" s="1" t="s">
        <v>104</v>
      </c>
      <c r="AH2593" s="1" t="s">
        <v>104</v>
      </c>
      <c r="AI2593" s="1">
        <v>1</v>
      </c>
      <c r="AJ2593" s="1">
        <v>1</v>
      </c>
      <c r="AK2593" s="1" t="s">
        <v>104</v>
      </c>
      <c r="AL2593" s="1" t="s">
        <v>104</v>
      </c>
      <c r="AM2593" s="1" t="s">
        <v>104</v>
      </c>
      <c r="AO2593" s="1">
        <v>1</v>
      </c>
      <c r="AR2593" s="1">
        <v>0</v>
      </c>
      <c r="AS2593" s="1">
        <v>0</v>
      </c>
      <c r="AT2593" s="1">
        <v>0</v>
      </c>
      <c r="AU2593" s="1">
        <v>0</v>
      </c>
      <c r="AV2593" s="1">
        <v>0</v>
      </c>
      <c r="AW2593" s="1">
        <v>0</v>
      </c>
      <c r="AX2593" s="1">
        <v>0</v>
      </c>
      <c r="AY2593" s="1">
        <v>0</v>
      </c>
      <c r="AZ2593" s="1">
        <v>0</v>
      </c>
      <c r="BA2593" s="1">
        <v>0</v>
      </c>
      <c r="BB2593" s="1">
        <v>0</v>
      </c>
      <c r="BC2593" s="1">
        <v>0</v>
      </c>
      <c r="BD2593" s="1">
        <v>0</v>
      </c>
      <c r="BE2593" s="1">
        <v>0</v>
      </c>
      <c r="BF2593" s="1">
        <v>0</v>
      </c>
      <c r="BG2593" s="1">
        <v>0</v>
      </c>
      <c r="BH2593" s="1">
        <v>0</v>
      </c>
      <c r="BI2593" s="1">
        <v>0</v>
      </c>
      <c r="BJ2593" s="1">
        <v>0</v>
      </c>
      <c r="BK2593" s="1">
        <v>0</v>
      </c>
      <c r="BL2593" s="1">
        <v>0</v>
      </c>
      <c r="BM2593" s="1">
        <v>0</v>
      </c>
      <c r="BN2593" s="1">
        <v>0</v>
      </c>
      <c r="BO2593" s="1">
        <v>0</v>
      </c>
      <c r="BP2593" s="1">
        <v>0</v>
      </c>
      <c r="BQ2593" s="1" t="s">
        <v>104</v>
      </c>
      <c r="BR2593" s="1">
        <v>2726</v>
      </c>
      <c r="BS2593" s="1" t="s">
        <v>104</v>
      </c>
      <c r="BX2593" s="1">
        <v>0</v>
      </c>
      <c r="BY2593" s="1" t="s">
        <v>104</v>
      </c>
      <c r="BZ2593" s="1" t="s">
        <v>104</v>
      </c>
      <c r="CA2593" s="1" t="s">
        <v>104</v>
      </c>
      <c r="CB2593" s="1" t="s">
        <v>104</v>
      </c>
      <c r="CC2593" s="1" t="s">
        <v>104</v>
      </c>
      <c r="CD2593" s="1">
        <v>1</v>
      </c>
      <c r="CE2593" s="1" t="s">
        <v>104</v>
      </c>
      <c r="CF2593" s="1" t="s">
        <v>104</v>
      </c>
      <c r="CG2593" s="1" t="s">
        <v>104</v>
      </c>
      <c r="CH2593" s="1" t="s">
        <v>104</v>
      </c>
      <c r="CJ2593" s="1">
        <v>0</v>
      </c>
      <c r="CK2593" s="1">
        <v>0</v>
      </c>
      <c r="CL2593" s="1">
        <v>0</v>
      </c>
      <c r="CM2593" s="1" t="s">
        <v>104</v>
      </c>
    </row>
    <row r="2594" spans="1:91" ht="14.25" customHeight="1" x14ac:dyDescent="0.3">
      <c r="A2594" s="1" t="s">
        <v>13232</v>
      </c>
      <c r="B2594" s="1" t="s">
        <v>216</v>
      </c>
      <c r="E2594" s="1" t="s">
        <v>13233</v>
      </c>
      <c r="F2594" s="1" t="s">
        <v>95</v>
      </c>
      <c r="G2594" s="1" t="s">
        <v>13234</v>
      </c>
      <c r="H2594" s="1">
        <v>0</v>
      </c>
      <c r="I2594" s="1" t="s">
        <v>117</v>
      </c>
      <c r="L2594" s="1" t="s">
        <v>751</v>
      </c>
      <c r="M2594" s="1" t="s">
        <v>426</v>
      </c>
      <c r="N2594" s="1">
        <v>1</v>
      </c>
      <c r="O2594" s="1">
        <v>0</v>
      </c>
      <c r="P2594" s="1" t="s">
        <v>211</v>
      </c>
      <c r="Q2594" s="1" t="s">
        <v>184</v>
      </c>
      <c r="R2594" s="1" t="s">
        <v>13235</v>
      </c>
      <c r="S2594" s="1" t="s">
        <v>13194</v>
      </c>
      <c r="T2594" s="1">
        <v>1</v>
      </c>
      <c r="U2594" s="1">
        <v>1</v>
      </c>
      <c r="V2594" s="1">
        <v>1</v>
      </c>
      <c r="W2594" s="1">
        <v>0</v>
      </c>
      <c r="X2594" s="1">
        <v>1</v>
      </c>
      <c r="Y2594" s="1">
        <v>3</v>
      </c>
      <c r="Z2594" s="1">
        <v>3</v>
      </c>
      <c r="AA2594" s="1">
        <v>2</v>
      </c>
      <c r="AB2594" s="1" t="s">
        <v>104</v>
      </c>
      <c r="AC2594" s="1" t="s">
        <v>104</v>
      </c>
      <c r="AD2594" s="1" t="s">
        <v>104</v>
      </c>
      <c r="AE2594" s="1" t="s">
        <v>104</v>
      </c>
      <c r="AF2594" s="1" t="s">
        <v>104</v>
      </c>
      <c r="AG2594" s="1" t="s">
        <v>104</v>
      </c>
      <c r="AH2594" s="1">
        <v>2</v>
      </c>
      <c r="AI2594" s="1">
        <v>2</v>
      </c>
      <c r="AJ2594" s="1">
        <v>2</v>
      </c>
      <c r="AK2594" s="1" t="s">
        <v>104</v>
      </c>
      <c r="AL2594" s="1" t="s">
        <v>104</v>
      </c>
      <c r="AM2594" s="1" t="s">
        <v>104</v>
      </c>
      <c r="AO2594" s="1">
        <v>3</v>
      </c>
      <c r="AR2594" s="1">
        <v>0</v>
      </c>
      <c r="AS2594" s="1">
        <v>0</v>
      </c>
      <c r="AT2594" s="1">
        <v>0</v>
      </c>
      <c r="AU2594" s="1">
        <v>0</v>
      </c>
      <c r="AV2594" s="1">
        <v>0</v>
      </c>
      <c r="AW2594" s="1">
        <v>0</v>
      </c>
      <c r="AX2594" s="1">
        <v>0</v>
      </c>
      <c r="AY2594" s="1">
        <v>0</v>
      </c>
      <c r="AZ2594" s="1">
        <v>0</v>
      </c>
      <c r="BA2594" s="1">
        <v>0</v>
      </c>
      <c r="BB2594" s="1">
        <v>0</v>
      </c>
      <c r="BC2594" s="1">
        <v>0</v>
      </c>
      <c r="BD2594" s="1">
        <v>0</v>
      </c>
      <c r="BE2594" s="1">
        <v>0</v>
      </c>
      <c r="BF2594" s="1">
        <v>0</v>
      </c>
      <c r="BG2594" s="1">
        <v>0</v>
      </c>
      <c r="BH2594" s="1">
        <v>0</v>
      </c>
      <c r="BI2594" s="1">
        <v>0</v>
      </c>
      <c r="BJ2594" s="1">
        <v>0</v>
      </c>
      <c r="BK2594" s="1">
        <v>0</v>
      </c>
      <c r="BL2594" s="1">
        <v>0</v>
      </c>
      <c r="BM2594" s="1">
        <v>0</v>
      </c>
      <c r="BN2594" s="1">
        <v>0</v>
      </c>
      <c r="BO2594" s="1">
        <v>0</v>
      </c>
      <c r="BP2594" s="1">
        <v>0</v>
      </c>
      <c r="BQ2594" s="1" t="s">
        <v>104</v>
      </c>
      <c r="BR2594" s="1">
        <v>2727</v>
      </c>
      <c r="BS2594" s="1" t="s">
        <v>104</v>
      </c>
      <c r="BX2594" s="1">
        <v>0</v>
      </c>
      <c r="BY2594" s="1" t="s">
        <v>104</v>
      </c>
      <c r="BZ2594" s="1">
        <v>2</v>
      </c>
      <c r="CA2594" s="1" t="s">
        <v>104</v>
      </c>
      <c r="CB2594" s="1" t="s">
        <v>104</v>
      </c>
      <c r="CC2594" s="1" t="s">
        <v>104</v>
      </c>
      <c r="CD2594" s="1" t="s">
        <v>104</v>
      </c>
      <c r="CE2594" s="1">
        <v>2</v>
      </c>
      <c r="CF2594" s="1" t="s">
        <v>104</v>
      </c>
      <c r="CG2594" s="1" t="s">
        <v>104</v>
      </c>
      <c r="CH2594" s="1" t="s">
        <v>104</v>
      </c>
      <c r="CJ2594" s="1">
        <v>0</v>
      </c>
      <c r="CK2594" s="1">
        <v>0</v>
      </c>
      <c r="CL2594" s="1">
        <v>0</v>
      </c>
      <c r="CM2594" s="1" t="s">
        <v>104</v>
      </c>
    </row>
    <row r="2595" spans="1:91" ht="14.25" customHeight="1" x14ac:dyDescent="0.3">
      <c r="A2595" s="1" t="s">
        <v>13236</v>
      </c>
      <c r="B2595" s="1" t="s">
        <v>216</v>
      </c>
      <c r="E2595" s="1" t="s">
        <v>13237</v>
      </c>
      <c r="F2595" s="1" t="s">
        <v>95</v>
      </c>
      <c r="G2595" s="1" t="s">
        <v>13238</v>
      </c>
      <c r="H2595" s="1">
        <v>0</v>
      </c>
      <c r="I2595" s="1" t="s">
        <v>128</v>
      </c>
      <c r="L2595" s="1" t="s">
        <v>13239</v>
      </c>
      <c r="M2595" s="1" t="s">
        <v>9331</v>
      </c>
      <c r="N2595" s="1">
        <v>0</v>
      </c>
      <c r="O2595" s="1">
        <v>0</v>
      </c>
      <c r="P2595" s="1" t="s">
        <v>471</v>
      </c>
      <c r="Q2595" s="1" t="s">
        <v>472</v>
      </c>
      <c r="R2595" s="1" t="s">
        <v>13240</v>
      </c>
      <c r="S2595" s="1" t="s">
        <v>13194</v>
      </c>
      <c r="T2595" s="1">
        <v>1</v>
      </c>
      <c r="U2595" s="1">
        <v>1</v>
      </c>
      <c r="V2595" s="1">
        <v>1</v>
      </c>
      <c r="W2595" s="1">
        <v>0</v>
      </c>
      <c r="X2595" s="1">
        <v>1</v>
      </c>
      <c r="Y2595" s="1">
        <v>1</v>
      </c>
      <c r="Z2595" s="1">
        <v>1</v>
      </c>
      <c r="AA2595" s="1">
        <v>1</v>
      </c>
      <c r="AB2595" s="1" t="s">
        <v>104</v>
      </c>
      <c r="AC2595" s="1">
        <v>1</v>
      </c>
      <c r="AD2595" s="1" t="s">
        <v>104</v>
      </c>
      <c r="AE2595" s="1" t="s">
        <v>104</v>
      </c>
      <c r="AF2595" s="1" t="s">
        <v>104</v>
      </c>
      <c r="AG2595" s="1" t="s">
        <v>104</v>
      </c>
      <c r="AH2595" s="1">
        <v>1</v>
      </c>
      <c r="AI2595" s="1" t="s">
        <v>104</v>
      </c>
      <c r="AJ2595" s="1">
        <v>1</v>
      </c>
      <c r="AK2595" s="1" t="s">
        <v>104</v>
      </c>
      <c r="AL2595" s="1" t="s">
        <v>104</v>
      </c>
      <c r="AM2595" s="1">
        <v>1</v>
      </c>
      <c r="AO2595" s="1">
        <v>1</v>
      </c>
      <c r="AR2595" s="1">
        <v>0</v>
      </c>
      <c r="AS2595" s="1">
        <v>0</v>
      </c>
      <c r="AT2595" s="1">
        <v>0</v>
      </c>
      <c r="AU2595" s="1">
        <v>0</v>
      </c>
      <c r="AV2595" s="1">
        <v>0</v>
      </c>
      <c r="AW2595" s="1">
        <v>0</v>
      </c>
      <c r="AX2595" s="1">
        <v>0</v>
      </c>
      <c r="AY2595" s="1">
        <v>0</v>
      </c>
      <c r="AZ2595" s="1">
        <v>0</v>
      </c>
      <c r="BA2595" s="1">
        <v>0</v>
      </c>
      <c r="BB2595" s="1">
        <v>0</v>
      </c>
      <c r="BC2595" s="1">
        <v>0</v>
      </c>
      <c r="BD2595" s="1">
        <v>0</v>
      </c>
      <c r="BE2595" s="1">
        <v>0</v>
      </c>
      <c r="BF2595" s="1">
        <v>0</v>
      </c>
      <c r="BG2595" s="1">
        <v>0</v>
      </c>
      <c r="BH2595" s="1">
        <v>0</v>
      </c>
      <c r="BI2595" s="1">
        <v>0</v>
      </c>
      <c r="BJ2595" s="1">
        <v>0</v>
      </c>
      <c r="BK2595" s="1">
        <v>0</v>
      </c>
      <c r="BL2595" s="1">
        <v>0</v>
      </c>
      <c r="BM2595" s="1">
        <v>0</v>
      </c>
      <c r="BN2595" s="1">
        <v>0</v>
      </c>
      <c r="BO2595" s="1">
        <v>0</v>
      </c>
      <c r="BP2595" s="1">
        <v>0</v>
      </c>
      <c r="BQ2595" s="1" t="s">
        <v>104</v>
      </c>
      <c r="BR2595" s="1">
        <v>2728</v>
      </c>
      <c r="BS2595" s="1" t="s">
        <v>104</v>
      </c>
      <c r="BX2595" s="1">
        <v>0</v>
      </c>
      <c r="BY2595" s="1" t="s">
        <v>104</v>
      </c>
      <c r="BZ2595" s="1">
        <v>1</v>
      </c>
      <c r="CA2595" s="1" t="s">
        <v>104</v>
      </c>
      <c r="CB2595" s="1">
        <v>1</v>
      </c>
      <c r="CC2595" s="1" t="s">
        <v>104</v>
      </c>
      <c r="CD2595" s="1">
        <v>1</v>
      </c>
      <c r="CE2595" s="1">
        <v>1</v>
      </c>
      <c r="CF2595" s="1" t="s">
        <v>104</v>
      </c>
      <c r="CG2595" s="1" t="s">
        <v>104</v>
      </c>
      <c r="CH2595" s="1">
        <v>1</v>
      </c>
      <c r="CJ2595" s="1">
        <v>0</v>
      </c>
      <c r="CK2595" s="1">
        <v>0</v>
      </c>
      <c r="CL2595" s="1">
        <v>0</v>
      </c>
      <c r="CM2595" s="1" t="s">
        <v>104</v>
      </c>
    </row>
    <row r="2596" spans="1:91" ht="14.25" customHeight="1" x14ac:dyDescent="0.3">
      <c r="A2596" s="1" t="s">
        <v>13241</v>
      </c>
      <c r="B2596" s="1" t="s">
        <v>92</v>
      </c>
      <c r="C2596" s="1" t="s">
        <v>1160</v>
      </c>
      <c r="E2596" s="1" t="s">
        <v>3225</v>
      </c>
      <c r="F2596" s="1" t="s">
        <v>95</v>
      </c>
      <c r="G2596" s="1" t="s">
        <v>116</v>
      </c>
      <c r="H2596" s="1">
        <v>0</v>
      </c>
      <c r="I2596" s="1" t="s">
        <v>97</v>
      </c>
      <c r="L2596" s="1" t="s">
        <v>13242</v>
      </c>
      <c r="M2596" s="1" t="s">
        <v>119</v>
      </c>
      <c r="N2596" s="1">
        <v>0</v>
      </c>
      <c r="O2596" s="1">
        <v>0</v>
      </c>
      <c r="P2596" s="1" t="s">
        <v>471</v>
      </c>
      <c r="Q2596" s="1" t="s">
        <v>472</v>
      </c>
      <c r="R2596" s="1" t="s">
        <v>13243</v>
      </c>
      <c r="S2596" s="1" t="s">
        <v>13194</v>
      </c>
      <c r="T2596" s="1">
        <v>1</v>
      </c>
      <c r="U2596" s="1">
        <v>1</v>
      </c>
      <c r="V2596" s="1">
        <v>0</v>
      </c>
      <c r="W2596" s="1">
        <v>0</v>
      </c>
      <c r="X2596" s="1">
        <v>0</v>
      </c>
      <c r="Y2596" s="1" t="s">
        <v>104</v>
      </c>
      <c r="Z2596" s="1" t="s">
        <v>104</v>
      </c>
      <c r="AA2596" s="1">
        <v>3</v>
      </c>
      <c r="AB2596" s="1" t="s">
        <v>104</v>
      </c>
      <c r="AC2596" s="1" t="s">
        <v>104</v>
      </c>
      <c r="AD2596" s="1" t="s">
        <v>104</v>
      </c>
      <c r="AE2596" s="1" t="s">
        <v>104</v>
      </c>
      <c r="AF2596" s="1" t="s">
        <v>104</v>
      </c>
      <c r="AG2596" s="1" t="s">
        <v>104</v>
      </c>
      <c r="AH2596" s="1" t="s">
        <v>104</v>
      </c>
      <c r="AI2596" s="1">
        <v>3</v>
      </c>
      <c r="AJ2596" s="1">
        <v>3</v>
      </c>
      <c r="AK2596" s="1" t="s">
        <v>104</v>
      </c>
      <c r="AL2596" s="1" t="s">
        <v>104</v>
      </c>
      <c r="AM2596" s="1" t="s">
        <v>104</v>
      </c>
      <c r="AO2596" s="1">
        <v>3</v>
      </c>
      <c r="AR2596" s="1">
        <v>0</v>
      </c>
      <c r="AS2596" s="1">
        <v>0</v>
      </c>
      <c r="AT2596" s="1">
        <v>0</v>
      </c>
      <c r="AU2596" s="1">
        <v>0</v>
      </c>
      <c r="AV2596" s="1">
        <v>0</v>
      </c>
      <c r="AW2596" s="1">
        <v>0</v>
      </c>
      <c r="AX2596" s="1">
        <v>0</v>
      </c>
      <c r="AY2596" s="1">
        <v>0</v>
      </c>
      <c r="AZ2596" s="1">
        <v>0</v>
      </c>
      <c r="BA2596" s="1">
        <v>0</v>
      </c>
      <c r="BB2596" s="1">
        <v>0</v>
      </c>
      <c r="BC2596" s="1">
        <v>0</v>
      </c>
      <c r="BD2596" s="1">
        <v>0</v>
      </c>
      <c r="BE2596" s="1">
        <v>0</v>
      </c>
      <c r="BF2596" s="1">
        <v>0</v>
      </c>
      <c r="BG2596" s="1">
        <v>0</v>
      </c>
      <c r="BH2596" s="1">
        <v>0</v>
      </c>
      <c r="BI2596" s="1">
        <v>0</v>
      </c>
      <c r="BJ2596" s="1">
        <v>0</v>
      </c>
      <c r="BK2596" s="1">
        <v>0</v>
      </c>
      <c r="BL2596" s="1">
        <v>0</v>
      </c>
      <c r="BM2596" s="1">
        <v>0</v>
      </c>
      <c r="BN2596" s="1">
        <v>0</v>
      </c>
      <c r="BO2596" s="1">
        <v>0</v>
      </c>
      <c r="BP2596" s="1">
        <v>0</v>
      </c>
      <c r="BQ2596" s="1" t="s">
        <v>104</v>
      </c>
      <c r="BR2596" s="1">
        <v>2729</v>
      </c>
      <c r="BS2596" s="1" t="s">
        <v>104</v>
      </c>
      <c r="BX2596" s="1">
        <v>0</v>
      </c>
      <c r="BY2596" s="1" t="s">
        <v>104</v>
      </c>
      <c r="BZ2596" s="1" t="s">
        <v>104</v>
      </c>
      <c r="CA2596" s="1" t="s">
        <v>104</v>
      </c>
      <c r="CB2596" s="1" t="s">
        <v>104</v>
      </c>
      <c r="CC2596" s="1" t="s">
        <v>104</v>
      </c>
      <c r="CD2596" s="1" t="s">
        <v>104</v>
      </c>
      <c r="CE2596" s="1" t="s">
        <v>104</v>
      </c>
      <c r="CF2596" s="1" t="s">
        <v>104</v>
      </c>
      <c r="CG2596" s="1" t="s">
        <v>104</v>
      </c>
      <c r="CH2596" s="1" t="s">
        <v>104</v>
      </c>
      <c r="CJ2596" s="1">
        <v>0</v>
      </c>
      <c r="CK2596" s="1">
        <v>0</v>
      </c>
      <c r="CL2596" s="1">
        <v>0</v>
      </c>
      <c r="CM2596" s="1" t="s">
        <v>104</v>
      </c>
    </row>
    <row r="2597" spans="1:91" ht="14.25" customHeight="1" x14ac:dyDescent="0.3">
      <c r="A2597" s="1" t="s">
        <v>13244</v>
      </c>
      <c r="B2597" s="1" t="s">
        <v>92</v>
      </c>
      <c r="C2597" s="1" t="s">
        <v>1160</v>
      </c>
      <c r="E2597" s="1" t="s">
        <v>146</v>
      </c>
      <c r="F2597" s="1" t="s">
        <v>95</v>
      </c>
      <c r="G2597" s="1" t="s">
        <v>116</v>
      </c>
      <c r="H2597" s="1">
        <v>0</v>
      </c>
      <c r="I2597" s="1" t="s">
        <v>97</v>
      </c>
      <c r="L2597" s="1" t="s">
        <v>13242</v>
      </c>
      <c r="M2597" s="1" t="s">
        <v>119</v>
      </c>
      <c r="N2597" s="1">
        <v>0</v>
      </c>
      <c r="O2597" s="1">
        <v>0</v>
      </c>
      <c r="P2597" s="1" t="s">
        <v>471</v>
      </c>
      <c r="Q2597" s="1" t="s">
        <v>472</v>
      </c>
      <c r="R2597" s="1" t="s">
        <v>13245</v>
      </c>
      <c r="S2597" s="1" t="s">
        <v>13194</v>
      </c>
      <c r="T2597" s="1">
        <v>1</v>
      </c>
      <c r="U2597" s="1">
        <v>1</v>
      </c>
      <c r="V2597" s="1">
        <v>0</v>
      </c>
      <c r="W2597" s="1">
        <v>0</v>
      </c>
      <c r="X2597" s="1">
        <v>0</v>
      </c>
      <c r="Y2597" s="1" t="s">
        <v>104</v>
      </c>
      <c r="Z2597" s="1" t="s">
        <v>104</v>
      </c>
      <c r="AA2597" s="1">
        <v>2</v>
      </c>
      <c r="AB2597" s="1" t="s">
        <v>104</v>
      </c>
      <c r="AC2597" s="1" t="s">
        <v>104</v>
      </c>
      <c r="AD2597" s="1" t="s">
        <v>104</v>
      </c>
      <c r="AE2597" s="1" t="s">
        <v>104</v>
      </c>
      <c r="AF2597" s="1" t="s">
        <v>104</v>
      </c>
      <c r="AG2597" s="1" t="s">
        <v>104</v>
      </c>
      <c r="AH2597" s="1" t="s">
        <v>104</v>
      </c>
      <c r="AI2597" s="1">
        <v>2</v>
      </c>
      <c r="AJ2597" s="1">
        <v>2</v>
      </c>
      <c r="AK2597" s="1" t="s">
        <v>104</v>
      </c>
      <c r="AL2597" s="1" t="s">
        <v>104</v>
      </c>
      <c r="AM2597" s="1" t="s">
        <v>104</v>
      </c>
      <c r="AO2597" s="1">
        <v>2</v>
      </c>
      <c r="AR2597" s="1">
        <v>0</v>
      </c>
      <c r="AS2597" s="1">
        <v>0</v>
      </c>
      <c r="AT2597" s="1">
        <v>0</v>
      </c>
      <c r="AU2597" s="1">
        <v>0</v>
      </c>
      <c r="AV2597" s="1">
        <v>0</v>
      </c>
      <c r="AW2597" s="1">
        <v>0</v>
      </c>
      <c r="AX2597" s="1">
        <v>0</v>
      </c>
      <c r="AY2597" s="1">
        <v>0</v>
      </c>
      <c r="AZ2597" s="1">
        <v>0</v>
      </c>
      <c r="BA2597" s="1">
        <v>0</v>
      </c>
      <c r="BB2597" s="1">
        <v>0</v>
      </c>
      <c r="BC2597" s="1">
        <v>0</v>
      </c>
      <c r="BD2597" s="1">
        <v>0</v>
      </c>
      <c r="BE2597" s="1">
        <v>0</v>
      </c>
      <c r="BF2597" s="1">
        <v>0</v>
      </c>
      <c r="BG2597" s="1">
        <v>0</v>
      </c>
      <c r="BH2597" s="1">
        <v>0</v>
      </c>
      <c r="BI2597" s="1">
        <v>0</v>
      </c>
      <c r="BJ2597" s="1">
        <v>0</v>
      </c>
      <c r="BK2597" s="1">
        <v>0</v>
      </c>
      <c r="BL2597" s="1">
        <v>0</v>
      </c>
      <c r="BM2597" s="1">
        <v>0</v>
      </c>
      <c r="BN2597" s="1">
        <v>0</v>
      </c>
      <c r="BO2597" s="1">
        <v>0</v>
      </c>
      <c r="BP2597" s="1">
        <v>0</v>
      </c>
      <c r="BQ2597" s="1" t="s">
        <v>104</v>
      </c>
      <c r="BR2597" s="1">
        <v>2730</v>
      </c>
      <c r="BS2597" s="1" t="s">
        <v>104</v>
      </c>
      <c r="BX2597" s="1">
        <v>0</v>
      </c>
      <c r="BY2597" s="1" t="s">
        <v>104</v>
      </c>
      <c r="BZ2597" s="1" t="s">
        <v>104</v>
      </c>
      <c r="CA2597" s="1" t="s">
        <v>104</v>
      </c>
      <c r="CB2597" s="1" t="s">
        <v>104</v>
      </c>
      <c r="CC2597" s="1" t="s">
        <v>104</v>
      </c>
      <c r="CD2597" s="1" t="s">
        <v>104</v>
      </c>
      <c r="CE2597" s="1" t="s">
        <v>104</v>
      </c>
      <c r="CF2597" s="1" t="s">
        <v>104</v>
      </c>
      <c r="CG2597" s="1" t="s">
        <v>104</v>
      </c>
      <c r="CH2597" s="1" t="s">
        <v>104</v>
      </c>
      <c r="CJ2597" s="1">
        <v>0</v>
      </c>
      <c r="CK2597" s="1">
        <v>0</v>
      </c>
      <c r="CL2597" s="1">
        <v>0</v>
      </c>
      <c r="CM2597" s="1" t="s">
        <v>104</v>
      </c>
    </row>
    <row r="2598" spans="1:91" ht="14.25" customHeight="1" x14ac:dyDescent="0.3">
      <c r="A2598" s="1" t="s">
        <v>13246</v>
      </c>
      <c r="B2598" s="1" t="s">
        <v>434</v>
      </c>
      <c r="E2598" s="1" t="s">
        <v>13247</v>
      </c>
      <c r="F2598" s="1" t="s">
        <v>95</v>
      </c>
      <c r="G2598" s="1" t="s">
        <v>237</v>
      </c>
      <c r="H2598" s="1">
        <v>0</v>
      </c>
      <c r="I2598" s="1" t="s">
        <v>97</v>
      </c>
      <c r="L2598" s="1" t="s">
        <v>1065</v>
      </c>
      <c r="M2598" s="1" t="s">
        <v>119</v>
      </c>
      <c r="N2598" s="1">
        <v>0</v>
      </c>
      <c r="O2598" s="1">
        <v>0</v>
      </c>
      <c r="P2598" s="1" t="s">
        <v>276</v>
      </c>
      <c r="Q2598" s="1" t="s">
        <v>184</v>
      </c>
      <c r="R2598" s="1" t="s">
        <v>13248</v>
      </c>
      <c r="S2598" s="1" t="s">
        <v>13194</v>
      </c>
      <c r="T2598" s="1">
        <v>1</v>
      </c>
      <c r="U2598" s="1">
        <v>0</v>
      </c>
      <c r="V2598" s="1">
        <v>0</v>
      </c>
      <c r="W2598" s="1">
        <v>0</v>
      </c>
      <c r="X2598" s="1">
        <v>0</v>
      </c>
      <c r="Y2598" s="1" t="s">
        <v>104</v>
      </c>
      <c r="Z2598" s="1" t="s">
        <v>104</v>
      </c>
      <c r="AA2598" s="1">
        <v>6</v>
      </c>
      <c r="AB2598" s="1" t="s">
        <v>104</v>
      </c>
      <c r="AC2598" s="1" t="s">
        <v>104</v>
      </c>
      <c r="AD2598" s="1" t="s">
        <v>104</v>
      </c>
      <c r="AE2598" s="1" t="s">
        <v>104</v>
      </c>
      <c r="AF2598" s="1" t="s">
        <v>104</v>
      </c>
      <c r="AG2598" s="1" t="s">
        <v>104</v>
      </c>
      <c r="AH2598" s="1">
        <v>6</v>
      </c>
      <c r="AI2598" s="1" t="s">
        <v>104</v>
      </c>
      <c r="AJ2598" s="1">
        <v>6</v>
      </c>
      <c r="AK2598" s="1" t="s">
        <v>104</v>
      </c>
      <c r="AL2598" s="1" t="s">
        <v>104</v>
      </c>
      <c r="AM2598" s="1" t="s">
        <v>104</v>
      </c>
      <c r="AO2598" s="1">
        <v>6</v>
      </c>
      <c r="AR2598" s="1">
        <v>0</v>
      </c>
      <c r="AS2598" s="1">
        <v>0</v>
      </c>
      <c r="AT2598" s="1">
        <v>0</v>
      </c>
      <c r="AU2598" s="1">
        <v>0</v>
      </c>
      <c r="AV2598" s="1">
        <v>0</v>
      </c>
      <c r="AW2598" s="1">
        <v>0</v>
      </c>
      <c r="AX2598" s="1">
        <v>0</v>
      </c>
      <c r="AY2598" s="1">
        <v>0</v>
      </c>
      <c r="AZ2598" s="1">
        <v>0</v>
      </c>
      <c r="BA2598" s="1">
        <v>0</v>
      </c>
      <c r="BB2598" s="1">
        <v>0</v>
      </c>
      <c r="BC2598" s="1">
        <v>0</v>
      </c>
      <c r="BD2598" s="1">
        <v>0</v>
      </c>
      <c r="BE2598" s="1">
        <v>0</v>
      </c>
      <c r="BF2598" s="1">
        <v>0</v>
      </c>
      <c r="BG2598" s="1">
        <v>0</v>
      </c>
      <c r="BH2598" s="1">
        <v>0</v>
      </c>
      <c r="BI2598" s="1">
        <v>0</v>
      </c>
      <c r="BJ2598" s="1">
        <v>0</v>
      </c>
      <c r="BK2598" s="1">
        <v>0</v>
      </c>
      <c r="BL2598" s="1">
        <v>0</v>
      </c>
      <c r="BM2598" s="1">
        <v>0</v>
      </c>
      <c r="BN2598" s="1">
        <v>0</v>
      </c>
      <c r="BO2598" s="1">
        <v>0</v>
      </c>
      <c r="BP2598" s="1">
        <v>0</v>
      </c>
      <c r="BQ2598" s="1" t="s">
        <v>104</v>
      </c>
      <c r="BR2598" s="1">
        <v>2731</v>
      </c>
      <c r="BS2598" s="1" t="s">
        <v>104</v>
      </c>
      <c r="BX2598" s="1">
        <v>0</v>
      </c>
      <c r="BY2598" s="1" t="s">
        <v>104</v>
      </c>
      <c r="BZ2598" s="1">
        <v>6</v>
      </c>
      <c r="CA2598" s="1">
        <v>6</v>
      </c>
      <c r="CB2598" s="1" t="s">
        <v>104</v>
      </c>
      <c r="CC2598" s="1" t="s">
        <v>104</v>
      </c>
      <c r="CD2598" s="1">
        <v>6</v>
      </c>
      <c r="CE2598" s="1" t="s">
        <v>104</v>
      </c>
      <c r="CF2598" s="1" t="s">
        <v>104</v>
      </c>
      <c r="CG2598" s="1" t="s">
        <v>104</v>
      </c>
      <c r="CH2598" s="1" t="s">
        <v>104</v>
      </c>
      <c r="CJ2598" s="1">
        <v>0</v>
      </c>
      <c r="CK2598" s="1">
        <v>0</v>
      </c>
      <c r="CL2598" s="1">
        <v>0</v>
      </c>
      <c r="CM2598" s="1" t="s">
        <v>104</v>
      </c>
    </row>
    <row r="2599" spans="1:91" ht="14.25" customHeight="1" x14ac:dyDescent="0.3">
      <c r="A2599" s="1" t="s">
        <v>13249</v>
      </c>
      <c r="B2599" s="1" t="s">
        <v>172</v>
      </c>
      <c r="D2599" s="1" t="s">
        <v>125</v>
      </c>
      <c r="E2599" s="1" t="s">
        <v>13250</v>
      </c>
      <c r="F2599" s="1" t="s">
        <v>95</v>
      </c>
      <c r="G2599" s="1" t="s">
        <v>13251</v>
      </c>
      <c r="H2599" s="1">
        <v>0</v>
      </c>
      <c r="I2599" s="1" t="s">
        <v>9953</v>
      </c>
      <c r="L2599" s="1" t="s">
        <v>13252</v>
      </c>
      <c r="M2599" s="1" t="s">
        <v>5420</v>
      </c>
      <c r="N2599" s="1">
        <v>0</v>
      </c>
      <c r="O2599" s="1">
        <v>0</v>
      </c>
      <c r="P2599" s="1" t="s">
        <v>418</v>
      </c>
      <c r="Q2599" s="1" t="s">
        <v>101</v>
      </c>
      <c r="R2599" s="1" t="s">
        <v>13253</v>
      </c>
      <c r="S2599" s="1" t="s">
        <v>13194</v>
      </c>
      <c r="T2599" s="1">
        <v>1</v>
      </c>
      <c r="U2599" s="1">
        <v>1</v>
      </c>
      <c r="V2599" s="1">
        <v>1</v>
      </c>
      <c r="W2599" s="1">
        <v>0</v>
      </c>
      <c r="X2599" s="1">
        <v>0</v>
      </c>
      <c r="Y2599" s="1">
        <v>4</v>
      </c>
      <c r="Z2599" s="1">
        <v>4</v>
      </c>
      <c r="AA2599" s="1" t="s">
        <v>104</v>
      </c>
      <c r="AB2599" s="1" t="s">
        <v>104</v>
      </c>
      <c r="AC2599" s="1" t="s">
        <v>104</v>
      </c>
      <c r="AD2599" s="1">
        <v>4</v>
      </c>
      <c r="AE2599" s="1" t="s">
        <v>104</v>
      </c>
      <c r="AF2599" s="1">
        <v>4</v>
      </c>
      <c r="AG2599" s="1" t="s">
        <v>104</v>
      </c>
      <c r="AH2599" s="1">
        <v>4</v>
      </c>
      <c r="AI2599" s="1">
        <v>4</v>
      </c>
      <c r="AJ2599" s="1" t="s">
        <v>104</v>
      </c>
      <c r="AK2599" s="1">
        <v>4</v>
      </c>
      <c r="AL2599" s="1" t="s">
        <v>104</v>
      </c>
      <c r="AM2599" s="1" t="s">
        <v>104</v>
      </c>
      <c r="AO2599" s="1">
        <v>4</v>
      </c>
      <c r="AR2599" s="1">
        <v>0</v>
      </c>
      <c r="AS2599" s="1">
        <v>0</v>
      </c>
      <c r="AT2599" s="1">
        <v>0</v>
      </c>
      <c r="AU2599" s="1">
        <v>0</v>
      </c>
      <c r="AV2599" s="1">
        <v>0</v>
      </c>
      <c r="AW2599" s="1">
        <v>0</v>
      </c>
      <c r="AX2599" s="1">
        <v>0</v>
      </c>
      <c r="AY2599" s="1">
        <v>0</v>
      </c>
      <c r="AZ2599" s="1">
        <v>0</v>
      </c>
      <c r="BA2599" s="1">
        <v>0</v>
      </c>
      <c r="BB2599" s="1">
        <v>0</v>
      </c>
      <c r="BC2599" s="1">
        <v>0</v>
      </c>
      <c r="BD2599" s="1">
        <v>0</v>
      </c>
      <c r="BE2599" s="1">
        <v>0</v>
      </c>
      <c r="BF2599" s="1">
        <v>0</v>
      </c>
      <c r="BG2599" s="1">
        <v>0</v>
      </c>
      <c r="BH2599" s="1">
        <v>0</v>
      </c>
      <c r="BI2599" s="1">
        <v>0</v>
      </c>
      <c r="BJ2599" s="1">
        <v>0</v>
      </c>
      <c r="BK2599" s="1">
        <v>1</v>
      </c>
      <c r="BL2599" s="1">
        <v>0</v>
      </c>
      <c r="BM2599" s="1">
        <v>0</v>
      </c>
      <c r="BN2599" s="1">
        <v>0</v>
      </c>
      <c r="BO2599" s="1">
        <v>0</v>
      </c>
      <c r="BP2599" s="1">
        <v>0</v>
      </c>
      <c r="BQ2599" s="1" t="s">
        <v>104</v>
      </c>
      <c r="BR2599" s="1">
        <v>2732</v>
      </c>
      <c r="BS2599" s="1" t="s">
        <v>104</v>
      </c>
      <c r="BX2599" s="1">
        <v>0</v>
      </c>
      <c r="BY2599" s="1" t="s">
        <v>104</v>
      </c>
      <c r="BZ2599" s="1" t="s">
        <v>104</v>
      </c>
      <c r="CA2599" s="1">
        <v>4</v>
      </c>
      <c r="CB2599" s="1" t="s">
        <v>104</v>
      </c>
      <c r="CC2599" s="1">
        <v>4</v>
      </c>
      <c r="CD2599" s="1" t="s">
        <v>104</v>
      </c>
      <c r="CE2599" s="1" t="s">
        <v>104</v>
      </c>
      <c r="CF2599" s="1" t="s">
        <v>104</v>
      </c>
      <c r="CG2599" s="1" t="s">
        <v>104</v>
      </c>
      <c r="CH2599" s="1" t="s">
        <v>104</v>
      </c>
      <c r="CJ2599" s="1">
        <v>0</v>
      </c>
      <c r="CK2599" s="1">
        <v>0</v>
      </c>
      <c r="CL2599" s="1">
        <v>0</v>
      </c>
      <c r="CM2599" s="1" t="s">
        <v>104</v>
      </c>
    </row>
    <row r="2600" spans="1:91" ht="14.25" customHeight="1" x14ac:dyDescent="0.3">
      <c r="A2600" s="1" t="s">
        <v>13254</v>
      </c>
      <c r="B2600" s="1" t="s">
        <v>507</v>
      </c>
      <c r="C2600" s="1" t="s">
        <v>1767</v>
      </c>
      <c r="E2600" s="1" t="s">
        <v>13255</v>
      </c>
      <c r="F2600" s="1" t="s">
        <v>95</v>
      </c>
      <c r="G2600" s="1" t="s">
        <v>13256</v>
      </c>
      <c r="H2600" s="1">
        <v>0</v>
      </c>
      <c r="I2600" s="1" t="s">
        <v>6411</v>
      </c>
      <c r="K2600" s="1" t="s">
        <v>4443</v>
      </c>
      <c r="M2600" s="1" t="s">
        <v>111</v>
      </c>
      <c r="N2600" s="1">
        <v>0</v>
      </c>
      <c r="O2600" s="1">
        <v>0</v>
      </c>
      <c r="P2600" s="1" t="s">
        <v>211</v>
      </c>
      <c r="Q2600" s="1" t="s">
        <v>184</v>
      </c>
      <c r="R2600" s="1" t="s">
        <v>13257</v>
      </c>
      <c r="S2600" s="1" t="s">
        <v>13194</v>
      </c>
      <c r="T2600" s="1">
        <v>1</v>
      </c>
      <c r="U2600" s="1">
        <v>1</v>
      </c>
      <c r="V2600" s="1">
        <v>1</v>
      </c>
      <c r="W2600" s="1">
        <v>0</v>
      </c>
      <c r="X2600" s="1">
        <v>1</v>
      </c>
      <c r="Y2600" s="1">
        <v>1</v>
      </c>
      <c r="Z2600" s="1">
        <v>1</v>
      </c>
      <c r="AA2600" s="1" t="s">
        <v>104</v>
      </c>
      <c r="AB2600" s="1" t="s">
        <v>104</v>
      </c>
      <c r="AC2600" s="1" t="s">
        <v>104</v>
      </c>
      <c r="AD2600" s="1">
        <v>1</v>
      </c>
      <c r="AE2600" s="1" t="s">
        <v>104</v>
      </c>
      <c r="AF2600" s="1" t="s">
        <v>104</v>
      </c>
      <c r="AG2600" s="1" t="s">
        <v>104</v>
      </c>
      <c r="AH2600" s="1">
        <v>1</v>
      </c>
      <c r="AI2600" s="1" t="s">
        <v>104</v>
      </c>
      <c r="AJ2600" s="1" t="s">
        <v>104</v>
      </c>
      <c r="AK2600" s="1">
        <v>1</v>
      </c>
      <c r="AL2600" s="1" t="s">
        <v>104</v>
      </c>
      <c r="AM2600" s="1" t="s">
        <v>104</v>
      </c>
      <c r="AO2600" s="1">
        <v>1</v>
      </c>
      <c r="AR2600" s="1">
        <v>0</v>
      </c>
      <c r="AS2600" s="1">
        <v>0</v>
      </c>
      <c r="AT2600" s="1">
        <v>0</v>
      </c>
      <c r="AU2600" s="1">
        <v>0</v>
      </c>
      <c r="AV2600" s="1">
        <v>0</v>
      </c>
      <c r="AW2600" s="1">
        <v>0</v>
      </c>
      <c r="AX2600" s="1">
        <v>0</v>
      </c>
      <c r="AY2600" s="1">
        <v>0</v>
      </c>
      <c r="AZ2600" s="1">
        <v>0</v>
      </c>
      <c r="BA2600" s="1">
        <v>0</v>
      </c>
      <c r="BB2600" s="1">
        <v>0</v>
      </c>
      <c r="BC2600" s="1">
        <v>0</v>
      </c>
      <c r="BD2600" s="1">
        <v>0</v>
      </c>
      <c r="BE2600" s="1">
        <v>0</v>
      </c>
      <c r="BF2600" s="1">
        <v>0</v>
      </c>
      <c r="BG2600" s="1">
        <v>0</v>
      </c>
      <c r="BH2600" s="1">
        <v>0</v>
      </c>
      <c r="BI2600" s="1">
        <v>0</v>
      </c>
      <c r="BJ2600" s="1">
        <v>0</v>
      </c>
      <c r="BK2600" s="1">
        <v>0</v>
      </c>
      <c r="BL2600" s="1">
        <v>0</v>
      </c>
      <c r="BM2600" s="1">
        <v>0</v>
      </c>
      <c r="BN2600" s="1">
        <v>0</v>
      </c>
      <c r="BO2600" s="1">
        <v>0</v>
      </c>
      <c r="BP2600" s="1">
        <v>0</v>
      </c>
      <c r="BQ2600" s="1" t="s">
        <v>104</v>
      </c>
      <c r="BR2600" s="1">
        <v>2733</v>
      </c>
      <c r="BS2600" s="1" t="s">
        <v>104</v>
      </c>
      <c r="BX2600" s="1">
        <v>0</v>
      </c>
      <c r="BY2600" s="1" t="s">
        <v>104</v>
      </c>
      <c r="BZ2600" s="1">
        <v>1</v>
      </c>
      <c r="CA2600" s="1">
        <v>1</v>
      </c>
      <c r="CB2600" s="1" t="s">
        <v>104</v>
      </c>
      <c r="CC2600" s="1" t="s">
        <v>104</v>
      </c>
      <c r="CD2600" s="1" t="s">
        <v>104</v>
      </c>
      <c r="CE2600" s="1" t="s">
        <v>104</v>
      </c>
      <c r="CF2600" s="1" t="s">
        <v>104</v>
      </c>
      <c r="CG2600" s="1" t="s">
        <v>104</v>
      </c>
      <c r="CH2600" s="1" t="s">
        <v>104</v>
      </c>
      <c r="CJ2600" s="1">
        <v>0</v>
      </c>
      <c r="CK2600" s="1">
        <v>0</v>
      </c>
      <c r="CL2600" s="1">
        <v>0</v>
      </c>
      <c r="CM2600" s="1" t="s">
        <v>104</v>
      </c>
    </row>
    <row r="2601" spans="1:91" ht="14.25" customHeight="1" x14ac:dyDescent="0.3">
      <c r="A2601" s="1" t="s">
        <v>13258</v>
      </c>
      <c r="B2601" s="1" t="s">
        <v>162</v>
      </c>
      <c r="D2601" s="1" t="s">
        <v>10956</v>
      </c>
      <c r="E2601" s="1" t="s">
        <v>11545</v>
      </c>
      <c r="F2601" s="1" t="s">
        <v>95</v>
      </c>
      <c r="G2601" s="1" t="s">
        <v>116</v>
      </c>
      <c r="H2601" s="1">
        <v>0</v>
      </c>
      <c r="I2601" s="1" t="s">
        <v>117</v>
      </c>
      <c r="L2601" s="1" t="s">
        <v>13259</v>
      </c>
      <c r="M2601" s="1" t="s">
        <v>2591</v>
      </c>
      <c r="N2601" s="1">
        <v>0</v>
      </c>
      <c r="O2601" s="1">
        <v>0</v>
      </c>
      <c r="P2601" s="1" t="s">
        <v>276</v>
      </c>
      <c r="Q2601" s="1" t="s">
        <v>101</v>
      </c>
      <c r="R2601" s="1" t="s">
        <v>13260</v>
      </c>
      <c r="S2601" s="1" t="s">
        <v>13194</v>
      </c>
      <c r="T2601" s="1">
        <v>1</v>
      </c>
      <c r="U2601" s="1">
        <v>1</v>
      </c>
      <c r="V2601" s="1">
        <v>0</v>
      </c>
      <c r="W2601" s="1">
        <v>0</v>
      </c>
      <c r="X2601" s="1">
        <v>0</v>
      </c>
      <c r="Y2601" s="1">
        <v>2</v>
      </c>
      <c r="Z2601" s="1">
        <v>2</v>
      </c>
      <c r="AA2601" s="1" t="s">
        <v>104</v>
      </c>
      <c r="AB2601" s="1" t="s">
        <v>104</v>
      </c>
      <c r="AC2601" s="1" t="s">
        <v>104</v>
      </c>
      <c r="AD2601" s="1">
        <v>2</v>
      </c>
      <c r="AE2601" s="1" t="s">
        <v>104</v>
      </c>
      <c r="AF2601" s="1" t="s">
        <v>104</v>
      </c>
      <c r="AG2601" s="1" t="s">
        <v>104</v>
      </c>
      <c r="AH2601" s="1" t="s">
        <v>104</v>
      </c>
      <c r="AI2601" s="1" t="s">
        <v>104</v>
      </c>
      <c r="AJ2601" s="1" t="s">
        <v>104</v>
      </c>
      <c r="AK2601" s="1">
        <v>2</v>
      </c>
      <c r="AL2601" s="1" t="s">
        <v>104</v>
      </c>
      <c r="AM2601" s="1" t="s">
        <v>104</v>
      </c>
      <c r="AO2601" s="1">
        <v>2</v>
      </c>
      <c r="AR2601" s="1">
        <v>0</v>
      </c>
      <c r="AS2601" s="1">
        <v>0</v>
      </c>
      <c r="AT2601" s="1">
        <v>0</v>
      </c>
      <c r="AU2601" s="1">
        <v>0</v>
      </c>
      <c r="AV2601" s="1">
        <v>0</v>
      </c>
      <c r="AW2601" s="1">
        <v>0</v>
      </c>
      <c r="AX2601" s="1">
        <v>0</v>
      </c>
      <c r="AY2601" s="1">
        <v>0</v>
      </c>
      <c r="AZ2601" s="1">
        <v>0</v>
      </c>
      <c r="BA2601" s="1">
        <v>0</v>
      </c>
      <c r="BB2601" s="1">
        <v>0</v>
      </c>
      <c r="BC2601" s="1">
        <v>0</v>
      </c>
      <c r="BD2601" s="1">
        <v>0</v>
      </c>
      <c r="BE2601" s="1">
        <v>0</v>
      </c>
      <c r="BF2601" s="1">
        <v>0</v>
      </c>
      <c r="BG2601" s="1">
        <v>0</v>
      </c>
      <c r="BH2601" s="1">
        <v>0</v>
      </c>
      <c r="BI2601" s="1">
        <v>0</v>
      </c>
      <c r="BJ2601" s="1">
        <v>0</v>
      </c>
      <c r="BK2601" s="1">
        <v>1</v>
      </c>
      <c r="BL2601" s="1">
        <v>1</v>
      </c>
      <c r="BM2601" s="1">
        <v>0</v>
      </c>
      <c r="BN2601" s="1">
        <v>0</v>
      </c>
      <c r="BO2601" s="1">
        <v>0</v>
      </c>
      <c r="BP2601" s="1">
        <v>0</v>
      </c>
      <c r="BQ2601" s="1" t="s">
        <v>104</v>
      </c>
      <c r="BR2601" s="1">
        <v>2734</v>
      </c>
      <c r="BS2601" s="1" t="s">
        <v>104</v>
      </c>
      <c r="BX2601" s="1">
        <v>0</v>
      </c>
      <c r="BY2601" s="1" t="s">
        <v>104</v>
      </c>
      <c r="BZ2601" s="1" t="s">
        <v>104</v>
      </c>
      <c r="CA2601" s="1">
        <v>2</v>
      </c>
      <c r="CB2601" s="1" t="s">
        <v>104</v>
      </c>
      <c r="CC2601" s="1">
        <v>2</v>
      </c>
      <c r="CD2601" s="1" t="s">
        <v>104</v>
      </c>
      <c r="CE2601" s="1" t="s">
        <v>104</v>
      </c>
      <c r="CF2601" s="1" t="s">
        <v>104</v>
      </c>
      <c r="CG2601" s="1" t="s">
        <v>104</v>
      </c>
      <c r="CH2601" s="1" t="s">
        <v>104</v>
      </c>
      <c r="CJ2601" s="1">
        <v>0</v>
      </c>
      <c r="CK2601" s="1">
        <v>0</v>
      </c>
      <c r="CL2601" s="1">
        <v>0</v>
      </c>
      <c r="CM2601" s="1" t="s">
        <v>104</v>
      </c>
    </row>
    <row r="2602" spans="1:91" ht="14.25" customHeight="1" x14ac:dyDescent="0.3">
      <c r="A2602" s="1" t="s">
        <v>13261</v>
      </c>
      <c r="B2602" s="1" t="s">
        <v>123</v>
      </c>
      <c r="C2602" s="1" t="s">
        <v>124</v>
      </c>
      <c r="D2602" s="1" t="s">
        <v>728</v>
      </c>
      <c r="E2602" s="1" t="s">
        <v>13262</v>
      </c>
      <c r="F2602" s="1" t="s">
        <v>287</v>
      </c>
      <c r="G2602" s="1" t="s">
        <v>1802</v>
      </c>
      <c r="H2602" s="1">
        <v>0</v>
      </c>
      <c r="I2602" s="1" t="s">
        <v>128</v>
      </c>
      <c r="L2602" s="1" t="s">
        <v>13263</v>
      </c>
      <c r="M2602" s="1" t="s">
        <v>2330</v>
      </c>
      <c r="N2602" s="1">
        <v>0</v>
      </c>
      <c r="O2602" s="1">
        <v>0</v>
      </c>
      <c r="P2602" s="1" t="s">
        <v>418</v>
      </c>
      <c r="Q2602" s="1" t="s">
        <v>184</v>
      </c>
      <c r="R2602" s="1" t="s">
        <v>13264</v>
      </c>
      <c r="S2602" s="1" t="s">
        <v>13194</v>
      </c>
      <c r="T2602" s="1">
        <v>0</v>
      </c>
      <c r="U2602" s="1">
        <v>1</v>
      </c>
      <c r="V2602" s="1">
        <v>0</v>
      </c>
      <c r="W2602" s="1">
        <v>0</v>
      </c>
      <c r="X2602" s="1">
        <v>0</v>
      </c>
      <c r="Y2602" s="1">
        <v>3</v>
      </c>
      <c r="Z2602" s="1">
        <v>3</v>
      </c>
      <c r="AA2602" s="1" t="s">
        <v>104</v>
      </c>
      <c r="AB2602" s="1" t="s">
        <v>104</v>
      </c>
      <c r="AC2602" s="1" t="s">
        <v>104</v>
      </c>
      <c r="AD2602" s="1">
        <v>3</v>
      </c>
      <c r="AE2602" s="1" t="s">
        <v>104</v>
      </c>
      <c r="AF2602" s="1" t="s">
        <v>104</v>
      </c>
      <c r="AG2602" s="1" t="s">
        <v>104</v>
      </c>
      <c r="AH2602" s="1">
        <v>3</v>
      </c>
      <c r="AI2602" s="1">
        <v>3</v>
      </c>
      <c r="AJ2602" s="1" t="s">
        <v>104</v>
      </c>
      <c r="AK2602" s="1" t="s">
        <v>104</v>
      </c>
      <c r="AL2602" s="1" t="s">
        <v>104</v>
      </c>
      <c r="AM2602" s="1" t="s">
        <v>104</v>
      </c>
      <c r="AO2602" s="1">
        <v>3</v>
      </c>
      <c r="AR2602" s="1">
        <v>0</v>
      </c>
      <c r="AS2602" s="1">
        <v>0</v>
      </c>
      <c r="AT2602" s="1">
        <v>0</v>
      </c>
      <c r="AU2602" s="1">
        <v>0</v>
      </c>
      <c r="AV2602" s="1">
        <v>0</v>
      </c>
      <c r="AW2602" s="1">
        <v>0</v>
      </c>
      <c r="AX2602" s="1">
        <v>0</v>
      </c>
      <c r="AY2602" s="1">
        <v>0</v>
      </c>
      <c r="AZ2602" s="1">
        <v>0</v>
      </c>
      <c r="BA2602" s="1">
        <v>0</v>
      </c>
      <c r="BB2602" s="1">
        <v>0</v>
      </c>
      <c r="BC2602" s="1">
        <v>0</v>
      </c>
      <c r="BD2602" s="1">
        <v>0</v>
      </c>
      <c r="BE2602" s="1">
        <v>0</v>
      </c>
      <c r="BF2602" s="1">
        <v>0</v>
      </c>
      <c r="BG2602" s="1">
        <v>0</v>
      </c>
      <c r="BH2602" s="1">
        <v>1</v>
      </c>
      <c r="BI2602" s="1">
        <v>0</v>
      </c>
      <c r="BJ2602" s="1">
        <v>0</v>
      </c>
      <c r="BK2602" s="1">
        <v>1</v>
      </c>
      <c r="BL2602" s="1">
        <v>0</v>
      </c>
      <c r="BM2602" s="1">
        <v>0</v>
      </c>
      <c r="BN2602" s="1">
        <v>0</v>
      </c>
      <c r="BO2602" s="1">
        <v>0</v>
      </c>
      <c r="BP2602" s="1">
        <v>0</v>
      </c>
      <c r="BQ2602" s="1" t="s">
        <v>104</v>
      </c>
      <c r="BR2602" s="1">
        <v>2735</v>
      </c>
      <c r="BS2602" s="1" t="s">
        <v>104</v>
      </c>
      <c r="BX2602" s="1">
        <v>0</v>
      </c>
      <c r="BY2602" s="1" t="s">
        <v>104</v>
      </c>
      <c r="BZ2602" s="1" t="s">
        <v>104</v>
      </c>
      <c r="CA2602" s="1">
        <v>3</v>
      </c>
      <c r="CB2602" s="1" t="s">
        <v>104</v>
      </c>
      <c r="CC2602" s="1">
        <v>3</v>
      </c>
      <c r="CD2602" s="1" t="s">
        <v>104</v>
      </c>
      <c r="CE2602" s="1" t="s">
        <v>104</v>
      </c>
      <c r="CF2602" s="1" t="s">
        <v>104</v>
      </c>
      <c r="CG2602" s="1" t="s">
        <v>104</v>
      </c>
      <c r="CH2602" s="1" t="s">
        <v>104</v>
      </c>
      <c r="CJ2602" s="1">
        <v>0</v>
      </c>
      <c r="CK2602" s="1">
        <v>0</v>
      </c>
      <c r="CL2602" s="1">
        <v>0</v>
      </c>
      <c r="CM2602" s="1" t="s">
        <v>104</v>
      </c>
    </row>
    <row r="2603" spans="1:91" ht="14.25" customHeight="1" x14ac:dyDescent="0.3">
      <c r="A2603" s="1" t="s">
        <v>13265</v>
      </c>
      <c r="B2603" s="1" t="s">
        <v>123</v>
      </c>
      <c r="C2603" s="1" t="s">
        <v>124</v>
      </c>
      <c r="D2603" s="1" t="s">
        <v>728</v>
      </c>
      <c r="E2603" s="1" t="s">
        <v>13266</v>
      </c>
      <c r="F2603" s="1" t="s">
        <v>95</v>
      </c>
      <c r="G2603" s="1" t="s">
        <v>13267</v>
      </c>
      <c r="H2603" s="1">
        <v>0</v>
      </c>
      <c r="I2603" s="1" t="s">
        <v>128</v>
      </c>
      <c r="L2603" s="1" t="s">
        <v>374</v>
      </c>
      <c r="M2603" s="1" t="s">
        <v>255</v>
      </c>
      <c r="N2603" s="1">
        <v>0</v>
      </c>
      <c r="O2603" s="1">
        <v>0</v>
      </c>
      <c r="P2603" s="1" t="s">
        <v>211</v>
      </c>
      <c r="Q2603" s="1" t="s">
        <v>184</v>
      </c>
      <c r="R2603" s="1" t="s">
        <v>13268</v>
      </c>
      <c r="S2603" s="1" t="s">
        <v>13194</v>
      </c>
      <c r="T2603" s="1">
        <v>1</v>
      </c>
      <c r="U2603" s="1">
        <v>1</v>
      </c>
      <c r="V2603" s="1">
        <v>1</v>
      </c>
      <c r="W2603" s="1">
        <v>0</v>
      </c>
      <c r="X2603" s="1">
        <v>0</v>
      </c>
      <c r="Y2603" s="1">
        <v>1</v>
      </c>
      <c r="Z2603" s="1">
        <v>1</v>
      </c>
      <c r="AA2603" s="1" t="s">
        <v>104</v>
      </c>
      <c r="AB2603" s="1" t="s">
        <v>104</v>
      </c>
      <c r="AC2603" s="1" t="s">
        <v>104</v>
      </c>
      <c r="AD2603" s="1">
        <v>1</v>
      </c>
      <c r="AE2603" s="1" t="s">
        <v>104</v>
      </c>
      <c r="AF2603" s="1" t="s">
        <v>104</v>
      </c>
      <c r="AG2603" s="1" t="s">
        <v>104</v>
      </c>
      <c r="AH2603" s="1">
        <v>1</v>
      </c>
      <c r="AI2603" s="1">
        <v>1</v>
      </c>
      <c r="AJ2603" s="1" t="s">
        <v>104</v>
      </c>
      <c r="AK2603" s="1" t="s">
        <v>104</v>
      </c>
      <c r="AL2603" s="1" t="s">
        <v>104</v>
      </c>
      <c r="AM2603" s="1" t="s">
        <v>104</v>
      </c>
      <c r="AO2603" s="1">
        <v>1</v>
      </c>
      <c r="AR2603" s="1">
        <v>0</v>
      </c>
      <c r="AS2603" s="1">
        <v>0</v>
      </c>
      <c r="AT2603" s="1">
        <v>0</v>
      </c>
      <c r="AU2603" s="1">
        <v>0</v>
      </c>
      <c r="AV2603" s="1">
        <v>0</v>
      </c>
      <c r="AW2603" s="1">
        <v>0</v>
      </c>
      <c r="AX2603" s="1">
        <v>0</v>
      </c>
      <c r="AY2603" s="1">
        <v>0</v>
      </c>
      <c r="AZ2603" s="1">
        <v>0</v>
      </c>
      <c r="BA2603" s="1">
        <v>0</v>
      </c>
      <c r="BB2603" s="1">
        <v>0</v>
      </c>
      <c r="BC2603" s="1">
        <v>0</v>
      </c>
      <c r="BD2603" s="1">
        <v>0</v>
      </c>
      <c r="BE2603" s="1">
        <v>0</v>
      </c>
      <c r="BF2603" s="1">
        <v>0</v>
      </c>
      <c r="BG2603" s="1">
        <v>0</v>
      </c>
      <c r="BH2603" s="1">
        <v>1</v>
      </c>
      <c r="BI2603" s="1">
        <v>0</v>
      </c>
      <c r="BJ2603" s="1">
        <v>0</v>
      </c>
      <c r="BK2603" s="1">
        <v>1</v>
      </c>
      <c r="BL2603" s="1">
        <v>0</v>
      </c>
      <c r="BM2603" s="1">
        <v>0</v>
      </c>
      <c r="BN2603" s="1">
        <v>0</v>
      </c>
      <c r="BO2603" s="1">
        <v>0</v>
      </c>
      <c r="BP2603" s="1">
        <v>0</v>
      </c>
      <c r="BQ2603" s="1" t="s">
        <v>104</v>
      </c>
      <c r="BR2603" s="1">
        <v>2736</v>
      </c>
      <c r="BS2603" s="1" t="s">
        <v>104</v>
      </c>
      <c r="BX2603" s="1">
        <v>0</v>
      </c>
      <c r="BY2603" s="1" t="s">
        <v>104</v>
      </c>
      <c r="BZ2603" s="1" t="s">
        <v>104</v>
      </c>
      <c r="CA2603" s="1">
        <v>1</v>
      </c>
      <c r="CB2603" s="1" t="s">
        <v>104</v>
      </c>
      <c r="CC2603" s="1">
        <v>1</v>
      </c>
      <c r="CD2603" s="1" t="s">
        <v>104</v>
      </c>
      <c r="CE2603" s="1" t="s">
        <v>104</v>
      </c>
      <c r="CF2603" s="1" t="s">
        <v>104</v>
      </c>
      <c r="CG2603" s="1" t="s">
        <v>104</v>
      </c>
      <c r="CH2603" s="1" t="s">
        <v>104</v>
      </c>
      <c r="CJ2603" s="1">
        <v>0</v>
      </c>
      <c r="CK2603" s="1">
        <v>0</v>
      </c>
      <c r="CL2603" s="1">
        <v>0</v>
      </c>
      <c r="CM2603" s="1" t="s">
        <v>104</v>
      </c>
    </row>
    <row r="2604" spans="1:91" ht="14.25" customHeight="1" x14ac:dyDescent="0.3">
      <c r="A2604" s="1" t="s">
        <v>13269</v>
      </c>
      <c r="B2604" s="1" t="s">
        <v>216</v>
      </c>
      <c r="D2604" s="1" t="s">
        <v>63</v>
      </c>
      <c r="E2604" s="1" t="s">
        <v>13270</v>
      </c>
      <c r="F2604" s="1" t="s">
        <v>95</v>
      </c>
      <c r="G2604" s="1" t="s">
        <v>116</v>
      </c>
      <c r="H2604" s="1">
        <v>0</v>
      </c>
      <c r="I2604" s="1" t="s">
        <v>157</v>
      </c>
      <c r="L2604" s="1" t="s">
        <v>158</v>
      </c>
      <c r="M2604" s="1" t="s">
        <v>4641</v>
      </c>
      <c r="N2604" s="1">
        <v>1</v>
      </c>
      <c r="O2604" s="1">
        <v>0</v>
      </c>
      <c r="P2604" s="1" t="s">
        <v>6439</v>
      </c>
      <c r="Q2604" s="1" t="s">
        <v>184</v>
      </c>
      <c r="R2604" s="1" t="s">
        <v>13271</v>
      </c>
      <c r="S2604" s="1" t="s">
        <v>13272</v>
      </c>
      <c r="T2604" s="1">
        <v>1</v>
      </c>
      <c r="U2604" s="1">
        <v>1</v>
      </c>
      <c r="V2604" s="1">
        <v>0</v>
      </c>
      <c r="W2604" s="1">
        <v>0</v>
      </c>
      <c r="X2604" s="1">
        <v>0</v>
      </c>
      <c r="Y2604" s="1">
        <v>4</v>
      </c>
      <c r="Z2604" s="1">
        <v>4</v>
      </c>
      <c r="AA2604" s="1">
        <v>3</v>
      </c>
      <c r="AB2604" s="1" t="s">
        <v>104</v>
      </c>
      <c r="AC2604" s="1" t="s">
        <v>104</v>
      </c>
      <c r="AD2604" s="1" t="s">
        <v>104</v>
      </c>
      <c r="AE2604" s="1" t="s">
        <v>104</v>
      </c>
      <c r="AF2604" s="1" t="s">
        <v>104</v>
      </c>
      <c r="AG2604" s="1" t="s">
        <v>104</v>
      </c>
      <c r="AH2604" s="1">
        <v>4</v>
      </c>
      <c r="AI2604" s="1">
        <v>3</v>
      </c>
      <c r="AJ2604" s="1">
        <v>3</v>
      </c>
      <c r="AK2604" s="1">
        <v>3</v>
      </c>
      <c r="AL2604" s="1">
        <v>4</v>
      </c>
      <c r="AM2604" s="1" t="s">
        <v>104</v>
      </c>
      <c r="AO2604" s="1">
        <v>4</v>
      </c>
      <c r="AR2604" s="1">
        <v>0</v>
      </c>
      <c r="AS2604" s="1">
        <v>0</v>
      </c>
      <c r="AT2604" s="1">
        <v>0</v>
      </c>
      <c r="AU2604" s="1">
        <v>0</v>
      </c>
      <c r="AV2604" s="1">
        <v>0</v>
      </c>
      <c r="AW2604" s="1">
        <v>0</v>
      </c>
      <c r="AX2604" s="1">
        <v>0</v>
      </c>
      <c r="AY2604" s="1">
        <v>0</v>
      </c>
      <c r="AZ2604" s="1">
        <v>0</v>
      </c>
      <c r="BA2604" s="1">
        <v>0</v>
      </c>
      <c r="BB2604" s="1">
        <v>0</v>
      </c>
      <c r="BC2604" s="1">
        <v>0</v>
      </c>
      <c r="BD2604" s="1">
        <v>0</v>
      </c>
      <c r="BE2604" s="1">
        <v>0</v>
      </c>
      <c r="BF2604" s="1">
        <v>0</v>
      </c>
      <c r="BG2604" s="1">
        <v>0</v>
      </c>
      <c r="BH2604" s="1">
        <v>0</v>
      </c>
      <c r="BI2604" s="1">
        <v>0</v>
      </c>
      <c r="BJ2604" s="1">
        <v>0</v>
      </c>
      <c r="BK2604" s="1">
        <v>0</v>
      </c>
      <c r="BL2604" s="1">
        <v>1</v>
      </c>
      <c r="BM2604" s="1">
        <v>0</v>
      </c>
      <c r="BN2604" s="1">
        <v>0</v>
      </c>
      <c r="BO2604" s="1">
        <v>0</v>
      </c>
      <c r="BP2604" s="1">
        <v>0</v>
      </c>
      <c r="BQ2604" s="1" t="s">
        <v>104</v>
      </c>
      <c r="BR2604" s="1">
        <v>2737</v>
      </c>
      <c r="BS2604" s="1" t="s">
        <v>104</v>
      </c>
      <c r="BX2604" s="1">
        <v>0</v>
      </c>
      <c r="BY2604" s="1" t="s">
        <v>104</v>
      </c>
      <c r="BZ2604" s="1" t="s">
        <v>104</v>
      </c>
      <c r="CA2604" s="1" t="s">
        <v>104</v>
      </c>
      <c r="CB2604" s="1" t="s">
        <v>104</v>
      </c>
      <c r="CC2604" s="1" t="s">
        <v>104</v>
      </c>
      <c r="CD2604" s="1" t="s">
        <v>104</v>
      </c>
      <c r="CE2604" s="1" t="s">
        <v>104</v>
      </c>
      <c r="CF2604" s="1" t="s">
        <v>104</v>
      </c>
      <c r="CG2604" s="1" t="s">
        <v>104</v>
      </c>
      <c r="CH2604" s="1" t="s">
        <v>104</v>
      </c>
      <c r="CJ2604" s="1">
        <v>0</v>
      </c>
      <c r="CK2604" s="1">
        <v>0</v>
      </c>
      <c r="CL2604" s="1">
        <v>0</v>
      </c>
      <c r="CM2604" s="1" t="s">
        <v>104</v>
      </c>
    </row>
    <row r="2605" spans="1:91" ht="14.25" customHeight="1" x14ac:dyDescent="0.3">
      <c r="A2605" s="1" t="s">
        <v>13273</v>
      </c>
      <c r="B2605" s="1" t="s">
        <v>216</v>
      </c>
      <c r="D2605" s="1" t="s">
        <v>54</v>
      </c>
      <c r="E2605" s="1" t="s">
        <v>7183</v>
      </c>
      <c r="F2605" s="1" t="s">
        <v>287</v>
      </c>
      <c r="G2605" s="1" t="s">
        <v>13274</v>
      </c>
      <c r="H2605" s="1">
        <v>1</v>
      </c>
      <c r="I2605" s="1" t="s">
        <v>128</v>
      </c>
      <c r="J2605" s="1" t="s">
        <v>13275</v>
      </c>
      <c r="M2605" s="1" t="s">
        <v>1567</v>
      </c>
      <c r="N2605" s="1">
        <v>1</v>
      </c>
      <c r="O2605" s="1">
        <v>0</v>
      </c>
      <c r="P2605" s="1" t="s">
        <v>375</v>
      </c>
      <c r="Q2605" s="1" t="s">
        <v>131</v>
      </c>
      <c r="R2605" s="1" t="s">
        <v>13276</v>
      </c>
      <c r="S2605" s="1" t="s">
        <v>13272</v>
      </c>
      <c r="T2605" s="1">
        <v>1</v>
      </c>
      <c r="U2605" s="1">
        <v>1</v>
      </c>
      <c r="V2605" s="1">
        <v>0</v>
      </c>
      <c r="W2605" s="1">
        <v>0</v>
      </c>
      <c r="X2605" s="1">
        <v>0</v>
      </c>
      <c r="Y2605" s="1">
        <v>4</v>
      </c>
      <c r="Z2605" s="1">
        <v>4</v>
      </c>
      <c r="AA2605" s="1" t="s">
        <v>104</v>
      </c>
      <c r="AB2605" s="1" t="s">
        <v>104</v>
      </c>
      <c r="AC2605" s="1" t="s">
        <v>104</v>
      </c>
      <c r="AD2605" s="1" t="s">
        <v>104</v>
      </c>
      <c r="AE2605" s="1" t="s">
        <v>104</v>
      </c>
      <c r="AF2605" s="1" t="s">
        <v>104</v>
      </c>
      <c r="AG2605" s="1" t="s">
        <v>104</v>
      </c>
      <c r="AH2605" s="1">
        <v>4</v>
      </c>
      <c r="AI2605" s="1" t="s">
        <v>104</v>
      </c>
      <c r="AJ2605" s="1" t="s">
        <v>104</v>
      </c>
      <c r="AK2605" s="1" t="s">
        <v>104</v>
      </c>
      <c r="AL2605" s="1" t="s">
        <v>104</v>
      </c>
      <c r="AM2605" s="1" t="s">
        <v>104</v>
      </c>
      <c r="AO2605" s="1">
        <v>4</v>
      </c>
      <c r="AR2605" s="1">
        <v>0</v>
      </c>
      <c r="AS2605" s="1">
        <v>0</v>
      </c>
      <c r="AT2605" s="1">
        <v>0</v>
      </c>
      <c r="AU2605" s="1">
        <v>0</v>
      </c>
      <c r="AV2605" s="1">
        <v>0</v>
      </c>
      <c r="AW2605" s="1">
        <v>0</v>
      </c>
      <c r="AX2605" s="1">
        <v>0</v>
      </c>
      <c r="AY2605" s="1">
        <v>0</v>
      </c>
      <c r="AZ2605" s="1">
        <v>0</v>
      </c>
      <c r="BA2605" s="1">
        <v>0</v>
      </c>
      <c r="BB2605" s="1">
        <v>0</v>
      </c>
      <c r="BC2605" s="1">
        <v>1</v>
      </c>
      <c r="BD2605" s="1">
        <v>0</v>
      </c>
      <c r="BE2605" s="1">
        <v>0</v>
      </c>
      <c r="BF2605" s="1">
        <v>0</v>
      </c>
      <c r="BG2605" s="1">
        <v>0</v>
      </c>
      <c r="BH2605" s="1">
        <v>0</v>
      </c>
      <c r="BI2605" s="1">
        <v>0</v>
      </c>
      <c r="BJ2605" s="1">
        <v>0</v>
      </c>
      <c r="BK2605" s="1">
        <v>0</v>
      </c>
      <c r="BL2605" s="1">
        <v>0</v>
      </c>
      <c r="BM2605" s="1">
        <v>0</v>
      </c>
      <c r="BN2605" s="1">
        <v>0</v>
      </c>
      <c r="BO2605" s="1">
        <v>0</v>
      </c>
      <c r="BP2605" s="1">
        <v>0</v>
      </c>
      <c r="BQ2605" s="1" t="s">
        <v>104</v>
      </c>
      <c r="BR2605" s="1">
        <v>2738</v>
      </c>
      <c r="BS2605" s="1">
        <v>100</v>
      </c>
      <c r="BX2605" s="1">
        <v>0</v>
      </c>
      <c r="BY2605" s="1" t="s">
        <v>104</v>
      </c>
      <c r="BZ2605" s="1" t="s">
        <v>104</v>
      </c>
      <c r="CA2605" s="1" t="s">
        <v>104</v>
      </c>
      <c r="CB2605" s="1" t="s">
        <v>104</v>
      </c>
      <c r="CC2605" s="1" t="s">
        <v>104</v>
      </c>
      <c r="CD2605" s="1" t="s">
        <v>104</v>
      </c>
      <c r="CE2605" s="1" t="s">
        <v>104</v>
      </c>
      <c r="CF2605" s="1" t="s">
        <v>104</v>
      </c>
      <c r="CG2605" s="1" t="s">
        <v>104</v>
      </c>
      <c r="CH2605" s="1" t="s">
        <v>104</v>
      </c>
      <c r="CJ2605" s="1">
        <v>0</v>
      </c>
      <c r="CK2605" s="1">
        <v>0</v>
      </c>
      <c r="CL2605" s="1">
        <v>0</v>
      </c>
      <c r="CM2605" s="1" t="s">
        <v>104</v>
      </c>
    </row>
    <row r="2606" spans="1:91" ht="14.25" customHeight="1" x14ac:dyDescent="0.3">
      <c r="A2606" s="1" t="s">
        <v>13277</v>
      </c>
      <c r="B2606" s="1" t="s">
        <v>216</v>
      </c>
      <c r="E2606" s="1" t="s">
        <v>8423</v>
      </c>
      <c r="F2606" s="1" t="s">
        <v>95</v>
      </c>
      <c r="G2606" s="1" t="s">
        <v>13278</v>
      </c>
      <c r="H2606" s="1">
        <v>0</v>
      </c>
      <c r="I2606" s="1" t="s">
        <v>128</v>
      </c>
      <c r="J2606" s="1" t="s">
        <v>374</v>
      </c>
      <c r="M2606" s="1" t="s">
        <v>13279</v>
      </c>
      <c r="N2606" s="1">
        <v>0</v>
      </c>
      <c r="O2606" s="1">
        <v>0</v>
      </c>
      <c r="P2606" s="1" t="s">
        <v>10293</v>
      </c>
      <c r="Q2606" s="1" t="s">
        <v>184</v>
      </c>
      <c r="R2606" s="1" t="s">
        <v>13280</v>
      </c>
      <c r="S2606" s="1" t="s">
        <v>13272</v>
      </c>
      <c r="T2606" s="1">
        <v>1</v>
      </c>
      <c r="U2606" s="1">
        <v>1</v>
      </c>
      <c r="V2606" s="1">
        <v>0</v>
      </c>
      <c r="W2606" s="1">
        <v>0</v>
      </c>
      <c r="X2606" s="1">
        <v>0</v>
      </c>
      <c r="Y2606" s="1">
        <v>1</v>
      </c>
      <c r="Z2606" s="1">
        <v>1</v>
      </c>
      <c r="AA2606" s="1" t="s">
        <v>104</v>
      </c>
      <c r="AB2606" s="1" t="s">
        <v>104</v>
      </c>
      <c r="AC2606" s="1" t="s">
        <v>104</v>
      </c>
      <c r="AD2606" s="1" t="s">
        <v>104</v>
      </c>
      <c r="AE2606" s="1" t="s">
        <v>104</v>
      </c>
      <c r="AF2606" s="1" t="s">
        <v>104</v>
      </c>
      <c r="AG2606" s="1" t="s">
        <v>104</v>
      </c>
      <c r="AH2606" s="1">
        <v>1</v>
      </c>
      <c r="AI2606" s="1" t="s">
        <v>104</v>
      </c>
      <c r="AJ2606" s="1" t="s">
        <v>104</v>
      </c>
      <c r="AK2606" s="1" t="s">
        <v>104</v>
      </c>
      <c r="AL2606" s="1" t="s">
        <v>104</v>
      </c>
      <c r="AM2606" s="1" t="s">
        <v>104</v>
      </c>
      <c r="AO2606" s="1">
        <v>1</v>
      </c>
      <c r="AR2606" s="1">
        <v>0</v>
      </c>
      <c r="AS2606" s="1">
        <v>0</v>
      </c>
      <c r="AT2606" s="1">
        <v>0</v>
      </c>
      <c r="AU2606" s="1">
        <v>0</v>
      </c>
      <c r="AV2606" s="1">
        <v>0</v>
      </c>
      <c r="AW2606" s="1">
        <v>0</v>
      </c>
      <c r="AX2606" s="1">
        <v>0</v>
      </c>
      <c r="AY2606" s="1">
        <v>0</v>
      </c>
      <c r="AZ2606" s="1">
        <v>0</v>
      </c>
      <c r="BA2606" s="1">
        <v>0</v>
      </c>
      <c r="BB2606" s="1">
        <v>0</v>
      </c>
      <c r="BC2606" s="1">
        <v>0</v>
      </c>
      <c r="BD2606" s="1">
        <v>0</v>
      </c>
      <c r="BE2606" s="1">
        <v>0</v>
      </c>
      <c r="BF2606" s="1">
        <v>0</v>
      </c>
      <c r="BG2606" s="1">
        <v>0</v>
      </c>
      <c r="BH2606" s="1">
        <v>0</v>
      </c>
      <c r="BI2606" s="1">
        <v>0</v>
      </c>
      <c r="BJ2606" s="1">
        <v>0</v>
      </c>
      <c r="BK2606" s="1">
        <v>0</v>
      </c>
      <c r="BL2606" s="1">
        <v>0</v>
      </c>
      <c r="BM2606" s="1">
        <v>0</v>
      </c>
      <c r="BN2606" s="1">
        <v>0</v>
      </c>
      <c r="BO2606" s="1">
        <v>0</v>
      </c>
      <c r="BP2606" s="1">
        <v>0</v>
      </c>
      <c r="BQ2606" s="1" t="s">
        <v>104</v>
      </c>
      <c r="BR2606" s="1">
        <v>2739</v>
      </c>
      <c r="BS2606" s="1" t="s">
        <v>104</v>
      </c>
      <c r="BX2606" s="1">
        <v>0</v>
      </c>
      <c r="BY2606" s="1" t="s">
        <v>104</v>
      </c>
      <c r="BZ2606" s="1" t="s">
        <v>104</v>
      </c>
      <c r="CA2606" s="1" t="s">
        <v>104</v>
      </c>
      <c r="CB2606" s="1" t="s">
        <v>104</v>
      </c>
      <c r="CC2606" s="1" t="s">
        <v>104</v>
      </c>
      <c r="CD2606" s="1" t="s">
        <v>104</v>
      </c>
      <c r="CE2606" s="1" t="s">
        <v>104</v>
      </c>
      <c r="CF2606" s="1" t="s">
        <v>104</v>
      </c>
      <c r="CG2606" s="1" t="s">
        <v>104</v>
      </c>
      <c r="CH2606" s="1" t="s">
        <v>104</v>
      </c>
      <c r="CJ2606" s="1">
        <v>0</v>
      </c>
      <c r="CK2606" s="1">
        <v>0</v>
      </c>
      <c r="CL2606" s="1">
        <v>0</v>
      </c>
      <c r="CM2606" s="1" t="s">
        <v>104</v>
      </c>
    </row>
    <row r="2607" spans="1:91" ht="14.25" customHeight="1" x14ac:dyDescent="0.3">
      <c r="A2607" s="1" t="s">
        <v>13281</v>
      </c>
      <c r="B2607" s="1" t="s">
        <v>434</v>
      </c>
      <c r="E2607" s="1" t="s">
        <v>13282</v>
      </c>
      <c r="F2607" s="1" t="s">
        <v>95</v>
      </c>
      <c r="G2607" s="1" t="s">
        <v>13283</v>
      </c>
      <c r="H2607" s="1">
        <v>0</v>
      </c>
      <c r="I2607" s="1" t="s">
        <v>157</v>
      </c>
      <c r="L2607" s="1" t="s">
        <v>158</v>
      </c>
      <c r="M2607" s="1" t="s">
        <v>4292</v>
      </c>
      <c r="N2607" s="1">
        <v>0</v>
      </c>
      <c r="O2607" s="1">
        <v>0</v>
      </c>
      <c r="R2607" s="1" t="s">
        <v>13284</v>
      </c>
      <c r="S2607" s="1" t="s">
        <v>13285</v>
      </c>
      <c r="T2607" s="1">
        <v>1</v>
      </c>
      <c r="U2607" s="1">
        <v>1</v>
      </c>
      <c r="V2607" s="1">
        <v>1</v>
      </c>
      <c r="W2607" s="1">
        <v>0</v>
      </c>
      <c r="X2607" s="1">
        <v>0</v>
      </c>
      <c r="Y2607" s="1">
        <v>4</v>
      </c>
      <c r="Z2607" s="1">
        <v>4</v>
      </c>
      <c r="AA2607" s="1">
        <v>4</v>
      </c>
      <c r="AB2607" s="1" t="s">
        <v>104</v>
      </c>
      <c r="AC2607" s="1" t="s">
        <v>104</v>
      </c>
      <c r="AD2607" s="1">
        <v>3</v>
      </c>
      <c r="AE2607" s="1" t="s">
        <v>104</v>
      </c>
      <c r="AF2607" s="1">
        <v>4</v>
      </c>
      <c r="AG2607" s="1" t="s">
        <v>104</v>
      </c>
      <c r="AH2607" s="1">
        <v>4</v>
      </c>
      <c r="AI2607" s="1" t="s">
        <v>104</v>
      </c>
      <c r="AJ2607" s="1">
        <v>4</v>
      </c>
      <c r="AK2607" s="1" t="s">
        <v>104</v>
      </c>
      <c r="AL2607" s="1" t="s">
        <v>104</v>
      </c>
      <c r="AM2607" s="1" t="s">
        <v>104</v>
      </c>
      <c r="AO2607" s="1">
        <v>4</v>
      </c>
      <c r="AR2607" s="1">
        <v>0</v>
      </c>
      <c r="AS2607" s="1">
        <v>0</v>
      </c>
      <c r="AT2607" s="1">
        <v>0</v>
      </c>
      <c r="AU2607" s="1">
        <v>0</v>
      </c>
      <c r="AV2607" s="1">
        <v>0</v>
      </c>
      <c r="AW2607" s="1">
        <v>0</v>
      </c>
      <c r="AX2607" s="1">
        <v>0</v>
      </c>
      <c r="AY2607" s="1">
        <v>0</v>
      </c>
      <c r="AZ2607" s="1">
        <v>0</v>
      </c>
      <c r="BA2607" s="1">
        <v>0</v>
      </c>
      <c r="BB2607" s="1">
        <v>0</v>
      </c>
      <c r="BC2607" s="1">
        <v>0</v>
      </c>
      <c r="BD2607" s="1">
        <v>0</v>
      </c>
      <c r="BE2607" s="1">
        <v>0</v>
      </c>
      <c r="BF2607" s="1">
        <v>0</v>
      </c>
      <c r="BG2607" s="1">
        <v>0</v>
      </c>
      <c r="BH2607" s="1">
        <v>0</v>
      </c>
      <c r="BI2607" s="1">
        <v>0</v>
      </c>
      <c r="BJ2607" s="1">
        <v>0</v>
      </c>
      <c r="BK2607" s="1">
        <v>0</v>
      </c>
      <c r="BL2607" s="1">
        <v>0</v>
      </c>
      <c r="BM2607" s="1">
        <v>0</v>
      </c>
      <c r="BN2607" s="1">
        <v>0</v>
      </c>
      <c r="BO2607" s="1">
        <v>0</v>
      </c>
      <c r="BP2607" s="1">
        <v>0</v>
      </c>
      <c r="BQ2607" s="1" t="s">
        <v>104</v>
      </c>
      <c r="BR2607" s="1">
        <v>2740</v>
      </c>
      <c r="BS2607" s="1" t="s">
        <v>104</v>
      </c>
      <c r="BX2607" s="1">
        <v>0</v>
      </c>
      <c r="BY2607" s="1" t="s">
        <v>104</v>
      </c>
      <c r="BZ2607" s="1">
        <v>4</v>
      </c>
      <c r="CA2607" s="1">
        <v>4</v>
      </c>
      <c r="CB2607" s="1" t="s">
        <v>104</v>
      </c>
      <c r="CC2607" s="1" t="s">
        <v>104</v>
      </c>
      <c r="CD2607" s="1" t="s">
        <v>104</v>
      </c>
      <c r="CE2607" s="1" t="s">
        <v>104</v>
      </c>
      <c r="CF2607" s="1" t="s">
        <v>104</v>
      </c>
      <c r="CG2607" s="1" t="s">
        <v>104</v>
      </c>
      <c r="CH2607" s="1" t="s">
        <v>104</v>
      </c>
      <c r="CJ2607" s="1">
        <v>0</v>
      </c>
      <c r="CK2607" s="1">
        <v>0</v>
      </c>
      <c r="CL2607" s="1">
        <v>0</v>
      </c>
      <c r="CM2607" s="1" t="s">
        <v>104</v>
      </c>
    </row>
    <row r="2608" spans="1:91" ht="14.25" customHeight="1" x14ac:dyDescent="0.3">
      <c r="A2608" s="1" t="s">
        <v>13286</v>
      </c>
      <c r="B2608" s="1" t="s">
        <v>216</v>
      </c>
      <c r="D2608" s="1" t="s">
        <v>47</v>
      </c>
      <c r="E2608" s="1" t="s">
        <v>13287</v>
      </c>
      <c r="F2608" s="1" t="s">
        <v>95</v>
      </c>
      <c r="G2608" s="1" t="s">
        <v>116</v>
      </c>
      <c r="H2608" s="1">
        <v>0</v>
      </c>
      <c r="I2608" s="1" t="s">
        <v>128</v>
      </c>
      <c r="L2608" s="1" t="s">
        <v>374</v>
      </c>
      <c r="M2608" s="1" t="s">
        <v>298</v>
      </c>
      <c r="N2608" s="1">
        <v>0</v>
      </c>
      <c r="O2608" s="1">
        <v>0</v>
      </c>
      <c r="P2608" s="1" t="s">
        <v>211</v>
      </c>
      <c r="Q2608" s="1" t="s">
        <v>184</v>
      </c>
      <c r="R2608" s="1" t="s">
        <v>13288</v>
      </c>
      <c r="S2608" s="1" t="s">
        <v>13285</v>
      </c>
      <c r="T2608" s="1">
        <v>1</v>
      </c>
      <c r="U2608" s="1">
        <v>1</v>
      </c>
      <c r="V2608" s="1">
        <v>0</v>
      </c>
      <c r="W2608" s="1">
        <v>0</v>
      </c>
      <c r="X2608" s="1">
        <v>0</v>
      </c>
      <c r="Y2608" s="1">
        <v>4</v>
      </c>
      <c r="Z2608" s="1">
        <v>4</v>
      </c>
      <c r="AA2608" s="1">
        <v>3</v>
      </c>
      <c r="AB2608" s="1" t="s">
        <v>104</v>
      </c>
      <c r="AC2608" s="1" t="s">
        <v>104</v>
      </c>
      <c r="AD2608" s="1" t="s">
        <v>104</v>
      </c>
      <c r="AE2608" s="1" t="s">
        <v>104</v>
      </c>
      <c r="AF2608" s="1" t="s">
        <v>104</v>
      </c>
      <c r="AG2608" s="1" t="s">
        <v>104</v>
      </c>
      <c r="AH2608" s="1">
        <v>3</v>
      </c>
      <c r="AI2608" s="1" t="s">
        <v>104</v>
      </c>
      <c r="AJ2608" s="1">
        <v>3</v>
      </c>
      <c r="AK2608" s="1">
        <v>3</v>
      </c>
      <c r="AL2608" s="1" t="s">
        <v>104</v>
      </c>
      <c r="AM2608" s="1" t="s">
        <v>104</v>
      </c>
      <c r="AO2608" s="1">
        <v>4</v>
      </c>
      <c r="AR2608" s="1">
        <v>0</v>
      </c>
      <c r="AS2608" s="1">
        <v>0</v>
      </c>
      <c r="AT2608" s="1">
        <v>0</v>
      </c>
      <c r="AU2608" s="1">
        <v>0</v>
      </c>
      <c r="AV2608" s="1">
        <v>1</v>
      </c>
      <c r="AW2608" s="1">
        <v>0</v>
      </c>
      <c r="AX2608" s="1">
        <v>0</v>
      </c>
      <c r="AY2608" s="1">
        <v>0</v>
      </c>
      <c r="AZ2608" s="1">
        <v>0</v>
      </c>
      <c r="BA2608" s="1">
        <v>0</v>
      </c>
      <c r="BB2608" s="1">
        <v>0</v>
      </c>
      <c r="BC2608" s="1">
        <v>0</v>
      </c>
      <c r="BD2608" s="1">
        <v>0</v>
      </c>
      <c r="BE2608" s="1">
        <v>0</v>
      </c>
      <c r="BF2608" s="1">
        <v>0</v>
      </c>
      <c r="BG2608" s="1">
        <v>0</v>
      </c>
      <c r="BH2608" s="1">
        <v>0</v>
      </c>
      <c r="BI2608" s="1">
        <v>0</v>
      </c>
      <c r="BJ2608" s="1">
        <v>0</v>
      </c>
      <c r="BK2608" s="1">
        <v>0</v>
      </c>
      <c r="BL2608" s="1">
        <v>0</v>
      </c>
      <c r="BM2608" s="1">
        <v>0</v>
      </c>
      <c r="BN2608" s="1">
        <v>0</v>
      </c>
      <c r="BO2608" s="1">
        <v>0</v>
      </c>
      <c r="BP2608" s="1">
        <v>0</v>
      </c>
      <c r="BQ2608" s="1" t="s">
        <v>104</v>
      </c>
      <c r="BR2608" s="1">
        <v>2741</v>
      </c>
      <c r="BS2608" s="1" t="s">
        <v>104</v>
      </c>
      <c r="BX2608" s="1">
        <v>0</v>
      </c>
      <c r="BY2608" s="1">
        <v>4</v>
      </c>
      <c r="BZ2608" s="1">
        <v>3</v>
      </c>
      <c r="CA2608" s="1" t="s">
        <v>104</v>
      </c>
      <c r="CB2608" s="1" t="s">
        <v>104</v>
      </c>
      <c r="CC2608" s="1" t="s">
        <v>104</v>
      </c>
      <c r="CD2608" s="1" t="s">
        <v>104</v>
      </c>
      <c r="CE2608" s="1">
        <v>3</v>
      </c>
      <c r="CF2608" s="1" t="s">
        <v>104</v>
      </c>
      <c r="CG2608" s="1" t="s">
        <v>104</v>
      </c>
      <c r="CH2608" s="1" t="s">
        <v>104</v>
      </c>
      <c r="CJ2608" s="1">
        <v>0</v>
      </c>
      <c r="CK2608" s="1">
        <v>0</v>
      </c>
      <c r="CL2608" s="1">
        <v>0</v>
      </c>
      <c r="CM2608" s="1" t="s">
        <v>104</v>
      </c>
    </row>
    <row r="2609" spans="1:91" ht="14.25" customHeight="1" x14ac:dyDescent="0.3">
      <c r="A2609" s="1" t="s">
        <v>13289</v>
      </c>
      <c r="B2609" s="1" t="s">
        <v>137</v>
      </c>
      <c r="E2609" s="1" t="s">
        <v>13290</v>
      </c>
      <c r="F2609" s="1" t="s">
        <v>4934</v>
      </c>
      <c r="G2609" s="1" t="s">
        <v>116</v>
      </c>
      <c r="H2609" s="1">
        <v>0</v>
      </c>
      <c r="I2609" s="1" t="s">
        <v>157</v>
      </c>
      <c r="L2609" s="1" t="s">
        <v>158</v>
      </c>
      <c r="M2609" s="1" t="s">
        <v>13291</v>
      </c>
      <c r="N2609" s="1">
        <v>1</v>
      </c>
      <c r="O2609" s="1">
        <v>0</v>
      </c>
      <c r="P2609" s="1" t="s">
        <v>100</v>
      </c>
      <c r="Q2609" s="1" t="s">
        <v>131</v>
      </c>
      <c r="R2609" s="1" t="s">
        <v>13292</v>
      </c>
      <c r="S2609" s="1" t="s">
        <v>13285</v>
      </c>
      <c r="T2609" s="1">
        <v>1</v>
      </c>
      <c r="U2609" s="1">
        <v>1</v>
      </c>
      <c r="V2609" s="1">
        <v>0</v>
      </c>
      <c r="W2609" s="1">
        <v>0</v>
      </c>
      <c r="X2609" s="1">
        <v>0</v>
      </c>
      <c r="Y2609" s="1" t="s">
        <v>104</v>
      </c>
      <c r="Z2609" s="1" t="s">
        <v>104</v>
      </c>
      <c r="AA2609" s="1" t="s">
        <v>104</v>
      </c>
      <c r="AB2609" s="1">
        <v>1</v>
      </c>
      <c r="AC2609" s="1">
        <v>1</v>
      </c>
      <c r="AD2609" s="1" t="s">
        <v>104</v>
      </c>
      <c r="AE2609" s="1" t="s">
        <v>104</v>
      </c>
      <c r="AF2609" s="1" t="s">
        <v>104</v>
      </c>
      <c r="AG2609" s="1">
        <v>1</v>
      </c>
      <c r="AH2609" s="1" t="s">
        <v>104</v>
      </c>
      <c r="AI2609" s="1">
        <v>1</v>
      </c>
      <c r="AJ2609" s="1" t="s">
        <v>104</v>
      </c>
      <c r="AK2609" s="1" t="s">
        <v>104</v>
      </c>
      <c r="AL2609" s="1" t="s">
        <v>104</v>
      </c>
      <c r="AM2609" s="1" t="s">
        <v>104</v>
      </c>
      <c r="AO2609" s="1">
        <v>1</v>
      </c>
      <c r="AR2609" s="1">
        <v>0</v>
      </c>
      <c r="AS2609" s="1">
        <v>0</v>
      </c>
      <c r="AT2609" s="1">
        <v>0</v>
      </c>
      <c r="AU2609" s="1">
        <v>0</v>
      </c>
      <c r="AV2609" s="1">
        <v>0</v>
      </c>
      <c r="AW2609" s="1">
        <v>0</v>
      </c>
      <c r="AX2609" s="1">
        <v>0</v>
      </c>
      <c r="AY2609" s="1">
        <v>0</v>
      </c>
      <c r="AZ2609" s="1">
        <v>0</v>
      </c>
      <c r="BA2609" s="1">
        <v>0</v>
      </c>
      <c r="BB2609" s="1">
        <v>0</v>
      </c>
      <c r="BC2609" s="1">
        <v>0</v>
      </c>
      <c r="BD2609" s="1">
        <v>0</v>
      </c>
      <c r="BE2609" s="1">
        <v>0</v>
      </c>
      <c r="BF2609" s="1">
        <v>0</v>
      </c>
      <c r="BG2609" s="1">
        <v>0</v>
      </c>
      <c r="BH2609" s="1">
        <v>0</v>
      </c>
      <c r="BI2609" s="1">
        <v>0</v>
      </c>
      <c r="BJ2609" s="1">
        <v>0</v>
      </c>
      <c r="BK2609" s="1">
        <v>0</v>
      </c>
      <c r="BL2609" s="1">
        <v>0</v>
      </c>
      <c r="BM2609" s="1">
        <v>0</v>
      </c>
      <c r="BN2609" s="1">
        <v>0</v>
      </c>
      <c r="BO2609" s="1">
        <v>0</v>
      </c>
      <c r="BP2609" s="1">
        <v>0</v>
      </c>
      <c r="BQ2609" s="1" t="s">
        <v>104</v>
      </c>
      <c r="BR2609" s="1">
        <v>2743</v>
      </c>
      <c r="BS2609" s="1" t="s">
        <v>104</v>
      </c>
      <c r="BX2609" s="1">
        <v>0</v>
      </c>
      <c r="BY2609" s="1">
        <v>1</v>
      </c>
      <c r="BZ2609" s="1" t="s">
        <v>104</v>
      </c>
      <c r="CA2609" s="1" t="s">
        <v>104</v>
      </c>
      <c r="CB2609" s="1" t="s">
        <v>104</v>
      </c>
      <c r="CC2609" s="1" t="s">
        <v>104</v>
      </c>
      <c r="CD2609" s="1" t="s">
        <v>104</v>
      </c>
      <c r="CE2609" s="1" t="s">
        <v>104</v>
      </c>
      <c r="CF2609" s="1" t="s">
        <v>104</v>
      </c>
      <c r="CG2609" s="1" t="s">
        <v>104</v>
      </c>
      <c r="CH2609" s="1">
        <v>1</v>
      </c>
      <c r="CJ2609" s="1">
        <v>0</v>
      </c>
      <c r="CK2609" s="1">
        <v>0</v>
      </c>
      <c r="CL2609" s="1">
        <v>0</v>
      </c>
      <c r="CM2609" s="1">
        <v>1</v>
      </c>
    </row>
    <row r="2610" spans="1:91" ht="14.25" customHeight="1" x14ac:dyDescent="0.3">
      <c r="A2610" s="1" t="s">
        <v>13293</v>
      </c>
      <c r="B2610" s="1" t="s">
        <v>216</v>
      </c>
      <c r="D2610" s="1" t="s">
        <v>64</v>
      </c>
      <c r="E2610" s="1" t="s">
        <v>13294</v>
      </c>
      <c r="F2610" s="1" t="s">
        <v>95</v>
      </c>
      <c r="G2610" s="1" t="s">
        <v>116</v>
      </c>
      <c r="H2610" s="1">
        <v>0</v>
      </c>
      <c r="I2610" s="1" t="s">
        <v>157</v>
      </c>
      <c r="L2610" s="1" t="s">
        <v>158</v>
      </c>
      <c r="M2610" s="1" t="s">
        <v>4641</v>
      </c>
      <c r="N2610" s="1">
        <v>1</v>
      </c>
      <c r="O2610" s="1">
        <v>0</v>
      </c>
      <c r="P2610" s="1" t="s">
        <v>100</v>
      </c>
      <c r="Q2610" s="1" t="s">
        <v>101</v>
      </c>
      <c r="R2610" s="1" t="s">
        <v>13295</v>
      </c>
      <c r="S2610" s="1" t="s">
        <v>13285</v>
      </c>
      <c r="T2610" s="1">
        <v>1</v>
      </c>
      <c r="U2610" s="1">
        <v>1</v>
      </c>
      <c r="V2610" s="1">
        <v>0</v>
      </c>
      <c r="W2610" s="1">
        <v>0</v>
      </c>
      <c r="X2610" s="1">
        <v>0</v>
      </c>
      <c r="Y2610" s="1" t="s">
        <v>104</v>
      </c>
      <c r="Z2610" s="1" t="s">
        <v>104</v>
      </c>
      <c r="AA2610" s="1" t="s">
        <v>104</v>
      </c>
      <c r="AB2610" s="1">
        <v>3</v>
      </c>
      <c r="AC2610" s="1">
        <v>2</v>
      </c>
      <c r="AD2610" s="1" t="s">
        <v>104</v>
      </c>
      <c r="AE2610" s="1" t="s">
        <v>104</v>
      </c>
      <c r="AF2610" s="1">
        <v>2</v>
      </c>
      <c r="AG2610" s="1" t="s">
        <v>104</v>
      </c>
      <c r="AH2610" s="1" t="s">
        <v>104</v>
      </c>
      <c r="AI2610" s="1">
        <v>3</v>
      </c>
      <c r="AJ2610" s="1" t="s">
        <v>104</v>
      </c>
      <c r="AK2610" s="1" t="s">
        <v>104</v>
      </c>
      <c r="AL2610" s="1" t="s">
        <v>104</v>
      </c>
      <c r="AM2610" s="1" t="s">
        <v>104</v>
      </c>
      <c r="AO2610" s="1">
        <v>3</v>
      </c>
      <c r="AR2610" s="1">
        <v>0</v>
      </c>
      <c r="AS2610" s="1">
        <v>0</v>
      </c>
      <c r="AT2610" s="1">
        <v>0</v>
      </c>
      <c r="AU2610" s="1">
        <v>0</v>
      </c>
      <c r="AV2610" s="1">
        <v>0</v>
      </c>
      <c r="AW2610" s="1">
        <v>0</v>
      </c>
      <c r="AX2610" s="1">
        <v>0</v>
      </c>
      <c r="AY2610" s="1">
        <v>0</v>
      </c>
      <c r="AZ2610" s="1">
        <v>0</v>
      </c>
      <c r="BA2610" s="1">
        <v>0</v>
      </c>
      <c r="BB2610" s="1">
        <v>0</v>
      </c>
      <c r="BC2610" s="1">
        <v>0</v>
      </c>
      <c r="BD2610" s="1">
        <v>0</v>
      </c>
      <c r="BE2610" s="1">
        <v>0</v>
      </c>
      <c r="BF2610" s="1">
        <v>0</v>
      </c>
      <c r="BG2610" s="1">
        <v>0</v>
      </c>
      <c r="BH2610" s="1">
        <v>0</v>
      </c>
      <c r="BI2610" s="1">
        <v>0</v>
      </c>
      <c r="BJ2610" s="1">
        <v>0</v>
      </c>
      <c r="BK2610" s="1">
        <v>0</v>
      </c>
      <c r="BL2610" s="1">
        <v>0</v>
      </c>
      <c r="BM2610" s="1">
        <v>1</v>
      </c>
      <c r="BN2610" s="1">
        <v>0</v>
      </c>
      <c r="BO2610" s="1">
        <v>0</v>
      </c>
      <c r="BP2610" s="1">
        <v>0</v>
      </c>
      <c r="BQ2610" s="1" t="s">
        <v>104</v>
      </c>
      <c r="BR2610" s="1">
        <v>2744</v>
      </c>
      <c r="BS2610" s="1" t="s">
        <v>104</v>
      </c>
      <c r="BX2610" s="1">
        <v>0</v>
      </c>
      <c r="BY2610" s="1" t="s">
        <v>104</v>
      </c>
      <c r="BZ2610" s="1" t="s">
        <v>104</v>
      </c>
      <c r="CA2610" s="1" t="s">
        <v>104</v>
      </c>
      <c r="CB2610" s="1" t="s">
        <v>104</v>
      </c>
      <c r="CC2610" s="1" t="s">
        <v>104</v>
      </c>
      <c r="CD2610" s="1" t="s">
        <v>104</v>
      </c>
      <c r="CE2610" s="1" t="s">
        <v>104</v>
      </c>
      <c r="CF2610" s="1" t="s">
        <v>104</v>
      </c>
      <c r="CG2610" s="1" t="s">
        <v>104</v>
      </c>
      <c r="CH2610" s="1">
        <v>2</v>
      </c>
      <c r="CJ2610" s="1">
        <v>0</v>
      </c>
      <c r="CK2610" s="1">
        <v>0</v>
      </c>
      <c r="CL2610" s="1">
        <v>0</v>
      </c>
      <c r="CM2610" s="1" t="s">
        <v>104</v>
      </c>
    </row>
    <row r="2611" spans="1:91" ht="14.25" customHeight="1" x14ac:dyDescent="0.3">
      <c r="A2611" s="1" t="s">
        <v>13296</v>
      </c>
      <c r="B2611" s="1" t="s">
        <v>123</v>
      </c>
      <c r="C2611" s="1" t="s">
        <v>124</v>
      </c>
      <c r="D2611" s="1" t="s">
        <v>728</v>
      </c>
      <c r="E2611" s="1" t="s">
        <v>13297</v>
      </c>
      <c r="F2611" s="1" t="s">
        <v>95</v>
      </c>
      <c r="G2611" s="1" t="s">
        <v>116</v>
      </c>
      <c r="H2611" s="1">
        <v>0</v>
      </c>
      <c r="I2611" s="1" t="s">
        <v>4350</v>
      </c>
      <c r="L2611" s="1" t="s">
        <v>417</v>
      </c>
      <c r="M2611" s="1" t="s">
        <v>13298</v>
      </c>
      <c r="N2611" s="1">
        <v>1</v>
      </c>
      <c r="O2611" s="1">
        <v>0</v>
      </c>
      <c r="R2611" s="1" t="s">
        <v>13299</v>
      </c>
      <c r="S2611" s="1" t="s">
        <v>13285</v>
      </c>
      <c r="T2611" s="1">
        <v>1</v>
      </c>
      <c r="U2611" s="1">
        <v>1</v>
      </c>
      <c r="V2611" s="1">
        <v>0</v>
      </c>
      <c r="W2611" s="1">
        <v>0</v>
      </c>
      <c r="X2611" s="1">
        <v>0</v>
      </c>
      <c r="Y2611" s="1">
        <v>5</v>
      </c>
      <c r="Z2611" s="1">
        <v>5</v>
      </c>
      <c r="AA2611" s="1" t="s">
        <v>104</v>
      </c>
      <c r="AB2611" s="1" t="s">
        <v>104</v>
      </c>
      <c r="AC2611" s="1" t="s">
        <v>104</v>
      </c>
      <c r="AD2611" s="1">
        <v>4</v>
      </c>
      <c r="AE2611" s="1" t="s">
        <v>104</v>
      </c>
      <c r="AF2611" s="1" t="s">
        <v>104</v>
      </c>
      <c r="AG2611" s="1" t="s">
        <v>104</v>
      </c>
      <c r="AH2611" s="1">
        <v>5</v>
      </c>
      <c r="AI2611" s="1" t="s">
        <v>104</v>
      </c>
      <c r="AJ2611" s="1" t="s">
        <v>104</v>
      </c>
      <c r="AK2611" s="1" t="s">
        <v>104</v>
      </c>
      <c r="AL2611" s="1" t="s">
        <v>104</v>
      </c>
      <c r="AM2611" s="1" t="s">
        <v>104</v>
      </c>
      <c r="AO2611" s="1">
        <v>5</v>
      </c>
      <c r="AR2611" s="1">
        <v>0</v>
      </c>
      <c r="AS2611" s="1">
        <v>0</v>
      </c>
      <c r="AT2611" s="1">
        <v>0</v>
      </c>
      <c r="AU2611" s="1">
        <v>0</v>
      </c>
      <c r="AV2611" s="1">
        <v>0</v>
      </c>
      <c r="AW2611" s="1">
        <v>0</v>
      </c>
      <c r="AX2611" s="1">
        <v>0</v>
      </c>
      <c r="AY2611" s="1">
        <v>0</v>
      </c>
      <c r="AZ2611" s="1">
        <v>0</v>
      </c>
      <c r="BA2611" s="1">
        <v>0</v>
      </c>
      <c r="BB2611" s="1">
        <v>0</v>
      </c>
      <c r="BC2611" s="1">
        <v>0</v>
      </c>
      <c r="BD2611" s="1">
        <v>0</v>
      </c>
      <c r="BE2611" s="1">
        <v>0</v>
      </c>
      <c r="BF2611" s="1">
        <v>0</v>
      </c>
      <c r="BG2611" s="1">
        <v>0</v>
      </c>
      <c r="BH2611" s="1">
        <v>1</v>
      </c>
      <c r="BI2611" s="1">
        <v>0</v>
      </c>
      <c r="BJ2611" s="1">
        <v>0</v>
      </c>
      <c r="BK2611" s="1">
        <v>1</v>
      </c>
      <c r="BL2611" s="1">
        <v>0</v>
      </c>
      <c r="BM2611" s="1">
        <v>0</v>
      </c>
      <c r="BN2611" s="1">
        <v>0</v>
      </c>
      <c r="BO2611" s="1">
        <v>0</v>
      </c>
      <c r="BP2611" s="1">
        <v>0</v>
      </c>
      <c r="BQ2611" s="1" t="s">
        <v>104</v>
      </c>
      <c r="BR2611" s="1">
        <v>2745</v>
      </c>
      <c r="BS2611" s="1" t="s">
        <v>104</v>
      </c>
      <c r="BX2611" s="1">
        <v>0</v>
      </c>
      <c r="BY2611" s="1" t="s">
        <v>104</v>
      </c>
      <c r="BZ2611" s="1" t="s">
        <v>104</v>
      </c>
      <c r="CA2611" s="1">
        <v>5</v>
      </c>
      <c r="CB2611" s="1">
        <v>4</v>
      </c>
      <c r="CC2611" s="1">
        <v>4</v>
      </c>
      <c r="CD2611" s="1">
        <v>5</v>
      </c>
      <c r="CE2611" s="1" t="s">
        <v>104</v>
      </c>
      <c r="CF2611" s="1" t="s">
        <v>104</v>
      </c>
      <c r="CG2611" s="1" t="s">
        <v>104</v>
      </c>
      <c r="CH2611" s="1" t="s">
        <v>104</v>
      </c>
      <c r="CJ2611" s="1">
        <v>0</v>
      </c>
      <c r="CK2611" s="1">
        <v>0</v>
      </c>
      <c r="CL2611" s="1">
        <v>0</v>
      </c>
      <c r="CM2611" s="1" t="s">
        <v>104</v>
      </c>
    </row>
    <row r="2612" spans="1:91" ht="14.25" customHeight="1" x14ac:dyDescent="0.3">
      <c r="A2612" s="1" t="s">
        <v>13300</v>
      </c>
      <c r="B2612" s="1" t="s">
        <v>123</v>
      </c>
      <c r="C2612" s="1" t="s">
        <v>635</v>
      </c>
      <c r="D2612" s="1" t="s">
        <v>125</v>
      </c>
      <c r="E2612" s="1" t="s">
        <v>11764</v>
      </c>
      <c r="F2612" s="1" t="s">
        <v>95</v>
      </c>
      <c r="G2612" s="1" t="s">
        <v>116</v>
      </c>
      <c r="H2612" s="1">
        <v>0</v>
      </c>
      <c r="I2612" s="1" t="s">
        <v>4350</v>
      </c>
      <c r="L2612" s="1" t="s">
        <v>1065</v>
      </c>
      <c r="M2612" s="1" t="s">
        <v>4992</v>
      </c>
      <c r="N2612" s="1">
        <v>1</v>
      </c>
      <c r="O2612" s="1">
        <v>0</v>
      </c>
      <c r="P2612" s="1" t="s">
        <v>211</v>
      </c>
      <c r="Q2612" s="1" t="s">
        <v>184</v>
      </c>
      <c r="R2612" s="1" t="s">
        <v>13301</v>
      </c>
      <c r="S2612" s="1" t="s">
        <v>13285</v>
      </c>
      <c r="T2612" s="1">
        <v>1</v>
      </c>
      <c r="U2612" s="1">
        <v>1</v>
      </c>
      <c r="V2612" s="1">
        <v>0</v>
      </c>
      <c r="W2612" s="1">
        <v>0</v>
      </c>
      <c r="X2612" s="1">
        <v>0</v>
      </c>
      <c r="Y2612" s="1">
        <v>3</v>
      </c>
      <c r="Z2612" s="1">
        <v>3</v>
      </c>
      <c r="AA2612" s="1" t="s">
        <v>104</v>
      </c>
      <c r="AB2612" s="1" t="s">
        <v>104</v>
      </c>
      <c r="AC2612" s="1" t="s">
        <v>104</v>
      </c>
      <c r="AD2612" s="1">
        <v>3</v>
      </c>
      <c r="AE2612" s="1" t="s">
        <v>104</v>
      </c>
      <c r="AF2612" s="1" t="s">
        <v>104</v>
      </c>
      <c r="AG2612" s="1" t="s">
        <v>104</v>
      </c>
      <c r="AH2612" s="1">
        <v>3</v>
      </c>
      <c r="AI2612" s="1">
        <v>3</v>
      </c>
      <c r="AJ2612" s="1" t="s">
        <v>104</v>
      </c>
      <c r="AK2612" s="1">
        <v>3</v>
      </c>
      <c r="AL2612" s="1" t="s">
        <v>104</v>
      </c>
      <c r="AM2612" s="1" t="s">
        <v>104</v>
      </c>
      <c r="AO2612" s="1">
        <v>3</v>
      </c>
      <c r="AR2612" s="1">
        <v>0</v>
      </c>
      <c r="AS2612" s="1">
        <v>0</v>
      </c>
      <c r="AT2612" s="1">
        <v>0</v>
      </c>
      <c r="AU2612" s="1">
        <v>0</v>
      </c>
      <c r="AV2612" s="1">
        <v>0</v>
      </c>
      <c r="AW2612" s="1">
        <v>0</v>
      </c>
      <c r="AX2612" s="1">
        <v>0</v>
      </c>
      <c r="AY2612" s="1">
        <v>0</v>
      </c>
      <c r="AZ2612" s="1">
        <v>0</v>
      </c>
      <c r="BA2612" s="1">
        <v>0</v>
      </c>
      <c r="BB2612" s="1">
        <v>0</v>
      </c>
      <c r="BC2612" s="1">
        <v>0</v>
      </c>
      <c r="BD2612" s="1">
        <v>0</v>
      </c>
      <c r="BE2612" s="1">
        <v>0</v>
      </c>
      <c r="BF2612" s="1">
        <v>0</v>
      </c>
      <c r="BG2612" s="1">
        <v>0</v>
      </c>
      <c r="BH2612" s="1">
        <v>0</v>
      </c>
      <c r="BI2612" s="1">
        <v>0</v>
      </c>
      <c r="BJ2612" s="1">
        <v>0</v>
      </c>
      <c r="BK2612" s="1">
        <v>1</v>
      </c>
      <c r="BL2612" s="1">
        <v>0</v>
      </c>
      <c r="BM2612" s="1">
        <v>0</v>
      </c>
      <c r="BN2612" s="1">
        <v>0</v>
      </c>
      <c r="BO2612" s="1">
        <v>0</v>
      </c>
      <c r="BP2612" s="1">
        <v>0</v>
      </c>
      <c r="BQ2612" s="1" t="s">
        <v>104</v>
      </c>
      <c r="BR2612" s="1">
        <v>2746</v>
      </c>
      <c r="BS2612" s="1" t="s">
        <v>104</v>
      </c>
      <c r="BX2612" s="1">
        <v>0</v>
      </c>
      <c r="BY2612" s="1" t="s">
        <v>104</v>
      </c>
      <c r="BZ2612" s="1" t="s">
        <v>104</v>
      </c>
      <c r="CA2612" s="1">
        <v>3</v>
      </c>
      <c r="CB2612" s="1" t="s">
        <v>104</v>
      </c>
      <c r="CC2612" s="1">
        <v>3</v>
      </c>
      <c r="CD2612" s="1" t="s">
        <v>104</v>
      </c>
      <c r="CE2612" s="1" t="s">
        <v>104</v>
      </c>
      <c r="CF2612" s="1" t="s">
        <v>104</v>
      </c>
      <c r="CG2612" s="1" t="s">
        <v>104</v>
      </c>
      <c r="CH2612" s="1" t="s">
        <v>104</v>
      </c>
      <c r="CJ2612" s="1">
        <v>0</v>
      </c>
      <c r="CK2612" s="1">
        <v>0</v>
      </c>
      <c r="CL2612" s="1">
        <v>0</v>
      </c>
      <c r="CM2612" s="1" t="s">
        <v>104</v>
      </c>
    </row>
    <row r="2613" spans="1:91" ht="14.25" customHeight="1" x14ac:dyDescent="0.3">
      <c r="A2613" s="1" t="s">
        <v>13302</v>
      </c>
      <c r="B2613" s="1" t="s">
        <v>123</v>
      </c>
      <c r="C2613" s="1" t="s">
        <v>124</v>
      </c>
      <c r="D2613" s="1" t="s">
        <v>125</v>
      </c>
      <c r="E2613" s="1" t="s">
        <v>13303</v>
      </c>
      <c r="F2613" s="1" t="s">
        <v>255</v>
      </c>
      <c r="G2613" s="1" t="s">
        <v>116</v>
      </c>
      <c r="H2613" s="1">
        <v>0</v>
      </c>
      <c r="I2613" s="1" t="s">
        <v>117</v>
      </c>
      <c r="J2613" s="1" t="s">
        <v>2066</v>
      </c>
      <c r="M2613" s="1" t="s">
        <v>4992</v>
      </c>
      <c r="N2613" s="1">
        <v>1</v>
      </c>
      <c r="O2613" s="1">
        <v>0</v>
      </c>
      <c r="P2613" s="1" t="s">
        <v>211</v>
      </c>
      <c r="Q2613" s="1" t="s">
        <v>184</v>
      </c>
      <c r="R2613" s="1" t="s">
        <v>13304</v>
      </c>
      <c r="S2613" s="1" t="s">
        <v>13285</v>
      </c>
      <c r="T2613" s="1">
        <v>1</v>
      </c>
      <c r="U2613" s="1">
        <v>1</v>
      </c>
      <c r="V2613" s="1">
        <v>0</v>
      </c>
      <c r="W2613" s="1">
        <v>0</v>
      </c>
      <c r="X2613" s="1">
        <v>0</v>
      </c>
      <c r="Y2613" s="1">
        <v>4</v>
      </c>
      <c r="Z2613" s="1">
        <v>4</v>
      </c>
      <c r="AA2613" s="1" t="s">
        <v>104</v>
      </c>
      <c r="AB2613" s="1" t="s">
        <v>104</v>
      </c>
      <c r="AC2613" s="1" t="s">
        <v>104</v>
      </c>
      <c r="AD2613" s="1">
        <v>4</v>
      </c>
      <c r="AE2613" s="1" t="s">
        <v>104</v>
      </c>
      <c r="AF2613" s="1" t="s">
        <v>104</v>
      </c>
      <c r="AG2613" s="1" t="s">
        <v>104</v>
      </c>
      <c r="AH2613" s="1">
        <v>4</v>
      </c>
      <c r="AI2613" s="1" t="s">
        <v>104</v>
      </c>
      <c r="AJ2613" s="1" t="s">
        <v>104</v>
      </c>
      <c r="AK2613" s="1" t="s">
        <v>104</v>
      </c>
      <c r="AL2613" s="1" t="s">
        <v>104</v>
      </c>
      <c r="AM2613" s="1" t="s">
        <v>104</v>
      </c>
      <c r="AO2613" s="1">
        <v>4</v>
      </c>
      <c r="AR2613" s="1">
        <v>0</v>
      </c>
      <c r="AS2613" s="1">
        <v>0</v>
      </c>
      <c r="AT2613" s="1">
        <v>0</v>
      </c>
      <c r="AU2613" s="1">
        <v>0</v>
      </c>
      <c r="AV2613" s="1">
        <v>0</v>
      </c>
      <c r="AW2613" s="1">
        <v>0</v>
      </c>
      <c r="AX2613" s="1">
        <v>0</v>
      </c>
      <c r="AY2613" s="1">
        <v>0</v>
      </c>
      <c r="AZ2613" s="1">
        <v>0</v>
      </c>
      <c r="BA2613" s="1">
        <v>0</v>
      </c>
      <c r="BB2613" s="1">
        <v>0</v>
      </c>
      <c r="BC2613" s="1">
        <v>0</v>
      </c>
      <c r="BD2613" s="1">
        <v>0</v>
      </c>
      <c r="BE2613" s="1">
        <v>0</v>
      </c>
      <c r="BF2613" s="1">
        <v>0</v>
      </c>
      <c r="BG2613" s="1">
        <v>0</v>
      </c>
      <c r="BH2613" s="1">
        <v>0</v>
      </c>
      <c r="BI2613" s="1">
        <v>0</v>
      </c>
      <c r="BJ2613" s="1">
        <v>0</v>
      </c>
      <c r="BK2613" s="1">
        <v>1</v>
      </c>
      <c r="BL2613" s="1">
        <v>0</v>
      </c>
      <c r="BM2613" s="1">
        <v>0</v>
      </c>
      <c r="BN2613" s="1">
        <v>0</v>
      </c>
      <c r="BO2613" s="1">
        <v>0</v>
      </c>
      <c r="BP2613" s="1">
        <v>0</v>
      </c>
      <c r="BQ2613" s="1" t="s">
        <v>104</v>
      </c>
      <c r="BR2613" s="1">
        <v>2747</v>
      </c>
      <c r="BS2613" s="1" t="s">
        <v>104</v>
      </c>
      <c r="BX2613" s="1">
        <v>0</v>
      </c>
      <c r="BY2613" s="1" t="s">
        <v>104</v>
      </c>
      <c r="BZ2613" s="1" t="s">
        <v>104</v>
      </c>
      <c r="CA2613" s="1">
        <v>4</v>
      </c>
      <c r="CB2613" s="1" t="s">
        <v>104</v>
      </c>
      <c r="CC2613" s="1">
        <v>4</v>
      </c>
      <c r="CD2613" s="1">
        <v>4</v>
      </c>
      <c r="CE2613" s="1" t="s">
        <v>104</v>
      </c>
      <c r="CF2613" s="1" t="s">
        <v>104</v>
      </c>
      <c r="CG2613" s="1" t="s">
        <v>104</v>
      </c>
      <c r="CH2613" s="1" t="s">
        <v>104</v>
      </c>
      <c r="CJ2613" s="1">
        <v>0</v>
      </c>
      <c r="CK2613" s="1">
        <v>0</v>
      </c>
      <c r="CL2613" s="1">
        <v>0</v>
      </c>
      <c r="CM2613" s="1" t="s">
        <v>104</v>
      </c>
    </row>
    <row r="2614" spans="1:91" ht="14.25" customHeight="1" x14ac:dyDescent="0.3">
      <c r="A2614" s="1" t="s">
        <v>13305</v>
      </c>
      <c r="B2614" s="1" t="s">
        <v>137</v>
      </c>
      <c r="E2614" s="1" t="s">
        <v>13306</v>
      </c>
      <c r="F2614" s="1" t="s">
        <v>287</v>
      </c>
      <c r="G2614" s="1" t="s">
        <v>13307</v>
      </c>
      <c r="H2614" s="1">
        <v>1</v>
      </c>
      <c r="I2614" s="1" t="s">
        <v>128</v>
      </c>
      <c r="L2614" s="1" t="s">
        <v>13308</v>
      </c>
      <c r="M2614" s="1" t="s">
        <v>145</v>
      </c>
      <c r="N2614" s="1">
        <v>0</v>
      </c>
      <c r="O2614" s="1">
        <v>0</v>
      </c>
      <c r="P2614" s="1" t="s">
        <v>375</v>
      </c>
      <c r="Q2614" s="1" t="s">
        <v>101</v>
      </c>
      <c r="R2614" s="1" t="s">
        <v>13309</v>
      </c>
      <c r="S2614" s="1" t="s">
        <v>13285</v>
      </c>
      <c r="T2614" s="1">
        <v>1</v>
      </c>
      <c r="U2614" s="1">
        <v>1</v>
      </c>
      <c r="V2614" s="1">
        <v>1</v>
      </c>
      <c r="W2614" s="1">
        <v>0</v>
      </c>
      <c r="X2614" s="1">
        <v>0</v>
      </c>
      <c r="Y2614" s="1" t="s">
        <v>104</v>
      </c>
      <c r="Z2614" s="1" t="s">
        <v>104</v>
      </c>
      <c r="AA2614" s="1">
        <v>6</v>
      </c>
      <c r="AB2614" s="1">
        <v>6</v>
      </c>
      <c r="AC2614" s="1" t="s">
        <v>104</v>
      </c>
      <c r="AD2614" s="1" t="s">
        <v>104</v>
      </c>
      <c r="AE2614" s="1" t="s">
        <v>104</v>
      </c>
      <c r="AF2614" s="1" t="s">
        <v>104</v>
      </c>
      <c r="AG2614" s="1" t="s">
        <v>104</v>
      </c>
      <c r="AH2614" s="1">
        <v>6</v>
      </c>
      <c r="AI2614" s="1" t="s">
        <v>104</v>
      </c>
      <c r="AJ2614" s="1">
        <v>6</v>
      </c>
      <c r="AK2614" s="1" t="s">
        <v>104</v>
      </c>
      <c r="AL2614" s="1" t="s">
        <v>104</v>
      </c>
      <c r="AM2614" s="1" t="s">
        <v>104</v>
      </c>
      <c r="AO2614" s="1">
        <v>6</v>
      </c>
      <c r="AR2614" s="1">
        <v>0</v>
      </c>
      <c r="AS2614" s="1">
        <v>0</v>
      </c>
      <c r="AT2614" s="1">
        <v>0</v>
      </c>
      <c r="AU2614" s="1">
        <v>0</v>
      </c>
      <c r="AV2614" s="1">
        <v>0</v>
      </c>
      <c r="AW2614" s="1">
        <v>0</v>
      </c>
      <c r="AX2614" s="1">
        <v>0</v>
      </c>
      <c r="AY2614" s="1">
        <v>0</v>
      </c>
      <c r="AZ2614" s="1">
        <v>0</v>
      </c>
      <c r="BA2614" s="1">
        <v>0</v>
      </c>
      <c r="BB2614" s="1">
        <v>0</v>
      </c>
      <c r="BC2614" s="1">
        <v>0</v>
      </c>
      <c r="BD2614" s="1">
        <v>0</v>
      </c>
      <c r="BE2614" s="1">
        <v>0</v>
      </c>
      <c r="BF2614" s="1">
        <v>0</v>
      </c>
      <c r="BG2614" s="1">
        <v>0</v>
      </c>
      <c r="BH2614" s="1">
        <v>0</v>
      </c>
      <c r="BI2614" s="1">
        <v>0</v>
      </c>
      <c r="BJ2614" s="1">
        <v>0</v>
      </c>
      <c r="BK2614" s="1">
        <v>0</v>
      </c>
      <c r="BL2614" s="1">
        <v>0</v>
      </c>
      <c r="BM2614" s="1">
        <v>0</v>
      </c>
      <c r="BN2614" s="1">
        <v>0</v>
      </c>
      <c r="BO2614" s="1">
        <v>0</v>
      </c>
      <c r="BP2614" s="1">
        <v>0</v>
      </c>
      <c r="BQ2614" s="1" t="s">
        <v>104</v>
      </c>
      <c r="BR2614" s="1">
        <v>2748</v>
      </c>
      <c r="BS2614" s="1">
        <v>250</v>
      </c>
      <c r="BX2614" s="1">
        <v>0</v>
      </c>
      <c r="BY2614" s="1" t="s">
        <v>104</v>
      </c>
      <c r="BZ2614" s="1">
        <v>6</v>
      </c>
      <c r="CA2614" s="1" t="s">
        <v>104</v>
      </c>
      <c r="CB2614" s="1" t="s">
        <v>104</v>
      </c>
      <c r="CC2614" s="1" t="s">
        <v>104</v>
      </c>
      <c r="CD2614" s="1" t="s">
        <v>104</v>
      </c>
      <c r="CE2614" s="1" t="s">
        <v>104</v>
      </c>
      <c r="CF2614" s="1" t="s">
        <v>104</v>
      </c>
      <c r="CG2614" s="1" t="s">
        <v>104</v>
      </c>
      <c r="CH2614" s="1">
        <v>6</v>
      </c>
      <c r="CJ2614" s="1">
        <v>0</v>
      </c>
      <c r="CK2614" s="1">
        <v>0</v>
      </c>
      <c r="CL2614" s="1">
        <v>0</v>
      </c>
      <c r="CM2614" s="1" t="s">
        <v>104</v>
      </c>
    </row>
    <row r="2615" spans="1:91" ht="14.25" customHeight="1" x14ac:dyDescent="0.3">
      <c r="A2615" s="1" t="s">
        <v>13310</v>
      </c>
      <c r="B2615" s="1" t="s">
        <v>137</v>
      </c>
      <c r="C2615" s="1" t="s">
        <v>154</v>
      </c>
      <c r="E2615" s="1" t="s">
        <v>13311</v>
      </c>
      <c r="F2615" s="1" t="s">
        <v>95</v>
      </c>
      <c r="G2615" s="1" t="s">
        <v>13312</v>
      </c>
      <c r="H2615" s="1">
        <v>0</v>
      </c>
      <c r="I2615" s="1" t="s">
        <v>157</v>
      </c>
      <c r="L2615" s="1" t="s">
        <v>158</v>
      </c>
      <c r="M2615" s="1" t="s">
        <v>4641</v>
      </c>
      <c r="N2615" s="1">
        <v>1</v>
      </c>
      <c r="O2615" s="1">
        <v>0</v>
      </c>
      <c r="R2615" s="1" t="s">
        <v>13313</v>
      </c>
      <c r="S2615" s="1" t="s">
        <v>13285</v>
      </c>
      <c r="T2615" s="1">
        <v>1</v>
      </c>
      <c r="U2615" s="1">
        <v>1</v>
      </c>
      <c r="V2615" s="1">
        <v>1</v>
      </c>
      <c r="W2615" s="1">
        <v>0</v>
      </c>
      <c r="X2615" s="1">
        <v>0</v>
      </c>
      <c r="Y2615" s="1">
        <v>4</v>
      </c>
      <c r="Z2615" s="1">
        <v>4</v>
      </c>
      <c r="AA2615" s="1" t="s">
        <v>104</v>
      </c>
      <c r="AB2615" s="1" t="s">
        <v>104</v>
      </c>
      <c r="AC2615" s="1" t="s">
        <v>104</v>
      </c>
      <c r="AD2615" s="1" t="s">
        <v>104</v>
      </c>
      <c r="AE2615" s="1" t="s">
        <v>104</v>
      </c>
      <c r="AF2615" s="1">
        <v>4</v>
      </c>
      <c r="AG2615" s="1" t="s">
        <v>104</v>
      </c>
      <c r="AH2615" s="1" t="s">
        <v>104</v>
      </c>
      <c r="AI2615" s="1" t="s">
        <v>104</v>
      </c>
      <c r="AJ2615" s="1" t="s">
        <v>104</v>
      </c>
      <c r="AK2615" s="1" t="s">
        <v>104</v>
      </c>
      <c r="AL2615" s="1">
        <v>4</v>
      </c>
      <c r="AM2615" s="1" t="s">
        <v>104</v>
      </c>
      <c r="AO2615" s="1">
        <v>4</v>
      </c>
      <c r="AR2615" s="1">
        <v>0</v>
      </c>
      <c r="AS2615" s="1">
        <v>0</v>
      </c>
      <c r="AT2615" s="1">
        <v>0</v>
      </c>
      <c r="AU2615" s="1">
        <v>0</v>
      </c>
      <c r="AV2615" s="1">
        <v>0</v>
      </c>
      <c r="AW2615" s="1">
        <v>0</v>
      </c>
      <c r="AX2615" s="1">
        <v>0</v>
      </c>
      <c r="AY2615" s="1">
        <v>0</v>
      </c>
      <c r="AZ2615" s="1">
        <v>0</v>
      </c>
      <c r="BA2615" s="1">
        <v>0</v>
      </c>
      <c r="BB2615" s="1">
        <v>0</v>
      </c>
      <c r="BC2615" s="1">
        <v>0</v>
      </c>
      <c r="BD2615" s="1">
        <v>0</v>
      </c>
      <c r="BE2615" s="1">
        <v>0</v>
      </c>
      <c r="BF2615" s="1">
        <v>0</v>
      </c>
      <c r="BG2615" s="1">
        <v>0</v>
      </c>
      <c r="BH2615" s="1">
        <v>0</v>
      </c>
      <c r="BI2615" s="1">
        <v>0</v>
      </c>
      <c r="BJ2615" s="1">
        <v>0</v>
      </c>
      <c r="BK2615" s="1">
        <v>0</v>
      </c>
      <c r="BL2615" s="1">
        <v>0</v>
      </c>
      <c r="BM2615" s="1">
        <v>0</v>
      </c>
      <c r="BN2615" s="1">
        <v>0</v>
      </c>
      <c r="BO2615" s="1">
        <v>0</v>
      </c>
      <c r="BP2615" s="1">
        <v>0</v>
      </c>
      <c r="BQ2615" s="1" t="s">
        <v>104</v>
      </c>
      <c r="BR2615" s="1">
        <v>2749</v>
      </c>
      <c r="BS2615" s="1" t="s">
        <v>104</v>
      </c>
      <c r="BX2615" s="1">
        <v>0</v>
      </c>
      <c r="BY2615" s="1">
        <v>4</v>
      </c>
      <c r="BZ2615" s="1" t="s">
        <v>104</v>
      </c>
      <c r="CA2615" s="1" t="s">
        <v>104</v>
      </c>
      <c r="CB2615" s="1" t="s">
        <v>104</v>
      </c>
      <c r="CC2615" s="1" t="s">
        <v>104</v>
      </c>
      <c r="CD2615" s="1" t="s">
        <v>104</v>
      </c>
      <c r="CE2615" s="1" t="s">
        <v>104</v>
      </c>
      <c r="CF2615" s="1" t="s">
        <v>104</v>
      </c>
      <c r="CG2615" s="1" t="s">
        <v>104</v>
      </c>
      <c r="CH2615" s="1" t="s">
        <v>104</v>
      </c>
      <c r="CJ2615" s="1">
        <v>0</v>
      </c>
      <c r="CK2615" s="1">
        <v>0</v>
      </c>
      <c r="CL2615" s="1">
        <v>0</v>
      </c>
      <c r="CM2615" s="1" t="s">
        <v>104</v>
      </c>
    </row>
    <row r="2616" spans="1:91" ht="14.25" customHeight="1" x14ac:dyDescent="0.3">
      <c r="A2616" s="1" t="s">
        <v>13314</v>
      </c>
      <c r="B2616" s="1" t="s">
        <v>137</v>
      </c>
      <c r="C2616" s="1" t="s">
        <v>154</v>
      </c>
      <c r="E2616" s="1" t="s">
        <v>13315</v>
      </c>
      <c r="F2616" s="1" t="s">
        <v>95</v>
      </c>
      <c r="G2616" s="1" t="s">
        <v>13312</v>
      </c>
      <c r="H2616" s="1">
        <v>0</v>
      </c>
      <c r="I2616" s="1" t="s">
        <v>157</v>
      </c>
      <c r="L2616" s="1" t="s">
        <v>158</v>
      </c>
      <c r="M2616" s="1" t="s">
        <v>4641</v>
      </c>
      <c r="N2616" s="1">
        <v>1</v>
      </c>
      <c r="O2616" s="1">
        <v>0</v>
      </c>
      <c r="R2616" s="1" t="s">
        <v>13316</v>
      </c>
      <c r="S2616" s="1" t="s">
        <v>13285</v>
      </c>
      <c r="T2616" s="1">
        <v>1</v>
      </c>
      <c r="U2616" s="1">
        <v>1</v>
      </c>
      <c r="V2616" s="1">
        <v>1</v>
      </c>
      <c r="W2616" s="1">
        <v>0</v>
      </c>
      <c r="X2616" s="1">
        <v>0</v>
      </c>
      <c r="Y2616" s="1">
        <v>5</v>
      </c>
      <c r="Z2616" s="1">
        <v>5</v>
      </c>
      <c r="AA2616" s="1" t="s">
        <v>104</v>
      </c>
      <c r="AB2616" s="1" t="s">
        <v>104</v>
      </c>
      <c r="AC2616" s="1" t="s">
        <v>104</v>
      </c>
      <c r="AD2616" s="1" t="s">
        <v>104</v>
      </c>
      <c r="AE2616" s="1" t="s">
        <v>104</v>
      </c>
      <c r="AF2616" s="1">
        <v>5</v>
      </c>
      <c r="AG2616" s="1" t="s">
        <v>104</v>
      </c>
      <c r="AH2616" s="1" t="s">
        <v>104</v>
      </c>
      <c r="AI2616" s="1" t="s">
        <v>104</v>
      </c>
      <c r="AJ2616" s="1" t="s">
        <v>104</v>
      </c>
      <c r="AK2616" s="1" t="s">
        <v>104</v>
      </c>
      <c r="AL2616" s="1">
        <v>5</v>
      </c>
      <c r="AM2616" s="1" t="s">
        <v>104</v>
      </c>
      <c r="AO2616" s="1">
        <v>5</v>
      </c>
      <c r="AR2616" s="1">
        <v>0</v>
      </c>
      <c r="AS2616" s="1">
        <v>0</v>
      </c>
      <c r="AT2616" s="1">
        <v>0</v>
      </c>
      <c r="AU2616" s="1">
        <v>0</v>
      </c>
      <c r="AV2616" s="1">
        <v>0</v>
      </c>
      <c r="AW2616" s="1">
        <v>0</v>
      </c>
      <c r="AX2616" s="1">
        <v>0</v>
      </c>
      <c r="AY2616" s="1">
        <v>0</v>
      </c>
      <c r="AZ2616" s="1">
        <v>0</v>
      </c>
      <c r="BA2616" s="1">
        <v>0</v>
      </c>
      <c r="BB2616" s="1">
        <v>0</v>
      </c>
      <c r="BC2616" s="1">
        <v>0</v>
      </c>
      <c r="BD2616" s="1">
        <v>0</v>
      </c>
      <c r="BE2616" s="1">
        <v>0</v>
      </c>
      <c r="BF2616" s="1">
        <v>0</v>
      </c>
      <c r="BG2616" s="1">
        <v>0</v>
      </c>
      <c r="BH2616" s="1">
        <v>0</v>
      </c>
      <c r="BI2616" s="1">
        <v>0</v>
      </c>
      <c r="BJ2616" s="1">
        <v>0</v>
      </c>
      <c r="BK2616" s="1">
        <v>0</v>
      </c>
      <c r="BL2616" s="1">
        <v>0</v>
      </c>
      <c r="BM2616" s="1">
        <v>0</v>
      </c>
      <c r="BN2616" s="1">
        <v>0</v>
      </c>
      <c r="BO2616" s="1">
        <v>0</v>
      </c>
      <c r="BP2616" s="1">
        <v>0</v>
      </c>
      <c r="BQ2616" s="1" t="s">
        <v>104</v>
      </c>
      <c r="BR2616" s="1">
        <v>2750</v>
      </c>
      <c r="BS2616" s="1" t="s">
        <v>104</v>
      </c>
      <c r="BX2616" s="1">
        <v>0</v>
      </c>
      <c r="BY2616" s="1">
        <v>5</v>
      </c>
      <c r="BZ2616" s="1" t="s">
        <v>104</v>
      </c>
      <c r="CA2616" s="1" t="s">
        <v>104</v>
      </c>
      <c r="CB2616" s="1" t="s">
        <v>104</v>
      </c>
      <c r="CC2616" s="1" t="s">
        <v>104</v>
      </c>
      <c r="CD2616" s="1" t="s">
        <v>104</v>
      </c>
      <c r="CE2616" s="1" t="s">
        <v>104</v>
      </c>
      <c r="CF2616" s="1" t="s">
        <v>104</v>
      </c>
      <c r="CG2616" s="1" t="s">
        <v>104</v>
      </c>
      <c r="CH2616" s="1" t="s">
        <v>104</v>
      </c>
      <c r="CJ2616" s="1">
        <v>0</v>
      </c>
      <c r="CK2616" s="1">
        <v>0</v>
      </c>
      <c r="CL2616" s="1">
        <v>0</v>
      </c>
      <c r="CM2616" s="1" t="s">
        <v>104</v>
      </c>
    </row>
    <row r="2617" spans="1:91" ht="14.25" customHeight="1" x14ac:dyDescent="0.3">
      <c r="A2617" s="1" t="s">
        <v>13317</v>
      </c>
      <c r="B2617" s="1" t="s">
        <v>137</v>
      </c>
      <c r="C2617" s="1" t="s">
        <v>154</v>
      </c>
      <c r="E2617" s="1" t="s">
        <v>13318</v>
      </c>
      <c r="F2617" s="1" t="s">
        <v>95</v>
      </c>
      <c r="G2617" s="1" t="s">
        <v>13312</v>
      </c>
      <c r="H2617" s="1">
        <v>0</v>
      </c>
      <c r="I2617" s="1" t="s">
        <v>157</v>
      </c>
      <c r="L2617" s="1" t="s">
        <v>158</v>
      </c>
      <c r="M2617" s="1" t="s">
        <v>4641</v>
      </c>
      <c r="N2617" s="1">
        <v>1</v>
      </c>
      <c r="O2617" s="1">
        <v>0</v>
      </c>
      <c r="R2617" s="1" t="s">
        <v>13319</v>
      </c>
      <c r="S2617" s="1" t="s">
        <v>13285</v>
      </c>
      <c r="T2617" s="1">
        <v>1</v>
      </c>
      <c r="U2617" s="1">
        <v>1</v>
      </c>
      <c r="V2617" s="1">
        <v>1</v>
      </c>
      <c r="W2617" s="1">
        <v>0</v>
      </c>
      <c r="X2617" s="1">
        <v>0</v>
      </c>
      <c r="Y2617" s="1">
        <v>6</v>
      </c>
      <c r="Z2617" s="1">
        <v>6</v>
      </c>
      <c r="AA2617" s="1" t="s">
        <v>104</v>
      </c>
      <c r="AB2617" s="1" t="s">
        <v>104</v>
      </c>
      <c r="AC2617" s="1" t="s">
        <v>104</v>
      </c>
      <c r="AD2617" s="1" t="s">
        <v>104</v>
      </c>
      <c r="AE2617" s="1" t="s">
        <v>104</v>
      </c>
      <c r="AF2617" s="1">
        <v>6</v>
      </c>
      <c r="AG2617" s="1" t="s">
        <v>104</v>
      </c>
      <c r="AH2617" s="1" t="s">
        <v>104</v>
      </c>
      <c r="AI2617" s="1" t="s">
        <v>104</v>
      </c>
      <c r="AJ2617" s="1" t="s">
        <v>104</v>
      </c>
      <c r="AK2617" s="1" t="s">
        <v>104</v>
      </c>
      <c r="AL2617" s="1">
        <v>6</v>
      </c>
      <c r="AM2617" s="1" t="s">
        <v>104</v>
      </c>
      <c r="AO2617" s="1">
        <v>6</v>
      </c>
      <c r="AR2617" s="1">
        <v>0</v>
      </c>
      <c r="AS2617" s="1">
        <v>0</v>
      </c>
      <c r="AT2617" s="1">
        <v>0</v>
      </c>
      <c r="AU2617" s="1">
        <v>0</v>
      </c>
      <c r="AV2617" s="1">
        <v>0</v>
      </c>
      <c r="AW2617" s="1">
        <v>0</v>
      </c>
      <c r="AX2617" s="1">
        <v>0</v>
      </c>
      <c r="AY2617" s="1">
        <v>0</v>
      </c>
      <c r="AZ2617" s="1">
        <v>0</v>
      </c>
      <c r="BA2617" s="1">
        <v>0</v>
      </c>
      <c r="BB2617" s="1">
        <v>0</v>
      </c>
      <c r="BC2617" s="1">
        <v>0</v>
      </c>
      <c r="BD2617" s="1">
        <v>0</v>
      </c>
      <c r="BE2617" s="1">
        <v>0</v>
      </c>
      <c r="BF2617" s="1">
        <v>0</v>
      </c>
      <c r="BG2617" s="1">
        <v>0</v>
      </c>
      <c r="BH2617" s="1">
        <v>0</v>
      </c>
      <c r="BI2617" s="1">
        <v>0</v>
      </c>
      <c r="BJ2617" s="1">
        <v>0</v>
      </c>
      <c r="BK2617" s="1">
        <v>0</v>
      </c>
      <c r="BL2617" s="1">
        <v>0</v>
      </c>
      <c r="BM2617" s="1">
        <v>0</v>
      </c>
      <c r="BN2617" s="1">
        <v>0</v>
      </c>
      <c r="BO2617" s="1">
        <v>0</v>
      </c>
      <c r="BP2617" s="1">
        <v>0</v>
      </c>
      <c r="BQ2617" s="1" t="s">
        <v>104</v>
      </c>
      <c r="BR2617" s="1">
        <v>2751</v>
      </c>
      <c r="BS2617" s="1" t="s">
        <v>104</v>
      </c>
      <c r="BX2617" s="1">
        <v>0</v>
      </c>
      <c r="BY2617" s="1">
        <v>6</v>
      </c>
      <c r="BZ2617" s="1" t="s">
        <v>104</v>
      </c>
      <c r="CA2617" s="1" t="s">
        <v>104</v>
      </c>
      <c r="CB2617" s="1" t="s">
        <v>104</v>
      </c>
      <c r="CC2617" s="1" t="s">
        <v>104</v>
      </c>
      <c r="CD2617" s="1" t="s">
        <v>104</v>
      </c>
      <c r="CE2617" s="1" t="s">
        <v>104</v>
      </c>
      <c r="CF2617" s="1" t="s">
        <v>104</v>
      </c>
      <c r="CG2617" s="1" t="s">
        <v>104</v>
      </c>
      <c r="CH2617" s="1" t="s">
        <v>104</v>
      </c>
      <c r="CJ2617" s="1">
        <v>0</v>
      </c>
      <c r="CK2617" s="1">
        <v>0</v>
      </c>
      <c r="CL2617" s="1">
        <v>0</v>
      </c>
      <c r="CM2617" s="1" t="s">
        <v>104</v>
      </c>
    </row>
    <row r="2618" spans="1:91" ht="14.25" customHeight="1" x14ac:dyDescent="0.3">
      <c r="A2618" s="1" t="s">
        <v>13320</v>
      </c>
      <c r="B2618" s="1" t="s">
        <v>216</v>
      </c>
      <c r="E2618" s="1" t="s">
        <v>13321</v>
      </c>
      <c r="F2618" s="1" t="s">
        <v>255</v>
      </c>
      <c r="G2618" s="1" t="s">
        <v>13322</v>
      </c>
      <c r="H2618" s="1">
        <v>0</v>
      </c>
      <c r="I2618" s="1" t="s">
        <v>109</v>
      </c>
      <c r="L2618" s="1" t="s">
        <v>13323</v>
      </c>
      <c r="M2618" s="1" t="s">
        <v>119</v>
      </c>
      <c r="N2618" s="1">
        <v>0</v>
      </c>
      <c r="O2618" s="1">
        <v>0</v>
      </c>
      <c r="P2618" s="1" t="s">
        <v>211</v>
      </c>
      <c r="Q2618" s="1" t="s">
        <v>184</v>
      </c>
      <c r="R2618" s="1" t="s">
        <v>13324</v>
      </c>
      <c r="S2618" s="1" t="s">
        <v>13285</v>
      </c>
      <c r="T2618" s="1">
        <v>0</v>
      </c>
      <c r="U2618" s="1">
        <v>1</v>
      </c>
      <c r="V2618" s="1">
        <v>1</v>
      </c>
      <c r="W2618" s="1">
        <v>0</v>
      </c>
      <c r="X2618" s="1">
        <v>0</v>
      </c>
      <c r="Y2618" s="1">
        <v>1</v>
      </c>
      <c r="Z2618" s="1">
        <v>1</v>
      </c>
      <c r="AA2618" s="1" t="s">
        <v>104</v>
      </c>
      <c r="AB2618" s="1">
        <v>1</v>
      </c>
      <c r="AC2618" s="1" t="s">
        <v>104</v>
      </c>
      <c r="AD2618" s="1">
        <v>1</v>
      </c>
      <c r="AE2618" s="1" t="s">
        <v>104</v>
      </c>
      <c r="AF2618" s="1" t="s">
        <v>104</v>
      </c>
      <c r="AG2618" s="1" t="s">
        <v>104</v>
      </c>
      <c r="AH2618" s="1">
        <v>1</v>
      </c>
      <c r="AI2618" s="1" t="s">
        <v>104</v>
      </c>
      <c r="AJ2618" s="1" t="s">
        <v>104</v>
      </c>
      <c r="AK2618" s="1" t="s">
        <v>104</v>
      </c>
      <c r="AL2618" s="1" t="s">
        <v>104</v>
      </c>
      <c r="AM2618" s="1" t="s">
        <v>104</v>
      </c>
      <c r="AO2618" s="1">
        <v>1</v>
      </c>
      <c r="AR2618" s="1">
        <v>0</v>
      </c>
      <c r="AS2618" s="1">
        <v>0</v>
      </c>
      <c r="AT2618" s="1">
        <v>0</v>
      </c>
      <c r="AU2618" s="1">
        <v>0</v>
      </c>
      <c r="AV2618" s="1">
        <v>0</v>
      </c>
      <c r="AW2618" s="1">
        <v>0</v>
      </c>
      <c r="AX2618" s="1">
        <v>0</v>
      </c>
      <c r="AY2618" s="1">
        <v>0</v>
      </c>
      <c r="AZ2618" s="1">
        <v>0</v>
      </c>
      <c r="BA2618" s="1">
        <v>0</v>
      </c>
      <c r="BB2618" s="1">
        <v>0</v>
      </c>
      <c r="BC2618" s="1">
        <v>0</v>
      </c>
      <c r="BD2618" s="1">
        <v>0</v>
      </c>
      <c r="BE2618" s="1">
        <v>0</v>
      </c>
      <c r="BF2618" s="1">
        <v>0</v>
      </c>
      <c r="BG2618" s="1">
        <v>0</v>
      </c>
      <c r="BH2618" s="1">
        <v>0</v>
      </c>
      <c r="BI2618" s="1">
        <v>0</v>
      </c>
      <c r="BJ2618" s="1">
        <v>0</v>
      </c>
      <c r="BK2618" s="1">
        <v>0</v>
      </c>
      <c r="BL2618" s="1">
        <v>0</v>
      </c>
      <c r="BM2618" s="1">
        <v>0</v>
      </c>
      <c r="BN2618" s="1">
        <v>0</v>
      </c>
      <c r="BO2618" s="1">
        <v>0</v>
      </c>
      <c r="BP2618" s="1">
        <v>0</v>
      </c>
      <c r="BQ2618" s="1" t="s">
        <v>104</v>
      </c>
      <c r="BR2618" s="1">
        <v>2752</v>
      </c>
      <c r="BS2618" s="1" t="s">
        <v>104</v>
      </c>
      <c r="BX2618" s="1">
        <v>0</v>
      </c>
      <c r="BY2618" s="1" t="s">
        <v>104</v>
      </c>
      <c r="BZ2618" s="1" t="s">
        <v>104</v>
      </c>
      <c r="CA2618" s="1" t="s">
        <v>104</v>
      </c>
      <c r="CB2618" s="1" t="s">
        <v>104</v>
      </c>
      <c r="CC2618" s="1" t="s">
        <v>104</v>
      </c>
      <c r="CD2618" s="1" t="s">
        <v>104</v>
      </c>
      <c r="CE2618" s="1" t="s">
        <v>104</v>
      </c>
      <c r="CF2618" s="1" t="s">
        <v>104</v>
      </c>
      <c r="CG2618" s="1" t="s">
        <v>104</v>
      </c>
      <c r="CH2618" s="1">
        <v>1</v>
      </c>
      <c r="CJ2618" s="1">
        <v>0</v>
      </c>
      <c r="CK2618" s="1">
        <v>0</v>
      </c>
      <c r="CL2618" s="1">
        <v>0</v>
      </c>
      <c r="CM2618" s="1" t="s">
        <v>104</v>
      </c>
    </row>
    <row r="2619" spans="1:91" ht="14.25" customHeight="1" x14ac:dyDescent="0.3">
      <c r="A2619" s="1" t="s">
        <v>13325</v>
      </c>
      <c r="B2619" s="1" t="s">
        <v>92</v>
      </c>
      <c r="E2619" s="1" t="s">
        <v>13326</v>
      </c>
      <c r="F2619" s="1" t="s">
        <v>95</v>
      </c>
      <c r="G2619" s="1" t="s">
        <v>13327</v>
      </c>
      <c r="H2619" s="1">
        <v>0</v>
      </c>
      <c r="I2619" s="1" t="s">
        <v>117</v>
      </c>
      <c r="L2619" s="1" t="s">
        <v>1065</v>
      </c>
      <c r="M2619" s="1" t="s">
        <v>4332</v>
      </c>
      <c r="N2619" s="1">
        <v>0</v>
      </c>
      <c r="O2619" s="1">
        <v>0</v>
      </c>
      <c r="P2619" s="1" t="s">
        <v>6053</v>
      </c>
      <c r="Q2619" s="1" t="s">
        <v>184</v>
      </c>
      <c r="R2619" s="1" t="s">
        <v>13328</v>
      </c>
      <c r="S2619" s="1" t="s">
        <v>13285</v>
      </c>
      <c r="T2619" s="1">
        <v>1</v>
      </c>
      <c r="U2619" s="1">
        <v>1</v>
      </c>
      <c r="V2619" s="1">
        <v>1</v>
      </c>
      <c r="W2619" s="1">
        <v>0</v>
      </c>
      <c r="X2619" s="1">
        <v>0</v>
      </c>
      <c r="Y2619" s="1">
        <v>1</v>
      </c>
      <c r="Z2619" s="1">
        <v>1</v>
      </c>
      <c r="AA2619" s="1" t="s">
        <v>104</v>
      </c>
      <c r="AB2619" s="1" t="s">
        <v>104</v>
      </c>
      <c r="AC2619" s="1" t="s">
        <v>104</v>
      </c>
      <c r="AD2619" s="1" t="s">
        <v>104</v>
      </c>
      <c r="AE2619" s="1" t="s">
        <v>104</v>
      </c>
      <c r="AF2619" s="1" t="s">
        <v>104</v>
      </c>
      <c r="AG2619" s="1" t="s">
        <v>104</v>
      </c>
      <c r="AH2619" s="1">
        <v>1</v>
      </c>
      <c r="AI2619" s="1" t="s">
        <v>104</v>
      </c>
      <c r="AJ2619" s="1" t="s">
        <v>104</v>
      </c>
      <c r="AK2619" s="1" t="s">
        <v>104</v>
      </c>
      <c r="AL2619" s="1" t="s">
        <v>104</v>
      </c>
      <c r="AM2619" s="1" t="s">
        <v>104</v>
      </c>
      <c r="AO2619" s="1">
        <v>1</v>
      </c>
      <c r="AR2619" s="1">
        <v>0</v>
      </c>
      <c r="AS2619" s="1">
        <v>0</v>
      </c>
      <c r="AT2619" s="1">
        <v>0</v>
      </c>
      <c r="AU2619" s="1">
        <v>0</v>
      </c>
      <c r="AV2619" s="1">
        <v>0</v>
      </c>
      <c r="AW2619" s="1">
        <v>0</v>
      </c>
      <c r="AX2619" s="1">
        <v>0</v>
      </c>
      <c r="AY2619" s="1">
        <v>0</v>
      </c>
      <c r="AZ2619" s="1">
        <v>0</v>
      </c>
      <c r="BA2619" s="1">
        <v>0</v>
      </c>
      <c r="BB2619" s="1">
        <v>0</v>
      </c>
      <c r="BC2619" s="1">
        <v>0</v>
      </c>
      <c r="BD2619" s="1">
        <v>0</v>
      </c>
      <c r="BE2619" s="1">
        <v>0</v>
      </c>
      <c r="BF2619" s="1">
        <v>0</v>
      </c>
      <c r="BG2619" s="1">
        <v>0</v>
      </c>
      <c r="BH2619" s="1">
        <v>0</v>
      </c>
      <c r="BI2619" s="1">
        <v>0</v>
      </c>
      <c r="BJ2619" s="1">
        <v>0</v>
      </c>
      <c r="BK2619" s="1">
        <v>0</v>
      </c>
      <c r="BL2619" s="1">
        <v>0</v>
      </c>
      <c r="BM2619" s="1">
        <v>0</v>
      </c>
      <c r="BN2619" s="1">
        <v>0</v>
      </c>
      <c r="BO2619" s="1">
        <v>0</v>
      </c>
      <c r="BP2619" s="1">
        <v>0</v>
      </c>
      <c r="BQ2619" s="1" t="s">
        <v>104</v>
      </c>
      <c r="BR2619" s="1">
        <v>2753</v>
      </c>
      <c r="BS2619" s="1" t="s">
        <v>104</v>
      </c>
      <c r="BX2619" s="1">
        <v>0</v>
      </c>
      <c r="BY2619" s="1" t="s">
        <v>104</v>
      </c>
      <c r="BZ2619" s="1" t="s">
        <v>104</v>
      </c>
      <c r="CA2619" s="1" t="s">
        <v>104</v>
      </c>
      <c r="CB2619" s="1" t="s">
        <v>104</v>
      </c>
      <c r="CC2619" s="1">
        <v>1</v>
      </c>
      <c r="CD2619" s="1" t="s">
        <v>104</v>
      </c>
      <c r="CE2619" s="1">
        <v>1</v>
      </c>
      <c r="CF2619" s="1" t="s">
        <v>104</v>
      </c>
      <c r="CG2619" s="1" t="s">
        <v>104</v>
      </c>
      <c r="CH2619" s="1" t="s">
        <v>104</v>
      </c>
      <c r="CJ2619" s="1">
        <v>0</v>
      </c>
      <c r="CK2619" s="1">
        <v>0</v>
      </c>
      <c r="CL2619" s="1">
        <v>0</v>
      </c>
      <c r="CM2619" s="1" t="s">
        <v>104</v>
      </c>
    </row>
    <row r="2620" spans="1:91" ht="14.25" customHeight="1" x14ac:dyDescent="0.3">
      <c r="A2620" s="1" t="s">
        <v>13329</v>
      </c>
      <c r="B2620" s="1" t="s">
        <v>137</v>
      </c>
      <c r="E2620" s="1" t="s">
        <v>13330</v>
      </c>
      <c r="F2620" s="1" t="s">
        <v>95</v>
      </c>
      <c r="G2620" s="1" t="s">
        <v>116</v>
      </c>
      <c r="H2620" s="1">
        <v>0</v>
      </c>
      <c r="I2620" s="1" t="s">
        <v>117</v>
      </c>
      <c r="L2620" s="1" t="s">
        <v>1065</v>
      </c>
      <c r="M2620" s="1" t="s">
        <v>119</v>
      </c>
      <c r="N2620" s="1">
        <v>0</v>
      </c>
      <c r="O2620" s="1">
        <v>0</v>
      </c>
      <c r="P2620" s="1" t="s">
        <v>100</v>
      </c>
      <c r="Q2620" s="1" t="s">
        <v>184</v>
      </c>
      <c r="R2620" s="1" t="s">
        <v>13331</v>
      </c>
      <c r="S2620" s="1" t="s">
        <v>13285</v>
      </c>
      <c r="T2620" s="1">
        <v>1</v>
      </c>
      <c r="U2620" s="1">
        <v>1</v>
      </c>
      <c r="V2620" s="1">
        <v>0</v>
      </c>
      <c r="W2620" s="1">
        <v>0</v>
      </c>
      <c r="X2620" s="1">
        <v>0</v>
      </c>
      <c r="Y2620" s="1" t="s">
        <v>104</v>
      </c>
      <c r="Z2620" s="1" t="s">
        <v>104</v>
      </c>
      <c r="AA2620" s="1" t="s">
        <v>104</v>
      </c>
      <c r="AB2620" s="1" t="s">
        <v>104</v>
      </c>
      <c r="AC2620" s="1" t="s">
        <v>104</v>
      </c>
      <c r="AD2620" s="1" t="s">
        <v>104</v>
      </c>
      <c r="AE2620" s="1" t="s">
        <v>104</v>
      </c>
      <c r="AF2620" s="1" t="s">
        <v>104</v>
      </c>
      <c r="AG2620" s="1" t="s">
        <v>104</v>
      </c>
      <c r="AH2620" s="1">
        <v>1</v>
      </c>
      <c r="AI2620" s="1" t="s">
        <v>104</v>
      </c>
      <c r="AJ2620" s="1" t="s">
        <v>104</v>
      </c>
      <c r="AK2620" s="1" t="s">
        <v>104</v>
      </c>
      <c r="AL2620" s="1" t="s">
        <v>104</v>
      </c>
      <c r="AM2620" s="1" t="s">
        <v>104</v>
      </c>
      <c r="AO2620" s="1">
        <v>1</v>
      </c>
      <c r="AR2620" s="1">
        <v>0</v>
      </c>
      <c r="AS2620" s="1">
        <v>0</v>
      </c>
      <c r="AT2620" s="1">
        <v>0</v>
      </c>
      <c r="AU2620" s="1">
        <v>0</v>
      </c>
      <c r="AV2620" s="1">
        <v>0</v>
      </c>
      <c r="AW2620" s="1">
        <v>0</v>
      </c>
      <c r="AX2620" s="1">
        <v>0</v>
      </c>
      <c r="AY2620" s="1">
        <v>0</v>
      </c>
      <c r="AZ2620" s="1">
        <v>0</v>
      </c>
      <c r="BA2620" s="1">
        <v>0</v>
      </c>
      <c r="BB2620" s="1">
        <v>0</v>
      </c>
      <c r="BC2620" s="1">
        <v>0</v>
      </c>
      <c r="BD2620" s="1">
        <v>0</v>
      </c>
      <c r="BE2620" s="1">
        <v>0</v>
      </c>
      <c r="BF2620" s="1">
        <v>0</v>
      </c>
      <c r="BG2620" s="1">
        <v>0</v>
      </c>
      <c r="BH2620" s="1">
        <v>0</v>
      </c>
      <c r="BI2620" s="1">
        <v>0</v>
      </c>
      <c r="BJ2620" s="1">
        <v>0</v>
      </c>
      <c r="BK2620" s="1">
        <v>0</v>
      </c>
      <c r="BL2620" s="1">
        <v>0</v>
      </c>
      <c r="BM2620" s="1">
        <v>0</v>
      </c>
      <c r="BN2620" s="1">
        <v>0</v>
      </c>
      <c r="BO2620" s="1">
        <v>0</v>
      </c>
      <c r="BP2620" s="1">
        <v>0</v>
      </c>
      <c r="BQ2620" s="1" t="s">
        <v>104</v>
      </c>
      <c r="BR2620" s="1">
        <v>2754</v>
      </c>
      <c r="BS2620" s="1" t="s">
        <v>104</v>
      </c>
      <c r="BX2620" s="1">
        <v>0</v>
      </c>
      <c r="BY2620" s="1" t="s">
        <v>104</v>
      </c>
      <c r="BZ2620" s="1" t="s">
        <v>104</v>
      </c>
      <c r="CA2620" s="1">
        <v>1</v>
      </c>
      <c r="CB2620" s="1" t="s">
        <v>104</v>
      </c>
      <c r="CC2620" s="1" t="s">
        <v>104</v>
      </c>
      <c r="CD2620" s="1" t="s">
        <v>104</v>
      </c>
      <c r="CE2620" s="1">
        <v>1</v>
      </c>
      <c r="CF2620" s="1" t="s">
        <v>104</v>
      </c>
      <c r="CG2620" s="1" t="s">
        <v>104</v>
      </c>
      <c r="CH2620" s="1" t="s">
        <v>104</v>
      </c>
      <c r="CJ2620" s="1">
        <v>0</v>
      </c>
      <c r="CK2620" s="1">
        <v>0</v>
      </c>
      <c r="CL2620" s="1">
        <v>0</v>
      </c>
      <c r="CM2620" s="1" t="s">
        <v>104</v>
      </c>
    </row>
    <row r="2621" spans="1:91" ht="14.25" customHeight="1" x14ac:dyDescent="0.3">
      <c r="A2621" s="1" t="s">
        <v>13332</v>
      </c>
      <c r="B2621" s="1" t="s">
        <v>123</v>
      </c>
      <c r="C2621" s="1" t="s">
        <v>124</v>
      </c>
      <c r="D2621" s="1" t="s">
        <v>125</v>
      </c>
      <c r="E2621" s="1" t="s">
        <v>13333</v>
      </c>
      <c r="F2621" s="1" t="s">
        <v>255</v>
      </c>
      <c r="G2621" s="1" t="s">
        <v>116</v>
      </c>
      <c r="H2621" s="1">
        <v>0</v>
      </c>
      <c r="I2621" s="1" t="s">
        <v>117</v>
      </c>
      <c r="L2621" s="1" t="s">
        <v>417</v>
      </c>
      <c r="M2621" s="1" t="s">
        <v>119</v>
      </c>
      <c r="N2621" s="1">
        <v>0</v>
      </c>
      <c r="O2621" s="1">
        <v>0</v>
      </c>
      <c r="P2621" s="1" t="s">
        <v>211</v>
      </c>
      <c r="Q2621" s="1" t="s">
        <v>184</v>
      </c>
      <c r="R2621" s="1" t="s">
        <v>13334</v>
      </c>
      <c r="S2621" s="1" t="s">
        <v>13335</v>
      </c>
      <c r="T2621" s="1">
        <v>1</v>
      </c>
      <c r="U2621" s="1">
        <v>1</v>
      </c>
      <c r="V2621" s="1">
        <v>0</v>
      </c>
      <c r="W2621" s="1">
        <v>0</v>
      </c>
      <c r="X2621" s="1">
        <v>0</v>
      </c>
      <c r="Y2621" s="1">
        <v>4</v>
      </c>
      <c r="Z2621" s="1">
        <v>4</v>
      </c>
      <c r="AA2621" s="1" t="s">
        <v>104</v>
      </c>
      <c r="AB2621" s="1" t="s">
        <v>104</v>
      </c>
      <c r="AC2621" s="1" t="s">
        <v>104</v>
      </c>
      <c r="AD2621" s="1">
        <v>4</v>
      </c>
      <c r="AE2621" s="1" t="s">
        <v>104</v>
      </c>
      <c r="AF2621" s="1" t="s">
        <v>104</v>
      </c>
      <c r="AG2621" s="1" t="s">
        <v>104</v>
      </c>
      <c r="AH2621" s="1" t="s">
        <v>104</v>
      </c>
      <c r="AI2621" s="1" t="s">
        <v>104</v>
      </c>
      <c r="AJ2621" s="1" t="s">
        <v>104</v>
      </c>
      <c r="AK2621" s="1" t="s">
        <v>104</v>
      </c>
      <c r="AL2621" s="1" t="s">
        <v>104</v>
      </c>
      <c r="AM2621" s="1" t="s">
        <v>104</v>
      </c>
      <c r="AO2621" s="1">
        <v>4</v>
      </c>
      <c r="AR2621" s="1">
        <v>0</v>
      </c>
      <c r="AS2621" s="1">
        <v>0</v>
      </c>
      <c r="AT2621" s="1">
        <v>0</v>
      </c>
      <c r="AU2621" s="1">
        <v>0</v>
      </c>
      <c r="AV2621" s="1">
        <v>0</v>
      </c>
      <c r="AW2621" s="1">
        <v>0</v>
      </c>
      <c r="AX2621" s="1">
        <v>0</v>
      </c>
      <c r="AY2621" s="1">
        <v>0</v>
      </c>
      <c r="AZ2621" s="1">
        <v>0</v>
      </c>
      <c r="BA2621" s="1">
        <v>0</v>
      </c>
      <c r="BB2621" s="1">
        <v>0</v>
      </c>
      <c r="BC2621" s="1">
        <v>0</v>
      </c>
      <c r="BD2621" s="1">
        <v>0</v>
      </c>
      <c r="BE2621" s="1">
        <v>0</v>
      </c>
      <c r="BF2621" s="1">
        <v>0</v>
      </c>
      <c r="BG2621" s="1">
        <v>0</v>
      </c>
      <c r="BH2621" s="1">
        <v>0</v>
      </c>
      <c r="BI2621" s="1">
        <v>0</v>
      </c>
      <c r="BJ2621" s="1">
        <v>0</v>
      </c>
      <c r="BK2621" s="1">
        <v>1</v>
      </c>
      <c r="BL2621" s="1">
        <v>0</v>
      </c>
      <c r="BM2621" s="1">
        <v>0</v>
      </c>
      <c r="BN2621" s="1">
        <v>0</v>
      </c>
      <c r="BO2621" s="1">
        <v>0</v>
      </c>
      <c r="BP2621" s="1">
        <v>0</v>
      </c>
      <c r="BQ2621" s="1" t="s">
        <v>104</v>
      </c>
      <c r="BR2621" s="1">
        <v>2755</v>
      </c>
      <c r="BS2621" s="1" t="s">
        <v>104</v>
      </c>
      <c r="BX2621" s="1">
        <v>0</v>
      </c>
      <c r="BY2621" s="1" t="s">
        <v>104</v>
      </c>
      <c r="BZ2621" s="1" t="s">
        <v>104</v>
      </c>
      <c r="CA2621" s="1">
        <v>4</v>
      </c>
      <c r="CB2621" s="1">
        <v>3</v>
      </c>
      <c r="CC2621" s="1">
        <v>4</v>
      </c>
      <c r="CD2621" s="1" t="s">
        <v>104</v>
      </c>
      <c r="CE2621" s="1" t="s">
        <v>104</v>
      </c>
      <c r="CF2621" s="1" t="s">
        <v>104</v>
      </c>
      <c r="CG2621" s="1" t="s">
        <v>104</v>
      </c>
      <c r="CH2621" s="1" t="s">
        <v>104</v>
      </c>
      <c r="CJ2621" s="1">
        <v>0</v>
      </c>
      <c r="CK2621" s="1">
        <v>0</v>
      </c>
      <c r="CL2621" s="1">
        <v>0</v>
      </c>
      <c r="CM2621" s="1" t="s">
        <v>104</v>
      </c>
    </row>
    <row r="2622" spans="1:91" ht="14.25" customHeight="1" x14ac:dyDescent="0.3">
      <c r="A2622" s="1" t="s">
        <v>13336</v>
      </c>
      <c r="B2622" s="1" t="s">
        <v>507</v>
      </c>
      <c r="C2622" s="1" t="s">
        <v>508</v>
      </c>
      <c r="E2622" s="1" t="s">
        <v>13337</v>
      </c>
      <c r="F2622" s="1" t="s">
        <v>255</v>
      </c>
      <c r="G2622" s="1" t="s">
        <v>12712</v>
      </c>
      <c r="H2622" s="1">
        <v>0</v>
      </c>
      <c r="I2622" s="1" t="s">
        <v>128</v>
      </c>
      <c r="L2622" s="1" t="s">
        <v>13338</v>
      </c>
      <c r="M2622" s="1" t="s">
        <v>201</v>
      </c>
      <c r="N2622" s="1">
        <v>0</v>
      </c>
      <c r="O2622" s="1">
        <v>0</v>
      </c>
      <c r="P2622" s="1" t="s">
        <v>12715</v>
      </c>
      <c r="Q2622" s="1" t="s">
        <v>101</v>
      </c>
      <c r="R2622" s="1" t="s">
        <v>13339</v>
      </c>
      <c r="S2622" s="1" t="s">
        <v>13335</v>
      </c>
      <c r="T2622" s="1">
        <v>1</v>
      </c>
      <c r="U2622" s="1">
        <v>1</v>
      </c>
      <c r="V2622" s="1">
        <v>1</v>
      </c>
      <c r="W2622" s="1">
        <v>0</v>
      </c>
      <c r="X2622" s="1">
        <v>0</v>
      </c>
      <c r="Y2622" s="1">
        <v>5</v>
      </c>
      <c r="Z2622" s="1">
        <v>5</v>
      </c>
      <c r="AA2622" s="1">
        <v>5</v>
      </c>
      <c r="AB2622" s="1" t="s">
        <v>104</v>
      </c>
      <c r="AC2622" s="1" t="s">
        <v>104</v>
      </c>
      <c r="AD2622" s="1" t="s">
        <v>104</v>
      </c>
      <c r="AE2622" s="1" t="s">
        <v>104</v>
      </c>
      <c r="AF2622" s="1" t="s">
        <v>104</v>
      </c>
      <c r="AG2622" s="1" t="s">
        <v>104</v>
      </c>
      <c r="AH2622" s="1">
        <v>5</v>
      </c>
      <c r="AI2622" s="1" t="s">
        <v>104</v>
      </c>
      <c r="AJ2622" s="1">
        <v>5</v>
      </c>
      <c r="AK2622" s="1" t="s">
        <v>104</v>
      </c>
      <c r="AL2622" s="1" t="s">
        <v>104</v>
      </c>
      <c r="AM2622" s="1" t="s">
        <v>104</v>
      </c>
      <c r="AO2622" s="1">
        <v>5</v>
      </c>
      <c r="AR2622" s="1">
        <v>0</v>
      </c>
      <c r="AS2622" s="1">
        <v>0</v>
      </c>
      <c r="AT2622" s="1">
        <v>0</v>
      </c>
      <c r="AU2622" s="1">
        <v>0</v>
      </c>
      <c r="AV2622" s="1">
        <v>0</v>
      </c>
      <c r="AW2622" s="1">
        <v>0</v>
      </c>
      <c r="AX2622" s="1">
        <v>0</v>
      </c>
      <c r="AY2622" s="1">
        <v>0</v>
      </c>
      <c r="AZ2622" s="1">
        <v>0</v>
      </c>
      <c r="BA2622" s="1">
        <v>0</v>
      </c>
      <c r="BB2622" s="1">
        <v>0</v>
      </c>
      <c r="BC2622" s="1">
        <v>0</v>
      </c>
      <c r="BD2622" s="1">
        <v>0</v>
      </c>
      <c r="BE2622" s="1">
        <v>0</v>
      </c>
      <c r="BF2622" s="1">
        <v>0</v>
      </c>
      <c r="BG2622" s="1">
        <v>0</v>
      </c>
      <c r="BH2622" s="1">
        <v>0</v>
      </c>
      <c r="BI2622" s="1">
        <v>0</v>
      </c>
      <c r="BJ2622" s="1">
        <v>0</v>
      </c>
      <c r="BK2622" s="1">
        <v>0</v>
      </c>
      <c r="BL2622" s="1">
        <v>0</v>
      </c>
      <c r="BM2622" s="1">
        <v>0</v>
      </c>
      <c r="BN2622" s="1">
        <v>0</v>
      </c>
      <c r="BO2622" s="1">
        <v>0</v>
      </c>
      <c r="BP2622" s="1">
        <v>0</v>
      </c>
      <c r="BQ2622" s="1" t="s">
        <v>104</v>
      </c>
      <c r="BR2622" s="1">
        <v>2756</v>
      </c>
      <c r="BS2622" s="1" t="s">
        <v>104</v>
      </c>
      <c r="BX2622" s="1">
        <v>0</v>
      </c>
      <c r="BY2622" s="1" t="s">
        <v>104</v>
      </c>
      <c r="BZ2622" s="1" t="s">
        <v>104</v>
      </c>
      <c r="CA2622" s="1">
        <v>5</v>
      </c>
      <c r="CB2622" s="1">
        <v>4</v>
      </c>
      <c r="CC2622" s="1">
        <v>5</v>
      </c>
      <c r="CD2622" s="1" t="s">
        <v>104</v>
      </c>
      <c r="CE2622" s="1">
        <v>4</v>
      </c>
      <c r="CF2622" s="1" t="s">
        <v>104</v>
      </c>
      <c r="CG2622" s="1" t="s">
        <v>104</v>
      </c>
      <c r="CH2622" s="1" t="s">
        <v>104</v>
      </c>
      <c r="CJ2622" s="1">
        <v>0</v>
      </c>
      <c r="CK2622" s="1">
        <v>0</v>
      </c>
      <c r="CL2622" s="1">
        <v>0</v>
      </c>
      <c r="CM2622" s="1" t="s">
        <v>104</v>
      </c>
    </row>
    <row r="2623" spans="1:91" ht="14.25" customHeight="1" x14ac:dyDescent="0.3">
      <c r="A2623" s="1" t="s">
        <v>13340</v>
      </c>
      <c r="B2623" s="1" t="s">
        <v>123</v>
      </c>
      <c r="C2623" s="1" t="s">
        <v>124</v>
      </c>
      <c r="D2623" s="1" t="s">
        <v>13341</v>
      </c>
      <c r="E2623" s="1" t="s">
        <v>13342</v>
      </c>
      <c r="F2623" s="1" t="s">
        <v>95</v>
      </c>
      <c r="G2623" s="1" t="s">
        <v>13343</v>
      </c>
      <c r="H2623" s="1">
        <v>0</v>
      </c>
      <c r="I2623" s="1" t="s">
        <v>117</v>
      </c>
      <c r="L2623" s="1" t="s">
        <v>13344</v>
      </c>
      <c r="M2623" s="1" t="s">
        <v>4641</v>
      </c>
      <c r="N2623" s="1">
        <v>1</v>
      </c>
      <c r="O2623" s="1">
        <v>0</v>
      </c>
      <c r="P2623" s="1" t="s">
        <v>211</v>
      </c>
      <c r="Q2623" s="1" t="s">
        <v>184</v>
      </c>
      <c r="R2623" s="1" t="s">
        <v>13345</v>
      </c>
      <c r="S2623" s="1" t="s">
        <v>13335</v>
      </c>
      <c r="T2623" s="1">
        <v>1</v>
      </c>
      <c r="U2623" s="1">
        <v>1</v>
      </c>
      <c r="V2623" s="1">
        <v>1</v>
      </c>
      <c r="W2623" s="1">
        <v>0</v>
      </c>
      <c r="X2623" s="1">
        <v>0</v>
      </c>
      <c r="Y2623" s="1">
        <v>2</v>
      </c>
      <c r="Z2623" s="1">
        <v>2</v>
      </c>
      <c r="AA2623" s="1" t="s">
        <v>104</v>
      </c>
      <c r="AB2623" s="1" t="s">
        <v>104</v>
      </c>
      <c r="AC2623" s="1" t="s">
        <v>104</v>
      </c>
      <c r="AD2623" s="1">
        <v>2</v>
      </c>
      <c r="AE2623" s="1" t="s">
        <v>104</v>
      </c>
      <c r="AF2623" s="1" t="s">
        <v>104</v>
      </c>
      <c r="AG2623" s="1">
        <v>2</v>
      </c>
      <c r="AH2623" s="1">
        <v>2</v>
      </c>
      <c r="AI2623" s="1" t="s">
        <v>104</v>
      </c>
      <c r="AJ2623" s="1" t="s">
        <v>104</v>
      </c>
      <c r="AK2623" s="1" t="s">
        <v>104</v>
      </c>
      <c r="AL2623" s="1" t="s">
        <v>104</v>
      </c>
      <c r="AM2623" s="1" t="s">
        <v>104</v>
      </c>
      <c r="AO2623" s="1">
        <v>2</v>
      </c>
      <c r="AR2623" s="1">
        <v>0</v>
      </c>
      <c r="AS2623" s="1">
        <v>0</v>
      </c>
      <c r="AT2623" s="1">
        <v>0</v>
      </c>
      <c r="AU2623" s="1">
        <v>0</v>
      </c>
      <c r="AV2623" s="1">
        <v>1</v>
      </c>
      <c r="AW2623" s="1">
        <v>0</v>
      </c>
      <c r="AX2623" s="1">
        <v>0</v>
      </c>
      <c r="AY2623" s="1">
        <v>0</v>
      </c>
      <c r="AZ2623" s="1">
        <v>0</v>
      </c>
      <c r="BA2623" s="1">
        <v>0</v>
      </c>
      <c r="BB2623" s="1">
        <v>0</v>
      </c>
      <c r="BC2623" s="1">
        <v>0</v>
      </c>
      <c r="BD2623" s="1">
        <v>0</v>
      </c>
      <c r="BE2623" s="1">
        <v>0</v>
      </c>
      <c r="BF2623" s="1">
        <v>0</v>
      </c>
      <c r="BG2623" s="1">
        <v>0</v>
      </c>
      <c r="BH2623" s="1">
        <v>1</v>
      </c>
      <c r="BI2623" s="1">
        <v>0</v>
      </c>
      <c r="BJ2623" s="1">
        <v>0</v>
      </c>
      <c r="BK2623" s="1">
        <v>1</v>
      </c>
      <c r="BL2623" s="1">
        <v>0</v>
      </c>
      <c r="BM2623" s="1">
        <v>0</v>
      </c>
      <c r="BN2623" s="1">
        <v>0</v>
      </c>
      <c r="BO2623" s="1">
        <v>0</v>
      </c>
      <c r="BP2623" s="1">
        <v>0</v>
      </c>
      <c r="BQ2623" s="1" t="s">
        <v>104</v>
      </c>
      <c r="BR2623" s="1">
        <v>2757</v>
      </c>
      <c r="BS2623" s="1" t="s">
        <v>104</v>
      </c>
      <c r="BX2623" s="1">
        <v>0</v>
      </c>
      <c r="BY2623" s="1" t="s">
        <v>104</v>
      </c>
      <c r="BZ2623" s="1" t="s">
        <v>104</v>
      </c>
      <c r="CA2623" s="1" t="s">
        <v>104</v>
      </c>
      <c r="CB2623" s="1" t="s">
        <v>104</v>
      </c>
      <c r="CC2623" s="1" t="s">
        <v>104</v>
      </c>
      <c r="CD2623" s="1" t="s">
        <v>104</v>
      </c>
      <c r="CE2623" s="1" t="s">
        <v>104</v>
      </c>
      <c r="CF2623" s="1" t="s">
        <v>104</v>
      </c>
      <c r="CG2623" s="1" t="s">
        <v>104</v>
      </c>
      <c r="CH2623" s="1" t="s">
        <v>104</v>
      </c>
      <c r="CJ2623" s="1">
        <v>0</v>
      </c>
      <c r="CK2623" s="1">
        <v>0</v>
      </c>
      <c r="CL2623" s="1">
        <v>0</v>
      </c>
      <c r="CM2623" s="1">
        <v>2</v>
      </c>
    </row>
    <row r="2624" spans="1:91" ht="14.25" customHeight="1" x14ac:dyDescent="0.3">
      <c r="A2624" s="1" t="s">
        <v>13346</v>
      </c>
      <c r="B2624" s="1" t="s">
        <v>507</v>
      </c>
      <c r="C2624" s="1" t="s">
        <v>508</v>
      </c>
      <c r="E2624" s="1" t="s">
        <v>13347</v>
      </c>
      <c r="F2624" s="1" t="s">
        <v>95</v>
      </c>
      <c r="G2624" s="1" t="s">
        <v>13348</v>
      </c>
      <c r="H2624" s="1">
        <v>0</v>
      </c>
      <c r="I2624" s="1" t="s">
        <v>128</v>
      </c>
      <c r="L2624" s="1" t="s">
        <v>8209</v>
      </c>
      <c r="M2624" s="1" t="s">
        <v>4992</v>
      </c>
      <c r="N2624" s="1">
        <v>1</v>
      </c>
      <c r="O2624" s="1">
        <v>0</v>
      </c>
      <c r="P2624" s="1" t="s">
        <v>13349</v>
      </c>
      <c r="Q2624" s="1" t="s">
        <v>131</v>
      </c>
      <c r="R2624" s="1" t="s">
        <v>13350</v>
      </c>
      <c r="S2624" s="1" t="s">
        <v>13335</v>
      </c>
      <c r="T2624" s="1">
        <v>1</v>
      </c>
      <c r="U2624" s="1">
        <v>1</v>
      </c>
      <c r="V2624" s="1">
        <v>1</v>
      </c>
      <c r="W2624" s="1">
        <v>0</v>
      </c>
      <c r="X2624" s="1">
        <v>0</v>
      </c>
      <c r="Y2624" s="1">
        <v>1</v>
      </c>
      <c r="Z2624" s="1">
        <v>1</v>
      </c>
      <c r="AA2624" s="1" t="s">
        <v>104</v>
      </c>
      <c r="AB2624" s="1" t="s">
        <v>104</v>
      </c>
      <c r="AC2624" s="1" t="s">
        <v>104</v>
      </c>
      <c r="AD2624" s="1">
        <v>1</v>
      </c>
      <c r="AE2624" s="1" t="s">
        <v>104</v>
      </c>
      <c r="AF2624" s="1" t="s">
        <v>104</v>
      </c>
      <c r="AG2624" s="1" t="s">
        <v>104</v>
      </c>
      <c r="AH2624" s="1">
        <v>1</v>
      </c>
      <c r="AI2624" s="1">
        <v>1</v>
      </c>
      <c r="AJ2624" s="1" t="s">
        <v>104</v>
      </c>
      <c r="AK2624" s="1">
        <v>1</v>
      </c>
      <c r="AL2624" s="1" t="s">
        <v>104</v>
      </c>
      <c r="AM2624" s="1" t="s">
        <v>104</v>
      </c>
      <c r="AO2624" s="1">
        <v>1</v>
      </c>
      <c r="AR2624" s="1">
        <v>0</v>
      </c>
      <c r="AS2624" s="1">
        <v>0</v>
      </c>
      <c r="AT2624" s="1">
        <v>0</v>
      </c>
      <c r="AU2624" s="1">
        <v>0</v>
      </c>
      <c r="AV2624" s="1">
        <v>0</v>
      </c>
      <c r="AW2624" s="1">
        <v>0</v>
      </c>
      <c r="AX2624" s="1">
        <v>0</v>
      </c>
      <c r="AY2624" s="1">
        <v>0</v>
      </c>
      <c r="AZ2624" s="1">
        <v>0</v>
      </c>
      <c r="BA2624" s="1">
        <v>0</v>
      </c>
      <c r="BB2624" s="1">
        <v>0</v>
      </c>
      <c r="BC2624" s="1">
        <v>0</v>
      </c>
      <c r="BD2624" s="1">
        <v>0</v>
      </c>
      <c r="BE2624" s="1">
        <v>0</v>
      </c>
      <c r="BF2624" s="1">
        <v>0</v>
      </c>
      <c r="BG2624" s="1">
        <v>0</v>
      </c>
      <c r="BH2624" s="1">
        <v>0</v>
      </c>
      <c r="BI2624" s="1">
        <v>0</v>
      </c>
      <c r="BJ2624" s="1">
        <v>0</v>
      </c>
      <c r="BK2624" s="1">
        <v>0</v>
      </c>
      <c r="BL2624" s="1">
        <v>0</v>
      </c>
      <c r="BM2624" s="1">
        <v>0</v>
      </c>
      <c r="BN2624" s="1">
        <v>0</v>
      </c>
      <c r="BO2624" s="1">
        <v>0</v>
      </c>
      <c r="BP2624" s="1">
        <v>0</v>
      </c>
      <c r="BQ2624" s="1" t="s">
        <v>104</v>
      </c>
      <c r="BR2624" s="1">
        <v>2758</v>
      </c>
      <c r="BS2624" s="1" t="s">
        <v>104</v>
      </c>
      <c r="BX2624" s="1">
        <v>0</v>
      </c>
      <c r="BY2624" s="1" t="s">
        <v>104</v>
      </c>
      <c r="BZ2624" s="1" t="s">
        <v>104</v>
      </c>
      <c r="CA2624" s="1">
        <v>1</v>
      </c>
      <c r="CB2624" s="1" t="s">
        <v>104</v>
      </c>
      <c r="CC2624" s="1">
        <v>1</v>
      </c>
      <c r="CD2624" s="1">
        <v>1</v>
      </c>
      <c r="CE2624" s="1" t="s">
        <v>104</v>
      </c>
      <c r="CF2624" s="1" t="s">
        <v>104</v>
      </c>
      <c r="CG2624" s="1" t="s">
        <v>104</v>
      </c>
      <c r="CH2624" s="1" t="s">
        <v>104</v>
      </c>
      <c r="CJ2624" s="1">
        <v>0</v>
      </c>
      <c r="CK2624" s="1">
        <v>0</v>
      </c>
      <c r="CL2624" s="1">
        <v>0</v>
      </c>
      <c r="CM2624" s="1" t="s">
        <v>104</v>
      </c>
    </row>
    <row r="2625" spans="1:91" ht="14.25" customHeight="1" x14ac:dyDescent="0.3">
      <c r="A2625" s="1" t="s">
        <v>13351</v>
      </c>
      <c r="B2625" s="1" t="s">
        <v>137</v>
      </c>
      <c r="E2625" s="1" t="s">
        <v>13352</v>
      </c>
      <c r="F2625" s="1" t="s">
        <v>95</v>
      </c>
      <c r="G2625" s="1" t="s">
        <v>13353</v>
      </c>
      <c r="H2625" s="1">
        <v>0</v>
      </c>
      <c r="I2625" s="1" t="s">
        <v>128</v>
      </c>
      <c r="L2625" s="1" t="s">
        <v>1310</v>
      </c>
      <c r="M2625" s="1" t="s">
        <v>194</v>
      </c>
      <c r="N2625" s="1">
        <v>0</v>
      </c>
      <c r="O2625" s="1">
        <v>0</v>
      </c>
      <c r="P2625" s="1" t="s">
        <v>375</v>
      </c>
      <c r="Q2625" s="1" t="s">
        <v>131</v>
      </c>
      <c r="R2625" s="1" t="s">
        <v>13354</v>
      </c>
      <c r="S2625" s="1" t="s">
        <v>13335</v>
      </c>
      <c r="T2625" s="1">
        <v>1</v>
      </c>
      <c r="U2625" s="1">
        <v>1</v>
      </c>
      <c r="V2625" s="1">
        <v>1</v>
      </c>
      <c r="W2625" s="1">
        <v>0</v>
      </c>
      <c r="X2625" s="1">
        <v>0</v>
      </c>
      <c r="Y2625" s="1" t="s">
        <v>104</v>
      </c>
      <c r="Z2625" s="1" t="s">
        <v>104</v>
      </c>
      <c r="AA2625" s="1">
        <v>1</v>
      </c>
      <c r="AB2625" s="1" t="s">
        <v>104</v>
      </c>
      <c r="AC2625" s="1" t="s">
        <v>104</v>
      </c>
      <c r="AD2625" s="1" t="s">
        <v>104</v>
      </c>
      <c r="AE2625" s="1" t="s">
        <v>104</v>
      </c>
      <c r="AF2625" s="1" t="s">
        <v>104</v>
      </c>
      <c r="AG2625" s="1" t="s">
        <v>104</v>
      </c>
      <c r="AH2625" s="1" t="s">
        <v>104</v>
      </c>
      <c r="AI2625" s="1" t="s">
        <v>104</v>
      </c>
      <c r="AJ2625" s="1">
        <v>1</v>
      </c>
      <c r="AK2625" s="1">
        <v>1</v>
      </c>
      <c r="AL2625" s="1" t="s">
        <v>104</v>
      </c>
      <c r="AM2625" s="1" t="s">
        <v>104</v>
      </c>
      <c r="AO2625" s="1">
        <v>1</v>
      </c>
      <c r="AR2625" s="1">
        <v>0</v>
      </c>
      <c r="AS2625" s="1">
        <v>0</v>
      </c>
      <c r="AT2625" s="1">
        <v>0</v>
      </c>
      <c r="AU2625" s="1">
        <v>0</v>
      </c>
      <c r="AV2625" s="1">
        <v>0</v>
      </c>
      <c r="AW2625" s="1">
        <v>0</v>
      </c>
      <c r="AX2625" s="1">
        <v>0</v>
      </c>
      <c r="AY2625" s="1">
        <v>0</v>
      </c>
      <c r="AZ2625" s="1">
        <v>0</v>
      </c>
      <c r="BA2625" s="1">
        <v>0</v>
      </c>
      <c r="BB2625" s="1">
        <v>0</v>
      </c>
      <c r="BC2625" s="1">
        <v>0</v>
      </c>
      <c r="BD2625" s="1">
        <v>0</v>
      </c>
      <c r="BE2625" s="1">
        <v>0</v>
      </c>
      <c r="BF2625" s="1">
        <v>0</v>
      </c>
      <c r="BG2625" s="1">
        <v>0</v>
      </c>
      <c r="BH2625" s="1">
        <v>0</v>
      </c>
      <c r="BI2625" s="1">
        <v>0</v>
      </c>
      <c r="BJ2625" s="1">
        <v>0</v>
      </c>
      <c r="BK2625" s="1">
        <v>0</v>
      </c>
      <c r="BL2625" s="1">
        <v>0</v>
      </c>
      <c r="BM2625" s="1">
        <v>0</v>
      </c>
      <c r="BN2625" s="1">
        <v>0</v>
      </c>
      <c r="BO2625" s="1">
        <v>0</v>
      </c>
      <c r="BP2625" s="1">
        <v>0</v>
      </c>
      <c r="BQ2625" s="1" t="s">
        <v>104</v>
      </c>
      <c r="BR2625" s="1">
        <v>2759</v>
      </c>
      <c r="BS2625" s="1" t="s">
        <v>104</v>
      </c>
      <c r="BX2625" s="1">
        <v>0</v>
      </c>
      <c r="BY2625" s="1" t="s">
        <v>104</v>
      </c>
      <c r="BZ2625" s="1">
        <v>1</v>
      </c>
      <c r="CA2625" s="1" t="s">
        <v>104</v>
      </c>
      <c r="CB2625" s="1" t="s">
        <v>104</v>
      </c>
      <c r="CC2625" s="1" t="s">
        <v>104</v>
      </c>
      <c r="CD2625" s="1" t="s">
        <v>104</v>
      </c>
      <c r="CE2625" s="1" t="s">
        <v>104</v>
      </c>
      <c r="CF2625" s="1" t="s">
        <v>104</v>
      </c>
      <c r="CG2625" s="1" t="s">
        <v>104</v>
      </c>
      <c r="CH2625" s="1" t="s">
        <v>104</v>
      </c>
      <c r="CJ2625" s="1">
        <v>0</v>
      </c>
      <c r="CK2625" s="1">
        <v>0</v>
      </c>
      <c r="CL2625" s="1">
        <v>0</v>
      </c>
      <c r="CM2625" s="1" t="s">
        <v>104</v>
      </c>
    </row>
    <row r="2626" spans="1:91" ht="14.25" customHeight="1" x14ac:dyDescent="0.3">
      <c r="A2626" s="1" t="s">
        <v>13355</v>
      </c>
      <c r="B2626" s="1" t="s">
        <v>434</v>
      </c>
      <c r="D2626" s="1" t="s">
        <v>47</v>
      </c>
      <c r="E2626" s="1" t="s">
        <v>13356</v>
      </c>
      <c r="F2626" s="1" t="s">
        <v>95</v>
      </c>
      <c r="G2626" s="1" t="s">
        <v>116</v>
      </c>
      <c r="H2626" s="1">
        <v>0</v>
      </c>
      <c r="I2626" s="1" t="s">
        <v>128</v>
      </c>
      <c r="L2626" s="1" t="s">
        <v>7756</v>
      </c>
      <c r="M2626" s="1" t="s">
        <v>13357</v>
      </c>
      <c r="N2626" s="1">
        <v>0</v>
      </c>
      <c r="O2626" s="1">
        <v>0</v>
      </c>
      <c r="P2626" s="1" t="s">
        <v>7501</v>
      </c>
      <c r="Q2626" s="1" t="s">
        <v>184</v>
      </c>
      <c r="R2626" s="1" t="s">
        <v>13358</v>
      </c>
      <c r="S2626" s="1" t="s">
        <v>13335</v>
      </c>
      <c r="T2626" s="1">
        <v>1</v>
      </c>
      <c r="U2626" s="1">
        <v>1</v>
      </c>
      <c r="V2626" s="1">
        <v>0</v>
      </c>
      <c r="W2626" s="1">
        <v>0</v>
      </c>
      <c r="X2626" s="1">
        <v>0</v>
      </c>
      <c r="Y2626" s="1">
        <v>2</v>
      </c>
      <c r="Z2626" s="1">
        <v>2</v>
      </c>
      <c r="AA2626" s="1" t="s">
        <v>104</v>
      </c>
      <c r="AB2626" s="1" t="s">
        <v>104</v>
      </c>
      <c r="AC2626" s="1" t="s">
        <v>104</v>
      </c>
      <c r="AD2626" s="1">
        <v>2</v>
      </c>
      <c r="AE2626" s="1" t="s">
        <v>104</v>
      </c>
      <c r="AF2626" s="1" t="s">
        <v>104</v>
      </c>
      <c r="AG2626" s="1" t="s">
        <v>104</v>
      </c>
      <c r="AH2626" s="1" t="s">
        <v>104</v>
      </c>
      <c r="AI2626" s="1">
        <v>2</v>
      </c>
      <c r="AJ2626" s="1" t="s">
        <v>104</v>
      </c>
      <c r="AK2626" s="1" t="s">
        <v>104</v>
      </c>
      <c r="AL2626" s="1" t="s">
        <v>104</v>
      </c>
      <c r="AM2626" s="1" t="s">
        <v>104</v>
      </c>
      <c r="AO2626" s="1">
        <v>2</v>
      </c>
      <c r="AR2626" s="1">
        <v>0</v>
      </c>
      <c r="AS2626" s="1">
        <v>0</v>
      </c>
      <c r="AT2626" s="1">
        <v>0</v>
      </c>
      <c r="AU2626" s="1">
        <v>0</v>
      </c>
      <c r="AV2626" s="1">
        <v>1</v>
      </c>
      <c r="AW2626" s="1">
        <v>0</v>
      </c>
      <c r="AX2626" s="1">
        <v>0</v>
      </c>
      <c r="AY2626" s="1">
        <v>0</v>
      </c>
      <c r="AZ2626" s="1">
        <v>0</v>
      </c>
      <c r="BA2626" s="1">
        <v>0</v>
      </c>
      <c r="BB2626" s="1">
        <v>0</v>
      </c>
      <c r="BC2626" s="1">
        <v>0</v>
      </c>
      <c r="BD2626" s="1">
        <v>0</v>
      </c>
      <c r="BE2626" s="1">
        <v>0</v>
      </c>
      <c r="BF2626" s="1">
        <v>0</v>
      </c>
      <c r="BG2626" s="1">
        <v>0</v>
      </c>
      <c r="BH2626" s="1">
        <v>0</v>
      </c>
      <c r="BI2626" s="1">
        <v>0</v>
      </c>
      <c r="BJ2626" s="1">
        <v>0</v>
      </c>
      <c r="BK2626" s="1">
        <v>0</v>
      </c>
      <c r="BL2626" s="1">
        <v>0</v>
      </c>
      <c r="BM2626" s="1">
        <v>0</v>
      </c>
      <c r="BN2626" s="1">
        <v>0</v>
      </c>
      <c r="BO2626" s="1">
        <v>0</v>
      </c>
      <c r="BP2626" s="1">
        <v>0</v>
      </c>
      <c r="BQ2626" s="1" t="s">
        <v>104</v>
      </c>
      <c r="BR2626" s="1">
        <v>2760</v>
      </c>
      <c r="BS2626" s="1" t="s">
        <v>104</v>
      </c>
      <c r="BX2626" s="1">
        <v>0</v>
      </c>
      <c r="BY2626" s="1" t="s">
        <v>104</v>
      </c>
      <c r="BZ2626" s="1" t="s">
        <v>104</v>
      </c>
      <c r="CA2626" s="1" t="s">
        <v>104</v>
      </c>
      <c r="CB2626" s="1" t="s">
        <v>104</v>
      </c>
      <c r="CC2626" s="1" t="s">
        <v>104</v>
      </c>
      <c r="CD2626" s="1">
        <v>2</v>
      </c>
      <c r="CE2626" s="1" t="s">
        <v>104</v>
      </c>
      <c r="CF2626" s="1" t="s">
        <v>104</v>
      </c>
      <c r="CG2626" s="1" t="s">
        <v>104</v>
      </c>
      <c r="CH2626" s="1" t="s">
        <v>104</v>
      </c>
      <c r="CJ2626" s="1">
        <v>0</v>
      </c>
      <c r="CK2626" s="1">
        <v>0</v>
      </c>
      <c r="CL2626" s="1">
        <v>0</v>
      </c>
      <c r="CM2626" s="1" t="s">
        <v>104</v>
      </c>
    </row>
    <row r="2627" spans="1:91" ht="14.25" customHeight="1" x14ac:dyDescent="0.3">
      <c r="A2627" s="1" t="s">
        <v>13359</v>
      </c>
      <c r="B2627" s="1" t="s">
        <v>162</v>
      </c>
      <c r="E2627" s="1" t="s">
        <v>13360</v>
      </c>
      <c r="F2627" s="1" t="s">
        <v>95</v>
      </c>
      <c r="G2627" s="1" t="s">
        <v>13361</v>
      </c>
      <c r="H2627" s="1">
        <v>0</v>
      </c>
      <c r="I2627" s="1" t="s">
        <v>11749</v>
      </c>
      <c r="J2627" s="1" t="s">
        <v>13362</v>
      </c>
      <c r="M2627" s="1" t="s">
        <v>341</v>
      </c>
      <c r="N2627" s="1">
        <v>0</v>
      </c>
      <c r="O2627" s="1">
        <v>0</v>
      </c>
      <c r="P2627" s="1" t="s">
        <v>100</v>
      </c>
      <c r="Q2627" s="1" t="s">
        <v>101</v>
      </c>
      <c r="R2627" s="1" t="s">
        <v>13363</v>
      </c>
      <c r="S2627" s="1" t="s">
        <v>13335</v>
      </c>
      <c r="T2627" s="1">
        <v>1</v>
      </c>
      <c r="U2627" s="1">
        <v>1</v>
      </c>
      <c r="V2627" s="1">
        <v>0</v>
      </c>
      <c r="W2627" s="1">
        <v>0</v>
      </c>
      <c r="X2627" s="1">
        <v>0</v>
      </c>
      <c r="Y2627" s="1">
        <v>2</v>
      </c>
      <c r="Z2627" s="1">
        <v>2</v>
      </c>
      <c r="AA2627" s="1" t="s">
        <v>104</v>
      </c>
      <c r="AB2627" s="1" t="s">
        <v>104</v>
      </c>
      <c r="AC2627" s="1">
        <v>2</v>
      </c>
      <c r="AD2627" s="1">
        <v>2</v>
      </c>
      <c r="AE2627" s="1" t="s">
        <v>104</v>
      </c>
      <c r="AF2627" s="1" t="s">
        <v>104</v>
      </c>
      <c r="AG2627" s="1">
        <v>2</v>
      </c>
      <c r="AH2627" s="1" t="s">
        <v>104</v>
      </c>
      <c r="AI2627" s="1">
        <v>2</v>
      </c>
      <c r="AJ2627" s="1" t="s">
        <v>104</v>
      </c>
      <c r="AK2627" s="1" t="s">
        <v>104</v>
      </c>
      <c r="AL2627" s="1" t="s">
        <v>104</v>
      </c>
      <c r="AM2627" s="1" t="s">
        <v>104</v>
      </c>
      <c r="AO2627" s="1">
        <v>2</v>
      </c>
      <c r="AR2627" s="1">
        <v>0</v>
      </c>
      <c r="AS2627" s="1">
        <v>0</v>
      </c>
      <c r="AT2627" s="1">
        <v>0</v>
      </c>
      <c r="AU2627" s="1">
        <v>0</v>
      </c>
      <c r="AV2627" s="1">
        <v>0</v>
      </c>
      <c r="AW2627" s="1">
        <v>0</v>
      </c>
      <c r="AX2627" s="1">
        <v>0</v>
      </c>
      <c r="AY2627" s="1">
        <v>0</v>
      </c>
      <c r="AZ2627" s="1">
        <v>0</v>
      </c>
      <c r="BA2627" s="1">
        <v>0</v>
      </c>
      <c r="BB2627" s="1">
        <v>0</v>
      </c>
      <c r="BC2627" s="1">
        <v>0</v>
      </c>
      <c r="BD2627" s="1">
        <v>0</v>
      </c>
      <c r="BE2627" s="1">
        <v>0</v>
      </c>
      <c r="BF2627" s="1">
        <v>0</v>
      </c>
      <c r="BG2627" s="1">
        <v>0</v>
      </c>
      <c r="BH2627" s="1">
        <v>0</v>
      </c>
      <c r="BI2627" s="1">
        <v>0</v>
      </c>
      <c r="BJ2627" s="1">
        <v>0</v>
      </c>
      <c r="BK2627" s="1">
        <v>0</v>
      </c>
      <c r="BL2627" s="1">
        <v>0</v>
      </c>
      <c r="BM2627" s="1">
        <v>0</v>
      </c>
      <c r="BN2627" s="1">
        <v>0</v>
      </c>
      <c r="BO2627" s="1">
        <v>0</v>
      </c>
      <c r="BP2627" s="1">
        <v>0</v>
      </c>
      <c r="BQ2627" s="1" t="s">
        <v>104</v>
      </c>
      <c r="BR2627" s="1">
        <v>2761</v>
      </c>
      <c r="BS2627" s="1" t="s">
        <v>104</v>
      </c>
      <c r="BX2627" s="1">
        <v>0</v>
      </c>
      <c r="BY2627" s="1" t="s">
        <v>104</v>
      </c>
      <c r="BZ2627" s="1" t="s">
        <v>104</v>
      </c>
      <c r="CA2627" s="1">
        <v>2</v>
      </c>
      <c r="CB2627" s="1" t="s">
        <v>104</v>
      </c>
      <c r="CC2627" s="1" t="s">
        <v>104</v>
      </c>
      <c r="CD2627" s="1">
        <v>2</v>
      </c>
      <c r="CE2627" s="1">
        <v>2</v>
      </c>
      <c r="CF2627" s="1" t="s">
        <v>104</v>
      </c>
      <c r="CG2627" s="1" t="s">
        <v>104</v>
      </c>
      <c r="CH2627" s="1">
        <v>2</v>
      </c>
      <c r="CJ2627" s="1">
        <v>0</v>
      </c>
      <c r="CK2627" s="1">
        <v>0</v>
      </c>
      <c r="CL2627" s="1">
        <v>0</v>
      </c>
      <c r="CM2627" s="1">
        <v>2</v>
      </c>
    </row>
    <row r="2628" spans="1:91" ht="14.25" customHeight="1" x14ac:dyDescent="0.3">
      <c r="A2628" s="1" t="s">
        <v>13364</v>
      </c>
      <c r="B2628" s="1" t="s">
        <v>216</v>
      </c>
      <c r="E2628" s="1" t="s">
        <v>13365</v>
      </c>
      <c r="F2628" s="1" t="s">
        <v>95</v>
      </c>
      <c r="G2628" s="1" t="s">
        <v>116</v>
      </c>
      <c r="H2628" s="1">
        <v>0</v>
      </c>
      <c r="I2628" s="1" t="s">
        <v>117</v>
      </c>
      <c r="J2628" s="1" t="s">
        <v>13366</v>
      </c>
      <c r="M2628" s="1" t="s">
        <v>119</v>
      </c>
      <c r="N2628" s="1">
        <v>0</v>
      </c>
      <c r="O2628" s="1">
        <v>0</v>
      </c>
      <c r="P2628" s="1" t="s">
        <v>1080</v>
      </c>
      <c r="Q2628" s="1" t="s">
        <v>184</v>
      </c>
      <c r="R2628" s="1" t="s">
        <v>13367</v>
      </c>
      <c r="S2628" s="1" t="s">
        <v>13335</v>
      </c>
      <c r="T2628" s="1">
        <v>1</v>
      </c>
      <c r="U2628" s="1">
        <v>1</v>
      </c>
      <c r="V2628" s="1">
        <v>0</v>
      </c>
      <c r="W2628" s="1">
        <v>0</v>
      </c>
      <c r="X2628" s="1">
        <v>0</v>
      </c>
      <c r="Y2628" s="1">
        <v>3</v>
      </c>
      <c r="Z2628" s="1">
        <v>3</v>
      </c>
      <c r="AA2628" s="1">
        <v>2</v>
      </c>
      <c r="AB2628" s="1">
        <v>2</v>
      </c>
      <c r="AC2628" s="1" t="s">
        <v>104</v>
      </c>
      <c r="AD2628" s="1" t="s">
        <v>104</v>
      </c>
      <c r="AE2628" s="1" t="s">
        <v>104</v>
      </c>
      <c r="AF2628" s="1" t="s">
        <v>104</v>
      </c>
      <c r="AG2628" s="1" t="s">
        <v>104</v>
      </c>
      <c r="AH2628" s="1" t="s">
        <v>104</v>
      </c>
      <c r="AI2628" s="1" t="s">
        <v>104</v>
      </c>
      <c r="AJ2628" s="1">
        <v>2</v>
      </c>
      <c r="AK2628" s="1">
        <v>2</v>
      </c>
      <c r="AL2628" s="1" t="s">
        <v>104</v>
      </c>
      <c r="AM2628" s="1" t="s">
        <v>104</v>
      </c>
      <c r="AO2628" s="1">
        <v>3</v>
      </c>
      <c r="AR2628" s="1">
        <v>0</v>
      </c>
      <c r="AS2628" s="1">
        <v>0</v>
      </c>
      <c r="AT2628" s="1">
        <v>0</v>
      </c>
      <c r="AU2628" s="1">
        <v>0</v>
      </c>
      <c r="AV2628" s="1">
        <v>0</v>
      </c>
      <c r="AW2628" s="1">
        <v>0</v>
      </c>
      <c r="AX2628" s="1">
        <v>0</v>
      </c>
      <c r="AY2628" s="1">
        <v>0</v>
      </c>
      <c r="AZ2628" s="1">
        <v>0</v>
      </c>
      <c r="BA2628" s="1">
        <v>0</v>
      </c>
      <c r="BB2628" s="1">
        <v>0</v>
      </c>
      <c r="BC2628" s="1">
        <v>0</v>
      </c>
      <c r="BD2628" s="1">
        <v>0</v>
      </c>
      <c r="BE2628" s="1">
        <v>0</v>
      </c>
      <c r="BF2628" s="1">
        <v>0</v>
      </c>
      <c r="BG2628" s="1">
        <v>0</v>
      </c>
      <c r="BH2628" s="1">
        <v>0</v>
      </c>
      <c r="BI2628" s="1">
        <v>0</v>
      </c>
      <c r="BJ2628" s="1">
        <v>0</v>
      </c>
      <c r="BK2628" s="1">
        <v>0</v>
      </c>
      <c r="BL2628" s="1">
        <v>0</v>
      </c>
      <c r="BM2628" s="1">
        <v>0</v>
      </c>
      <c r="BN2628" s="1">
        <v>0</v>
      </c>
      <c r="BO2628" s="1">
        <v>0</v>
      </c>
      <c r="BP2628" s="1">
        <v>0</v>
      </c>
      <c r="BQ2628" s="1" t="s">
        <v>104</v>
      </c>
      <c r="BR2628" s="1">
        <v>2762</v>
      </c>
      <c r="BS2628" s="1" t="s">
        <v>104</v>
      </c>
      <c r="BX2628" s="1">
        <v>0</v>
      </c>
      <c r="BY2628" s="1">
        <v>3</v>
      </c>
      <c r="BZ2628" s="1" t="s">
        <v>104</v>
      </c>
      <c r="CA2628" s="1" t="s">
        <v>104</v>
      </c>
      <c r="CB2628" s="1" t="s">
        <v>104</v>
      </c>
      <c r="CC2628" s="1" t="s">
        <v>104</v>
      </c>
      <c r="CD2628" s="1" t="s">
        <v>104</v>
      </c>
      <c r="CE2628" s="1" t="s">
        <v>104</v>
      </c>
      <c r="CF2628" s="1" t="s">
        <v>104</v>
      </c>
      <c r="CG2628" s="1" t="s">
        <v>104</v>
      </c>
      <c r="CH2628" s="1">
        <v>2</v>
      </c>
      <c r="CJ2628" s="1">
        <v>0</v>
      </c>
      <c r="CK2628" s="1">
        <v>0</v>
      </c>
      <c r="CL2628" s="1">
        <v>0</v>
      </c>
      <c r="CM2628" s="1" t="s">
        <v>104</v>
      </c>
    </row>
    <row r="2629" spans="1:91" ht="14.25" customHeight="1" x14ac:dyDescent="0.3">
      <c r="A2629" s="1" t="s">
        <v>13368</v>
      </c>
      <c r="B2629" s="1" t="s">
        <v>216</v>
      </c>
      <c r="E2629" s="1" t="s">
        <v>13369</v>
      </c>
      <c r="F2629" s="1" t="s">
        <v>95</v>
      </c>
      <c r="G2629" s="1" t="s">
        <v>13370</v>
      </c>
      <c r="H2629" s="1">
        <v>0</v>
      </c>
      <c r="I2629" s="1" t="s">
        <v>109</v>
      </c>
      <c r="K2629" s="1" t="s">
        <v>711</v>
      </c>
      <c r="M2629" s="1" t="s">
        <v>111</v>
      </c>
      <c r="N2629" s="1">
        <v>0</v>
      </c>
      <c r="O2629" s="1">
        <v>0</v>
      </c>
      <c r="P2629" s="1" t="s">
        <v>4583</v>
      </c>
      <c r="Q2629" s="1" t="s">
        <v>145</v>
      </c>
      <c r="R2629" s="1" t="s">
        <v>13371</v>
      </c>
      <c r="S2629" s="1" t="s">
        <v>13335</v>
      </c>
      <c r="T2629" s="1">
        <v>1</v>
      </c>
      <c r="U2629" s="1">
        <v>1</v>
      </c>
      <c r="V2629" s="1">
        <v>1</v>
      </c>
      <c r="W2629" s="1">
        <v>0</v>
      </c>
      <c r="X2629" s="1">
        <v>0</v>
      </c>
      <c r="Y2629" s="1">
        <v>3</v>
      </c>
      <c r="Z2629" s="1">
        <v>3</v>
      </c>
      <c r="AA2629" s="1" t="s">
        <v>104</v>
      </c>
      <c r="AB2629" s="1">
        <v>3</v>
      </c>
      <c r="AC2629" s="1" t="s">
        <v>104</v>
      </c>
      <c r="AD2629" s="1" t="s">
        <v>104</v>
      </c>
      <c r="AE2629" s="1" t="s">
        <v>104</v>
      </c>
      <c r="AF2629" s="1" t="s">
        <v>104</v>
      </c>
      <c r="AG2629" s="1" t="s">
        <v>104</v>
      </c>
      <c r="AH2629" s="1" t="s">
        <v>104</v>
      </c>
      <c r="AI2629" s="1" t="s">
        <v>104</v>
      </c>
      <c r="AJ2629" s="1" t="s">
        <v>104</v>
      </c>
      <c r="AK2629" s="1">
        <v>2</v>
      </c>
      <c r="AL2629" s="1" t="s">
        <v>104</v>
      </c>
      <c r="AM2629" s="1" t="s">
        <v>104</v>
      </c>
      <c r="AO2629" s="1">
        <v>3</v>
      </c>
      <c r="AR2629" s="1">
        <v>0</v>
      </c>
      <c r="AS2629" s="1">
        <v>0</v>
      </c>
      <c r="AT2629" s="1">
        <v>0</v>
      </c>
      <c r="AU2629" s="1">
        <v>0</v>
      </c>
      <c r="AV2629" s="1">
        <v>0</v>
      </c>
      <c r="AW2629" s="1">
        <v>0</v>
      </c>
      <c r="AX2629" s="1">
        <v>0</v>
      </c>
      <c r="AY2629" s="1">
        <v>0</v>
      </c>
      <c r="AZ2629" s="1">
        <v>0</v>
      </c>
      <c r="BA2629" s="1">
        <v>0</v>
      </c>
      <c r="BB2629" s="1">
        <v>0</v>
      </c>
      <c r="BC2629" s="1">
        <v>0</v>
      </c>
      <c r="BD2629" s="1">
        <v>0</v>
      </c>
      <c r="BE2629" s="1">
        <v>0</v>
      </c>
      <c r="BF2629" s="1">
        <v>0</v>
      </c>
      <c r="BG2629" s="1">
        <v>0</v>
      </c>
      <c r="BH2629" s="1">
        <v>0</v>
      </c>
      <c r="BI2629" s="1">
        <v>0</v>
      </c>
      <c r="BJ2629" s="1">
        <v>0</v>
      </c>
      <c r="BK2629" s="1">
        <v>0</v>
      </c>
      <c r="BL2629" s="1">
        <v>0</v>
      </c>
      <c r="BM2629" s="1">
        <v>0</v>
      </c>
      <c r="BN2629" s="1">
        <v>0</v>
      </c>
      <c r="BO2629" s="1">
        <v>0</v>
      </c>
      <c r="BP2629" s="1">
        <v>0</v>
      </c>
      <c r="BQ2629" s="1" t="s">
        <v>104</v>
      </c>
      <c r="BR2629" s="1">
        <v>2763</v>
      </c>
      <c r="BS2629" s="1" t="s">
        <v>104</v>
      </c>
      <c r="BX2629" s="1">
        <v>0</v>
      </c>
      <c r="BY2629" s="1">
        <v>3</v>
      </c>
      <c r="BZ2629" s="1" t="s">
        <v>104</v>
      </c>
      <c r="CA2629" s="1" t="s">
        <v>104</v>
      </c>
      <c r="CB2629" s="1" t="s">
        <v>104</v>
      </c>
      <c r="CC2629" s="1" t="s">
        <v>104</v>
      </c>
      <c r="CD2629" s="1" t="s">
        <v>104</v>
      </c>
      <c r="CE2629" s="1" t="s">
        <v>104</v>
      </c>
      <c r="CF2629" s="1" t="s">
        <v>104</v>
      </c>
      <c r="CG2629" s="1" t="s">
        <v>104</v>
      </c>
      <c r="CH2629" s="1">
        <v>3</v>
      </c>
      <c r="CJ2629" s="1">
        <v>0</v>
      </c>
      <c r="CK2629" s="1">
        <v>0</v>
      </c>
      <c r="CL2629" s="1">
        <v>0</v>
      </c>
      <c r="CM2629" s="1" t="s">
        <v>104</v>
      </c>
    </row>
    <row r="2630" spans="1:91" ht="14.25" customHeight="1" x14ac:dyDescent="0.3">
      <c r="A2630" s="1" t="s">
        <v>13372</v>
      </c>
      <c r="B2630" s="1" t="s">
        <v>507</v>
      </c>
      <c r="C2630" s="1" t="s">
        <v>65</v>
      </c>
      <c r="D2630" s="1" t="s">
        <v>13373</v>
      </c>
      <c r="E2630" s="1" t="s">
        <v>13374</v>
      </c>
      <c r="F2630" s="1" t="s">
        <v>95</v>
      </c>
      <c r="G2630" s="1" t="s">
        <v>116</v>
      </c>
      <c r="H2630" s="1">
        <v>0</v>
      </c>
      <c r="I2630" s="1" t="s">
        <v>157</v>
      </c>
      <c r="L2630" s="1" t="s">
        <v>158</v>
      </c>
      <c r="M2630" s="1" t="s">
        <v>2330</v>
      </c>
      <c r="N2630" s="1">
        <v>0</v>
      </c>
      <c r="O2630" s="1">
        <v>0</v>
      </c>
      <c r="R2630" s="1" t="s">
        <v>13375</v>
      </c>
      <c r="S2630" s="1" t="s">
        <v>13335</v>
      </c>
      <c r="T2630" s="1">
        <v>1</v>
      </c>
      <c r="U2630" s="1">
        <v>1</v>
      </c>
      <c r="V2630" s="1">
        <v>0</v>
      </c>
      <c r="W2630" s="1">
        <v>0</v>
      </c>
      <c r="X2630" s="1">
        <v>0</v>
      </c>
      <c r="Y2630" s="1">
        <v>5</v>
      </c>
      <c r="Z2630" s="1">
        <v>5</v>
      </c>
      <c r="AA2630" s="1" t="s">
        <v>104</v>
      </c>
      <c r="AB2630" s="1" t="s">
        <v>104</v>
      </c>
      <c r="AC2630" s="1" t="s">
        <v>104</v>
      </c>
      <c r="AD2630" s="1">
        <v>5</v>
      </c>
      <c r="AE2630" s="1" t="s">
        <v>104</v>
      </c>
      <c r="AF2630" s="1" t="s">
        <v>104</v>
      </c>
      <c r="AG2630" s="1" t="s">
        <v>104</v>
      </c>
      <c r="AH2630" s="1" t="s">
        <v>104</v>
      </c>
      <c r="AI2630" s="1" t="s">
        <v>104</v>
      </c>
      <c r="AJ2630" s="1" t="s">
        <v>104</v>
      </c>
      <c r="AK2630" s="1">
        <v>4</v>
      </c>
      <c r="AL2630" s="1" t="s">
        <v>104</v>
      </c>
      <c r="AM2630" s="1" t="s">
        <v>104</v>
      </c>
      <c r="AO2630" s="1">
        <v>5</v>
      </c>
      <c r="AR2630" s="1">
        <v>0</v>
      </c>
      <c r="AS2630" s="1">
        <v>0</v>
      </c>
      <c r="AT2630" s="1">
        <v>0</v>
      </c>
      <c r="AU2630" s="1">
        <v>0</v>
      </c>
      <c r="AV2630" s="1">
        <v>0</v>
      </c>
      <c r="AW2630" s="1">
        <v>0</v>
      </c>
      <c r="AX2630" s="1">
        <v>0</v>
      </c>
      <c r="AY2630" s="1">
        <v>0</v>
      </c>
      <c r="AZ2630" s="1">
        <v>0</v>
      </c>
      <c r="BA2630" s="1">
        <v>0</v>
      </c>
      <c r="BB2630" s="1">
        <v>0</v>
      </c>
      <c r="BC2630" s="1">
        <v>1</v>
      </c>
      <c r="BD2630" s="1">
        <v>0</v>
      </c>
      <c r="BE2630" s="1">
        <v>0</v>
      </c>
      <c r="BF2630" s="1">
        <v>0</v>
      </c>
      <c r="BG2630" s="1">
        <v>0</v>
      </c>
      <c r="BH2630" s="1">
        <v>0</v>
      </c>
      <c r="BI2630" s="1">
        <v>0</v>
      </c>
      <c r="BJ2630" s="1">
        <v>0</v>
      </c>
      <c r="BK2630" s="1">
        <v>0</v>
      </c>
      <c r="BL2630" s="1">
        <v>0</v>
      </c>
      <c r="BM2630" s="1">
        <v>0</v>
      </c>
      <c r="BN2630" s="1">
        <v>1</v>
      </c>
      <c r="BO2630" s="1">
        <v>0</v>
      </c>
      <c r="BP2630" s="1">
        <v>0</v>
      </c>
      <c r="BQ2630" s="1" t="s">
        <v>104</v>
      </c>
      <c r="BR2630" s="1">
        <v>2764</v>
      </c>
      <c r="BS2630" s="1" t="s">
        <v>104</v>
      </c>
      <c r="BX2630" s="1">
        <v>0</v>
      </c>
      <c r="BY2630" s="1" t="s">
        <v>104</v>
      </c>
      <c r="BZ2630" s="1" t="s">
        <v>104</v>
      </c>
      <c r="CA2630" s="1" t="s">
        <v>104</v>
      </c>
      <c r="CB2630" s="1" t="s">
        <v>104</v>
      </c>
      <c r="CC2630" s="1">
        <v>5</v>
      </c>
      <c r="CD2630" s="1" t="s">
        <v>104</v>
      </c>
      <c r="CE2630" s="1">
        <v>5</v>
      </c>
      <c r="CF2630" s="1" t="s">
        <v>104</v>
      </c>
      <c r="CG2630" s="1" t="s">
        <v>104</v>
      </c>
      <c r="CH2630" s="1" t="s">
        <v>104</v>
      </c>
      <c r="CJ2630" s="1">
        <v>0</v>
      </c>
      <c r="CK2630" s="1">
        <v>0</v>
      </c>
      <c r="CL2630" s="1">
        <v>0</v>
      </c>
      <c r="CM2630" s="1" t="s">
        <v>104</v>
      </c>
    </row>
    <row r="2631" spans="1:91" ht="14.25" customHeight="1" x14ac:dyDescent="0.3">
      <c r="A2631" s="1" t="s">
        <v>13376</v>
      </c>
      <c r="B2631" s="1" t="s">
        <v>507</v>
      </c>
      <c r="C2631" s="1" t="s">
        <v>65</v>
      </c>
      <c r="D2631" s="1" t="s">
        <v>65</v>
      </c>
      <c r="E2631" s="1" t="s">
        <v>13377</v>
      </c>
      <c r="F2631" s="1" t="s">
        <v>95</v>
      </c>
      <c r="G2631" s="1" t="s">
        <v>116</v>
      </c>
      <c r="H2631" s="1">
        <v>0</v>
      </c>
      <c r="I2631" s="1" t="s">
        <v>157</v>
      </c>
      <c r="L2631" s="1" t="s">
        <v>158</v>
      </c>
      <c r="M2631" s="1" t="s">
        <v>2330</v>
      </c>
      <c r="N2631" s="1">
        <v>0</v>
      </c>
      <c r="O2631" s="1">
        <v>0</v>
      </c>
      <c r="R2631" s="1" t="s">
        <v>13378</v>
      </c>
      <c r="S2631" s="1" t="s">
        <v>13335</v>
      </c>
      <c r="T2631" s="1">
        <v>1</v>
      </c>
      <c r="U2631" s="1">
        <v>1</v>
      </c>
      <c r="V2631" s="1">
        <v>0</v>
      </c>
      <c r="W2631" s="1">
        <v>0</v>
      </c>
      <c r="X2631" s="1">
        <v>0</v>
      </c>
      <c r="Y2631" s="1">
        <v>2</v>
      </c>
      <c r="Z2631" s="1">
        <v>2</v>
      </c>
      <c r="AA2631" s="1" t="s">
        <v>104</v>
      </c>
      <c r="AB2631" s="1" t="s">
        <v>104</v>
      </c>
      <c r="AC2631" s="1" t="s">
        <v>104</v>
      </c>
      <c r="AD2631" s="1">
        <v>2</v>
      </c>
      <c r="AE2631" s="1" t="s">
        <v>104</v>
      </c>
      <c r="AF2631" s="1" t="s">
        <v>104</v>
      </c>
      <c r="AG2631" s="1" t="s">
        <v>104</v>
      </c>
      <c r="AH2631" s="1" t="s">
        <v>104</v>
      </c>
      <c r="AI2631" s="1" t="s">
        <v>104</v>
      </c>
      <c r="AJ2631" s="1" t="s">
        <v>104</v>
      </c>
      <c r="AK2631" s="1">
        <v>1</v>
      </c>
      <c r="AL2631" s="1">
        <v>2</v>
      </c>
      <c r="AM2631" s="1" t="s">
        <v>104</v>
      </c>
      <c r="AO2631" s="1">
        <v>2</v>
      </c>
      <c r="AR2631" s="1">
        <v>0</v>
      </c>
      <c r="AS2631" s="1">
        <v>0</v>
      </c>
      <c r="AT2631" s="1">
        <v>0</v>
      </c>
      <c r="AU2631" s="1">
        <v>0</v>
      </c>
      <c r="AV2631" s="1">
        <v>0</v>
      </c>
      <c r="AW2631" s="1">
        <v>0</v>
      </c>
      <c r="AX2631" s="1">
        <v>0</v>
      </c>
      <c r="AY2631" s="1">
        <v>0</v>
      </c>
      <c r="AZ2631" s="1">
        <v>0</v>
      </c>
      <c r="BA2631" s="1">
        <v>0</v>
      </c>
      <c r="BB2631" s="1">
        <v>0</v>
      </c>
      <c r="BC2631" s="1">
        <v>0</v>
      </c>
      <c r="BD2631" s="1">
        <v>0</v>
      </c>
      <c r="BE2631" s="1">
        <v>0</v>
      </c>
      <c r="BF2631" s="1">
        <v>0</v>
      </c>
      <c r="BG2631" s="1">
        <v>0</v>
      </c>
      <c r="BH2631" s="1">
        <v>0</v>
      </c>
      <c r="BI2631" s="1">
        <v>0</v>
      </c>
      <c r="BJ2631" s="1">
        <v>0</v>
      </c>
      <c r="BK2631" s="1">
        <v>0</v>
      </c>
      <c r="BL2631" s="1">
        <v>0</v>
      </c>
      <c r="BM2631" s="1">
        <v>0</v>
      </c>
      <c r="BN2631" s="1">
        <v>1</v>
      </c>
      <c r="BO2631" s="1">
        <v>0</v>
      </c>
      <c r="BP2631" s="1">
        <v>0</v>
      </c>
      <c r="BQ2631" s="1" t="s">
        <v>104</v>
      </c>
      <c r="BR2631" s="1">
        <v>2765</v>
      </c>
      <c r="BS2631" s="1" t="s">
        <v>104</v>
      </c>
      <c r="BX2631" s="1">
        <v>0</v>
      </c>
      <c r="BY2631" s="1">
        <v>2</v>
      </c>
      <c r="BZ2631" s="1" t="s">
        <v>104</v>
      </c>
      <c r="CA2631" s="1" t="s">
        <v>104</v>
      </c>
      <c r="CB2631" s="1" t="s">
        <v>104</v>
      </c>
      <c r="CC2631" s="1" t="s">
        <v>104</v>
      </c>
      <c r="CD2631" s="1" t="s">
        <v>104</v>
      </c>
      <c r="CE2631" s="1">
        <v>2</v>
      </c>
      <c r="CF2631" s="1" t="s">
        <v>104</v>
      </c>
      <c r="CG2631" s="1" t="s">
        <v>104</v>
      </c>
      <c r="CH2631" s="1" t="s">
        <v>104</v>
      </c>
      <c r="CJ2631" s="1">
        <v>0</v>
      </c>
      <c r="CK2631" s="1">
        <v>0</v>
      </c>
      <c r="CL2631" s="1">
        <v>0</v>
      </c>
      <c r="CM2631" s="1" t="s">
        <v>104</v>
      </c>
    </row>
    <row r="2632" spans="1:91" ht="14.25" customHeight="1" x14ac:dyDescent="0.3">
      <c r="A2632" s="1" t="s">
        <v>13379</v>
      </c>
      <c r="B2632" s="1" t="s">
        <v>507</v>
      </c>
      <c r="C2632" s="1" t="s">
        <v>65</v>
      </c>
      <c r="D2632" s="1" t="s">
        <v>65</v>
      </c>
      <c r="E2632" s="1" t="s">
        <v>13380</v>
      </c>
      <c r="F2632" s="1" t="s">
        <v>95</v>
      </c>
      <c r="G2632" s="1" t="s">
        <v>116</v>
      </c>
      <c r="H2632" s="1">
        <v>0</v>
      </c>
      <c r="I2632" s="1" t="s">
        <v>117</v>
      </c>
      <c r="L2632" s="1" t="s">
        <v>158</v>
      </c>
      <c r="M2632" s="1" t="s">
        <v>13085</v>
      </c>
      <c r="N2632" s="1">
        <v>0</v>
      </c>
      <c r="O2632" s="1">
        <v>0</v>
      </c>
      <c r="R2632" s="1" t="s">
        <v>13381</v>
      </c>
      <c r="S2632" s="1" t="s">
        <v>13335</v>
      </c>
      <c r="T2632" s="1">
        <v>1</v>
      </c>
      <c r="U2632" s="1">
        <v>1</v>
      </c>
      <c r="V2632" s="1">
        <v>0</v>
      </c>
      <c r="W2632" s="1">
        <v>0</v>
      </c>
      <c r="X2632" s="1">
        <v>0</v>
      </c>
      <c r="Y2632" s="1">
        <v>4</v>
      </c>
      <c r="Z2632" s="1">
        <v>4</v>
      </c>
      <c r="AA2632" s="1" t="s">
        <v>104</v>
      </c>
      <c r="AB2632" s="1" t="s">
        <v>104</v>
      </c>
      <c r="AC2632" s="1" t="s">
        <v>104</v>
      </c>
      <c r="AD2632" s="1">
        <v>4</v>
      </c>
      <c r="AE2632" s="1" t="s">
        <v>104</v>
      </c>
      <c r="AF2632" s="1" t="s">
        <v>104</v>
      </c>
      <c r="AG2632" s="1">
        <v>4</v>
      </c>
      <c r="AH2632" s="1" t="s">
        <v>104</v>
      </c>
      <c r="AI2632" s="1" t="s">
        <v>104</v>
      </c>
      <c r="AJ2632" s="1" t="s">
        <v>104</v>
      </c>
      <c r="AK2632" s="1">
        <v>3</v>
      </c>
      <c r="AL2632" s="1" t="s">
        <v>104</v>
      </c>
      <c r="AM2632" s="1" t="s">
        <v>104</v>
      </c>
      <c r="AO2632" s="1">
        <v>4</v>
      </c>
      <c r="AR2632" s="1">
        <v>0</v>
      </c>
      <c r="AS2632" s="1">
        <v>0</v>
      </c>
      <c r="AT2632" s="1">
        <v>0</v>
      </c>
      <c r="AU2632" s="1">
        <v>0</v>
      </c>
      <c r="AV2632" s="1">
        <v>0</v>
      </c>
      <c r="AW2632" s="1">
        <v>0</v>
      </c>
      <c r="AX2632" s="1">
        <v>0</v>
      </c>
      <c r="AY2632" s="1">
        <v>0</v>
      </c>
      <c r="AZ2632" s="1">
        <v>0</v>
      </c>
      <c r="BA2632" s="1">
        <v>0</v>
      </c>
      <c r="BB2632" s="1">
        <v>0</v>
      </c>
      <c r="BC2632" s="1">
        <v>0</v>
      </c>
      <c r="BD2632" s="1">
        <v>0</v>
      </c>
      <c r="BE2632" s="1">
        <v>0</v>
      </c>
      <c r="BF2632" s="1">
        <v>0</v>
      </c>
      <c r="BG2632" s="1">
        <v>0</v>
      </c>
      <c r="BH2632" s="1">
        <v>0</v>
      </c>
      <c r="BI2632" s="1">
        <v>0</v>
      </c>
      <c r="BJ2632" s="1">
        <v>0</v>
      </c>
      <c r="BK2632" s="1">
        <v>0</v>
      </c>
      <c r="BL2632" s="1">
        <v>0</v>
      </c>
      <c r="BM2632" s="1">
        <v>0</v>
      </c>
      <c r="BN2632" s="1">
        <v>1</v>
      </c>
      <c r="BO2632" s="1">
        <v>0</v>
      </c>
      <c r="BP2632" s="1">
        <v>0</v>
      </c>
      <c r="BQ2632" s="1" t="s">
        <v>104</v>
      </c>
      <c r="BR2632" s="1">
        <v>2766</v>
      </c>
      <c r="BS2632" s="1" t="s">
        <v>104</v>
      </c>
      <c r="BX2632" s="1">
        <v>0</v>
      </c>
      <c r="BY2632" s="1" t="s">
        <v>104</v>
      </c>
      <c r="BZ2632" s="1" t="s">
        <v>104</v>
      </c>
      <c r="CA2632" s="1" t="s">
        <v>104</v>
      </c>
      <c r="CB2632" s="1" t="s">
        <v>104</v>
      </c>
      <c r="CC2632" s="1" t="s">
        <v>104</v>
      </c>
      <c r="CD2632" s="1" t="s">
        <v>104</v>
      </c>
      <c r="CE2632" s="1">
        <v>4</v>
      </c>
      <c r="CF2632" s="1" t="s">
        <v>104</v>
      </c>
      <c r="CG2632" s="1" t="s">
        <v>104</v>
      </c>
      <c r="CH2632" s="1" t="s">
        <v>104</v>
      </c>
      <c r="CJ2632" s="1">
        <v>0</v>
      </c>
      <c r="CK2632" s="1">
        <v>0</v>
      </c>
      <c r="CL2632" s="1">
        <v>0</v>
      </c>
      <c r="CM2632" s="1">
        <v>4</v>
      </c>
    </row>
    <row r="2633" spans="1:91" ht="14.25" customHeight="1" x14ac:dyDescent="0.3">
      <c r="A2633" s="1" t="s">
        <v>13382</v>
      </c>
      <c r="B2633" s="1" t="s">
        <v>137</v>
      </c>
      <c r="D2633" s="1" t="s">
        <v>56</v>
      </c>
      <c r="E2633" s="1" t="s">
        <v>5955</v>
      </c>
      <c r="F2633" s="1" t="s">
        <v>95</v>
      </c>
      <c r="G2633" s="1" t="s">
        <v>127</v>
      </c>
      <c r="H2633" s="1">
        <v>0</v>
      </c>
      <c r="I2633" s="1" t="s">
        <v>157</v>
      </c>
      <c r="L2633" s="1" t="s">
        <v>158</v>
      </c>
      <c r="M2633" s="1" t="s">
        <v>5775</v>
      </c>
      <c r="N2633" s="1">
        <v>0</v>
      </c>
      <c r="O2633" s="1">
        <v>0</v>
      </c>
      <c r="P2633" s="1" t="s">
        <v>100</v>
      </c>
      <c r="Q2633" s="1" t="s">
        <v>101</v>
      </c>
      <c r="R2633" s="1" t="s">
        <v>13383</v>
      </c>
      <c r="S2633" s="1" t="s">
        <v>13384</v>
      </c>
      <c r="T2633" s="1">
        <v>1</v>
      </c>
      <c r="U2633" s="1">
        <v>1</v>
      </c>
      <c r="V2633" s="1">
        <v>0</v>
      </c>
      <c r="W2633" s="1">
        <v>0</v>
      </c>
      <c r="X2633" s="1">
        <v>1</v>
      </c>
      <c r="Y2633" s="1" t="s">
        <v>104</v>
      </c>
      <c r="Z2633" s="1" t="s">
        <v>104</v>
      </c>
      <c r="AA2633" s="1">
        <v>3</v>
      </c>
      <c r="AB2633" s="1" t="s">
        <v>104</v>
      </c>
      <c r="AC2633" s="1">
        <v>3</v>
      </c>
      <c r="AD2633" s="1" t="s">
        <v>104</v>
      </c>
      <c r="AE2633" s="1">
        <v>3</v>
      </c>
      <c r="AF2633" s="1" t="s">
        <v>104</v>
      </c>
      <c r="AG2633" s="1" t="s">
        <v>104</v>
      </c>
      <c r="AH2633" s="1" t="s">
        <v>104</v>
      </c>
      <c r="AI2633" s="1">
        <v>3</v>
      </c>
      <c r="AJ2633" s="1">
        <v>3</v>
      </c>
      <c r="AK2633" s="1" t="s">
        <v>104</v>
      </c>
      <c r="AL2633" s="1" t="s">
        <v>104</v>
      </c>
      <c r="AM2633" s="1" t="s">
        <v>104</v>
      </c>
      <c r="AO2633" s="1">
        <v>3</v>
      </c>
      <c r="AR2633" s="1">
        <v>0</v>
      </c>
      <c r="AS2633" s="1">
        <v>0</v>
      </c>
      <c r="AT2633" s="1">
        <v>0</v>
      </c>
      <c r="AU2633" s="1">
        <v>0</v>
      </c>
      <c r="AV2633" s="1">
        <v>0</v>
      </c>
      <c r="AW2633" s="1">
        <v>0</v>
      </c>
      <c r="AX2633" s="1">
        <v>0</v>
      </c>
      <c r="AY2633" s="1">
        <v>0</v>
      </c>
      <c r="AZ2633" s="1">
        <v>0</v>
      </c>
      <c r="BA2633" s="1">
        <v>0</v>
      </c>
      <c r="BB2633" s="1">
        <v>0</v>
      </c>
      <c r="BC2633" s="1">
        <v>0</v>
      </c>
      <c r="BD2633" s="1">
        <v>0</v>
      </c>
      <c r="BE2633" s="1">
        <v>1</v>
      </c>
      <c r="BF2633" s="1">
        <v>0</v>
      </c>
      <c r="BG2633" s="1">
        <v>0</v>
      </c>
      <c r="BH2633" s="1">
        <v>0</v>
      </c>
      <c r="BI2633" s="1">
        <v>0</v>
      </c>
      <c r="BJ2633" s="1">
        <v>0</v>
      </c>
      <c r="BK2633" s="1">
        <v>0</v>
      </c>
      <c r="BL2633" s="1">
        <v>0</v>
      </c>
      <c r="BM2633" s="1">
        <v>0</v>
      </c>
      <c r="BN2633" s="1">
        <v>0</v>
      </c>
      <c r="BO2633" s="1">
        <v>0</v>
      </c>
      <c r="BP2633" s="1">
        <v>0</v>
      </c>
      <c r="BQ2633" s="1" t="s">
        <v>104</v>
      </c>
      <c r="BR2633" s="1">
        <v>2767</v>
      </c>
      <c r="BS2633" s="1" t="s">
        <v>104</v>
      </c>
      <c r="BX2633" s="1">
        <v>0</v>
      </c>
      <c r="BY2633" s="1" t="s">
        <v>104</v>
      </c>
      <c r="BZ2633" s="1" t="s">
        <v>104</v>
      </c>
      <c r="CA2633" s="1" t="s">
        <v>104</v>
      </c>
      <c r="CB2633" s="1" t="s">
        <v>104</v>
      </c>
      <c r="CC2633" s="1" t="s">
        <v>104</v>
      </c>
      <c r="CD2633" s="1" t="s">
        <v>104</v>
      </c>
      <c r="CE2633" s="1" t="s">
        <v>104</v>
      </c>
      <c r="CF2633" s="1" t="s">
        <v>104</v>
      </c>
      <c r="CG2633" s="1" t="s">
        <v>104</v>
      </c>
      <c r="CH2633" s="1">
        <v>3</v>
      </c>
      <c r="CJ2633" s="1">
        <v>0</v>
      </c>
      <c r="CK2633" s="1">
        <v>0</v>
      </c>
      <c r="CL2633" s="1">
        <v>0</v>
      </c>
      <c r="CM2633" s="1" t="s">
        <v>104</v>
      </c>
    </row>
    <row r="2634" spans="1:91" ht="14.25" customHeight="1" x14ac:dyDescent="0.3">
      <c r="A2634" s="1" t="s">
        <v>13385</v>
      </c>
      <c r="B2634" s="1" t="s">
        <v>123</v>
      </c>
      <c r="C2634" s="1" t="s">
        <v>124</v>
      </c>
      <c r="D2634" s="1" t="s">
        <v>125</v>
      </c>
      <c r="E2634" s="1" t="s">
        <v>4347</v>
      </c>
      <c r="F2634" s="1" t="s">
        <v>95</v>
      </c>
      <c r="G2634" s="1" t="s">
        <v>116</v>
      </c>
      <c r="H2634" s="1">
        <v>0</v>
      </c>
      <c r="I2634" s="1" t="s">
        <v>117</v>
      </c>
      <c r="L2634" s="1" t="s">
        <v>13386</v>
      </c>
      <c r="M2634" s="1" t="s">
        <v>201</v>
      </c>
      <c r="N2634" s="1">
        <v>0</v>
      </c>
      <c r="O2634" s="1">
        <v>0</v>
      </c>
      <c r="P2634" s="1" t="s">
        <v>211</v>
      </c>
      <c r="Q2634" s="1" t="s">
        <v>184</v>
      </c>
      <c r="R2634" s="1" t="s">
        <v>13387</v>
      </c>
      <c r="S2634" s="1" t="s">
        <v>13388</v>
      </c>
      <c r="T2634" s="1">
        <v>1</v>
      </c>
      <c r="U2634" s="1">
        <v>1</v>
      </c>
      <c r="V2634" s="1">
        <v>0</v>
      </c>
      <c r="W2634" s="1">
        <v>0</v>
      </c>
      <c r="X2634" s="1">
        <v>0</v>
      </c>
      <c r="Y2634" s="1">
        <v>1</v>
      </c>
      <c r="Z2634" s="1">
        <v>1</v>
      </c>
      <c r="AA2634" s="1" t="s">
        <v>104</v>
      </c>
      <c r="AB2634" s="1" t="s">
        <v>104</v>
      </c>
      <c r="AC2634" s="1" t="s">
        <v>104</v>
      </c>
      <c r="AD2634" s="1">
        <v>1</v>
      </c>
      <c r="AE2634" s="1" t="s">
        <v>104</v>
      </c>
      <c r="AF2634" s="1" t="s">
        <v>104</v>
      </c>
      <c r="AG2634" s="1" t="s">
        <v>104</v>
      </c>
      <c r="AH2634" s="1" t="s">
        <v>104</v>
      </c>
      <c r="AI2634" s="1" t="s">
        <v>104</v>
      </c>
      <c r="AJ2634" s="1" t="s">
        <v>104</v>
      </c>
      <c r="AK2634" s="1" t="s">
        <v>104</v>
      </c>
      <c r="AL2634" s="1" t="s">
        <v>104</v>
      </c>
      <c r="AM2634" s="1" t="s">
        <v>104</v>
      </c>
      <c r="AO2634" s="1">
        <v>1</v>
      </c>
      <c r="AR2634" s="1">
        <v>0</v>
      </c>
      <c r="AS2634" s="1">
        <v>0</v>
      </c>
      <c r="AT2634" s="1">
        <v>0</v>
      </c>
      <c r="AU2634" s="1">
        <v>0</v>
      </c>
      <c r="AV2634" s="1">
        <v>0</v>
      </c>
      <c r="AW2634" s="1">
        <v>0</v>
      </c>
      <c r="AX2634" s="1">
        <v>0</v>
      </c>
      <c r="AY2634" s="1">
        <v>0</v>
      </c>
      <c r="AZ2634" s="1">
        <v>0</v>
      </c>
      <c r="BA2634" s="1">
        <v>0</v>
      </c>
      <c r="BB2634" s="1">
        <v>0</v>
      </c>
      <c r="BC2634" s="1">
        <v>0</v>
      </c>
      <c r="BD2634" s="1">
        <v>0</v>
      </c>
      <c r="BE2634" s="1">
        <v>0</v>
      </c>
      <c r="BF2634" s="1">
        <v>0</v>
      </c>
      <c r="BG2634" s="1">
        <v>0</v>
      </c>
      <c r="BH2634" s="1">
        <v>0</v>
      </c>
      <c r="BI2634" s="1">
        <v>0</v>
      </c>
      <c r="BJ2634" s="1">
        <v>0</v>
      </c>
      <c r="BK2634" s="1">
        <v>1</v>
      </c>
      <c r="BL2634" s="1">
        <v>0</v>
      </c>
      <c r="BM2634" s="1">
        <v>0</v>
      </c>
      <c r="BN2634" s="1">
        <v>0</v>
      </c>
      <c r="BO2634" s="1">
        <v>0</v>
      </c>
      <c r="BP2634" s="1">
        <v>0</v>
      </c>
      <c r="BQ2634" s="1" t="s">
        <v>104</v>
      </c>
      <c r="BR2634" s="1">
        <v>2768</v>
      </c>
      <c r="BS2634" s="1" t="s">
        <v>104</v>
      </c>
      <c r="BX2634" s="1">
        <v>0</v>
      </c>
      <c r="BY2634" s="1" t="s">
        <v>104</v>
      </c>
      <c r="BZ2634" s="1" t="s">
        <v>104</v>
      </c>
      <c r="CA2634" s="1" t="s">
        <v>104</v>
      </c>
      <c r="CB2634" s="1" t="s">
        <v>104</v>
      </c>
      <c r="CC2634" s="1" t="s">
        <v>104</v>
      </c>
      <c r="CD2634" s="1" t="s">
        <v>104</v>
      </c>
      <c r="CE2634" s="1" t="s">
        <v>104</v>
      </c>
      <c r="CF2634" s="1" t="s">
        <v>104</v>
      </c>
      <c r="CG2634" s="1" t="s">
        <v>104</v>
      </c>
      <c r="CH2634" s="1" t="s">
        <v>104</v>
      </c>
      <c r="CJ2634" s="1">
        <v>0</v>
      </c>
      <c r="CK2634" s="1">
        <v>0</v>
      </c>
      <c r="CL2634" s="1">
        <v>0</v>
      </c>
      <c r="CM2634" s="1" t="s">
        <v>104</v>
      </c>
    </row>
    <row r="2635" spans="1:91" ht="14.25" customHeight="1" x14ac:dyDescent="0.3">
      <c r="A2635" s="1" t="s">
        <v>13389</v>
      </c>
      <c r="B2635" s="1" t="s">
        <v>123</v>
      </c>
      <c r="C2635" s="1" t="s">
        <v>124</v>
      </c>
      <c r="D2635" s="1" t="s">
        <v>125</v>
      </c>
      <c r="E2635" s="1" t="s">
        <v>8545</v>
      </c>
      <c r="F2635" s="1" t="s">
        <v>95</v>
      </c>
      <c r="G2635" s="1" t="s">
        <v>1995</v>
      </c>
      <c r="H2635" s="1">
        <v>0</v>
      </c>
      <c r="I2635" s="1" t="s">
        <v>109</v>
      </c>
      <c r="L2635" s="1" t="s">
        <v>13386</v>
      </c>
      <c r="M2635" s="1" t="s">
        <v>5385</v>
      </c>
      <c r="N2635" s="1">
        <v>1</v>
      </c>
      <c r="O2635" s="1">
        <v>0</v>
      </c>
      <c r="P2635" s="1" t="s">
        <v>418</v>
      </c>
      <c r="Q2635" s="1" t="s">
        <v>184</v>
      </c>
      <c r="R2635" s="1" t="s">
        <v>13390</v>
      </c>
      <c r="S2635" s="1" t="s">
        <v>13388</v>
      </c>
      <c r="T2635" s="1">
        <v>1</v>
      </c>
      <c r="U2635" s="1">
        <v>1</v>
      </c>
      <c r="V2635" s="1">
        <v>0</v>
      </c>
      <c r="W2635" s="1">
        <v>0</v>
      </c>
      <c r="X2635" s="1">
        <v>1</v>
      </c>
      <c r="Y2635" s="1">
        <v>3</v>
      </c>
      <c r="Z2635" s="1">
        <v>3</v>
      </c>
      <c r="AA2635" s="1">
        <v>2</v>
      </c>
      <c r="AB2635" s="1" t="s">
        <v>104</v>
      </c>
      <c r="AC2635" s="1" t="s">
        <v>104</v>
      </c>
      <c r="AD2635" s="1">
        <v>2</v>
      </c>
      <c r="AE2635" s="1" t="s">
        <v>104</v>
      </c>
      <c r="AF2635" s="1" t="s">
        <v>104</v>
      </c>
      <c r="AG2635" s="1" t="s">
        <v>104</v>
      </c>
      <c r="AH2635" s="1">
        <v>2</v>
      </c>
      <c r="AI2635" s="1">
        <v>2</v>
      </c>
      <c r="AJ2635" s="1">
        <v>2</v>
      </c>
      <c r="AK2635" s="1" t="s">
        <v>104</v>
      </c>
      <c r="AL2635" s="1" t="s">
        <v>104</v>
      </c>
      <c r="AM2635" s="1" t="s">
        <v>104</v>
      </c>
      <c r="AO2635" s="1">
        <v>3</v>
      </c>
      <c r="AR2635" s="1">
        <v>0</v>
      </c>
      <c r="AS2635" s="1">
        <v>0</v>
      </c>
      <c r="AT2635" s="1">
        <v>0</v>
      </c>
      <c r="AU2635" s="1">
        <v>0</v>
      </c>
      <c r="AV2635" s="1">
        <v>0</v>
      </c>
      <c r="AW2635" s="1">
        <v>0</v>
      </c>
      <c r="AX2635" s="1">
        <v>0</v>
      </c>
      <c r="AY2635" s="1">
        <v>0</v>
      </c>
      <c r="AZ2635" s="1">
        <v>0</v>
      </c>
      <c r="BA2635" s="1">
        <v>0</v>
      </c>
      <c r="BB2635" s="1">
        <v>0</v>
      </c>
      <c r="BC2635" s="1">
        <v>0</v>
      </c>
      <c r="BD2635" s="1">
        <v>0</v>
      </c>
      <c r="BE2635" s="1">
        <v>0</v>
      </c>
      <c r="BF2635" s="1">
        <v>0</v>
      </c>
      <c r="BG2635" s="1">
        <v>0</v>
      </c>
      <c r="BH2635" s="1">
        <v>0</v>
      </c>
      <c r="BI2635" s="1">
        <v>0</v>
      </c>
      <c r="BJ2635" s="1">
        <v>0</v>
      </c>
      <c r="BK2635" s="1">
        <v>1</v>
      </c>
      <c r="BL2635" s="1">
        <v>0</v>
      </c>
      <c r="BM2635" s="1">
        <v>0</v>
      </c>
      <c r="BN2635" s="1">
        <v>0</v>
      </c>
      <c r="BO2635" s="1">
        <v>0</v>
      </c>
      <c r="BP2635" s="1">
        <v>0</v>
      </c>
      <c r="BQ2635" s="1" t="s">
        <v>104</v>
      </c>
      <c r="BR2635" s="1">
        <v>2770</v>
      </c>
      <c r="BS2635" s="1" t="s">
        <v>104</v>
      </c>
      <c r="BX2635" s="1">
        <v>0</v>
      </c>
      <c r="BY2635" s="1" t="s">
        <v>104</v>
      </c>
      <c r="BZ2635" s="1" t="s">
        <v>104</v>
      </c>
      <c r="CA2635" s="1" t="s">
        <v>104</v>
      </c>
      <c r="CB2635" s="1" t="s">
        <v>104</v>
      </c>
      <c r="CC2635" s="1" t="s">
        <v>104</v>
      </c>
      <c r="CD2635" s="1" t="s">
        <v>104</v>
      </c>
      <c r="CE2635" s="1" t="s">
        <v>104</v>
      </c>
      <c r="CF2635" s="1" t="s">
        <v>104</v>
      </c>
      <c r="CG2635" s="1" t="s">
        <v>104</v>
      </c>
      <c r="CH2635" s="1" t="s">
        <v>104</v>
      </c>
      <c r="CJ2635" s="1">
        <v>0</v>
      </c>
      <c r="CK2635" s="1">
        <v>0</v>
      </c>
      <c r="CL2635" s="1">
        <v>0</v>
      </c>
      <c r="CM2635" s="1" t="s">
        <v>104</v>
      </c>
    </row>
    <row r="2636" spans="1:91" ht="14.25" customHeight="1" x14ac:dyDescent="0.3">
      <c r="A2636" s="1" t="s">
        <v>13391</v>
      </c>
      <c r="B2636" s="1" t="s">
        <v>172</v>
      </c>
      <c r="E2636" s="1" t="s">
        <v>13392</v>
      </c>
      <c r="F2636" s="1" t="s">
        <v>95</v>
      </c>
      <c r="G2636" s="1" t="s">
        <v>116</v>
      </c>
      <c r="H2636" s="1">
        <v>0</v>
      </c>
      <c r="I2636" s="1" t="s">
        <v>4126</v>
      </c>
      <c r="J2636" s="1" t="s">
        <v>13393</v>
      </c>
      <c r="M2636" s="1" t="s">
        <v>5420</v>
      </c>
      <c r="N2636" s="1">
        <v>0</v>
      </c>
      <c r="O2636" s="1">
        <v>0</v>
      </c>
      <c r="R2636" s="1" t="s">
        <v>13394</v>
      </c>
      <c r="S2636" s="1" t="s">
        <v>13388</v>
      </c>
      <c r="T2636" s="1">
        <v>1</v>
      </c>
      <c r="U2636" s="1">
        <v>1</v>
      </c>
      <c r="V2636" s="1">
        <v>0</v>
      </c>
      <c r="W2636" s="1">
        <v>0</v>
      </c>
      <c r="X2636" s="1">
        <v>0</v>
      </c>
      <c r="Y2636" s="1">
        <v>2</v>
      </c>
      <c r="Z2636" s="1">
        <v>2</v>
      </c>
      <c r="AA2636" s="1">
        <v>2</v>
      </c>
      <c r="AB2636" s="1">
        <v>2</v>
      </c>
      <c r="AC2636" s="1">
        <v>1</v>
      </c>
      <c r="AD2636" s="1">
        <v>2</v>
      </c>
      <c r="AE2636" s="1" t="s">
        <v>104</v>
      </c>
      <c r="AF2636" s="1" t="s">
        <v>104</v>
      </c>
      <c r="AG2636" s="1">
        <v>2</v>
      </c>
      <c r="AH2636" s="1">
        <v>2</v>
      </c>
      <c r="AI2636" s="1" t="s">
        <v>104</v>
      </c>
      <c r="AJ2636" s="1">
        <v>2</v>
      </c>
      <c r="AK2636" s="1" t="s">
        <v>104</v>
      </c>
      <c r="AL2636" s="1" t="s">
        <v>104</v>
      </c>
      <c r="AM2636" s="1" t="s">
        <v>104</v>
      </c>
      <c r="AO2636" s="1">
        <v>2</v>
      </c>
      <c r="AR2636" s="1">
        <v>0</v>
      </c>
      <c r="AS2636" s="1">
        <v>0</v>
      </c>
      <c r="AT2636" s="1">
        <v>0</v>
      </c>
      <c r="AU2636" s="1">
        <v>0</v>
      </c>
      <c r="AV2636" s="1">
        <v>0</v>
      </c>
      <c r="AW2636" s="1">
        <v>0</v>
      </c>
      <c r="AX2636" s="1">
        <v>0</v>
      </c>
      <c r="AY2636" s="1">
        <v>0</v>
      </c>
      <c r="AZ2636" s="1">
        <v>0</v>
      </c>
      <c r="BA2636" s="1">
        <v>0</v>
      </c>
      <c r="BB2636" s="1">
        <v>0</v>
      </c>
      <c r="BC2636" s="1">
        <v>0</v>
      </c>
      <c r="BD2636" s="1">
        <v>0</v>
      </c>
      <c r="BE2636" s="1">
        <v>0</v>
      </c>
      <c r="BF2636" s="1">
        <v>0</v>
      </c>
      <c r="BG2636" s="1">
        <v>0</v>
      </c>
      <c r="BH2636" s="1">
        <v>0</v>
      </c>
      <c r="BI2636" s="1">
        <v>0</v>
      </c>
      <c r="BJ2636" s="1">
        <v>0</v>
      </c>
      <c r="BK2636" s="1">
        <v>0</v>
      </c>
      <c r="BL2636" s="1">
        <v>0</v>
      </c>
      <c r="BM2636" s="1">
        <v>0</v>
      </c>
      <c r="BN2636" s="1">
        <v>0</v>
      </c>
      <c r="BO2636" s="1">
        <v>0</v>
      </c>
      <c r="BP2636" s="1">
        <v>0</v>
      </c>
      <c r="BQ2636" s="1" t="s">
        <v>104</v>
      </c>
      <c r="BR2636" s="1">
        <v>2772</v>
      </c>
      <c r="BS2636" s="1" t="s">
        <v>104</v>
      </c>
      <c r="BX2636" s="1">
        <v>0</v>
      </c>
      <c r="BY2636" s="1" t="s">
        <v>104</v>
      </c>
      <c r="BZ2636" s="1">
        <v>2</v>
      </c>
      <c r="CA2636" s="1">
        <v>2</v>
      </c>
      <c r="CB2636" s="1" t="s">
        <v>104</v>
      </c>
      <c r="CC2636" s="1" t="s">
        <v>104</v>
      </c>
      <c r="CD2636" s="1" t="s">
        <v>104</v>
      </c>
      <c r="CE2636" s="1" t="s">
        <v>104</v>
      </c>
      <c r="CF2636" s="1" t="s">
        <v>104</v>
      </c>
      <c r="CG2636" s="1" t="s">
        <v>104</v>
      </c>
      <c r="CH2636" s="1">
        <v>1</v>
      </c>
      <c r="CJ2636" s="1">
        <v>0</v>
      </c>
      <c r="CK2636" s="1">
        <v>0</v>
      </c>
      <c r="CL2636" s="1">
        <v>0</v>
      </c>
      <c r="CM2636" s="1">
        <v>2</v>
      </c>
    </row>
    <row r="2637" spans="1:91" ht="14.25" customHeight="1" x14ac:dyDescent="0.3">
      <c r="A2637" s="1" t="s">
        <v>13395</v>
      </c>
      <c r="B2637" s="1" t="s">
        <v>172</v>
      </c>
      <c r="E2637" s="1" t="s">
        <v>13396</v>
      </c>
      <c r="F2637" s="1" t="s">
        <v>95</v>
      </c>
      <c r="G2637" s="1" t="s">
        <v>116</v>
      </c>
      <c r="H2637" s="1">
        <v>0</v>
      </c>
      <c r="I2637" s="1" t="s">
        <v>157</v>
      </c>
      <c r="L2637" s="1" t="s">
        <v>158</v>
      </c>
      <c r="M2637" s="1" t="s">
        <v>119</v>
      </c>
      <c r="N2637" s="1">
        <v>0</v>
      </c>
      <c r="O2637" s="1">
        <v>0</v>
      </c>
      <c r="R2637" s="1" t="s">
        <v>13397</v>
      </c>
      <c r="S2637" s="1" t="s">
        <v>13388</v>
      </c>
      <c r="T2637" s="1">
        <v>1</v>
      </c>
      <c r="U2637" s="1">
        <v>1</v>
      </c>
      <c r="V2637" s="1">
        <v>0</v>
      </c>
      <c r="W2637" s="1">
        <v>0</v>
      </c>
      <c r="X2637" s="1">
        <v>0</v>
      </c>
      <c r="Y2637" s="1">
        <v>1</v>
      </c>
      <c r="Z2637" s="1">
        <v>1</v>
      </c>
      <c r="AA2637" s="1">
        <v>1</v>
      </c>
      <c r="AB2637" s="1">
        <v>1</v>
      </c>
      <c r="AC2637" s="1">
        <v>1</v>
      </c>
      <c r="AD2637" s="1">
        <v>1</v>
      </c>
      <c r="AE2637" s="1" t="s">
        <v>104</v>
      </c>
      <c r="AF2637" s="1" t="s">
        <v>104</v>
      </c>
      <c r="AG2637" s="1">
        <v>1</v>
      </c>
      <c r="AH2637" s="1">
        <v>1</v>
      </c>
      <c r="AI2637" s="1">
        <v>1</v>
      </c>
      <c r="AJ2637" s="1">
        <v>1</v>
      </c>
      <c r="AK2637" s="1" t="s">
        <v>104</v>
      </c>
      <c r="AL2637" s="1" t="s">
        <v>104</v>
      </c>
      <c r="AM2637" s="1" t="s">
        <v>104</v>
      </c>
      <c r="AO2637" s="1">
        <v>1</v>
      </c>
      <c r="AR2637" s="1">
        <v>0</v>
      </c>
      <c r="AS2637" s="1">
        <v>0</v>
      </c>
      <c r="AT2637" s="1">
        <v>0</v>
      </c>
      <c r="AU2637" s="1">
        <v>0</v>
      </c>
      <c r="AV2637" s="1">
        <v>0</v>
      </c>
      <c r="AW2637" s="1">
        <v>0</v>
      </c>
      <c r="AX2637" s="1">
        <v>0</v>
      </c>
      <c r="AY2637" s="1">
        <v>0</v>
      </c>
      <c r="AZ2637" s="1">
        <v>0</v>
      </c>
      <c r="BA2637" s="1">
        <v>0</v>
      </c>
      <c r="BB2637" s="1">
        <v>0</v>
      </c>
      <c r="BC2637" s="1">
        <v>0</v>
      </c>
      <c r="BD2637" s="1">
        <v>0</v>
      </c>
      <c r="BE2637" s="1">
        <v>0</v>
      </c>
      <c r="BF2637" s="1">
        <v>0</v>
      </c>
      <c r="BG2637" s="1">
        <v>0</v>
      </c>
      <c r="BH2637" s="1">
        <v>0</v>
      </c>
      <c r="BI2637" s="1">
        <v>0</v>
      </c>
      <c r="BJ2637" s="1">
        <v>0</v>
      </c>
      <c r="BK2637" s="1">
        <v>0</v>
      </c>
      <c r="BL2637" s="1">
        <v>0</v>
      </c>
      <c r="BM2637" s="1">
        <v>0</v>
      </c>
      <c r="BN2637" s="1">
        <v>0</v>
      </c>
      <c r="BO2637" s="1">
        <v>0</v>
      </c>
      <c r="BP2637" s="1">
        <v>0</v>
      </c>
      <c r="BQ2637" s="1" t="s">
        <v>104</v>
      </c>
      <c r="BR2637" s="1">
        <v>2773</v>
      </c>
      <c r="BS2637" s="1" t="s">
        <v>104</v>
      </c>
      <c r="BX2637" s="1">
        <v>0</v>
      </c>
      <c r="BY2637" s="1" t="s">
        <v>104</v>
      </c>
      <c r="BZ2637" s="1">
        <v>1</v>
      </c>
      <c r="CA2637" s="1">
        <v>1</v>
      </c>
      <c r="CB2637" s="1" t="s">
        <v>104</v>
      </c>
      <c r="CC2637" s="1" t="s">
        <v>104</v>
      </c>
      <c r="CD2637" s="1" t="s">
        <v>104</v>
      </c>
      <c r="CE2637" s="1" t="s">
        <v>104</v>
      </c>
      <c r="CF2637" s="1" t="s">
        <v>104</v>
      </c>
      <c r="CG2637" s="1" t="s">
        <v>104</v>
      </c>
      <c r="CH2637" s="1">
        <v>1</v>
      </c>
      <c r="CJ2637" s="1">
        <v>0</v>
      </c>
      <c r="CK2637" s="1">
        <v>0</v>
      </c>
      <c r="CL2637" s="1">
        <v>0</v>
      </c>
      <c r="CM2637" s="1">
        <v>1</v>
      </c>
    </row>
    <row r="2638" spans="1:91" ht="14.25" customHeight="1" x14ac:dyDescent="0.3">
      <c r="A2638" s="1" t="s">
        <v>13398</v>
      </c>
      <c r="B2638" s="1" t="s">
        <v>507</v>
      </c>
      <c r="E2638" s="1" t="s">
        <v>13399</v>
      </c>
      <c r="F2638" s="1" t="s">
        <v>95</v>
      </c>
      <c r="G2638" s="1" t="s">
        <v>13400</v>
      </c>
      <c r="H2638" s="1">
        <v>0</v>
      </c>
      <c r="I2638" s="1" t="s">
        <v>128</v>
      </c>
      <c r="L2638" s="1" t="s">
        <v>13401</v>
      </c>
      <c r="M2638" s="1" t="s">
        <v>201</v>
      </c>
      <c r="N2638" s="1">
        <v>0</v>
      </c>
      <c r="O2638" s="1">
        <v>0</v>
      </c>
      <c r="P2638" s="1" t="s">
        <v>13402</v>
      </c>
      <c r="Q2638" s="1" t="s">
        <v>101</v>
      </c>
      <c r="R2638" s="1" t="s">
        <v>13403</v>
      </c>
      <c r="S2638" s="1" t="s">
        <v>13335</v>
      </c>
      <c r="T2638" s="1">
        <v>1</v>
      </c>
      <c r="U2638" s="1">
        <v>1</v>
      </c>
      <c r="V2638" s="1">
        <v>1</v>
      </c>
      <c r="W2638" s="1">
        <v>0</v>
      </c>
      <c r="X2638" s="1">
        <v>0</v>
      </c>
      <c r="Y2638" s="1">
        <v>1</v>
      </c>
      <c r="Z2638" s="1">
        <v>1</v>
      </c>
      <c r="AA2638" s="1" t="s">
        <v>104</v>
      </c>
      <c r="AB2638" s="1" t="s">
        <v>104</v>
      </c>
      <c r="AC2638" s="1" t="s">
        <v>104</v>
      </c>
      <c r="AD2638" s="1">
        <v>1</v>
      </c>
      <c r="AE2638" s="1" t="s">
        <v>104</v>
      </c>
      <c r="AF2638" s="1" t="s">
        <v>104</v>
      </c>
      <c r="AG2638" s="1" t="s">
        <v>104</v>
      </c>
      <c r="AH2638" s="1" t="s">
        <v>104</v>
      </c>
      <c r="AI2638" s="1" t="s">
        <v>104</v>
      </c>
      <c r="AJ2638" s="1" t="s">
        <v>104</v>
      </c>
      <c r="AK2638" s="1" t="s">
        <v>104</v>
      </c>
      <c r="AL2638" s="1" t="s">
        <v>104</v>
      </c>
      <c r="AM2638" s="1" t="s">
        <v>104</v>
      </c>
      <c r="AO2638" s="1">
        <v>1</v>
      </c>
      <c r="AR2638" s="1">
        <v>0</v>
      </c>
      <c r="AS2638" s="1">
        <v>0</v>
      </c>
      <c r="AT2638" s="1">
        <v>0</v>
      </c>
      <c r="AU2638" s="1">
        <v>0</v>
      </c>
      <c r="AV2638" s="1">
        <v>0</v>
      </c>
      <c r="AW2638" s="1">
        <v>0</v>
      </c>
      <c r="AX2638" s="1">
        <v>0</v>
      </c>
      <c r="AY2638" s="1">
        <v>0</v>
      </c>
      <c r="AZ2638" s="1">
        <v>0</v>
      </c>
      <c r="BA2638" s="1">
        <v>0</v>
      </c>
      <c r="BB2638" s="1">
        <v>0</v>
      </c>
      <c r="BC2638" s="1">
        <v>0</v>
      </c>
      <c r="BD2638" s="1">
        <v>0</v>
      </c>
      <c r="BE2638" s="1">
        <v>0</v>
      </c>
      <c r="BF2638" s="1">
        <v>0</v>
      </c>
      <c r="BG2638" s="1">
        <v>0</v>
      </c>
      <c r="BH2638" s="1">
        <v>0</v>
      </c>
      <c r="BI2638" s="1">
        <v>0</v>
      </c>
      <c r="BJ2638" s="1">
        <v>0</v>
      </c>
      <c r="BK2638" s="1">
        <v>0</v>
      </c>
      <c r="BL2638" s="1">
        <v>0</v>
      </c>
      <c r="BM2638" s="1">
        <v>0</v>
      </c>
      <c r="BN2638" s="1">
        <v>0</v>
      </c>
      <c r="BO2638" s="1">
        <v>0</v>
      </c>
      <c r="BP2638" s="1">
        <v>0</v>
      </c>
      <c r="BQ2638" s="1" t="s">
        <v>104</v>
      </c>
      <c r="BR2638" s="1">
        <v>2774</v>
      </c>
      <c r="BS2638" s="1" t="s">
        <v>104</v>
      </c>
      <c r="BX2638" s="1">
        <v>0</v>
      </c>
      <c r="BY2638" s="1" t="s">
        <v>104</v>
      </c>
      <c r="BZ2638" s="1" t="s">
        <v>104</v>
      </c>
      <c r="CA2638" s="1">
        <v>1</v>
      </c>
      <c r="CB2638" s="1">
        <v>1</v>
      </c>
      <c r="CC2638" s="1">
        <v>1</v>
      </c>
      <c r="CD2638" s="1" t="s">
        <v>104</v>
      </c>
      <c r="CE2638" s="1" t="s">
        <v>104</v>
      </c>
      <c r="CF2638" s="1" t="s">
        <v>104</v>
      </c>
      <c r="CG2638" s="1" t="s">
        <v>104</v>
      </c>
      <c r="CH2638" s="1" t="s">
        <v>104</v>
      </c>
      <c r="CJ2638" s="1">
        <v>0</v>
      </c>
      <c r="CK2638" s="1">
        <v>0</v>
      </c>
      <c r="CL2638" s="1">
        <v>0</v>
      </c>
      <c r="CM2638" s="1" t="s">
        <v>104</v>
      </c>
    </row>
    <row r="2639" spans="1:91" ht="14.25" customHeight="1" x14ac:dyDescent="0.3">
      <c r="A2639" s="1" t="s">
        <v>13404</v>
      </c>
      <c r="B2639" s="1" t="s">
        <v>434</v>
      </c>
      <c r="E2639" s="1" t="s">
        <v>10106</v>
      </c>
      <c r="F2639" s="1" t="s">
        <v>95</v>
      </c>
      <c r="G2639" s="1" t="s">
        <v>127</v>
      </c>
      <c r="H2639" s="1">
        <v>0</v>
      </c>
      <c r="I2639" s="1" t="s">
        <v>97</v>
      </c>
      <c r="J2639" s="1" t="s">
        <v>13405</v>
      </c>
      <c r="M2639" s="1" t="s">
        <v>111</v>
      </c>
      <c r="N2639" s="1">
        <v>0</v>
      </c>
      <c r="O2639" s="1">
        <v>0</v>
      </c>
      <c r="P2639" s="1" t="s">
        <v>13406</v>
      </c>
      <c r="Q2639" s="1" t="s">
        <v>101</v>
      </c>
      <c r="R2639" s="1" t="s">
        <v>13407</v>
      </c>
      <c r="S2639" s="1" t="s">
        <v>13335</v>
      </c>
      <c r="T2639" s="1">
        <v>1</v>
      </c>
      <c r="U2639" s="1">
        <v>1</v>
      </c>
      <c r="V2639" s="1">
        <v>0</v>
      </c>
      <c r="W2639" s="1">
        <v>0</v>
      </c>
      <c r="X2639" s="1">
        <v>1</v>
      </c>
      <c r="Y2639" s="1" t="s">
        <v>104</v>
      </c>
      <c r="Z2639" s="1" t="s">
        <v>104</v>
      </c>
      <c r="AA2639" s="1" t="s">
        <v>104</v>
      </c>
      <c r="AB2639" s="1">
        <v>3</v>
      </c>
      <c r="AC2639" s="1">
        <v>3</v>
      </c>
      <c r="AD2639" s="1" t="s">
        <v>104</v>
      </c>
      <c r="AE2639" s="1" t="s">
        <v>104</v>
      </c>
      <c r="AF2639" s="1" t="s">
        <v>104</v>
      </c>
      <c r="AG2639" s="1" t="s">
        <v>104</v>
      </c>
      <c r="AH2639" s="1">
        <v>3</v>
      </c>
      <c r="AI2639" s="1" t="s">
        <v>104</v>
      </c>
      <c r="AJ2639" s="1" t="s">
        <v>104</v>
      </c>
      <c r="AK2639" s="1" t="s">
        <v>104</v>
      </c>
      <c r="AL2639" s="1" t="s">
        <v>104</v>
      </c>
      <c r="AM2639" s="1" t="s">
        <v>104</v>
      </c>
      <c r="AO2639" s="1">
        <v>3</v>
      </c>
      <c r="AR2639" s="1">
        <v>0</v>
      </c>
      <c r="AS2639" s="1">
        <v>0</v>
      </c>
      <c r="AT2639" s="1">
        <v>0</v>
      </c>
      <c r="AU2639" s="1">
        <v>0</v>
      </c>
      <c r="AV2639" s="1">
        <v>0</v>
      </c>
      <c r="AW2639" s="1">
        <v>0</v>
      </c>
      <c r="AX2639" s="1">
        <v>0</v>
      </c>
      <c r="AY2639" s="1">
        <v>0</v>
      </c>
      <c r="AZ2639" s="1">
        <v>0</v>
      </c>
      <c r="BA2639" s="1">
        <v>0</v>
      </c>
      <c r="BB2639" s="1">
        <v>0</v>
      </c>
      <c r="BC2639" s="1">
        <v>0</v>
      </c>
      <c r="BD2639" s="1">
        <v>0</v>
      </c>
      <c r="BE2639" s="1">
        <v>0</v>
      </c>
      <c r="BF2639" s="1">
        <v>0</v>
      </c>
      <c r="BG2639" s="1">
        <v>0</v>
      </c>
      <c r="BH2639" s="1">
        <v>0</v>
      </c>
      <c r="BI2639" s="1">
        <v>0</v>
      </c>
      <c r="BJ2639" s="1">
        <v>0</v>
      </c>
      <c r="BK2639" s="1">
        <v>0</v>
      </c>
      <c r="BL2639" s="1">
        <v>0</v>
      </c>
      <c r="BM2639" s="1">
        <v>0</v>
      </c>
      <c r="BN2639" s="1">
        <v>0</v>
      </c>
      <c r="BO2639" s="1">
        <v>0</v>
      </c>
      <c r="BP2639" s="1">
        <v>0</v>
      </c>
      <c r="BQ2639" s="1" t="s">
        <v>104</v>
      </c>
      <c r="BR2639" s="1">
        <v>2775</v>
      </c>
      <c r="BS2639" s="1" t="s">
        <v>104</v>
      </c>
      <c r="BX2639" s="1">
        <v>0</v>
      </c>
      <c r="BY2639" s="1" t="s">
        <v>104</v>
      </c>
      <c r="BZ2639" s="1">
        <v>3</v>
      </c>
      <c r="CA2639" s="1" t="s">
        <v>104</v>
      </c>
      <c r="CB2639" s="1" t="s">
        <v>104</v>
      </c>
      <c r="CC2639" s="1" t="s">
        <v>104</v>
      </c>
      <c r="CD2639" s="1" t="s">
        <v>104</v>
      </c>
      <c r="CE2639" s="1" t="s">
        <v>104</v>
      </c>
      <c r="CF2639" s="1" t="s">
        <v>104</v>
      </c>
      <c r="CG2639" s="1" t="s">
        <v>104</v>
      </c>
      <c r="CH2639" s="1">
        <v>3</v>
      </c>
      <c r="CJ2639" s="1">
        <v>0</v>
      </c>
      <c r="CK2639" s="1">
        <v>0</v>
      </c>
      <c r="CL2639" s="1">
        <v>0</v>
      </c>
      <c r="CM2639" s="1" t="s">
        <v>104</v>
      </c>
    </row>
    <row r="2640" spans="1:91" ht="14.25" customHeight="1" x14ac:dyDescent="0.3">
      <c r="A2640" s="1" t="s">
        <v>13408</v>
      </c>
      <c r="B2640" s="1" t="s">
        <v>172</v>
      </c>
      <c r="E2640" s="1" t="s">
        <v>13409</v>
      </c>
      <c r="F2640" s="1" t="s">
        <v>95</v>
      </c>
      <c r="G2640" s="1" t="s">
        <v>13410</v>
      </c>
      <c r="H2640" s="1">
        <v>0</v>
      </c>
      <c r="I2640" s="1" t="s">
        <v>128</v>
      </c>
      <c r="L2640" s="1" t="s">
        <v>1065</v>
      </c>
      <c r="M2640" s="1" t="s">
        <v>10544</v>
      </c>
      <c r="N2640" s="1">
        <v>1</v>
      </c>
      <c r="O2640" s="1">
        <v>0</v>
      </c>
      <c r="P2640" s="1" t="s">
        <v>375</v>
      </c>
      <c r="Q2640" s="1" t="s">
        <v>131</v>
      </c>
      <c r="R2640" s="1" t="s">
        <v>13411</v>
      </c>
      <c r="S2640" s="1" t="s">
        <v>13335</v>
      </c>
      <c r="T2640" s="1">
        <v>1</v>
      </c>
      <c r="U2640" s="1">
        <v>1</v>
      </c>
      <c r="V2640" s="1">
        <v>1</v>
      </c>
      <c r="W2640" s="1">
        <v>0</v>
      </c>
      <c r="X2640" s="1">
        <v>1</v>
      </c>
      <c r="Y2640" s="1" t="s">
        <v>104</v>
      </c>
      <c r="Z2640" s="1" t="s">
        <v>104</v>
      </c>
      <c r="AA2640" s="1" t="s">
        <v>104</v>
      </c>
      <c r="AB2640" s="1">
        <v>1</v>
      </c>
      <c r="AC2640" s="1">
        <v>1</v>
      </c>
      <c r="AD2640" s="1">
        <v>1</v>
      </c>
      <c r="AE2640" s="1" t="s">
        <v>104</v>
      </c>
      <c r="AF2640" s="1" t="s">
        <v>104</v>
      </c>
      <c r="AG2640" s="1" t="s">
        <v>104</v>
      </c>
      <c r="AH2640" s="1">
        <v>1</v>
      </c>
      <c r="AI2640" s="1">
        <v>1</v>
      </c>
      <c r="AJ2640" s="1" t="s">
        <v>104</v>
      </c>
      <c r="AK2640" s="1" t="s">
        <v>104</v>
      </c>
      <c r="AL2640" s="1" t="s">
        <v>104</v>
      </c>
      <c r="AM2640" s="1" t="s">
        <v>104</v>
      </c>
      <c r="AO2640" s="1">
        <v>1</v>
      </c>
      <c r="AR2640" s="1">
        <v>0</v>
      </c>
      <c r="AS2640" s="1">
        <v>0</v>
      </c>
      <c r="AT2640" s="1">
        <v>0</v>
      </c>
      <c r="AU2640" s="1">
        <v>0</v>
      </c>
      <c r="AV2640" s="1">
        <v>0</v>
      </c>
      <c r="AW2640" s="1">
        <v>0</v>
      </c>
      <c r="AX2640" s="1">
        <v>0</v>
      </c>
      <c r="AY2640" s="1">
        <v>0</v>
      </c>
      <c r="AZ2640" s="1">
        <v>0</v>
      </c>
      <c r="BA2640" s="1">
        <v>0</v>
      </c>
      <c r="BB2640" s="1">
        <v>0</v>
      </c>
      <c r="BC2640" s="1">
        <v>0</v>
      </c>
      <c r="BD2640" s="1">
        <v>0</v>
      </c>
      <c r="BE2640" s="1">
        <v>0</v>
      </c>
      <c r="BF2640" s="1">
        <v>0</v>
      </c>
      <c r="BG2640" s="1">
        <v>0</v>
      </c>
      <c r="BH2640" s="1">
        <v>0</v>
      </c>
      <c r="BI2640" s="1">
        <v>0</v>
      </c>
      <c r="BJ2640" s="1">
        <v>0</v>
      </c>
      <c r="BK2640" s="1">
        <v>0</v>
      </c>
      <c r="BL2640" s="1">
        <v>0</v>
      </c>
      <c r="BM2640" s="1">
        <v>0</v>
      </c>
      <c r="BN2640" s="1">
        <v>0</v>
      </c>
      <c r="BO2640" s="1">
        <v>0</v>
      </c>
      <c r="BP2640" s="1">
        <v>0</v>
      </c>
      <c r="BQ2640" s="1" t="s">
        <v>104</v>
      </c>
      <c r="BR2640" s="1">
        <v>2776</v>
      </c>
      <c r="BS2640" s="1" t="s">
        <v>104</v>
      </c>
      <c r="BX2640" s="1">
        <v>0</v>
      </c>
      <c r="BY2640" s="1" t="s">
        <v>104</v>
      </c>
      <c r="BZ2640" s="1">
        <v>1</v>
      </c>
      <c r="CA2640" s="1" t="s">
        <v>104</v>
      </c>
      <c r="CB2640" s="1" t="s">
        <v>104</v>
      </c>
      <c r="CC2640" s="1" t="s">
        <v>104</v>
      </c>
      <c r="CD2640" s="1" t="s">
        <v>104</v>
      </c>
      <c r="CE2640" s="1" t="s">
        <v>104</v>
      </c>
      <c r="CF2640" s="1" t="s">
        <v>104</v>
      </c>
      <c r="CG2640" s="1" t="s">
        <v>104</v>
      </c>
      <c r="CH2640" s="1">
        <v>1</v>
      </c>
      <c r="CJ2640" s="1">
        <v>0</v>
      </c>
      <c r="CK2640" s="1">
        <v>0</v>
      </c>
      <c r="CL2640" s="1">
        <v>0</v>
      </c>
      <c r="CM2640" s="1" t="s">
        <v>104</v>
      </c>
    </row>
    <row r="2641" spans="1:91" ht="14.25" customHeight="1" x14ac:dyDescent="0.3">
      <c r="A2641" s="1" t="s">
        <v>13412</v>
      </c>
      <c r="B2641" s="1" t="s">
        <v>172</v>
      </c>
      <c r="E2641" s="1" t="s">
        <v>13413</v>
      </c>
      <c r="F2641" s="1" t="s">
        <v>287</v>
      </c>
      <c r="G2641" s="1" t="s">
        <v>13414</v>
      </c>
      <c r="H2641" s="1">
        <v>0</v>
      </c>
      <c r="I2641" s="1" t="s">
        <v>145</v>
      </c>
      <c r="M2641" s="1" t="s">
        <v>620</v>
      </c>
      <c r="N2641" s="1">
        <v>1</v>
      </c>
      <c r="O2641" s="1">
        <v>0</v>
      </c>
      <c r="P2641" s="1" t="s">
        <v>100</v>
      </c>
      <c r="Q2641" s="1" t="s">
        <v>101</v>
      </c>
      <c r="R2641" s="1" t="s">
        <v>13415</v>
      </c>
      <c r="S2641" s="1" t="s">
        <v>13335</v>
      </c>
      <c r="T2641" s="1">
        <v>1</v>
      </c>
      <c r="U2641" s="1">
        <v>1</v>
      </c>
      <c r="V2641" s="1">
        <v>1</v>
      </c>
      <c r="W2641" s="1">
        <v>0</v>
      </c>
      <c r="X2641" s="1">
        <v>0</v>
      </c>
      <c r="Y2641" s="1">
        <v>4</v>
      </c>
      <c r="Z2641" s="1">
        <v>4</v>
      </c>
      <c r="AA2641" s="1" t="s">
        <v>104</v>
      </c>
      <c r="AB2641" s="1" t="s">
        <v>104</v>
      </c>
      <c r="AC2641" s="1">
        <v>3</v>
      </c>
      <c r="AD2641" s="1">
        <v>3</v>
      </c>
      <c r="AE2641" s="1" t="s">
        <v>104</v>
      </c>
      <c r="AF2641" s="1" t="s">
        <v>104</v>
      </c>
      <c r="AG2641" s="1" t="s">
        <v>104</v>
      </c>
      <c r="AH2641" s="1" t="s">
        <v>104</v>
      </c>
      <c r="AI2641" s="1" t="s">
        <v>104</v>
      </c>
      <c r="AJ2641" s="1" t="s">
        <v>104</v>
      </c>
      <c r="AK2641" s="1" t="s">
        <v>104</v>
      </c>
      <c r="AL2641" s="1" t="s">
        <v>104</v>
      </c>
      <c r="AM2641" s="1" t="s">
        <v>104</v>
      </c>
      <c r="AO2641" s="1">
        <v>4</v>
      </c>
      <c r="AR2641" s="1">
        <v>0</v>
      </c>
      <c r="AS2641" s="1">
        <v>0</v>
      </c>
      <c r="AT2641" s="1">
        <v>0</v>
      </c>
      <c r="AU2641" s="1">
        <v>0</v>
      </c>
      <c r="AV2641" s="1">
        <v>0</v>
      </c>
      <c r="AW2641" s="1">
        <v>0</v>
      </c>
      <c r="AX2641" s="1">
        <v>0</v>
      </c>
      <c r="AY2641" s="1">
        <v>0</v>
      </c>
      <c r="AZ2641" s="1">
        <v>0</v>
      </c>
      <c r="BA2641" s="1">
        <v>0</v>
      </c>
      <c r="BB2641" s="1">
        <v>0</v>
      </c>
      <c r="BC2641" s="1">
        <v>0</v>
      </c>
      <c r="BD2641" s="1">
        <v>0</v>
      </c>
      <c r="BE2641" s="1">
        <v>0</v>
      </c>
      <c r="BF2641" s="1">
        <v>0</v>
      </c>
      <c r="BG2641" s="1">
        <v>0</v>
      </c>
      <c r="BH2641" s="1">
        <v>0</v>
      </c>
      <c r="BI2641" s="1">
        <v>0</v>
      </c>
      <c r="BJ2641" s="1">
        <v>0</v>
      </c>
      <c r="BK2641" s="1">
        <v>0</v>
      </c>
      <c r="BL2641" s="1">
        <v>0</v>
      </c>
      <c r="BM2641" s="1">
        <v>0</v>
      </c>
      <c r="BN2641" s="1">
        <v>0</v>
      </c>
      <c r="BO2641" s="1">
        <v>0</v>
      </c>
      <c r="BP2641" s="1">
        <v>0</v>
      </c>
      <c r="BQ2641" s="1" t="s">
        <v>104</v>
      </c>
      <c r="BR2641" s="1">
        <v>2777</v>
      </c>
      <c r="BS2641" s="1" t="s">
        <v>104</v>
      </c>
      <c r="BX2641" s="1">
        <v>0</v>
      </c>
      <c r="BY2641" s="1" t="s">
        <v>104</v>
      </c>
      <c r="BZ2641" s="1" t="s">
        <v>104</v>
      </c>
      <c r="CA2641" s="1" t="s">
        <v>104</v>
      </c>
      <c r="CB2641" s="1">
        <v>3</v>
      </c>
      <c r="CC2641" s="1" t="s">
        <v>104</v>
      </c>
      <c r="CD2641" s="1" t="s">
        <v>104</v>
      </c>
      <c r="CE2641" s="1" t="s">
        <v>104</v>
      </c>
      <c r="CF2641" s="1" t="s">
        <v>104</v>
      </c>
      <c r="CG2641" s="1" t="s">
        <v>104</v>
      </c>
      <c r="CH2641" s="1">
        <v>3</v>
      </c>
      <c r="CJ2641" s="1">
        <v>0</v>
      </c>
      <c r="CK2641" s="1">
        <v>0</v>
      </c>
      <c r="CL2641" s="1">
        <v>0</v>
      </c>
      <c r="CM2641" s="1" t="s">
        <v>104</v>
      </c>
    </row>
    <row r="2642" spans="1:91" ht="14.25" customHeight="1" x14ac:dyDescent="0.3">
      <c r="A2642" s="1" t="s">
        <v>13416</v>
      </c>
      <c r="B2642" s="1" t="s">
        <v>434</v>
      </c>
      <c r="D2642" s="1" t="s">
        <v>67</v>
      </c>
      <c r="E2642" s="1" t="s">
        <v>13417</v>
      </c>
      <c r="F2642" s="1" t="s">
        <v>95</v>
      </c>
      <c r="G2642" s="1" t="s">
        <v>13418</v>
      </c>
      <c r="H2642" s="1">
        <v>0</v>
      </c>
      <c r="I2642" s="1" t="s">
        <v>109</v>
      </c>
      <c r="J2642" s="1" t="s">
        <v>13419</v>
      </c>
      <c r="M2642" s="1" t="s">
        <v>426</v>
      </c>
      <c r="N2642" s="1">
        <v>1</v>
      </c>
      <c r="O2642" s="1">
        <v>0</v>
      </c>
      <c r="P2642" s="1" t="s">
        <v>100</v>
      </c>
      <c r="Q2642" s="1" t="s">
        <v>101</v>
      </c>
      <c r="R2642" s="1" t="s">
        <v>13420</v>
      </c>
      <c r="S2642" s="1" t="s">
        <v>13335</v>
      </c>
      <c r="T2642" s="1">
        <v>1</v>
      </c>
      <c r="U2642" s="1">
        <v>1</v>
      </c>
      <c r="V2642" s="1">
        <v>1</v>
      </c>
      <c r="W2642" s="1">
        <v>0</v>
      </c>
      <c r="X2642" s="1">
        <v>1</v>
      </c>
      <c r="Y2642" s="1" t="s">
        <v>104</v>
      </c>
      <c r="Z2642" s="1" t="s">
        <v>104</v>
      </c>
      <c r="AA2642" s="1" t="s">
        <v>104</v>
      </c>
      <c r="AB2642" s="1">
        <v>2</v>
      </c>
      <c r="AC2642" s="1" t="s">
        <v>104</v>
      </c>
      <c r="AD2642" s="1">
        <v>2</v>
      </c>
      <c r="AE2642" s="1" t="s">
        <v>104</v>
      </c>
      <c r="AF2642" s="1" t="s">
        <v>104</v>
      </c>
      <c r="AG2642" s="1" t="s">
        <v>104</v>
      </c>
      <c r="AH2642" s="1">
        <v>2</v>
      </c>
      <c r="AI2642" s="1" t="s">
        <v>104</v>
      </c>
      <c r="AJ2642" s="1" t="s">
        <v>104</v>
      </c>
      <c r="AK2642" s="1" t="s">
        <v>104</v>
      </c>
      <c r="AL2642" s="1" t="s">
        <v>104</v>
      </c>
      <c r="AM2642" s="1" t="s">
        <v>104</v>
      </c>
      <c r="AO2642" s="1">
        <v>2</v>
      </c>
      <c r="AR2642" s="1">
        <v>0</v>
      </c>
      <c r="AS2642" s="1">
        <v>0</v>
      </c>
      <c r="AT2642" s="1">
        <v>0</v>
      </c>
      <c r="AU2642" s="1">
        <v>0</v>
      </c>
      <c r="AV2642" s="1">
        <v>0</v>
      </c>
      <c r="AW2642" s="1">
        <v>0</v>
      </c>
      <c r="AX2642" s="1">
        <v>0</v>
      </c>
      <c r="AY2642" s="1">
        <v>0</v>
      </c>
      <c r="AZ2642" s="1">
        <v>0</v>
      </c>
      <c r="BA2642" s="1">
        <v>0</v>
      </c>
      <c r="BB2642" s="1">
        <v>0</v>
      </c>
      <c r="BC2642" s="1">
        <v>0</v>
      </c>
      <c r="BD2642" s="1">
        <v>0</v>
      </c>
      <c r="BE2642" s="1">
        <v>0</v>
      </c>
      <c r="BF2642" s="1">
        <v>0</v>
      </c>
      <c r="BG2642" s="1">
        <v>0</v>
      </c>
      <c r="BH2642" s="1">
        <v>0</v>
      </c>
      <c r="BI2642" s="1">
        <v>0</v>
      </c>
      <c r="BJ2642" s="1">
        <v>0</v>
      </c>
      <c r="BK2642" s="1">
        <v>0</v>
      </c>
      <c r="BL2642" s="1">
        <v>0</v>
      </c>
      <c r="BM2642" s="1">
        <v>0</v>
      </c>
      <c r="BN2642" s="1">
        <v>0</v>
      </c>
      <c r="BO2642" s="1">
        <v>0</v>
      </c>
      <c r="BP2642" s="1">
        <v>1</v>
      </c>
      <c r="BQ2642" s="1" t="s">
        <v>104</v>
      </c>
      <c r="BR2642" s="1">
        <v>2778</v>
      </c>
      <c r="BS2642" s="1" t="s">
        <v>104</v>
      </c>
      <c r="BX2642" s="1">
        <v>0</v>
      </c>
      <c r="BY2642" s="1" t="s">
        <v>104</v>
      </c>
      <c r="BZ2642" s="1">
        <v>2</v>
      </c>
      <c r="CA2642" s="1" t="s">
        <v>104</v>
      </c>
      <c r="CB2642" s="1" t="s">
        <v>104</v>
      </c>
      <c r="CC2642" s="1" t="s">
        <v>104</v>
      </c>
      <c r="CD2642" s="1" t="s">
        <v>104</v>
      </c>
      <c r="CE2642" s="1" t="s">
        <v>104</v>
      </c>
      <c r="CF2642" s="1" t="s">
        <v>104</v>
      </c>
      <c r="CG2642" s="1" t="s">
        <v>104</v>
      </c>
      <c r="CH2642" s="1">
        <v>2</v>
      </c>
      <c r="CJ2642" s="1">
        <v>0</v>
      </c>
      <c r="CK2642" s="1">
        <v>0</v>
      </c>
      <c r="CL2642" s="1">
        <v>0</v>
      </c>
      <c r="CM2642" s="1" t="s">
        <v>104</v>
      </c>
    </row>
    <row r="2643" spans="1:91" ht="14.25" customHeight="1" x14ac:dyDescent="0.3">
      <c r="A2643" s="1" t="s">
        <v>13421</v>
      </c>
      <c r="B2643" s="1" t="s">
        <v>123</v>
      </c>
      <c r="C2643" s="1" t="s">
        <v>124</v>
      </c>
      <c r="D2643" s="1" t="s">
        <v>13422</v>
      </c>
      <c r="E2643" s="1" t="s">
        <v>13423</v>
      </c>
      <c r="F2643" s="1" t="s">
        <v>95</v>
      </c>
      <c r="G2643" s="1" t="s">
        <v>13424</v>
      </c>
      <c r="H2643" s="1">
        <v>0</v>
      </c>
      <c r="I2643" s="1" t="s">
        <v>914</v>
      </c>
      <c r="J2643" s="1" t="s">
        <v>549</v>
      </c>
      <c r="M2643" s="1" t="s">
        <v>119</v>
      </c>
      <c r="N2643" s="1">
        <v>0</v>
      </c>
      <c r="O2643" s="1">
        <v>0</v>
      </c>
      <c r="P2643" s="1" t="s">
        <v>375</v>
      </c>
      <c r="Q2643" s="1" t="s">
        <v>131</v>
      </c>
      <c r="R2643" s="1" t="s">
        <v>13425</v>
      </c>
      <c r="S2643" s="1" t="s">
        <v>13335</v>
      </c>
      <c r="T2643" s="1">
        <v>1</v>
      </c>
      <c r="U2643" s="1">
        <v>1</v>
      </c>
      <c r="V2643" s="1">
        <v>1</v>
      </c>
      <c r="W2643" s="1">
        <v>0</v>
      </c>
      <c r="X2643" s="1">
        <v>1</v>
      </c>
      <c r="Y2643" s="1" t="s">
        <v>104</v>
      </c>
      <c r="Z2643" s="1" t="s">
        <v>104</v>
      </c>
      <c r="AA2643" s="1" t="s">
        <v>104</v>
      </c>
      <c r="AB2643" s="1">
        <v>3</v>
      </c>
      <c r="AC2643" s="1" t="s">
        <v>104</v>
      </c>
      <c r="AD2643" s="1">
        <v>2</v>
      </c>
      <c r="AE2643" s="1" t="s">
        <v>104</v>
      </c>
      <c r="AF2643" s="1" t="s">
        <v>104</v>
      </c>
      <c r="AG2643" s="1" t="s">
        <v>104</v>
      </c>
      <c r="AH2643" s="1">
        <v>3</v>
      </c>
      <c r="AI2643" s="1" t="s">
        <v>104</v>
      </c>
      <c r="AJ2643" s="1" t="s">
        <v>104</v>
      </c>
      <c r="AK2643" s="1" t="s">
        <v>104</v>
      </c>
      <c r="AL2643" s="1" t="s">
        <v>104</v>
      </c>
      <c r="AM2643" s="1" t="s">
        <v>104</v>
      </c>
      <c r="AO2643" s="1">
        <v>3</v>
      </c>
      <c r="AR2643" s="1">
        <v>0</v>
      </c>
      <c r="AS2643" s="1">
        <v>1</v>
      </c>
      <c r="AT2643" s="1">
        <v>0</v>
      </c>
      <c r="AU2643" s="1">
        <v>0</v>
      </c>
      <c r="AV2643" s="1">
        <v>0</v>
      </c>
      <c r="AW2643" s="1">
        <v>0</v>
      </c>
      <c r="AX2643" s="1">
        <v>0</v>
      </c>
      <c r="AY2643" s="1">
        <v>0</v>
      </c>
      <c r="AZ2643" s="1">
        <v>0</v>
      </c>
      <c r="BA2643" s="1">
        <v>0</v>
      </c>
      <c r="BB2643" s="1">
        <v>0</v>
      </c>
      <c r="BC2643" s="1">
        <v>0</v>
      </c>
      <c r="BD2643" s="1">
        <v>0</v>
      </c>
      <c r="BE2643" s="1">
        <v>0</v>
      </c>
      <c r="BF2643" s="1">
        <v>0</v>
      </c>
      <c r="BG2643" s="1">
        <v>0</v>
      </c>
      <c r="BH2643" s="1">
        <v>0</v>
      </c>
      <c r="BI2643" s="1">
        <v>0</v>
      </c>
      <c r="BJ2643" s="1">
        <v>0</v>
      </c>
      <c r="BK2643" s="1">
        <v>1</v>
      </c>
      <c r="BL2643" s="1">
        <v>0</v>
      </c>
      <c r="BM2643" s="1">
        <v>0</v>
      </c>
      <c r="BN2643" s="1">
        <v>0</v>
      </c>
      <c r="BO2643" s="1">
        <v>0</v>
      </c>
      <c r="BP2643" s="1">
        <v>0</v>
      </c>
      <c r="BQ2643" s="1" t="s">
        <v>104</v>
      </c>
      <c r="BR2643" s="1">
        <v>2779</v>
      </c>
      <c r="BS2643" s="1" t="s">
        <v>104</v>
      </c>
      <c r="BX2643" s="1">
        <v>0</v>
      </c>
      <c r="BY2643" s="1" t="s">
        <v>104</v>
      </c>
      <c r="BZ2643" s="1">
        <v>2</v>
      </c>
      <c r="CA2643" s="1" t="s">
        <v>104</v>
      </c>
      <c r="CB2643" s="1" t="s">
        <v>104</v>
      </c>
      <c r="CC2643" s="1" t="s">
        <v>104</v>
      </c>
      <c r="CD2643" s="1" t="s">
        <v>104</v>
      </c>
      <c r="CE2643" s="1" t="s">
        <v>104</v>
      </c>
      <c r="CF2643" s="1" t="s">
        <v>104</v>
      </c>
      <c r="CG2643" s="1" t="s">
        <v>104</v>
      </c>
      <c r="CH2643" s="1">
        <v>3</v>
      </c>
      <c r="CJ2643" s="1">
        <v>0</v>
      </c>
      <c r="CK2643" s="1">
        <v>0</v>
      </c>
      <c r="CL2643" s="1">
        <v>0</v>
      </c>
      <c r="CM2643" s="1" t="s">
        <v>104</v>
      </c>
    </row>
    <row r="2644" spans="1:91" ht="14.25" customHeight="1" x14ac:dyDescent="0.3">
      <c r="A2644" s="1" t="s">
        <v>13426</v>
      </c>
      <c r="B2644" s="1" t="s">
        <v>137</v>
      </c>
      <c r="E2644" s="1" t="s">
        <v>13427</v>
      </c>
      <c r="F2644" s="1" t="s">
        <v>95</v>
      </c>
      <c r="G2644" s="1" t="s">
        <v>127</v>
      </c>
      <c r="H2644" s="1">
        <v>0</v>
      </c>
      <c r="I2644" s="1" t="s">
        <v>128</v>
      </c>
      <c r="L2644" s="1" t="s">
        <v>13428</v>
      </c>
      <c r="M2644" s="1" t="s">
        <v>4641</v>
      </c>
      <c r="N2644" s="1">
        <v>1</v>
      </c>
      <c r="O2644" s="1">
        <v>0</v>
      </c>
      <c r="P2644" s="1" t="s">
        <v>148</v>
      </c>
      <c r="Q2644" s="1" t="s">
        <v>149</v>
      </c>
      <c r="R2644" s="1" t="s">
        <v>13429</v>
      </c>
      <c r="S2644" s="1" t="s">
        <v>13335</v>
      </c>
      <c r="T2644" s="1">
        <v>1</v>
      </c>
      <c r="U2644" s="1">
        <v>1</v>
      </c>
      <c r="V2644" s="1">
        <v>0</v>
      </c>
      <c r="W2644" s="1">
        <v>0</v>
      </c>
      <c r="X2644" s="1">
        <v>1</v>
      </c>
      <c r="Y2644" s="1" t="s">
        <v>104</v>
      </c>
      <c r="Z2644" s="1" t="s">
        <v>104</v>
      </c>
      <c r="AA2644" s="1" t="s">
        <v>104</v>
      </c>
      <c r="AB2644" s="1">
        <v>1</v>
      </c>
      <c r="AC2644" s="1">
        <v>1</v>
      </c>
      <c r="AD2644" s="1" t="s">
        <v>104</v>
      </c>
      <c r="AE2644" s="1">
        <v>1</v>
      </c>
      <c r="AF2644" s="1" t="s">
        <v>104</v>
      </c>
      <c r="AG2644" s="1" t="s">
        <v>104</v>
      </c>
      <c r="AH2644" s="1" t="s">
        <v>104</v>
      </c>
      <c r="AI2644" s="1" t="s">
        <v>104</v>
      </c>
      <c r="AJ2644" s="1" t="s">
        <v>104</v>
      </c>
      <c r="AK2644" s="1">
        <v>1</v>
      </c>
      <c r="AL2644" s="1" t="s">
        <v>104</v>
      </c>
      <c r="AM2644" s="1" t="s">
        <v>104</v>
      </c>
      <c r="AO2644" s="1">
        <v>1</v>
      </c>
      <c r="AR2644" s="1">
        <v>0</v>
      </c>
      <c r="AS2644" s="1">
        <v>0</v>
      </c>
      <c r="AT2644" s="1">
        <v>0</v>
      </c>
      <c r="AU2644" s="1">
        <v>0</v>
      </c>
      <c r="AV2644" s="1">
        <v>0</v>
      </c>
      <c r="AW2644" s="1">
        <v>0</v>
      </c>
      <c r="AX2644" s="1">
        <v>0</v>
      </c>
      <c r="AY2644" s="1">
        <v>0</v>
      </c>
      <c r="AZ2644" s="1">
        <v>0</v>
      </c>
      <c r="BA2644" s="1">
        <v>0</v>
      </c>
      <c r="BB2644" s="1">
        <v>0</v>
      </c>
      <c r="BC2644" s="1">
        <v>0</v>
      </c>
      <c r="BD2644" s="1">
        <v>0</v>
      </c>
      <c r="BE2644" s="1">
        <v>0</v>
      </c>
      <c r="BF2644" s="1">
        <v>0</v>
      </c>
      <c r="BG2644" s="1">
        <v>0</v>
      </c>
      <c r="BH2644" s="1">
        <v>0</v>
      </c>
      <c r="BI2644" s="1">
        <v>0</v>
      </c>
      <c r="BJ2644" s="1">
        <v>0</v>
      </c>
      <c r="BK2644" s="1">
        <v>0</v>
      </c>
      <c r="BL2644" s="1">
        <v>0</v>
      </c>
      <c r="BM2644" s="1">
        <v>0</v>
      </c>
      <c r="BN2644" s="1">
        <v>0</v>
      </c>
      <c r="BO2644" s="1">
        <v>0</v>
      </c>
      <c r="BP2644" s="1">
        <v>0</v>
      </c>
      <c r="BQ2644" s="1" t="s">
        <v>104</v>
      </c>
      <c r="BR2644" s="1">
        <v>2780</v>
      </c>
      <c r="BS2644" s="1" t="s">
        <v>104</v>
      </c>
      <c r="BX2644" s="1">
        <v>0</v>
      </c>
      <c r="BY2644" s="1" t="s">
        <v>104</v>
      </c>
      <c r="BZ2644" s="1" t="s">
        <v>104</v>
      </c>
      <c r="CA2644" s="1" t="s">
        <v>104</v>
      </c>
      <c r="CB2644" s="1" t="s">
        <v>104</v>
      </c>
      <c r="CC2644" s="1" t="s">
        <v>104</v>
      </c>
      <c r="CD2644" s="1" t="s">
        <v>104</v>
      </c>
      <c r="CE2644" s="1" t="s">
        <v>104</v>
      </c>
      <c r="CF2644" s="1" t="s">
        <v>104</v>
      </c>
      <c r="CG2644" s="1" t="s">
        <v>104</v>
      </c>
      <c r="CH2644" s="1">
        <v>1</v>
      </c>
      <c r="CJ2644" s="1">
        <v>0</v>
      </c>
      <c r="CK2644" s="1">
        <v>0</v>
      </c>
      <c r="CL2644" s="1">
        <v>0</v>
      </c>
      <c r="CM2644" s="1" t="s">
        <v>104</v>
      </c>
    </row>
    <row r="2645" spans="1:91" ht="14.25" customHeight="1" x14ac:dyDescent="0.3">
      <c r="A2645" s="1" t="s">
        <v>13430</v>
      </c>
      <c r="B2645" s="1" t="s">
        <v>92</v>
      </c>
      <c r="C2645" s="1" t="s">
        <v>93</v>
      </c>
      <c r="E2645" s="1" t="s">
        <v>13431</v>
      </c>
      <c r="F2645" s="1" t="s">
        <v>861</v>
      </c>
      <c r="G2645" s="1" t="s">
        <v>13432</v>
      </c>
      <c r="H2645" s="1">
        <v>0</v>
      </c>
      <c r="I2645" s="1" t="s">
        <v>128</v>
      </c>
      <c r="K2645" s="1" t="s">
        <v>13433</v>
      </c>
      <c r="M2645" s="1" t="s">
        <v>620</v>
      </c>
      <c r="N2645" s="1">
        <v>1</v>
      </c>
      <c r="O2645" s="1">
        <v>0</v>
      </c>
      <c r="P2645" s="1" t="s">
        <v>100</v>
      </c>
      <c r="Q2645" s="1" t="s">
        <v>101</v>
      </c>
      <c r="R2645" s="1" t="s">
        <v>13434</v>
      </c>
      <c r="S2645" s="1" t="s">
        <v>13335</v>
      </c>
      <c r="T2645" s="1">
        <v>1</v>
      </c>
      <c r="U2645" s="1">
        <v>1</v>
      </c>
      <c r="V2645" s="1">
        <v>1</v>
      </c>
      <c r="W2645" s="1">
        <v>0</v>
      </c>
      <c r="X2645" s="1">
        <v>1</v>
      </c>
      <c r="Y2645" s="1" t="s">
        <v>104</v>
      </c>
      <c r="Z2645" s="1" t="s">
        <v>104</v>
      </c>
      <c r="AA2645" s="1" t="s">
        <v>104</v>
      </c>
      <c r="AB2645" s="1" t="s">
        <v>104</v>
      </c>
      <c r="AC2645" s="1" t="s">
        <v>104</v>
      </c>
      <c r="AD2645" s="1" t="s">
        <v>104</v>
      </c>
      <c r="AE2645" s="1" t="s">
        <v>104</v>
      </c>
      <c r="AF2645" s="1" t="s">
        <v>104</v>
      </c>
      <c r="AG2645" s="1">
        <v>2</v>
      </c>
      <c r="AH2645" s="1">
        <v>2</v>
      </c>
      <c r="AI2645" s="1" t="s">
        <v>104</v>
      </c>
      <c r="AJ2645" s="1" t="s">
        <v>104</v>
      </c>
      <c r="AK2645" s="1" t="s">
        <v>104</v>
      </c>
      <c r="AL2645" s="1" t="s">
        <v>104</v>
      </c>
      <c r="AM2645" s="1" t="s">
        <v>104</v>
      </c>
      <c r="AO2645" s="1">
        <v>2</v>
      </c>
      <c r="AR2645" s="1">
        <v>0</v>
      </c>
      <c r="AS2645" s="1">
        <v>0</v>
      </c>
      <c r="AT2645" s="1">
        <v>0</v>
      </c>
      <c r="AU2645" s="1">
        <v>0</v>
      </c>
      <c r="AV2645" s="1">
        <v>0</v>
      </c>
      <c r="AW2645" s="1">
        <v>0</v>
      </c>
      <c r="AX2645" s="1">
        <v>0</v>
      </c>
      <c r="AY2645" s="1">
        <v>0</v>
      </c>
      <c r="AZ2645" s="1">
        <v>0</v>
      </c>
      <c r="BA2645" s="1">
        <v>0</v>
      </c>
      <c r="BB2645" s="1">
        <v>0</v>
      </c>
      <c r="BC2645" s="1">
        <v>0</v>
      </c>
      <c r="BD2645" s="1">
        <v>0</v>
      </c>
      <c r="BE2645" s="1">
        <v>0</v>
      </c>
      <c r="BF2645" s="1">
        <v>0</v>
      </c>
      <c r="BG2645" s="1">
        <v>0</v>
      </c>
      <c r="BH2645" s="1">
        <v>0</v>
      </c>
      <c r="BI2645" s="1">
        <v>0</v>
      </c>
      <c r="BJ2645" s="1">
        <v>0</v>
      </c>
      <c r="BK2645" s="1">
        <v>0</v>
      </c>
      <c r="BL2645" s="1">
        <v>0</v>
      </c>
      <c r="BM2645" s="1">
        <v>0</v>
      </c>
      <c r="BN2645" s="1">
        <v>0</v>
      </c>
      <c r="BO2645" s="1">
        <v>0</v>
      </c>
      <c r="BP2645" s="1">
        <v>0</v>
      </c>
      <c r="BQ2645" s="1" t="s">
        <v>104</v>
      </c>
      <c r="BR2645" s="1">
        <v>2781</v>
      </c>
      <c r="BS2645" s="1" t="s">
        <v>104</v>
      </c>
      <c r="BX2645" s="1">
        <v>0</v>
      </c>
      <c r="BY2645" s="1" t="s">
        <v>104</v>
      </c>
      <c r="BZ2645" s="1">
        <v>2</v>
      </c>
      <c r="CA2645" s="1" t="s">
        <v>104</v>
      </c>
      <c r="CB2645" s="1" t="s">
        <v>104</v>
      </c>
      <c r="CC2645" s="1" t="s">
        <v>104</v>
      </c>
      <c r="CD2645" s="1">
        <v>2</v>
      </c>
      <c r="CE2645" s="1" t="s">
        <v>104</v>
      </c>
      <c r="CF2645" s="1" t="s">
        <v>104</v>
      </c>
      <c r="CG2645" s="1" t="s">
        <v>104</v>
      </c>
      <c r="CH2645" s="1" t="s">
        <v>104</v>
      </c>
      <c r="CJ2645" s="1">
        <v>0</v>
      </c>
      <c r="CK2645" s="1">
        <v>0</v>
      </c>
      <c r="CL2645" s="1">
        <v>0</v>
      </c>
      <c r="CM2645" s="1">
        <v>2</v>
      </c>
    </row>
    <row r="2646" spans="1:91" ht="14.25" customHeight="1" x14ac:dyDescent="0.3">
      <c r="A2646" s="1" t="s">
        <v>13435</v>
      </c>
      <c r="B2646" s="1" t="s">
        <v>162</v>
      </c>
      <c r="E2646" s="1" t="s">
        <v>8065</v>
      </c>
      <c r="F2646" s="1" t="s">
        <v>95</v>
      </c>
      <c r="G2646" s="1" t="s">
        <v>13436</v>
      </c>
      <c r="H2646" s="1">
        <v>0</v>
      </c>
      <c r="I2646" s="1" t="s">
        <v>128</v>
      </c>
      <c r="L2646" s="1" t="s">
        <v>13437</v>
      </c>
      <c r="M2646" s="1" t="s">
        <v>13438</v>
      </c>
      <c r="N2646" s="1">
        <v>0</v>
      </c>
      <c r="O2646" s="1">
        <v>0</v>
      </c>
      <c r="P2646" s="1" t="s">
        <v>148</v>
      </c>
      <c r="Q2646" s="1" t="s">
        <v>13439</v>
      </c>
      <c r="R2646" s="1" t="s">
        <v>13440</v>
      </c>
      <c r="S2646" s="1" t="s">
        <v>13441</v>
      </c>
      <c r="T2646" s="1">
        <v>1</v>
      </c>
      <c r="U2646" s="1">
        <v>1</v>
      </c>
      <c r="V2646" s="1">
        <v>1</v>
      </c>
      <c r="W2646" s="1">
        <v>0</v>
      </c>
      <c r="X2646" s="1">
        <v>1</v>
      </c>
      <c r="Y2646" s="1">
        <v>2</v>
      </c>
      <c r="Z2646" s="1">
        <v>2</v>
      </c>
      <c r="AA2646" s="1">
        <v>2</v>
      </c>
      <c r="AB2646" s="1" t="s">
        <v>104</v>
      </c>
      <c r="AC2646" s="1" t="s">
        <v>104</v>
      </c>
      <c r="AD2646" s="1">
        <v>2</v>
      </c>
      <c r="AE2646" s="1" t="s">
        <v>104</v>
      </c>
      <c r="AF2646" s="1" t="s">
        <v>104</v>
      </c>
      <c r="AG2646" s="1" t="s">
        <v>104</v>
      </c>
      <c r="AH2646" s="1" t="s">
        <v>104</v>
      </c>
      <c r="AI2646" s="1" t="s">
        <v>104</v>
      </c>
      <c r="AJ2646" s="1">
        <v>2</v>
      </c>
      <c r="AK2646" s="1" t="s">
        <v>104</v>
      </c>
      <c r="AL2646" s="1" t="s">
        <v>104</v>
      </c>
      <c r="AM2646" s="1" t="s">
        <v>104</v>
      </c>
      <c r="AO2646" s="1">
        <v>2</v>
      </c>
      <c r="AR2646" s="1">
        <v>0</v>
      </c>
      <c r="AS2646" s="1">
        <v>0</v>
      </c>
      <c r="AT2646" s="1">
        <v>0</v>
      </c>
      <c r="AU2646" s="1">
        <v>0</v>
      </c>
      <c r="AV2646" s="1">
        <v>0</v>
      </c>
      <c r="AW2646" s="1">
        <v>0</v>
      </c>
      <c r="AX2646" s="1">
        <v>0</v>
      </c>
      <c r="AY2646" s="1">
        <v>0</v>
      </c>
      <c r="AZ2646" s="1">
        <v>0</v>
      </c>
      <c r="BA2646" s="1">
        <v>0</v>
      </c>
      <c r="BB2646" s="1">
        <v>0</v>
      </c>
      <c r="BC2646" s="1">
        <v>0</v>
      </c>
      <c r="BD2646" s="1">
        <v>0</v>
      </c>
      <c r="BE2646" s="1">
        <v>0</v>
      </c>
      <c r="BF2646" s="1">
        <v>0</v>
      </c>
      <c r="BG2646" s="1">
        <v>0</v>
      </c>
      <c r="BH2646" s="1">
        <v>0</v>
      </c>
      <c r="BI2646" s="1">
        <v>0</v>
      </c>
      <c r="BJ2646" s="1">
        <v>0</v>
      </c>
      <c r="BK2646" s="1">
        <v>0</v>
      </c>
      <c r="BL2646" s="1">
        <v>0</v>
      </c>
      <c r="BM2646" s="1">
        <v>0</v>
      </c>
      <c r="BN2646" s="1">
        <v>0</v>
      </c>
      <c r="BO2646" s="1">
        <v>0</v>
      </c>
      <c r="BP2646" s="1">
        <v>0</v>
      </c>
      <c r="BQ2646" s="1" t="s">
        <v>104</v>
      </c>
      <c r="BR2646" s="1">
        <v>2782</v>
      </c>
      <c r="BS2646" s="1" t="s">
        <v>104</v>
      </c>
      <c r="BX2646" s="1">
        <v>0</v>
      </c>
      <c r="BY2646" s="1" t="s">
        <v>104</v>
      </c>
      <c r="BZ2646" s="1" t="s">
        <v>104</v>
      </c>
      <c r="CA2646" s="1" t="s">
        <v>104</v>
      </c>
      <c r="CB2646" s="1" t="s">
        <v>104</v>
      </c>
      <c r="CC2646" s="1" t="s">
        <v>104</v>
      </c>
      <c r="CD2646" s="1" t="s">
        <v>104</v>
      </c>
      <c r="CE2646" s="1" t="s">
        <v>104</v>
      </c>
      <c r="CF2646" s="1" t="s">
        <v>104</v>
      </c>
      <c r="CG2646" s="1" t="s">
        <v>104</v>
      </c>
      <c r="CH2646" s="1" t="s">
        <v>104</v>
      </c>
      <c r="CJ2646" s="1">
        <v>0</v>
      </c>
      <c r="CK2646" s="1">
        <v>0</v>
      </c>
      <c r="CL2646" s="1">
        <v>0</v>
      </c>
      <c r="CM2646" s="1" t="s">
        <v>104</v>
      </c>
    </row>
    <row r="2647" spans="1:91" ht="14.25" customHeight="1" x14ac:dyDescent="0.3">
      <c r="A2647" s="1" t="s">
        <v>13442</v>
      </c>
      <c r="B2647" s="1" t="s">
        <v>172</v>
      </c>
      <c r="E2647" s="1" t="s">
        <v>8758</v>
      </c>
      <c r="F2647" s="1" t="s">
        <v>287</v>
      </c>
      <c r="G2647" s="1" t="s">
        <v>8726</v>
      </c>
      <c r="H2647" s="1">
        <v>0</v>
      </c>
      <c r="I2647" s="1" t="s">
        <v>13443</v>
      </c>
      <c r="L2647" s="1" t="s">
        <v>13444</v>
      </c>
      <c r="M2647" s="1" t="s">
        <v>4641</v>
      </c>
      <c r="N2647" s="1">
        <v>1</v>
      </c>
      <c r="O2647" s="1">
        <v>0</v>
      </c>
      <c r="P2647" s="1" t="s">
        <v>100</v>
      </c>
      <c r="Q2647" s="1" t="s">
        <v>101</v>
      </c>
      <c r="R2647" s="1" t="s">
        <v>13445</v>
      </c>
      <c r="S2647" s="1" t="s">
        <v>13441</v>
      </c>
      <c r="T2647" s="1">
        <v>1</v>
      </c>
      <c r="U2647" s="1">
        <v>1</v>
      </c>
      <c r="V2647" s="1">
        <v>0</v>
      </c>
      <c r="W2647" s="1">
        <v>0</v>
      </c>
      <c r="X2647" s="1">
        <v>0</v>
      </c>
      <c r="Y2647" s="1">
        <v>4</v>
      </c>
      <c r="Z2647" s="1">
        <v>4</v>
      </c>
      <c r="AA2647" s="1" t="s">
        <v>104</v>
      </c>
      <c r="AB2647" s="1" t="s">
        <v>104</v>
      </c>
      <c r="AC2647" s="1" t="s">
        <v>104</v>
      </c>
      <c r="AD2647" s="1">
        <v>4</v>
      </c>
      <c r="AE2647" s="1" t="s">
        <v>104</v>
      </c>
      <c r="AF2647" s="1" t="s">
        <v>104</v>
      </c>
      <c r="AG2647" s="1" t="s">
        <v>104</v>
      </c>
      <c r="AH2647" s="1" t="s">
        <v>104</v>
      </c>
      <c r="AI2647" s="1" t="s">
        <v>104</v>
      </c>
      <c r="AJ2647" s="1" t="s">
        <v>104</v>
      </c>
      <c r="AK2647" s="1" t="s">
        <v>104</v>
      </c>
      <c r="AL2647" s="1" t="s">
        <v>104</v>
      </c>
      <c r="AM2647" s="1" t="s">
        <v>104</v>
      </c>
      <c r="AO2647" s="1">
        <v>4</v>
      </c>
      <c r="AR2647" s="1">
        <v>0</v>
      </c>
      <c r="AS2647" s="1">
        <v>0</v>
      </c>
      <c r="AT2647" s="1">
        <v>0</v>
      </c>
      <c r="AU2647" s="1">
        <v>0</v>
      </c>
      <c r="AV2647" s="1">
        <v>0</v>
      </c>
      <c r="AW2647" s="1">
        <v>0</v>
      </c>
      <c r="AX2647" s="1">
        <v>0</v>
      </c>
      <c r="AY2647" s="1">
        <v>0</v>
      </c>
      <c r="AZ2647" s="1">
        <v>0</v>
      </c>
      <c r="BA2647" s="1">
        <v>0</v>
      </c>
      <c r="BB2647" s="1">
        <v>0</v>
      </c>
      <c r="BC2647" s="1">
        <v>0</v>
      </c>
      <c r="BD2647" s="1">
        <v>0</v>
      </c>
      <c r="BE2647" s="1">
        <v>0</v>
      </c>
      <c r="BF2647" s="1">
        <v>0</v>
      </c>
      <c r="BG2647" s="1">
        <v>0</v>
      </c>
      <c r="BH2647" s="1">
        <v>0</v>
      </c>
      <c r="BI2647" s="1">
        <v>0</v>
      </c>
      <c r="BJ2647" s="1">
        <v>0</v>
      </c>
      <c r="BK2647" s="1">
        <v>0</v>
      </c>
      <c r="BL2647" s="1">
        <v>0</v>
      </c>
      <c r="BM2647" s="1">
        <v>0</v>
      </c>
      <c r="BN2647" s="1">
        <v>0</v>
      </c>
      <c r="BO2647" s="1">
        <v>0</v>
      </c>
      <c r="BP2647" s="1">
        <v>0</v>
      </c>
      <c r="BQ2647" s="1" t="s">
        <v>104</v>
      </c>
      <c r="BR2647" s="1">
        <v>2783</v>
      </c>
      <c r="BS2647" s="1" t="s">
        <v>104</v>
      </c>
      <c r="BX2647" s="1">
        <v>0</v>
      </c>
      <c r="BY2647" s="1" t="s">
        <v>104</v>
      </c>
      <c r="BZ2647" s="1" t="s">
        <v>104</v>
      </c>
      <c r="CA2647" s="1" t="s">
        <v>104</v>
      </c>
      <c r="CB2647" s="1" t="s">
        <v>104</v>
      </c>
      <c r="CC2647" s="1" t="s">
        <v>104</v>
      </c>
      <c r="CD2647" s="1" t="s">
        <v>104</v>
      </c>
      <c r="CE2647" s="1" t="s">
        <v>104</v>
      </c>
      <c r="CF2647" s="1" t="s">
        <v>104</v>
      </c>
      <c r="CG2647" s="1" t="s">
        <v>104</v>
      </c>
      <c r="CH2647" s="1" t="s">
        <v>104</v>
      </c>
      <c r="CJ2647" s="1">
        <v>0</v>
      </c>
      <c r="CK2647" s="1">
        <v>0</v>
      </c>
      <c r="CL2647" s="1">
        <v>0</v>
      </c>
      <c r="CM2647" s="1" t="s">
        <v>104</v>
      </c>
    </row>
    <row r="2648" spans="1:91" ht="14.25" customHeight="1" x14ac:dyDescent="0.3">
      <c r="A2648" s="1" t="s">
        <v>13446</v>
      </c>
      <c r="B2648" s="1" t="s">
        <v>172</v>
      </c>
      <c r="E2648" s="1" t="s">
        <v>13447</v>
      </c>
      <c r="F2648" s="1" t="s">
        <v>255</v>
      </c>
      <c r="G2648" s="1" t="s">
        <v>116</v>
      </c>
      <c r="H2648" s="1">
        <v>0</v>
      </c>
      <c r="I2648" s="1" t="s">
        <v>157</v>
      </c>
      <c r="L2648" s="1" t="s">
        <v>158</v>
      </c>
      <c r="M2648" s="1" t="s">
        <v>6947</v>
      </c>
      <c r="N2648" s="1">
        <v>0</v>
      </c>
      <c r="O2648" s="1">
        <v>0</v>
      </c>
      <c r="R2648" s="1" t="s">
        <v>13448</v>
      </c>
      <c r="S2648" s="1" t="s">
        <v>13441</v>
      </c>
      <c r="T2648" s="1">
        <v>1</v>
      </c>
      <c r="U2648" s="1">
        <v>1</v>
      </c>
      <c r="V2648" s="1">
        <v>0</v>
      </c>
      <c r="W2648" s="1">
        <v>0</v>
      </c>
      <c r="X2648" s="1">
        <v>0</v>
      </c>
      <c r="Y2648" s="1">
        <v>3</v>
      </c>
      <c r="Z2648" s="1">
        <v>3</v>
      </c>
      <c r="AA2648" s="1">
        <v>3</v>
      </c>
      <c r="AB2648" s="1" t="s">
        <v>104</v>
      </c>
      <c r="AC2648" s="1" t="s">
        <v>104</v>
      </c>
      <c r="AD2648" s="1">
        <v>2</v>
      </c>
      <c r="AE2648" s="1" t="s">
        <v>104</v>
      </c>
      <c r="AF2648" s="1" t="s">
        <v>104</v>
      </c>
      <c r="AG2648" s="1" t="s">
        <v>104</v>
      </c>
      <c r="AH2648" s="1" t="s">
        <v>104</v>
      </c>
      <c r="AI2648" s="1" t="s">
        <v>104</v>
      </c>
      <c r="AJ2648" s="1">
        <v>3</v>
      </c>
      <c r="AK2648" s="1" t="s">
        <v>104</v>
      </c>
      <c r="AL2648" s="1" t="s">
        <v>104</v>
      </c>
      <c r="AM2648" s="1" t="s">
        <v>104</v>
      </c>
      <c r="AO2648" s="1">
        <v>3</v>
      </c>
      <c r="AR2648" s="1">
        <v>0</v>
      </c>
      <c r="AS2648" s="1">
        <v>0</v>
      </c>
      <c r="AT2648" s="1">
        <v>0</v>
      </c>
      <c r="AU2648" s="1">
        <v>0</v>
      </c>
      <c r="AV2648" s="1">
        <v>0</v>
      </c>
      <c r="AW2648" s="1">
        <v>0</v>
      </c>
      <c r="AX2648" s="1">
        <v>0</v>
      </c>
      <c r="AY2648" s="1">
        <v>0</v>
      </c>
      <c r="AZ2648" s="1">
        <v>0</v>
      </c>
      <c r="BA2648" s="1">
        <v>0</v>
      </c>
      <c r="BB2648" s="1">
        <v>0</v>
      </c>
      <c r="BC2648" s="1">
        <v>0</v>
      </c>
      <c r="BD2648" s="1">
        <v>0</v>
      </c>
      <c r="BE2648" s="1">
        <v>0</v>
      </c>
      <c r="BF2648" s="1">
        <v>0</v>
      </c>
      <c r="BG2648" s="1">
        <v>0</v>
      </c>
      <c r="BH2648" s="1">
        <v>0</v>
      </c>
      <c r="BI2648" s="1">
        <v>0</v>
      </c>
      <c r="BJ2648" s="1">
        <v>0</v>
      </c>
      <c r="BK2648" s="1">
        <v>0</v>
      </c>
      <c r="BL2648" s="1">
        <v>0</v>
      </c>
      <c r="BM2648" s="1">
        <v>0</v>
      </c>
      <c r="BN2648" s="1">
        <v>0</v>
      </c>
      <c r="BO2648" s="1">
        <v>0</v>
      </c>
      <c r="BP2648" s="1">
        <v>0</v>
      </c>
      <c r="BQ2648" s="1" t="s">
        <v>104</v>
      </c>
      <c r="BR2648" s="1">
        <v>2784</v>
      </c>
      <c r="BS2648" s="1" t="s">
        <v>104</v>
      </c>
      <c r="BX2648" s="1">
        <v>0</v>
      </c>
      <c r="BY2648" s="1" t="s">
        <v>104</v>
      </c>
      <c r="BZ2648" s="1" t="s">
        <v>104</v>
      </c>
      <c r="CA2648" s="1" t="s">
        <v>104</v>
      </c>
      <c r="CB2648" s="1" t="s">
        <v>104</v>
      </c>
      <c r="CC2648" s="1" t="s">
        <v>104</v>
      </c>
      <c r="CD2648" s="1" t="s">
        <v>104</v>
      </c>
      <c r="CE2648" s="1" t="s">
        <v>104</v>
      </c>
      <c r="CF2648" s="1" t="s">
        <v>104</v>
      </c>
      <c r="CG2648" s="1" t="s">
        <v>104</v>
      </c>
      <c r="CH2648" s="1" t="s">
        <v>104</v>
      </c>
      <c r="CJ2648" s="1">
        <v>0</v>
      </c>
      <c r="CK2648" s="1">
        <v>0</v>
      </c>
      <c r="CL2648" s="1">
        <v>0</v>
      </c>
      <c r="CM2648" s="1" t="s">
        <v>104</v>
      </c>
    </row>
    <row r="2649" spans="1:91" ht="14.25" customHeight="1" x14ac:dyDescent="0.3">
      <c r="A2649" s="1" t="s">
        <v>13449</v>
      </c>
      <c r="B2649" s="1" t="s">
        <v>137</v>
      </c>
      <c r="E2649" s="1" t="s">
        <v>13450</v>
      </c>
      <c r="F2649" s="1" t="s">
        <v>95</v>
      </c>
      <c r="G2649" s="1" t="s">
        <v>13451</v>
      </c>
      <c r="H2649" s="1">
        <v>0</v>
      </c>
      <c r="I2649" s="1" t="s">
        <v>4220</v>
      </c>
      <c r="L2649" s="1" t="s">
        <v>13452</v>
      </c>
      <c r="M2649" s="1" t="s">
        <v>5420</v>
      </c>
      <c r="N2649" s="1">
        <v>0</v>
      </c>
      <c r="O2649" s="1">
        <v>0</v>
      </c>
      <c r="P2649" s="1" t="s">
        <v>10221</v>
      </c>
      <c r="Q2649" s="1" t="s">
        <v>472</v>
      </c>
      <c r="R2649" s="1" t="s">
        <v>13453</v>
      </c>
      <c r="S2649" s="1" t="s">
        <v>13441</v>
      </c>
      <c r="T2649" s="1">
        <v>1</v>
      </c>
      <c r="U2649" s="1">
        <v>1</v>
      </c>
      <c r="V2649" s="1">
        <v>1</v>
      </c>
      <c r="W2649" s="1">
        <v>0</v>
      </c>
      <c r="X2649" s="1">
        <v>0</v>
      </c>
      <c r="Y2649" s="1">
        <v>0</v>
      </c>
      <c r="Z2649" s="1">
        <v>0</v>
      </c>
      <c r="AA2649" s="1">
        <v>0</v>
      </c>
      <c r="AB2649" s="1" t="s">
        <v>104</v>
      </c>
      <c r="AC2649" s="1" t="s">
        <v>104</v>
      </c>
      <c r="AD2649" s="1">
        <v>0</v>
      </c>
      <c r="AE2649" s="1" t="s">
        <v>104</v>
      </c>
      <c r="AF2649" s="1" t="s">
        <v>104</v>
      </c>
      <c r="AG2649" s="1" t="s">
        <v>104</v>
      </c>
      <c r="AH2649" s="1" t="s">
        <v>104</v>
      </c>
      <c r="AI2649" s="1" t="s">
        <v>104</v>
      </c>
      <c r="AJ2649" s="1">
        <v>0</v>
      </c>
      <c r="AK2649" s="1" t="s">
        <v>104</v>
      </c>
      <c r="AL2649" s="1" t="s">
        <v>104</v>
      </c>
      <c r="AM2649" s="1" t="s">
        <v>104</v>
      </c>
      <c r="AO2649" s="1">
        <v>0</v>
      </c>
      <c r="AR2649" s="1">
        <v>0</v>
      </c>
      <c r="AS2649" s="1">
        <v>0</v>
      </c>
      <c r="AT2649" s="1">
        <v>0</v>
      </c>
      <c r="AU2649" s="1">
        <v>0</v>
      </c>
      <c r="AV2649" s="1">
        <v>0</v>
      </c>
      <c r="AW2649" s="1">
        <v>0</v>
      </c>
      <c r="AX2649" s="1">
        <v>0</v>
      </c>
      <c r="AY2649" s="1">
        <v>0</v>
      </c>
      <c r="AZ2649" s="1">
        <v>0</v>
      </c>
      <c r="BA2649" s="1">
        <v>0</v>
      </c>
      <c r="BB2649" s="1">
        <v>0</v>
      </c>
      <c r="BC2649" s="1">
        <v>0</v>
      </c>
      <c r="BD2649" s="1">
        <v>0</v>
      </c>
      <c r="BE2649" s="1">
        <v>0</v>
      </c>
      <c r="BF2649" s="1">
        <v>0</v>
      </c>
      <c r="BG2649" s="1">
        <v>0</v>
      </c>
      <c r="BH2649" s="1">
        <v>0</v>
      </c>
      <c r="BI2649" s="1">
        <v>0</v>
      </c>
      <c r="BJ2649" s="1">
        <v>0</v>
      </c>
      <c r="BK2649" s="1">
        <v>0</v>
      </c>
      <c r="BL2649" s="1">
        <v>0</v>
      </c>
      <c r="BM2649" s="1">
        <v>0</v>
      </c>
      <c r="BN2649" s="1">
        <v>0</v>
      </c>
      <c r="BO2649" s="1">
        <v>0</v>
      </c>
      <c r="BP2649" s="1">
        <v>0</v>
      </c>
      <c r="BQ2649" s="1" t="s">
        <v>104</v>
      </c>
      <c r="BR2649" s="1">
        <v>2785</v>
      </c>
      <c r="BS2649" s="1" t="s">
        <v>104</v>
      </c>
      <c r="BX2649" s="1">
        <v>0</v>
      </c>
      <c r="BY2649" s="1" t="s">
        <v>104</v>
      </c>
      <c r="BZ2649" s="1" t="s">
        <v>104</v>
      </c>
      <c r="CA2649" s="1" t="s">
        <v>104</v>
      </c>
      <c r="CB2649" s="1" t="s">
        <v>104</v>
      </c>
      <c r="CC2649" s="1" t="s">
        <v>104</v>
      </c>
      <c r="CD2649" s="1" t="s">
        <v>104</v>
      </c>
      <c r="CE2649" s="1" t="s">
        <v>104</v>
      </c>
      <c r="CF2649" s="1" t="s">
        <v>104</v>
      </c>
      <c r="CG2649" s="1" t="s">
        <v>104</v>
      </c>
      <c r="CH2649" s="1" t="s">
        <v>104</v>
      </c>
      <c r="CJ2649" s="1">
        <v>0</v>
      </c>
      <c r="CK2649" s="1">
        <v>0</v>
      </c>
      <c r="CL2649" s="1">
        <v>0</v>
      </c>
      <c r="CM2649" s="1" t="s">
        <v>104</v>
      </c>
    </row>
    <row r="2650" spans="1:91" ht="14.25" customHeight="1" x14ac:dyDescent="0.3">
      <c r="A2650" s="1" t="s">
        <v>13454</v>
      </c>
      <c r="B2650" s="1" t="s">
        <v>216</v>
      </c>
      <c r="D2650" s="1" t="s">
        <v>47</v>
      </c>
      <c r="E2650" s="1" t="s">
        <v>13287</v>
      </c>
      <c r="F2650" s="1" t="s">
        <v>191</v>
      </c>
      <c r="G2650" s="1" t="s">
        <v>13455</v>
      </c>
      <c r="H2650" s="1">
        <v>0</v>
      </c>
      <c r="I2650" s="1" t="s">
        <v>128</v>
      </c>
      <c r="L2650" s="1" t="s">
        <v>13456</v>
      </c>
      <c r="M2650" s="1" t="s">
        <v>13457</v>
      </c>
      <c r="N2650" s="1">
        <v>0</v>
      </c>
      <c r="O2650" s="1">
        <v>0</v>
      </c>
      <c r="P2650" s="1" t="s">
        <v>13458</v>
      </c>
      <c r="Q2650" s="1" t="s">
        <v>13459</v>
      </c>
      <c r="R2650" s="1" t="s">
        <v>13460</v>
      </c>
      <c r="S2650" s="1" t="s">
        <v>13335</v>
      </c>
      <c r="T2650" s="1">
        <v>1</v>
      </c>
      <c r="U2650" s="1">
        <v>1</v>
      </c>
      <c r="V2650" s="1">
        <v>1</v>
      </c>
      <c r="W2650" s="1">
        <v>0</v>
      </c>
      <c r="X2650" s="1">
        <v>0</v>
      </c>
      <c r="Y2650" s="1">
        <v>4</v>
      </c>
      <c r="Z2650" s="1">
        <v>4</v>
      </c>
      <c r="AA2650" s="1">
        <v>3</v>
      </c>
      <c r="AB2650" s="1" t="s">
        <v>104</v>
      </c>
      <c r="AC2650" s="1" t="s">
        <v>104</v>
      </c>
      <c r="AD2650" s="1" t="s">
        <v>104</v>
      </c>
      <c r="AE2650" s="1" t="s">
        <v>104</v>
      </c>
      <c r="AF2650" s="1" t="s">
        <v>104</v>
      </c>
      <c r="AG2650" s="1" t="s">
        <v>104</v>
      </c>
      <c r="AH2650" s="1">
        <v>3</v>
      </c>
      <c r="AI2650" s="1" t="s">
        <v>104</v>
      </c>
      <c r="AJ2650" s="1">
        <v>3</v>
      </c>
      <c r="AK2650" s="1">
        <v>3</v>
      </c>
      <c r="AL2650" s="1" t="s">
        <v>104</v>
      </c>
      <c r="AM2650" s="1" t="s">
        <v>104</v>
      </c>
      <c r="AO2650" s="1">
        <v>4</v>
      </c>
      <c r="AR2650" s="1">
        <v>0</v>
      </c>
      <c r="AS2650" s="1">
        <v>0</v>
      </c>
      <c r="AT2650" s="1">
        <v>0</v>
      </c>
      <c r="AU2650" s="1">
        <v>0</v>
      </c>
      <c r="AV2650" s="1">
        <v>1</v>
      </c>
      <c r="AW2650" s="1">
        <v>0</v>
      </c>
      <c r="AX2650" s="1">
        <v>0</v>
      </c>
      <c r="AY2650" s="1">
        <v>0</v>
      </c>
      <c r="AZ2650" s="1">
        <v>0</v>
      </c>
      <c r="BA2650" s="1">
        <v>0</v>
      </c>
      <c r="BB2650" s="1">
        <v>0</v>
      </c>
      <c r="BC2650" s="1">
        <v>0</v>
      </c>
      <c r="BD2650" s="1">
        <v>0</v>
      </c>
      <c r="BE2650" s="1">
        <v>0</v>
      </c>
      <c r="BF2650" s="1">
        <v>0</v>
      </c>
      <c r="BG2650" s="1">
        <v>0</v>
      </c>
      <c r="BH2650" s="1">
        <v>0</v>
      </c>
      <c r="BI2650" s="1">
        <v>0</v>
      </c>
      <c r="BJ2650" s="1">
        <v>0</v>
      </c>
      <c r="BK2650" s="1">
        <v>0</v>
      </c>
      <c r="BL2650" s="1">
        <v>0</v>
      </c>
      <c r="BM2650" s="1">
        <v>0</v>
      </c>
      <c r="BN2650" s="1">
        <v>0</v>
      </c>
      <c r="BO2650" s="1">
        <v>0</v>
      </c>
      <c r="BP2650" s="1">
        <v>0</v>
      </c>
      <c r="BQ2650" s="1" t="s">
        <v>104</v>
      </c>
      <c r="BR2650" s="1">
        <v>2786</v>
      </c>
      <c r="BS2650" s="1" t="s">
        <v>104</v>
      </c>
      <c r="BX2650" s="1">
        <v>0</v>
      </c>
      <c r="BY2650" s="1">
        <v>4</v>
      </c>
      <c r="BZ2650" s="1">
        <v>3</v>
      </c>
      <c r="CA2650" s="1" t="s">
        <v>104</v>
      </c>
      <c r="CB2650" s="1" t="s">
        <v>104</v>
      </c>
      <c r="CC2650" s="1" t="s">
        <v>104</v>
      </c>
      <c r="CD2650" s="1" t="s">
        <v>104</v>
      </c>
      <c r="CE2650" s="1">
        <v>3</v>
      </c>
      <c r="CF2650" s="1" t="s">
        <v>104</v>
      </c>
      <c r="CG2650" s="1" t="s">
        <v>104</v>
      </c>
      <c r="CH2650" s="1" t="s">
        <v>104</v>
      </c>
      <c r="CJ2650" s="1">
        <v>0</v>
      </c>
      <c r="CK2650" s="1">
        <v>0</v>
      </c>
      <c r="CL2650" s="1">
        <v>0</v>
      </c>
      <c r="CM2650" s="1" t="s">
        <v>104</v>
      </c>
    </row>
    <row r="2651" spans="1:91" ht="14.25" customHeight="1" x14ac:dyDescent="0.3">
      <c r="A2651" s="1" t="s">
        <v>13461</v>
      </c>
      <c r="B2651" s="1" t="s">
        <v>137</v>
      </c>
      <c r="E2651" s="1" t="s">
        <v>13462</v>
      </c>
      <c r="F2651" s="1" t="s">
        <v>255</v>
      </c>
      <c r="G2651" s="1" t="s">
        <v>13463</v>
      </c>
      <c r="H2651" s="1">
        <v>0</v>
      </c>
      <c r="I2651" s="1" t="s">
        <v>4350</v>
      </c>
      <c r="L2651" s="1" t="s">
        <v>13464</v>
      </c>
      <c r="M2651" s="1" t="s">
        <v>119</v>
      </c>
      <c r="N2651" s="1">
        <v>0</v>
      </c>
      <c r="O2651" s="1">
        <v>0</v>
      </c>
      <c r="P2651" s="1" t="s">
        <v>4401</v>
      </c>
      <c r="Q2651" s="1" t="s">
        <v>472</v>
      </c>
      <c r="R2651" s="1" t="s">
        <v>13465</v>
      </c>
      <c r="S2651" s="1" t="s">
        <v>13335</v>
      </c>
      <c r="T2651" s="1">
        <v>1</v>
      </c>
      <c r="U2651" s="1">
        <v>1</v>
      </c>
      <c r="V2651" s="1">
        <v>1</v>
      </c>
      <c r="W2651" s="1">
        <v>0</v>
      </c>
      <c r="X2651" s="1">
        <v>0</v>
      </c>
      <c r="Y2651" s="1" t="s">
        <v>104</v>
      </c>
      <c r="Z2651" s="1" t="s">
        <v>104</v>
      </c>
      <c r="AA2651" s="1">
        <v>2</v>
      </c>
      <c r="AB2651" s="1" t="s">
        <v>104</v>
      </c>
      <c r="AC2651" s="1" t="s">
        <v>104</v>
      </c>
      <c r="AD2651" s="1">
        <v>2</v>
      </c>
      <c r="AE2651" s="1" t="s">
        <v>104</v>
      </c>
      <c r="AF2651" s="1" t="s">
        <v>104</v>
      </c>
      <c r="AG2651" s="1" t="s">
        <v>104</v>
      </c>
      <c r="AH2651" s="1" t="s">
        <v>104</v>
      </c>
      <c r="AI2651" s="1">
        <v>2</v>
      </c>
      <c r="AJ2651" s="1">
        <v>2</v>
      </c>
      <c r="AK2651" s="1">
        <v>2</v>
      </c>
      <c r="AL2651" s="1" t="s">
        <v>104</v>
      </c>
      <c r="AM2651" s="1" t="s">
        <v>104</v>
      </c>
      <c r="AO2651" s="1">
        <v>2</v>
      </c>
      <c r="AR2651" s="1">
        <v>0</v>
      </c>
      <c r="AS2651" s="1">
        <v>0</v>
      </c>
      <c r="AT2651" s="1">
        <v>0</v>
      </c>
      <c r="AU2651" s="1">
        <v>0</v>
      </c>
      <c r="AV2651" s="1">
        <v>0</v>
      </c>
      <c r="AW2651" s="1">
        <v>0</v>
      </c>
      <c r="AX2651" s="1">
        <v>0</v>
      </c>
      <c r="AY2651" s="1">
        <v>0</v>
      </c>
      <c r="AZ2651" s="1">
        <v>0</v>
      </c>
      <c r="BA2651" s="1">
        <v>0</v>
      </c>
      <c r="BB2651" s="1">
        <v>0</v>
      </c>
      <c r="BC2651" s="1">
        <v>0</v>
      </c>
      <c r="BD2651" s="1">
        <v>0</v>
      </c>
      <c r="BE2651" s="1">
        <v>0</v>
      </c>
      <c r="BF2651" s="1">
        <v>0</v>
      </c>
      <c r="BG2651" s="1">
        <v>0</v>
      </c>
      <c r="BH2651" s="1">
        <v>0</v>
      </c>
      <c r="BI2651" s="1">
        <v>0</v>
      </c>
      <c r="BJ2651" s="1">
        <v>0</v>
      </c>
      <c r="BK2651" s="1">
        <v>0</v>
      </c>
      <c r="BL2651" s="1">
        <v>0</v>
      </c>
      <c r="BM2651" s="1">
        <v>0</v>
      </c>
      <c r="BN2651" s="1">
        <v>0</v>
      </c>
      <c r="BO2651" s="1">
        <v>0</v>
      </c>
      <c r="BP2651" s="1">
        <v>0</v>
      </c>
      <c r="BQ2651" s="1" t="s">
        <v>104</v>
      </c>
      <c r="BR2651" s="1">
        <v>2787</v>
      </c>
      <c r="BS2651" s="1" t="s">
        <v>104</v>
      </c>
      <c r="BX2651" s="1">
        <v>0</v>
      </c>
      <c r="BY2651" s="1" t="s">
        <v>104</v>
      </c>
      <c r="BZ2651" s="1" t="s">
        <v>104</v>
      </c>
      <c r="CA2651" s="1" t="s">
        <v>104</v>
      </c>
      <c r="CB2651" s="1" t="s">
        <v>104</v>
      </c>
      <c r="CC2651" s="1" t="s">
        <v>104</v>
      </c>
      <c r="CD2651" s="1">
        <v>2</v>
      </c>
      <c r="CE2651" s="1" t="s">
        <v>104</v>
      </c>
      <c r="CF2651" s="1" t="s">
        <v>104</v>
      </c>
      <c r="CG2651" s="1" t="s">
        <v>104</v>
      </c>
      <c r="CH2651" s="1" t="s">
        <v>104</v>
      </c>
      <c r="CJ2651" s="1">
        <v>0</v>
      </c>
      <c r="CK2651" s="1">
        <v>0</v>
      </c>
      <c r="CL2651" s="1">
        <v>0</v>
      </c>
      <c r="CM2651" s="1" t="s">
        <v>104</v>
      </c>
    </row>
    <row r="2652" spans="1:91" ht="14.25" customHeight="1" x14ac:dyDescent="0.3">
      <c r="A2652" s="1" t="s">
        <v>13466</v>
      </c>
      <c r="B2652" s="1" t="s">
        <v>92</v>
      </c>
      <c r="C2652" s="1" t="s">
        <v>93</v>
      </c>
      <c r="E2652" s="1" t="s">
        <v>5097</v>
      </c>
      <c r="F2652" s="1" t="s">
        <v>95</v>
      </c>
      <c r="G2652" s="1" t="s">
        <v>13467</v>
      </c>
      <c r="H2652" s="1">
        <v>0</v>
      </c>
      <c r="I2652" s="1" t="s">
        <v>4350</v>
      </c>
      <c r="K2652" s="1" t="s">
        <v>13468</v>
      </c>
      <c r="M2652" s="1" t="s">
        <v>13469</v>
      </c>
      <c r="N2652" s="1">
        <v>0</v>
      </c>
      <c r="O2652" s="1">
        <v>0</v>
      </c>
      <c r="P2652" s="1" t="s">
        <v>8614</v>
      </c>
      <c r="Q2652" s="1" t="s">
        <v>101</v>
      </c>
      <c r="R2652" s="1" t="s">
        <v>13470</v>
      </c>
      <c r="S2652" s="1" t="s">
        <v>13335</v>
      </c>
      <c r="T2652" s="1">
        <v>1</v>
      </c>
      <c r="U2652" s="1">
        <v>1</v>
      </c>
      <c r="V2652" s="1">
        <v>1</v>
      </c>
      <c r="W2652" s="1">
        <v>0</v>
      </c>
      <c r="X2652" s="1">
        <v>0</v>
      </c>
      <c r="Y2652" s="1">
        <v>5</v>
      </c>
      <c r="Z2652" s="1">
        <v>5</v>
      </c>
      <c r="AA2652" s="1" t="s">
        <v>104</v>
      </c>
      <c r="AB2652" s="1" t="s">
        <v>104</v>
      </c>
      <c r="AC2652" s="1" t="s">
        <v>104</v>
      </c>
      <c r="AD2652" s="1" t="s">
        <v>104</v>
      </c>
      <c r="AE2652" s="1" t="s">
        <v>104</v>
      </c>
      <c r="AF2652" s="1" t="s">
        <v>104</v>
      </c>
      <c r="AG2652" s="1">
        <v>5</v>
      </c>
      <c r="AH2652" s="1" t="s">
        <v>104</v>
      </c>
      <c r="AI2652" s="1" t="s">
        <v>104</v>
      </c>
      <c r="AJ2652" s="1" t="s">
        <v>104</v>
      </c>
      <c r="AK2652" s="1" t="s">
        <v>104</v>
      </c>
      <c r="AL2652" s="1" t="s">
        <v>104</v>
      </c>
      <c r="AM2652" s="1" t="s">
        <v>104</v>
      </c>
      <c r="AO2652" s="1">
        <v>5</v>
      </c>
      <c r="AR2652" s="1">
        <v>0</v>
      </c>
      <c r="AS2652" s="1">
        <v>0</v>
      </c>
      <c r="AT2652" s="1">
        <v>0</v>
      </c>
      <c r="AU2652" s="1">
        <v>0</v>
      </c>
      <c r="AV2652" s="1">
        <v>0</v>
      </c>
      <c r="AW2652" s="1">
        <v>0</v>
      </c>
      <c r="AX2652" s="1">
        <v>0</v>
      </c>
      <c r="AY2652" s="1">
        <v>0</v>
      </c>
      <c r="AZ2652" s="1">
        <v>0</v>
      </c>
      <c r="BA2652" s="1">
        <v>0</v>
      </c>
      <c r="BB2652" s="1">
        <v>0</v>
      </c>
      <c r="BC2652" s="1">
        <v>0</v>
      </c>
      <c r="BD2652" s="1">
        <v>0</v>
      </c>
      <c r="BE2652" s="1">
        <v>0</v>
      </c>
      <c r="BF2652" s="1">
        <v>0</v>
      </c>
      <c r="BG2652" s="1">
        <v>0</v>
      </c>
      <c r="BH2652" s="1">
        <v>0</v>
      </c>
      <c r="BI2652" s="1">
        <v>0</v>
      </c>
      <c r="BJ2652" s="1">
        <v>0</v>
      </c>
      <c r="BK2652" s="1">
        <v>0</v>
      </c>
      <c r="BL2652" s="1">
        <v>0</v>
      </c>
      <c r="BM2652" s="1">
        <v>0</v>
      </c>
      <c r="BN2652" s="1">
        <v>0</v>
      </c>
      <c r="BO2652" s="1">
        <v>0</v>
      </c>
      <c r="BP2652" s="1">
        <v>0</v>
      </c>
      <c r="BQ2652" s="1" t="s">
        <v>104</v>
      </c>
      <c r="BR2652" s="1">
        <v>2788</v>
      </c>
      <c r="BS2652" s="1" t="s">
        <v>104</v>
      </c>
      <c r="BX2652" s="1">
        <v>0</v>
      </c>
      <c r="BY2652" s="1" t="s">
        <v>104</v>
      </c>
      <c r="BZ2652" s="1" t="s">
        <v>104</v>
      </c>
      <c r="CA2652" s="1" t="s">
        <v>104</v>
      </c>
      <c r="CB2652" s="1" t="s">
        <v>104</v>
      </c>
      <c r="CC2652" s="1" t="s">
        <v>104</v>
      </c>
      <c r="CD2652" s="1" t="s">
        <v>104</v>
      </c>
      <c r="CE2652" s="1" t="s">
        <v>104</v>
      </c>
      <c r="CF2652" s="1" t="s">
        <v>104</v>
      </c>
      <c r="CG2652" s="1" t="s">
        <v>104</v>
      </c>
      <c r="CH2652" s="1" t="s">
        <v>104</v>
      </c>
      <c r="CJ2652" s="1">
        <v>0</v>
      </c>
      <c r="CK2652" s="1">
        <v>0</v>
      </c>
      <c r="CL2652" s="1">
        <v>0</v>
      </c>
      <c r="CM2652" s="1">
        <v>5</v>
      </c>
    </row>
    <row r="2653" spans="1:91" ht="14.25" customHeight="1" x14ac:dyDescent="0.3">
      <c r="A2653" s="1" t="s">
        <v>13471</v>
      </c>
      <c r="B2653" s="1" t="s">
        <v>137</v>
      </c>
      <c r="E2653" s="1" t="s">
        <v>13472</v>
      </c>
      <c r="F2653" s="1" t="s">
        <v>95</v>
      </c>
      <c r="G2653" s="1" t="s">
        <v>13473</v>
      </c>
      <c r="H2653" s="1">
        <v>0</v>
      </c>
      <c r="I2653" s="1" t="s">
        <v>117</v>
      </c>
      <c r="L2653" s="1" t="s">
        <v>13474</v>
      </c>
      <c r="M2653" s="1" t="s">
        <v>111</v>
      </c>
      <c r="N2653" s="1">
        <v>0</v>
      </c>
      <c r="O2653" s="1">
        <v>0</v>
      </c>
      <c r="P2653" s="1" t="s">
        <v>183</v>
      </c>
      <c r="Q2653" s="1" t="s">
        <v>184</v>
      </c>
      <c r="R2653" s="1" t="s">
        <v>13475</v>
      </c>
      <c r="S2653" s="1" t="s">
        <v>13335</v>
      </c>
      <c r="T2653" s="1">
        <v>1</v>
      </c>
      <c r="U2653" s="1">
        <v>1</v>
      </c>
      <c r="V2653" s="1">
        <v>1</v>
      </c>
      <c r="W2653" s="1">
        <v>0</v>
      </c>
      <c r="X2653" s="1">
        <v>0</v>
      </c>
      <c r="Y2653" s="1">
        <v>1</v>
      </c>
      <c r="Z2653" s="1">
        <v>1</v>
      </c>
      <c r="AA2653" s="1" t="s">
        <v>104</v>
      </c>
      <c r="AB2653" s="1" t="s">
        <v>104</v>
      </c>
      <c r="AC2653" s="1">
        <v>1</v>
      </c>
      <c r="AD2653" s="1">
        <v>1</v>
      </c>
      <c r="AE2653" s="1" t="s">
        <v>104</v>
      </c>
      <c r="AF2653" s="1" t="s">
        <v>104</v>
      </c>
      <c r="AG2653" s="1" t="s">
        <v>104</v>
      </c>
      <c r="AH2653" s="1" t="s">
        <v>104</v>
      </c>
      <c r="AI2653" s="1">
        <v>1</v>
      </c>
      <c r="AJ2653" s="1" t="s">
        <v>104</v>
      </c>
      <c r="AK2653" s="1" t="s">
        <v>104</v>
      </c>
      <c r="AL2653" s="1">
        <v>1</v>
      </c>
      <c r="AM2653" s="1" t="s">
        <v>104</v>
      </c>
      <c r="AO2653" s="1">
        <v>1</v>
      </c>
      <c r="AR2653" s="1">
        <v>0</v>
      </c>
      <c r="AS2653" s="1">
        <v>0</v>
      </c>
      <c r="AT2653" s="1">
        <v>0</v>
      </c>
      <c r="AU2653" s="1">
        <v>0</v>
      </c>
      <c r="AV2653" s="1">
        <v>0</v>
      </c>
      <c r="AW2653" s="1">
        <v>0</v>
      </c>
      <c r="AX2653" s="1">
        <v>0</v>
      </c>
      <c r="AY2653" s="1">
        <v>0</v>
      </c>
      <c r="AZ2653" s="1">
        <v>0</v>
      </c>
      <c r="BA2653" s="1">
        <v>0</v>
      </c>
      <c r="BB2653" s="1">
        <v>0</v>
      </c>
      <c r="BC2653" s="1">
        <v>0</v>
      </c>
      <c r="BD2653" s="1">
        <v>0</v>
      </c>
      <c r="BE2653" s="1">
        <v>0</v>
      </c>
      <c r="BF2653" s="1">
        <v>0</v>
      </c>
      <c r="BG2653" s="1">
        <v>0</v>
      </c>
      <c r="BH2653" s="1">
        <v>0</v>
      </c>
      <c r="BI2653" s="1">
        <v>0</v>
      </c>
      <c r="BJ2653" s="1">
        <v>0</v>
      </c>
      <c r="BK2653" s="1">
        <v>0</v>
      </c>
      <c r="BL2653" s="1">
        <v>0</v>
      </c>
      <c r="BM2653" s="1">
        <v>0</v>
      </c>
      <c r="BN2653" s="1">
        <v>0</v>
      </c>
      <c r="BO2653" s="1">
        <v>0</v>
      </c>
      <c r="BP2653" s="1">
        <v>0</v>
      </c>
      <c r="BQ2653" s="1" t="s">
        <v>104</v>
      </c>
      <c r="BR2653" s="1">
        <v>2789</v>
      </c>
      <c r="BS2653" s="1" t="s">
        <v>104</v>
      </c>
      <c r="BX2653" s="1">
        <v>0</v>
      </c>
      <c r="BY2653" s="1">
        <v>1</v>
      </c>
      <c r="BZ2653" s="1" t="s">
        <v>104</v>
      </c>
      <c r="CA2653" s="1" t="s">
        <v>104</v>
      </c>
      <c r="CB2653" s="1" t="s">
        <v>104</v>
      </c>
      <c r="CC2653" s="1">
        <v>1</v>
      </c>
      <c r="CD2653" s="1" t="s">
        <v>104</v>
      </c>
      <c r="CE2653" s="1" t="s">
        <v>104</v>
      </c>
      <c r="CF2653" s="1" t="s">
        <v>104</v>
      </c>
      <c r="CG2653" s="1" t="s">
        <v>104</v>
      </c>
      <c r="CH2653" s="1">
        <v>1</v>
      </c>
      <c r="CJ2653" s="1">
        <v>0</v>
      </c>
      <c r="CK2653" s="1">
        <v>0</v>
      </c>
      <c r="CL2653" s="1">
        <v>0</v>
      </c>
      <c r="CM2653" s="1" t="s">
        <v>104</v>
      </c>
    </row>
    <row r="2654" spans="1:91" ht="14.25" customHeight="1" x14ac:dyDescent="0.3">
      <c r="A2654" s="1" t="s">
        <v>13476</v>
      </c>
      <c r="B2654" s="1" t="s">
        <v>123</v>
      </c>
      <c r="C2654" s="1" t="s">
        <v>124</v>
      </c>
      <c r="D2654" s="1" t="s">
        <v>125</v>
      </c>
      <c r="E2654" s="1" t="s">
        <v>13477</v>
      </c>
      <c r="F2654" s="1" t="s">
        <v>95</v>
      </c>
      <c r="G2654" s="1" t="s">
        <v>13478</v>
      </c>
      <c r="H2654" s="1">
        <v>0</v>
      </c>
      <c r="I2654" s="1" t="s">
        <v>13479</v>
      </c>
      <c r="L2654" s="1" t="s">
        <v>5447</v>
      </c>
      <c r="M2654" s="1" t="s">
        <v>620</v>
      </c>
      <c r="N2654" s="1">
        <v>1</v>
      </c>
      <c r="O2654" s="1">
        <v>0</v>
      </c>
      <c r="P2654" s="1" t="s">
        <v>211</v>
      </c>
      <c r="Q2654" s="1" t="s">
        <v>184</v>
      </c>
      <c r="R2654" s="1" t="s">
        <v>13480</v>
      </c>
      <c r="S2654" s="1" t="s">
        <v>13335</v>
      </c>
      <c r="T2654" s="1">
        <v>1</v>
      </c>
      <c r="U2654" s="1">
        <v>1</v>
      </c>
      <c r="V2654" s="1">
        <v>1</v>
      </c>
      <c r="W2654" s="1">
        <v>0</v>
      </c>
      <c r="X2654" s="1">
        <v>0</v>
      </c>
      <c r="Y2654" s="1">
        <v>2</v>
      </c>
      <c r="Z2654" s="1">
        <v>2</v>
      </c>
      <c r="AA2654" s="1" t="s">
        <v>104</v>
      </c>
      <c r="AB2654" s="1" t="s">
        <v>104</v>
      </c>
      <c r="AC2654" s="1" t="s">
        <v>104</v>
      </c>
      <c r="AD2654" s="1">
        <v>2</v>
      </c>
      <c r="AE2654" s="1" t="s">
        <v>104</v>
      </c>
      <c r="AF2654" s="1" t="s">
        <v>104</v>
      </c>
      <c r="AG2654" s="1" t="s">
        <v>104</v>
      </c>
      <c r="AH2654" s="1" t="s">
        <v>104</v>
      </c>
      <c r="AI2654" s="1" t="s">
        <v>104</v>
      </c>
      <c r="AJ2654" s="1" t="s">
        <v>104</v>
      </c>
      <c r="AK2654" s="1" t="s">
        <v>104</v>
      </c>
      <c r="AL2654" s="1" t="s">
        <v>104</v>
      </c>
      <c r="AM2654" s="1" t="s">
        <v>104</v>
      </c>
      <c r="AO2654" s="1">
        <v>2</v>
      </c>
      <c r="AR2654" s="1">
        <v>0</v>
      </c>
      <c r="AS2654" s="1">
        <v>0</v>
      </c>
      <c r="AT2654" s="1">
        <v>0</v>
      </c>
      <c r="AU2654" s="1">
        <v>0</v>
      </c>
      <c r="AV2654" s="1">
        <v>0</v>
      </c>
      <c r="AW2654" s="1">
        <v>0</v>
      </c>
      <c r="AX2654" s="1">
        <v>0</v>
      </c>
      <c r="AY2654" s="1">
        <v>0</v>
      </c>
      <c r="AZ2654" s="1">
        <v>0</v>
      </c>
      <c r="BA2654" s="1">
        <v>0</v>
      </c>
      <c r="BB2654" s="1">
        <v>0</v>
      </c>
      <c r="BC2654" s="1">
        <v>0</v>
      </c>
      <c r="BD2654" s="1">
        <v>0</v>
      </c>
      <c r="BE2654" s="1">
        <v>0</v>
      </c>
      <c r="BF2654" s="1">
        <v>0</v>
      </c>
      <c r="BG2654" s="1">
        <v>0</v>
      </c>
      <c r="BH2654" s="1">
        <v>0</v>
      </c>
      <c r="BI2654" s="1">
        <v>0</v>
      </c>
      <c r="BJ2654" s="1">
        <v>0</v>
      </c>
      <c r="BK2654" s="1">
        <v>1</v>
      </c>
      <c r="BL2654" s="1">
        <v>0</v>
      </c>
      <c r="BM2654" s="1">
        <v>0</v>
      </c>
      <c r="BN2654" s="1">
        <v>0</v>
      </c>
      <c r="BO2654" s="1">
        <v>0</v>
      </c>
      <c r="BP2654" s="1">
        <v>0</v>
      </c>
      <c r="BQ2654" s="1" t="s">
        <v>104</v>
      </c>
      <c r="BR2654" s="1">
        <v>2790</v>
      </c>
      <c r="BS2654" s="1" t="s">
        <v>104</v>
      </c>
      <c r="BX2654" s="1">
        <v>0</v>
      </c>
      <c r="BY2654" s="1" t="s">
        <v>104</v>
      </c>
      <c r="BZ2654" s="1" t="s">
        <v>104</v>
      </c>
      <c r="CA2654" s="1">
        <v>2</v>
      </c>
      <c r="CB2654" s="1">
        <v>2</v>
      </c>
      <c r="CC2654" s="1">
        <v>2</v>
      </c>
      <c r="CD2654" s="1">
        <v>2</v>
      </c>
      <c r="CE2654" s="1" t="s">
        <v>104</v>
      </c>
      <c r="CF2654" s="1" t="s">
        <v>104</v>
      </c>
      <c r="CG2654" s="1" t="s">
        <v>104</v>
      </c>
      <c r="CH2654" s="1" t="s">
        <v>104</v>
      </c>
      <c r="CJ2654" s="1">
        <v>0</v>
      </c>
      <c r="CK2654" s="1">
        <v>0</v>
      </c>
      <c r="CL2654" s="1">
        <v>0</v>
      </c>
      <c r="CM2654" s="1" t="s">
        <v>104</v>
      </c>
    </row>
    <row r="2655" spans="1:91" ht="14.25" customHeight="1" x14ac:dyDescent="0.3">
      <c r="A2655" s="1" t="s">
        <v>13481</v>
      </c>
      <c r="B2655" s="1" t="s">
        <v>507</v>
      </c>
      <c r="C2655" s="1" t="s">
        <v>1767</v>
      </c>
      <c r="E2655" s="1" t="s">
        <v>13482</v>
      </c>
      <c r="F2655" s="1" t="s">
        <v>191</v>
      </c>
      <c r="G2655" s="1" t="s">
        <v>13483</v>
      </c>
      <c r="H2655" s="1">
        <v>0</v>
      </c>
      <c r="I2655" s="1" t="s">
        <v>128</v>
      </c>
      <c r="L2655" s="1" t="s">
        <v>13484</v>
      </c>
      <c r="M2655" s="1" t="s">
        <v>194</v>
      </c>
      <c r="N2655" s="1">
        <v>0</v>
      </c>
      <c r="O2655" s="1">
        <v>0</v>
      </c>
      <c r="P2655" s="1" t="s">
        <v>100</v>
      </c>
      <c r="Q2655" s="1" t="s">
        <v>101</v>
      </c>
      <c r="R2655" s="1" t="s">
        <v>13485</v>
      </c>
      <c r="S2655" s="1" t="s">
        <v>13335</v>
      </c>
      <c r="T2655" s="1">
        <v>1</v>
      </c>
      <c r="U2655" s="1">
        <v>1</v>
      </c>
      <c r="V2655" s="1">
        <v>1</v>
      </c>
      <c r="W2655" s="1">
        <v>0</v>
      </c>
      <c r="X2655" s="1">
        <v>0</v>
      </c>
      <c r="Y2655" s="1">
        <v>4</v>
      </c>
      <c r="Z2655" s="1">
        <v>4</v>
      </c>
      <c r="AA2655" s="1" t="s">
        <v>104</v>
      </c>
      <c r="AB2655" s="1" t="s">
        <v>104</v>
      </c>
      <c r="AC2655" s="1">
        <v>3</v>
      </c>
      <c r="AD2655" s="1">
        <v>3</v>
      </c>
      <c r="AE2655" s="1" t="s">
        <v>104</v>
      </c>
      <c r="AF2655" s="1" t="s">
        <v>104</v>
      </c>
      <c r="AG2655" s="1" t="s">
        <v>104</v>
      </c>
      <c r="AH2655" s="1" t="s">
        <v>104</v>
      </c>
      <c r="AI2655" s="1" t="s">
        <v>104</v>
      </c>
      <c r="AJ2655" s="1" t="s">
        <v>104</v>
      </c>
      <c r="AK2655" s="1" t="s">
        <v>104</v>
      </c>
      <c r="AL2655" s="1" t="s">
        <v>104</v>
      </c>
      <c r="AM2655" s="1" t="s">
        <v>104</v>
      </c>
      <c r="AO2655" s="1">
        <v>4</v>
      </c>
      <c r="AR2655" s="1">
        <v>0</v>
      </c>
      <c r="AS2655" s="1">
        <v>0</v>
      </c>
      <c r="AT2655" s="1">
        <v>0</v>
      </c>
      <c r="AU2655" s="1">
        <v>0</v>
      </c>
      <c r="AV2655" s="1">
        <v>0</v>
      </c>
      <c r="AW2655" s="1">
        <v>0</v>
      </c>
      <c r="AX2655" s="1">
        <v>0</v>
      </c>
      <c r="AY2655" s="1">
        <v>0</v>
      </c>
      <c r="AZ2655" s="1">
        <v>0</v>
      </c>
      <c r="BA2655" s="1">
        <v>0</v>
      </c>
      <c r="BB2655" s="1">
        <v>0</v>
      </c>
      <c r="BC2655" s="1">
        <v>0</v>
      </c>
      <c r="BD2655" s="1">
        <v>0</v>
      </c>
      <c r="BE2655" s="1">
        <v>0</v>
      </c>
      <c r="BF2655" s="1">
        <v>0</v>
      </c>
      <c r="BG2655" s="1">
        <v>0</v>
      </c>
      <c r="BH2655" s="1">
        <v>0</v>
      </c>
      <c r="BI2655" s="1">
        <v>0</v>
      </c>
      <c r="BJ2655" s="1">
        <v>0</v>
      </c>
      <c r="BK2655" s="1">
        <v>0</v>
      </c>
      <c r="BL2655" s="1">
        <v>0</v>
      </c>
      <c r="BM2655" s="1">
        <v>0</v>
      </c>
      <c r="BN2655" s="1">
        <v>0</v>
      </c>
      <c r="BO2655" s="1">
        <v>0</v>
      </c>
      <c r="BP2655" s="1">
        <v>0</v>
      </c>
      <c r="BQ2655" s="1" t="s">
        <v>104</v>
      </c>
      <c r="BR2655" s="1">
        <v>2791</v>
      </c>
      <c r="BS2655" s="1" t="s">
        <v>104</v>
      </c>
      <c r="BX2655" s="1">
        <v>0</v>
      </c>
      <c r="BY2655" s="1" t="s">
        <v>104</v>
      </c>
      <c r="BZ2655" s="1" t="s">
        <v>104</v>
      </c>
      <c r="CA2655" s="1" t="s">
        <v>104</v>
      </c>
      <c r="CB2655" s="1">
        <v>3</v>
      </c>
      <c r="CC2655" s="1" t="s">
        <v>104</v>
      </c>
      <c r="CD2655" s="1">
        <v>3</v>
      </c>
      <c r="CE2655" s="1" t="s">
        <v>104</v>
      </c>
      <c r="CF2655" s="1" t="s">
        <v>104</v>
      </c>
      <c r="CG2655" s="1" t="s">
        <v>104</v>
      </c>
      <c r="CH2655" s="1">
        <v>3</v>
      </c>
      <c r="CJ2655" s="1">
        <v>0</v>
      </c>
      <c r="CK2655" s="1">
        <v>0</v>
      </c>
      <c r="CL2655" s="1">
        <v>0</v>
      </c>
      <c r="CM2655" s="1" t="s">
        <v>104</v>
      </c>
    </row>
    <row r="2656" spans="1:91" ht="14.25" customHeight="1" x14ac:dyDescent="0.3">
      <c r="A2656" s="1" t="s">
        <v>13486</v>
      </c>
      <c r="B2656" s="1" t="s">
        <v>162</v>
      </c>
      <c r="E2656" s="1" t="s">
        <v>13487</v>
      </c>
      <c r="F2656" s="1" t="s">
        <v>95</v>
      </c>
      <c r="G2656" s="1" t="s">
        <v>116</v>
      </c>
      <c r="H2656" s="1">
        <v>0</v>
      </c>
      <c r="I2656" s="1" t="s">
        <v>128</v>
      </c>
      <c r="L2656" s="1" t="s">
        <v>374</v>
      </c>
      <c r="M2656" s="1" t="s">
        <v>2330</v>
      </c>
      <c r="N2656" s="1">
        <v>0</v>
      </c>
      <c r="O2656" s="1">
        <v>0</v>
      </c>
      <c r="P2656" s="1" t="s">
        <v>1058</v>
      </c>
      <c r="Q2656" s="1" t="s">
        <v>101</v>
      </c>
      <c r="R2656" s="1" t="s">
        <v>13488</v>
      </c>
      <c r="S2656" s="1" t="s">
        <v>13489</v>
      </c>
      <c r="T2656" s="1">
        <v>1</v>
      </c>
      <c r="U2656" s="1">
        <v>1</v>
      </c>
      <c r="V2656" s="1">
        <v>0</v>
      </c>
      <c r="W2656" s="1">
        <v>0</v>
      </c>
      <c r="X2656" s="1">
        <v>0</v>
      </c>
      <c r="Y2656" s="1" t="s">
        <v>104</v>
      </c>
      <c r="Z2656" s="1" t="s">
        <v>104</v>
      </c>
      <c r="AA2656" s="1">
        <v>2</v>
      </c>
      <c r="AB2656" s="1">
        <v>2</v>
      </c>
      <c r="AC2656" s="1">
        <v>1</v>
      </c>
      <c r="AD2656" s="1" t="s">
        <v>104</v>
      </c>
      <c r="AE2656" s="1" t="s">
        <v>104</v>
      </c>
      <c r="AF2656" s="1">
        <v>2</v>
      </c>
      <c r="AG2656" s="1" t="s">
        <v>104</v>
      </c>
      <c r="AH2656" s="1">
        <v>2</v>
      </c>
      <c r="AI2656" s="1" t="s">
        <v>104</v>
      </c>
      <c r="AJ2656" s="1">
        <v>2</v>
      </c>
      <c r="AK2656" s="1" t="s">
        <v>104</v>
      </c>
      <c r="AL2656" s="1" t="s">
        <v>104</v>
      </c>
      <c r="AM2656" s="1" t="s">
        <v>104</v>
      </c>
      <c r="AO2656" s="1">
        <v>2</v>
      </c>
      <c r="AR2656" s="1">
        <v>0</v>
      </c>
      <c r="AS2656" s="1">
        <v>0</v>
      </c>
      <c r="AT2656" s="1">
        <v>0</v>
      </c>
      <c r="AU2656" s="1">
        <v>0</v>
      </c>
      <c r="AV2656" s="1">
        <v>0</v>
      </c>
      <c r="AW2656" s="1">
        <v>0</v>
      </c>
      <c r="AX2656" s="1">
        <v>0</v>
      </c>
      <c r="AY2656" s="1">
        <v>0</v>
      </c>
      <c r="AZ2656" s="1">
        <v>0</v>
      </c>
      <c r="BA2656" s="1">
        <v>0</v>
      </c>
      <c r="BB2656" s="1">
        <v>0</v>
      </c>
      <c r="BC2656" s="1">
        <v>0</v>
      </c>
      <c r="BD2656" s="1">
        <v>0</v>
      </c>
      <c r="BE2656" s="1">
        <v>0</v>
      </c>
      <c r="BF2656" s="1">
        <v>0</v>
      </c>
      <c r="BG2656" s="1">
        <v>0</v>
      </c>
      <c r="BH2656" s="1">
        <v>0</v>
      </c>
      <c r="BI2656" s="1">
        <v>0</v>
      </c>
      <c r="BJ2656" s="1">
        <v>0</v>
      </c>
      <c r="BK2656" s="1">
        <v>0</v>
      </c>
      <c r="BL2656" s="1">
        <v>0</v>
      </c>
      <c r="BM2656" s="1">
        <v>0</v>
      </c>
      <c r="BN2656" s="1">
        <v>0</v>
      </c>
      <c r="BO2656" s="1">
        <v>0</v>
      </c>
      <c r="BP2656" s="1">
        <v>0</v>
      </c>
      <c r="BQ2656" s="1" t="s">
        <v>104</v>
      </c>
      <c r="BR2656" s="1">
        <v>2792</v>
      </c>
      <c r="BS2656" s="1" t="s">
        <v>104</v>
      </c>
      <c r="BX2656" s="1">
        <v>0</v>
      </c>
      <c r="BY2656" s="1" t="s">
        <v>104</v>
      </c>
      <c r="BZ2656" s="1">
        <v>2</v>
      </c>
      <c r="CA2656" s="1" t="s">
        <v>104</v>
      </c>
      <c r="CB2656" s="1" t="s">
        <v>104</v>
      </c>
      <c r="CC2656" s="1" t="s">
        <v>104</v>
      </c>
      <c r="CD2656" s="1" t="s">
        <v>104</v>
      </c>
      <c r="CE2656" s="1" t="s">
        <v>104</v>
      </c>
      <c r="CF2656" s="1" t="s">
        <v>104</v>
      </c>
      <c r="CG2656" s="1" t="s">
        <v>104</v>
      </c>
      <c r="CH2656" s="1">
        <v>1</v>
      </c>
      <c r="CJ2656" s="1">
        <v>0</v>
      </c>
      <c r="CK2656" s="1">
        <v>0</v>
      </c>
      <c r="CL2656" s="1">
        <v>0</v>
      </c>
      <c r="CM2656" s="1" t="s">
        <v>104</v>
      </c>
    </row>
    <row r="2657" spans="1:91" ht="14.25" customHeight="1" x14ac:dyDescent="0.3">
      <c r="A2657" s="1" t="s">
        <v>13490</v>
      </c>
      <c r="B2657" s="1" t="s">
        <v>216</v>
      </c>
      <c r="D2657" s="1" t="s">
        <v>54</v>
      </c>
      <c r="E2657" s="1" t="s">
        <v>13491</v>
      </c>
      <c r="F2657" s="1" t="s">
        <v>4934</v>
      </c>
      <c r="G2657" s="1" t="s">
        <v>237</v>
      </c>
      <c r="H2657" s="1">
        <v>0</v>
      </c>
      <c r="I2657" s="1" t="s">
        <v>157</v>
      </c>
      <c r="K2657" s="1" t="s">
        <v>158</v>
      </c>
      <c r="M2657" s="1" t="s">
        <v>111</v>
      </c>
      <c r="N2657" s="1">
        <v>0</v>
      </c>
      <c r="O2657" s="1">
        <v>0</v>
      </c>
      <c r="P2657" s="1" t="s">
        <v>145</v>
      </c>
      <c r="Q2657" s="1" t="s">
        <v>101</v>
      </c>
      <c r="R2657" s="1" t="s">
        <v>13492</v>
      </c>
      <c r="S2657" s="1" t="s">
        <v>13489</v>
      </c>
      <c r="T2657" s="1">
        <v>1</v>
      </c>
      <c r="U2657" s="1">
        <v>0</v>
      </c>
      <c r="V2657" s="1">
        <v>0</v>
      </c>
      <c r="W2657" s="1">
        <v>0</v>
      </c>
      <c r="X2657" s="1">
        <v>0</v>
      </c>
      <c r="Y2657" s="1">
        <v>6</v>
      </c>
      <c r="Z2657" s="1">
        <v>6</v>
      </c>
      <c r="AA2657" s="1">
        <v>6</v>
      </c>
      <c r="AB2657" s="1">
        <v>6</v>
      </c>
      <c r="AC2657" s="1" t="s">
        <v>104</v>
      </c>
      <c r="AD2657" s="1">
        <v>6</v>
      </c>
      <c r="AE2657" s="1" t="s">
        <v>104</v>
      </c>
      <c r="AF2657" s="1" t="s">
        <v>104</v>
      </c>
      <c r="AG2657" s="1" t="s">
        <v>104</v>
      </c>
      <c r="AH2657" s="1">
        <v>6</v>
      </c>
      <c r="AI2657" s="1" t="s">
        <v>104</v>
      </c>
      <c r="AJ2657" s="1">
        <v>6</v>
      </c>
      <c r="AK2657" s="1" t="s">
        <v>104</v>
      </c>
      <c r="AL2657" s="1" t="s">
        <v>104</v>
      </c>
      <c r="AM2657" s="1" t="s">
        <v>104</v>
      </c>
      <c r="AO2657" s="1">
        <v>6</v>
      </c>
      <c r="AR2657" s="1">
        <v>0</v>
      </c>
      <c r="AS2657" s="1">
        <v>0</v>
      </c>
      <c r="AT2657" s="1">
        <v>0</v>
      </c>
      <c r="AU2657" s="1">
        <v>0</v>
      </c>
      <c r="AV2657" s="1">
        <v>0</v>
      </c>
      <c r="AW2657" s="1">
        <v>0</v>
      </c>
      <c r="AX2657" s="1">
        <v>0</v>
      </c>
      <c r="AY2657" s="1">
        <v>0</v>
      </c>
      <c r="AZ2657" s="1">
        <v>0</v>
      </c>
      <c r="BA2657" s="1">
        <v>0</v>
      </c>
      <c r="BB2657" s="1">
        <v>0</v>
      </c>
      <c r="BC2657" s="1">
        <v>1</v>
      </c>
      <c r="BD2657" s="1">
        <v>0</v>
      </c>
      <c r="BE2657" s="1">
        <v>0</v>
      </c>
      <c r="BF2657" s="1">
        <v>0</v>
      </c>
      <c r="BG2657" s="1">
        <v>0</v>
      </c>
      <c r="BH2657" s="1">
        <v>0</v>
      </c>
      <c r="BI2657" s="1">
        <v>0</v>
      </c>
      <c r="BJ2657" s="1">
        <v>0</v>
      </c>
      <c r="BK2657" s="1">
        <v>0</v>
      </c>
      <c r="BL2657" s="1">
        <v>0</v>
      </c>
      <c r="BM2657" s="1">
        <v>0</v>
      </c>
      <c r="BN2657" s="1">
        <v>0</v>
      </c>
      <c r="BO2657" s="1">
        <v>0</v>
      </c>
      <c r="BP2657" s="1">
        <v>0</v>
      </c>
      <c r="BQ2657" s="1" t="s">
        <v>104</v>
      </c>
      <c r="BR2657" s="1">
        <v>2793</v>
      </c>
      <c r="BS2657" s="1" t="s">
        <v>104</v>
      </c>
      <c r="BX2657" s="1">
        <v>0</v>
      </c>
      <c r="BY2657" s="1" t="s">
        <v>104</v>
      </c>
      <c r="BZ2657" s="1" t="s">
        <v>104</v>
      </c>
      <c r="CA2657" s="1">
        <v>6</v>
      </c>
      <c r="CB2657" s="1" t="s">
        <v>104</v>
      </c>
      <c r="CC2657" s="1">
        <v>6</v>
      </c>
      <c r="CD2657" s="1" t="s">
        <v>104</v>
      </c>
      <c r="CE2657" s="1" t="s">
        <v>104</v>
      </c>
      <c r="CF2657" s="1" t="s">
        <v>104</v>
      </c>
      <c r="CG2657" s="1" t="s">
        <v>104</v>
      </c>
      <c r="CH2657" s="1">
        <v>6</v>
      </c>
      <c r="CJ2657" s="1">
        <v>0</v>
      </c>
      <c r="CK2657" s="1">
        <v>0</v>
      </c>
      <c r="CL2657" s="1">
        <v>0</v>
      </c>
      <c r="CM2657" s="1" t="s">
        <v>104</v>
      </c>
    </row>
    <row r="2658" spans="1:91" ht="14.25" customHeight="1" x14ac:dyDescent="0.3">
      <c r="A2658" s="1" t="s">
        <v>13493</v>
      </c>
      <c r="B2658" s="1" t="s">
        <v>172</v>
      </c>
      <c r="D2658" s="1" t="s">
        <v>2506</v>
      </c>
      <c r="E2658" s="1" t="s">
        <v>13494</v>
      </c>
      <c r="F2658" s="1" t="s">
        <v>4934</v>
      </c>
      <c r="G2658" s="1" t="s">
        <v>127</v>
      </c>
      <c r="H2658" s="1">
        <v>0</v>
      </c>
      <c r="I2658" s="1" t="s">
        <v>117</v>
      </c>
      <c r="L2658" s="1" t="s">
        <v>1065</v>
      </c>
      <c r="M2658" s="1" t="s">
        <v>255</v>
      </c>
      <c r="N2658" s="1">
        <v>0</v>
      </c>
      <c r="O2658" s="1">
        <v>0</v>
      </c>
      <c r="P2658" s="1" t="s">
        <v>211</v>
      </c>
      <c r="Q2658" s="1" t="s">
        <v>184</v>
      </c>
      <c r="R2658" s="1" t="s">
        <v>13495</v>
      </c>
      <c r="S2658" s="1" t="s">
        <v>13496</v>
      </c>
      <c r="T2658" s="1">
        <v>1</v>
      </c>
      <c r="U2658" s="1">
        <v>1</v>
      </c>
      <c r="V2658" s="1">
        <v>0</v>
      </c>
      <c r="W2658" s="1">
        <v>0</v>
      </c>
      <c r="X2658" s="1">
        <v>1</v>
      </c>
      <c r="Y2658" s="1" t="s">
        <v>104</v>
      </c>
      <c r="Z2658" s="1" t="s">
        <v>104</v>
      </c>
      <c r="AA2658" s="1" t="s">
        <v>104</v>
      </c>
      <c r="AB2658" s="1" t="s">
        <v>104</v>
      </c>
      <c r="AC2658" s="1" t="s">
        <v>104</v>
      </c>
      <c r="AD2658" s="1" t="s">
        <v>104</v>
      </c>
      <c r="AE2658" s="1">
        <v>4</v>
      </c>
      <c r="AF2658" s="1" t="s">
        <v>104</v>
      </c>
      <c r="AG2658" s="1" t="s">
        <v>104</v>
      </c>
      <c r="AH2658" s="1" t="s">
        <v>104</v>
      </c>
      <c r="AI2658" s="1">
        <v>6</v>
      </c>
      <c r="AJ2658" s="1" t="s">
        <v>104</v>
      </c>
      <c r="AK2658" s="1" t="s">
        <v>104</v>
      </c>
      <c r="AL2658" s="1" t="s">
        <v>104</v>
      </c>
      <c r="AM2658" s="1" t="s">
        <v>104</v>
      </c>
      <c r="AO2658" s="1">
        <v>4</v>
      </c>
      <c r="AR2658" s="1">
        <v>0</v>
      </c>
      <c r="AS2658" s="1">
        <v>0</v>
      </c>
      <c r="AT2658" s="1">
        <v>0</v>
      </c>
      <c r="AU2658" s="1">
        <v>0</v>
      </c>
      <c r="AV2658" s="1">
        <v>0</v>
      </c>
      <c r="AW2658" s="1">
        <v>0</v>
      </c>
      <c r="AX2658" s="1">
        <v>0</v>
      </c>
      <c r="AY2658" s="1">
        <v>0</v>
      </c>
      <c r="AZ2658" s="1">
        <v>0</v>
      </c>
      <c r="BA2658" s="1">
        <v>0</v>
      </c>
      <c r="BB2658" s="1">
        <v>0</v>
      </c>
      <c r="BC2658" s="1">
        <v>0</v>
      </c>
      <c r="BD2658" s="1">
        <v>0</v>
      </c>
      <c r="BE2658" s="1">
        <v>0</v>
      </c>
      <c r="BF2658" s="1">
        <v>0</v>
      </c>
      <c r="BG2658" s="1">
        <v>0</v>
      </c>
      <c r="BH2658" s="1">
        <v>1</v>
      </c>
      <c r="BI2658" s="1">
        <v>0</v>
      </c>
      <c r="BJ2658" s="1">
        <v>0</v>
      </c>
      <c r="BK2658" s="1">
        <v>0</v>
      </c>
      <c r="BL2658" s="1">
        <v>0</v>
      </c>
      <c r="BM2658" s="1">
        <v>0</v>
      </c>
      <c r="BN2658" s="1">
        <v>0</v>
      </c>
      <c r="BO2658" s="1">
        <v>0</v>
      </c>
      <c r="BP2658" s="1">
        <v>0</v>
      </c>
      <c r="BQ2658" s="1" t="s">
        <v>104</v>
      </c>
      <c r="BR2658" s="1">
        <v>2794</v>
      </c>
      <c r="BS2658" s="1" t="s">
        <v>104</v>
      </c>
      <c r="BX2658" s="1">
        <v>0</v>
      </c>
      <c r="BY2658" s="1" t="s">
        <v>104</v>
      </c>
      <c r="BZ2658" s="1" t="s">
        <v>104</v>
      </c>
      <c r="CA2658" s="1" t="s">
        <v>104</v>
      </c>
      <c r="CB2658" s="1" t="s">
        <v>104</v>
      </c>
      <c r="CC2658" s="1" t="s">
        <v>104</v>
      </c>
      <c r="CD2658" s="1" t="s">
        <v>104</v>
      </c>
      <c r="CE2658" s="1" t="s">
        <v>104</v>
      </c>
      <c r="CF2658" s="1" t="s">
        <v>104</v>
      </c>
      <c r="CG2658" s="1" t="s">
        <v>104</v>
      </c>
      <c r="CH2658" s="1" t="s">
        <v>104</v>
      </c>
      <c r="CJ2658" s="1">
        <v>0</v>
      </c>
      <c r="CK2658" s="1">
        <v>0</v>
      </c>
      <c r="CL2658" s="1">
        <v>0</v>
      </c>
      <c r="CM2658" s="1" t="s">
        <v>104</v>
      </c>
    </row>
    <row r="2659" spans="1:91" ht="14.25" customHeight="1" x14ac:dyDescent="0.3">
      <c r="A2659" s="1" t="s">
        <v>13497</v>
      </c>
      <c r="B2659" s="1" t="s">
        <v>92</v>
      </c>
      <c r="C2659" s="1" t="s">
        <v>523</v>
      </c>
      <c r="D2659" s="1" t="s">
        <v>49</v>
      </c>
      <c r="E2659" s="1" t="s">
        <v>13498</v>
      </c>
      <c r="F2659" s="1" t="s">
        <v>95</v>
      </c>
      <c r="G2659" s="1" t="s">
        <v>127</v>
      </c>
      <c r="H2659" s="1">
        <v>0</v>
      </c>
      <c r="I2659" s="1" t="s">
        <v>117</v>
      </c>
      <c r="L2659" s="1" t="s">
        <v>13499</v>
      </c>
      <c r="M2659" s="1" t="s">
        <v>119</v>
      </c>
      <c r="N2659" s="1">
        <v>0</v>
      </c>
      <c r="O2659" s="1">
        <v>0</v>
      </c>
      <c r="P2659" s="1" t="s">
        <v>1907</v>
      </c>
      <c r="Q2659" s="1" t="s">
        <v>3284</v>
      </c>
      <c r="R2659" s="1" t="s">
        <v>13500</v>
      </c>
      <c r="S2659" s="1" t="s">
        <v>13501</v>
      </c>
      <c r="T2659" s="1">
        <v>1</v>
      </c>
      <c r="U2659" s="1">
        <v>1</v>
      </c>
      <c r="V2659" s="1">
        <v>0</v>
      </c>
      <c r="W2659" s="1">
        <v>0</v>
      </c>
      <c r="X2659" s="1">
        <v>1</v>
      </c>
      <c r="Y2659" s="1" t="s">
        <v>104</v>
      </c>
      <c r="Z2659" s="1" t="s">
        <v>104</v>
      </c>
      <c r="AA2659" s="1">
        <v>6</v>
      </c>
      <c r="AB2659" s="1" t="s">
        <v>104</v>
      </c>
      <c r="AC2659" s="1" t="s">
        <v>104</v>
      </c>
      <c r="AD2659" s="1" t="s">
        <v>104</v>
      </c>
      <c r="AE2659" s="1" t="s">
        <v>104</v>
      </c>
      <c r="AF2659" s="1" t="s">
        <v>104</v>
      </c>
      <c r="AG2659" s="1" t="s">
        <v>104</v>
      </c>
      <c r="AH2659" s="1">
        <v>6</v>
      </c>
      <c r="AI2659" s="1">
        <v>6</v>
      </c>
      <c r="AJ2659" s="1">
        <v>6</v>
      </c>
      <c r="AK2659" s="1" t="s">
        <v>104</v>
      </c>
      <c r="AL2659" s="1" t="s">
        <v>104</v>
      </c>
      <c r="AM2659" s="1" t="s">
        <v>104</v>
      </c>
      <c r="AO2659" s="1">
        <v>6</v>
      </c>
      <c r="AR2659" s="1">
        <v>0</v>
      </c>
      <c r="AS2659" s="1">
        <v>0</v>
      </c>
      <c r="AT2659" s="1">
        <v>0</v>
      </c>
      <c r="AU2659" s="1">
        <v>0</v>
      </c>
      <c r="AV2659" s="1">
        <v>0</v>
      </c>
      <c r="AW2659" s="1">
        <v>0</v>
      </c>
      <c r="AX2659" s="1">
        <v>1</v>
      </c>
      <c r="AY2659" s="1">
        <v>0</v>
      </c>
      <c r="AZ2659" s="1">
        <v>0</v>
      </c>
      <c r="BA2659" s="1">
        <v>0</v>
      </c>
      <c r="BB2659" s="1">
        <v>0</v>
      </c>
      <c r="BC2659" s="1">
        <v>0</v>
      </c>
      <c r="BD2659" s="1">
        <v>0</v>
      </c>
      <c r="BE2659" s="1">
        <v>0</v>
      </c>
      <c r="BF2659" s="1">
        <v>0</v>
      </c>
      <c r="BG2659" s="1">
        <v>0</v>
      </c>
      <c r="BH2659" s="1">
        <v>0</v>
      </c>
      <c r="BI2659" s="1">
        <v>0</v>
      </c>
      <c r="BJ2659" s="1">
        <v>0</v>
      </c>
      <c r="BK2659" s="1">
        <v>0</v>
      </c>
      <c r="BL2659" s="1">
        <v>0</v>
      </c>
      <c r="BM2659" s="1">
        <v>0</v>
      </c>
      <c r="BN2659" s="1">
        <v>0</v>
      </c>
      <c r="BO2659" s="1">
        <v>0</v>
      </c>
      <c r="BP2659" s="1">
        <v>0</v>
      </c>
      <c r="BQ2659" s="1" t="s">
        <v>104</v>
      </c>
      <c r="BR2659" s="1">
        <v>3792</v>
      </c>
      <c r="BS2659" s="1" t="s">
        <v>104</v>
      </c>
      <c r="BX2659" s="1">
        <v>0</v>
      </c>
      <c r="BY2659" s="1" t="s">
        <v>104</v>
      </c>
      <c r="BZ2659" s="1">
        <v>6</v>
      </c>
      <c r="CA2659" s="1" t="s">
        <v>104</v>
      </c>
      <c r="CB2659" s="1" t="s">
        <v>104</v>
      </c>
      <c r="CC2659" s="1" t="s">
        <v>104</v>
      </c>
      <c r="CD2659" s="1">
        <v>6</v>
      </c>
      <c r="CE2659" s="1">
        <v>6</v>
      </c>
      <c r="CF2659" s="1" t="s">
        <v>104</v>
      </c>
      <c r="CG2659" s="1" t="s">
        <v>104</v>
      </c>
      <c r="CH2659" s="1" t="s">
        <v>104</v>
      </c>
      <c r="CJ2659" s="1">
        <v>0</v>
      </c>
      <c r="CK2659" s="1">
        <v>0</v>
      </c>
      <c r="CL2659" s="1">
        <v>0</v>
      </c>
      <c r="CM2659" s="1" t="s">
        <v>104</v>
      </c>
    </row>
    <row r="2660" spans="1:91" ht="14.25" customHeight="1" x14ac:dyDescent="0.3">
      <c r="A2660" s="1" t="s">
        <v>13502</v>
      </c>
      <c r="B2660" s="1" t="s">
        <v>92</v>
      </c>
      <c r="C2660" s="1" t="s">
        <v>523</v>
      </c>
      <c r="E2660" s="1" t="s">
        <v>13503</v>
      </c>
      <c r="F2660" s="1" t="s">
        <v>95</v>
      </c>
      <c r="G2660" s="1" t="s">
        <v>13504</v>
      </c>
      <c r="H2660" s="1">
        <v>1</v>
      </c>
      <c r="I2660" s="1" t="s">
        <v>128</v>
      </c>
      <c r="L2660" s="1" t="s">
        <v>1310</v>
      </c>
      <c r="M2660" s="1" t="s">
        <v>119</v>
      </c>
      <c r="N2660" s="1">
        <v>0</v>
      </c>
      <c r="O2660" s="1">
        <v>0</v>
      </c>
      <c r="P2660" s="1" t="s">
        <v>5361</v>
      </c>
      <c r="Q2660" s="1" t="s">
        <v>131</v>
      </c>
      <c r="R2660" s="1" t="s">
        <v>13505</v>
      </c>
      <c r="S2660" s="1" t="s">
        <v>13501</v>
      </c>
      <c r="T2660" s="1">
        <v>1</v>
      </c>
      <c r="U2660" s="1">
        <v>1</v>
      </c>
      <c r="V2660" s="1">
        <v>1</v>
      </c>
      <c r="W2660" s="1">
        <v>0</v>
      </c>
      <c r="X2660" s="1">
        <v>0</v>
      </c>
      <c r="Y2660" s="1" t="s">
        <v>104</v>
      </c>
      <c r="Z2660" s="1" t="s">
        <v>104</v>
      </c>
      <c r="AA2660" s="1">
        <v>3</v>
      </c>
      <c r="AB2660" s="1" t="s">
        <v>104</v>
      </c>
      <c r="AC2660" s="1" t="s">
        <v>104</v>
      </c>
      <c r="AD2660" s="1" t="s">
        <v>104</v>
      </c>
      <c r="AE2660" s="1" t="s">
        <v>104</v>
      </c>
      <c r="AF2660" s="1">
        <v>2</v>
      </c>
      <c r="AG2660" s="1" t="s">
        <v>104</v>
      </c>
      <c r="AH2660" s="1" t="s">
        <v>104</v>
      </c>
      <c r="AI2660" s="1" t="s">
        <v>104</v>
      </c>
      <c r="AJ2660" s="1">
        <v>3</v>
      </c>
      <c r="AK2660" s="1" t="s">
        <v>104</v>
      </c>
      <c r="AL2660" s="1" t="s">
        <v>104</v>
      </c>
      <c r="AM2660" s="1" t="s">
        <v>104</v>
      </c>
      <c r="AO2660" s="1">
        <v>3</v>
      </c>
      <c r="AR2660" s="1">
        <v>0</v>
      </c>
      <c r="AS2660" s="1">
        <v>0</v>
      </c>
      <c r="AT2660" s="1">
        <v>0</v>
      </c>
      <c r="AU2660" s="1">
        <v>0</v>
      </c>
      <c r="AV2660" s="1">
        <v>0</v>
      </c>
      <c r="AW2660" s="1">
        <v>0</v>
      </c>
      <c r="AX2660" s="1">
        <v>0</v>
      </c>
      <c r="AY2660" s="1">
        <v>0</v>
      </c>
      <c r="AZ2660" s="1">
        <v>0</v>
      </c>
      <c r="BA2660" s="1">
        <v>0</v>
      </c>
      <c r="BB2660" s="1">
        <v>0</v>
      </c>
      <c r="BC2660" s="1">
        <v>0</v>
      </c>
      <c r="BD2660" s="1">
        <v>0</v>
      </c>
      <c r="BE2660" s="1">
        <v>0</v>
      </c>
      <c r="BF2660" s="1">
        <v>0</v>
      </c>
      <c r="BG2660" s="1">
        <v>0</v>
      </c>
      <c r="BH2660" s="1">
        <v>0</v>
      </c>
      <c r="BI2660" s="1">
        <v>0</v>
      </c>
      <c r="BJ2660" s="1">
        <v>0</v>
      </c>
      <c r="BK2660" s="1">
        <v>0</v>
      </c>
      <c r="BL2660" s="1">
        <v>0</v>
      </c>
      <c r="BM2660" s="1">
        <v>0</v>
      </c>
      <c r="BN2660" s="1">
        <v>0</v>
      </c>
      <c r="BO2660" s="1">
        <v>0</v>
      </c>
      <c r="BP2660" s="1">
        <v>0</v>
      </c>
      <c r="BQ2660" s="1" t="s">
        <v>104</v>
      </c>
      <c r="BR2660" s="1">
        <v>3793</v>
      </c>
      <c r="BS2660" s="1">
        <v>50</v>
      </c>
      <c r="BX2660" s="1">
        <v>0</v>
      </c>
      <c r="BY2660" s="1" t="s">
        <v>104</v>
      </c>
      <c r="BZ2660" s="1" t="s">
        <v>104</v>
      </c>
      <c r="CA2660" s="1" t="s">
        <v>104</v>
      </c>
      <c r="CB2660" s="1" t="s">
        <v>104</v>
      </c>
      <c r="CC2660" s="1" t="s">
        <v>104</v>
      </c>
      <c r="CD2660" s="1" t="s">
        <v>104</v>
      </c>
      <c r="CE2660" s="1" t="s">
        <v>104</v>
      </c>
      <c r="CF2660" s="1" t="s">
        <v>104</v>
      </c>
      <c r="CG2660" s="1" t="s">
        <v>104</v>
      </c>
      <c r="CH2660" s="1" t="s">
        <v>104</v>
      </c>
      <c r="CJ2660" s="1">
        <v>0</v>
      </c>
      <c r="CK2660" s="1">
        <v>0</v>
      </c>
      <c r="CL2660" s="1">
        <v>0</v>
      </c>
      <c r="CM2660" s="1" t="s">
        <v>104</v>
      </c>
    </row>
    <row r="2661" spans="1:91" ht="14.25" customHeight="1" x14ac:dyDescent="0.3">
      <c r="A2661" s="1" t="s">
        <v>13506</v>
      </c>
      <c r="B2661" s="1" t="s">
        <v>92</v>
      </c>
      <c r="C2661" s="1" t="s">
        <v>523</v>
      </c>
      <c r="D2661" s="1" t="s">
        <v>11315</v>
      </c>
      <c r="E2661" s="1" t="s">
        <v>7157</v>
      </c>
      <c r="F2661" s="1" t="s">
        <v>95</v>
      </c>
      <c r="G2661" s="1" t="s">
        <v>127</v>
      </c>
      <c r="H2661" s="1">
        <v>0</v>
      </c>
      <c r="J2661" s="1" t="s">
        <v>9160</v>
      </c>
      <c r="M2661" s="1" t="s">
        <v>119</v>
      </c>
      <c r="N2661" s="1">
        <v>0</v>
      </c>
      <c r="O2661" s="1">
        <v>0</v>
      </c>
      <c r="P2661" s="1" t="s">
        <v>1568</v>
      </c>
      <c r="Q2661" s="1" t="s">
        <v>184</v>
      </c>
      <c r="R2661" s="1" t="s">
        <v>13507</v>
      </c>
      <c r="S2661" s="1" t="s">
        <v>13501</v>
      </c>
      <c r="T2661" s="1">
        <v>1</v>
      </c>
      <c r="U2661" s="1">
        <v>1</v>
      </c>
      <c r="V2661" s="1">
        <v>0</v>
      </c>
      <c r="W2661" s="1">
        <v>0</v>
      </c>
      <c r="X2661" s="1">
        <v>1</v>
      </c>
      <c r="Y2661" s="1" t="s">
        <v>104</v>
      </c>
      <c r="Z2661" s="1" t="s">
        <v>104</v>
      </c>
      <c r="AA2661" s="1">
        <v>4</v>
      </c>
      <c r="AB2661" s="1" t="s">
        <v>104</v>
      </c>
      <c r="AC2661" s="1" t="s">
        <v>104</v>
      </c>
      <c r="AD2661" s="1" t="s">
        <v>104</v>
      </c>
      <c r="AE2661" s="1">
        <v>4</v>
      </c>
      <c r="AF2661" s="1" t="s">
        <v>104</v>
      </c>
      <c r="AG2661" s="1" t="s">
        <v>104</v>
      </c>
      <c r="AH2661" s="1" t="s">
        <v>104</v>
      </c>
      <c r="AI2661" s="1">
        <v>4</v>
      </c>
      <c r="AJ2661" s="1">
        <v>4</v>
      </c>
      <c r="AK2661" s="1" t="s">
        <v>104</v>
      </c>
      <c r="AL2661" s="1" t="s">
        <v>104</v>
      </c>
      <c r="AM2661" s="1" t="s">
        <v>104</v>
      </c>
      <c r="AO2661" s="1">
        <v>4</v>
      </c>
      <c r="AR2661" s="1">
        <v>0</v>
      </c>
      <c r="AS2661" s="1">
        <v>0</v>
      </c>
      <c r="AT2661" s="1">
        <v>0</v>
      </c>
      <c r="AU2661" s="1">
        <v>0</v>
      </c>
      <c r="AV2661" s="1">
        <v>0</v>
      </c>
      <c r="AW2661" s="1">
        <v>0</v>
      </c>
      <c r="AX2661" s="1">
        <v>0</v>
      </c>
      <c r="AY2661" s="1">
        <v>0</v>
      </c>
      <c r="AZ2661" s="1">
        <v>0</v>
      </c>
      <c r="BA2661" s="1">
        <v>0</v>
      </c>
      <c r="BB2661" s="1">
        <v>0</v>
      </c>
      <c r="BC2661" s="1">
        <v>0</v>
      </c>
      <c r="BD2661" s="1">
        <v>0</v>
      </c>
      <c r="BE2661" s="1">
        <v>1</v>
      </c>
      <c r="BF2661" s="1">
        <v>0</v>
      </c>
      <c r="BG2661" s="1">
        <v>1</v>
      </c>
      <c r="BH2661" s="1">
        <v>0</v>
      </c>
      <c r="BI2661" s="1">
        <v>0</v>
      </c>
      <c r="BJ2661" s="1">
        <v>0</v>
      </c>
      <c r="BK2661" s="1">
        <v>0</v>
      </c>
      <c r="BL2661" s="1">
        <v>0</v>
      </c>
      <c r="BM2661" s="1">
        <v>0</v>
      </c>
      <c r="BN2661" s="1">
        <v>0</v>
      </c>
      <c r="BO2661" s="1">
        <v>0</v>
      </c>
      <c r="BP2661" s="1">
        <v>0</v>
      </c>
      <c r="BQ2661" s="1" t="s">
        <v>104</v>
      </c>
      <c r="BR2661" s="1">
        <v>3794</v>
      </c>
      <c r="BS2661" s="1" t="s">
        <v>104</v>
      </c>
      <c r="BX2661" s="1">
        <v>0</v>
      </c>
      <c r="BY2661" s="1" t="s">
        <v>104</v>
      </c>
      <c r="BZ2661" s="1" t="s">
        <v>104</v>
      </c>
      <c r="CA2661" s="1" t="s">
        <v>104</v>
      </c>
      <c r="CB2661" s="1" t="s">
        <v>104</v>
      </c>
      <c r="CC2661" s="1" t="s">
        <v>104</v>
      </c>
      <c r="CD2661" s="1" t="s">
        <v>104</v>
      </c>
      <c r="CE2661" s="1" t="s">
        <v>104</v>
      </c>
      <c r="CF2661" s="1" t="s">
        <v>104</v>
      </c>
      <c r="CG2661" s="1" t="s">
        <v>104</v>
      </c>
      <c r="CH2661" s="1" t="s">
        <v>104</v>
      </c>
      <c r="CJ2661" s="1">
        <v>0</v>
      </c>
      <c r="CK2661" s="1">
        <v>0</v>
      </c>
      <c r="CL2661" s="1">
        <v>0</v>
      </c>
      <c r="CM2661" s="1" t="s">
        <v>104</v>
      </c>
    </row>
    <row r="2662" spans="1:91" ht="14.25" customHeight="1" x14ac:dyDescent="0.3">
      <c r="A2662" s="1" t="s">
        <v>13508</v>
      </c>
      <c r="B2662" s="1" t="s">
        <v>92</v>
      </c>
      <c r="C2662" s="1" t="s">
        <v>523</v>
      </c>
      <c r="E2662" s="1" t="s">
        <v>13509</v>
      </c>
      <c r="F2662" s="1" t="s">
        <v>95</v>
      </c>
      <c r="G2662" s="1" t="s">
        <v>127</v>
      </c>
      <c r="H2662" s="1">
        <v>0</v>
      </c>
      <c r="I2662" s="1" t="s">
        <v>128</v>
      </c>
      <c r="L2662" s="1" t="s">
        <v>13510</v>
      </c>
      <c r="M2662" s="1" t="s">
        <v>4292</v>
      </c>
      <c r="N2662" s="1">
        <v>0</v>
      </c>
      <c r="O2662" s="1">
        <v>0</v>
      </c>
      <c r="P2662" s="1" t="s">
        <v>471</v>
      </c>
      <c r="Q2662" s="1" t="s">
        <v>472</v>
      </c>
      <c r="R2662" s="1" t="s">
        <v>13511</v>
      </c>
      <c r="S2662" s="1" t="s">
        <v>13501</v>
      </c>
      <c r="T2662" s="1">
        <v>1</v>
      </c>
      <c r="U2662" s="1">
        <v>1</v>
      </c>
      <c r="V2662" s="1">
        <v>0</v>
      </c>
      <c r="W2662" s="1">
        <v>0</v>
      </c>
      <c r="X2662" s="1">
        <v>1</v>
      </c>
      <c r="Y2662" s="1" t="s">
        <v>104</v>
      </c>
      <c r="Z2662" s="1" t="s">
        <v>104</v>
      </c>
      <c r="AA2662" s="1">
        <v>2</v>
      </c>
      <c r="AB2662" s="1">
        <v>2</v>
      </c>
      <c r="AC2662" s="1">
        <v>2</v>
      </c>
      <c r="AD2662" s="1" t="s">
        <v>104</v>
      </c>
      <c r="AE2662" s="1">
        <v>2</v>
      </c>
      <c r="AF2662" s="1" t="s">
        <v>104</v>
      </c>
      <c r="AG2662" s="1" t="s">
        <v>104</v>
      </c>
      <c r="AH2662" s="1" t="s">
        <v>104</v>
      </c>
      <c r="AI2662" s="1">
        <v>2</v>
      </c>
      <c r="AJ2662" s="1">
        <v>2</v>
      </c>
      <c r="AK2662" s="1" t="s">
        <v>104</v>
      </c>
      <c r="AL2662" s="1" t="s">
        <v>104</v>
      </c>
      <c r="AM2662" s="1" t="s">
        <v>104</v>
      </c>
      <c r="AO2662" s="1">
        <v>2</v>
      </c>
      <c r="AR2662" s="1">
        <v>0</v>
      </c>
      <c r="AS2662" s="1">
        <v>0</v>
      </c>
      <c r="AT2662" s="1">
        <v>0</v>
      </c>
      <c r="AU2662" s="1">
        <v>0</v>
      </c>
      <c r="AV2662" s="1">
        <v>0</v>
      </c>
      <c r="AW2662" s="1">
        <v>0</v>
      </c>
      <c r="AX2662" s="1">
        <v>0</v>
      </c>
      <c r="AY2662" s="1">
        <v>0</v>
      </c>
      <c r="AZ2662" s="1">
        <v>0</v>
      </c>
      <c r="BA2662" s="1">
        <v>0</v>
      </c>
      <c r="BB2662" s="1">
        <v>0</v>
      </c>
      <c r="BC2662" s="1">
        <v>0</v>
      </c>
      <c r="BD2662" s="1">
        <v>0</v>
      </c>
      <c r="BE2662" s="1">
        <v>0</v>
      </c>
      <c r="BF2662" s="1">
        <v>0</v>
      </c>
      <c r="BG2662" s="1">
        <v>0</v>
      </c>
      <c r="BH2662" s="1">
        <v>0</v>
      </c>
      <c r="BI2662" s="1">
        <v>0</v>
      </c>
      <c r="BJ2662" s="1">
        <v>0</v>
      </c>
      <c r="BK2662" s="1">
        <v>0</v>
      </c>
      <c r="BL2662" s="1">
        <v>0</v>
      </c>
      <c r="BM2662" s="1">
        <v>0</v>
      </c>
      <c r="BN2662" s="1">
        <v>0</v>
      </c>
      <c r="BO2662" s="1">
        <v>0</v>
      </c>
      <c r="BP2662" s="1">
        <v>0</v>
      </c>
      <c r="BQ2662" s="1" t="s">
        <v>104</v>
      </c>
      <c r="BR2662" s="1">
        <v>3795</v>
      </c>
      <c r="BS2662" s="1" t="s">
        <v>104</v>
      </c>
      <c r="BX2662" s="1">
        <v>0</v>
      </c>
      <c r="BY2662" s="1" t="s">
        <v>104</v>
      </c>
      <c r="BZ2662" s="1">
        <v>2</v>
      </c>
      <c r="CA2662" s="1" t="s">
        <v>104</v>
      </c>
      <c r="CB2662" s="1" t="s">
        <v>104</v>
      </c>
      <c r="CC2662" s="1" t="s">
        <v>104</v>
      </c>
      <c r="CD2662" s="1" t="s">
        <v>104</v>
      </c>
      <c r="CE2662" s="1" t="s">
        <v>104</v>
      </c>
      <c r="CF2662" s="1" t="s">
        <v>104</v>
      </c>
      <c r="CG2662" s="1" t="s">
        <v>104</v>
      </c>
      <c r="CH2662" s="1">
        <v>2</v>
      </c>
      <c r="CJ2662" s="1">
        <v>0</v>
      </c>
      <c r="CK2662" s="1">
        <v>0</v>
      </c>
      <c r="CL2662" s="1">
        <v>0</v>
      </c>
      <c r="CM2662" s="1" t="s">
        <v>104</v>
      </c>
    </row>
    <row r="2663" spans="1:91" ht="14.25" customHeight="1" x14ac:dyDescent="0.3">
      <c r="A2663" s="1" t="s">
        <v>13512</v>
      </c>
      <c r="B2663" s="1" t="s">
        <v>92</v>
      </c>
      <c r="C2663" s="1" t="s">
        <v>523</v>
      </c>
      <c r="D2663" s="1" t="s">
        <v>125</v>
      </c>
      <c r="E2663" s="1" t="s">
        <v>13513</v>
      </c>
      <c r="F2663" s="1" t="s">
        <v>95</v>
      </c>
      <c r="G2663" s="1" t="s">
        <v>127</v>
      </c>
      <c r="H2663" s="1">
        <v>0</v>
      </c>
      <c r="I2663" s="1" t="s">
        <v>109</v>
      </c>
      <c r="L2663" s="1" t="s">
        <v>13514</v>
      </c>
      <c r="M2663" s="1" t="s">
        <v>6542</v>
      </c>
      <c r="N2663" s="1">
        <v>0</v>
      </c>
      <c r="O2663" s="1">
        <v>0</v>
      </c>
      <c r="P2663" s="1" t="s">
        <v>5361</v>
      </c>
      <c r="Q2663" s="1" t="s">
        <v>131</v>
      </c>
      <c r="R2663" s="1" t="s">
        <v>13515</v>
      </c>
      <c r="S2663" s="1" t="s">
        <v>13501</v>
      </c>
      <c r="T2663" s="1">
        <v>1</v>
      </c>
      <c r="U2663" s="1">
        <v>1</v>
      </c>
      <c r="V2663" s="1">
        <v>0</v>
      </c>
      <c r="W2663" s="1">
        <v>0</v>
      </c>
      <c r="X2663" s="1">
        <v>1</v>
      </c>
      <c r="Y2663" s="1" t="s">
        <v>104</v>
      </c>
      <c r="Z2663" s="1" t="s">
        <v>104</v>
      </c>
      <c r="AA2663" s="1">
        <v>6</v>
      </c>
      <c r="AB2663" s="1" t="s">
        <v>104</v>
      </c>
      <c r="AC2663" s="1">
        <v>4</v>
      </c>
      <c r="AD2663" s="1" t="s">
        <v>104</v>
      </c>
      <c r="AE2663" s="1">
        <v>4</v>
      </c>
      <c r="AF2663" s="1" t="s">
        <v>104</v>
      </c>
      <c r="AG2663" s="1" t="s">
        <v>104</v>
      </c>
      <c r="AH2663" s="1" t="s">
        <v>104</v>
      </c>
      <c r="AI2663" s="1">
        <v>6</v>
      </c>
      <c r="AJ2663" s="1">
        <v>6</v>
      </c>
      <c r="AK2663" s="1" t="s">
        <v>104</v>
      </c>
      <c r="AL2663" s="1" t="s">
        <v>104</v>
      </c>
      <c r="AM2663" s="1" t="s">
        <v>104</v>
      </c>
      <c r="AO2663" s="1">
        <v>6</v>
      </c>
      <c r="AR2663" s="1">
        <v>0</v>
      </c>
      <c r="AS2663" s="1">
        <v>0</v>
      </c>
      <c r="AT2663" s="1">
        <v>0</v>
      </c>
      <c r="AU2663" s="1">
        <v>0</v>
      </c>
      <c r="AV2663" s="1">
        <v>0</v>
      </c>
      <c r="AW2663" s="1">
        <v>0</v>
      </c>
      <c r="AX2663" s="1">
        <v>0</v>
      </c>
      <c r="AY2663" s="1">
        <v>0</v>
      </c>
      <c r="AZ2663" s="1">
        <v>0</v>
      </c>
      <c r="BA2663" s="1">
        <v>0</v>
      </c>
      <c r="BB2663" s="1">
        <v>0</v>
      </c>
      <c r="BC2663" s="1">
        <v>0</v>
      </c>
      <c r="BD2663" s="1">
        <v>0</v>
      </c>
      <c r="BE2663" s="1">
        <v>0</v>
      </c>
      <c r="BF2663" s="1">
        <v>0</v>
      </c>
      <c r="BG2663" s="1">
        <v>0</v>
      </c>
      <c r="BH2663" s="1">
        <v>0</v>
      </c>
      <c r="BI2663" s="1">
        <v>0</v>
      </c>
      <c r="BJ2663" s="1">
        <v>0</v>
      </c>
      <c r="BK2663" s="1">
        <v>1</v>
      </c>
      <c r="BL2663" s="1">
        <v>0</v>
      </c>
      <c r="BM2663" s="1">
        <v>0</v>
      </c>
      <c r="BN2663" s="1">
        <v>0</v>
      </c>
      <c r="BO2663" s="1">
        <v>0</v>
      </c>
      <c r="BP2663" s="1">
        <v>0</v>
      </c>
      <c r="BQ2663" s="1" t="s">
        <v>104</v>
      </c>
      <c r="BR2663" s="1">
        <v>3796</v>
      </c>
      <c r="BS2663" s="1" t="s">
        <v>104</v>
      </c>
      <c r="BX2663" s="1">
        <v>0</v>
      </c>
      <c r="BY2663" s="1" t="s">
        <v>104</v>
      </c>
      <c r="BZ2663" s="1" t="s">
        <v>104</v>
      </c>
      <c r="CA2663" s="1" t="s">
        <v>104</v>
      </c>
      <c r="CB2663" s="1" t="s">
        <v>104</v>
      </c>
      <c r="CC2663" s="1" t="s">
        <v>104</v>
      </c>
      <c r="CD2663" s="1" t="s">
        <v>104</v>
      </c>
      <c r="CE2663" s="1" t="s">
        <v>104</v>
      </c>
      <c r="CF2663" s="1" t="s">
        <v>104</v>
      </c>
      <c r="CG2663" s="1" t="s">
        <v>104</v>
      </c>
      <c r="CH2663" s="1">
        <v>4</v>
      </c>
      <c r="CJ2663" s="1">
        <v>0</v>
      </c>
      <c r="CK2663" s="1">
        <v>0</v>
      </c>
      <c r="CL2663" s="1">
        <v>0</v>
      </c>
      <c r="CM2663" s="1" t="s">
        <v>104</v>
      </c>
    </row>
    <row r="2664" spans="1:91" ht="14.25" customHeight="1" x14ac:dyDescent="0.3">
      <c r="A2664" s="1" t="s">
        <v>13516</v>
      </c>
      <c r="B2664" s="1" t="s">
        <v>92</v>
      </c>
      <c r="C2664" s="1" t="s">
        <v>523</v>
      </c>
      <c r="E2664" s="1" t="s">
        <v>13517</v>
      </c>
      <c r="F2664" s="1" t="s">
        <v>95</v>
      </c>
      <c r="G2664" s="1" t="s">
        <v>116</v>
      </c>
      <c r="H2664" s="1">
        <v>0</v>
      </c>
      <c r="I2664" s="1" t="s">
        <v>128</v>
      </c>
      <c r="L2664" s="1" t="s">
        <v>129</v>
      </c>
      <c r="M2664" s="1" t="s">
        <v>13518</v>
      </c>
      <c r="N2664" s="1">
        <v>0</v>
      </c>
      <c r="O2664" s="1">
        <v>0</v>
      </c>
      <c r="P2664" s="1" t="s">
        <v>375</v>
      </c>
      <c r="Q2664" s="1" t="s">
        <v>131</v>
      </c>
      <c r="R2664" s="1" t="s">
        <v>13519</v>
      </c>
      <c r="S2664" s="1" t="s">
        <v>13501</v>
      </c>
      <c r="T2664" s="1">
        <v>1</v>
      </c>
      <c r="U2664" s="1">
        <v>1</v>
      </c>
      <c r="V2664" s="1">
        <v>0</v>
      </c>
      <c r="W2664" s="1">
        <v>0</v>
      </c>
      <c r="X2664" s="1">
        <v>0</v>
      </c>
      <c r="Y2664" s="1" t="s">
        <v>104</v>
      </c>
      <c r="Z2664" s="1" t="s">
        <v>104</v>
      </c>
      <c r="AA2664" s="1">
        <v>4</v>
      </c>
      <c r="AB2664" s="1" t="s">
        <v>104</v>
      </c>
      <c r="AC2664" s="1" t="s">
        <v>104</v>
      </c>
      <c r="AD2664" s="1" t="s">
        <v>104</v>
      </c>
      <c r="AE2664" s="1">
        <v>4</v>
      </c>
      <c r="AF2664" s="1">
        <v>4</v>
      </c>
      <c r="AG2664" s="1" t="s">
        <v>104</v>
      </c>
      <c r="AH2664" s="1" t="s">
        <v>104</v>
      </c>
      <c r="AI2664" s="1" t="s">
        <v>104</v>
      </c>
      <c r="AJ2664" s="1">
        <v>4</v>
      </c>
      <c r="AK2664" s="1" t="s">
        <v>104</v>
      </c>
      <c r="AL2664" s="1" t="s">
        <v>104</v>
      </c>
      <c r="AM2664" s="1" t="s">
        <v>104</v>
      </c>
      <c r="AO2664" s="1">
        <v>4</v>
      </c>
      <c r="AR2664" s="1">
        <v>0</v>
      </c>
      <c r="AS2664" s="1">
        <v>0</v>
      </c>
      <c r="AT2664" s="1">
        <v>0</v>
      </c>
      <c r="AU2664" s="1">
        <v>0</v>
      </c>
      <c r="AV2664" s="1">
        <v>0</v>
      </c>
      <c r="AW2664" s="1">
        <v>0</v>
      </c>
      <c r="AX2664" s="1">
        <v>0</v>
      </c>
      <c r="AY2664" s="1">
        <v>0</v>
      </c>
      <c r="AZ2664" s="1">
        <v>0</v>
      </c>
      <c r="BA2664" s="1">
        <v>0</v>
      </c>
      <c r="BB2664" s="1">
        <v>0</v>
      </c>
      <c r="BC2664" s="1">
        <v>0</v>
      </c>
      <c r="BD2664" s="1">
        <v>0</v>
      </c>
      <c r="BE2664" s="1">
        <v>0</v>
      </c>
      <c r="BF2664" s="1">
        <v>0</v>
      </c>
      <c r="BG2664" s="1">
        <v>0</v>
      </c>
      <c r="BH2664" s="1">
        <v>0</v>
      </c>
      <c r="BI2664" s="1">
        <v>0</v>
      </c>
      <c r="BJ2664" s="1">
        <v>0</v>
      </c>
      <c r="BK2664" s="1">
        <v>0</v>
      </c>
      <c r="BL2664" s="1">
        <v>0</v>
      </c>
      <c r="BM2664" s="1">
        <v>0</v>
      </c>
      <c r="BN2664" s="1">
        <v>0</v>
      </c>
      <c r="BO2664" s="1">
        <v>0</v>
      </c>
      <c r="BP2664" s="1">
        <v>0</v>
      </c>
      <c r="BQ2664" s="1" t="s">
        <v>104</v>
      </c>
      <c r="BR2664" s="1">
        <v>3797</v>
      </c>
      <c r="BS2664" s="1" t="s">
        <v>104</v>
      </c>
      <c r="BX2664" s="1">
        <v>0</v>
      </c>
      <c r="BY2664" s="1" t="s">
        <v>104</v>
      </c>
      <c r="BZ2664" s="1" t="s">
        <v>104</v>
      </c>
      <c r="CA2664" s="1">
        <v>5</v>
      </c>
      <c r="CB2664" s="1">
        <v>4</v>
      </c>
      <c r="CC2664" s="1" t="s">
        <v>104</v>
      </c>
      <c r="CD2664" s="1" t="s">
        <v>104</v>
      </c>
      <c r="CE2664" s="1" t="s">
        <v>104</v>
      </c>
      <c r="CF2664" s="1" t="s">
        <v>104</v>
      </c>
      <c r="CG2664" s="1" t="s">
        <v>104</v>
      </c>
      <c r="CH2664" s="1" t="s">
        <v>104</v>
      </c>
      <c r="CJ2664" s="1">
        <v>0</v>
      </c>
      <c r="CK2664" s="1">
        <v>0</v>
      </c>
      <c r="CL2664" s="1">
        <v>0</v>
      </c>
      <c r="CM2664" s="1" t="s">
        <v>104</v>
      </c>
    </row>
    <row r="2665" spans="1:91" ht="14.25" customHeight="1" x14ac:dyDescent="0.3">
      <c r="A2665" s="1" t="s">
        <v>13520</v>
      </c>
      <c r="B2665" s="1" t="s">
        <v>123</v>
      </c>
      <c r="C2665" s="1" t="s">
        <v>124</v>
      </c>
      <c r="D2665" s="1" t="s">
        <v>10198</v>
      </c>
      <c r="E2665" s="1" t="s">
        <v>13521</v>
      </c>
      <c r="F2665" s="1" t="s">
        <v>95</v>
      </c>
      <c r="G2665" s="1" t="s">
        <v>13522</v>
      </c>
      <c r="H2665" s="1">
        <v>0</v>
      </c>
      <c r="I2665" s="1" t="s">
        <v>117</v>
      </c>
      <c r="L2665" s="1" t="s">
        <v>1065</v>
      </c>
      <c r="M2665" s="1" t="s">
        <v>201</v>
      </c>
      <c r="N2665" s="1">
        <v>0</v>
      </c>
      <c r="O2665" s="1">
        <v>0</v>
      </c>
      <c r="P2665" s="1" t="s">
        <v>211</v>
      </c>
      <c r="Q2665" s="1" t="s">
        <v>184</v>
      </c>
      <c r="R2665" s="1" t="s">
        <v>13523</v>
      </c>
      <c r="S2665" s="1" t="s">
        <v>13501</v>
      </c>
      <c r="T2665" s="1">
        <v>1</v>
      </c>
      <c r="U2665" s="1">
        <v>1</v>
      </c>
      <c r="V2665" s="1">
        <v>1</v>
      </c>
      <c r="W2665" s="1">
        <v>0</v>
      </c>
      <c r="X2665" s="1">
        <v>0</v>
      </c>
      <c r="Y2665" s="1">
        <v>5</v>
      </c>
      <c r="Z2665" s="1">
        <v>5</v>
      </c>
      <c r="AA2665" s="1" t="s">
        <v>104</v>
      </c>
      <c r="AB2665" s="1" t="s">
        <v>104</v>
      </c>
      <c r="AC2665" s="1" t="s">
        <v>104</v>
      </c>
      <c r="AD2665" s="1">
        <v>5</v>
      </c>
      <c r="AE2665" s="1" t="s">
        <v>104</v>
      </c>
      <c r="AF2665" s="1" t="s">
        <v>104</v>
      </c>
      <c r="AG2665" s="1" t="s">
        <v>104</v>
      </c>
      <c r="AH2665" s="1">
        <v>5</v>
      </c>
      <c r="AI2665" s="1" t="s">
        <v>104</v>
      </c>
      <c r="AJ2665" s="1" t="s">
        <v>104</v>
      </c>
      <c r="AK2665" s="1" t="s">
        <v>104</v>
      </c>
      <c r="AL2665" s="1" t="s">
        <v>104</v>
      </c>
      <c r="AM2665" s="1" t="s">
        <v>104</v>
      </c>
      <c r="AO2665" s="1">
        <v>5</v>
      </c>
      <c r="AR2665" s="1">
        <v>0</v>
      </c>
      <c r="AS2665" s="1">
        <v>0</v>
      </c>
      <c r="AT2665" s="1">
        <v>0</v>
      </c>
      <c r="AU2665" s="1">
        <v>0</v>
      </c>
      <c r="AV2665" s="1">
        <v>1</v>
      </c>
      <c r="AW2665" s="1">
        <v>0</v>
      </c>
      <c r="AX2665" s="1">
        <v>0</v>
      </c>
      <c r="AY2665" s="1">
        <v>0</v>
      </c>
      <c r="AZ2665" s="1">
        <v>0</v>
      </c>
      <c r="BA2665" s="1">
        <v>0</v>
      </c>
      <c r="BB2665" s="1">
        <v>0</v>
      </c>
      <c r="BC2665" s="1">
        <v>0</v>
      </c>
      <c r="BD2665" s="1">
        <v>0</v>
      </c>
      <c r="BE2665" s="1">
        <v>0</v>
      </c>
      <c r="BF2665" s="1">
        <v>0</v>
      </c>
      <c r="BG2665" s="1">
        <v>0</v>
      </c>
      <c r="BH2665" s="1">
        <v>0</v>
      </c>
      <c r="BI2665" s="1">
        <v>0</v>
      </c>
      <c r="BJ2665" s="1">
        <v>0</v>
      </c>
      <c r="BK2665" s="1">
        <v>1</v>
      </c>
      <c r="BL2665" s="1">
        <v>0</v>
      </c>
      <c r="BM2665" s="1">
        <v>0</v>
      </c>
      <c r="BN2665" s="1">
        <v>0</v>
      </c>
      <c r="BO2665" s="1">
        <v>0</v>
      </c>
      <c r="BP2665" s="1">
        <v>0</v>
      </c>
      <c r="BQ2665" s="1" t="s">
        <v>104</v>
      </c>
      <c r="BR2665" s="1">
        <v>3798</v>
      </c>
      <c r="BS2665" s="1" t="s">
        <v>104</v>
      </c>
      <c r="BX2665" s="1">
        <v>0</v>
      </c>
      <c r="BY2665" s="1" t="s">
        <v>104</v>
      </c>
      <c r="BZ2665" s="1">
        <v>5</v>
      </c>
      <c r="CA2665" s="1">
        <v>5</v>
      </c>
      <c r="CB2665" s="1" t="s">
        <v>104</v>
      </c>
      <c r="CC2665" s="1">
        <v>5</v>
      </c>
      <c r="CD2665" s="1" t="s">
        <v>104</v>
      </c>
      <c r="CE2665" s="1" t="s">
        <v>104</v>
      </c>
      <c r="CF2665" s="1" t="s">
        <v>104</v>
      </c>
      <c r="CG2665" s="1" t="s">
        <v>104</v>
      </c>
      <c r="CH2665" s="1" t="s">
        <v>104</v>
      </c>
      <c r="CJ2665" s="1">
        <v>0</v>
      </c>
      <c r="CK2665" s="1">
        <v>0</v>
      </c>
      <c r="CL2665" s="1">
        <v>0</v>
      </c>
      <c r="CM2665" s="1" t="s">
        <v>104</v>
      </c>
    </row>
    <row r="2666" spans="1:91" ht="14.25" customHeight="1" x14ac:dyDescent="0.3">
      <c r="A2666" s="1" t="s">
        <v>13524</v>
      </c>
      <c r="B2666" s="1" t="s">
        <v>172</v>
      </c>
      <c r="E2666" s="1" t="s">
        <v>13525</v>
      </c>
      <c r="F2666" s="1" t="s">
        <v>95</v>
      </c>
      <c r="G2666" s="1" t="s">
        <v>116</v>
      </c>
      <c r="H2666" s="1">
        <v>0</v>
      </c>
      <c r="I2666" s="1" t="s">
        <v>157</v>
      </c>
      <c r="L2666" s="1" t="s">
        <v>158</v>
      </c>
      <c r="M2666" s="1" t="s">
        <v>4992</v>
      </c>
      <c r="N2666" s="1">
        <v>1</v>
      </c>
      <c r="O2666" s="1">
        <v>0</v>
      </c>
      <c r="R2666" s="1" t="s">
        <v>13526</v>
      </c>
      <c r="S2666" s="1" t="s">
        <v>13527</v>
      </c>
      <c r="T2666" s="1">
        <v>1</v>
      </c>
      <c r="U2666" s="1">
        <v>1</v>
      </c>
      <c r="V2666" s="1">
        <v>0</v>
      </c>
      <c r="W2666" s="1">
        <v>0</v>
      </c>
      <c r="X2666" s="1">
        <v>0</v>
      </c>
      <c r="Y2666" s="1">
        <v>2</v>
      </c>
      <c r="Z2666" s="1">
        <v>2</v>
      </c>
      <c r="AA2666" s="1">
        <v>2</v>
      </c>
      <c r="AB2666" s="1" t="s">
        <v>104</v>
      </c>
      <c r="AC2666" s="1" t="s">
        <v>104</v>
      </c>
      <c r="AD2666" s="1">
        <v>2</v>
      </c>
      <c r="AE2666" s="1">
        <v>2</v>
      </c>
      <c r="AF2666" s="1">
        <v>2</v>
      </c>
      <c r="AG2666" s="1" t="s">
        <v>104</v>
      </c>
      <c r="AH2666" s="1">
        <v>2</v>
      </c>
      <c r="AI2666" s="1">
        <v>2</v>
      </c>
      <c r="AJ2666" s="1">
        <v>2</v>
      </c>
      <c r="AK2666" s="1" t="s">
        <v>104</v>
      </c>
      <c r="AL2666" s="1" t="s">
        <v>104</v>
      </c>
      <c r="AM2666" s="1" t="s">
        <v>104</v>
      </c>
      <c r="AO2666" s="1">
        <v>2</v>
      </c>
      <c r="AR2666" s="1">
        <v>0</v>
      </c>
      <c r="AS2666" s="1">
        <v>0</v>
      </c>
      <c r="AT2666" s="1">
        <v>0</v>
      </c>
      <c r="AU2666" s="1">
        <v>0</v>
      </c>
      <c r="AV2666" s="1">
        <v>0</v>
      </c>
      <c r="AW2666" s="1">
        <v>0</v>
      </c>
      <c r="AX2666" s="1">
        <v>0</v>
      </c>
      <c r="AY2666" s="1">
        <v>0</v>
      </c>
      <c r="AZ2666" s="1">
        <v>0</v>
      </c>
      <c r="BA2666" s="1">
        <v>0</v>
      </c>
      <c r="BB2666" s="1">
        <v>0</v>
      </c>
      <c r="BC2666" s="1">
        <v>0</v>
      </c>
      <c r="BD2666" s="1">
        <v>0</v>
      </c>
      <c r="BE2666" s="1">
        <v>0</v>
      </c>
      <c r="BF2666" s="1">
        <v>0</v>
      </c>
      <c r="BG2666" s="1">
        <v>0</v>
      </c>
      <c r="BH2666" s="1">
        <v>0</v>
      </c>
      <c r="BI2666" s="1">
        <v>0</v>
      </c>
      <c r="BJ2666" s="1">
        <v>0</v>
      </c>
      <c r="BK2666" s="1">
        <v>0</v>
      </c>
      <c r="BL2666" s="1">
        <v>0</v>
      </c>
      <c r="BM2666" s="1">
        <v>0</v>
      </c>
      <c r="BN2666" s="1">
        <v>0</v>
      </c>
      <c r="BO2666" s="1">
        <v>0</v>
      </c>
      <c r="BP2666" s="1">
        <v>0</v>
      </c>
      <c r="BQ2666" s="1" t="s">
        <v>104</v>
      </c>
      <c r="BR2666" s="1">
        <v>4792</v>
      </c>
      <c r="BS2666" s="1" t="s">
        <v>104</v>
      </c>
      <c r="BX2666" s="1">
        <v>0</v>
      </c>
      <c r="BY2666" s="1" t="s">
        <v>104</v>
      </c>
      <c r="BZ2666" s="1" t="s">
        <v>104</v>
      </c>
      <c r="CA2666" s="1">
        <v>2</v>
      </c>
      <c r="CB2666" s="1">
        <v>2</v>
      </c>
      <c r="CC2666" s="1">
        <v>2</v>
      </c>
      <c r="CD2666" s="1">
        <v>2</v>
      </c>
      <c r="CE2666" s="1">
        <v>2</v>
      </c>
      <c r="CF2666" s="1" t="s">
        <v>104</v>
      </c>
      <c r="CG2666" s="1" t="s">
        <v>104</v>
      </c>
      <c r="CH2666" s="1" t="s">
        <v>104</v>
      </c>
      <c r="CJ2666" s="1">
        <v>0</v>
      </c>
      <c r="CK2666" s="1">
        <v>0</v>
      </c>
      <c r="CL2666" s="1">
        <v>0</v>
      </c>
      <c r="CM2666" s="1" t="s">
        <v>104</v>
      </c>
    </row>
    <row r="2667" spans="1:91" ht="14.25" customHeight="1" x14ac:dyDescent="0.3">
      <c r="A2667" s="1" t="s">
        <v>13528</v>
      </c>
      <c r="B2667" s="1" t="s">
        <v>172</v>
      </c>
      <c r="E2667" s="1" t="s">
        <v>13529</v>
      </c>
      <c r="F2667" s="1" t="s">
        <v>191</v>
      </c>
      <c r="G2667" s="1" t="s">
        <v>116</v>
      </c>
      <c r="H2667" s="1">
        <v>0</v>
      </c>
      <c r="I2667" s="1" t="s">
        <v>117</v>
      </c>
      <c r="J2667" s="1" t="s">
        <v>13405</v>
      </c>
      <c r="M2667" s="1" t="s">
        <v>620</v>
      </c>
      <c r="N2667" s="1">
        <v>1</v>
      </c>
      <c r="O2667" s="1">
        <v>0</v>
      </c>
      <c r="P2667" s="1" t="s">
        <v>100</v>
      </c>
      <c r="Q2667" s="1" t="s">
        <v>184</v>
      </c>
      <c r="R2667" s="1" t="s">
        <v>13530</v>
      </c>
      <c r="S2667" s="1" t="s">
        <v>13527</v>
      </c>
      <c r="T2667" s="1">
        <v>1</v>
      </c>
      <c r="U2667" s="1">
        <v>1</v>
      </c>
      <c r="V2667" s="1">
        <v>0</v>
      </c>
      <c r="W2667" s="1">
        <v>0</v>
      </c>
      <c r="X2667" s="1">
        <v>0</v>
      </c>
      <c r="Y2667" s="1" t="s">
        <v>104</v>
      </c>
      <c r="Z2667" s="1" t="s">
        <v>104</v>
      </c>
      <c r="AA2667" s="1" t="s">
        <v>104</v>
      </c>
      <c r="AB2667" s="1" t="s">
        <v>104</v>
      </c>
      <c r="AC2667" s="1" t="s">
        <v>104</v>
      </c>
      <c r="AD2667" s="1" t="s">
        <v>104</v>
      </c>
      <c r="AE2667" s="1" t="s">
        <v>104</v>
      </c>
      <c r="AF2667" s="1" t="s">
        <v>104</v>
      </c>
      <c r="AG2667" s="1" t="s">
        <v>104</v>
      </c>
      <c r="AH2667" s="1" t="s">
        <v>104</v>
      </c>
      <c r="AI2667" s="1" t="s">
        <v>104</v>
      </c>
      <c r="AJ2667" s="1" t="s">
        <v>104</v>
      </c>
      <c r="AK2667" s="1" t="s">
        <v>104</v>
      </c>
      <c r="AL2667" s="1" t="s">
        <v>104</v>
      </c>
      <c r="AM2667" s="1" t="s">
        <v>104</v>
      </c>
      <c r="AO2667" s="1" t="s">
        <v>104</v>
      </c>
      <c r="AR2667" s="1">
        <v>0</v>
      </c>
      <c r="AS2667" s="1">
        <v>0</v>
      </c>
      <c r="AT2667" s="1">
        <v>0</v>
      </c>
      <c r="AU2667" s="1">
        <v>0</v>
      </c>
      <c r="AV2667" s="1">
        <v>0</v>
      </c>
      <c r="AW2667" s="1">
        <v>0</v>
      </c>
      <c r="AX2667" s="1">
        <v>0</v>
      </c>
      <c r="AY2667" s="1">
        <v>0</v>
      </c>
      <c r="AZ2667" s="1">
        <v>0</v>
      </c>
      <c r="BA2667" s="1">
        <v>0</v>
      </c>
      <c r="BB2667" s="1">
        <v>0</v>
      </c>
      <c r="BC2667" s="1">
        <v>0</v>
      </c>
      <c r="BD2667" s="1">
        <v>0</v>
      </c>
      <c r="BE2667" s="1">
        <v>0</v>
      </c>
      <c r="BF2667" s="1">
        <v>0</v>
      </c>
      <c r="BG2667" s="1">
        <v>0</v>
      </c>
      <c r="BH2667" s="1">
        <v>0</v>
      </c>
      <c r="BI2667" s="1">
        <v>0</v>
      </c>
      <c r="BJ2667" s="1">
        <v>0</v>
      </c>
      <c r="BK2667" s="1">
        <v>0</v>
      </c>
      <c r="BL2667" s="1">
        <v>0</v>
      </c>
      <c r="BM2667" s="1">
        <v>0</v>
      </c>
      <c r="BN2667" s="1">
        <v>0</v>
      </c>
      <c r="BO2667" s="1">
        <v>0</v>
      </c>
      <c r="BP2667" s="1">
        <v>0</v>
      </c>
      <c r="BQ2667" s="1" t="s">
        <v>104</v>
      </c>
      <c r="BR2667" s="1">
        <v>4793</v>
      </c>
      <c r="BS2667" s="1" t="s">
        <v>104</v>
      </c>
      <c r="BX2667" s="1">
        <v>0</v>
      </c>
      <c r="BY2667" s="1" t="s">
        <v>104</v>
      </c>
      <c r="BZ2667" s="1" t="s">
        <v>104</v>
      </c>
      <c r="CA2667" s="1">
        <v>4</v>
      </c>
      <c r="CB2667" s="1">
        <v>3</v>
      </c>
      <c r="CC2667" s="1">
        <v>4</v>
      </c>
      <c r="CD2667" s="1">
        <v>4</v>
      </c>
      <c r="CE2667" s="1">
        <v>4</v>
      </c>
      <c r="CF2667" s="1" t="s">
        <v>104</v>
      </c>
      <c r="CG2667" s="1" t="s">
        <v>104</v>
      </c>
      <c r="CH2667" s="1" t="s">
        <v>104</v>
      </c>
      <c r="CJ2667" s="1">
        <v>0</v>
      </c>
      <c r="CK2667" s="1">
        <v>0</v>
      </c>
      <c r="CL2667" s="1">
        <v>0</v>
      </c>
      <c r="CM2667" s="1" t="s">
        <v>104</v>
      </c>
    </row>
    <row r="2668" spans="1:91" ht="14.25" customHeight="1" x14ac:dyDescent="0.3">
      <c r="A2668" s="1" t="s">
        <v>13531</v>
      </c>
      <c r="B2668" s="1" t="s">
        <v>507</v>
      </c>
      <c r="C2668" s="1" t="s">
        <v>508</v>
      </c>
      <c r="E2668" s="1" t="s">
        <v>13532</v>
      </c>
      <c r="F2668" s="1" t="s">
        <v>191</v>
      </c>
      <c r="G2668" s="1" t="s">
        <v>116</v>
      </c>
      <c r="H2668" s="1">
        <v>0</v>
      </c>
      <c r="I2668" s="1" t="s">
        <v>117</v>
      </c>
      <c r="L2668" s="1" t="s">
        <v>13533</v>
      </c>
      <c r="M2668" s="1" t="s">
        <v>620</v>
      </c>
      <c r="N2668" s="1">
        <v>1</v>
      </c>
      <c r="O2668" s="1">
        <v>0</v>
      </c>
      <c r="P2668" s="1" t="s">
        <v>13534</v>
      </c>
      <c r="Q2668" s="1" t="s">
        <v>101</v>
      </c>
      <c r="R2668" s="1" t="s">
        <v>13535</v>
      </c>
      <c r="S2668" s="1" t="s">
        <v>13527</v>
      </c>
      <c r="T2668" s="1">
        <v>1</v>
      </c>
      <c r="U2668" s="1">
        <v>1</v>
      </c>
      <c r="V2668" s="1">
        <v>0</v>
      </c>
      <c r="W2668" s="1">
        <v>0</v>
      </c>
      <c r="X2668" s="1">
        <v>0</v>
      </c>
      <c r="Y2668" s="1">
        <v>3</v>
      </c>
      <c r="Z2668" s="1">
        <v>3</v>
      </c>
      <c r="AA2668" s="1" t="s">
        <v>104</v>
      </c>
      <c r="AB2668" s="1" t="s">
        <v>104</v>
      </c>
      <c r="AC2668" s="1" t="s">
        <v>104</v>
      </c>
      <c r="AD2668" s="1">
        <v>3</v>
      </c>
      <c r="AE2668" s="1" t="s">
        <v>104</v>
      </c>
      <c r="AF2668" s="1" t="s">
        <v>104</v>
      </c>
      <c r="AG2668" s="1" t="s">
        <v>104</v>
      </c>
      <c r="AH2668" s="1">
        <v>3</v>
      </c>
      <c r="AI2668" s="1" t="s">
        <v>104</v>
      </c>
      <c r="AJ2668" s="1" t="s">
        <v>104</v>
      </c>
      <c r="AK2668" s="1" t="s">
        <v>104</v>
      </c>
      <c r="AL2668" s="1" t="s">
        <v>104</v>
      </c>
      <c r="AM2668" s="1" t="s">
        <v>104</v>
      </c>
      <c r="AO2668" s="1">
        <v>3</v>
      </c>
      <c r="AR2668" s="1">
        <v>0</v>
      </c>
      <c r="AS2668" s="1">
        <v>0</v>
      </c>
      <c r="AT2668" s="1">
        <v>0</v>
      </c>
      <c r="AU2668" s="1">
        <v>0</v>
      </c>
      <c r="AV2668" s="1">
        <v>0</v>
      </c>
      <c r="AW2668" s="1">
        <v>0</v>
      </c>
      <c r="AX2668" s="1">
        <v>0</v>
      </c>
      <c r="AY2668" s="1">
        <v>0</v>
      </c>
      <c r="AZ2668" s="1">
        <v>0</v>
      </c>
      <c r="BA2668" s="1">
        <v>0</v>
      </c>
      <c r="BB2668" s="1">
        <v>0</v>
      </c>
      <c r="BC2668" s="1">
        <v>0</v>
      </c>
      <c r="BD2668" s="1">
        <v>0</v>
      </c>
      <c r="BE2668" s="1">
        <v>0</v>
      </c>
      <c r="BF2668" s="1">
        <v>0</v>
      </c>
      <c r="BG2668" s="1">
        <v>0</v>
      </c>
      <c r="BH2668" s="1">
        <v>0</v>
      </c>
      <c r="BI2668" s="1">
        <v>0</v>
      </c>
      <c r="BJ2668" s="1">
        <v>0</v>
      </c>
      <c r="BK2668" s="1">
        <v>0</v>
      </c>
      <c r="BL2668" s="1">
        <v>0</v>
      </c>
      <c r="BM2668" s="1">
        <v>0</v>
      </c>
      <c r="BN2668" s="1">
        <v>0</v>
      </c>
      <c r="BO2668" s="1">
        <v>0</v>
      </c>
      <c r="BP2668" s="1">
        <v>0</v>
      </c>
      <c r="BQ2668" s="1" t="s">
        <v>104</v>
      </c>
      <c r="BR2668" s="1">
        <v>4794</v>
      </c>
      <c r="BS2668" s="1" t="s">
        <v>104</v>
      </c>
      <c r="BX2668" s="1">
        <v>0</v>
      </c>
      <c r="BY2668" s="1" t="s">
        <v>104</v>
      </c>
      <c r="BZ2668" s="1">
        <v>3</v>
      </c>
      <c r="CA2668" s="1">
        <v>3</v>
      </c>
      <c r="CB2668" s="1">
        <v>3</v>
      </c>
      <c r="CC2668" s="1">
        <v>3</v>
      </c>
      <c r="CD2668" s="1" t="s">
        <v>104</v>
      </c>
      <c r="CE2668" s="1" t="s">
        <v>104</v>
      </c>
      <c r="CF2668" s="1" t="s">
        <v>104</v>
      </c>
      <c r="CG2668" s="1" t="s">
        <v>104</v>
      </c>
      <c r="CH2668" s="1" t="s">
        <v>104</v>
      </c>
      <c r="CJ2668" s="1">
        <v>0</v>
      </c>
      <c r="CK2668" s="1">
        <v>0</v>
      </c>
      <c r="CL2668" s="1">
        <v>0</v>
      </c>
      <c r="CM2668" s="1" t="s">
        <v>104</v>
      </c>
    </row>
    <row r="2669" spans="1:91" ht="14.25" customHeight="1" x14ac:dyDescent="0.3">
      <c r="A2669" s="1" t="s">
        <v>13536</v>
      </c>
      <c r="B2669" s="1" t="s">
        <v>172</v>
      </c>
      <c r="E2669" s="1" t="s">
        <v>13537</v>
      </c>
      <c r="F2669" s="1" t="s">
        <v>95</v>
      </c>
      <c r="G2669" s="1" t="s">
        <v>116</v>
      </c>
      <c r="H2669" s="1">
        <v>0</v>
      </c>
      <c r="I2669" s="1" t="s">
        <v>157</v>
      </c>
      <c r="L2669" s="1" t="s">
        <v>158</v>
      </c>
      <c r="M2669" s="1" t="s">
        <v>620</v>
      </c>
      <c r="N2669" s="1">
        <v>1</v>
      </c>
      <c r="O2669" s="1">
        <v>0</v>
      </c>
      <c r="R2669" s="1" t="s">
        <v>13538</v>
      </c>
      <c r="S2669" s="1" t="s">
        <v>13527</v>
      </c>
      <c r="T2669" s="1">
        <v>1</v>
      </c>
      <c r="U2669" s="1">
        <v>1</v>
      </c>
      <c r="V2669" s="1">
        <v>0</v>
      </c>
      <c r="W2669" s="1">
        <v>0</v>
      </c>
      <c r="X2669" s="1">
        <v>0</v>
      </c>
      <c r="Y2669" s="1">
        <v>1</v>
      </c>
      <c r="Z2669" s="1">
        <v>1</v>
      </c>
      <c r="AA2669" s="1">
        <v>1</v>
      </c>
      <c r="AB2669" s="1" t="s">
        <v>104</v>
      </c>
      <c r="AC2669" s="1" t="s">
        <v>104</v>
      </c>
      <c r="AD2669" s="1">
        <v>1</v>
      </c>
      <c r="AE2669" s="1" t="s">
        <v>104</v>
      </c>
      <c r="AF2669" s="1">
        <v>1</v>
      </c>
      <c r="AG2669" s="1" t="s">
        <v>104</v>
      </c>
      <c r="AH2669" s="1">
        <v>1</v>
      </c>
      <c r="AI2669" s="1">
        <v>1</v>
      </c>
      <c r="AJ2669" s="1">
        <v>1</v>
      </c>
      <c r="AK2669" s="1" t="s">
        <v>104</v>
      </c>
      <c r="AL2669" s="1" t="s">
        <v>104</v>
      </c>
      <c r="AM2669" s="1" t="s">
        <v>104</v>
      </c>
      <c r="AO2669" s="1">
        <v>1</v>
      </c>
      <c r="AR2669" s="1">
        <v>0</v>
      </c>
      <c r="AS2669" s="1">
        <v>0</v>
      </c>
      <c r="AT2669" s="1">
        <v>0</v>
      </c>
      <c r="AU2669" s="1">
        <v>0</v>
      </c>
      <c r="AV2669" s="1">
        <v>0</v>
      </c>
      <c r="AW2669" s="1">
        <v>0</v>
      </c>
      <c r="AX2669" s="1">
        <v>0</v>
      </c>
      <c r="AY2669" s="1">
        <v>0</v>
      </c>
      <c r="AZ2669" s="1">
        <v>0</v>
      </c>
      <c r="BA2669" s="1">
        <v>0</v>
      </c>
      <c r="BB2669" s="1">
        <v>0</v>
      </c>
      <c r="BC2669" s="1">
        <v>0</v>
      </c>
      <c r="BD2669" s="1">
        <v>0</v>
      </c>
      <c r="BE2669" s="1">
        <v>0</v>
      </c>
      <c r="BF2669" s="1">
        <v>0</v>
      </c>
      <c r="BG2669" s="1">
        <v>0</v>
      </c>
      <c r="BH2669" s="1">
        <v>0</v>
      </c>
      <c r="BI2669" s="1">
        <v>0</v>
      </c>
      <c r="BJ2669" s="1">
        <v>0</v>
      </c>
      <c r="BK2669" s="1">
        <v>0</v>
      </c>
      <c r="BL2669" s="1">
        <v>0</v>
      </c>
      <c r="BM2669" s="1">
        <v>0</v>
      </c>
      <c r="BN2669" s="1">
        <v>0</v>
      </c>
      <c r="BO2669" s="1">
        <v>0</v>
      </c>
      <c r="BP2669" s="1">
        <v>0</v>
      </c>
      <c r="BQ2669" s="1" t="s">
        <v>104</v>
      </c>
      <c r="BR2669" s="1">
        <v>4795</v>
      </c>
      <c r="BS2669" s="1" t="s">
        <v>104</v>
      </c>
      <c r="BX2669" s="1">
        <v>0</v>
      </c>
      <c r="BY2669" s="1" t="s">
        <v>104</v>
      </c>
      <c r="BZ2669" s="1" t="s">
        <v>104</v>
      </c>
      <c r="CA2669" s="1">
        <v>1</v>
      </c>
      <c r="CB2669" s="1">
        <v>1</v>
      </c>
      <c r="CC2669" s="1">
        <v>1</v>
      </c>
      <c r="CD2669" s="1">
        <v>1</v>
      </c>
      <c r="CE2669" s="1">
        <v>1</v>
      </c>
      <c r="CF2669" s="1" t="s">
        <v>104</v>
      </c>
      <c r="CG2669" s="1" t="s">
        <v>104</v>
      </c>
      <c r="CH2669" s="1" t="s">
        <v>104</v>
      </c>
      <c r="CJ2669" s="1">
        <v>0</v>
      </c>
      <c r="CK2669" s="1">
        <v>0</v>
      </c>
      <c r="CL2669" s="1">
        <v>0</v>
      </c>
      <c r="CM2669" s="1" t="s">
        <v>104</v>
      </c>
    </row>
    <row r="2670" spans="1:91" ht="14.25" customHeight="1" x14ac:dyDescent="0.3">
      <c r="A2670" s="1" t="s">
        <v>13539</v>
      </c>
      <c r="B2670" s="1" t="s">
        <v>137</v>
      </c>
      <c r="C2670" s="1" t="s">
        <v>154</v>
      </c>
      <c r="E2670" s="1" t="s">
        <v>13540</v>
      </c>
      <c r="F2670" s="1" t="s">
        <v>95</v>
      </c>
      <c r="G2670" s="1" t="s">
        <v>13541</v>
      </c>
      <c r="H2670" s="1">
        <v>0</v>
      </c>
      <c r="I2670" s="1" t="s">
        <v>157</v>
      </c>
      <c r="L2670" s="1" t="s">
        <v>158</v>
      </c>
      <c r="M2670" s="1" t="s">
        <v>201</v>
      </c>
      <c r="N2670" s="1">
        <v>0</v>
      </c>
      <c r="O2670" s="1">
        <v>0</v>
      </c>
      <c r="R2670" s="1" t="s">
        <v>13542</v>
      </c>
      <c r="S2670" s="1" t="s">
        <v>13527</v>
      </c>
      <c r="T2670" s="1">
        <v>1</v>
      </c>
      <c r="U2670" s="1">
        <v>1</v>
      </c>
      <c r="V2670" s="1">
        <v>1</v>
      </c>
      <c r="W2670" s="1">
        <v>0</v>
      </c>
      <c r="X2670" s="1">
        <v>0</v>
      </c>
      <c r="Y2670" s="1">
        <v>1</v>
      </c>
      <c r="Z2670" s="1">
        <v>1</v>
      </c>
      <c r="AA2670" s="1" t="s">
        <v>104</v>
      </c>
      <c r="AB2670" s="1" t="s">
        <v>104</v>
      </c>
      <c r="AC2670" s="1" t="s">
        <v>104</v>
      </c>
      <c r="AD2670" s="1">
        <v>1</v>
      </c>
      <c r="AE2670" s="1" t="s">
        <v>104</v>
      </c>
      <c r="AF2670" s="1">
        <v>1</v>
      </c>
      <c r="AG2670" s="1" t="s">
        <v>104</v>
      </c>
      <c r="AH2670" s="1">
        <v>1</v>
      </c>
      <c r="AI2670" s="1">
        <v>1</v>
      </c>
      <c r="AJ2670" s="1" t="s">
        <v>104</v>
      </c>
      <c r="AK2670" s="1" t="s">
        <v>104</v>
      </c>
      <c r="AL2670" s="1" t="s">
        <v>104</v>
      </c>
      <c r="AM2670" s="1" t="s">
        <v>104</v>
      </c>
      <c r="AO2670" s="1">
        <v>1</v>
      </c>
      <c r="AR2670" s="1">
        <v>0</v>
      </c>
      <c r="AS2670" s="1">
        <v>0</v>
      </c>
      <c r="AT2670" s="1">
        <v>0</v>
      </c>
      <c r="AU2670" s="1">
        <v>0</v>
      </c>
      <c r="AV2670" s="1">
        <v>0</v>
      </c>
      <c r="AW2670" s="1">
        <v>0</v>
      </c>
      <c r="AX2670" s="1">
        <v>0</v>
      </c>
      <c r="AY2670" s="1">
        <v>0</v>
      </c>
      <c r="AZ2670" s="1">
        <v>0</v>
      </c>
      <c r="BA2670" s="1">
        <v>0</v>
      </c>
      <c r="BB2670" s="1">
        <v>0</v>
      </c>
      <c r="BC2670" s="1">
        <v>0</v>
      </c>
      <c r="BD2670" s="1">
        <v>0</v>
      </c>
      <c r="BE2670" s="1">
        <v>0</v>
      </c>
      <c r="BF2670" s="1">
        <v>0</v>
      </c>
      <c r="BG2670" s="1">
        <v>0</v>
      </c>
      <c r="BH2670" s="1">
        <v>0</v>
      </c>
      <c r="BI2670" s="1">
        <v>0</v>
      </c>
      <c r="BJ2670" s="1">
        <v>0</v>
      </c>
      <c r="BK2670" s="1">
        <v>0</v>
      </c>
      <c r="BL2670" s="1">
        <v>0</v>
      </c>
      <c r="BM2670" s="1">
        <v>0</v>
      </c>
      <c r="BN2670" s="1">
        <v>0</v>
      </c>
      <c r="BO2670" s="1">
        <v>0</v>
      </c>
      <c r="BP2670" s="1">
        <v>0</v>
      </c>
      <c r="BQ2670" s="1" t="s">
        <v>104</v>
      </c>
      <c r="BR2670" s="1">
        <v>4796</v>
      </c>
      <c r="BS2670" s="1" t="s">
        <v>104</v>
      </c>
      <c r="BX2670" s="1">
        <v>0</v>
      </c>
      <c r="BY2670" s="1" t="s">
        <v>104</v>
      </c>
      <c r="BZ2670" s="1" t="s">
        <v>104</v>
      </c>
      <c r="CA2670" s="1" t="s">
        <v>104</v>
      </c>
      <c r="CB2670" s="1" t="s">
        <v>104</v>
      </c>
      <c r="CC2670" s="1">
        <v>1</v>
      </c>
      <c r="CD2670" s="1" t="s">
        <v>104</v>
      </c>
      <c r="CE2670" s="1" t="s">
        <v>104</v>
      </c>
      <c r="CF2670" s="1" t="s">
        <v>104</v>
      </c>
      <c r="CG2670" s="1" t="s">
        <v>104</v>
      </c>
      <c r="CH2670" s="1" t="s">
        <v>104</v>
      </c>
      <c r="CJ2670" s="1">
        <v>0</v>
      </c>
      <c r="CK2670" s="1">
        <v>0</v>
      </c>
      <c r="CL2670" s="1">
        <v>0</v>
      </c>
      <c r="CM2670" s="1" t="s">
        <v>104</v>
      </c>
    </row>
    <row r="2671" spans="1:91" ht="14.25" customHeight="1" x14ac:dyDescent="0.3">
      <c r="A2671" s="1" t="s">
        <v>13543</v>
      </c>
      <c r="B2671" s="1" t="s">
        <v>172</v>
      </c>
      <c r="E2671" s="1" t="s">
        <v>13544</v>
      </c>
      <c r="F2671" s="1" t="s">
        <v>191</v>
      </c>
      <c r="G2671" s="1" t="s">
        <v>13545</v>
      </c>
      <c r="H2671" s="1">
        <v>1</v>
      </c>
      <c r="I2671" s="1" t="s">
        <v>157</v>
      </c>
      <c r="L2671" s="1" t="s">
        <v>158</v>
      </c>
      <c r="M2671" s="1" t="s">
        <v>201</v>
      </c>
      <c r="N2671" s="1">
        <v>0</v>
      </c>
      <c r="O2671" s="1">
        <v>0</v>
      </c>
      <c r="R2671" s="1" t="s">
        <v>13546</v>
      </c>
      <c r="S2671" s="1" t="s">
        <v>13527</v>
      </c>
      <c r="T2671" s="1">
        <v>1</v>
      </c>
      <c r="U2671" s="1">
        <v>1</v>
      </c>
      <c r="V2671" s="1">
        <v>1</v>
      </c>
      <c r="W2671" s="1">
        <v>0</v>
      </c>
      <c r="X2671" s="1">
        <v>0</v>
      </c>
      <c r="Y2671" s="1">
        <v>7</v>
      </c>
      <c r="Z2671" s="1">
        <v>7</v>
      </c>
      <c r="AA2671" s="1">
        <v>6</v>
      </c>
      <c r="AB2671" s="1" t="s">
        <v>104</v>
      </c>
      <c r="AC2671" s="1" t="s">
        <v>104</v>
      </c>
      <c r="AD2671" s="1" t="s">
        <v>104</v>
      </c>
      <c r="AE2671" s="1" t="s">
        <v>104</v>
      </c>
      <c r="AF2671" s="1" t="s">
        <v>104</v>
      </c>
      <c r="AG2671" s="1" t="s">
        <v>104</v>
      </c>
      <c r="AH2671" s="1">
        <v>6</v>
      </c>
      <c r="AI2671" s="1">
        <v>4</v>
      </c>
      <c r="AJ2671" s="1">
        <v>6</v>
      </c>
      <c r="AK2671" s="1" t="s">
        <v>104</v>
      </c>
      <c r="AL2671" s="1" t="s">
        <v>104</v>
      </c>
      <c r="AM2671" s="1" t="s">
        <v>104</v>
      </c>
      <c r="AO2671" s="1">
        <v>7</v>
      </c>
      <c r="AR2671" s="1">
        <v>0</v>
      </c>
      <c r="AS2671" s="1">
        <v>0</v>
      </c>
      <c r="AT2671" s="1">
        <v>0</v>
      </c>
      <c r="AU2671" s="1">
        <v>0</v>
      </c>
      <c r="AV2671" s="1">
        <v>0</v>
      </c>
      <c r="AW2671" s="1">
        <v>0</v>
      </c>
      <c r="AX2671" s="1">
        <v>0</v>
      </c>
      <c r="AY2671" s="1">
        <v>0</v>
      </c>
      <c r="AZ2671" s="1">
        <v>0</v>
      </c>
      <c r="BA2671" s="1">
        <v>0</v>
      </c>
      <c r="BB2671" s="1">
        <v>0</v>
      </c>
      <c r="BC2671" s="1">
        <v>0</v>
      </c>
      <c r="BD2671" s="1">
        <v>0</v>
      </c>
      <c r="BE2671" s="1">
        <v>0</v>
      </c>
      <c r="BF2671" s="1">
        <v>0</v>
      </c>
      <c r="BG2671" s="1">
        <v>0</v>
      </c>
      <c r="BH2671" s="1">
        <v>0</v>
      </c>
      <c r="BI2671" s="1">
        <v>0</v>
      </c>
      <c r="BJ2671" s="1">
        <v>0</v>
      </c>
      <c r="BK2671" s="1">
        <v>0</v>
      </c>
      <c r="BL2671" s="1">
        <v>0</v>
      </c>
      <c r="BM2671" s="1">
        <v>0</v>
      </c>
      <c r="BN2671" s="1">
        <v>0</v>
      </c>
      <c r="BO2671" s="1">
        <v>0</v>
      </c>
      <c r="BP2671" s="1">
        <v>0</v>
      </c>
      <c r="BQ2671" s="1" t="s">
        <v>104</v>
      </c>
      <c r="BR2671" s="1">
        <v>4797</v>
      </c>
      <c r="BS2671" s="1">
        <v>500</v>
      </c>
      <c r="BX2671" s="1">
        <v>0</v>
      </c>
      <c r="BY2671" s="1" t="s">
        <v>104</v>
      </c>
      <c r="BZ2671" s="1" t="s">
        <v>104</v>
      </c>
      <c r="CA2671" s="1" t="s">
        <v>104</v>
      </c>
      <c r="CB2671" s="1" t="s">
        <v>104</v>
      </c>
      <c r="CC2671" s="1" t="s">
        <v>104</v>
      </c>
      <c r="CD2671" s="1" t="s">
        <v>104</v>
      </c>
      <c r="CE2671" s="1" t="s">
        <v>104</v>
      </c>
      <c r="CF2671" s="1" t="s">
        <v>104</v>
      </c>
      <c r="CG2671" s="1" t="s">
        <v>104</v>
      </c>
      <c r="CH2671" s="1" t="s">
        <v>104</v>
      </c>
      <c r="CJ2671" s="1">
        <v>0</v>
      </c>
      <c r="CK2671" s="1">
        <v>0</v>
      </c>
      <c r="CL2671" s="1">
        <v>0</v>
      </c>
      <c r="CM2671" s="1" t="s">
        <v>104</v>
      </c>
    </row>
    <row r="2672" spans="1:91" ht="14.25" customHeight="1" x14ac:dyDescent="0.3">
      <c r="A2672" s="1" t="s">
        <v>13547</v>
      </c>
      <c r="B2672" s="1" t="s">
        <v>172</v>
      </c>
      <c r="E2672" s="1" t="s">
        <v>13548</v>
      </c>
      <c r="F2672" s="1" t="s">
        <v>95</v>
      </c>
      <c r="G2672" s="1" t="s">
        <v>13549</v>
      </c>
      <c r="H2672" s="1">
        <v>0</v>
      </c>
      <c r="I2672" s="1" t="s">
        <v>128</v>
      </c>
      <c r="L2672" s="1" t="s">
        <v>374</v>
      </c>
      <c r="M2672" s="1" t="s">
        <v>4292</v>
      </c>
      <c r="N2672" s="1">
        <v>0</v>
      </c>
      <c r="O2672" s="1">
        <v>0</v>
      </c>
      <c r="P2672" s="1" t="s">
        <v>375</v>
      </c>
      <c r="Q2672" s="1" t="s">
        <v>131</v>
      </c>
      <c r="R2672" s="1" t="s">
        <v>13550</v>
      </c>
      <c r="S2672" s="1" t="s">
        <v>13527</v>
      </c>
      <c r="T2672" s="1">
        <v>1</v>
      </c>
      <c r="U2672" s="1">
        <v>1</v>
      </c>
      <c r="V2672" s="1">
        <v>1</v>
      </c>
      <c r="W2672" s="1">
        <v>0</v>
      </c>
      <c r="X2672" s="1">
        <v>1</v>
      </c>
      <c r="Y2672" s="1">
        <v>1</v>
      </c>
      <c r="Z2672" s="1">
        <v>1</v>
      </c>
      <c r="AA2672" s="1">
        <v>1</v>
      </c>
      <c r="AB2672" s="1" t="s">
        <v>104</v>
      </c>
      <c r="AC2672" s="1" t="s">
        <v>104</v>
      </c>
      <c r="AD2672" s="1">
        <v>1</v>
      </c>
      <c r="AE2672" s="1" t="s">
        <v>104</v>
      </c>
      <c r="AF2672" s="1">
        <v>1</v>
      </c>
      <c r="AG2672" s="1" t="s">
        <v>104</v>
      </c>
      <c r="AH2672" s="1">
        <v>1</v>
      </c>
      <c r="AI2672" s="1">
        <v>1</v>
      </c>
      <c r="AJ2672" s="1">
        <v>1</v>
      </c>
      <c r="AK2672" s="1" t="s">
        <v>104</v>
      </c>
      <c r="AL2672" s="1" t="s">
        <v>104</v>
      </c>
      <c r="AM2672" s="1" t="s">
        <v>104</v>
      </c>
      <c r="AO2672" s="1">
        <v>1</v>
      </c>
      <c r="AR2672" s="1">
        <v>0</v>
      </c>
      <c r="AS2672" s="1">
        <v>0</v>
      </c>
      <c r="AT2672" s="1">
        <v>0</v>
      </c>
      <c r="AU2672" s="1">
        <v>0</v>
      </c>
      <c r="AV2672" s="1">
        <v>0</v>
      </c>
      <c r="AW2672" s="1">
        <v>0</v>
      </c>
      <c r="AX2672" s="1">
        <v>0</v>
      </c>
      <c r="AY2672" s="1">
        <v>0</v>
      </c>
      <c r="AZ2672" s="1">
        <v>0</v>
      </c>
      <c r="BA2672" s="1">
        <v>0</v>
      </c>
      <c r="BB2672" s="1">
        <v>0</v>
      </c>
      <c r="BC2672" s="1">
        <v>0</v>
      </c>
      <c r="BD2672" s="1">
        <v>0</v>
      </c>
      <c r="BE2672" s="1">
        <v>0</v>
      </c>
      <c r="BF2672" s="1">
        <v>0</v>
      </c>
      <c r="BG2672" s="1">
        <v>0</v>
      </c>
      <c r="BH2672" s="1">
        <v>0</v>
      </c>
      <c r="BI2672" s="1">
        <v>0</v>
      </c>
      <c r="BJ2672" s="1">
        <v>0</v>
      </c>
      <c r="BK2672" s="1">
        <v>0</v>
      </c>
      <c r="BL2672" s="1">
        <v>0</v>
      </c>
      <c r="BM2672" s="1">
        <v>0</v>
      </c>
      <c r="BN2672" s="1">
        <v>0</v>
      </c>
      <c r="BO2672" s="1">
        <v>0</v>
      </c>
      <c r="BP2672" s="1">
        <v>0</v>
      </c>
      <c r="BQ2672" s="1" t="s">
        <v>104</v>
      </c>
      <c r="BR2672" s="1">
        <v>4798</v>
      </c>
      <c r="BS2672" s="1" t="s">
        <v>104</v>
      </c>
      <c r="BX2672" s="1">
        <v>0</v>
      </c>
      <c r="BY2672" s="1" t="s">
        <v>104</v>
      </c>
      <c r="BZ2672" s="1" t="s">
        <v>104</v>
      </c>
      <c r="CA2672" s="1">
        <v>1</v>
      </c>
      <c r="CB2672" s="1" t="s">
        <v>104</v>
      </c>
      <c r="CC2672" s="1" t="s">
        <v>104</v>
      </c>
      <c r="CD2672" s="1" t="s">
        <v>104</v>
      </c>
      <c r="CE2672" s="1" t="s">
        <v>104</v>
      </c>
      <c r="CF2672" s="1" t="s">
        <v>104</v>
      </c>
      <c r="CG2672" s="1" t="s">
        <v>104</v>
      </c>
      <c r="CH2672" s="1" t="s">
        <v>104</v>
      </c>
      <c r="CJ2672" s="1">
        <v>0</v>
      </c>
      <c r="CK2672" s="1">
        <v>0</v>
      </c>
      <c r="CL2672" s="1">
        <v>0</v>
      </c>
      <c r="CM2672" s="1" t="s">
        <v>104</v>
      </c>
    </row>
    <row r="2673" spans="1:91" ht="14.25" customHeight="1" x14ac:dyDescent="0.3">
      <c r="A2673" s="1" t="s">
        <v>13551</v>
      </c>
      <c r="B2673" s="1" t="s">
        <v>123</v>
      </c>
      <c r="D2673" s="1" t="s">
        <v>125</v>
      </c>
      <c r="E2673" s="1" t="s">
        <v>13552</v>
      </c>
      <c r="F2673" s="1" t="s">
        <v>95</v>
      </c>
      <c r="G2673" s="1" t="s">
        <v>116</v>
      </c>
      <c r="H2673" s="1">
        <v>0</v>
      </c>
      <c r="J2673" s="1" t="s">
        <v>5922</v>
      </c>
      <c r="M2673" s="1" t="s">
        <v>4641</v>
      </c>
      <c r="N2673" s="1">
        <v>1</v>
      </c>
      <c r="O2673" s="1">
        <v>0</v>
      </c>
      <c r="P2673" s="1" t="s">
        <v>211</v>
      </c>
      <c r="Q2673" s="1" t="s">
        <v>184</v>
      </c>
      <c r="R2673" s="1" t="s">
        <v>13553</v>
      </c>
      <c r="S2673" s="1" t="s">
        <v>13554</v>
      </c>
      <c r="T2673" s="1">
        <v>1</v>
      </c>
      <c r="U2673" s="1">
        <v>1</v>
      </c>
      <c r="V2673" s="1">
        <v>0</v>
      </c>
      <c r="W2673" s="1">
        <v>0</v>
      </c>
      <c r="X2673" s="1">
        <v>0</v>
      </c>
      <c r="Y2673" s="1">
        <v>2</v>
      </c>
      <c r="Z2673" s="1">
        <v>2</v>
      </c>
      <c r="AA2673" s="1" t="s">
        <v>104</v>
      </c>
      <c r="AB2673" s="1" t="s">
        <v>104</v>
      </c>
      <c r="AC2673" s="1" t="s">
        <v>104</v>
      </c>
      <c r="AD2673" s="1" t="s">
        <v>104</v>
      </c>
      <c r="AE2673" s="1" t="s">
        <v>104</v>
      </c>
      <c r="AF2673" s="1" t="s">
        <v>104</v>
      </c>
      <c r="AG2673" s="1" t="s">
        <v>104</v>
      </c>
      <c r="AH2673" s="1">
        <v>2</v>
      </c>
      <c r="AI2673" s="1" t="s">
        <v>104</v>
      </c>
      <c r="AJ2673" s="1" t="s">
        <v>104</v>
      </c>
      <c r="AK2673" s="1" t="s">
        <v>104</v>
      </c>
      <c r="AL2673" s="1" t="s">
        <v>104</v>
      </c>
      <c r="AM2673" s="1" t="s">
        <v>104</v>
      </c>
      <c r="AO2673" s="1">
        <v>2</v>
      </c>
      <c r="AR2673" s="1">
        <v>0</v>
      </c>
      <c r="AS2673" s="1">
        <v>0</v>
      </c>
      <c r="AT2673" s="1">
        <v>0</v>
      </c>
      <c r="AU2673" s="1">
        <v>0</v>
      </c>
      <c r="AV2673" s="1">
        <v>0</v>
      </c>
      <c r="AW2673" s="1">
        <v>0</v>
      </c>
      <c r="AX2673" s="1">
        <v>0</v>
      </c>
      <c r="AY2673" s="1">
        <v>0</v>
      </c>
      <c r="AZ2673" s="1">
        <v>0</v>
      </c>
      <c r="BA2673" s="1">
        <v>0</v>
      </c>
      <c r="BB2673" s="1">
        <v>0</v>
      </c>
      <c r="BC2673" s="1">
        <v>0</v>
      </c>
      <c r="BD2673" s="1">
        <v>0</v>
      </c>
      <c r="BE2673" s="1">
        <v>0</v>
      </c>
      <c r="BF2673" s="1">
        <v>0</v>
      </c>
      <c r="BG2673" s="1">
        <v>0</v>
      </c>
      <c r="BH2673" s="1">
        <v>0</v>
      </c>
      <c r="BI2673" s="1">
        <v>0</v>
      </c>
      <c r="BJ2673" s="1">
        <v>0</v>
      </c>
      <c r="BK2673" s="1">
        <v>1</v>
      </c>
      <c r="BL2673" s="1">
        <v>0</v>
      </c>
      <c r="BM2673" s="1">
        <v>0</v>
      </c>
      <c r="BN2673" s="1">
        <v>0</v>
      </c>
      <c r="BO2673" s="1">
        <v>0</v>
      </c>
      <c r="BP2673" s="1">
        <v>0</v>
      </c>
      <c r="BQ2673" s="1" t="s">
        <v>104</v>
      </c>
      <c r="BR2673" s="1">
        <v>4799</v>
      </c>
      <c r="BS2673" s="1" t="s">
        <v>104</v>
      </c>
      <c r="BX2673" s="1">
        <v>0</v>
      </c>
      <c r="BY2673" s="1" t="s">
        <v>104</v>
      </c>
      <c r="BZ2673" s="1" t="s">
        <v>104</v>
      </c>
      <c r="CA2673" s="1">
        <v>2</v>
      </c>
      <c r="CB2673" s="1" t="s">
        <v>104</v>
      </c>
      <c r="CC2673" s="1" t="s">
        <v>104</v>
      </c>
      <c r="CD2673" s="1" t="s">
        <v>104</v>
      </c>
      <c r="CE2673" s="1" t="s">
        <v>104</v>
      </c>
      <c r="CF2673" s="1" t="s">
        <v>104</v>
      </c>
      <c r="CG2673" s="1" t="s">
        <v>104</v>
      </c>
      <c r="CH2673" s="1" t="s">
        <v>104</v>
      </c>
      <c r="CJ2673" s="1">
        <v>0</v>
      </c>
      <c r="CK2673" s="1">
        <v>0</v>
      </c>
      <c r="CL2673" s="1">
        <v>0</v>
      </c>
      <c r="CM2673" s="1" t="s">
        <v>104</v>
      </c>
    </row>
    <row r="2674" spans="1:91" ht="14.25" customHeight="1" x14ac:dyDescent="0.3">
      <c r="A2674" s="1" t="s">
        <v>13555</v>
      </c>
      <c r="B2674" s="1" t="s">
        <v>434</v>
      </c>
      <c r="D2674" s="1" t="s">
        <v>57</v>
      </c>
      <c r="E2674" s="1" t="s">
        <v>13556</v>
      </c>
      <c r="F2674" s="1" t="s">
        <v>95</v>
      </c>
      <c r="G2674" s="1" t="s">
        <v>237</v>
      </c>
      <c r="H2674" s="1">
        <v>0</v>
      </c>
      <c r="J2674" s="1" t="s">
        <v>5310</v>
      </c>
      <c r="M2674" s="1" t="s">
        <v>119</v>
      </c>
      <c r="N2674" s="1">
        <v>0</v>
      </c>
      <c r="O2674" s="1">
        <v>0</v>
      </c>
      <c r="P2674" s="1" t="s">
        <v>7210</v>
      </c>
      <c r="Q2674" s="1" t="s">
        <v>184</v>
      </c>
      <c r="R2674" s="1" t="s">
        <v>13557</v>
      </c>
      <c r="S2674" s="1" t="s">
        <v>13554</v>
      </c>
      <c r="T2674" s="1">
        <v>1</v>
      </c>
      <c r="U2674" s="1">
        <v>0</v>
      </c>
      <c r="V2674" s="1">
        <v>0</v>
      </c>
      <c r="W2674" s="1">
        <v>0</v>
      </c>
      <c r="X2674" s="1">
        <v>0</v>
      </c>
      <c r="Y2674" s="1">
        <v>5</v>
      </c>
      <c r="Z2674" s="1">
        <v>5</v>
      </c>
      <c r="AA2674" s="1" t="s">
        <v>104</v>
      </c>
      <c r="AB2674" s="1" t="s">
        <v>104</v>
      </c>
      <c r="AC2674" s="1" t="s">
        <v>104</v>
      </c>
      <c r="AD2674" s="1" t="s">
        <v>104</v>
      </c>
      <c r="AE2674" s="1" t="s">
        <v>104</v>
      </c>
      <c r="AF2674" s="1" t="s">
        <v>104</v>
      </c>
      <c r="AG2674" s="1" t="s">
        <v>104</v>
      </c>
      <c r="AH2674" s="1" t="s">
        <v>104</v>
      </c>
      <c r="AI2674" s="1" t="s">
        <v>104</v>
      </c>
      <c r="AJ2674" s="1" t="s">
        <v>104</v>
      </c>
      <c r="AK2674" s="1" t="s">
        <v>104</v>
      </c>
      <c r="AL2674" s="1" t="s">
        <v>104</v>
      </c>
      <c r="AM2674" s="1" t="s">
        <v>104</v>
      </c>
      <c r="AO2674" s="1">
        <v>5</v>
      </c>
      <c r="AR2674" s="1">
        <v>0</v>
      </c>
      <c r="AS2674" s="1">
        <v>0</v>
      </c>
      <c r="AT2674" s="1">
        <v>0</v>
      </c>
      <c r="AU2674" s="1">
        <v>0</v>
      </c>
      <c r="AV2674" s="1">
        <v>0</v>
      </c>
      <c r="AW2674" s="1">
        <v>0</v>
      </c>
      <c r="AX2674" s="1">
        <v>0</v>
      </c>
      <c r="AY2674" s="1">
        <v>0</v>
      </c>
      <c r="AZ2674" s="1">
        <v>0</v>
      </c>
      <c r="BA2674" s="1">
        <v>0</v>
      </c>
      <c r="BB2674" s="1">
        <v>0</v>
      </c>
      <c r="BC2674" s="1">
        <v>0</v>
      </c>
      <c r="BD2674" s="1">
        <v>0</v>
      </c>
      <c r="BE2674" s="1">
        <v>0</v>
      </c>
      <c r="BF2674" s="1">
        <v>1</v>
      </c>
      <c r="BG2674" s="1">
        <v>0</v>
      </c>
      <c r="BH2674" s="1">
        <v>0</v>
      </c>
      <c r="BI2674" s="1">
        <v>0</v>
      </c>
      <c r="BJ2674" s="1">
        <v>0</v>
      </c>
      <c r="BK2674" s="1">
        <v>0</v>
      </c>
      <c r="BL2674" s="1">
        <v>0</v>
      </c>
      <c r="BM2674" s="1">
        <v>0</v>
      </c>
      <c r="BN2674" s="1">
        <v>0</v>
      </c>
      <c r="BO2674" s="1">
        <v>0</v>
      </c>
      <c r="BP2674" s="1">
        <v>0</v>
      </c>
      <c r="BQ2674" s="1" t="s">
        <v>104</v>
      </c>
      <c r="BR2674" s="1">
        <v>4800</v>
      </c>
      <c r="BS2674" s="1" t="s">
        <v>104</v>
      </c>
      <c r="BX2674" s="1">
        <v>0</v>
      </c>
      <c r="BY2674" s="1" t="s">
        <v>104</v>
      </c>
      <c r="BZ2674" s="1" t="s">
        <v>104</v>
      </c>
      <c r="CA2674" s="1">
        <v>5</v>
      </c>
      <c r="CB2674" s="1" t="s">
        <v>104</v>
      </c>
      <c r="CC2674" s="1" t="s">
        <v>104</v>
      </c>
      <c r="CD2674" s="1" t="s">
        <v>104</v>
      </c>
      <c r="CE2674" s="1" t="s">
        <v>104</v>
      </c>
      <c r="CF2674" s="1" t="s">
        <v>104</v>
      </c>
      <c r="CG2674" s="1" t="s">
        <v>104</v>
      </c>
      <c r="CH2674" s="1" t="s">
        <v>104</v>
      </c>
      <c r="CJ2674" s="1">
        <v>0</v>
      </c>
      <c r="CK2674" s="1">
        <v>0</v>
      </c>
      <c r="CL2674" s="1">
        <v>0</v>
      </c>
      <c r="CM2674" s="1" t="s">
        <v>104</v>
      </c>
    </row>
    <row r="2675" spans="1:91" ht="14.25" customHeight="1" x14ac:dyDescent="0.3">
      <c r="A2675" s="1" t="s">
        <v>13558</v>
      </c>
      <c r="B2675" s="1" t="s">
        <v>123</v>
      </c>
      <c r="C2675" s="1" t="s">
        <v>124</v>
      </c>
      <c r="D2675" s="1" t="s">
        <v>10956</v>
      </c>
      <c r="E2675" s="1" t="s">
        <v>13559</v>
      </c>
      <c r="F2675" s="1" t="s">
        <v>95</v>
      </c>
      <c r="G2675" s="1" t="s">
        <v>913</v>
      </c>
      <c r="H2675" s="1">
        <v>0</v>
      </c>
      <c r="I2675" s="1" t="s">
        <v>117</v>
      </c>
      <c r="L2675" s="1" t="s">
        <v>1065</v>
      </c>
      <c r="M2675" s="1" t="s">
        <v>13560</v>
      </c>
      <c r="N2675" s="1">
        <v>0</v>
      </c>
      <c r="O2675" s="1">
        <v>0</v>
      </c>
      <c r="P2675" s="1" t="s">
        <v>5901</v>
      </c>
      <c r="Q2675" s="1" t="s">
        <v>184</v>
      </c>
      <c r="R2675" s="1" t="s">
        <v>13561</v>
      </c>
      <c r="S2675" s="1" t="s">
        <v>13554</v>
      </c>
      <c r="T2675" s="1">
        <v>1</v>
      </c>
      <c r="U2675" s="1">
        <v>1</v>
      </c>
      <c r="V2675" s="1">
        <v>1</v>
      </c>
      <c r="W2675" s="1">
        <v>0</v>
      </c>
      <c r="X2675" s="1">
        <v>0</v>
      </c>
      <c r="Y2675" s="1" t="s">
        <v>104</v>
      </c>
      <c r="Z2675" s="1" t="s">
        <v>104</v>
      </c>
      <c r="AA2675" s="1" t="s">
        <v>104</v>
      </c>
      <c r="AB2675" s="1" t="s">
        <v>104</v>
      </c>
      <c r="AC2675" s="1" t="s">
        <v>104</v>
      </c>
      <c r="AD2675" s="1" t="s">
        <v>104</v>
      </c>
      <c r="AE2675" s="1" t="s">
        <v>104</v>
      </c>
      <c r="AF2675" s="1" t="s">
        <v>104</v>
      </c>
      <c r="AG2675" s="1" t="s">
        <v>104</v>
      </c>
      <c r="AH2675" s="1">
        <v>3</v>
      </c>
      <c r="AI2675" s="1" t="s">
        <v>104</v>
      </c>
      <c r="AJ2675" s="1" t="s">
        <v>104</v>
      </c>
      <c r="AK2675" s="1" t="s">
        <v>104</v>
      </c>
      <c r="AL2675" s="1" t="s">
        <v>104</v>
      </c>
      <c r="AM2675" s="1" t="s">
        <v>104</v>
      </c>
      <c r="AO2675" s="1">
        <v>3</v>
      </c>
      <c r="AR2675" s="1">
        <v>0</v>
      </c>
      <c r="AS2675" s="1">
        <v>0</v>
      </c>
      <c r="AT2675" s="1">
        <v>0</v>
      </c>
      <c r="AU2675" s="1">
        <v>0</v>
      </c>
      <c r="AV2675" s="1">
        <v>0</v>
      </c>
      <c r="AW2675" s="1">
        <v>0</v>
      </c>
      <c r="AX2675" s="1">
        <v>0</v>
      </c>
      <c r="AY2675" s="1">
        <v>0</v>
      </c>
      <c r="AZ2675" s="1">
        <v>0</v>
      </c>
      <c r="BA2675" s="1">
        <v>0</v>
      </c>
      <c r="BB2675" s="1">
        <v>0</v>
      </c>
      <c r="BC2675" s="1">
        <v>0</v>
      </c>
      <c r="BD2675" s="1">
        <v>0</v>
      </c>
      <c r="BE2675" s="1">
        <v>0</v>
      </c>
      <c r="BF2675" s="1">
        <v>0</v>
      </c>
      <c r="BG2675" s="1">
        <v>0</v>
      </c>
      <c r="BH2675" s="1">
        <v>0</v>
      </c>
      <c r="BI2675" s="1">
        <v>0</v>
      </c>
      <c r="BJ2675" s="1">
        <v>0</v>
      </c>
      <c r="BK2675" s="1">
        <v>1</v>
      </c>
      <c r="BL2675" s="1">
        <v>1</v>
      </c>
      <c r="BM2675" s="1">
        <v>0</v>
      </c>
      <c r="BN2675" s="1">
        <v>0</v>
      </c>
      <c r="BO2675" s="1">
        <v>0</v>
      </c>
      <c r="BP2675" s="1">
        <v>0</v>
      </c>
      <c r="BQ2675" s="1" t="s">
        <v>104</v>
      </c>
      <c r="BR2675" s="1">
        <v>4801</v>
      </c>
      <c r="BS2675" s="1" t="s">
        <v>104</v>
      </c>
      <c r="BX2675" s="1">
        <v>0</v>
      </c>
      <c r="BY2675" s="1" t="s">
        <v>104</v>
      </c>
      <c r="BZ2675" s="1" t="s">
        <v>104</v>
      </c>
      <c r="CA2675" s="1">
        <v>3</v>
      </c>
      <c r="CB2675" s="1" t="s">
        <v>104</v>
      </c>
      <c r="CC2675" s="1" t="s">
        <v>104</v>
      </c>
      <c r="CD2675" s="1" t="s">
        <v>104</v>
      </c>
      <c r="CE2675" s="1" t="s">
        <v>104</v>
      </c>
      <c r="CF2675" s="1" t="s">
        <v>104</v>
      </c>
      <c r="CG2675" s="1" t="s">
        <v>104</v>
      </c>
      <c r="CH2675" s="1" t="s">
        <v>104</v>
      </c>
      <c r="CJ2675" s="1">
        <v>0</v>
      </c>
      <c r="CK2675" s="1">
        <v>0</v>
      </c>
      <c r="CL2675" s="1">
        <v>0</v>
      </c>
      <c r="CM2675" s="1" t="s">
        <v>104</v>
      </c>
    </row>
    <row r="2676" spans="1:91" ht="14.25" customHeight="1" x14ac:dyDescent="0.3">
      <c r="A2676" s="1" t="s">
        <v>13562</v>
      </c>
      <c r="B2676" s="1" t="s">
        <v>123</v>
      </c>
      <c r="C2676" s="1" t="s">
        <v>124</v>
      </c>
      <c r="D2676" s="1" t="s">
        <v>10956</v>
      </c>
      <c r="E2676" s="1" t="s">
        <v>13563</v>
      </c>
      <c r="F2676" s="1" t="s">
        <v>95</v>
      </c>
      <c r="G2676" s="1" t="s">
        <v>913</v>
      </c>
      <c r="H2676" s="1">
        <v>0</v>
      </c>
      <c r="I2676" s="1" t="s">
        <v>117</v>
      </c>
      <c r="L2676" s="1" t="s">
        <v>7545</v>
      </c>
      <c r="M2676" s="1" t="s">
        <v>13560</v>
      </c>
      <c r="N2676" s="1">
        <v>0</v>
      </c>
      <c r="O2676" s="1">
        <v>0</v>
      </c>
      <c r="P2676" s="1" t="s">
        <v>5901</v>
      </c>
      <c r="Q2676" s="1" t="s">
        <v>184</v>
      </c>
      <c r="R2676" s="1" t="s">
        <v>13564</v>
      </c>
      <c r="S2676" s="1" t="s">
        <v>13554</v>
      </c>
      <c r="T2676" s="1">
        <v>1</v>
      </c>
      <c r="U2676" s="1">
        <v>1</v>
      </c>
      <c r="V2676" s="1">
        <v>1</v>
      </c>
      <c r="W2676" s="1">
        <v>0</v>
      </c>
      <c r="X2676" s="1">
        <v>0</v>
      </c>
      <c r="Y2676" s="1" t="s">
        <v>104</v>
      </c>
      <c r="Z2676" s="1" t="s">
        <v>104</v>
      </c>
      <c r="AA2676" s="1" t="s">
        <v>104</v>
      </c>
      <c r="AB2676" s="1" t="s">
        <v>104</v>
      </c>
      <c r="AC2676" s="1" t="s">
        <v>104</v>
      </c>
      <c r="AD2676" s="1" t="s">
        <v>104</v>
      </c>
      <c r="AE2676" s="1" t="s">
        <v>104</v>
      </c>
      <c r="AF2676" s="1" t="s">
        <v>104</v>
      </c>
      <c r="AG2676" s="1" t="s">
        <v>104</v>
      </c>
      <c r="AH2676" s="1">
        <v>5</v>
      </c>
      <c r="AI2676" s="1" t="s">
        <v>104</v>
      </c>
      <c r="AJ2676" s="1" t="s">
        <v>104</v>
      </c>
      <c r="AK2676" s="1" t="s">
        <v>104</v>
      </c>
      <c r="AL2676" s="1" t="s">
        <v>104</v>
      </c>
      <c r="AM2676" s="1" t="s">
        <v>104</v>
      </c>
      <c r="AO2676" s="1">
        <v>5</v>
      </c>
      <c r="AR2676" s="1">
        <v>0</v>
      </c>
      <c r="AS2676" s="1">
        <v>0</v>
      </c>
      <c r="AT2676" s="1">
        <v>0</v>
      </c>
      <c r="AU2676" s="1">
        <v>0</v>
      </c>
      <c r="AV2676" s="1">
        <v>0</v>
      </c>
      <c r="AW2676" s="1">
        <v>0</v>
      </c>
      <c r="AX2676" s="1">
        <v>0</v>
      </c>
      <c r="AY2676" s="1">
        <v>0</v>
      </c>
      <c r="AZ2676" s="1">
        <v>0</v>
      </c>
      <c r="BA2676" s="1">
        <v>0</v>
      </c>
      <c r="BB2676" s="1">
        <v>0</v>
      </c>
      <c r="BC2676" s="1">
        <v>0</v>
      </c>
      <c r="BD2676" s="1">
        <v>0</v>
      </c>
      <c r="BE2676" s="1">
        <v>0</v>
      </c>
      <c r="BF2676" s="1">
        <v>0</v>
      </c>
      <c r="BG2676" s="1">
        <v>0</v>
      </c>
      <c r="BH2676" s="1">
        <v>0</v>
      </c>
      <c r="BI2676" s="1">
        <v>0</v>
      </c>
      <c r="BJ2676" s="1">
        <v>0</v>
      </c>
      <c r="BK2676" s="1">
        <v>1</v>
      </c>
      <c r="BL2676" s="1">
        <v>1</v>
      </c>
      <c r="BM2676" s="1">
        <v>0</v>
      </c>
      <c r="BN2676" s="1">
        <v>0</v>
      </c>
      <c r="BO2676" s="1">
        <v>0</v>
      </c>
      <c r="BP2676" s="1">
        <v>0</v>
      </c>
      <c r="BQ2676" s="1" t="s">
        <v>104</v>
      </c>
      <c r="BR2676" s="1">
        <v>4802</v>
      </c>
      <c r="BS2676" s="1" t="s">
        <v>104</v>
      </c>
      <c r="BX2676" s="1">
        <v>0</v>
      </c>
      <c r="BY2676" s="1" t="s">
        <v>104</v>
      </c>
      <c r="BZ2676" s="1" t="s">
        <v>104</v>
      </c>
      <c r="CA2676" s="1">
        <v>5</v>
      </c>
      <c r="CB2676" s="1" t="s">
        <v>104</v>
      </c>
      <c r="CC2676" s="1" t="s">
        <v>104</v>
      </c>
      <c r="CD2676" s="1" t="s">
        <v>104</v>
      </c>
      <c r="CE2676" s="1" t="s">
        <v>104</v>
      </c>
      <c r="CF2676" s="1" t="s">
        <v>104</v>
      </c>
      <c r="CG2676" s="1" t="s">
        <v>104</v>
      </c>
      <c r="CH2676" s="1" t="s">
        <v>104</v>
      </c>
      <c r="CJ2676" s="1">
        <v>0</v>
      </c>
      <c r="CK2676" s="1">
        <v>0</v>
      </c>
      <c r="CL2676" s="1">
        <v>0</v>
      </c>
      <c r="CM2676" s="1" t="s">
        <v>104</v>
      </c>
    </row>
    <row r="2677" spans="1:91" ht="14.25" customHeight="1" x14ac:dyDescent="0.3">
      <c r="A2677" s="1" t="s">
        <v>13565</v>
      </c>
      <c r="B2677" s="1" t="s">
        <v>172</v>
      </c>
      <c r="E2677" s="1" t="s">
        <v>11131</v>
      </c>
      <c r="F2677" s="1" t="s">
        <v>8123</v>
      </c>
      <c r="G2677" s="1" t="s">
        <v>116</v>
      </c>
      <c r="H2677" s="1">
        <v>0</v>
      </c>
      <c r="I2677" s="1" t="s">
        <v>157</v>
      </c>
      <c r="L2677" s="1" t="s">
        <v>158</v>
      </c>
      <c r="M2677" s="1" t="s">
        <v>13566</v>
      </c>
      <c r="N2677" s="1">
        <v>0</v>
      </c>
      <c r="O2677" s="1">
        <v>0</v>
      </c>
      <c r="R2677" s="1" t="s">
        <v>13567</v>
      </c>
      <c r="S2677" s="1" t="s">
        <v>13554</v>
      </c>
      <c r="T2677" s="1">
        <v>1</v>
      </c>
      <c r="U2677" s="1">
        <v>1</v>
      </c>
      <c r="V2677" s="1">
        <v>0</v>
      </c>
      <c r="W2677" s="1">
        <v>0</v>
      </c>
      <c r="X2677" s="1">
        <v>0</v>
      </c>
      <c r="Y2677" s="1" t="s">
        <v>104</v>
      </c>
      <c r="Z2677" s="1" t="s">
        <v>104</v>
      </c>
      <c r="AA2677" s="1" t="s">
        <v>104</v>
      </c>
      <c r="AB2677" s="1" t="s">
        <v>104</v>
      </c>
      <c r="AC2677" s="1" t="s">
        <v>104</v>
      </c>
      <c r="AD2677" s="1" t="s">
        <v>104</v>
      </c>
      <c r="AE2677" s="1" t="s">
        <v>104</v>
      </c>
      <c r="AF2677" s="1" t="s">
        <v>104</v>
      </c>
      <c r="AG2677" s="1" t="s">
        <v>104</v>
      </c>
      <c r="AH2677" s="1" t="s">
        <v>104</v>
      </c>
      <c r="AI2677" s="1" t="s">
        <v>104</v>
      </c>
      <c r="AJ2677" s="1" t="s">
        <v>104</v>
      </c>
      <c r="AK2677" s="1" t="s">
        <v>104</v>
      </c>
      <c r="AL2677" s="1" t="s">
        <v>104</v>
      </c>
      <c r="AM2677" s="1" t="s">
        <v>104</v>
      </c>
      <c r="AO2677" s="1">
        <v>8</v>
      </c>
      <c r="AR2677" s="1">
        <v>0</v>
      </c>
      <c r="AS2677" s="1">
        <v>0</v>
      </c>
      <c r="AT2677" s="1">
        <v>0</v>
      </c>
      <c r="AU2677" s="1">
        <v>0</v>
      </c>
      <c r="AV2677" s="1">
        <v>0</v>
      </c>
      <c r="AW2677" s="1">
        <v>0</v>
      </c>
      <c r="AX2677" s="1">
        <v>0</v>
      </c>
      <c r="AY2677" s="1">
        <v>0</v>
      </c>
      <c r="AZ2677" s="1">
        <v>0</v>
      </c>
      <c r="BA2677" s="1">
        <v>0</v>
      </c>
      <c r="BB2677" s="1">
        <v>0</v>
      </c>
      <c r="BC2677" s="1">
        <v>0</v>
      </c>
      <c r="BD2677" s="1">
        <v>0</v>
      </c>
      <c r="BE2677" s="1">
        <v>0</v>
      </c>
      <c r="BF2677" s="1">
        <v>0</v>
      </c>
      <c r="BG2677" s="1">
        <v>0</v>
      </c>
      <c r="BH2677" s="1">
        <v>0</v>
      </c>
      <c r="BI2677" s="1">
        <v>0</v>
      </c>
      <c r="BJ2677" s="1">
        <v>0</v>
      </c>
      <c r="BK2677" s="1">
        <v>0</v>
      </c>
      <c r="BL2677" s="1">
        <v>0</v>
      </c>
      <c r="BM2677" s="1">
        <v>0</v>
      </c>
      <c r="BN2677" s="1">
        <v>0</v>
      </c>
      <c r="BO2677" s="1">
        <v>0</v>
      </c>
      <c r="BP2677" s="1">
        <v>0</v>
      </c>
      <c r="BQ2677" s="1" t="s">
        <v>104</v>
      </c>
      <c r="BR2677" s="1">
        <v>4803</v>
      </c>
      <c r="BS2677" s="1" t="s">
        <v>104</v>
      </c>
      <c r="BX2677" s="1">
        <v>0</v>
      </c>
      <c r="BY2677" s="1" t="s">
        <v>104</v>
      </c>
      <c r="BZ2677" s="1" t="s">
        <v>104</v>
      </c>
      <c r="CA2677" s="1">
        <v>8</v>
      </c>
      <c r="CB2677" s="1" t="s">
        <v>104</v>
      </c>
      <c r="CC2677" s="1" t="s">
        <v>104</v>
      </c>
      <c r="CD2677" s="1" t="s">
        <v>104</v>
      </c>
      <c r="CE2677" s="1" t="s">
        <v>104</v>
      </c>
      <c r="CF2677" s="1" t="s">
        <v>104</v>
      </c>
      <c r="CG2677" s="1" t="s">
        <v>104</v>
      </c>
      <c r="CH2677" s="1" t="s">
        <v>104</v>
      </c>
      <c r="CJ2677" s="1">
        <v>0</v>
      </c>
      <c r="CK2677" s="1">
        <v>0</v>
      </c>
      <c r="CL2677" s="1">
        <v>0</v>
      </c>
      <c r="CM2677" s="1" t="s">
        <v>104</v>
      </c>
    </row>
    <row r="2678" spans="1:91" ht="14.25" customHeight="1" x14ac:dyDescent="0.3">
      <c r="A2678" s="1" t="s">
        <v>13568</v>
      </c>
      <c r="B2678" s="1" t="s">
        <v>434</v>
      </c>
      <c r="D2678" s="1" t="s">
        <v>57</v>
      </c>
      <c r="E2678" s="1" t="s">
        <v>13569</v>
      </c>
      <c r="F2678" s="1" t="s">
        <v>1502</v>
      </c>
      <c r="G2678" s="1" t="s">
        <v>116</v>
      </c>
      <c r="H2678" s="1">
        <v>0</v>
      </c>
      <c r="I2678" s="1" t="s">
        <v>117</v>
      </c>
      <c r="L2678" s="1" t="s">
        <v>1065</v>
      </c>
      <c r="M2678" s="1" t="s">
        <v>8234</v>
      </c>
      <c r="N2678" s="1">
        <v>0</v>
      </c>
      <c r="O2678" s="1">
        <v>0</v>
      </c>
      <c r="P2678" s="1" t="s">
        <v>5957</v>
      </c>
      <c r="Q2678" s="1" t="s">
        <v>9311</v>
      </c>
      <c r="R2678" s="1" t="s">
        <v>13570</v>
      </c>
      <c r="S2678" s="1" t="s">
        <v>13554</v>
      </c>
      <c r="T2678" s="1">
        <v>1</v>
      </c>
      <c r="U2678" s="1">
        <v>1</v>
      </c>
      <c r="V2678" s="1">
        <v>0</v>
      </c>
      <c r="W2678" s="1">
        <v>0</v>
      </c>
      <c r="X2678" s="1">
        <v>0</v>
      </c>
      <c r="Y2678" s="1" t="s">
        <v>104</v>
      </c>
      <c r="Z2678" s="1" t="s">
        <v>104</v>
      </c>
      <c r="AA2678" s="1" t="s">
        <v>104</v>
      </c>
      <c r="AB2678" s="1" t="s">
        <v>104</v>
      </c>
      <c r="AC2678" s="1" t="s">
        <v>104</v>
      </c>
      <c r="AD2678" s="1" t="s">
        <v>104</v>
      </c>
      <c r="AE2678" s="1" t="s">
        <v>104</v>
      </c>
      <c r="AF2678" s="1" t="s">
        <v>104</v>
      </c>
      <c r="AG2678" s="1" t="s">
        <v>104</v>
      </c>
      <c r="AH2678" s="1" t="s">
        <v>104</v>
      </c>
      <c r="AI2678" s="1" t="s">
        <v>104</v>
      </c>
      <c r="AJ2678" s="1" t="s">
        <v>104</v>
      </c>
      <c r="AK2678" s="1" t="s">
        <v>104</v>
      </c>
      <c r="AL2678" s="1">
        <v>3</v>
      </c>
      <c r="AM2678" s="1" t="s">
        <v>104</v>
      </c>
      <c r="AO2678" s="1">
        <v>3</v>
      </c>
      <c r="AR2678" s="1">
        <v>0</v>
      </c>
      <c r="AS2678" s="1">
        <v>0</v>
      </c>
      <c r="AT2678" s="1">
        <v>0</v>
      </c>
      <c r="AU2678" s="1">
        <v>0</v>
      </c>
      <c r="AV2678" s="1">
        <v>0</v>
      </c>
      <c r="AW2678" s="1">
        <v>0</v>
      </c>
      <c r="AX2678" s="1">
        <v>0</v>
      </c>
      <c r="AY2678" s="1">
        <v>0</v>
      </c>
      <c r="AZ2678" s="1">
        <v>0</v>
      </c>
      <c r="BA2678" s="1">
        <v>0</v>
      </c>
      <c r="BB2678" s="1">
        <v>0</v>
      </c>
      <c r="BC2678" s="1">
        <v>0</v>
      </c>
      <c r="BD2678" s="1">
        <v>0</v>
      </c>
      <c r="BE2678" s="1">
        <v>0</v>
      </c>
      <c r="BF2678" s="1">
        <v>1</v>
      </c>
      <c r="BG2678" s="1">
        <v>0</v>
      </c>
      <c r="BH2678" s="1">
        <v>0</v>
      </c>
      <c r="BI2678" s="1">
        <v>0</v>
      </c>
      <c r="BJ2678" s="1">
        <v>0</v>
      </c>
      <c r="BK2678" s="1">
        <v>0</v>
      </c>
      <c r="BL2678" s="1">
        <v>0</v>
      </c>
      <c r="BM2678" s="1">
        <v>0</v>
      </c>
      <c r="BN2678" s="1">
        <v>0</v>
      </c>
      <c r="BO2678" s="1">
        <v>0</v>
      </c>
      <c r="BP2678" s="1">
        <v>0</v>
      </c>
      <c r="BQ2678" s="1" t="s">
        <v>104</v>
      </c>
      <c r="BR2678" s="1">
        <v>4804</v>
      </c>
      <c r="BS2678" s="1" t="s">
        <v>104</v>
      </c>
      <c r="BX2678" s="1">
        <v>0</v>
      </c>
      <c r="BY2678" s="1" t="s">
        <v>104</v>
      </c>
      <c r="BZ2678" s="1" t="s">
        <v>104</v>
      </c>
      <c r="CA2678" s="1">
        <v>3</v>
      </c>
      <c r="CB2678" s="1" t="s">
        <v>104</v>
      </c>
      <c r="CC2678" s="1" t="s">
        <v>104</v>
      </c>
      <c r="CD2678" s="1" t="s">
        <v>104</v>
      </c>
      <c r="CE2678" s="1" t="s">
        <v>104</v>
      </c>
      <c r="CF2678" s="1" t="s">
        <v>104</v>
      </c>
      <c r="CG2678" s="1" t="s">
        <v>104</v>
      </c>
      <c r="CH2678" s="1" t="s">
        <v>104</v>
      </c>
      <c r="CJ2678" s="1">
        <v>0</v>
      </c>
      <c r="CK2678" s="1">
        <v>0</v>
      </c>
      <c r="CL2678" s="1">
        <v>0</v>
      </c>
      <c r="CM2678" s="1" t="s">
        <v>104</v>
      </c>
    </row>
    <row r="2679" spans="1:91" ht="14.25" customHeight="1" x14ac:dyDescent="0.3">
      <c r="A2679" s="1" t="s">
        <v>13571</v>
      </c>
      <c r="B2679" s="1" t="s">
        <v>434</v>
      </c>
      <c r="E2679" s="1" t="s">
        <v>10855</v>
      </c>
      <c r="F2679" s="1" t="s">
        <v>8123</v>
      </c>
      <c r="G2679" s="1" t="s">
        <v>1802</v>
      </c>
      <c r="H2679" s="1">
        <v>0</v>
      </c>
      <c r="I2679" s="1" t="s">
        <v>117</v>
      </c>
      <c r="L2679" s="1" t="s">
        <v>1065</v>
      </c>
      <c r="M2679" s="1" t="s">
        <v>119</v>
      </c>
      <c r="N2679" s="1">
        <v>0</v>
      </c>
      <c r="O2679" s="1">
        <v>0</v>
      </c>
      <c r="P2679" s="1" t="s">
        <v>6205</v>
      </c>
      <c r="Q2679" s="1" t="s">
        <v>184</v>
      </c>
      <c r="R2679" s="1" t="s">
        <v>13572</v>
      </c>
      <c r="S2679" s="1" t="s">
        <v>13554</v>
      </c>
      <c r="T2679" s="1">
        <v>0</v>
      </c>
      <c r="U2679" s="1">
        <v>1</v>
      </c>
      <c r="V2679" s="1">
        <v>0</v>
      </c>
      <c r="W2679" s="1">
        <v>0</v>
      </c>
      <c r="X2679" s="1">
        <v>0</v>
      </c>
      <c r="Y2679" s="1" t="s">
        <v>104</v>
      </c>
      <c r="Z2679" s="1" t="s">
        <v>104</v>
      </c>
      <c r="AA2679" s="1" t="s">
        <v>104</v>
      </c>
      <c r="AB2679" s="1" t="s">
        <v>104</v>
      </c>
      <c r="AC2679" s="1" t="s">
        <v>104</v>
      </c>
      <c r="AD2679" s="1" t="s">
        <v>104</v>
      </c>
      <c r="AE2679" s="1" t="s">
        <v>104</v>
      </c>
      <c r="AF2679" s="1" t="s">
        <v>104</v>
      </c>
      <c r="AG2679" s="1" t="s">
        <v>104</v>
      </c>
      <c r="AH2679" s="1" t="s">
        <v>104</v>
      </c>
      <c r="AI2679" s="1" t="s">
        <v>104</v>
      </c>
      <c r="AJ2679" s="1" t="s">
        <v>104</v>
      </c>
      <c r="AK2679" s="1" t="s">
        <v>104</v>
      </c>
      <c r="AL2679" s="1" t="s">
        <v>104</v>
      </c>
      <c r="AM2679" s="1" t="s">
        <v>104</v>
      </c>
      <c r="AO2679" s="1">
        <v>5</v>
      </c>
      <c r="AR2679" s="1">
        <v>0</v>
      </c>
      <c r="AS2679" s="1">
        <v>0</v>
      </c>
      <c r="AT2679" s="1">
        <v>0</v>
      </c>
      <c r="AU2679" s="1">
        <v>0</v>
      </c>
      <c r="AV2679" s="1">
        <v>0</v>
      </c>
      <c r="AW2679" s="1">
        <v>0</v>
      </c>
      <c r="AX2679" s="1">
        <v>0</v>
      </c>
      <c r="AY2679" s="1">
        <v>0</v>
      </c>
      <c r="AZ2679" s="1">
        <v>0</v>
      </c>
      <c r="BA2679" s="1">
        <v>0</v>
      </c>
      <c r="BB2679" s="1">
        <v>0</v>
      </c>
      <c r="BC2679" s="1">
        <v>0</v>
      </c>
      <c r="BD2679" s="1">
        <v>0</v>
      </c>
      <c r="BE2679" s="1">
        <v>0</v>
      </c>
      <c r="BF2679" s="1">
        <v>0</v>
      </c>
      <c r="BG2679" s="1">
        <v>0</v>
      </c>
      <c r="BH2679" s="1">
        <v>0</v>
      </c>
      <c r="BI2679" s="1">
        <v>0</v>
      </c>
      <c r="BJ2679" s="1">
        <v>0</v>
      </c>
      <c r="BK2679" s="1">
        <v>0</v>
      </c>
      <c r="BL2679" s="1">
        <v>0</v>
      </c>
      <c r="BM2679" s="1">
        <v>0</v>
      </c>
      <c r="BN2679" s="1">
        <v>0</v>
      </c>
      <c r="BO2679" s="1">
        <v>0</v>
      </c>
      <c r="BP2679" s="1">
        <v>0</v>
      </c>
      <c r="BQ2679" s="1" t="s">
        <v>104</v>
      </c>
      <c r="BR2679" s="1">
        <v>4805</v>
      </c>
      <c r="BS2679" s="1" t="s">
        <v>104</v>
      </c>
      <c r="BX2679" s="1">
        <v>0</v>
      </c>
      <c r="BY2679" s="1" t="s">
        <v>104</v>
      </c>
      <c r="BZ2679" s="1" t="s">
        <v>104</v>
      </c>
      <c r="CA2679" s="1">
        <v>5</v>
      </c>
      <c r="CB2679" s="1" t="s">
        <v>104</v>
      </c>
      <c r="CC2679" s="1" t="s">
        <v>104</v>
      </c>
      <c r="CD2679" s="1" t="s">
        <v>104</v>
      </c>
      <c r="CE2679" s="1" t="s">
        <v>104</v>
      </c>
      <c r="CF2679" s="1" t="s">
        <v>104</v>
      </c>
      <c r="CG2679" s="1" t="s">
        <v>104</v>
      </c>
      <c r="CH2679" s="1" t="s">
        <v>104</v>
      </c>
      <c r="CJ2679" s="1">
        <v>0</v>
      </c>
      <c r="CK2679" s="1">
        <v>0</v>
      </c>
      <c r="CL2679" s="1">
        <v>0</v>
      </c>
      <c r="CM2679" s="1" t="s">
        <v>104</v>
      </c>
    </row>
    <row r="2680" spans="1:91" ht="14.25" customHeight="1" x14ac:dyDescent="0.3">
      <c r="A2680" s="1" t="s">
        <v>13573</v>
      </c>
      <c r="B2680" s="1" t="s">
        <v>434</v>
      </c>
      <c r="E2680" s="1" t="s">
        <v>10859</v>
      </c>
      <c r="F2680" s="1" t="s">
        <v>8123</v>
      </c>
      <c r="G2680" s="1" t="s">
        <v>1802</v>
      </c>
      <c r="H2680" s="1">
        <v>0</v>
      </c>
      <c r="I2680" s="1" t="s">
        <v>117</v>
      </c>
      <c r="L2680" s="1" t="s">
        <v>1065</v>
      </c>
      <c r="M2680" s="1" t="s">
        <v>119</v>
      </c>
      <c r="N2680" s="1">
        <v>0</v>
      </c>
      <c r="O2680" s="1">
        <v>0</v>
      </c>
      <c r="P2680" s="1" t="s">
        <v>6205</v>
      </c>
      <c r="Q2680" s="1" t="s">
        <v>184</v>
      </c>
      <c r="R2680" s="1" t="s">
        <v>13574</v>
      </c>
      <c r="S2680" s="1" t="s">
        <v>13554</v>
      </c>
      <c r="T2680" s="1">
        <v>0</v>
      </c>
      <c r="U2680" s="1">
        <v>1</v>
      </c>
      <c r="V2680" s="1">
        <v>0</v>
      </c>
      <c r="W2680" s="1">
        <v>0</v>
      </c>
      <c r="X2680" s="1">
        <v>0</v>
      </c>
      <c r="Y2680" s="1" t="s">
        <v>104</v>
      </c>
      <c r="Z2680" s="1" t="s">
        <v>104</v>
      </c>
      <c r="AA2680" s="1" t="s">
        <v>104</v>
      </c>
      <c r="AB2680" s="1" t="s">
        <v>104</v>
      </c>
      <c r="AC2680" s="1" t="s">
        <v>104</v>
      </c>
      <c r="AD2680" s="1" t="s">
        <v>104</v>
      </c>
      <c r="AE2680" s="1" t="s">
        <v>104</v>
      </c>
      <c r="AF2680" s="1" t="s">
        <v>104</v>
      </c>
      <c r="AG2680" s="1" t="s">
        <v>104</v>
      </c>
      <c r="AH2680" s="1" t="s">
        <v>104</v>
      </c>
      <c r="AI2680" s="1" t="s">
        <v>104</v>
      </c>
      <c r="AJ2680" s="1" t="s">
        <v>104</v>
      </c>
      <c r="AK2680" s="1" t="s">
        <v>104</v>
      </c>
      <c r="AL2680" s="1" t="s">
        <v>104</v>
      </c>
      <c r="AM2680" s="1" t="s">
        <v>104</v>
      </c>
      <c r="AO2680" s="1">
        <v>6</v>
      </c>
      <c r="AR2680" s="1">
        <v>0</v>
      </c>
      <c r="AS2680" s="1">
        <v>0</v>
      </c>
      <c r="AT2680" s="1">
        <v>0</v>
      </c>
      <c r="AU2680" s="1">
        <v>0</v>
      </c>
      <c r="AV2680" s="1">
        <v>0</v>
      </c>
      <c r="AW2680" s="1">
        <v>0</v>
      </c>
      <c r="AX2680" s="1">
        <v>0</v>
      </c>
      <c r="AY2680" s="1">
        <v>0</v>
      </c>
      <c r="AZ2680" s="1">
        <v>0</v>
      </c>
      <c r="BA2680" s="1">
        <v>0</v>
      </c>
      <c r="BB2680" s="1">
        <v>0</v>
      </c>
      <c r="BC2680" s="1">
        <v>0</v>
      </c>
      <c r="BD2680" s="1">
        <v>0</v>
      </c>
      <c r="BE2680" s="1">
        <v>0</v>
      </c>
      <c r="BF2680" s="1">
        <v>0</v>
      </c>
      <c r="BG2680" s="1">
        <v>0</v>
      </c>
      <c r="BH2680" s="1">
        <v>0</v>
      </c>
      <c r="BI2680" s="1">
        <v>0</v>
      </c>
      <c r="BJ2680" s="1">
        <v>0</v>
      </c>
      <c r="BK2680" s="1">
        <v>0</v>
      </c>
      <c r="BL2680" s="1">
        <v>0</v>
      </c>
      <c r="BM2680" s="1">
        <v>0</v>
      </c>
      <c r="BN2680" s="1">
        <v>0</v>
      </c>
      <c r="BO2680" s="1">
        <v>0</v>
      </c>
      <c r="BP2680" s="1">
        <v>0</v>
      </c>
      <c r="BQ2680" s="1" t="s">
        <v>104</v>
      </c>
      <c r="BR2680" s="1">
        <v>4806</v>
      </c>
      <c r="BS2680" s="1" t="s">
        <v>104</v>
      </c>
      <c r="BX2680" s="1">
        <v>0</v>
      </c>
      <c r="BY2680" s="1" t="s">
        <v>104</v>
      </c>
      <c r="BZ2680" s="1" t="s">
        <v>104</v>
      </c>
      <c r="CA2680" s="1">
        <v>6</v>
      </c>
      <c r="CB2680" s="1" t="s">
        <v>104</v>
      </c>
      <c r="CC2680" s="1" t="s">
        <v>104</v>
      </c>
      <c r="CD2680" s="1" t="s">
        <v>104</v>
      </c>
      <c r="CE2680" s="1" t="s">
        <v>104</v>
      </c>
      <c r="CF2680" s="1" t="s">
        <v>104</v>
      </c>
      <c r="CG2680" s="1" t="s">
        <v>104</v>
      </c>
      <c r="CH2680" s="1" t="s">
        <v>104</v>
      </c>
      <c r="CJ2680" s="1">
        <v>0</v>
      </c>
      <c r="CK2680" s="1">
        <v>0</v>
      </c>
      <c r="CL2680" s="1">
        <v>0</v>
      </c>
      <c r="CM2680" s="1" t="s">
        <v>104</v>
      </c>
    </row>
    <row r="2681" spans="1:91" ht="14.25" customHeight="1" x14ac:dyDescent="0.3">
      <c r="A2681" s="1" t="s">
        <v>13575</v>
      </c>
      <c r="B2681" s="1" t="s">
        <v>434</v>
      </c>
      <c r="E2681" s="1" t="s">
        <v>10863</v>
      </c>
      <c r="F2681" s="1" t="s">
        <v>8123</v>
      </c>
      <c r="G2681" s="1" t="s">
        <v>1802</v>
      </c>
      <c r="H2681" s="1">
        <v>0</v>
      </c>
      <c r="I2681" s="1" t="s">
        <v>117</v>
      </c>
      <c r="L2681" s="1" t="s">
        <v>1065</v>
      </c>
      <c r="M2681" s="1" t="s">
        <v>119</v>
      </c>
      <c r="N2681" s="1">
        <v>0</v>
      </c>
      <c r="O2681" s="1">
        <v>0</v>
      </c>
      <c r="P2681" s="1" t="s">
        <v>6205</v>
      </c>
      <c r="Q2681" s="1" t="s">
        <v>184</v>
      </c>
      <c r="R2681" s="1" t="s">
        <v>13576</v>
      </c>
      <c r="S2681" s="1" t="s">
        <v>13554</v>
      </c>
      <c r="T2681" s="1">
        <v>0</v>
      </c>
      <c r="U2681" s="1">
        <v>1</v>
      </c>
      <c r="V2681" s="1">
        <v>0</v>
      </c>
      <c r="W2681" s="1">
        <v>0</v>
      </c>
      <c r="X2681" s="1">
        <v>0</v>
      </c>
      <c r="Y2681" s="1" t="s">
        <v>104</v>
      </c>
      <c r="Z2681" s="1" t="s">
        <v>104</v>
      </c>
      <c r="AA2681" s="1" t="s">
        <v>104</v>
      </c>
      <c r="AB2681" s="1" t="s">
        <v>104</v>
      </c>
      <c r="AC2681" s="1" t="s">
        <v>104</v>
      </c>
      <c r="AD2681" s="1" t="s">
        <v>104</v>
      </c>
      <c r="AE2681" s="1" t="s">
        <v>104</v>
      </c>
      <c r="AF2681" s="1" t="s">
        <v>104</v>
      </c>
      <c r="AG2681" s="1" t="s">
        <v>104</v>
      </c>
      <c r="AH2681" s="1" t="s">
        <v>104</v>
      </c>
      <c r="AI2681" s="1" t="s">
        <v>104</v>
      </c>
      <c r="AJ2681" s="1" t="s">
        <v>104</v>
      </c>
      <c r="AK2681" s="1" t="s">
        <v>104</v>
      </c>
      <c r="AL2681" s="1" t="s">
        <v>104</v>
      </c>
      <c r="AM2681" s="1" t="s">
        <v>104</v>
      </c>
      <c r="AO2681" s="1">
        <v>7</v>
      </c>
      <c r="AR2681" s="1">
        <v>0</v>
      </c>
      <c r="AS2681" s="1">
        <v>0</v>
      </c>
      <c r="AT2681" s="1">
        <v>0</v>
      </c>
      <c r="AU2681" s="1">
        <v>0</v>
      </c>
      <c r="AV2681" s="1">
        <v>0</v>
      </c>
      <c r="AW2681" s="1">
        <v>0</v>
      </c>
      <c r="AX2681" s="1">
        <v>0</v>
      </c>
      <c r="AY2681" s="1">
        <v>0</v>
      </c>
      <c r="AZ2681" s="1">
        <v>0</v>
      </c>
      <c r="BA2681" s="1">
        <v>0</v>
      </c>
      <c r="BB2681" s="1">
        <v>0</v>
      </c>
      <c r="BC2681" s="1">
        <v>0</v>
      </c>
      <c r="BD2681" s="1">
        <v>0</v>
      </c>
      <c r="BE2681" s="1">
        <v>0</v>
      </c>
      <c r="BF2681" s="1">
        <v>0</v>
      </c>
      <c r="BG2681" s="1">
        <v>0</v>
      </c>
      <c r="BH2681" s="1">
        <v>0</v>
      </c>
      <c r="BI2681" s="1">
        <v>0</v>
      </c>
      <c r="BJ2681" s="1">
        <v>0</v>
      </c>
      <c r="BK2681" s="1">
        <v>0</v>
      </c>
      <c r="BL2681" s="1">
        <v>0</v>
      </c>
      <c r="BM2681" s="1">
        <v>0</v>
      </c>
      <c r="BN2681" s="1">
        <v>0</v>
      </c>
      <c r="BO2681" s="1">
        <v>0</v>
      </c>
      <c r="BP2681" s="1">
        <v>0</v>
      </c>
      <c r="BQ2681" s="1" t="s">
        <v>104</v>
      </c>
      <c r="BR2681" s="1">
        <v>4807</v>
      </c>
      <c r="BS2681" s="1" t="s">
        <v>104</v>
      </c>
      <c r="BX2681" s="1">
        <v>0</v>
      </c>
      <c r="BY2681" s="1" t="s">
        <v>104</v>
      </c>
      <c r="BZ2681" s="1" t="s">
        <v>104</v>
      </c>
      <c r="CA2681" s="1">
        <v>7</v>
      </c>
      <c r="CB2681" s="1" t="s">
        <v>104</v>
      </c>
      <c r="CC2681" s="1" t="s">
        <v>104</v>
      </c>
      <c r="CD2681" s="1" t="s">
        <v>104</v>
      </c>
      <c r="CE2681" s="1" t="s">
        <v>104</v>
      </c>
      <c r="CF2681" s="1" t="s">
        <v>104</v>
      </c>
      <c r="CG2681" s="1" t="s">
        <v>104</v>
      </c>
      <c r="CH2681" s="1" t="s">
        <v>104</v>
      </c>
      <c r="CJ2681" s="1">
        <v>0</v>
      </c>
      <c r="CK2681" s="1">
        <v>0</v>
      </c>
      <c r="CL2681" s="1">
        <v>0</v>
      </c>
      <c r="CM2681" s="1" t="s">
        <v>104</v>
      </c>
    </row>
    <row r="2682" spans="1:91" ht="14.25" customHeight="1" x14ac:dyDescent="0.3">
      <c r="A2682" s="1" t="s">
        <v>13577</v>
      </c>
      <c r="B2682" s="1" t="s">
        <v>434</v>
      </c>
      <c r="E2682" s="1" t="s">
        <v>11131</v>
      </c>
      <c r="F2682" s="1" t="s">
        <v>8123</v>
      </c>
      <c r="G2682" s="1" t="s">
        <v>1802</v>
      </c>
      <c r="H2682" s="1">
        <v>0</v>
      </c>
      <c r="I2682" s="1" t="s">
        <v>117</v>
      </c>
      <c r="L2682" s="1" t="s">
        <v>1065</v>
      </c>
      <c r="M2682" s="1" t="s">
        <v>119</v>
      </c>
      <c r="N2682" s="1">
        <v>0</v>
      </c>
      <c r="O2682" s="1">
        <v>0</v>
      </c>
      <c r="P2682" s="1" t="s">
        <v>6205</v>
      </c>
      <c r="Q2682" s="1" t="s">
        <v>184</v>
      </c>
      <c r="R2682" s="1" t="s">
        <v>13578</v>
      </c>
      <c r="S2682" s="1" t="s">
        <v>13554</v>
      </c>
      <c r="T2682" s="1">
        <v>0</v>
      </c>
      <c r="U2682" s="1">
        <v>1</v>
      </c>
      <c r="V2682" s="1">
        <v>0</v>
      </c>
      <c r="W2682" s="1">
        <v>0</v>
      </c>
      <c r="X2682" s="1">
        <v>0</v>
      </c>
      <c r="Y2682" s="1" t="s">
        <v>104</v>
      </c>
      <c r="Z2682" s="1" t="s">
        <v>104</v>
      </c>
      <c r="AA2682" s="1" t="s">
        <v>104</v>
      </c>
      <c r="AB2682" s="1" t="s">
        <v>104</v>
      </c>
      <c r="AC2682" s="1" t="s">
        <v>104</v>
      </c>
      <c r="AD2682" s="1" t="s">
        <v>104</v>
      </c>
      <c r="AE2682" s="1" t="s">
        <v>104</v>
      </c>
      <c r="AF2682" s="1" t="s">
        <v>104</v>
      </c>
      <c r="AG2682" s="1" t="s">
        <v>104</v>
      </c>
      <c r="AH2682" s="1" t="s">
        <v>104</v>
      </c>
      <c r="AI2682" s="1" t="s">
        <v>104</v>
      </c>
      <c r="AJ2682" s="1" t="s">
        <v>104</v>
      </c>
      <c r="AK2682" s="1" t="s">
        <v>104</v>
      </c>
      <c r="AL2682" s="1" t="s">
        <v>104</v>
      </c>
      <c r="AM2682" s="1" t="s">
        <v>104</v>
      </c>
      <c r="AO2682" s="1">
        <v>8</v>
      </c>
      <c r="AR2682" s="1">
        <v>0</v>
      </c>
      <c r="AS2682" s="1">
        <v>0</v>
      </c>
      <c r="AT2682" s="1">
        <v>0</v>
      </c>
      <c r="AU2682" s="1">
        <v>0</v>
      </c>
      <c r="AV2682" s="1">
        <v>0</v>
      </c>
      <c r="AW2682" s="1">
        <v>0</v>
      </c>
      <c r="AX2682" s="1">
        <v>0</v>
      </c>
      <c r="AY2682" s="1">
        <v>0</v>
      </c>
      <c r="AZ2682" s="1">
        <v>0</v>
      </c>
      <c r="BA2682" s="1">
        <v>0</v>
      </c>
      <c r="BB2682" s="1">
        <v>0</v>
      </c>
      <c r="BC2682" s="1">
        <v>0</v>
      </c>
      <c r="BD2682" s="1">
        <v>0</v>
      </c>
      <c r="BE2682" s="1">
        <v>0</v>
      </c>
      <c r="BF2682" s="1">
        <v>0</v>
      </c>
      <c r="BG2682" s="1">
        <v>0</v>
      </c>
      <c r="BH2682" s="1">
        <v>0</v>
      </c>
      <c r="BI2682" s="1">
        <v>0</v>
      </c>
      <c r="BJ2682" s="1">
        <v>0</v>
      </c>
      <c r="BK2682" s="1">
        <v>0</v>
      </c>
      <c r="BL2682" s="1">
        <v>0</v>
      </c>
      <c r="BM2682" s="1">
        <v>0</v>
      </c>
      <c r="BN2682" s="1">
        <v>0</v>
      </c>
      <c r="BO2682" s="1">
        <v>0</v>
      </c>
      <c r="BP2682" s="1">
        <v>0</v>
      </c>
      <c r="BQ2682" s="1" t="s">
        <v>104</v>
      </c>
      <c r="BR2682" s="1">
        <v>4808</v>
      </c>
      <c r="BS2682" s="1" t="s">
        <v>104</v>
      </c>
      <c r="BX2682" s="1">
        <v>0</v>
      </c>
      <c r="BY2682" s="1" t="s">
        <v>104</v>
      </c>
      <c r="BZ2682" s="1" t="s">
        <v>104</v>
      </c>
      <c r="CA2682" s="1">
        <v>8</v>
      </c>
      <c r="CB2682" s="1" t="s">
        <v>104</v>
      </c>
      <c r="CC2682" s="1" t="s">
        <v>104</v>
      </c>
      <c r="CD2682" s="1" t="s">
        <v>104</v>
      </c>
      <c r="CE2682" s="1" t="s">
        <v>104</v>
      </c>
      <c r="CF2682" s="1" t="s">
        <v>104</v>
      </c>
      <c r="CG2682" s="1" t="s">
        <v>104</v>
      </c>
      <c r="CH2682" s="1" t="s">
        <v>104</v>
      </c>
      <c r="CJ2682" s="1">
        <v>0</v>
      </c>
      <c r="CK2682" s="1">
        <v>0</v>
      </c>
      <c r="CL2682" s="1">
        <v>0</v>
      </c>
      <c r="CM2682" s="1" t="s">
        <v>104</v>
      </c>
    </row>
    <row r="2683" spans="1:91" ht="14.25" customHeight="1" x14ac:dyDescent="0.3">
      <c r="A2683" s="1" t="s">
        <v>13579</v>
      </c>
      <c r="B2683" s="1" t="s">
        <v>123</v>
      </c>
      <c r="C2683" s="1" t="s">
        <v>124</v>
      </c>
      <c r="D2683" s="1" t="s">
        <v>125</v>
      </c>
      <c r="E2683" s="1" t="s">
        <v>13552</v>
      </c>
      <c r="F2683" s="1" t="s">
        <v>95</v>
      </c>
      <c r="G2683" s="1" t="s">
        <v>116</v>
      </c>
      <c r="H2683" s="1">
        <v>0</v>
      </c>
      <c r="I2683" s="1" t="s">
        <v>117</v>
      </c>
      <c r="L2683" s="1" t="s">
        <v>5827</v>
      </c>
      <c r="M2683" s="1" t="s">
        <v>13580</v>
      </c>
      <c r="N2683" s="1">
        <v>0</v>
      </c>
      <c r="O2683" s="1">
        <v>0</v>
      </c>
      <c r="P2683" s="1" t="s">
        <v>1902</v>
      </c>
      <c r="Q2683" s="1" t="s">
        <v>184</v>
      </c>
      <c r="R2683" s="1" t="s">
        <v>13581</v>
      </c>
      <c r="S2683" s="1" t="s">
        <v>13554</v>
      </c>
      <c r="T2683" s="1">
        <v>1</v>
      </c>
      <c r="U2683" s="1">
        <v>1</v>
      </c>
      <c r="V2683" s="1">
        <v>0</v>
      </c>
      <c r="W2683" s="1">
        <v>0</v>
      </c>
      <c r="X2683" s="1">
        <v>0</v>
      </c>
      <c r="Y2683" s="1">
        <v>2</v>
      </c>
      <c r="Z2683" s="1">
        <v>2</v>
      </c>
      <c r="AA2683" s="1" t="s">
        <v>104</v>
      </c>
      <c r="AB2683" s="1" t="s">
        <v>104</v>
      </c>
      <c r="AC2683" s="1" t="s">
        <v>104</v>
      </c>
      <c r="AD2683" s="1" t="s">
        <v>104</v>
      </c>
      <c r="AE2683" s="1" t="s">
        <v>104</v>
      </c>
      <c r="AF2683" s="1" t="s">
        <v>104</v>
      </c>
      <c r="AG2683" s="1" t="s">
        <v>104</v>
      </c>
      <c r="AH2683" s="1">
        <v>2</v>
      </c>
      <c r="AI2683" s="1" t="s">
        <v>104</v>
      </c>
      <c r="AJ2683" s="1" t="s">
        <v>104</v>
      </c>
      <c r="AK2683" s="1" t="s">
        <v>104</v>
      </c>
      <c r="AL2683" s="1" t="s">
        <v>104</v>
      </c>
      <c r="AM2683" s="1" t="s">
        <v>104</v>
      </c>
      <c r="AO2683" s="1">
        <v>2</v>
      </c>
      <c r="AR2683" s="1">
        <v>0</v>
      </c>
      <c r="AS2683" s="1">
        <v>0</v>
      </c>
      <c r="AT2683" s="1">
        <v>0</v>
      </c>
      <c r="AU2683" s="1">
        <v>0</v>
      </c>
      <c r="AV2683" s="1">
        <v>0</v>
      </c>
      <c r="AW2683" s="1">
        <v>0</v>
      </c>
      <c r="AX2683" s="1">
        <v>0</v>
      </c>
      <c r="AY2683" s="1">
        <v>0</v>
      </c>
      <c r="AZ2683" s="1">
        <v>0</v>
      </c>
      <c r="BA2683" s="1">
        <v>0</v>
      </c>
      <c r="BB2683" s="1">
        <v>0</v>
      </c>
      <c r="BC2683" s="1">
        <v>0</v>
      </c>
      <c r="BD2683" s="1">
        <v>0</v>
      </c>
      <c r="BE2683" s="1">
        <v>0</v>
      </c>
      <c r="BF2683" s="1">
        <v>0</v>
      </c>
      <c r="BG2683" s="1">
        <v>0</v>
      </c>
      <c r="BH2683" s="1">
        <v>0</v>
      </c>
      <c r="BI2683" s="1">
        <v>0</v>
      </c>
      <c r="BJ2683" s="1">
        <v>0</v>
      </c>
      <c r="BK2683" s="1">
        <v>1</v>
      </c>
      <c r="BL2683" s="1">
        <v>0</v>
      </c>
      <c r="BM2683" s="1">
        <v>0</v>
      </c>
      <c r="BN2683" s="1">
        <v>0</v>
      </c>
      <c r="BO2683" s="1">
        <v>0</v>
      </c>
      <c r="BP2683" s="1">
        <v>0</v>
      </c>
      <c r="BQ2683" s="1" t="s">
        <v>104</v>
      </c>
      <c r="BR2683" s="1">
        <v>4809</v>
      </c>
      <c r="BS2683" s="1" t="s">
        <v>104</v>
      </c>
      <c r="BX2683" s="1">
        <v>0</v>
      </c>
      <c r="BY2683" s="1" t="s">
        <v>104</v>
      </c>
      <c r="BZ2683" s="1" t="s">
        <v>104</v>
      </c>
      <c r="CA2683" s="1">
        <v>2</v>
      </c>
      <c r="CB2683" s="1" t="s">
        <v>104</v>
      </c>
      <c r="CC2683" s="1" t="s">
        <v>104</v>
      </c>
      <c r="CD2683" s="1" t="s">
        <v>104</v>
      </c>
      <c r="CE2683" s="1" t="s">
        <v>104</v>
      </c>
      <c r="CF2683" s="1" t="s">
        <v>104</v>
      </c>
      <c r="CG2683" s="1" t="s">
        <v>104</v>
      </c>
      <c r="CH2683" s="1" t="s">
        <v>104</v>
      </c>
      <c r="CJ2683" s="1">
        <v>0</v>
      </c>
      <c r="CK2683" s="1">
        <v>0</v>
      </c>
      <c r="CL2683" s="1">
        <v>0</v>
      </c>
      <c r="CM2683" s="1" t="s">
        <v>104</v>
      </c>
    </row>
    <row r="2684" spans="1:91" ht="14.25" customHeight="1" x14ac:dyDescent="0.3">
      <c r="A2684" s="1" t="s">
        <v>13582</v>
      </c>
      <c r="B2684" s="1" t="s">
        <v>434</v>
      </c>
      <c r="D2684" s="1" t="s">
        <v>57</v>
      </c>
      <c r="E2684" s="1" t="s">
        <v>13583</v>
      </c>
      <c r="F2684" s="1" t="s">
        <v>95</v>
      </c>
      <c r="G2684" s="1" t="s">
        <v>116</v>
      </c>
      <c r="H2684" s="1">
        <v>0</v>
      </c>
      <c r="I2684" s="1" t="s">
        <v>128</v>
      </c>
      <c r="L2684" s="1" t="s">
        <v>1065</v>
      </c>
      <c r="M2684" s="1" t="s">
        <v>2330</v>
      </c>
      <c r="N2684" s="1">
        <v>0</v>
      </c>
      <c r="O2684" s="1">
        <v>0</v>
      </c>
      <c r="P2684" s="1" t="s">
        <v>375</v>
      </c>
      <c r="Q2684" s="1" t="s">
        <v>131</v>
      </c>
      <c r="R2684" s="1" t="s">
        <v>13584</v>
      </c>
      <c r="S2684" s="1" t="s">
        <v>13554</v>
      </c>
      <c r="T2684" s="1">
        <v>1</v>
      </c>
      <c r="U2684" s="1">
        <v>1</v>
      </c>
      <c r="V2684" s="1">
        <v>0</v>
      </c>
      <c r="W2684" s="1">
        <v>0</v>
      </c>
      <c r="X2684" s="1">
        <v>0</v>
      </c>
      <c r="Y2684" s="1">
        <v>2</v>
      </c>
      <c r="Z2684" s="1">
        <v>2</v>
      </c>
      <c r="AA2684" s="1" t="s">
        <v>104</v>
      </c>
      <c r="AB2684" s="1" t="s">
        <v>104</v>
      </c>
      <c r="AC2684" s="1" t="s">
        <v>104</v>
      </c>
      <c r="AD2684" s="1" t="s">
        <v>104</v>
      </c>
      <c r="AE2684" s="1" t="s">
        <v>104</v>
      </c>
      <c r="AF2684" s="1" t="s">
        <v>104</v>
      </c>
      <c r="AG2684" s="1" t="s">
        <v>104</v>
      </c>
      <c r="AH2684" s="1" t="s">
        <v>104</v>
      </c>
      <c r="AI2684" s="1" t="s">
        <v>104</v>
      </c>
      <c r="AJ2684" s="1" t="s">
        <v>104</v>
      </c>
      <c r="AK2684" s="1" t="s">
        <v>104</v>
      </c>
      <c r="AL2684" s="1">
        <v>2</v>
      </c>
      <c r="AM2684" s="1" t="s">
        <v>104</v>
      </c>
      <c r="AO2684" s="1">
        <v>2</v>
      </c>
      <c r="AR2684" s="1">
        <v>0</v>
      </c>
      <c r="AS2684" s="1">
        <v>0</v>
      </c>
      <c r="AT2684" s="1">
        <v>0</v>
      </c>
      <c r="AU2684" s="1">
        <v>0</v>
      </c>
      <c r="AV2684" s="1">
        <v>0</v>
      </c>
      <c r="AW2684" s="1">
        <v>0</v>
      </c>
      <c r="AX2684" s="1">
        <v>0</v>
      </c>
      <c r="AY2684" s="1">
        <v>0</v>
      </c>
      <c r="AZ2684" s="1">
        <v>0</v>
      </c>
      <c r="BA2684" s="1">
        <v>0</v>
      </c>
      <c r="BB2684" s="1">
        <v>0</v>
      </c>
      <c r="BC2684" s="1">
        <v>0</v>
      </c>
      <c r="BD2684" s="1">
        <v>0</v>
      </c>
      <c r="BE2684" s="1">
        <v>0</v>
      </c>
      <c r="BF2684" s="1">
        <v>1</v>
      </c>
      <c r="BG2684" s="1">
        <v>0</v>
      </c>
      <c r="BH2684" s="1">
        <v>0</v>
      </c>
      <c r="BI2684" s="1">
        <v>0</v>
      </c>
      <c r="BJ2684" s="1">
        <v>0</v>
      </c>
      <c r="BK2684" s="1">
        <v>0</v>
      </c>
      <c r="BL2684" s="1">
        <v>0</v>
      </c>
      <c r="BM2684" s="1">
        <v>0</v>
      </c>
      <c r="BN2684" s="1">
        <v>0</v>
      </c>
      <c r="BO2684" s="1">
        <v>0</v>
      </c>
      <c r="BP2684" s="1">
        <v>0</v>
      </c>
      <c r="BQ2684" s="1" t="s">
        <v>104</v>
      </c>
      <c r="BR2684" s="1">
        <v>4810</v>
      </c>
      <c r="BS2684" s="1" t="s">
        <v>104</v>
      </c>
      <c r="BX2684" s="1">
        <v>0</v>
      </c>
      <c r="BY2684" s="1" t="s">
        <v>104</v>
      </c>
      <c r="BZ2684" s="1" t="s">
        <v>104</v>
      </c>
      <c r="CA2684" s="1">
        <v>2</v>
      </c>
      <c r="CB2684" s="1" t="s">
        <v>104</v>
      </c>
      <c r="CC2684" s="1" t="s">
        <v>104</v>
      </c>
      <c r="CD2684" s="1" t="s">
        <v>104</v>
      </c>
      <c r="CE2684" s="1" t="s">
        <v>104</v>
      </c>
      <c r="CF2684" s="1" t="s">
        <v>104</v>
      </c>
      <c r="CG2684" s="1" t="s">
        <v>104</v>
      </c>
      <c r="CH2684" s="1" t="s">
        <v>104</v>
      </c>
      <c r="CJ2684" s="1">
        <v>0</v>
      </c>
      <c r="CK2684" s="1">
        <v>0</v>
      </c>
      <c r="CL2684" s="1">
        <v>0</v>
      </c>
      <c r="CM2684" s="1" t="s">
        <v>104</v>
      </c>
    </row>
    <row r="2685" spans="1:91" ht="14.25" customHeight="1" x14ac:dyDescent="0.3">
      <c r="A2685" s="1" t="s">
        <v>13585</v>
      </c>
      <c r="B2685" s="1" t="s">
        <v>123</v>
      </c>
      <c r="C2685" s="1" t="s">
        <v>124</v>
      </c>
      <c r="D2685" s="1" t="s">
        <v>125</v>
      </c>
      <c r="E2685" s="1" t="s">
        <v>10931</v>
      </c>
      <c r="F2685" s="1" t="s">
        <v>95</v>
      </c>
      <c r="G2685" s="1" t="s">
        <v>1802</v>
      </c>
      <c r="H2685" s="1">
        <v>0</v>
      </c>
      <c r="I2685" s="1" t="s">
        <v>117</v>
      </c>
      <c r="L2685" s="1" t="s">
        <v>1065</v>
      </c>
      <c r="M2685" s="1" t="s">
        <v>111</v>
      </c>
      <c r="N2685" s="1">
        <v>0</v>
      </c>
      <c r="O2685" s="1">
        <v>0</v>
      </c>
      <c r="P2685" s="1" t="s">
        <v>211</v>
      </c>
      <c r="Q2685" s="1" t="s">
        <v>184</v>
      </c>
      <c r="R2685" s="1" t="s">
        <v>13586</v>
      </c>
      <c r="S2685" s="1" t="s">
        <v>13554</v>
      </c>
      <c r="T2685" s="1">
        <v>0</v>
      </c>
      <c r="U2685" s="1">
        <v>1</v>
      </c>
      <c r="V2685" s="1">
        <v>0</v>
      </c>
      <c r="W2685" s="1">
        <v>0</v>
      </c>
      <c r="X2685" s="1">
        <v>0</v>
      </c>
      <c r="Y2685" s="1" t="s">
        <v>104</v>
      </c>
      <c r="Z2685" s="1" t="s">
        <v>104</v>
      </c>
      <c r="AA2685" s="1" t="s">
        <v>104</v>
      </c>
      <c r="AB2685" s="1" t="s">
        <v>104</v>
      </c>
      <c r="AC2685" s="1" t="s">
        <v>104</v>
      </c>
      <c r="AD2685" s="1" t="s">
        <v>104</v>
      </c>
      <c r="AE2685" s="1" t="s">
        <v>104</v>
      </c>
      <c r="AF2685" s="1" t="s">
        <v>104</v>
      </c>
      <c r="AG2685" s="1" t="s">
        <v>104</v>
      </c>
      <c r="AH2685" s="1" t="s">
        <v>104</v>
      </c>
      <c r="AI2685" s="1" t="s">
        <v>104</v>
      </c>
      <c r="AJ2685" s="1" t="s">
        <v>104</v>
      </c>
      <c r="AK2685" s="1" t="s">
        <v>104</v>
      </c>
      <c r="AL2685" s="1" t="s">
        <v>104</v>
      </c>
      <c r="AM2685" s="1" t="s">
        <v>104</v>
      </c>
      <c r="AO2685" s="1">
        <v>2</v>
      </c>
      <c r="AR2685" s="1">
        <v>0</v>
      </c>
      <c r="AS2685" s="1">
        <v>0</v>
      </c>
      <c r="AT2685" s="1">
        <v>0</v>
      </c>
      <c r="AU2685" s="1">
        <v>0</v>
      </c>
      <c r="AV2685" s="1">
        <v>0</v>
      </c>
      <c r="AW2685" s="1">
        <v>0</v>
      </c>
      <c r="AX2685" s="1">
        <v>0</v>
      </c>
      <c r="AY2685" s="1">
        <v>0</v>
      </c>
      <c r="AZ2685" s="1">
        <v>0</v>
      </c>
      <c r="BA2685" s="1">
        <v>0</v>
      </c>
      <c r="BB2685" s="1">
        <v>0</v>
      </c>
      <c r="BC2685" s="1">
        <v>0</v>
      </c>
      <c r="BD2685" s="1">
        <v>0</v>
      </c>
      <c r="BE2685" s="1">
        <v>0</v>
      </c>
      <c r="BF2685" s="1">
        <v>0</v>
      </c>
      <c r="BG2685" s="1">
        <v>0</v>
      </c>
      <c r="BH2685" s="1">
        <v>0</v>
      </c>
      <c r="BI2685" s="1">
        <v>0</v>
      </c>
      <c r="BJ2685" s="1">
        <v>0</v>
      </c>
      <c r="BK2685" s="1">
        <v>1</v>
      </c>
      <c r="BL2685" s="1">
        <v>0</v>
      </c>
      <c r="BM2685" s="1">
        <v>0</v>
      </c>
      <c r="BN2685" s="1">
        <v>0</v>
      </c>
      <c r="BO2685" s="1">
        <v>0</v>
      </c>
      <c r="BP2685" s="1">
        <v>0</v>
      </c>
      <c r="BQ2685" s="1" t="s">
        <v>104</v>
      </c>
      <c r="BR2685" s="1">
        <v>4811</v>
      </c>
      <c r="BS2685" s="1" t="s">
        <v>104</v>
      </c>
      <c r="BX2685" s="1">
        <v>0</v>
      </c>
      <c r="BY2685" s="1" t="s">
        <v>104</v>
      </c>
      <c r="BZ2685" s="1" t="s">
        <v>104</v>
      </c>
      <c r="CA2685" s="1">
        <v>2</v>
      </c>
      <c r="CB2685" s="1" t="s">
        <v>104</v>
      </c>
      <c r="CC2685" s="1" t="s">
        <v>104</v>
      </c>
      <c r="CD2685" s="1" t="s">
        <v>104</v>
      </c>
      <c r="CE2685" s="1" t="s">
        <v>104</v>
      </c>
      <c r="CF2685" s="1" t="s">
        <v>104</v>
      </c>
      <c r="CG2685" s="1" t="s">
        <v>104</v>
      </c>
      <c r="CH2685" s="1" t="s">
        <v>104</v>
      </c>
      <c r="CJ2685" s="1">
        <v>0</v>
      </c>
      <c r="CK2685" s="1">
        <v>0</v>
      </c>
      <c r="CL2685" s="1">
        <v>0</v>
      </c>
      <c r="CM2685" s="1" t="s">
        <v>104</v>
      </c>
    </row>
    <row r="2686" spans="1:91" ht="14.25" customHeight="1" x14ac:dyDescent="0.3">
      <c r="A2686" s="1" t="s">
        <v>13587</v>
      </c>
      <c r="B2686" s="1" t="s">
        <v>123</v>
      </c>
      <c r="C2686" s="1" t="s">
        <v>124</v>
      </c>
      <c r="D2686" s="1" t="s">
        <v>125</v>
      </c>
      <c r="E2686" s="1" t="s">
        <v>10846</v>
      </c>
      <c r="F2686" s="1" t="s">
        <v>95</v>
      </c>
      <c r="G2686" s="1" t="s">
        <v>1802</v>
      </c>
      <c r="H2686" s="1">
        <v>0</v>
      </c>
      <c r="I2686" s="1" t="s">
        <v>117</v>
      </c>
      <c r="L2686" s="1" t="s">
        <v>1065</v>
      </c>
      <c r="M2686" s="1" t="s">
        <v>111</v>
      </c>
      <c r="N2686" s="1">
        <v>0</v>
      </c>
      <c r="O2686" s="1">
        <v>0</v>
      </c>
      <c r="P2686" s="1" t="s">
        <v>211</v>
      </c>
      <c r="Q2686" s="1" t="s">
        <v>184</v>
      </c>
      <c r="R2686" s="1" t="s">
        <v>13588</v>
      </c>
      <c r="S2686" s="1" t="s">
        <v>13554</v>
      </c>
      <c r="T2686" s="1">
        <v>0</v>
      </c>
      <c r="U2686" s="1">
        <v>1</v>
      </c>
      <c r="V2686" s="1">
        <v>0</v>
      </c>
      <c r="W2686" s="1">
        <v>0</v>
      </c>
      <c r="X2686" s="1">
        <v>0</v>
      </c>
      <c r="Y2686" s="1" t="s">
        <v>104</v>
      </c>
      <c r="Z2686" s="1" t="s">
        <v>104</v>
      </c>
      <c r="AA2686" s="1" t="s">
        <v>104</v>
      </c>
      <c r="AB2686" s="1" t="s">
        <v>104</v>
      </c>
      <c r="AC2686" s="1" t="s">
        <v>104</v>
      </c>
      <c r="AD2686" s="1" t="s">
        <v>104</v>
      </c>
      <c r="AE2686" s="1" t="s">
        <v>104</v>
      </c>
      <c r="AF2686" s="1" t="s">
        <v>104</v>
      </c>
      <c r="AG2686" s="1" t="s">
        <v>104</v>
      </c>
      <c r="AH2686" s="1" t="s">
        <v>104</v>
      </c>
      <c r="AI2686" s="1" t="s">
        <v>104</v>
      </c>
      <c r="AJ2686" s="1" t="s">
        <v>104</v>
      </c>
      <c r="AK2686" s="1" t="s">
        <v>104</v>
      </c>
      <c r="AL2686" s="1" t="s">
        <v>104</v>
      </c>
      <c r="AM2686" s="1" t="s">
        <v>104</v>
      </c>
      <c r="AO2686" s="1">
        <v>3</v>
      </c>
      <c r="AR2686" s="1">
        <v>0</v>
      </c>
      <c r="AS2686" s="1">
        <v>0</v>
      </c>
      <c r="AT2686" s="1">
        <v>0</v>
      </c>
      <c r="AU2686" s="1">
        <v>0</v>
      </c>
      <c r="AV2686" s="1">
        <v>0</v>
      </c>
      <c r="AW2686" s="1">
        <v>0</v>
      </c>
      <c r="AX2686" s="1">
        <v>0</v>
      </c>
      <c r="AY2686" s="1">
        <v>0</v>
      </c>
      <c r="AZ2686" s="1">
        <v>0</v>
      </c>
      <c r="BA2686" s="1">
        <v>0</v>
      </c>
      <c r="BB2686" s="1">
        <v>0</v>
      </c>
      <c r="BC2686" s="1">
        <v>0</v>
      </c>
      <c r="BD2686" s="1">
        <v>0</v>
      </c>
      <c r="BE2686" s="1">
        <v>0</v>
      </c>
      <c r="BF2686" s="1">
        <v>0</v>
      </c>
      <c r="BG2686" s="1">
        <v>0</v>
      </c>
      <c r="BH2686" s="1">
        <v>0</v>
      </c>
      <c r="BI2686" s="1">
        <v>0</v>
      </c>
      <c r="BJ2686" s="1">
        <v>0</v>
      </c>
      <c r="BK2686" s="1">
        <v>1</v>
      </c>
      <c r="BL2686" s="1">
        <v>0</v>
      </c>
      <c r="BM2686" s="1">
        <v>0</v>
      </c>
      <c r="BN2686" s="1">
        <v>0</v>
      </c>
      <c r="BO2686" s="1">
        <v>0</v>
      </c>
      <c r="BP2686" s="1">
        <v>0</v>
      </c>
      <c r="BQ2686" s="1" t="s">
        <v>104</v>
      </c>
      <c r="BR2686" s="1">
        <v>4812</v>
      </c>
      <c r="BS2686" s="1" t="s">
        <v>104</v>
      </c>
      <c r="BX2686" s="1">
        <v>0</v>
      </c>
      <c r="BY2686" s="1" t="s">
        <v>104</v>
      </c>
      <c r="BZ2686" s="1" t="s">
        <v>104</v>
      </c>
      <c r="CA2686" s="1">
        <v>3</v>
      </c>
      <c r="CB2686" s="1" t="s">
        <v>104</v>
      </c>
      <c r="CC2686" s="1" t="s">
        <v>104</v>
      </c>
      <c r="CD2686" s="1" t="s">
        <v>104</v>
      </c>
      <c r="CE2686" s="1" t="s">
        <v>104</v>
      </c>
      <c r="CF2686" s="1" t="s">
        <v>104</v>
      </c>
      <c r="CG2686" s="1" t="s">
        <v>104</v>
      </c>
      <c r="CH2686" s="1" t="s">
        <v>104</v>
      </c>
      <c r="CJ2686" s="1">
        <v>0</v>
      </c>
      <c r="CK2686" s="1">
        <v>0</v>
      </c>
      <c r="CL2686" s="1">
        <v>0</v>
      </c>
      <c r="CM2686" s="1" t="s">
        <v>104</v>
      </c>
    </row>
    <row r="2687" spans="1:91" ht="14.25" customHeight="1" x14ac:dyDescent="0.3">
      <c r="A2687" s="1" t="s">
        <v>13589</v>
      </c>
      <c r="B2687" s="1" t="s">
        <v>123</v>
      </c>
      <c r="C2687" s="1" t="s">
        <v>124</v>
      </c>
      <c r="D2687" s="1" t="s">
        <v>125</v>
      </c>
      <c r="E2687" s="1" t="s">
        <v>10851</v>
      </c>
      <c r="F2687" s="1" t="s">
        <v>95</v>
      </c>
      <c r="G2687" s="1" t="s">
        <v>1802</v>
      </c>
      <c r="H2687" s="1">
        <v>0</v>
      </c>
      <c r="I2687" s="1" t="s">
        <v>117</v>
      </c>
      <c r="L2687" s="1" t="s">
        <v>1065</v>
      </c>
      <c r="M2687" s="1" t="s">
        <v>111</v>
      </c>
      <c r="N2687" s="1">
        <v>0</v>
      </c>
      <c r="O2687" s="1">
        <v>0</v>
      </c>
      <c r="P2687" s="1" t="s">
        <v>5901</v>
      </c>
      <c r="Q2687" s="1" t="s">
        <v>184</v>
      </c>
      <c r="R2687" s="1" t="s">
        <v>13590</v>
      </c>
      <c r="S2687" s="1" t="s">
        <v>13554</v>
      </c>
      <c r="T2687" s="1">
        <v>0</v>
      </c>
      <c r="U2687" s="1">
        <v>1</v>
      </c>
      <c r="V2687" s="1">
        <v>0</v>
      </c>
      <c r="W2687" s="1">
        <v>0</v>
      </c>
      <c r="X2687" s="1">
        <v>0</v>
      </c>
      <c r="Y2687" s="1" t="s">
        <v>104</v>
      </c>
      <c r="Z2687" s="1" t="s">
        <v>104</v>
      </c>
      <c r="AA2687" s="1" t="s">
        <v>104</v>
      </c>
      <c r="AB2687" s="1" t="s">
        <v>104</v>
      </c>
      <c r="AC2687" s="1" t="s">
        <v>104</v>
      </c>
      <c r="AD2687" s="1" t="s">
        <v>104</v>
      </c>
      <c r="AE2687" s="1" t="s">
        <v>104</v>
      </c>
      <c r="AF2687" s="1" t="s">
        <v>104</v>
      </c>
      <c r="AG2687" s="1" t="s">
        <v>104</v>
      </c>
      <c r="AH2687" s="1" t="s">
        <v>104</v>
      </c>
      <c r="AI2687" s="1" t="s">
        <v>104</v>
      </c>
      <c r="AJ2687" s="1" t="s">
        <v>104</v>
      </c>
      <c r="AK2687" s="1" t="s">
        <v>104</v>
      </c>
      <c r="AL2687" s="1" t="s">
        <v>104</v>
      </c>
      <c r="AM2687" s="1" t="s">
        <v>104</v>
      </c>
      <c r="AO2687" s="1">
        <v>4</v>
      </c>
      <c r="AR2687" s="1">
        <v>0</v>
      </c>
      <c r="AS2687" s="1">
        <v>0</v>
      </c>
      <c r="AT2687" s="1">
        <v>0</v>
      </c>
      <c r="AU2687" s="1">
        <v>0</v>
      </c>
      <c r="AV2687" s="1">
        <v>0</v>
      </c>
      <c r="AW2687" s="1">
        <v>0</v>
      </c>
      <c r="AX2687" s="1">
        <v>0</v>
      </c>
      <c r="AY2687" s="1">
        <v>0</v>
      </c>
      <c r="AZ2687" s="1">
        <v>0</v>
      </c>
      <c r="BA2687" s="1">
        <v>0</v>
      </c>
      <c r="BB2687" s="1">
        <v>0</v>
      </c>
      <c r="BC2687" s="1">
        <v>0</v>
      </c>
      <c r="BD2687" s="1">
        <v>0</v>
      </c>
      <c r="BE2687" s="1">
        <v>0</v>
      </c>
      <c r="BF2687" s="1">
        <v>0</v>
      </c>
      <c r="BG2687" s="1">
        <v>0</v>
      </c>
      <c r="BH2687" s="1">
        <v>0</v>
      </c>
      <c r="BI2687" s="1">
        <v>0</v>
      </c>
      <c r="BJ2687" s="1">
        <v>0</v>
      </c>
      <c r="BK2687" s="1">
        <v>1</v>
      </c>
      <c r="BL2687" s="1">
        <v>0</v>
      </c>
      <c r="BM2687" s="1">
        <v>0</v>
      </c>
      <c r="BN2687" s="1">
        <v>0</v>
      </c>
      <c r="BO2687" s="1">
        <v>0</v>
      </c>
      <c r="BP2687" s="1">
        <v>0</v>
      </c>
      <c r="BQ2687" s="1" t="s">
        <v>104</v>
      </c>
      <c r="BR2687" s="1">
        <v>4813</v>
      </c>
      <c r="BS2687" s="1" t="s">
        <v>104</v>
      </c>
      <c r="BX2687" s="1">
        <v>0</v>
      </c>
      <c r="BY2687" s="1" t="s">
        <v>104</v>
      </c>
      <c r="BZ2687" s="1" t="s">
        <v>104</v>
      </c>
      <c r="CA2687" s="1">
        <v>4</v>
      </c>
      <c r="CB2687" s="1" t="s">
        <v>104</v>
      </c>
      <c r="CC2687" s="1" t="s">
        <v>104</v>
      </c>
      <c r="CD2687" s="1" t="s">
        <v>104</v>
      </c>
      <c r="CE2687" s="1" t="s">
        <v>104</v>
      </c>
      <c r="CF2687" s="1" t="s">
        <v>104</v>
      </c>
      <c r="CG2687" s="1" t="s">
        <v>104</v>
      </c>
      <c r="CH2687" s="1" t="s">
        <v>104</v>
      </c>
      <c r="CJ2687" s="1">
        <v>0</v>
      </c>
      <c r="CK2687" s="1">
        <v>0</v>
      </c>
      <c r="CL2687" s="1">
        <v>0</v>
      </c>
      <c r="CM2687" s="1" t="s">
        <v>104</v>
      </c>
    </row>
    <row r="2688" spans="1:91" ht="14.25" customHeight="1" x14ac:dyDescent="0.3">
      <c r="A2688" s="1" t="s">
        <v>13591</v>
      </c>
      <c r="B2688" s="1" t="s">
        <v>123</v>
      </c>
      <c r="C2688" s="1" t="s">
        <v>124</v>
      </c>
      <c r="D2688" s="1" t="s">
        <v>125</v>
      </c>
      <c r="E2688" s="1" t="s">
        <v>10855</v>
      </c>
      <c r="F2688" s="1" t="s">
        <v>95</v>
      </c>
      <c r="G2688" s="1" t="s">
        <v>1802</v>
      </c>
      <c r="H2688" s="1">
        <v>0</v>
      </c>
      <c r="I2688" s="1" t="s">
        <v>117</v>
      </c>
      <c r="L2688" s="1" t="s">
        <v>1065</v>
      </c>
      <c r="M2688" s="1" t="s">
        <v>111</v>
      </c>
      <c r="N2688" s="1">
        <v>0</v>
      </c>
      <c r="O2688" s="1">
        <v>0</v>
      </c>
      <c r="P2688" s="1" t="s">
        <v>5901</v>
      </c>
      <c r="Q2688" s="1" t="s">
        <v>184</v>
      </c>
      <c r="R2688" s="1" t="s">
        <v>13592</v>
      </c>
      <c r="S2688" s="1" t="s">
        <v>13554</v>
      </c>
      <c r="T2688" s="1">
        <v>0</v>
      </c>
      <c r="U2688" s="1">
        <v>1</v>
      </c>
      <c r="V2688" s="1">
        <v>0</v>
      </c>
      <c r="W2688" s="1">
        <v>0</v>
      </c>
      <c r="X2688" s="1">
        <v>0</v>
      </c>
      <c r="Y2688" s="1" t="s">
        <v>104</v>
      </c>
      <c r="Z2688" s="1" t="s">
        <v>104</v>
      </c>
      <c r="AA2688" s="1" t="s">
        <v>104</v>
      </c>
      <c r="AB2688" s="1" t="s">
        <v>104</v>
      </c>
      <c r="AC2688" s="1" t="s">
        <v>104</v>
      </c>
      <c r="AD2688" s="1" t="s">
        <v>104</v>
      </c>
      <c r="AE2688" s="1" t="s">
        <v>104</v>
      </c>
      <c r="AF2688" s="1" t="s">
        <v>104</v>
      </c>
      <c r="AG2688" s="1" t="s">
        <v>104</v>
      </c>
      <c r="AH2688" s="1" t="s">
        <v>104</v>
      </c>
      <c r="AI2688" s="1" t="s">
        <v>104</v>
      </c>
      <c r="AJ2688" s="1" t="s">
        <v>104</v>
      </c>
      <c r="AK2688" s="1" t="s">
        <v>104</v>
      </c>
      <c r="AL2688" s="1" t="s">
        <v>104</v>
      </c>
      <c r="AM2688" s="1" t="s">
        <v>104</v>
      </c>
      <c r="AO2688" s="1">
        <v>5</v>
      </c>
      <c r="AR2688" s="1">
        <v>0</v>
      </c>
      <c r="AS2688" s="1">
        <v>0</v>
      </c>
      <c r="AT2688" s="1">
        <v>0</v>
      </c>
      <c r="AU2688" s="1">
        <v>0</v>
      </c>
      <c r="AV2688" s="1">
        <v>0</v>
      </c>
      <c r="AW2688" s="1">
        <v>0</v>
      </c>
      <c r="AX2688" s="1">
        <v>0</v>
      </c>
      <c r="AY2688" s="1">
        <v>0</v>
      </c>
      <c r="AZ2688" s="1">
        <v>0</v>
      </c>
      <c r="BA2688" s="1">
        <v>0</v>
      </c>
      <c r="BB2688" s="1">
        <v>0</v>
      </c>
      <c r="BC2688" s="1">
        <v>0</v>
      </c>
      <c r="BD2688" s="1">
        <v>0</v>
      </c>
      <c r="BE2688" s="1">
        <v>0</v>
      </c>
      <c r="BF2688" s="1">
        <v>0</v>
      </c>
      <c r="BG2688" s="1">
        <v>0</v>
      </c>
      <c r="BH2688" s="1">
        <v>0</v>
      </c>
      <c r="BI2688" s="1">
        <v>0</v>
      </c>
      <c r="BJ2688" s="1">
        <v>0</v>
      </c>
      <c r="BK2688" s="1">
        <v>1</v>
      </c>
      <c r="BL2688" s="1">
        <v>0</v>
      </c>
      <c r="BM2688" s="1">
        <v>0</v>
      </c>
      <c r="BN2688" s="1">
        <v>0</v>
      </c>
      <c r="BO2688" s="1">
        <v>0</v>
      </c>
      <c r="BP2688" s="1">
        <v>0</v>
      </c>
      <c r="BQ2688" s="1" t="s">
        <v>104</v>
      </c>
      <c r="BR2688" s="1">
        <v>4814</v>
      </c>
      <c r="BS2688" s="1" t="s">
        <v>104</v>
      </c>
      <c r="BX2688" s="1">
        <v>0</v>
      </c>
      <c r="BY2688" s="1" t="s">
        <v>104</v>
      </c>
      <c r="BZ2688" s="1" t="s">
        <v>104</v>
      </c>
      <c r="CA2688" s="1">
        <v>5</v>
      </c>
      <c r="CB2688" s="1" t="s">
        <v>104</v>
      </c>
      <c r="CC2688" s="1" t="s">
        <v>104</v>
      </c>
      <c r="CD2688" s="1" t="s">
        <v>104</v>
      </c>
      <c r="CE2688" s="1" t="s">
        <v>104</v>
      </c>
      <c r="CF2688" s="1" t="s">
        <v>104</v>
      </c>
      <c r="CG2688" s="1" t="s">
        <v>104</v>
      </c>
      <c r="CH2688" s="1" t="s">
        <v>104</v>
      </c>
      <c r="CJ2688" s="1">
        <v>0</v>
      </c>
      <c r="CK2688" s="1">
        <v>0</v>
      </c>
      <c r="CL2688" s="1">
        <v>0</v>
      </c>
      <c r="CM2688" s="1" t="s">
        <v>104</v>
      </c>
    </row>
    <row r="2689" spans="1:91" ht="14.25" customHeight="1" x14ac:dyDescent="0.3">
      <c r="A2689" s="1" t="s">
        <v>13593</v>
      </c>
      <c r="B2689" s="1" t="s">
        <v>137</v>
      </c>
      <c r="C2689" s="1" t="s">
        <v>154</v>
      </c>
      <c r="E2689" s="1" t="s">
        <v>13594</v>
      </c>
      <c r="F2689" s="1" t="s">
        <v>95</v>
      </c>
      <c r="G2689" s="1" t="s">
        <v>127</v>
      </c>
      <c r="H2689" s="1">
        <v>0</v>
      </c>
      <c r="I2689" s="1" t="s">
        <v>157</v>
      </c>
      <c r="L2689" s="1" t="s">
        <v>158</v>
      </c>
      <c r="M2689" s="1" t="s">
        <v>10204</v>
      </c>
      <c r="N2689" s="1">
        <v>0</v>
      </c>
      <c r="O2689" s="1">
        <v>0</v>
      </c>
      <c r="P2689" s="1" t="s">
        <v>100</v>
      </c>
      <c r="Q2689" s="1" t="s">
        <v>131</v>
      </c>
      <c r="R2689" s="1" t="s">
        <v>13595</v>
      </c>
      <c r="S2689" s="1" t="s">
        <v>13596</v>
      </c>
      <c r="T2689" s="1">
        <v>1</v>
      </c>
      <c r="U2689" s="1">
        <v>1</v>
      </c>
      <c r="V2689" s="1">
        <v>0</v>
      </c>
      <c r="W2689" s="1">
        <v>0</v>
      </c>
      <c r="X2689" s="1">
        <v>1</v>
      </c>
      <c r="Y2689" s="1">
        <v>3</v>
      </c>
      <c r="Z2689" s="1">
        <v>3</v>
      </c>
      <c r="AA2689" s="1" t="s">
        <v>104</v>
      </c>
      <c r="AB2689" s="1">
        <v>3</v>
      </c>
      <c r="AC2689" s="1">
        <v>3</v>
      </c>
      <c r="AD2689" s="1" t="s">
        <v>104</v>
      </c>
      <c r="AE2689" s="1" t="s">
        <v>104</v>
      </c>
      <c r="AF2689" s="1">
        <v>3</v>
      </c>
      <c r="AG2689" s="1" t="s">
        <v>104</v>
      </c>
      <c r="AH2689" s="1" t="s">
        <v>104</v>
      </c>
      <c r="AI2689" s="1" t="s">
        <v>104</v>
      </c>
      <c r="AJ2689" s="1" t="s">
        <v>104</v>
      </c>
      <c r="AK2689" s="1" t="s">
        <v>104</v>
      </c>
      <c r="AL2689" s="1">
        <v>3</v>
      </c>
      <c r="AM2689" s="1" t="s">
        <v>104</v>
      </c>
      <c r="AO2689" s="1">
        <v>3</v>
      </c>
      <c r="AR2689" s="1">
        <v>0</v>
      </c>
      <c r="AS2689" s="1">
        <v>0</v>
      </c>
      <c r="AT2689" s="1">
        <v>0</v>
      </c>
      <c r="AU2689" s="1">
        <v>0</v>
      </c>
      <c r="AV2689" s="1">
        <v>0</v>
      </c>
      <c r="AW2689" s="1">
        <v>0</v>
      </c>
      <c r="AX2689" s="1">
        <v>0</v>
      </c>
      <c r="AY2689" s="1">
        <v>0</v>
      </c>
      <c r="AZ2689" s="1">
        <v>0</v>
      </c>
      <c r="BA2689" s="1">
        <v>0</v>
      </c>
      <c r="BB2689" s="1">
        <v>0</v>
      </c>
      <c r="BC2689" s="1">
        <v>0</v>
      </c>
      <c r="BD2689" s="1">
        <v>0</v>
      </c>
      <c r="BE2689" s="1">
        <v>0</v>
      </c>
      <c r="BF2689" s="1">
        <v>0</v>
      </c>
      <c r="BG2689" s="1">
        <v>0</v>
      </c>
      <c r="BH2689" s="1">
        <v>0</v>
      </c>
      <c r="BI2689" s="1">
        <v>0</v>
      </c>
      <c r="BJ2689" s="1">
        <v>0</v>
      </c>
      <c r="BK2689" s="1">
        <v>0</v>
      </c>
      <c r="BL2689" s="1">
        <v>0</v>
      </c>
      <c r="BM2689" s="1">
        <v>0</v>
      </c>
      <c r="BN2689" s="1">
        <v>0</v>
      </c>
      <c r="BO2689" s="1">
        <v>0</v>
      </c>
      <c r="BP2689" s="1">
        <v>0</v>
      </c>
      <c r="BQ2689" s="1" t="s">
        <v>104</v>
      </c>
      <c r="BR2689" s="1">
        <v>4815</v>
      </c>
      <c r="BS2689" s="1" t="s">
        <v>104</v>
      </c>
      <c r="BX2689" s="1">
        <v>0</v>
      </c>
      <c r="BY2689" s="1">
        <v>3</v>
      </c>
      <c r="BZ2689" s="1" t="s">
        <v>104</v>
      </c>
      <c r="CA2689" s="1" t="s">
        <v>104</v>
      </c>
      <c r="CB2689" s="1" t="s">
        <v>104</v>
      </c>
      <c r="CC2689" s="1" t="s">
        <v>104</v>
      </c>
      <c r="CD2689" s="1" t="s">
        <v>104</v>
      </c>
      <c r="CE2689" s="1" t="s">
        <v>104</v>
      </c>
      <c r="CF2689" s="1" t="s">
        <v>104</v>
      </c>
      <c r="CG2689" s="1" t="s">
        <v>104</v>
      </c>
      <c r="CH2689" s="1">
        <v>3</v>
      </c>
      <c r="CJ2689" s="1">
        <v>0</v>
      </c>
      <c r="CK2689" s="1">
        <v>0</v>
      </c>
      <c r="CL2689" s="1">
        <v>0</v>
      </c>
      <c r="CM2689" s="1" t="s">
        <v>104</v>
      </c>
    </row>
    <row r="2690" spans="1:91" ht="14.25" customHeight="1" x14ac:dyDescent="0.3">
      <c r="A2690" s="1" t="s">
        <v>13597</v>
      </c>
      <c r="B2690" s="1" t="s">
        <v>123</v>
      </c>
      <c r="C2690" s="1" t="s">
        <v>124</v>
      </c>
      <c r="E2690" s="1" t="s">
        <v>13598</v>
      </c>
      <c r="F2690" s="1" t="s">
        <v>1502</v>
      </c>
      <c r="G2690" s="1" t="s">
        <v>116</v>
      </c>
      <c r="H2690" s="1">
        <v>0</v>
      </c>
      <c r="I2690" s="1" t="s">
        <v>117</v>
      </c>
      <c r="L2690" s="1" t="s">
        <v>1065</v>
      </c>
      <c r="M2690" s="1" t="s">
        <v>119</v>
      </c>
      <c r="N2690" s="1">
        <v>0</v>
      </c>
      <c r="O2690" s="1">
        <v>0</v>
      </c>
      <c r="P2690" s="1" t="s">
        <v>211</v>
      </c>
      <c r="Q2690" s="1" t="s">
        <v>184</v>
      </c>
      <c r="R2690" s="1" t="s">
        <v>13599</v>
      </c>
      <c r="S2690" s="1" t="s">
        <v>13596</v>
      </c>
      <c r="T2690" s="1">
        <v>1</v>
      </c>
      <c r="U2690" s="1">
        <v>1</v>
      </c>
      <c r="V2690" s="1">
        <v>0</v>
      </c>
      <c r="W2690" s="1">
        <v>0</v>
      </c>
      <c r="X2690" s="1">
        <v>0</v>
      </c>
      <c r="Y2690" s="1" t="s">
        <v>104</v>
      </c>
      <c r="Z2690" s="1" t="s">
        <v>104</v>
      </c>
      <c r="AA2690" s="1">
        <v>1</v>
      </c>
      <c r="AB2690" s="1" t="s">
        <v>104</v>
      </c>
      <c r="AC2690" s="1" t="s">
        <v>104</v>
      </c>
      <c r="AD2690" s="1" t="s">
        <v>104</v>
      </c>
      <c r="AE2690" s="1" t="s">
        <v>104</v>
      </c>
      <c r="AF2690" s="1" t="s">
        <v>104</v>
      </c>
      <c r="AG2690" s="1" t="s">
        <v>104</v>
      </c>
      <c r="AH2690" s="1">
        <v>1</v>
      </c>
      <c r="AI2690" s="1">
        <v>1</v>
      </c>
      <c r="AJ2690" s="1">
        <v>1</v>
      </c>
      <c r="AK2690" s="1">
        <v>1</v>
      </c>
      <c r="AL2690" s="1" t="s">
        <v>104</v>
      </c>
      <c r="AM2690" s="1" t="s">
        <v>104</v>
      </c>
      <c r="AO2690" s="1">
        <v>1</v>
      </c>
      <c r="AR2690" s="1">
        <v>0</v>
      </c>
      <c r="AS2690" s="1">
        <v>0</v>
      </c>
      <c r="AT2690" s="1">
        <v>0</v>
      </c>
      <c r="AU2690" s="1">
        <v>0</v>
      </c>
      <c r="AV2690" s="1">
        <v>0</v>
      </c>
      <c r="AW2690" s="1">
        <v>0</v>
      </c>
      <c r="AX2690" s="1">
        <v>0</v>
      </c>
      <c r="AY2690" s="1">
        <v>0</v>
      </c>
      <c r="AZ2690" s="1">
        <v>0</v>
      </c>
      <c r="BA2690" s="1">
        <v>0</v>
      </c>
      <c r="BB2690" s="1">
        <v>0</v>
      </c>
      <c r="BC2690" s="1">
        <v>0</v>
      </c>
      <c r="BD2690" s="1">
        <v>0</v>
      </c>
      <c r="BE2690" s="1">
        <v>0</v>
      </c>
      <c r="BF2690" s="1">
        <v>0</v>
      </c>
      <c r="BG2690" s="1">
        <v>0</v>
      </c>
      <c r="BH2690" s="1">
        <v>0</v>
      </c>
      <c r="BI2690" s="1">
        <v>0</v>
      </c>
      <c r="BJ2690" s="1">
        <v>0</v>
      </c>
      <c r="BK2690" s="1">
        <v>0</v>
      </c>
      <c r="BL2690" s="1">
        <v>0</v>
      </c>
      <c r="BM2690" s="1">
        <v>0</v>
      </c>
      <c r="BN2690" s="1">
        <v>0</v>
      </c>
      <c r="BO2690" s="1">
        <v>0</v>
      </c>
      <c r="BP2690" s="1">
        <v>0</v>
      </c>
      <c r="BQ2690" s="1" t="s">
        <v>104</v>
      </c>
      <c r="BR2690" s="1">
        <v>4816</v>
      </c>
      <c r="BS2690" s="1" t="s">
        <v>104</v>
      </c>
      <c r="BX2690" s="1">
        <v>0</v>
      </c>
      <c r="BY2690" s="1" t="s">
        <v>104</v>
      </c>
      <c r="BZ2690" s="1" t="s">
        <v>104</v>
      </c>
      <c r="CA2690" s="1">
        <v>1</v>
      </c>
      <c r="CB2690" s="1" t="s">
        <v>104</v>
      </c>
      <c r="CC2690" s="1">
        <v>1</v>
      </c>
      <c r="CD2690" s="1" t="s">
        <v>104</v>
      </c>
      <c r="CE2690" s="1" t="s">
        <v>104</v>
      </c>
      <c r="CF2690" s="1" t="s">
        <v>104</v>
      </c>
      <c r="CG2690" s="1" t="s">
        <v>104</v>
      </c>
      <c r="CH2690" s="1" t="s">
        <v>104</v>
      </c>
      <c r="CJ2690" s="1">
        <v>0</v>
      </c>
      <c r="CK2690" s="1">
        <v>0</v>
      </c>
      <c r="CL2690" s="1">
        <v>0</v>
      </c>
      <c r="CM2690" s="1" t="s">
        <v>104</v>
      </c>
    </row>
    <row r="2691" spans="1:91" ht="14.25" customHeight="1" x14ac:dyDescent="0.3">
      <c r="A2691" s="1" t="s">
        <v>13600</v>
      </c>
      <c r="B2691" s="1" t="s">
        <v>92</v>
      </c>
      <c r="C2691" s="1" t="s">
        <v>93</v>
      </c>
      <c r="E2691" s="1" t="s">
        <v>13601</v>
      </c>
      <c r="F2691" s="1" t="s">
        <v>191</v>
      </c>
      <c r="G2691" s="1" t="s">
        <v>116</v>
      </c>
      <c r="H2691" s="1">
        <v>0</v>
      </c>
      <c r="I2691" s="1" t="s">
        <v>2888</v>
      </c>
      <c r="K2691" s="1" t="s">
        <v>13602</v>
      </c>
      <c r="M2691" s="1" t="s">
        <v>4992</v>
      </c>
      <c r="N2691" s="1">
        <v>1</v>
      </c>
      <c r="O2691" s="1">
        <v>0</v>
      </c>
      <c r="P2691" s="1" t="s">
        <v>100</v>
      </c>
      <c r="Q2691" s="1" t="s">
        <v>101</v>
      </c>
      <c r="R2691" s="1" t="s">
        <v>13603</v>
      </c>
      <c r="S2691" s="1" t="s">
        <v>13604</v>
      </c>
      <c r="T2691" s="1">
        <v>1</v>
      </c>
      <c r="U2691" s="1">
        <v>1</v>
      </c>
      <c r="V2691" s="1">
        <v>0</v>
      </c>
      <c r="W2691" s="1">
        <v>0</v>
      </c>
      <c r="X2691" s="1">
        <v>0</v>
      </c>
      <c r="Y2691" s="1">
        <v>3</v>
      </c>
      <c r="Z2691" s="1">
        <v>3</v>
      </c>
      <c r="AA2691" s="1" t="s">
        <v>104</v>
      </c>
      <c r="AB2691" s="1">
        <v>3</v>
      </c>
      <c r="AC2691" s="1">
        <v>3</v>
      </c>
      <c r="AD2691" s="1">
        <v>3</v>
      </c>
      <c r="AE2691" s="1" t="s">
        <v>104</v>
      </c>
      <c r="AF2691" s="1" t="s">
        <v>104</v>
      </c>
      <c r="AG2691" s="1" t="s">
        <v>104</v>
      </c>
      <c r="AH2691" s="1" t="s">
        <v>104</v>
      </c>
      <c r="AI2691" s="1" t="s">
        <v>104</v>
      </c>
      <c r="AJ2691" s="1" t="s">
        <v>104</v>
      </c>
      <c r="AK2691" s="1" t="s">
        <v>104</v>
      </c>
      <c r="AL2691" s="1" t="s">
        <v>104</v>
      </c>
      <c r="AM2691" s="1" t="s">
        <v>104</v>
      </c>
      <c r="AO2691" s="1">
        <v>3</v>
      </c>
      <c r="AR2691" s="1">
        <v>0</v>
      </c>
      <c r="AS2691" s="1">
        <v>0</v>
      </c>
      <c r="AT2691" s="1">
        <v>0</v>
      </c>
      <c r="AU2691" s="1">
        <v>0</v>
      </c>
      <c r="AV2691" s="1">
        <v>0</v>
      </c>
      <c r="AW2691" s="1">
        <v>0</v>
      </c>
      <c r="AX2691" s="1">
        <v>0</v>
      </c>
      <c r="AY2691" s="1">
        <v>0</v>
      </c>
      <c r="AZ2691" s="1">
        <v>0</v>
      </c>
      <c r="BA2691" s="1">
        <v>0</v>
      </c>
      <c r="BB2691" s="1">
        <v>0</v>
      </c>
      <c r="BC2691" s="1">
        <v>0</v>
      </c>
      <c r="BD2691" s="1">
        <v>0</v>
      </c>
      <c r="BE2691" s="1">
        <v>0</v>
      </c>
      <c r="BF2691" s="1">
        <v>0</v>
      </c>
      <c r="BG2691" s="1">
        <v>0</v>
      </c>
      <c r="BH2691" s="1">
        <v>0</v>
      </c>
      <c r="BI2691" s="1">
        <v>0</v>
      </c>
      <c r="BJ2691" s="1">
        <v>0</v>
      </c>
      <c r="BK2691" s="1">
        <v>0</v>
      </c>
      <c r="BL2691" s="1">
        <v>0</v>
      </c>
      <c r="BM2691" s="1">
        <v>0</v>
      </c>
      <c r="BN2691" s="1">
        <v>0</v>
      </c>
      <c r="BO2691" s="1">
        <v>0</v>
      </c>
      <c r="BP2691" s="1">
        <v>0</v>
      </c>
      <c r="BQ2691" s="1" t="s">
        <v>104</v>
      </c>
      <c r="BR2691" s="1">
        <v>4817</v>
      </c>
      <c r="BS2691" s="1" t="s">
        <v>104</v>
      </c>
      <c r="BX2691" s="1">
        <v>0</v>
      </c>
      <c r="BY2691" s="1" t="s">
        <v>104</v>
      </c>
      <c r="BZ2691" s="1">
        <v>3</v>
      </c>
      <c r="CA2691" s="1" t="s">
        <v>104</v>
      </c>
      <c r="CB2691" s="1" t="s">
        <v>104</v>
      </c>
      <c r="CC2691" s="1" t="s">
        <v>104</v>
      </c>
      <c r="CD2691" s="1" t="s">
        <v>104</v>
      </c>
      <c r="CE2691" s="1" t="s">
        <v>104</v>
      </c>
      <c r="CF2691" s="1" t="s">
        <v>104</v>
      </c>
      <c r="CG2691" s="1" t="s">
        <v>104</v>
      </c>
      <c r="CH2691" s="1">
        <v>3</v>
      </c>
      <c r="CJ2691" s="1">
        <v>0</v>
      </c>
      <c r="CK2691" s="1">
        <v>0</v>
      </c>
      <c r="CL2691" s="1">
        <v>0</v>
      </c>
      <c r="CM2691" s="1" t="s">
        <v>104</v>
      </c>
    </row>
    <row r="2692" spans="1:91" ht="14.25" customHeight="1" x14ac:dyDescent="0.3">
      <c r="A2692" s="1" t="s">
        <v>13605</v>
      </c>
      <c r="B2692" s="1" t="s">
        <v>92</v>
      </c>
      <c r="C2692" s="1" t="s">
        <v>93</v>
      </c>
      <c r="E2692" s="1" t="s">
        <v>10065</v>
      </c>
      <c r="F2692" s="1" t="s">
        <v>95</v>
      </c>
      <c r="G2692" s="1" t="s">
        <v>13606</v>
      </c>
      <c r="H2692" s="1">
        <v>0</v>
      </c>
      <c r="I2692" s="1" t="s">
        <v>128</v>
      </c>
      <c r="L2692" s="1" t="s">
        <v>13607</v>
      </c>
      <c r="M2692" s="1" t="s">
        <v>5062</v>
      </c>
      <c r="N2692" s="1">
        <v>1</v>
      </c>
      <c r="O2692" s="1">
        <v>0</v>
      </c>
      <c r="P2692" s="1" t="s">
        <v>100</v>
      </c>
      <c r="Q2692" s="1" t="s">
        <v>101</v>
      </c>
      <c r="R2692" s="1" t="s">
        <v>13608</v>
      </c>
      <c r="S2692" s="1" t="s">
        <v>13604</v>
      </c>
      <c r="T2692" s="1">
        <v>1</v>
      </c>
      <c r="U2692" s="1">
        <v>1</v>
      </c>
      <c r="V2692" s="1">
        <v>1</v>
      </c>
      <c r="W2692" s="1">
        <v>0</v>
      </c>
      <c r="X2692" s="1">
        <v>0</v>
      </c>
      <c r="Y2692" s="1" t="s">
        <v>104</v>
      </c>
      <c r="Z2692" s="1" t="s">
        <v>104</v>
      </c>
      <c r="AA2692" s="1" t="s">
        <v>104</v>
      </c>
      <c r="AB2692" s="1">
        <v>3</v>
      </c>
      <c r="AC2692" s="1">
        <v>3</v>
      </c>
      <c r="AD2692" s="1" t="s">
        <v>104</v>
      </c>
      <c r="AE2692" s="1" t="s">
        <v>104</v>
      </c>
      <c r="AF2692" s="1" t="s">
        <v>104</v>
      </c>
      <c r="AG2692" s="1" t="s">
        <v>104</v>
      </c>
      <c r="AH2692" s="1" t="s">
        <v>104</v>
      </c>
      <c r="AI2692" s="1" t="s">
        <v>104</v>
      </c>
      <c r="AJ2692" s="1" t="s">
        <v>104</v>
      </c>
      <c r="AK2692" s="1" t="s">
        <v>104</v>
      </c>
      <c r="AL2692" s="1" t="s">
        <v>104</v>
      </c>
      <c r="AM2692" s="1" t="s">
        <v>104</v>
      </c>
      <c r="AO2692" s="1">
        <v>3</v>
      </c>
      <c r="AR2692" s="1">
        <v>0</v>
      </c>
      <c r="AS2692" s="1">
        <v>0</v>
      </c>
      <c r="AT2692" s="1">
        <v>0</v>
      </c>
      <c r="AU2692" s="1">
        <v>0</v>
      </c>
      <c r="AV2692" s="1">
        <v>0</v>
      </c>
      <c r="AW2692" s="1">
        <v>0</v>
      </c>
      <c r="AX2692" s="1">
        <v>0</v>
      </c>
      <c r="AY2692" s="1">
        <v>0</v>
      </c>
      <c r="AZ2692" s="1">
        <v>0</v>
      </c>
      <c r="BA2692" s="1">
        <v>0</v>
      </c>
      <c r="BB2692" s="1">
        <v>0</v>
      </c>
      <c r="BC2692" s="1">
        <v>0</v>
      </c>
      <c r="BD2692" s="1">
        <v>0</v>
      </c>
      <c r="BE2692" s="1">
        <v>0</v>
      </c>
      <c r="BF2692" s="1">
        <v>0</v>
      </c>
      <c r="BG2692" s="1">
        <v>0</v>
      </c>
      <c r="BH2692" s="1">
        <v>0</v>
      </c>
      <c r="BI2692" s="1">
        <v>0</v>
      </c>
      <c r="BJ2692" s="1">
        <v>0</v>
      </c>
      <c r="BK2692" s="1">
        <v>0</v>
      </c>
      <c r="BL2692" s="1">
        <v>0</v>
      </c>
      <c r="BM2692" s="1">
        <v>0</v>
      </c>
      <c r="BN2692" s="1">
        <v>0</v>
      </c>
      <c r="BO2692" s="1">
        <v>0</v>
      </c>
      <c r="BP2692" s="1">
        <v>0</v>
      </c>
      <c r="BQ2692" s="1" t="s">
        <v>104</v>
      </c>
      <c r="BR2692" s="1">
        <v>4818</v>
      </c>
      <c r="BS2692" s="1" t="s">
        <v>104</v>
      </c>
      <c r="BX2692" s="1">
        <v>0</v>
      </c>
      <c r="BY2692" s="1" t="s">
        <v>104</v>
      </c>
      <c r="BZ2692" s="1">
        <v>3</v>
      </c>
      <c r="CA2692" s="1" t="s">
        <v>104</v>
      </c>
      <c r="CB2692" s="1" t="s">
        <v>104</v>
      </c>
      <c r="CC2692" s="1" t="s">
        <v>104</v>
      </c>
      <c r="CD2692" s="1" t="s">
        <v>104</v>
      </c>
      <c r="CE2692" s="1" t="s">
        <v>104</v>
      </c>
      <c r="CF2692" s="1" t="s">
        <v>104</v>
      </c>
      <c r="CG2692" s="1" t="s">
        <v>104</v>
      </c>
      <c r="CH2692" s="1">
        <v>3</v>
      </c>
      <c r="CJ2692" s="1">
        <v>0</v>
      </c>
      <c r="CK2692" s="1">
        <v>0</v>
      </c>
      <c r="CL2692" s="1">
        <v>0</v>
      </c>
      <c r="CM2692" s="1" t="s">
        <v>104</v>
      </c>
    </row>
    <row r="2693" spans="1:91" ht="14.25" customHeight="1" x14ac:dyDescent="0.3">
      <c r="A2693" s="1" t="s">
        <v>13609</v>
      </c>
      <c r="B2693" s="1" t="s">
        <v>162</v>
      </c>
      <c r="E2693" s="1" t="s">
        <v>13610</v>
      </c>
      <c r="F2693" s="1" t="s">
        <v>95</v>
      </c>
      <c r="G2693" s="1" t="s">
        <v>13611</v>
      </c>
      <c r="H2693" s="1">
        <v>0</v>
      </c>
      <c r="I2693" s="1" t="s">
        <v>157</v>
      </c>
      <c r="L2693" s="1" t="s">
        <v>158</v>
      </c>
      <c r="M2693" s="1" t="s">
        <v>4641</v>
      </c>
      <c r="N2693" s="1">
        <v>1</v>
      </c>
      <c r="O2693" s="1">
        <v>0</v>
      </c>
      <c r="R2693" s="1" t="s">
        <v>13612</v>
      </c>
      <c r="S2693" s="1" t="s">
        <v>13613</v>
      </c>
      <c r="T2693" s="1">
        <v>1</v>
      </c>
      <c r="U2693" s="1">
        <v>1</v>
      </c>
      <c r="V2693" s="1">
        <v>1</v>
      </c>
      <c r="W2693" s="1">
        <v>0</v>
      </c>
      <c r="X2693" s="1">
        <v>1</v>
      </c>
      <c r="Y2693" s="1">
        <v>3</v>
      </c>
      <c r="Z2693" s="1">
        <v>3</v>
      </c>
      <c r="AA2693" s="1">
        <v>3</v>
      </c>
      <c r="AB2693" s="1" t="s">
        <v>104</v>
      </c>
      <c r="AC2693" s="1" t="s">
        <v>104</v>
      </c>
      <c r="AD2693" s="1">
        <v>3</v>
      </c>
      <c r="AE2693" s="1" t="s">
        <v>104</v>
      </c>
      <c r="AF2693" s="1">
        <v>3</v>
      </c>
      <c r="AG2693" s="1" t="s">
        <v>104</v>
      </c>
      <c r="AH2693" s="1" t="s">
        <v>104</v>
      </c>
      <c r="AI2693" s="1">
        <v>2</v>
      </c>
      <c r="AJ2693" s="1">
        <v>3</v>
      </c>
      <c r="AK2693" s="1" t="s">
        <v>104</v>
      </c>
      <c r="AL2693" s="1" t="s">
        <v>104</v>
      </c>
      <c r="AM2693" s="1" t="s">
        <v>104</v>
      </c>
      <c r="AO2693" s="1">
        <v>3</v>
      </c>
      <c r="AR2693" s="1">
        <v>0</v>
      </c>
      <c r="AS2693" s="1">
        <v>0</v>
      </c>
      <c r="AT2693" s="1">
        <v>0</v>
      </c>
      <c r="AU2693" s="1">
        <v>0</v>
      </c>
      <c r="AV2693" s="1">
        <v>0</v>
      </c>
      <c r="AW2693" s="1">
        <v>0</v>
      </c>
      <c r="AX2693" s="1">
        <v>0</v>
      </c>
      <c r="AY2693" s="1">
        <v>0</v>
      </c>
      <c r="AZ2693" s="1">
        <v>0</v>
      </c>
      <c r="BA2693" s="1">
        <v>0</v>
      </c>
      <c r="BB2693" s="1">
        <v>0</v>
      </c>
      <c r="BC2693" s="1">
        <v>0</v>
      </c>
      <c r="BD2693" s="1">
        <v>0</v>
      </c>
      <c r="BE2693" s="1">
        <v>0</v>
      </c>
      <c r="BF2693" s="1">
        <v>0</v>
      </c>
      <c r="BG2693" s="1">
        <v>0</v>
      </c>
      <c r="BH2693" s="1">
        <v>0</v>
      </c>
      <c r="BI2693" s="1">
        <v>0</v>
      </c>
      <c r="BJ2693" s="1">
        <v>0</v>
      </c>
      <c r="BK2693" s="1">
        <v>0</v>
      </c>
      <c r="BL2693" s="1">
        <v>0</v>
      </c>
      <c r="BM2693" s="1">
        <v>0</v>
      </c>
      <c r="BN2693" s="1">
        <v>0</v>
      </c>
      <c r="BO2693" s="1">
        <v>0</v>
      </c>
      <c r="BP2693" s="1">
        <v>0</v>
      </c>
      <c r="BQ2693" s="1" t="s">
        <v>104</v>
      </c>
      <c r="BR2693" s="1">
        <v>4820</v>
      </c>
      <c r="BS2693" s="1" t="s">
        <v>104</v>
      </c>
      <c r="BX2693" s="1">
        <v>0</v>
      </c>
      <c r="BY2693" s="1" t="s">
        <v>104</v>
      </c>
      <c r="BZ2693" s="1" t="s">
        <v>104</v>
      </c>
      <c r="CA2693" s="1">
        <v>3</v>
      </c>
      <c r="CB2693" s="1" t="s">
        <v>104</v>
      </c>
      <c r="CC2693" s="1" t="s">
        <v>104</v>
      </c>
      <c r="CD2693" s="1">
        <v>3</v>
      </c>
      <c r="CE2693" s="1" t="s">
        <v>104</v>
      </c>
      <c r="CF2693" s="1" t="s">
        <v>104</v>
      </c>
      <c r="CG2693" s="1" t="s">
        <v>104</v>
      </c>
      <c r="CH2693" s="1" t="s">
        <v>104</v>
      </c>
      <c r="CJ2693" s="1">
        <v>0</v>
      </c>
      <c r="CK2693" s="1">
        <v>0</v>
      </c>
      <c r="CL2693" s="1">
        <v>0</v>
      </c>
      <c r="CM2693" s="1" t="s">
        <v>104</v>
      </c>
    </row>
    <row r="2694" spans="1:91" ht="14.25" customHeight="1" x14ac:dyDescent="0.3">
      <c r="A2694" s="1" t="s">
        <v>13614</v>
      </c>
      <c r="B2694" s="1" t="s">
        <v>137</v>
      </c>
      <c r="E2694" s="1" t="s">
        <v>13615</v>
      </c>
      <c r="F2694" s="1" t="s">
        <v>287</v>
      </c>
      <c r="G2694" s="1" t="s">
        <v>13611</v>
      </c>
      <c r="H2694" s="1">
        <v>0</v>
      </c>
      <c r="I2694" s="1" t="s">
        <v>128</v>
      </c>
      <c r="L2694" s="1" t="s">
        <v>13616</v>
      </c>
      <c r="M2694" s="1" t="s">
        <v>9397</v>
      </c>
      <c r="N2694" s="1">
        <v>0</v>
      </c>
      <c r="O2694" s="1">
        <v>0</v>
      </c>
      <c r="P2694" s="1" t="s">
        <v>148</v>
      </c>
      <c r="Q2694" s="1" t="s">
        <v>149</v>
      </c>
      <c r="R2694" s="1" t="s">
        <v>13617</v>
      </c>
      <c r="S2694" s="1" t="s">
        <v>13613</v>
      </c>
      <c r="T2694" s="1">
        <v>1</v>
      </c>
      <c r="U2694" s="1">
        <v>1</v>
      </c>
      <c r="V2694" s="1">
        <v>1</v>
      </c>
      <c r="W2694" s="1">
        <v>0</v>
      </c>
      <c r="X2694" s="1">
        <v>1</v>
      </c>
      <c r="Y2694" s="1" t="s">
        <v>104</v>
      </c>
      <c r="Z2694" s="1" t="s">
        <v>104</v>
      </c>
      <c r="AA2694" s="1" t="s">
        <v>104</v>
      </c>
      <c r="AB2694" s="1">
        <v>2</v>
      </c>
      <c r="AC2694" s="1">
        <v>1</v>
      </c>
      <c r="AD2694" s="1" t="s">
        <v>104</v>
      </c>
      <c r="AE2694" s="1">
        <v>1</v>
      </c>
      <c r="AF2694" s="1" t="s">
        <v>104</v>
      </c>
      <c r="AG2694" s="1" t="s">
        <v>104</v>
      </c>
      <c r="AH2694" s="1" t="s">
        <v>104</v>
      </c>
      <c r="AI2694" s="1">
        <v>2</v>
      </c>
      <c r="AJ2694" s="1" t="s">
        <v>104</v>
      </c>
      <c r="AK2694" s="1">
        <v>1</v>
      </c>
      <c r="AL2694" s="1">
        <v>2</v>
      </c>
      <c r="AM2694" s="1" t="s">
        <v>104</v>
      </c>
      <c r="AO2694" s="1">
        <v>2</v>
      </c>
      <c r="AR2694" s="1">
        <v>0</v>
      </c>
      <c r="AS2694" s="1">
        <v>0</v>
      </c>
      <c r="AT2694" s="1">
        <v>0</v>
      </c>
      <c r="AU2694" s="1">
        <v>0</v>
      </c>
      <c r="AV2694" s="1">
        <v>0</v>
      </c>
      <c r="AW2694" s="1">
        <v>0</v>
      </c>
      <c r="AX2694" s="1">
        <v>0</v>
      </c>
      <c r="AY2694" s="1">
        <v>0</v>
      </c>
      <c r="AZ2694" s="1">
        <v>0</v>
      </c>
      <c r="BA2694" s="1">
        <v>0</v>
      </c>
      <c r="BB2694" s="1">
        <v>0</v>
      </c>
      <c r="BC2694" s="1">
        <v>0</v>
      </c>
      <c r="BD2694" s="1">
        <v>0</v>
      </c>
      <c r="BE2694" s="1">
        <v>0</v>
      </c>
      <c r="BF2694" s="1">
        <v>0</v>
      </c>
      <c r="BG2694" s="1">
        <v>0</v>
      </c>
      <c r="BH2694" s="1">
        <v>0</v>
      </c>
      <c r="BI2694" s="1">
        <v>0</v>
      </c>
      <c r="BJ2694" s="1">
        <v>0</v>
      </c>
      <c r="BK2694" s="1">
        <v>0</v>
      </c>
      <c r="BL2694" s="1">
        <v>0</v>
      </c>
      <c r="BM2694" s="1">
        <v>0</v>
      </c>
      <c r="BN2694" s="1">
        <v>0</v>
      </c>
      <c r="BO2694" s="1">
        <v>0</v>
      </c>
      <c r="BP2694" s="1">
        <v>0</v>
      </c>
      <c r="BQ2694" s="1" t="s">
        <v>104</v>
      </c>
      <c r="BR2694" s="1">
        <v>4821</v>
      </c>
      <c r="BS2694" s="1" t="s">
        <v>104</v>
      </c>
      <c r="BX2694" s="1">
        <v>0</v>
      </c>
      <c r="BY2694" s="1">
        <v>2</v>
      </c>
      <c r="BZ2694" s="1">
        <v>2</v>
      </c>
      <c r="CA2694" s="1" t="s">
        <v>104</v>
      </c>
      <c r="CB2694" s="1" t="s">
        <v>104</v>
      </c>
      <c r="CC2694" s="1" t="s">
        <v>104</v>
      </c>
      <c r="CD2694" s="1">
        <v>2</v>
      </c>
      <c r="CE2694" s="1" t="s">
        <v>104</v>
      </c>
      <c r="CF2694" s="1" t="s">
        <v>104</v>
      </c>
      <c r="CG2694" s="1" t="s">
        <v>104</v>
      </c>
      <c r="CH2694" s="1">
        <v>1</v>
      </c>
      <c r="CJ2694" s="1">
        <v>0</v>
      </c>
      <c r="CK2694" s="1">
        <v>0</v>
      </c>
      <c r="CL2694" s="1">
        <v>0</v>
      </c>
      <c r="CM2694" s="1" t="s">
        <v>104</v>
      </c>
    </row>
    <row r="2695" spans="1:91" ht="14.25" customHeight="1" x14ac:dyDescent="0.3">
      <c r="A2695" s="1" t="s">
        <v>13618</v>
      </c>
      <c r="B2695" s="1" t="s">
        <v>162</v>
      </c>
      <c r="E2695" s="1" t="s">
        <v>13619</v>
      </c>
      <c r="F2695" s="1" t="s">
        <v>95</v>
      </c>
      <c r="G2695" s="1" t="s">
        <v>13620</v>
      </c>
      <c r="H2695" s="1">
        <v>0</v>
      </c>
      <c r="I2695" s="1" t="s">
        <v>128</v>
      </c>
      <c r="L2695" s="1" t="s">
        <v>374</v>
      </c>
      <c r="M2695" s="1" t="s">
        <v>2330</v>
      </c>
      <c r="N2695" s="1">
        <v>0</v>
      </c>
      <c r="O2695" s="1">
        <v>0</v>
      </c>
      <c r="P2695" s="1" t="s">
        <v>1058</v>
      </c>
      <c r="Q2695" s="1" t="s">
        <v>131</v>
      </c>
      <c r="R2695" s="1" t="s">
        <v>13621</v>
      </c>
      <c r="S2695" s="1" t="s">
        <v>13613</v>
      </c>
      <c r="T2695" s="1">
        <v>1</v>
      </c>
      <c r="U2695" s="1">
        <v>1</v>
      </c>
      <c r="V2695" s="1">
        <v>1</v>
      </c>
      <c r="W2695" s="1">
        <v>0</v>
      </c>
      <c r="X2695" s="1">
        <v>1</v>
      </c>
      <c r="Y2695" s="1" t="s">
        <v>104</v>
      </c>
      <c r="Z2695" s="1" t="s">
        <v>104</v>
      </c>
      <c r="AA2695" s="1" t="s">
        <v>104</v>
      </c>
      <c r="AB2695" s="1">
        <v>4</v>
      </c>
      <c r="AC2695" s="1">
        <v>2</v>
      </c>
      <c r="AD2695" s="1" t="s">
        <v>104</v>
      </c>
      <c r="AE2695" s="1" t="s">
        <v>104</v>
      </c>
      <c r="AF2695" s="1">
        <v>3</v>
      </c>
      <c r="AG2695" s="1">
        <v>3</v>
      </c>
      <c r="AH2695" s="1" t="s">
        <v>104</v>
      </c>
      <c r="AI2695" s="1" t="s">
        <v>104</v>
      </c>
      <c r="AJ2695" s="1" t="s">
        <v>104</v>
      </c>
      <c r="AK2695" s="1" t="s">
        <v>104</v>
      </c>
      <c r="AL2695" s="1" t="s">
        <v>104</v>
      </c>
      <c r="AM2695" s="1" t="s">
        <v>104</v>
      </c>
      <c r="AO2695" s="1">
        <v>4</v>
      </c>
      <c r="AR2695" s="1">
        <v>0</v>
      </c>
      <c r="AS2695" s="1">
        <v>0</v>
      </c>
      <c r="AT2695" s="1">
        <v>0</v>
      </c>
      <c r="AU2695" s="1">
        <v>0</v>
      </c>
      <c r="AV2695" s="1">
        <v>0</v>
      </c>
      <c r="AW2695" s="1">
        <v>0</v>
      </c>
      <c r="AX2695" s="1">
        <v>0</v>
      </c>
      <c r="AY2695" s="1">
        <v>0</v>
      </c>
      <c r="AZ2695" s="1">
        <v>0</v>
      </c>
      <c r="BA2695" s="1">
        <v>0</v>
      </c>
      <c r="BB2695" s="1">
        <v>0</v>
      </c>
      <c r="BC2695" s="1">
        <v>0</v>
      </c>
      <c r="BD2695" s="1">
        <v>0</v>
      </c>
      <c r="BE2695" s="1">
        <v>0</v>
      </c>
      <c r="BF2695" s="1">
        <v>0</v>
      </c>
      <c r="BG2695" s="1">
        <v>0</v>
      </c>
      <c r="BH2695" s="1">
        <v>0</v>
      </c>
      <c r="BI2695" s="1">
        <v>0</v>
      </c>
      <c r="BJ2695" s="1">
        <v>0</v>
      </c>
      <c r="BK2695" s="1">
        <v>0</v>
      </c>
      <c r="BL2695" s="1">
        <v>0</v>
      </c>
      <c r="BM2695" s="1">
        <v>0</v>
      </c>
      <c r="BN2695" s="1">
        <v>0</v>
      </c>
      <c r="BO2695" s="1">
        <v>0</v>
      </c>
      <c r="BP2695" s="1">
        <v>0</v>
      </c>
      <c r="BQ2695" s="1" t="s">
        <v>104</v>
      </c>
      <c r="BR2695" s="1">
        <v>4822</v>
      </c>
      <c r="BS2695" s="1" t="s">
        <v>104</v>
      </c>
      <c r="BX2695" s="1">
        <v>0</v>
      </c>
      <c r="BY2695" s="1" t="s">
        <v>104</v>
      </c>
      <c r="BZ2695" s="1">
        <v>4</v>
      </c>
      <c r="CA2695" s="1">
        <v>4</v>
      </c>
      <c r="CB2695" s="1" t="s">
        <v>104</v>
      </c>
      <c r="CC2695" s="1" t="s">
        <v>104</v>
      </c>
      <c r="CD2695" s="1" t="s">
        <v>104</v>
      </c>
      <c r="CE2695" s="1">
        <v>3</v>
      </c>
      <c r="CF2695" s="1" t="s">
        <v>104</v>
      </c>
      <c r="CG2695" s="1" t="s">
        <v>104</v>
      </c>
      <c r="CH2695" s="1">
        <v>2</v>
      </c>
      <c r="CJ2695" s="1">
        <v>0</v>
      </c>
      <c r="CK2695" s="1">
        <v>0</v>
      </c>
      <c r="CL2695" s="1">
        <v>0</v>
      </c>
      <c r="CM2695" s="1">
        <v>3</v>
      </c>
    </row>
    <row r="2696" spans="1:91" ht="14.25" customHeight="1" x14ac:dyDescent="0.3">
      <c r="A2696" s="1" t="s">
        <v>13622</v>
      </c>
      <c r="B2696" s="1" t="s">
        <v>137</v>
      </c>
      <c r="D2696" s="1" t="s">
        <v>64</v>
      </c>
      <c r="E2696" s="1" t="s">
        <v>13623</v>
      </c>
      <c r="F2696" s="1" t="s">
        <v>95</v>
      </c>
      <c r="G2696" s="1" t="s">
        <v>13624</v>
      </c>
      <c r="H2696" s="1">
        <v>0</v>
      </c>
      <c r="I2696" s="1" t="s">
        <v>128</v>
      </c>
      <c r="L2696" s="1" t="s">
        <v>374</v>
      </c>
      <c r="M2696" s="1" t="s">
        <v>5923</v>
      </c>
      <c r="N2696" s="1">
        <v>0</v>
      </c>
      <c r="O2696" s="1">
        <v>0</v>
      </c>
      <c r="P2696" s="1" t="s">
        <v>1058</v>
      </c>
      <c r="Q2696" s="1" t="s">
        <v>131</v>
      </c>
      <c r="R2696" s="1" t="s">
        <v>13625</v>
      </c>
      <c r="S2696" s="1" t="s">
        <v>13613</v>
      </c>
      <c r="T2696" s="1">
        <v>1</v>
      </c>
      <c r="U2696" s="1">
        <v>1</v>
      </c>
      <c r="V2696" s="1">
        <v>1</v>
      </c>
      <c r="W2696" s="1">
        <v>0</v>
      </c>
      <c r="X2696" s="1">
        <v>1</v>
      </c>
      <c r="Y2696" s="1" t="s">
        <v>104</v>
      </c>
      <c r="Z2696" s="1" t="s">
        <v>104</v>
      </c>
      <c r="AA2696" s="1" t="s">
        <v>104</v>
      </c>
      <c r="AB2696" s="1">
        <v>4</v>
      </c>
      <c r="AC2696" s="1">
        <v>3</v>
      </c>
      <c r="AD2696" s="1">
        <v>3</v>
      </c>
      <c r="AE2696" s="1" t="s">
        <v>104</v>
      </c>
      <c r="AF2696" s="1">
        <v>3</v>
      </c>
      <c r="AG2696" s="1" t="s">
        <v>104</v>
      </c>
      <c r="AH2696" s="1">
        <v>4</v>
      </c>
      <c r="AI2696" s="1" t="s">
        <v>104</v>
      </c>
      <c r="AJ2696" s="1" t="s">
        <v>104</v>
      </c>
      <c r="AK2696" s="1" t="s">
        <v>104</v>
      </c>
      <c r="AL2696" s="1" t="s">
        <v>104</v>
      </c>
      <c r="AM2696" s="1" t="s">
        <v>104</v>
      </c>
      <c r="AO2696" s="1">
        <v>4</v>
      </c>
      <c r="AR2696" s="1">
        <v>0</v>
      </c>
      <c r="AS2696" s="1">
        <v>0</v>
      </c>
      <c r="AT2696" s="1">
        <v>0</v>
      </c>
      <c r="AU2696" s="1">
        <v>0</v>
      </c>
      <c r="AV2696" s="1">
        <v>0</v>
      </c>
      <c r="AW2696" s="1">
        <v>0</v>
      </c>
      <c r="AX2696" s="1">
        <v>0</v>
      </c>
      <c r="AY2696" s="1">
        <v>0</v>
      </c>
      <c r="AZ2696" s="1">
        <v>0</v>
      </c>
      <c r="BA2696" s="1">
        <v>0</v>
      </c>
      <c r="BB2696" s="1">
        <v>0</v>
      </c>
      <c r="BC2696" s="1">
        <v>0</v>
      </c>
      <c r="BD2696" s="1">
        <v>0</v>
      </c>
      <c r="BE2696" s="1">
        <v>0</v>
      </c>
      <c r="BF2696" s="1">
        <v>0</v>
      </c>
      <c r="BG2696" s="1">
        <v>0</v>
      </c>
      <c r="BH2696" s="1">
        <v>0</v>
      </c>
      <c r="BI2696" s="1">
        <v>0</v>
      </c>
      <c r="BJ2696" s="1">
        <v>0</v>
      </c>
      <c r="BK2696" s="1">
        <v>0</v>
      </c>
      <c r="BL2696" s="1">
        <v>0</v>
      </c>
      <c r="BM2696" s="1">
        <v>1</v>
      </c>
      <c r="BN2696" s="1">
        <v>0</v>
      </c>
      <c r="BO2696" s="1">
        <v>0</v>
      </c>
      <c r="BP2696" s="1">
        <v>0</v>
      </c>
      <c r="BQ2696" s="1" t="s">
        <v>104</v>
      </c>
      <c r="BR2696" s="1">
        <v>4823</v>
      </c>
      <c r="BS2696" s="1" t="s">
        <v>104</v>
      </c>
      <c r="BX2696" s="1">
        <v>0</v>
      </c>
      <c r="BY2696" s="1" t="s">
        <v>104</v>
      </c>
      <c r="BZ2696" s="1">
        <v>4</v>
      </c>
      <c r="CA2696" s="1" t="s">
        <v>104</v>
      </c>
      <c r="CB2696" s="1" t="s">
        <v>104</v>
      </c>
      <c r="CC2696" s="1">
        <v>3</v>
      </c>
      <c r="CD2696" s="1" t="s">
        <v>104</v>
      </c>
      <c r="CE2696" s="1" t="s">
        <v>104</v>
      </c>
      <c r="CF2696" s="1" t="s">
        <v>104</v>
      </c>
      <c r="CG2696" s="1" t="s">
        <v>104</v>
      </c>
      <c r="CH2696" s="1">
        <v>3</v>
      </c>
      <c r="CJ2696" s="1">
        <v>0</v>
      </c>
      <c r="CK2696" s="1">
        <v>0</v>
      </c>
      <c r="CL2696" s="1">
        <v>0</v>
      </c>
      <c r="CM2696" s="1" t="s">
        <v>104</v>
      </c>
    </row>
    <row r="2697" spans="1:91" ht="14.25" customHeight="1" x14ac:dyDescent="0.3">
      <c r="A2697" s="1" t="s">
        <v>13626</v>
      </c>
      <c r="B2697" s="1" t="s">
        <v>137</v>
      </c>
      <c r="D2697" s="1" t="s">
        <v>54</v>
      </c>
      <c r="E2697" s="1" t="s">
        <v>4399</v>
      </c>
      <c r="F2697" s="1" t="s">
        <v>95</v>
      </c>
      <c r="G2697" s="1" t="s">
        <v>1802</v>
      </c>
      <c r="H2697" s="1">
        <v>0</v>
      </c>
      <c r="I2697" s="1" t="s">
        <v>128</v>
      </c>
      <c r="L2697" s="1" t="s">
        <v>374</v>
      </c>
      <c r="M2697" s="1" t="s">
        <v>5710</v>
      </c>
      <c r="N2697" s="1">
        <v>0</v>
      </c>
      <c r="O2697" s="1">
        <v>0</v>
      </c>
      <c r="P2697" s="1" t="s">
        <v>375</v>
      </c>
      <c r="Q2697" s="1" t="s">
        <v>131</v>
      </c>
      <c r="R2697" s="1" t="s">
        <v>13627</v>
      </c>
      <c r="S2697" s="1" t="s">
        <v>13628</v>
      </c>
      <c r="T2697" s="1">
        <v>0</v>
      </c>
      <c r="U2697" s="1">
        <v>1</v>
      </c>
      <c r="V2697" s="1">
        <v>0</v>
      </c>
      <c r="W2697" s="1">
        <v>0</v>
      </c>
      <c r="X2697" s="1">
        <v>0</v>
      </c>
      <c r="Y2697" s="1" t="s">
        <v>104</v>
      </c>
      <c r="Z2697" s="1" t="s">
        <v>104</v>
      </c>
      <c r="AA2697" s="1" t="s">
        <v>104</v>
      </c>
      <c r="AB2697" s="1" t="s">
        <v>104</v>
      </c>
      <c r="AC2697" s="1" t="s">
        <v>104</v>
      </c>
      <c r="AD2697" s="1" t="s">
        <v>104</v>
      </c>
      <c r="AE2697" s="1" t="s">
        <v>104</v>
      </c>
      <c r="AF2697" s="1">
        <v>3</v>
      </c>
      <c r="AG2697" s="1" t="s">
        <v>104</v>
      </c>
      <c r="AH2697" s="1" t="s">
        <v>104</v>
      </c>
      <c r="AI2697" s="1" t="s">
        <v>104</v>
      </c>
      <c r="AJ2697" s="1" t="s">
        <v>104</v>
      </c>
      <c r="AK2697" s="1" t="s">
        <v>104</v>
      </c>
      <c r="AL2697" s="1" t="s">
        <v>104</v>
      </c>
      <c r="AM2697" s="1" t="s">
        <v>104</v>
      </c>
      <c r="AO2697" s="1">
        <v>3</v>
      </c>
      <c r="AR2697" s="1">
        <v>0</v>
      </c>
      <c r="AS2697" s="1">
        <v>0</v>
      </c>
      <c r="AT2697" s="1">
        <v>0</v>
      </c>
      <c r="AU2697" s="1">
        <v>0</v>
      </c>
      <c r="AV2697" s="1">
        <v>0</v>
      </c>
      <c r="AW2697" s="1">
        <v>0</v>
      </c>
      <c r="AX2697" s="1">
        <v>0</v>
      </c>
      <c r="AY2697" s="1">
        <v>0</v>
      </c>
      <c r="AZ2697" s="1">
        <v>0</v>
      </c>
      <c r="BA2697" s="1">
        <v>0</v>
      </c>
      <c r="BB2697" s="1">
        <v>0</v>
      </c>
      <c r="BC2697" s="1">
        <v>1</v>
      </c>
      <c r="BD2697" s="1">
        <v>0</v>
      </c>
      <c r="BE2697" s="1">
        <v>0</v>
      </c>
      <c r="BF2697" s="1">
        <v>0</v>
      </c>
      <c r="BG2697" s="1">
        <v>0</v>
      </c>
      <c r="BH2697" s="1">
        <v>0</v>
      </c>
      <c r="BI2697" s="1">
        <v>0</v>
      </c>
      <c r="BJ2697" s="1">
        <v>0</v>
      </c>
      <c r="BK2697" s="1">
        <v>0</v>
      </c>
      <c r="BL2697" s="1">
        <v>0</v>
      </c>
      <c r="BM2697" s="1">
        <v>0</v>
      </c>
      <c r="BN2697" s="1">
        <v>0</v>
      </c>
      <c r="BO2697" s="1">
        <v>0</v>
      </c>
      <c r="BP2697" s="1">
        <v>0</v>
      </c>
      <c r="BQ2697" s="1" t="s">
        <v>104</v>
      </c>
      <c r="BR2697" s="1">
        <v>4824</v>
      </c>
      <c r="BS2697" s="1" t="s">
        <v>104</v>
      </c>
      <c r="BX2697" s="1">
        <v>0</v>
      </c>
      <c r="BY2697" s="1" t="s">
        <v>104</v>
      </c>
      <c r="BZ2697" s="1" t="s">
        <v>104</v>
      </c>
      <c r="CA2697" s="1" t="s">
        <v>104</v>
      </c>
      <c r="CB2697" s="1" t="s">
        <v>104</v>
      </c>
      <c r="CC2697" s="1" t="s">
        <v>104</v>
      </c>
      <c r="CD2697" s="1" t="s">
        <v>104</v>
      </c>
      <c r="CE2697" s="1" t="s">
        <v>104</v>
      </c>
      <c r="CF2697" s="1" t="s">
        <v>104</v>
      </c>
      <c r="CG2697" s="1" t="s">
        <v>104</v>
      </c>
      <c r="CH2697" s="1" t="s">
        <v>104</v>
      </c>
      <c r="CJ2697" s="1">
        <v>0</v>
      </c>
      <c r="CK2697" s="1">
        <v>0</v>
      </c>
      <c r="CL2697" s="1">
        <v>0</v>
      </c>
      <c r="CM2697" s="1" t="s">
        <v>104</v>
      </c>
    </row>
    <row r="2698" spans="1:91" ht="14.25" customHeight="1" x14ac:dyDescent="0.3">
      <c r="A2698" s="1" t="s">
        <v>13629</v>
      </c>
      <c r="B2698" s="1" t="s">
        <v>137</v>
      </c>
      <c r="E2698" s="1" t="s">
        <v>5652</v>
      </c>
      <c r="F2698" s="1" t="s">
        <v>95</v>
      </c>
      <c r="G2698" s="1" t="s">
        <v>116</v>
      </c>
      <c r="H2698" s="1">
        <v>0</v>
      </c>
      <c r="I2698" s="1" t="s">
        <v>157</v>
      </c>
      <c r="L2698" s="1" t="s">
        <v>158</v>
      </c>
      <c r="M2698" s="1" t="s">
        <v>111</v>
      </c>
      <c r="N2698" s="1">
        <v>0</v>
      </c>
      <c r="O2698" s="1">
        <v>0</v>
      </c>
      <c r="R2698" s="1" t="s">
        <v>13630</v>
      </c>
      <c r="S2698" s="1" t="s">
        <v>13628</v>
      </c>
      <c r="T2698" s="1">
        <v>1</v>
      </c>
      <c r="U2698" s="1">
        <v>1</v>
      </c>
      <c r="V2698" s="1">
        <v>0</v>
      </c>
      <c r="W2698" s="1">
        <v>0</v>
      </c>
      <c r="X2698" s="1">
        <v>0</v>
      </c>
      <c r="Y2698" s="1" t="s">
        <v>104</v>
      </c>
      <c r="Z2698" s="1" t="s">
        <v>104</v>
      </c>
      <c r="AA2698" s="1" t="s">
        <v>104</v>
      </c>
      <c r="AB2698" s="1" t="s">
        <v>104</v>
      </c>
      <c r="AC2698" s="1" t="s">
        <v>104</v>
      </c>
      <c r="AD2698" s="1" t="s">
        <v>104</v>
      </c>
      <c r="AE2698" s="1" t="s">
        <v>104</v>
      </c>
      <c r="AF2698" s="1">
        <v>4</v>
      </c>
      <c r="AG2698" s="1" t="s">
        <v>104</v>
      </c>
      <c r="AH2698" s="1" t="s">
        <v>104</v>
      </c>
      <c r="AI2698" s="1" t="s">
        <v>104</v>
      </c>
      <c r="AJ2698" s="1" t="s">
        <v>104</v>
      </c>
      <c r="AK2698" s="1" t="s">
        <v>104</v>
      </c>
      <c r="AL2698" s="1" t="s">
        <v>104</v>
      </c>
      <c r="AM2698" s="1" t="s">
        <v>104</v>
      </c>
      <c r="AO2698" s="1">
        <v>4</v>
      </c>
      <c r="AR2698" s="1">
        <v>0</v>
      </c>
      <c r="AS2698" s="1">
        <v>0</v>
      </c>
      <c r="AT2698" s="1">
        <v>0</v>
      </c>
      <c r="AU2698" s="1">
        <v>0</v>
      </c>
      <c r="AV2698" s="1">
        <v>0</v>
      </c>
      <c r="AW2698" s="1">
        <v>0</v>
      </c>
      <c r="AX2698" s="1">
        <v>0</v>
      </c>
      <c r="AY2698" s="1">
        <v>0</v>
      </c>
      <c r="AZ2698" s="1">
        <v>0</v>
      </c>
      <c r="BA2698" s="1">
        <v>0</v>
      </c>
      <c r="BB2698" s="1">
        <v>0</v>
      </c>
      <c r="BC2698" s="1">
        <v>0</v>
      </c>
      <c r="BD2698" s="1">
        <v>0</v>
      </c>
      <c r="BE2698" s="1">
        <v>0</v>
      </c>
      <c r="BF2698" s="1">
        <v>0</v>
      </c>
      <c r="BG2698" s="1">
        <v>0</v>
      </c>
      <c r="BH2698" s="1">
        <v>0</v>
      </c>
      <c r="BI2698" s="1">
        <v>0</v>
      </c>
      <c r="BJ2698" s="1">
        <v>0</v>
      </c>
      <c r="BK2698" s="1">
        <v>0</v>
      </c>
      <c r="BL2698" s="1">
        <v>0</v>
      </c>
      <c r="BM2698" s="1">
        <v>0</v>
      </c>
      <c r="BN2698" s="1">
        <v>0</v>
      </c>
      <c r="BO2698" s="1">
        <v>0</v>
      </c>
      <c r="BP2698" s="1">
        <v>0</v>
      </c>
      <c r="BQ2698" s="1" t="s">
        <v>104</v>
      </c>
      <c r="BR2698" s="1">
        <v>4825</v>
      </c>
      <c r="BS2698" s="1" t="s">
        <v>104</v>
      </c>
      <c r="BX2698" s="1">
        <v>0</v>
      </c>
      <c r="BY2698" s="1" t="s">
        <v>104</v>
      </c>
      <c r="BZ2698" s="1" t="s">
        <v>104</v>
      </c>
      <c r="CA2698" s="1" t="s">
        <v>104</v>
      </c>
      <c r="CB2698" s="1" t="s">
        <v>104</v>
      </c>
      <c r="CC2698" s="1" t="s">
        <v>104</v>
      </c>
      <c r="CD2698" s="1" t="s">
        <v>104</v>
      </c>
      <c r="CE2698" s="1" t="s">
        <v>104</v>
      </c>
      <c r="CF2698" s="1" t="s">
        <v>104</v>
      </c>
      <c r="CG2698" s="1" t="s">
        <v>104</v>
      </c>
      <c r="CH2698" s="1" t="s">
        <v>104</v>
      </c>
      <c r="CJ2698" s="1">
        <v>0</v>
      </c>
      <c r="CK2698" s="1">
        <v>0</v>
      </c>
      <c r="CL2698" s="1">
        <v>0</v>
      </c>
      <c r="CM2698" s="1" t="s">
        <v>104</v>
      </c>
    </row>
    <row r="2699" spans="1:91" ht="14.25" customHeight="1" x14ac:dyDescent="0.3">
      <c r="A2699" s="1" t="s">
        <v>13631</v>
      </c>
      <c r="B2699" s="1" t="s">
        <v>172</v>
      </c>
      <c r="E2699" s="1" t="s">
        <v>13632</v>
      </c>
      <c r="F2699" s="1" t="s">
        <v>1502</v>
      </c>
      <c r="G2699" s="1" t="s">
        <v>237</v>
      </c>
      <c r="H2699" s="1">
        <v>0</v>
      </c>
      <c r="I2699" s="1" t="s">
        <v>157</v>
      </c>
      <c r="L2699" s="1" t="s">
        <v>158</v>
      </c>
      <c r="M2699" s="1" t="s">
        <v>119</v>
      </c>
      <c r="N2699" s="1">
        <v>0</v>
      </c>
      <c r="O2699" s="1">
        <v>0</v>
      </c>
      <c r="P2699" s="1" t="s">
        <v>100</v>
      </c>
      <c r="Q2699" s="1" t="s">
        <v>101</v>
      </c>
      <c r="R2699" s="1" t="s">
        <v>13633</v>
      </c>
      <c r="S2699" s="1" t="s">
        <v>13634</v>
      </c>
      <c r="T2699" s="1">
        <v>1</v>
      </c>
      <c r="U2699" s="1">
        <v>0</v>
      </c>
      <c r="V2699" s="1">
        <v>0</v>
      </c>
      <c r="W2699" s="1">
        <v>0</v>
      </c>
      <c r="X2699" s="1">
        <v>0</v>
      </c>
      <c r="Y2699" s="1">
        <v>0</v>
      </c>
      <c r="Z2699" s="1">
        <v>0</v>
      </c>
      <c r="AA2699" s="1">
        <v>0</v>
      </c>
      <c r="AB2699" s="1">
        <v>0</v>
      </c>
      <c r="AC2699" s="1" t="s">
        <v>104</v>
      </c>
      <c r="AD2699" s="1">
        <v>0</v>
      </c>
      <c r="AE2699" s="1" t="s">
        <v>104</v>
      </c>
      <c r="AF2699" s="1" t="s">
        <v>104</v>
      </c>
      <c r="AG2699" s="1" t="s">
        <v>104</v>
      </c>
      <c r="AH2699" s="1">
        <v>0</v>
      </c>
      <c r="AI2699" s="1" t="s">
        <v>104</v>
      </c>
      <c r="AJ2699" s="1">
        <v>0</v>
      </c>
      <c r="AK2699" s="1" t="s">
        <v>104</v>
      </c>
      <c r="AL2699" s="1">
        <v>0</v>
      </c>
      <c r="AM2699" s="1" t="s">
        <v>104</v>
      </c>
      <c r="AO2699" s="1">
        <v>0</v>
      </c>
      <c r="AR2699" s="1">
        <v>0</v>
      </c>
      <c r="AS2699" s="1">
        <v>0</v>
      </c>
      <c r="AT2699" s="1">
        <v>0</v>
      </c>
      <c r="AU2699" s="1">
        <v>0</v>
      </c>
      <c r="AV2699" s="1">
        <v>0</v>
      </c>
      <c r="AW2699" s="1">
        <v>0</v>
      </c>
      <c r="AX2699" s="1">
        <v>0</v>
      </c>
      <c r="AY2699" s="1">
        <v>0</v>
      </c>
      <c r="AZ2699" s="1">
        <v>0</v>
      </c>
      <c r="BA2699" s="1">
        <v>0</v>
      </c>
      <c r="BB2699" s="1">
        <v>0</v>
      </c>
      <c r="BC2699" s="1">
        <v>0</v>
      </c>
      <c r="BD2699" s="1">
        <v>0</v>
      </c>
      <c r="BE2699" s="1">
        <v>0</v>
      </c>
      <c r="BF2699" s="1">
        <v>0</v>
      </c>
      <c r="BG2699" s="1">
        <v>0</v>
      </c>
      <c r="BH2699" s="1">
        <v>0</v>
      </c>
      <c r="BI2699" s="1">
        <v>0</v>
      </c>
      <c r="BJ2699" s="1">
        <v>0</v>
      </c>
      <c r="BK2699" s="1">
        <v>0</v>
      </c>
      <c r="BL2699" s="1">
        <v>0</v>
      </c>
      <c r="BM2699" s="1">
        <v>0</v>
      </c>
      <c r="BN2699" s="1">
        <v>0</v>
      </c>
      <c r="BO2699" s="1">
        <v>0</v>
      </c>
      <c r="BP2699" s="1">
        <v>0</v>
      </c>
      <c r="BQ2699" s="1" t="s">
        <v>104</v>
      </c>
      <c r="BR2699" s="1">
        <v>4826</v>
      </c>
      <c r="BS2699" s="1" t="s">
        <v>104</v>
      </c>
      <c r="BX2699" s="1">
        <v>0</v>
      </c>
      <c r="BY2699" s="1" t="s">
        <v>104</v>
      </c>
      <c r="BZ2699" s="1" t="s">
        <v>104</v>
      </c>
      <c r="CA2699" s="1">
        <v>0</v>
      </c>
      <c r="CB2699" s="1" t="s">
        <v>104</v>
      </c>
      <c r="CC2699" s="1" t="s">
        <v>104</v>
      </c>
      <c r="CD2699" s="1" t="s">
        <v>104</v>
      </c>
      <c r="CE2699" s="1" t="s">
        <v>104</v>
      </c>
      <c r="CF2699" s="1">
        <v>0</v>
      </c>
      <c r="CG2699" s="1" t="s">
        <v>104</v>
      </c>
      <c r="CH2699" s="1">
        <v>0</v>
      </c>
      <c r="CJ2699" s="1">
        <v>0</v>
      </c>
      <c r="CK2699" s="1">
        <v>0</v>
      </c>
      <c r="CL2699" s="1">
        <v>0</v>
      </c>
      <c r="CM2699" s="1" t="s">
        <v>104</v>
      </c>
    </row>
    <row r="2700" spans="1:91" ht="14.25" customHeight="1" x14ac:dyDescent="0.3">
      <c r="A2700" s="1" t="s">
        <v>13635</v>
      </c>
      <c r="B2700" s="1" t="s">
        <v>137</v>
      </c>
      <c r="E2700" s="1" t="s">
        <v>13636</v>
      </c>
      <c r="F2700" s="1" t="s">
        <v>95</v>
      </c>
      <c r="G2700" s="1" t="s">
        <v>13637</v>
      </c>
      <c r="H2700" s="1">
        <v>0</v>
      </c>
      <c r="I2700" s="1" t="s">
        <v>157</v>
      </c>
      <c r="K2700" s="1" t="s">
        <v>13638</v>
      </c>
      <c r="M2700" s="1" t="s">
        <v>620</v>
      </c>
      <c r="N2700" s="1">
        <v>1</v>
      </c>
      <c r="O2700" s="1">
        <v>0</v>
      </c>
      <c r="P2700" s="1" t="s">
        <v>100</v>
      </c>
      <c r="Q2700" s="1" t="s">
        <v>101</v>
      </c>
      <c r="R2700" s="1" t="s">
        <v>13639</v>
      </c>
      <c r="S2700" s="1" t="s">
        <v>13634</v>
      </c>
      <c r="T2700" s="1">
        <v>1</v>
      </c>
      <c r="U2700" s="1">
        <v>1</v>
      </c>
      <c r="V2700" s="1">
        <v>1</v>
      </c>
      <c r="W2700" s="1">
        <v>0</v>
      </c>
      <c r="X2700" s="1">
        <v>0</v>
      </c>
      <c r="Y2700" s="1">
        <v>2</v>
      </c>
      <c r="Z2700" s="1">
        <v>2</v>
      </c>
      <c r="AA2700" s="1" t="s">
        <v>104</v>
      </c>
      <c r="AB2700" s="1" t="s">
        <v>104</v>
      </c>
      <c r="AC2700" s="1" t="s">
        <v>104</v>
      </c>
      <c r="AD2700" s="1">
        <v>2</v>
      </c>
      <c r="AE2700" s="1" t="s">
        <v>104</v>
      </c>
      <c r="AF2700" s="1" t="s">
        <v>104</v>
      </c>
      <c r="AG2700" s="1" t="s">
        <v>104</v>
      </c>
      <c r="AH2700" s="1">
        <v>2</v>
      </c>
      <c r="AI2700" s="1" t="s">
        <v>104</v>
      </c>
      <c r="AJ2700" s="1" t="s">
        <v>104</v>
      </c>
      <c r="AK2700" s="1" t="s">
        <v>104</v>
      </c>
      <c r="AL2700" s="1" t="s">
        <v>104</v>
      </c>
      <c r="AM2700" s="1" t="s">
        <v>104</v>
      </c>
      <c r="AO2700" s="1">
        <v>2</v>
      </c>
      <c r="AR2700" s="1">
        <v>0</v>
      </c>
      <c r="AS2700" s="1">
        <v>0</v>
      </c>
      <c r="AT2700" s="1">
        <v>0</v>
      </c>
      <c r="AU2700" s="1">
        <v>0</v>
      </c>
      <c r="AV2700" s="1">
        <v>0</v>
      </c>
      <c r="AW2700" s="1">
        <v>0</v>
      </c>
      <c r="AX2700" s="1">
        <v>0</v>
      </c>
      <c r="AY2700" s="1">
        <v>0</v>
      </c>
      <c r="AZ2700" s="1">
        <v>0</v>
      </c>
      <c r="BA2700" s="1">
        <v>0</v>
      </c>
      <c r="BB2700" s="1">
        <v>0</v>
      </c>
      <c r="BC2700" s="1">
        <v>0</v>
      </c>
      <c r="BD2700" s="1">
        <v>0</v>
      </c>
      <c r="BE2700" s="1">
        <v>0</v>
      </c>
      <c r="BF2700" s="1">
        <v>0</v>
      </c>
      <c r="BG2700" s="1">
        <v>0</v>
      </c>
      <c r="BH2700" s="1">
        <v>0</v>
      </c>
      <c r="BI2700" s="1">
        <v>0</v>
      </c>
      <c r="BJ2700" s="1">
        <v>0</v>
      </c>
      <c r="BK2700" s="1">
        <v>0</v>
      </c>
      <c r="BL2700" s="1">
        <v>0</v>
      </c>
      <c r="BM2700" s="1">
        <v>0</v>
      </c>
      <c r="BN2700" s="1">
        <v>0</v>
      </c>
      <c r="BO2700" s="1">
        <v>0</v>
      </c>
      <c r="BP2700" s="1">
        <v>0</v>
      </c>
      <c r="BQ2700" s="1" t="s">
        <v>104</v>
      </c>
      <c r="BR2700" s="1">
        <v>4827</v>
      </c>
      <c r="BS2700" s="1" t="s">
        <v>104</v>
      </c>
      <c r="BX2700" s="1">
        <v>0</v>
      </c>
      <c r="BY2700" s="1" t="s">
        <v>104</v>
      </c>
      <c r="BZ2700" s="1">
        <v>2</v>
      </c>
      <c r="CA2700" s="1" t="s">
        <v>104</v>
      </c>
      <c r="CB2700" s="1" t="s">
        <v>104</v>
      </c>
      <c r="CC2700" s="1" t="s">
        <v>104</v>
      </c>
      <c r="CD2700" s="1" t="s">
        <v>104</v>
      </c>
      <c r="CE2700" s="1" t="s">
        <v>104</v>
      </c>
      <c r="CF2700" s="1" t="s">
        <v>104</v>
      </c>
      <c r="CG2700" s="1" t="s">
        <v>104</v>
      </c>
      <c r="CH2700" s="1" t="s">
        <v>104</v>
      </c>
      <c r="CJ2700" s="1">
        <v>0</v>
      </c>
      <c r="CK2700" s="1">
        <v>0</v>
      </c>
      <c r="CL2700" s="1">
        <v>0</v>
      </c>
      <c r="CM2700" s="1" t="s">
        <v>104</v>
      </c>
    </row>
    <row r="2701" spans="1:91" ht="14.25" customHeight="1" x14ac:dyDescent="0.3">
      <c r="A2701" s="1" t="s">
        <v>13640</v>
      </c>
      <c r="B2701" s="1" t="s">
        <v>92</v>
      </c>
      <c r="C2701" s="1" t="s">
        <v>93</v>
      </c>
      <c r="E2701" s="1" t="s">
        <v>13641</v>
      </c>
      <c r="F2701" s="1" t="s">
        <v>95</v>
      </c>
      <c r="G2701" s="1" t="s">
        <v>116</v>
      </c>
      <c r="H2701" s="1">
        <v>0</v>
      </c>
      <c r="I2701" s="1" t="s">
        <v>705</v>
      </c>
      <c r="K2701" s="1" t="s">
        <v>13642</v>
      </c>
      <c r="M2701" s="1" t="s">
        <v>426</v>
      </c>
      <c r="N2701" s="1">
        <v>1</v>
      </c>
      <c r="O2701" s="1">
        <v>0</v>
      </c>
      <c r="P2701" s="1" t="s">
        <v>100</v>
      </c>
      <c r="Q2701" s="1" t="s">
        <v>101</v>
      </c>
      <c r="R2701" s="1" t="s">
        <v>13643</v>
      </c>
      <c r="S2701" s="1" t="s">
        <v>13634</v>
      </c>
      <c r="T2701" s="1">
        <v>1</v>
      </c>
      <c r="U2701" s="1">
        <v>1</v>
      </c>
      <c r="V2701" s="1">
        <v>0</v>
      </c>
      <c r="W2701" s="1">
        <v>0</v>
      </c>
      <c r="X2701" s="1">
        <v>0</v>
      </c>
      <c r="Y2701" s="1">
        <v>2</v>
      </c>
      <c r="Z2701" s="1">
        <v>2</v>
      </c>
      <c r="AA2701" s="1">
        <v>2</v>
      </c>
      <c r="AB2701" s="1">
        <v>2</v>
      </c>
      <c r="AC2701" s="1">
        <v>1</v>
      </c>
      <c r="AD2701" s="1" t="s">
        <v>104</v>
      </c>
      <c r="AE2701" s="1" t="s">
        <v>104</v>
      </c>
      <c r="AF2701" s="1" t="s">
        <v>104</v>
      </c>
      <c r="AG2701" s="1" t="s">
        <v>104</v>
      </c>
      <c r="AH2701" s="1">
        <v>2</v>
      </c>
      <c r="AI2701" s="1" t="s">
        <v>104</v>
      </c>
      <c r="AJ2701" s="1">
        <v>2</v>
      </c>
      <c r="AK2701" s="1" t="s">
        <v>104</v>
      </c>
      <c r="AL2701" s="1">
        <v>2</v>
      </c>
      <c r="AM2701" s="1" t="s">
        <v>104</v>
      </c>
      <c r="AO2701" s="1">
        <v>2</v>
      </c>
      <c r="AR2701" s="1">
        <v>0</v>
      </c>
      <c r="AS2701" s="1">
        <v>0</v>
      </c>
      <c r="AT2701" s="1">
        <v>0</v>
      </c>
      <c r="AU2701" s="1">
        <v>0</v>
      </c>
      <c r="AV2701" s="1">
        <v>0</v>
      </c>
      <c r="AW2701" s="1">
        <v>0</v>
      </c>
      <c r="AX2701" s="1">
        <v>0</v>
      </c>
      <c r="AY2701" s="1">
        <v>0</v>
      </c>
      <c r="AZ2701" s="1">
        <v>0</v>
      </c>
      <c r="BA2701" s="1">
        <v>0</v>
      </c>
      <c r="BB2701" s="1">
        <v>0</v>
      </c>
      <c r="BC2701" s="1">
        <v>0</v>
      </c>
      <c r="BD2701" s="1">
        <v>0</v>
      </c>
      <c r="BE2701" s="1">
        <v>0</v>
      </c>
      <c r="BF2701" s="1">
        <v>0</v>
      </c>
      <c r="BG2701" s="1">
        <v>0</v>
      </c>
      <c r="BH2701" s="1">
        <v>0</v>
      </c>
      <c r="BI2701" s="1">
        <v>0</v>
      </c>
      <c r="BJ2701" s="1">
        <v>0</v>
      </c>
      <c r="BK2701" s="1">
        <v>0</v>
      </c>
      <c r="BL2701" s="1">
        <v>0</v>
      </c>
      <c r="BM2701" s="1">
        <v>0</v>
      </c>
      <c r="BN2701" s="1">
        <v>0</v>
      </c>
      <c r="BO2701" s="1">
        <v>0</v>
      </c>
      <c r="BP2701" s="1">
        <v>0</v>
      </c>
      <c r="BQ2701" s="1" t="s">
        <v>104</v>
      </c>
      <c r="BR2701" s="1">
        <v>4828</v>
      </c>
      <c r="BS2701" s="1" t="s">
        <v>104</v>
      </c>
      <c r="BX2701" s="1">
        <v>0</v>
      </c>
      <c r="BY2701" s="1" t="s">
        <v>104</v>
      </c>
      <c r="BZ2701" s="1">
        <v>2</v>
      </c>
      <c r="CA2701" s="1" t="s">
        <v>104</v>
      </c>
      <c r="CB2701" s="1" t="s">
        <v>104</v>
      </c>
      <c r="CC2701" s="1" t="s">
        <v>104</v>
      </c>
      <c r="CD2701" s="1" t="s">
        <v>104</v>
      </c>
      <c r="CE2701" s="1" t="s">
        <v>104</v>
      </c>
      <c r="CF2701" s="1" t="s">
        <v>104</v>
      </c>
      <c r="CG2701" s="1" t="s">
        <v>104</v>
      </c>
      <c r="CH2701" s="1">
        <v>1</v>
      </c>
      <c r="CJ2701" s="1">
        <v>0</v>
      </c>
      <c r="CK2701" s="1">
        <v>0</v>
      </c>
      <c r="CL2701" s="1">
        <v>0</v>
      </c>
      <c r="CM2701" s="1" t="s">
        <v>104</v>
      </c>
    </row>
    <row r="2702" spans="1:91" ht="14.25" customHeight="1" x14ac:dyDescent="0.3">
      <c r="A2702" s="1" t="s">
        <v>13644</v>
      </c>
      <c r="B2702" s="1" t="s">
        <v>507</v>
      </c>
      <c r="C2702" s="1" t="s">
        <v>65</v>
      </c>
      <c r="E2702" s="1" t="s">
        <v>13645</v>
      </c>
      <c r="F2702" s="1" t="s">
        <v>95</v>
      </c>
      <c r="G2702" s="1" t="s">
        <v>13646</v>
      </c>
      <c r="H2702" s="1">
        <v>0</v>
      </c>
      <c r="I2702" s="1" t="s">
        <v>128</v>
      </c>
      <c r="L2702" s="1" t="s">
        <v>374</v>
      </c>
      <c r="M2702" s="1" t="s">
        <v>7852</v>
      </c>
      <c r="N2702" s="1">
        <v>1</v>
      </c>
      <c r="O2702" s="1">
        <v>0</v>
      </c>
      <c r="P2702" s="1" t="s">
        <v>375</v>
      </c>
      <c r="Q2702" s="1" t="s">
        <v>131</v>
      </c>
      <c r="R2702" s="1" t="s">
        <v>13647</v>
      </c>
      <c r="S2702" s="1" t="s">
        <v>13634</v>
      </c>
      <c r="T2702" s="1">
        <v>1</v>
      </c>
      <c r="U2702" s="1">
        <v>1</v>
      </c>
      <c r="V2702" s="1">
        <v>1</v>
      </c>
      <c r="W2702" s="1">
        <v>0</v>
      </c>
      <c r="X2702" s="1">
        <v>0</v>
      </c>
      <c r="Y2702" s="1">
        <v>1</v>
      </c>
      <c r="Z2702" s="1">
        <v>1</v>
      </c>
      <c r="AA2702" s="1" t="s">
        <v>104</v>
      </c>
      <c r="AB2702" s="1" t="s">
        <v>104</v>
      </c>
      <c r="AC2702" s="1" t="s">
        <v>104</v>
      </c>
      <c r="AD2702" s="1">
        <v>1</v>
      </c>
      <c r="AE2702" s="1" t="s">
        <v>104</v>
      </c>
      <c r="AF2702" s="1" t="s">
        <v>104</v>
      </c>
      <c r="AG2702" s="1">
        <v>1</v>
      </c>
      <c r="AH2702" s="1" t="s">
        <v>104</v>
      </c>
      <c r="AI2702" s="1">
        <v>1</v>
      </c>
      <c r="AJ2702" s="1" t="s">
        <v>104</v>
      </c>
      <c r="AK2702" s="1" t="s">
        <v>104</v>
      </c>
      <c r="AL2702" s="1">
        <v>1</v>
      </c>
      <c r="AM2702" s="1" t="s">
        <v>104</v>
      </c>
      <c r="AO2702" s="1">
        <v>1</v>
      </c>
      <c r="AR2702" s="1">
        <v>0</v>
      </c>
      <c r="AS2702" s="1">
        <v>0</v>
      </c>
      <c r="AT2702" s="1">
        <v>0</v>
      </c>
      <c r="AU2702" s="1">
        <v>0</v>
      </c>
      <c r="AV2702" s="1">
        <v>0</v>
      </c>
      <c r="AW2702" s="1">
        <v>0</v>
      </c>
      <c r="AX2702" s="1">
        <v>0</v>
      </c>
      <c r="AY2702" s="1">
        <v>0</v>
      </c>
      <c r="AZ2702" s="1">
        <v>0</v>
      </c>
      <c r="BA2702" s="1">
        <v>0</v>
      </c>
      <c r="BB2702" s="1">
        <v>0</v>
      </c>
      <c r="BC2702" s="1">
        <v>0</v>
      </c>
      <c r="BD2702" s="1">
        <v>0</v>
      </c>
      <c r="BE2702" s="1">
        <v>0</v>
      </c>
      <c r="BF2702" s="1">
        <v>0</v>
      </c>
      <c r="BG2702" s="1">
        <v>0</v>
      </c>
      <c r="BH2702" s="1">
        <v>0</v>
      </c>
      <c r="BI2702" s="1">
        <v>0</v>
      </c>
      <c r="BJ2702" s="1">
        <v>0</v>
      </c>
      <c r="BK2702" s="1">
        <v>0</v>
      </c>
      <c r="BL2702" s="1">
        <v>0</v>
      </c>
      <c r="BM2702" s="1">
        <v>0</v>
      </c>
      <c r="BN2702" s="1">
        <v>0</v>
      </c>
      <c r="BO2702" s="1">
        <v>0</v>
      </c>
      <c r="BP2702" s="1">
        <v>0</v>
      </c>
      <c r="BQ2702" s="1" t="s">
        <v>104</v>
      </c>
      <c r="BR2702" s="1">
        <v>4829</v>
      </c>
      <c r="BS2702" s="1" t="s">
        <v>104</v>
      </c>
      <c r="BX2702" s="1">
        <v>0</v>
      </c>
      <c r="BY2702" s="1" t="s">
        <v>104</v>
      </c>
      <c r="BZ2702" s="1" t="s">
        <v>104</v>
      </c>
      <c r="CA2702" s="1" t="s">
        <v>104</v>
      </c>
      <c r="CB2702" s="1" t="s">
        <v>104</v>
      </c>
      <c r="CC2702" s="1">
        <v>1</v>
      </c>
      <c r="CD2702" s="1" t="s">
        <v>104</v>
      </c>
      <c r="CE2702" s="1" t="s">
        <v>104</v>
      </c>
      <c r="CF2702" s="1" t="s">
        <v>104</v>
      </c>
      <c r="CG2702" s="1" t="s">
        <v>104</v>
      </c>
      <c r="CH2702" s="1" t="s">
        <v>104</v>
      </c>
      <c r="CJ2702" s="1">
        <v>0</v>
      </c>
      <c r="CK2702" s="1">
        <v>0</v>
      </c>
      <c r="CL2702" s="1">
        <v>0</v>
      </c>
      <c r="CM2702" s="1">
        <v>1</v>
      </c>
    </row>
    <row r="2703" spans="1:91" ht="14.25" customHeight="1" x14ac:dyDescent="0.3">
      <c r="A2703" s="1" t="s">
        <v>13648</v>
      </c>
      <c r="B2703" s="1" t="s">
        <v>172</v>
      </c>
      <c r="C2703" s="1" t="s">
        <v>285</v>
      </c>
      <c r="E2703" s="1" t="s">
        <v>13649</v>
      </c>
      <c r="F2703" s="1" t="s">
        <v>191</v>
      </c>
      <c r="G2703" s="1" t="s">
        <v>13650</v>
      </c>
      <c r="H2703" s="1">
        <v>0</v>
      </c>
      <c r="I2703" s="1" t="s">
        <v>13651</v>
      </c>
      <c r="K2703" s="1" t="s">
        <v>13652</v>
      </c>
      <c r="M2703" s="1" t="s">
        <v>201</v>
      </c>
      <c r="N2703" s="1">
        <v>0</v>
      </c>
      <c r="O2703" s="1">
        <v>0</v>
      </c>
      <c r="P2703" s="1" t="s">
        <v>100</v>
      </c>
      <c r="Q2703" s="1" t="s">
        <v>101</v>
      </c>
      <c r="R2703" s="1" t="s">
        <v>13653</v>
      </c>
      <c r="S2703" s="1" t="s">
        <v>13634</v>
      </c>
      <c r="T2703" s="1">
        <v>1</v>
      </c>
      <c r="U2703" s="1">
        <v>1</v>
      </c>
      <c r="V2703" s="1">
        <v>0</v>
      </c>
      <c r="W2703" s="1">
        <v>0</v>
      </c>
      <c r="X2703" s="1">
        <v>0</v>
      </c>
      <c r="Y2703" s="1">
        <v>3</v>
      </c>
      <c r="Z2703" s="1">
        <v>3</v>
      </c>
      <c r="AA2703" s="1">
        <v>3</v>
      </c>
      <c r="AB2703" s="1" t="s">
        <v>104</v>
      </c>
      <c r="AC2703" s="1" t="s">
        <v>104</v>
      </c>
      <c r="AD2703" s="1">
        <v>3</v>
      </c>
      <c r="AE2703" s="1" t="s">
        <v>104</v>
      </c>
      <c r="AF2703" s="1" t="s">
        <v>104</v>
      </c>
      <c r="AG2703" s="1" t="s">
        <v>104</v>
      </c>
      <c r="AH2703" s="1" t="s">
        <v>104</v>
      </c>
      <c r="AI2703" s="1" t="s">
        <v>104</v>
      </c>
      <c r="AJ2703" s="1">
        <v>3</v>
      </c>
      <c r="AK2703" s="1" t="s">
        <v>104</v>
      </c>
      <c r="AL2703" s="1" t="s">
        <v>104</v>
      </c>
      <c r="AM2703" s="1" t="s">
        <v>104</v>
      </c>
      <c r="AO2703" s="1">
        <v>3</v>
      </c>
      <c r="AR2703" s="1">
        <v>0</v>
      </c>
      <c r="AS2703" s="1">
        <v>0</v>
      </c>
      <c r="AT2703" s="1">
        <v>0</v>
      </c>
      <c r="AU2703" s="1">
        <v>0</v>
      </c>
      <c r="AV2703" s="1">
        <v>0</v>
      </c>
      <c r="AW2703" s="1">
        <v>0</v>
      </c>
      <c r="AX2703" s="1">
        <v>0</v>
      </c>
      <c r="AY2703" s="1">
        <v>0</v>
      </c>
      <c r="AZ2703" s="1">
        <v>0</v>
      </c>
      <c r="BA2703" s="1">
        <v>0</v>
      </c>
      <c r="BB2703" s="1">
        <v>0</v>
      </c>
      <c r="BC2703" s="1">
        <v>0</v>
      </c>
      <c r="BD2703" s="1">
        <v>0</v>
      </c>
      <c r="BE2703" s="1">
        <v>0</v>
      </c>
      <c r="BF2703" s="1">
        <v>0</v>
      </c>
      <c r="BG2703" s="1">
        <v>0</v>
      </c>
      <c r="BH2703" s="1">
        <v>0</v>
      </c>
      <c r="BI2703" s="1">
        <v>0</v>
      </c>
      <c r="BJ2703" s="1">
        <v>0</v>
      </c>
      <c r="BK2703" s="1">
        <v>0</v>
      </c>
      <c r="BL2703" s="1">
        <v>0</v>
      </c>
      <c r="BM2703" s="1">
        <v>0</v>
      </c>
      <c r="BN2703" s="1">
        <v>0</v>
      </c>
      <c r="BO2703" s="1">
        <v>0</v>
      </c>
      <c r="BP2703" s="1">
        <v>0</v>
      </c>
      <c r="BQ2703" s="1" t="s">
        <v>104</v>
      </c>
      <c r="BR2703" s="1">
        <v>4830</v>
      </c>
      <c r="BS2703" s="1" t="s">
        <v>104</v>
      </c>
      <c r="BX2703" s="1">
        <v>0</v>
      </c>
      <c r="BY2703" s="1" t="s">
        <v>104</v>
      </c>
      <c r="BZ2703" s="1" t="s">
        <v>104</v>
      </c>
      <c r="CA2703" s="1" t="s">
        <v>104</v>
      </c>
      <c r="CB2703" s="1" t="s">
        <v>104</v>
      </c>
      <c r="CC2703" s="1" t="s">
        <v>104</v>
      </c>
      <c r="CD2703" s="1" t="s">
        <v>104</v>
      </c>
      <c r="CE2703" s="1" t="s">
        <v>104</v>
      </c>
      <c r="CF2703" s="1">
        <v>3</v>
      </c>
      <c r="CG2703" s="1" t="s">
        <v>104</v>
      </c>
      <c r="CH2703" s="1" t="s">
        <v>104</v>
      </c>
      <c r="CJ2703" s="1">
        <v>0</v>
      </c>
      <c r="CK2703" s="1">
        <v>0</v>
      </c>
      <c r="CL2703" s="1">
        <v>0</v>
      </c>
      <c r="CM2703" s="1" t="s">
        <v>104</v>
      </c>
    </row>
    <row r="2704" spans="1:91" ht="14.25" customHeight="1" x14ac:dyDescent="0.3">
      <c r="A2704" s="1" t="s">
        <v>13654</v>
      </c>
      <c r="B2704" s="1" t="s">
        <v>137</v>
      </c>
      <c r="E2704" s="1" t="s">
        <v>13655</v>
      </c>
      <c r="F2704" s="1" t="s">
        <v>95</v>
      </c>
      <c r="G2704" s="1" t="s">
        <v>13656</v>
      </c>
      <c r="H2704" s="1">
        <v>0</v>
      </c>
      <c r="I2704" s="1" t="s">
        <v>128</v>
      </c>
      <c r="L2704" s="1" t="s">
        <v>4080</v>
      </c>
      <c r="M2704" s="1" t="s">
        <v>2890</v>
      </c>
      <c r="N2704" s="1">
        <v>0</v>
      </c>
      <c r="O2704" s="1">
        <v>0</v>
      </c>
      <c r="P2704" s="1" t="s">
        <v>375</v>
      </c>
      <c r="Q2704" s="1" t="s">
        <v>131</v>
      </c>
      <c r="R2704" s="1" t="s">
        <v>13657</v>
      </c>
      <c r="S2704" s="1" t="s">
        <v>13634</v>
      </c>
      <c r="T2704" s="1">
        <v>0</v>
      </c>
      <c r="U2704" s="1">
        <v>1</v>
      </c>
      <c r="V2704" s="1">
        <v>1</v>
      </c>
      <c r="W2704" s="1">
        <v>0</v>
      </c>
      <c r="X2704" s="1">
        <v>1</v>
      </c>
      <c r="Y2704" s="1">
        <v>4</v>
      </c>
      <c r="Z2704" s="1">
        <v>4</v>
      </c>
      <c r="AA2704" s="1">
        <v>4</v>
      </c>
      <c r="AB2704" s="1">
        <v>4</v>
      </c>
      <c r="AC2704" s="1" t="s">
        <v>104</v>
      </c>
      <c r="AD2704" s="1" t="s">
        <v>104</v>
      </c>
      <c r="AE2704" s="1" t="s">
        <v>104</v>
      </c>
      <c r="AF2704" s="1">
        <v>4</v>
      </c>
      <c r="AG2704" s="1">
        <v>4</v>
      </c>
      <c r="AH2704" s="1" t="s">
        <v>104</v>
      </c>
      <c r="AI2704" s="1" t="s">
        <v>104</v>
      </c>
      <c r="AJ2704" s="1">
        <v>4</v>
      </c>
      <c r="AK2704" s="1" t="s">
        <v>104</v>
      </c>
      <c r="AL2704" s="1" t="s">
        <v>104</v>
      </c>
      <c r="AM2704" s="1" t="s">
        <v>104</v>
      </c>
      <c r="AO2704" s="1">
        <v>4</v>
      </c>
      <c r="AR2704" s="1">
        <v>0</v>
      </c>
      <c r="AS2704" s="1">
        <v>0</v>
      </c>
      <c r="AT2704" s="1">
        <v>0</v>
      </c>
      <c r="AU2704" s="1">
        <v>0</v>
      </c>
      <c r="AV2704" s="1">
        <v>0</v>
      </c>
      <c r="AW2704" s="1">
        <v>0</v>
      </c>
      <c r="AX2704" s="1">
        <v>0</v>
      </c>
      <c r="AY2704" s="1">
        <v>0</v>
      </c>
      <c r="AZ2704" s="1">
        <v>0</v>
      </c>
      <c r="BA2704" s="1">
        <v>0</v>
      </c>
      <c r="BB2704" s="1">
        <v>0</v>
      </c>
      <c r="BC2704" s="1">
        <v>0</v>
      </c>
      <c r="BD2704" s="1">
        <v>0</v>
      </c>
      <c r="BE2704" s="1">
        <v>0</v>
      </c>
      <c r="BF2704" s="1">
        <v>0</v>
      </c>
      <c r="BG2704" s="1">
        <v>0</v>
      </c>
      <c r="BH2704" s="1">
        <v>0</v>
      </c>
      <c r="BI2704" s="1">
        <v>0</v>
      </c>
      <c r="BJ2704" s="1">
        <v>0</v>
      </c>
      <c r="BK2704" s="1">
        <v>0</v>
      </c>
      <c r="BL2704" s="1">
        <v>0</v>
      </c>
      <c r="BM2704" s="1">
        <v>0</v>
      </c>
      <c r="BN2704" s="1">
        <v>0</v>
      </c>
      <c r="BO2704" s="1">
        <v>0</v>
      </c>
      <c r="BP2704" s="1">
        <v>0</v>
      </c>
      <c r="BQ2704" s="1" t="s">
        <v>104</v>
      </c>
      <c r="BR2704" s="1">
        <v>4831</v>
      </c>
      <c r="BS2704" s="1" t="s">
        <v>104</v>
      </c>
      <c r="BX2704" s="1">
        <v>0</v>
      </c>
      <c r="BY2704" s="1" t="s">
        <v>104</v>
      </c>
      <c r="BZ2704" s="1">
        <v>4</v>
      </c>
      <c r="CA2704" s="1" t="s">
        <v>104</v>
      </c>
      <c r="CB2704" s="1" t="s">
        <v>104</v>
      </c>
      <c r="CC2704" s="1" t="s">
        <v>104</v>
      </c>
      <c r="CD2704" s="1" t="s">
        <v>104</v>
      </c>
      <c r="CE2704" s="1" t="s">
        <v>104</v>
      </c>
      <c r="CF2704" s="1" t="s">
        <v>104</v>
      </c>
      <c r="CG2704" s="1" t="s">
        <v>104</v>
      </c>
      <c r="CH2704" s="1">
        <v>4</v>
      </c>
      <c r="CJ2704" s="1">
        <v>0</v>
      </c>
      <c r="CK2704" s="1">
        <v>0</v>
      </c>
      <c r="CL2704" s="1">
        <v>0</v>
      </c>
      <c r="CM2704" s="1">
        <v>4</v>
      </c>
    </row>
    <row r="2705" spans="1:91" ht="14.25" customHeight="1" x14ac:dyDescent="0.3">
      <c r="A2705" s="1" t="s">
        <v>13658</v>
      </c>
      <c r="B2705" s="1" t="s">
        <v>434</v>
      </c>
      <c r="D2705" s="1" t="s">
        <v>61</v>
      </c>
      <c r="E2705" s="1" t="s">
        <v>13659</v>
      </c>
      <c r="F2705" s="1" t="s">
        <v>95</v>
      </c>
      <c r="G2705" s="1" t="s">
        <v>13660</v>
      </c>
      <c r="H2705" s="1">
        <v>1</v>
      </c>
      <c r="I2705" s="1" t="s">
        <v>117</v>
      </c>
      <c r="J2705" s="1" t="s">
        <v>5967</v>
      </c>
      <c r="M2705" s="1" t="s">
        <v>4641</v>
      </c>
      <c r="N2705" s="1">
        <v>1</v>
      </c>
      <c r="O2705" s="1">
        <v>0</v>
      </c>
      <c r="P2705" s="1" t="s">
        <v>13661</v>
      </c>
      <c r="Q2705" s="1" t="s">
        <v>101</v>
      </c>
      <c r="R2705" s="1" t="s">
        <v>13662</v>
      </c>
      <c r="S2705" s="1" t="s">
        <v>13634</v>
      </c>
      <c r="T2705" s="1">
        <v>1</v>
      </c>
      <c r="U2705" s="1">
        <v>1</v>
      </c>
      <c r="V2705" s="1">
        <v>1</v>
      </c>
      <c r="W2705" s="1">
        <v>0</v>
      </c>
      <c r="X2705" s="1">
        <v>0</v>
      </c>
      <c r="Y2705" s="1" t="s">
        <v>104</v>
      </c>
      <c r="Z2705" s="1" t="s">
        <v>104</v>
      </c>
      <c r="AA2705" s="1">
        <v>7</v>
      </c>
      <c r="AB2705" s="1">
        <v>7</v>
      </c>
      <c r="AC2705" s="1" t="s">
        <v>104</v>
      </c>
      <c r="AD2705" s="1" t="s">
        <v>104</v>
      </c>
      <c r="AE2705" s="1" t="s">
        <v>104</v>
      </c>
      <c r="AF2705" s="1" t="s">
        <v>104</v>
      </c>
      <c r="AG2705" s="1" t="s">
        <v>104</v>
      </c>
      <c r="AH2705" s="1" t="s">
        <v>104</v>
      </c>
      <c r="AI2705" s="1">
        <v>6</v>
      </c>
      <c r="AJ2705" s="1">
        <v>7</v>
      </c>
      <c r="AK2705" s="1" t="s">
        <v>104</v>
      </c>
      <c r="AL2705" s="1" t="s">
        <v>104</v>
      </c>
      <c r="AM2705" s="1" t="s">
        <v>104</v>
      </c>
      <c r="AO2705" s="1">
        <v>7</v>
      </c>
      <c r="AR2705" s="1">
        <v>0</v>
      </c>
      <c r="AS2705" s="1">
        <v>0</v>
      </c>
      <c r="AT2705" s="1">
        <v>0</v>
      </c>
      <c r="AU2705" s="1">
        <v>0</v>
      </c>
      <c r="AV2705" s="1">
        <v>0</v>
      </c>
      <c r="AW2705" s="1">
        <v>0</v>
      </c>
      <c r="AX2705" s="1">
        <v>0</v>
      </c>
      <c r="AY2705" s="1">
        <v>0</v>
      </c>
      <c r="AZ2705" s="1">
        <v>0</v>
      </c>
      <c r="BA2705" s="1">
        <v>0</v>
      </c>
      <c r="BB2705" s="1">
        <v>0</v>
      </c>
      <c r="BC2705" s="1">
        <v>0</v>
      </c>
      <c r="BD2705" s="1">
        <v>0</v>
      </c>
      <c r="BE2705" s="1">
        <v>0</v>
      </c>
      <c r="BF2705" s="1">
        <v>0</v>
      </c>
      <c r="BG2705" s="1">
        <v>0</v>
      </c>
      <c r="BH2705" s="1">
        <v>0</v>
      </c>
      <c r="BI2705" s="1">
        <v>0</v>
      </c>
      <c r="BJ2705" s="1">
        <v>1</v>
      </c>
      <c r="BK2705" s="1">
        <v>0</v>
      </c>
      <c r="BL2705" s="1">
        <v>0</v>
      </c>
      <c r="BM2705" s="1">
        <v>0</v>
      </c>
      <c r="BN2705" s="1">
        <v>0</v>
      </c>
      <c r="BO2705" s="1">
        <v>0</v>
      </c>
      <c r="BP2705" s="1">
        <v>0</v>
      </c>
      <c r="BQ2705" s="1" t="s">
        <v>104</v>
      </c>
      <c r="BR2705" s="1">
        <v>4832</v>
      </c>
      <c r="BS2705" s="1">
        <v>500</v>
      </c>
      <c r="BX2705" s="1">
        <v>0</v>
      </c>
      <c r="BY2705" s="1" t="s">
        <v>104</v>
      </c>
      <c r="BZ2705" s="1">
        <v>7</v>
      </c>
      <c r="CA2705" s="1" t="s">
        <v>104</v>
      </c>
      <c r="CB2705" s="1" t="s">
        <v>104</v>
      </c>
      <c r="CC2705" s="1" t="s">
        <v>104</v>
      </c>
      <c r="CD2705" s="1" t="s">
        <v>104</v>
      </c>
      <c r="CE2705" s="1" t="s">
        <v>104</v>
      </c>
      <c r="CF2705" s="1" t="s">
        <v>104</v>
      </c>
      <c r="CG2705" s="1" t="s">
        <v>104</v>
      </c>
      <c r="CH2705" s="1" t="s">
        <v>104</v>
      </c>
      <c r="CJ2705" s="1">
        <v>0</v>
      </c>
      <c r="CK2705" s="1">
        <v>0</v>
      </c>
      <c r="CL2705" s="1">
        <v>0</v>
      </c>
      <c r="CM2705" s="1" t="s">
        <v>104</v>
      </c>
    </row>
    <row r="2706" spans="1:91" ht="14.25" customHeight="1" x14ac:dyDescent="0.3">
      <c r="A2706" s="1" t="s">
        <v>13663</v>
      </c>
      <c r="B2706" s="1" t="s">
        <v>434</v>
      </c>
      <c r="D2706" s="1" t="s">
        <v>56</v>
      </c>
      <c r="E2706" s="1" t="s">
        <v>1586</v>
      </c>
      <c r="F2706" s="1" t="s">
        <v>95</v>
      </c>
      <c r="G2706" s="1" t="s">
        <v>13664</v>
      </c>
      <c r="H2706" s="1">
        <v>0</v>
      </c>
      <c r="I2706" s="1" t="s">
        <v>705</v>
      </c>
      <c r="K2706" s="1" t="s">
        <v>2895</v>
      </c>
      <c r="M2706" s="1" t="s">
        <v>4641</v>
      </c>
      <c r="N2706" s="1">
        <v>1</v>
      </c>
      <c r="O2706" s="1">
        <v>0</v>
      </c>
      <c r="P2706" s="1" t="s">
        <v>100</v>
      </c>
      <c r="Q2706" s="1" t="s">
        <v>184</v>
      </c>
      <c r="R2706" s="1" t="s">
        <v>13665</v>
      </c>
      <c r="S2706" s="1" t="s">
        <v>13634</v>
      </c>
      <c r="T2706" s="1">
        <v>1</v>
      </c>
      <c r="U2706" s="1">
        <v>1</v>
      </c>
      <c r="V2706" s="1">
        <v>1</v>
      </c>
      <c r="W2706" s="1">
        <v>0</v>
      </c>
      <c r="X2706" s="1">
        <v>0</v>
      </c>
      <c r="Y2706" s="1" t="s">
        <v>104</v>
      </c>
      <c r="Z2706" s="1" t="s">
        <v>104</v>
      </c>
      <c r="AA2706" s="1" t="s">
        <v>104</v>
      </c>
      <c r="AB2706" s="1">
        <v>2</v>
      </c>
      <c r="AC2706" s="1" t="s">
        <v>104</v>
      </c>
      <c r="AD2706" s="1" t="s">
        <v>104</v>
      </c>
      <c r="AE2706" s="1" t="s">
        <v>104</v>
      </c>
      <c r="AF2706" s="1" t="s">
        <v>104</v>
      </c>
      <c r="AG2706" s="1" t="s">
        <v>104</v>
      </c>
      <c r="AH2706" s="1" t="s">
        <v>104</v>
      </c>
      <c r="AI2706" s="1" t="s">
        <v>104</v>
      </c>
      <c r="AJ2706" s="1" t="s">
        <v>104</v>
      </c>
      <c r="AK2706" s="1" t="s">
        <v>104</v>
      </c>
      <c r="AL2706" s="1" t="s">
        <v>104</v>
      </c>
      <c r="AM2706" s="1" t="s">
        <v>104</v>
      </c>
      <c r="AO2706" s="1">
        <v>2</v>
      </c>
      <c r="AR2706" s="1">
        <v>0</v>
      </c>
      <c r="AS2706" s="1">
        <v>0</v>
      </c>
      <c r="AT2706" s="1">
        <v>0</v>
      </c>
      <c r="AU2706" s="1">
        <v>0</v>
      </c>
      <c r="AV2706" s="1">
        <v>0</v>
      </c>
      <c r="AW2706" s="1">
        <v>0</v>
      </c>
      <c r="AX2706" s="1">
        <v>0</v>
      </c>
      <c r="AY2706" s="1">
        <v>0</v>
      </c>
      <c r="AZ2706" s="1">
        <v>0</v>
      </c>
      <c r="BA2706" s="1">
        <v>0</v>
      </c>
      <c r="BB2706" s="1">
        <v>0</v>
      </c>
      <c r="BC2706" s="1">
        <v>0</v>
      </c>
      <c r="BD2706" s="1">
        <v>0</v>
      </c>
      <c r="BE2706" s="1">
        <v>1</v>
      </c>
      <c r="BF2706" s="1">
        <v>0</v>
      </c>
      <c r="BG2706" s="1">
        <v>0</v>
      </c>
      <c r="BH2706" s="1">
        <v>0</v>
      </c>
      <c r="BI2706" s="1">
        <v>0</v>
      </c>
      <c r="BJ2706" s="1">
        <v>0</v>
      </c>
      <c r="BK2706" s="1">
        <v>0</v>
      </c>
      <c r="BL2706" s="1">
        <v>0</v>
      </c>
      <c r="BM2706" s="1">
        <v>0</v>
      </c>
      <c r="BN2706" s="1">
        <v>0</v>
      </c>
      <c r="BO2706" s="1">
        <v>0</v>
      </c>
      <c r="BP2706" s="1">
        <v>0</v>
      </c>
      <c r="BQ2706" s="1" t="s">
        <v>104</v>
      </c>
      <c r="BR2706" s="1">
        <v>4833</v>
      </c>
      <c r="BS2706" s="1" t="s">
        <v>104</v>
      </c>
      <c r="BX2706" s="1">
        <v>0</v>
      </c>
      <c r="BY2706" s="1" t="s">
        <v>104</v>
      </c>
      <c r="BZ2706" s="1">
        <v>2</v>
      </c>
      <c r="CA2706" s="1" t="s">
        <v>104</v>
      </c>
      <c r="CB2706" s="1" t="s">
        <v>104</v>
      </c>
      <c r="CC2706" s="1" t="s">
        <v>104</v>
      </c>
      <c r="CD2706" s="1" t="s">
        <v>104</v>
      </c>
      <c r="CE2706" s="1" t="s">
        <v>104</v>
      </c>
      <c r="CF2706" s="1" t="s">
        <v>104</v>
      </c>
      <c r="CG2706" s="1" t="s">
        <v>104</v>
      </c>
      <c r="CH2706" s="1">
        <v>2</v>
      </c>
      <c r="CJ2706" s="1">
        <v>0</v>
      </c>
      <c r="CK2706" s="1">
        <v>0</v>
      </c>
      <c r="CL2706" s="1">
        <v>0</v>
      </c>
      <c r="CM2706" s="1" t="s">
        <v>104</v>
      </c>
    </row>
    <row r="2707" spans="1:91" ht="14.25" customHeight="1" x14ac:dyDescent="0.3">
      <c r="A2707" s="1" t="s">
        <v>13666</v>
      </c>
      <c r="B2707" s="1" t="s">
        <v>162</v>
      </c>
      <c r="E2707" s="1" t="s">
        <v>13667</v>
      </c>
      <c r="F2707" s="1" t="s">
        <v>95</v>
      </c>
      <c r="G2707" s="1" t="s">
        <v>116</v>
      </c>
      <c r="H2707" s="1">
        <v>0</v>
      </c>
      <c r="I2707" s="1" t="s">
        <v>128</v>
      </c>
      <c r="L2707" s="1" t="s">
        <v>374</v>
      </c>
      <c r="M2707" s="1" t="s">
        <v>620</v>
      </c>
      <c r="N2707" s="1">
        <v>1</v>
      </c>
      <c r="O2707" s="1">
        <v>0</v>
      </c>
      <c r="P2707" s="1" t="s">
        <v>10299</v>
      </c>
      <c r="Q2707" s="1" t="s">
        <v>131</v>
      </c>
      <c r="R2707" s="1" t="s">
        <v>13668</v>
      </c>
      <c r="S2707" s="1" t="s">
        <v>13634</v>
      </c>
      <c r="T2707" s="1">
        <v>1</v>
      </c>
      <c r="U2707" s="1">
        <v>1</v>
      </c>
      <c r="V2707" s="1">
        <v>0</v>
      </c>
      <c r="W2707" s="1">
        <v>0</v>
      </c>
      <c r="X2707" s="1">
        <v>0</v>
      </c>
      <c r="Y2707" s="1">
        <v>2</v>
      </c>
      <c r="Z2707" s="1">
        <v>2</v>
      </c>
      <c r="AA2707" s="1">
        <v>2</v>
      </c>
      <c r="AB2707" s="1">
        <v>2</v>
      </c>
      <c r="AC2707" s="1">
        <v>1</v>
      </c>
      <c r="AD2707" s="1" t="s">
        <v>104</v>
      </c>
      <c r="AE2707" s="1" t="s">
        <v>104</v>
      </c>
      <c r="AF2707" s="1">
        <v>2</v>
      </c>
      <c r="AG2707" s="1" t="s">
        <v>104</v>
      </c>
      <c r="AH2707" s="1" t="s">
        <v>104</v>
      </c>
      <c r="AI2707" s="1" t="s">
        <v>104</v>
      </c>
      <c r="AJ2707" s="1">
        <v>2</v>
      </c>
      <c r="AK2707" s="1" t="s">
        <v>104</v>
      </c>
      <c r="AL2707" s="1" t="s">
        <v>104</v>
      </c>
      <c r="AM2707" s="1" t="s">
        <v>104</v>
      </c>
      <c r="AO2707" s="1">
        <v>2</v>
      </c>
      <c r="AR2707" s="1">
        <v>0</v>
      </c>
      <c r="AS2707" s="1">
        <v>0</v>
      </c>
      <c r="AT2707" s="1">
        <v>0</v>
      </c>
      <c r="AU2707" s="1">
        <v>0</v>
      </c>
      <c r="AV2707" s="1">
        <v>0</v>
      </c>
      <c r="AW2707" s="1">
        <v>0</v>
      </c>
      <c r="AX2707" s="1">
        <v>0</v>
      </c>
      <c r="AY2707" s="1">
        <v>0</v>
      </c>
      <c r="AZ2707" s="1">
        <v>0</v>
      </c>
      <c r="BA2707" s="1">
        <v>0</v>
      </c>
      <c r="BB2707" s="1">
        <v>0</v>
      </c>
      <c r="BC2707" s="1">
        <v>0</v>
      </c>
      <c r="BD2707" s="1">
        <v>0</v>
      </c>
      <c r="BE2707" s="1">
        <v>0</v>
      </c>
      <c r="BF2707" s="1">
        <v>0</v>
      </c>
      <c r="BG2707" s="1">
        <v>0</v>
      </c>
      <c r="BH2707" s="1">
        <v>0</v>
      </c>
      <c r="BI2707" s="1">
        <v>0</v>
      </c>
      <c r="BJ2707" s="1">
        <v>0</v>
      </c>
      <c r="BK2707" s="1">
        <v>0</v>
      </c>
      <c r="BL2707" s="1">
        <v>0</v>
      </c>
      <c r="BM2707" s="1">
        <v>0</v>
      </c>
      <c r="BN2707" s="1">
        <v>0</v>
      </c>
      <c r="BO2707" s="1">
        <v>0</v>
      </c>
      <c r="BP2707" s="1">
        <v>0</v>
      </c>
      <c r="BQ2707" s="1" t="s">
        <v>104</v>
      </c>
      <c r="BR2707" s="1">
        <v>4834</v>
      </c>
      <c r="BS2707" s="1" t="s">
        <v>104</v>
      </c>
      <c r="BX2707" s="1">
        <v>0</v>
      </c>
      <c r="BY2707" s="1" t="s">
        <v>104</v>
      </c>
      <c r="BZ2707" s="1">
        <v>2</v>
      </c>
      <c r="CA2707" s="1" t="s">
        <v>104</v>
      </c>
      <c r="CB2707" s="1" t="s">
        <v>104</v>
      </c>
      <c r="CC2707" s="1" t="s">
        <v>104</v>
      </c>
      <c r="CD2707" s="1" t="s">
        <v>104</v>
      </c>
      <c r="CE2707" s="1" t="s">
        <v>104</v>
      </c>
      <c r="CF2707" s="1" t="s">
        <v>104</v>
      </c>
      <c r="CG2707" s="1" t="s">
        <v>104</v>
      </c>
      <c r="CH2707" s="1">
        <v>1</v>
      </c>
      <c r="CJ2707" s="1">
        <v>0</v>
      </c>
      <c r="CK2707" s="1">
        <v>0</v>
      </c>
      <c r="CL2707" s="1">
        <v>0</v>
      </c>
      <c r="CM2707" s="1" t="s">
        <v>104</v>
      </c>
    </row>
    <row r="2708" spans="1:91" ht="14.25" customHeight="1" x14ac:dyDescent="0.3">
      <c r="A2708" s="1" t="s">
        <v>13669</v>
      </c>
      <c r="B2708" s="1" t="s">
        <v>162</v>
      </c>
      <c r="D2708" s="1" t="s">
        <v>125</v>
      </c>
      <c r="E2708" s="1" t="s">
        <v>13670</v>
      </c>
      <c r="F2708" s="1" t="s">
        <v>95</v>
      </c>
      <c r="G2708" s="1" t="s">
        <v>116</v>
      </c>
      <c r="H2708" s="1">
        <v>0</v>
      </c>
      <c r="I2708" s="1" t="s">
        <v>157</v>
      </c>
      <c r="M2708" s="1" t="s">
        <v>2591</v>
      </c>
      <c r="N2708" s="1">
        <v>0</v>
      </c>
      <c r="O2708" s="1">
        <v>0</v>
      </c>
      <c r="P2708" s="1" t="s">
        <v>375</v>
      </c>
      <c r="Q2708" s="1" t="s">
        <v>101</v>
      </c>
      <c r="R2708" s="1" t="s">
        <v>13671</v>
      </c>
      <c r="S2708" s="1" t="s">
        <v>13634</v>
      </c>
      <c r="T2708" s="1">
        <v>1</v>
      </c>
      <c r="U2708" s="1">
        <v>1</v>
      </c>
      <c r="V2708" s="1">
        <v>0</v>
      </c>
      <c r="W2708" s="1">
        <v>0</v>
      </c>
      <c r="X2708" s="1">
        <v>0</v>
      </c>
      <c r="Y2708" s="1" t="s">
        <v>104</v>
      </c>
      <c r="Z2708" s="1" t="s">
        <v>104</v>
      </c>
      <c r="AA2708" s="1" t="s">
        <v>104</v>
      </c>
      <c r="AB2708" s="1" t="s">
        <v>104</v>
      </c>
      <c r="AC2708" s="1" t="s">
        <v>104</v>
      </c>
      <c r="AD2708" s="1" t="s">
        <v>104</v>
      </c>
      <c r="AE2708" s="1" t="s">
        <v>104</v>
      </c>
      <c r="AF2708" s="1" t="s">
        <v>104</v>
      </c>
      <c r="AG2708" s="1" t="s">
        <v>104</v>
      </c>
      <c r="AH2708" s="1" t="s">
        <v>104</v>
      </c>
      <c r="AI2708" s="1" t="s">
        <v>104</v>
      </c>
      <c r="AJ2708" s="1" t="s">
        <v>104</v>
      </c>
      <c r="AK2708" s="1" t="s">
        <v>104</v>
      </c>
      <c r="AL2708" s="1" t="s">
        <v>104</v>
      </c>
      <c r="AM2708" s="1" t="s">
        <v>104</v>
      </c>
      <c r="AO2708" s="1" t="s">
        <v>104</v>
      </c>
      <c r="AR2708" s="1">
        <v>0</v>
      </c>
      <c r="AS2708" s="1">
        <v>0</v>
      </c>
      <c r="AT2708" s="1">
        <v>0</v>
      </c>
      <c r="AU2708" s="1">
        <v>0</v>
      </c>
      <c r="AV2708" s="1">
        <v>0</v>
      </c>
      <c r="AW2708" s="1">
        <v>0</v>
      </c>
      <c r="AX2708" s="1">
        <v>0</v>
      </c>
      <c r="AY2708" s="1">
        <v>0</v>
      </c>
      <c r="AZ2708" s="1">
        <v>0</v>
      </c>
      <c r="BA2708" s="1">
        <v>0</v>
      </c>
      <c r="BB2708" s="1">
        <v>0</v>
      </c>
      <c r="BC2708" s="1">
        <v>0</v>
      </c>
      <c r="BD2708" s="1">
        <v>0</v>
      </c>
      <c r="BE2708" s="1">
        <v>0</v>
      </c>
      <c r="BF2708" s="1">
        <v>0</v>
      </c>
      <c r="BG2708" s="1">
        <v>0</v>
      </c>
      <c r="BH2708" s="1">
        <v>0</v>
      </c>
      <c r="BI2708" s="1">
        <v>0</v>
      </c>
      <c r="BJ2708" s="1">
        <v>0</v>
      </c>
      <c r="BK2708" s="1">
        <v>1</v>
      </c>
      <c r="BL2708" s="1">
        <v>0</v>
      </c>
      <c r="BM2708" s="1">
        <v>0</v>
      </c>
      <c r="BN2708" s="1">
        <v>0</v>
      </c>
      <c r="BO2708" s="1">
        <v>0</v>
      </c>
      <c r="BP2708" s="1">
        <v>0</v>
      </c>
      <c r="BQ2708" s="1" t="s">
        <v>104</v>
      </c>
      <c r="BR2708" s="1">
        <v>4835</v>
      </c>
      <c r="BS2708" s="1" t="s">
        <v>104</v>
      </c>
      <c r="BX2708" s="1">
        <v>0</v>
      </c>
      <c r="BY2708" s="1" t="s">
        <v>104</v>
      </c>
      <c r="BZ2708" s="1" t="s">
        <v>104</v>
      </c>
      <c r="CA2708" s="1">
        <v>3</v>
      </c>
      <c r="CB2708" s="1" t="s">
        <v>104</v>
      </c>
      <c r="CC2708" s="1">
        <v>2</v>
      </c>
      <c r="CD2708" s="1" t="s">
        <v>104</v>
      </c>
      <c r="CE2708" s="1" t="s">
        <v>104</v>
      </c>
      <c r="CF2708" s="1" t="s">
        <v>104</v>
      </c>
      <c r="CG2708" s="1" t="s">
        <v>104</v>
      </c>
      <c r="CH2708" s="1" t="s">
        <v>104</v>
      </c>
      <c r="CJ2708" s="1">
        <v>0</v>
      </c>
      <c r="CK2708" s="1">
        <v>0</v>
      </c>
      <c r="CL2708" s="1">
        <v>0</v>
      </c>
      <c r="CM2708" s="1" t="s">
        <v>104</v>
      </c>
    </row>
    <row r="2709" spans="1:91" ht="14.25" customHeight="1" x14ac:dyDescent="0.3">
      <c r="A2709" s="1" t="s">
        <v>13672</v>
      </c>
      <c r="B2709" s="1" t="s">
        <v>162</v>
      </c>
      <c r="D2709" s="1" t="s">
        <v>125</v>
      </c>
      <c r="E2709" s="1" t="s">
        <v>11200</v>
      </c>
      <c r="F2709" s="1" t="s">
        <v>95</v>
      </c>
      <c r="G2709" s="1" t="s">
        <v>116</v>
      </c>
      <c r="H2709" s="1">
        <v>0</v>
      </c>
      <c r="I2709" s="1" t="s">
        <v>157</v>
      </c>
      <c r="M2709" s="1" t="s">
        <v>2591</v>
      </c>
      <c r="N2709" s="1">
        <v>0</v>
      </c>
      <c r="O2709" s="1">
        <v>0</v>
      </c>
      <c r="P2709" s="1" t="s">
        <v>375</v>
      </c>
      <c r="Q2709" s="1" t="s">
        <v>101</v>
      </c>
      <c r="R2709" s="1" t="s">
        <v>13673</v>
      </c>
      <c r="S2709" s="1" t="s">
        <v>13634</v>
      </c>
      <c r="T2709" s="1">
        <v>1</v>
      </c>
      <c r="U2709" s="1">
        <v>1</v>
      </c>
      <c r="V2709" s="1">
        <v>0</v>
      </c>
      <c r="W2709" s="1">
        <v>0</v>
      </c>
      <c r="X2709" s="1">
        <v>0</v>
      </c>
      <c r="Y2709" s="1" t="s">
        <v>104</v>
      </c>
      <c r="Z2709" s="1" t="s">
        <v>104</v>
      </c>
      <c r="AA2709" s="1" t="s">
        <v>104</v>
      </c>
      <c r="AB2709" s="1" t="s">
        <v>104</v>
      </c>
      <c r="AC2709" s="1" t="s">
        <v>104</v>
      </c>
      <c r="AD2709" s="1" t="s">
        <v>104</v>
      </c>
      <c r="AE2709" s="1" t="s">
        <v>104</v>
      </c>
      <c r="AF2709" s="1" t="s">
        <v>104</v>
      </c>
      <c r="AG2709" s="1" t="s">
        <v>104</v>
      </c>
      <c r="AH2709" s="1" t="s">
        <v>104</v>
      </c>
      <c r="AI2709" s="1" t="s">
        <v>104</v>
      </c>
      <c r="AJ2709" s="1" t="s">
        <v>104</v>
      </c>
      <c r="AK2709" s="1" t="s">
        <v>104</v>
      </c>
      <c r="AL2709" s="1" t="s">
        <v>104</v>
      </c>
      <c r="AM2709" s="1" t="s">
        <v>104</v>
      </c>
      <c r="AO2709" s="1" t="s">
        <v>104</v>
      </c>
      <c r="AR2709" s="1">
        <v>0</v>
      </c>
      <c r="AS2709" s="1">
        <v>0</v>
      </c>
      <c r="AT2709" s="1">
        <v>0</v>
      </c>
      <c r="AU2709" s="1">
        <v>0</v>
      </c>
      <c r="AV2709" s="1">
        <v>0</v>
      </c>
      <c r="AW2709" s="1">
        <v>0</v>
      </c>
      <c r="AX2709" s="1">
        <v>0</v>
      </c>
      <c r="AY2709" s="1">
        <v>0</v>
      </c>
      <c r="AZ2709" s="1">
        <v>0</v>
      </c>
      <c r="BA2709" s="1">
        <v>0</v>
      </c>
      <c r="BB2709" s="1">
        <v>0</v>
      </c>
      <c r="BC2709" s="1">
        <v>0</v>
      </c>
      <c r="BD2709" s="1">
        <v>0</v>
      </c>
      <c r="BE2709" s="1">
        <v>0</v>
      </c>
      <c r="BF2709" s="1">
        <v>0</v>
      </c>
      <c r="BG2709" s="1">
        <v>0</v>
      </c>
      <c r="BH2709" s="1">
        <v>0</v>
      </c>
      <c r="BI2709" s="1">
        <v>0</v>
      </c>
      <c r="BJ2709" s="1">
        <v>0</v>
      </c>
      <c r="BK2709" s="1">
        <v>1</v>
      </c>
      <c r="BL2709" s="1">
        <v>0</v>
      </c>
      <c r="BM2709" s="1">
        <v>0</v>
      </c>
      <c r="BN2709" s="1">
        <v>0</v>
      </c>
      <c r="BO2709" s="1">
        <v>0</v>
      </c>
      <c r="BP2709" s="1">
        <v>0</v>
      </c>
      <c r="BQ2709" s="1" t="s">
        <v>104</v>
      </c>
      <c r="BR2709" s="1">
        <v>4836</v>
      </c>
      <c r="BS2709" s="1" t="s">
        <v>104</v>
      </c>
      <c r="BX2709" s="1">
        <v>0</v>
      </c>
      <c r="BY2709" s="1" t="s">
        <v>104</v>
      </c>
      <c r="BZ2709" s="1" t="s">
        <v>104</v>
      </c>
      <c r="CA2709" s="1">
        <v>5</v>
      </c>
      <c r="CB2709" s="1" t="s">
        <v>104</v>
      </c>
      <c r="CC2709" s="1">
        <v>4</v>
      </c>
      <c r="CD2709" s="1" t="s">
        <v>104</v>
      </c>
      <c r="CE2709" s="1" t="s">
        <v>104</v>
      </c>
      <c r="CF2709" s="1" t="s">
        <v>104</v>
      </c>
      <c r="CG2709" s="1" t="s">
        <v>104</v>
      </c>
      <c r="CH2709" s="1" t="s">
        <v>104</v>
      </c>
      <c r="CJ2709" s="1">
        <v>0</v>
      </c>
      <c r="CK2709" s="1">
        <v>0</v>
      </c>
      <c r="CL2709" s="1">
        <v>0</v>
      </c>
      <c r="CM2709" s="1" t="s">
        <v>104</v>
      </c>
    </row>
    <row r="2710" spans="1:91" ht="14.25" customHeight="1" x14ac:dyDescent="0.3">
      <c r="A2710" s="1" t="s">
        <v>13674</v>
      </c>
      <c r="B2710" s="1" t="s">
        <v>137</v>
      </c>
      <c r="D2710" s="1" t="s">
        <v>51</v>
      </c>
      <c r="E2710" s="1" t="s">
        <v>13675</v>
      </c>
      <c r="F2710" s="1" t="s">
        <v>191</v>
      </c>
      <c r="G2710" s="1" t="s">
        <v>13676</v>
      </c>
      <c r="H2710" s="1">
        <v>1</v>
      </c>
      <c r="I2710" s="1" t="s">
        <v>109</v>
      </c>
      <c r="K2710" s="1" t="s">
        <v>13677</v>
      </c>
      <c r="M2710" s="1" t="s">
        <v>298</v>
      </c>
      <c r="N2710" s="1">
        <v>0</v>
      </c>
      <c r="O2710" s="1">
        <v>0</v>
      </c>
      <c r="P2710" s="1" t="s">
        <v>100</v>
      </c>
      <c r="Q2710" s="1" t="s">
        <v>101</v>
      </c>
      <c r="R2710" s="1" t="s">
        <v>13678</v>
      </c>
      <c r="S2710" s="1" t="s">
        <v>13634</v>
      </c>
      <c r="T2710" s="1">
        <v>1</v>
      </c>
      <c r="U2710" s="1">
        <v>1</v>
      </c>
      <c r="V2710" s="1">
        <v>1</v>
      </c>
      <c r="W2710" s="1">
        <v>0</v>
      </c>
      <c r="X2710" s="1">
        <v>0</v>
      </c>
      <c r="Y2710" s="1">
        <v>8</v>
      </c>
      <c r="Z2710" s="1">
        <v>8</v>
      </c>
      <c r="AA2710" s="1" t="s">
        <v>104</v>
      </c>
      <c r="AB2710" s="1">
        <v>8</v>
      </c>
      <c r="AC2710" s="1" t="s">
        <v>104</v>
      </c>
      <c r="AD2710" s="1" t="s">
        <v>104</v>
      </c>
      <c r="AE2710" s="1" t="s">
        <v>104</v>
      </c>
      <c r="AF2710" s="1" t="s">
        <v>104</v>
      </c>
      <c r="AG2710" s="1" t="s">
        <v>104</v>
      </c>
      <c r="AH2710" s="1" t="s">
        <v>104</v>
      </c>
      <c r="AI2710" s="1" t="s">
        <v>104</v>
      </c>
      <c r="AJ2710" s="1" t="s">
        <v>104</v>
      </c>
      <c r="AK2710" s="1" t="s">
        <v>104</v>
      </c>
      <c r="AL2710" s="1" t="s">
        <v>104</v>
      </c>
      <c r="AM2710" s="1" t="s">
        <v>104</v>
      </c>
      <c r="AO2710" s="1">
        <v>8</v>
      </c>
      <c r="AR2710" s="1">
        <v>0</v>
      </c>
      <c r="AS2710" s="1">
        <v>0</v>
      </c>
      <c r="AT2710" s="1">
        <v>0</v>
      </c>
      <c r="AU2710" s="1">
        <v>0</v>
      </c>
      <c r="AV2710" s="1">
        <v>0</v>
      </c>
      <c r="AW2710" s="1">
        <v>0</v>
      </c>
      <c r="AX2710" s="1">
        <v>0</v>
      </c>
      <c r="AY2710" s="1">
        <v>0</v>
      </c>
      <c r="AZ2710" s="1">
        <v>1</v>
      </c>
      <c r="BA2710" s="1">
        <v>0</v>
      </c>
      <c r="BB2710" s="1">
        <v>0</v>
      </c>
      <c r="BC2710" s="1">
        <v>0</v>
      </c>
      <c r="BD2710" s="1">
        <v>0</v>
      </c>
      <c r="BE2710" s="1">
        <v>0</v>
      </c>
      <c r="BF2710" s="1">
        <v>0</v>
      </c>
      <c r="BG2710" s="1">
        <v>0</v>
      </c>
      <c r="BH2710" s="1">
        <v>0</v>
      </c>
      <c r="BI2710" s="1">
        <v>0</v>
      </c>
      <c r="BJ2710" s="1">
        <v>0</v>
      </c>
      <c r="BK2710" s="1">
        <v>0</v>
      </c>
      <c r="BL2710" s="1">
        <v>0</v>
      </c>
      <c r="BM2710" s="1">
        <v>0</v>
      </c>
      <c r="BN2710" s="1">
        <v>0</v>
      </c>
      <c r="BO2710" s="1">
        <v>0</v>
      </c>
      <c r="BP2710" s="1">
        <v>0</v>
      </c>
      <c r="BQ2710" s="1" t="s">
        <v>104</v>
      </c>
      <c r="BR2710" s="1">
        <v>4837</v>
      </c>
      <c r="BS2710" s="1">
        <v>1000</v>
      </c>
      <c r="BX2710" s="1">
        <v>0</v>
      </c>
      <c r="BY2710" s="1" t="s">
        <v>104</v>
      </c>
      <c r="BZ2710" s="1">
        <v>8</v>
      </c>
      <c r="CA2710" s="1" t="s">
        <v>104</v>
      </c>
      <c r="CB2710" s="1" t="s">
        <v>104</v>
      </c>
      <c r="CC2710" s="1" t="s">
        <v>104</v>
      </c>
      <c r="CD2710" s="1" t="s">
        <v>104</v>
      </c>
      <c r="CE2710" s="1" t="s">
        <v>104</v>
      </c>
      <c r="CF2710" s="1" t="s">
        <v>104</v>
      </c>
      <c r="CG2710" s="1" t="s">
        <v>104</v>
      </c>
      <c r="CH2710" s="1" t="s">
        <v>104</v>
      </c>
      <c r="CJ2710" s="1">
        <v>0</v>
      </c>
      <c r="CK2710" s="1">
        <v>0</v>
      </c>
      <c r="CL2710" s="1">
        <v>0</v>
      </c>
      <c r="CM2710" s="1" t="s">
        <v>104</v>
      </c>
    </row>
    <row r="2711" spans="1:91" ht="14.25" customHeight="1" x14ac:dyDescent="0.3">
      <c r="A2711" s="1" t="s">
        <v>13679</v>
      </c>
      <c r="B2711" s="1" t="s">
        <v>123</v>
      </c>
      <c r="D2711" s="1" t="s">
        <v>6034</v>
      </c>
      <c r="E2711" s="1" t="s">
        <v>13680</v>
      </c>
      <c r="F2711" s="1" t="s">
        <v>95</v>
      </c>
      <c r="G2711" s="1" t="s">
        <v>116</v>
      </c>
      <c r="H2711" s="1">
        <v>0</v>
      </c>
      <c r="I2711" s="1" t="s">
        <v>1639</v>
      </c>
      <c r="K2711" s="1" t="s">
        <v>1065</v>
      </c>
      <c r="M2711" s="1" t="s">
        <v>2330</v>
      </c>
      <c r="N2711" s="1">
        <v>0</v>
      </c>
      <c r="O2711" s="1">
        <v>0</v>
      </c>
      <c r="P2711" s="1" t="s">
        <v>211</v>
      </c>
      <c r="Q2711" s="1" t="s">
        <v>184</v>
      </c>
      <c r="R2711" s="1" t="s">
        <v>13681</v>
      </c>
      <c r="S2711" s="1" t="s">
        <v>13634</v>
      </c>
      <c r="T2711" s="1">
        <v>1</v>
      </c>
      <c r="U2711" s="1">
        <v>1</v>
      </c>
      <c r="V2711" s="1">
        <v>0</v>
      </c>
      <c r="W2711" s="1">
        <v>0</v>
      </c>
      <c r="X2711" s="1">
        <v>0</v>
      </c>
      <c r="Y2711" s="1">
        <v>2</v>
      </c>
      <c r="Z2711" s="1">
        <v>2</v>
      </c>
      <c r="AA2711" s="1">
        <v>2</v>
      </c>
      <c r="AB2711" s="1" t="s">
        <v>104</v>
      </c>
      <c r="AC2711" s="1" t="s">
        <v>104</v>
      </c>
      <c r="AD2711" s="1">
        <v>1</v>
      </c>
      <c r="AE2711" s="1" t="s">
        <v>104</v>
      </c>
      <c r="AF2711" s="1" t="s">
        <v>104</v>
      </c>
      <c r="AG2711" s="1" t="s">
        <v>104</v>
      </c>
      <c r="AH2711" s="1">
        <v>2</v>
      </c>
      <c r="AI2711" s="1" t="s">
        <v>104</v>
      </c>
      <c r="AJ2711" s="1">
        <v>2</v>
      </c>
      <c r="AK2711" s="1" t="s">
        <v>104</v>
      </c>
      <c r="AL2711" s="1" t="s">
        <v>104</v>
      </c>
      <c r="AM2711" s="1" t="s">
        <v>104</v>
      </c>
      <c r="AO2711" s="1">
        <v>2</v>
      </c>
      <c r="AR2711" s="1">
        <v>0</v>
      </c>
      <c r="AS2711" s="1">
        <v>0</v>
      </c>
      <c r="AT2711" s="1">
        <v>0</v>
      </c>
      <c r="AU2711" s="1">
        <v>0</v>
      </c>
      <c r="AV2711" s="1">
        <v>0</v>
      </c>
      <c r="AW2711" s="1">
        <v>0</v>
      </c>
      <c r="AX2711" s="1">
        <v>0</v>
      </c>
      <c r="AY2711" s="1">
        <v>0</v>
      </c>
      <c r="AZ2711" s="1">
        <v>0</v>
      </c>
      <c r="BA2711" s="1">
        <v>0</v>
      </c>
      <c r="BB2711" s="1">
        <v>1</v>
      </c>
      <c r="BC2711" s="1">
        <v>0</v>
      </c>
      <c r="BD2711" s="1">
        <v>0</v>
      </c>
      <c r="BE2711" s="1">
        <v>0</v>
      </c>
      <c r="BF2711" s="1">
        <v>0</v>
      </c>
      <c r="BG2711" s="1">
        <v>0</v>
      </c>
      <c r="BH2711" s="1">
        <v>0</v>
      </c>
      <c r="BI2711" s="1">
        <v>0</v>
      </c>
      <c r="BJ2711" s="1">
        <v>0</v>
      </c>
      <c r="BK2711" s="1">
        <v>1</v>
      </c>
      <c r="BL2711" s="1">
        <v>0</v>
      </c>
      <c r="BM2711" s="1">
        <v>0</v>
      </c>
      <c r="BN2711" s="1">
        <v>0</v>
      </c>
      <c r="BO2711" s="1">
        <v>0</v>
      </c>
      <c r="BP2711" s="1">
        <v>0</v>
      </c>
      <c r="BQ2711" s="1" t="s">
        <v>104</v>
      </c>
      <c r="BR2711" s="1">
        <v>4838</v>
      </c>
      <c r="BS2711" s="1" t="s">
        <v>104</v>
      </c>
      <c r="BX2711" s="1">
        <v>0</v>
      </c>
      <c r="BY2711" s="1" t="s">
        <v>104</v>
      </c>
      <c r="BZ2711" s="1" t="s">
        <v>104</v>
      </c>
      <c r="CA2711" s="1">
        <v>2</v>
      </c>
      <c r="CB2711" s="1">
        <v>2</v>
      </c>
      <c r="CC2711" s="1">
        <v>1</v>
      </c>
      <c r="CD2711" s="1" t="s">
        <v>104</v>
      </c>
      <c r="CE2711" s="1">
        <v>2</v>
      </c>
      <c r="CF2711" s="1" t="s">
        <v>104</v>
      </c>
      <c r="CG2711" s="1" t="s">
        <v>104</v>
      </c>
      <c r="CH2711" s="1" t="s">
        <v>104</v>
      </c>
      <c r="CJ2711" s="1">
        <v>0</v>
      </c>
      <c r="CK2711" s="1">
        <v>0</v>
      </c>
      <c r="CL2711" s="1">
        <v>0</v>
      </c>
      <c r="CM2711" s="1" t="s">
        <v>104</v>
      </c>
    </row>
    <row r="2712" spans="1:91" ht="14.25" customHeight="1" x14ac:dyDescent="0.3">
      <c r="A2712" s="1" t="s">
        <v>13682</v>
      </c>
      <c r="B2712" s="1" t="s">
        <v>92</v>
      </c>
      <c r="C2712" s="1" t="s">
        <v>1160</v>
      </c>
      <c r="E2712" s="1" t="s">
        <v>13683</v>
      </c>
      <c r="F2712" s="1" t="s">
        <v>1519</v>
      </c>
      <c r="G2712" s="1" t="s">
        <v>13684</v>
      </c>
      <c r="H2712" s="1">
        <v>0</v>
      </c>
      <c r="I2712" s="1" t="s">
        <v>128</v>
      </c>
      <c r="K2712" s="1" t="s">
        <v>13685</v>
      </c>
      <c r="M2712" s="1" t="s">
        <v>620</v>
      </c>
      <c r="N2712" s="1">
        <v>1</v>
      </c>
      <c r="O2712" s="1">
        <v>0</v>
      </c>
      <c r="P2712" s="1" t="s">
        <v>375</v>
      </c>
      <c r="Q2712" s="1" t="s">
        <v>101</v>
      </c>
      <c r="R2712" s="1" t="s">
        <v>13686</v>
      </c>
      <c r="S2712" s="1" t="s">
        <v>13634</v>
      </c>
      <c r="T2712" s="1">
        <v>1</v>
      </c>
      <c r="U2712" s="1">
        <v>1</v>
      </c>
      <c r="V2712" s="1">
        <v>1</v>
      </c>
      <c r="W2712" s="1">
        <v>0</v>
      </c>
      <c r="X2712" s="1">
        <v>0</v>
      </c>
      <c r="Y2712" s="1">
        <v>5</v>
      </c>
      <c r="Z2712" s="1">
        <v>5</v>
      </c>
      <c r="AA2712" s="1" t="s">
        <v>104</v>
      </c>
      <c r="AB2712" s="1" t="s">
        <v>104</v>
      </c>
      <c r="AC2712" s="1" t="s">
        <v>104</v>
      </c>
      <c r="AD2712" s="1" t="s">
        <v>104</v>
      </c>
      <c r="AE2712" s="1" t="s">
        <v>104</v>
      </c>
      <c r="AF2712" s="1" t="s">
        <v>104</v>
      </c>
      <c r="AG2712" s="1">
        <v>4</v>
      </c>
      <c r="AH2712" s="1">
        <v>5</v>
      </c>
      <c r="AI2712" s="1" t="s">
        <v>104</v>
      </c>
      <c r="AJ2712" s="1" t="s">
        <v>104</v>
      </c>
      <c r="AK2712" s="1" t="s">
        <v>104</v>
      </c>
      <c r="AL2712" s="1">
        <v>5</v>
      </c>
      <c r="AM2712" s="1" t="s">
        <v>104</v>
      </c>
      <c r="AO2712" s="1">
        <v>5</v>
      </c>
      <c r="AR2712" s="1">
        <v>0</v>
      </c>
      <c r="AS2712" s="1">
        <v>0</v>
      </c>
      <c r="AT2712" s="1">
        <v>0</v>
      </c>
      <c r="AU2712" s="1">
        <v>0</v>
      </c>
      <c r="AV2712" s="1">
        <v>0</v>
      </c>
      <c r="AW2712" s="1">
        <v>0</v>
      </c>
      <c r="AX2712" s="1">
        <v>0</v>
      </c>
      <c r="AY2712" s="1">
        <v>0</v>
      </c>
      <c r="AZ2712" s="1">
        <v>0</v>
      </c>
      <c r="BA2712" s="1">
        <v>0</v>
      </c>
      <c r="BB2712" s="1">
        <v>0</v>
      </c>
      <c r="BC2712" s="1">
        <v>0</v>
      </c>
      <c r="BD2712" s="1">
        <v>0</v>
      </c>
      <c r="BE2712" s="1">
        <v>0</v>
      </c>
      <c r="BF2712" s="1">
        <v>0</v>
      </c>
      <c r="BG2712" s="1">
        <v>0</v>
      </c>
      <c r="BH2712" s="1">
        <v>0</v>
      </c>
      <c r="BI2712" s="1">
        <v>0</v>
      </c>
      <c r="BJ2712" s="1">
        <v>0</v>
      </c>
      <c r="BK2712" s="1">
        <v>0</v>
      </c>
      <c r="BL2712" s="1">
        <v>0</v>
      </c>
      <c r="BM2712" s="1">
        <v>0</v>
      </c>
      <c r="BN2712" s="1">
        <v>0</v>
      </c>
      <c r="BO2712" s="1">
        <v>0</v>
      </c>
      <c r="BP2712" s="1">
        <v>0</v>
      </c>
      <c r="BQ2712" s="1" t="s">
        <v>104</v>
      </c>
      <c r="BR2712" s="1">
        <v>4839</v>
      </c>
      <c r="BS2712" s="1" t="s">
        <v>104</v>
      </c>
      <c r="BX2712" s="1">
        <v>0</v>
      </c>
      <c r="BY2712" s="1" t="s">
        <v>104</v>
      </c>
      <c r="BZ2712" s="1">
        <v>5</v>
      </c>
      <c r="CA2712" s="1">
        <v>5</v>
      </c>
      <c r="CB2712" s="1" t="s">
        <v>104</v>
      </c>
      <c r="CC2712" s="1" t="s">
        <v>104</v>
      </c>
      <c r="CD2712" s="1">
        <v>4</v>
      </c>
      <c r="CE2712" s="1">
        <v>4</v>
      </c>
      <c r="CF2712" s="1" t="s">
        <v>104</v>
      </c>
      <c r="CG2712" s="1" t="s">
        <v>104</v>
      </c>
      <c r="CH2712" s="1" t="s">
        <v>104</v>
      </c>
      <c r="CJ2712" s="1">
        <v>0</v>
      </c>
      <c r="CK2712" s="1">
        <v>0</v>
      </c>
      <c r="CL2712" s="1">
        <v>0</v>
      </c>
      <c r="CM2712" s="1">
        <v>4</v>
      </c>
    </row>
    <row r="2713" spans="1:91" ht="14.25" customHeight="1" x14ac:dyDescent="0.3">
      <c r="A2713" s="1" t="s">
        <v>13687</v>
      </c>
      <c r="B2713" s="1" t="s">
        <v>92</v>
      </c>
      <c r="C2713" s="1" t="s">
        <v>93</v>
      </c>
      <c r="E2713" s="1" t="s">
        <v>13688</v>
      </c>
      <c r="F2713" s="1" t="s">
        <v>95</v>
      </c>
      <c r="G2713" s="1" t="s">
        <v>13689</v>
      </c>
      <c r="H2713" s="1">
        <v>0</v>
      </c>
      <c r="I2713" s="1" t="s">
        <v>109</v>
      </c>
      <c r="L2713" s="1" t="s">
        <v>1065</v>
      </c>
      <c r="M2713" s="1" t="s">
        <v>426</v>
      </c>
      <c r="N2713" s="1">
        <v>1</v>
      </c>
      <c r="O2713" s="1">
        <v>0</v>
      </c>
      <c r="P2713" s="1" t="s">
        <v>1605</v>
      </c>
      <c r="Q2713" s="1" t="s">
        <v>101</v>
      </c>
      <c r="R2713" s="1" t="s">
        <v>13690</v>
      </c>
      <c r="S2713" s="1" t="s">
        <v>13691</v>
      </c>
      <c r="T2713" s="1">
        <v>1</v>
      </c>
      <c r="U2713" s="1">
        <v>1</v>
      </c>
      <c r="V2713" s="1">
        <v>1</v>
      </c>
      <c r="W2713" s="1">
        <v>0</v>
      </c>
      <c r="X2713" s="1">
        <v>1</v>
      </c>
      <c r="Y2713" s="1">
        <v>5</v>
      </c>
      <c r="Z2713" s="1">
        <v>5</v>
      </c>
      <c r="AA2713" s="1">
        <v>5</v>
      </c>
      <c r="AB2713" s="1" t="s">
        <v>104</v>
      </c>
      <c r="AC2713" s="1">
        <v>3</v>
      </c>
      <c r="AD2713" s="1" t="s">
        <v>104</v>
      </c>
      <c r="AE2713" s="1" t="s">
        <v>104</v>
      </c>
      <c r="AF2713" s="1" t="s">
        <v>104</v>
      </c>
      <c r="AG2713" s="1">
        <v>4</v>
      </c>
      <c r="AH2713" s="1">
        <v>5</v>
      </c>
      <c r="AI2713" s="1">
        <v>4</v>
      </c>
      <c r="AJ2713" s="1">
        <v>5</v>
      </c>
      <c r="AK2713" s="1" t="s">
        <v>104</v>
      </c>
      <c r="AL2713" s="1" t="s">
        <v>104</v>
      </c>
      <c r="AM2713" s="1" t="s">
        <v>104</v>
      </c>
      <c r="AO2713" s="1">
        <v>5</v>
      </c>
      <c r="AR2713" s="1">
        <v>0</v>
      </c>
      <c r="AS2713" s="1">
        <v>0</v>
      </c>
      <c r="AT2713" s="1">
        <v>0</v>
      </c>
      <c r="AU2713" s="1">
        <v>0</v>
      </c>
      <c r="AV2713" s="1">
        <v>0</v>
      </c>
      <c r="AW2713" s="1">
        <v>0</v>
      </c>
      <c r="AX2713" s="1">
        <v>0</v>
      </c>
      <c r="AY2713" s="1">
        <v>0</v>
      </c>
      <c r="AZ2713" s="1">
        <v>0</v>
      </c>
      <c r="BA2713" s="1">
        <v>0</v>
      </c>
      <c r="BB2713" s="1">
        <v>0</v>
      </c>
      <c r="BC2713" s="1">
        <v>0</v>
      </c>
      <c r="BD2713" s="1">
        <v>0</v>
      </c>
      <c r="BE2713" s="1">
        <v>0</v>
      </c>
      <c r="BF2713" s="1">
        <v>0</v>
      </c>
      <c r="BG2713" s="1">
        <v>0</v>
      </c>
      <c r="BH2713" s="1">
        <v>0</v>
      </c>
      <c r="BI2713" s="1">
        <v>0</v>
      </c>
      <c r="BJ2713" s="1">
        <v>0</v>
      </c>
      <c r="BK2713" s="1">
        <v>0</v>
      </c>
      <c r="BL2713" s="1">
        <v>0</v>
      </c>
      <c r="BM2713" s="1">
        <v>0</v>
      </c>
      <c r="BN2713" s="1">
        <v>0</v>
      </c>
      <c r="BO2713" s="1">
        <v>0</v>
      </c>
      <c r="BP2713" s="1">
        <v>0</v>
      </c>
      <c r="BQ2713" s="1" t="s">
        <v>104</v>
      </c>
      <c r="BR2713" s="1">
        <v>4840</v>
      </c>
      <c r="BS2713" s="1" t="s">
        <v>104</v>
      </c>
      <c r="BX2713" s="1">
        <v>0</v>
      </c>
      <c r="BY2713" s="1" t="s">
        <v>104</v>
      </c>
      <c r="BZ2713" s="1">
        <v>5</v>
      </c>
      <c r="CA2713" s="1" t="s">
        <v>104</v>
      </c>
      <c r="CB2713" s="1" t="s">
        <v>104</v>
      </c>
      <c r="CC2713" s="1" t="s">
        <v>104</v>
      </c>
      <c r="CD2713" s="1">
        <v>5</v>
      </c>
      <c r="CE2713" s="1" t="s">
        <v>104</v>
      </c>
      <c r="CF2713" s="1" t="s">
        <v>104</v>
      </c>
      <c r="CG2713" s="1" t="s">
        <v>104</v>
      </c>
      <c r="CH2713" s="1">
        <v>3</v>
      </c>
      <c r="CJ2713" s="1">
        <v>0</v>
      </c>
      <c r="CK2713" s="1">
        <v>0</v>
      </c>
      <c r="CL2713" s="1">
        <v>0</v>
      </c>
      <c r="CM2713" s="1">
        <v>4</v>
      </c>
    </row>
    <row r="2714" spans="1:91" ht="14.25" customHeight="1" x14ac:dyDescent="0.3">
      <c r="A2714" s="1" t="s">
        <v>13692</v>
      </c>
      <c r="B2714" s="1" t="s">
        <v>137</v>
      </c>
      <c r="E2714" s="1" t="s">
        <v>13693</v>
      </c>
      <c r="F2714" s="1" t="s">
        <v>95</v>
      </c>
      <c r="G2714" s="1" t="s">
        <v>13694</v>
      </c>
      <c r="H2714" s="1">
        <v>0</v>
      </c>
      <c r="I2714" s="1" t="s">
        <v>109</v>
      </c>
      <c r="L2714" s="1" t="s">
        <v>417</v>
      </c>
      <c r="M2714" s="1" t="s">
        <v>111</v>
      </c>
      <c r="N2714" s="1">
        <v>0</v>
      </c>
      <c r="O2714" s="1">
        <v>0</v>
      </c>
      <c r="P2714" s="1" t="s">
        <v>101</v>
      </c>
      <c r="Q2714" s="1" t="s">
        <v>184</v>
      </c>
      <c r="R2714" s="1" t="s">
        <v>13695</v>
      </c>
      <c r="S2714" s="1" t="s">
        <v>13691</v>
      </c>
      <c r="T2714" s="1">
        <v>1</v>
      </c>
      <c r="U2714" s="1">
        <v>1</v>
      </c>
      <c r="V2714" s="1">
        <v>1</v>
      </c>
      <c r="W2714" s="1">
        <v>0</v>
      </c>
      <c r="X2714" s="1">
        <v>1</v>
      </c>
      <c r="Y2714" s="1">
        <v>3</v>
      </c>
      <c r="Z2714" s="1">
        <v>3</v>
      </c>
      <c r="AA2714" s="1">
        <v>4</v>
      </c>
      <c r="AB2714" s="1" t="s">
        <v>104</v>
      </c>
      <c r="AC2714" s="1" t="s">
        <v>104</v>
      </c>
      <c r="AD2714" s="1" t="s">
        <v>104</v>
      </c>
      <c r="AE2714" s="1" t="s">
        <v>104</v>
      </c>
      <c r="AF2714" s="1" t="s">
        <v>104</v>
      </c>
      <c r="AG2714" s="1" t="s">
        <v>104</v>
      </c>
      <c r="AH2714" s="1">
        <v>3</v>
      </c>
      <c r="AI2714" s="1" t="s">
        <v>104</v>
      </c>
      <c r="AJ2714" s="1">
        <v>4</v>
      </c>
      <c r="AK2714" s="1" t="s">
        <v>104</v>
      </c>
      <c r="AL2714" s="1">
        <v>3</v>
      </c>
      <c r="AM2714" s="1" t="s">
        <v>104</v>
      </c>
      <c r="AO2714" s="1">
        <v>3</v>
      </c>
      <c r="AR2714" s="1">
        <v>0</v>
      </c>
      <c r="AS2714" s="1">
        <v>0</v>
      </c>
      <c r="AT2714" s="1">
        <v>0</v>
      </c>
      <c r="AU2714" s="1">
        <v>0</v>
      </c>
      <c r="AV2714" s="1">
        <v>0</v>
      </c>
      <c r="AW2714" s="1">
        <v>0</v>
      </c>
      <c r="AX2714" s="1">
        <v>0</v>
      </c>
      <c r="AY2714" s="1">
        <v>0</v>
      </c>
      <c r="AZ2714" s="1">
        <v>0</v>
      </c>
      <c r="BA2714" s="1">
        <v>0</v>
      </c>
      <c r="BB2714" s="1">
        <v>0</v>
      </c>
      <c r="BC2714" s="1">
        <v>0</v>
      </c>
      <c r="BD2714" s="1">
        <v>0</v>
      </c>
      <c r="BE2714" s="1">
        <v>0</v>
      </c>
      <c r="BF2714" s="1">
        <v>0</v>
      </c>
      <c r="BG2714" s="1">
        <v>0</v>
      </c>
      <c r="BH2714" s="1">
        <v>0</v>
      </c>
      <c r="BI2714" s="1">
        <v>0</v>
      </c>
      <c r="BJ2714" s="1">
        <v>0</v>
      </c>
      <c r="BK2714" s="1">
        <v>0</v>
      </c>
      <c r="BL2714" s="1">
        <v>0</v>
      </c>
      <c r="BM2714" s="1">
        <v>0</v>
      </c>
      <c r="BN2714" s="1">
        <v>0</v>
      </c>
      <c r="BO2714" s="1">
        <v>0</v>
      </c>
      <c r="BP2714" s="1">
        <v>0</v>
      </c>
      <c r="BQ2714" s="1" t="s">
        <v>104</v>
      </c>
      <c r="BR2714" s="1">
        <v>4841</v>
      </c>
      <c r="BS2714" s="1" t="s">
        <v>104</v>
      </c>
      <c r="BX2714" s="1">
        <v>0</v>
      </c>
      <c r="BY2714" s="1" t="s">
        <v>104</v>
      </c>
      <c r="BZ2714" s="1" t="s">
        <v>104</v>
      </c>
      <c r="CA2714" s="1" t="s">
        <v>104</v>
      </c>
      <c r="CB2714" s="1" t="s">
        <v>104</v>
      </c>
      <c r="CC2714" s="1" t="s">
        <v>104</v>
      </c>
      <c r="CD2714" s="1" t="s">
        <v>104</v>
      </c>
      <c r="CE2714" s="1" t="s">
        <v>104</v>
      </c>
      <c r="CF2714" s="1" t="s">
        <v>104</v>
      </c>
      <c r="CG2714" s="1" t="s">
        <v>104</v>
      </c>
      <c r="CH2714" s="1" t="s">
        <v>104</v>
      </c>
      <c r="CJ2714" s="1">
        <v>0</v>
      </c>
      <c r="CK2714" s="1">
        <v>0</v>
      </c>
      <c r="CL2714" s="1">
        <v>0</v>
      </c>
      <c r="CM2714" s="1" t="s">
        <v>104</v>
      </c>
    </row>
    <row r="2715" spans="1:91" ht="14.25" customHeight="1" x14ac:dyDescent="0.3">
      <c r="A2715" s="1" t="s">
        <v>13696</v>
      </c>
      <c r="B2715" s="1" t="s">
        <v>123</v>
      </c>
      <c r="D2715" s="1" t="s">
        <v>347</v>
      </c>
      <c r="E2715" s="1" t="s">
        <v>13697</v>
      </c>
      <c r="F2715" s="1" t="s">
        <v>95</v>
      </c>
      <c r="G2715" s="1" t="s">
        <v>116</v>
      </c>
      <c r="H2715" s="1">
        <v>0</v>
      </c>
      <c r="I2715" s="1" t="s">
        <v>117</v>
      </c>
      <c r="L2715" s="1" t="s">
        <v>1065</v>
      </c>
      <c r="M2715" s="1" t="s">
        <v>111</v>
      </c>
      <c r="N2715" s="1">
        <v>0</v>
      </c>
      <c r="O2715" s="1">
        <v>0</v>
      </c>
      <c r="P2715" s="1" t="s">
        <v>5901</v>
      </c>
      <c r="Q2715" s="1" t="s">
        <v>184</v>
      </c>
      <c r="R2715" s="1" t="s">
        <v>13698</v>
      </c>
      <c r="S2715" s="1" t="s">
        <v>13691</v>
      </c>
      <c r="T2715" s="1">
        <v>1</v>
      </c>
      <c r="U2715" s="1">
        <v>1</v>
      </c>
      <c r="V2715" s="1">
        <v>0</v>
      </c>
      <c r="W2715" s="1">
        <v>0</v>
      </c>
      <c r="X2715" s="1">
        <v>0</v>
      </c>
      <c r="Y2715" s="1">
        <v>2</v>
      </c>
      <c r="Z2715" s="1">
        <v>2</v>
      </c>
      <c r="AA2715" s="1">
        <v>2</v>
      </c>
      <c r="AB2715" s="1" t="s">
        <v>104</v>
      </c>
      <c r="AC2715" s="1" t="s">
        <v>104</v>
      </c>
      <c r="AD2715" s="1">
        <v>2</v>
      </c>
      <c r="AE2715" s="1" t="s">
        <v>104</v>
      </c>
      <c r="AF2715" s="1" t="s">
        <v>104</v>
      </c>
      <c r="AG2715" s="1" t="s">
        <v>104</v>
      </c>
      <c r="AH2715" s="1">
        <v>2</v>
      </c>
      <c r="AI2715" s="1">
        <v>2</v>
      </c>
      <c r="AJ2715" s="1">
        <v>2</v>
      </c>
      <c r="AK2715" s="1">
        <v>2</v>
      </c>
      <c r="AL2715" s="1" t="s">
        <v>104</v>
      </c>
      <c r="AM2715" s="1" t="s">
        <v>104</v>
      </c>
      <c r="AO2715" s="1">
        <v>2</v>
      </c>
      <c r="AR2715" s="1">
        <v>0</v>
      </c>
      <c r="AS2715" s="1">
        <v>0</v>
      </c>
      <c r="AT2715" s="1">
        <v>0</v>
      </c>
      <c r="AU2715" s="1">
        <v>0</v>
      </c>
      <c r="AV2715" s="1">
        <v>0</v>
      </c>
      <c r="AW2715" s="1">
        <v>0</v>
      </c>
      <c r="AX2715" s="1">
        <v>0</v>
      </c>
      <c r="AY2715" s="1">
        <v>0</v>
      </c>
      <c r="AZ2715" s="1">
        <v>0</v>
      </c>
      <c r="BA2715" s="1">
        <v>0</v>
      </c>
      <c r="BB2715" s="1">
        <v>0</v>
      </c>
      <c r="BC2715" s="1">
        <v>0</v>
      </c>
      <c r="BD2715" s="1">
        <v>1</v>
      </c>
      <c r="BE2715" s="1">
        <v>0</v>
      </c>
      <c r="BF2715" s="1">
        <v>0</v>
      </c>
      <c r="BG2715" s="1">
        <v>0</v>
      </c>
      <c r="BH2715" s="1">
        <v>0</v>
      </c>
      <c r="BI2715" s="1">
        <v>0</v>
      </c>
      <c r="BJ2715" s="1">
        <v>0</v>
      </c>
      <c r="BK2715" s="1">
        <v>1</v>
      </c>
      <c r="BL2715" s="1">
        <v>0</v>
      </c>
      <c r="BM2715" s="1">
        <v>0</v>
      </c>
      <c r="BN2715" s="1">
        <v>0</v>
      </c>
      <c r="BO2715" s="1">
        <v>0</v>
      </c>
      <c r="BP2715" s="1">
        <v>0</v>
      </c>
      <c r="BQ2715" s="1" t="s">
        <v>104</v>
      </c>
      <c r="BR2715" s="1">
        <v>4842</v>
      </c>
      <c r="BS2715" s="1" t="s">
        <v>104</v>
      </c>
      <c r="BX2715" s="1">
        <v>0</v>
      </c>
      <c r="BY2715" s="1" t="s">
        <v>104</v>
      </c>
      <c r="BZ2715" s="1">
        <v>2</v>
      </c>
      <c r="CA2715" s="1">
        <v>2</v>
      </c>
      <c r="CB2715" s="1" t="s">
        <v>104</v>
      </c>
      <c r="CC2715" s="1">
        <v>2</v>
      </c>
      <c r="CD2715" s="1" t="s">
        <v>104</v>
      </c>
      <c r="CE2715" s="1" t="s">
        <v>104</v>
      </c>
      <c r="CF2715" s="1" t="s">
        <v>104</v>
      </c>
      <c r="CG2715" s="1" t="s">
        <v>104</v>
      </c>
      <c r="CH2715" s="1" t="s">
        <v>104</v>
      </c>
      <c r="CJ2715" s="1">
        <v>0</v>
      </c>
      <c r="CK2715" s="1">
        <v>0</v>
      </c>
      <c r="CL2715" s="1">
        <v>0</v>
      </c>
      <c r="CM2715" s="1" t="s">
        <v>104</v>
      </c>
    </row>
    <row r="2716" spans="1:91" ht="14.25" customHeight="1" x14ac:dyDescent="0.3">
      <c r="A2716" s="1" t="s">
        <v>13699</v>
      </c>
      <c r="B2716" s="1" t="s">
        <v>92</v>
      </c>
      <c r="C2716" s="1" t="s">
        <v>93</v>
      </c>
      <c r="E2716" s="1" t="s">
        <v>9648</v>
      </c>
      <c r="F2716" s="1" t="s">
        <v>95</v>
      </c>
      <c r="G2716" s="1" t="s">
        <v>13700</v>
      </c>
      <c r="H2716" s="1">
        <v>0</v>
      </c>
      <c r="I2716" s="1" t="s">
        <v>109</v>
      </c>
      <c r="J2716" s="1" t="s">
        <v>425</v>
      </c>
      <c r="M2716" s="1" t="s">
        <v>2330</v>
      </c>
      <c r="N2716" s="1">
        <v>0</v>
      </c>
      <c r="O2716" s="1">
        <v>0</v>
      </c>
      <c r="P2716" s="1" t="s">
        <v>183</v>
      </c>
      <c r="Q2716" s="1" t="s">
        <v>184</v>
      </c>
      <c r="R2716" s="1" t="s">
        <v>13701</v>
      </c>
      <c r="S2716" s="1" t="s">
        <v>13691</v>
      </c>
      <c r="T2716" s="1">
        <v>1</v>
      </c>
      <c r="U2716" s="1">
        <v>1</v>
      </c>
      <c r="V2716" s="1">
        <v>1</v>
      </c>
      <c r="W2716" s="1">
        <v>0</v>
      </c>
      <c r="X2716" s="1">
        <v>1</v>
      </c>
      <c r="Y2716" s="1" t="s">
        <v>104</v>
      </c>
      <c r="Z2716" s="1" t="s">
        <v>104</v>
      </c>
      <c r="AA2716" s="1" t="s">
        <v>104</v>
      </c>
      <c r="AB2716" s="1">
        <v>2</v>
      </c>
      <c r="AC2716" s="1" t="s">
        <v>104</v>
      </c>
      <c r="AD2716" s="1" t="s">
        <v>104</v>
      </c>
      <c r="AE2716" s="1" t="s">
        <v>104</v>
      </c>
      <c r="AF2716" s="1" t="s">
        <v>104</v>
      </c>
      <c r="AG2716" s="1" t="s">
        <v>104</v>
      </c>
      <c r="AH2716" s="1">
        <v>2</v>
      </c>
      <c r="AI2716" s="1" t="s">
        <v>104</v>
      </c>
      <c r="AJ2716" s="1" t="s">
        <v>104</v>
      </c>
      <c r="AK2716" s="1" t="s">
        <v>104</v>
      </c>
      <c r="AL2716" s="1" t="s">
        <v>104</v>
      </c>
      <c r="AM2716" s="1" t="s">
        <v>104</v>
      </c>
      <c r="AO2716" s="1">
        <v>2</v>
      </c>
      <c r="AR2716" s="1">
        <v>0</v>
      </c>
      <c r="AS2716" s="1">
        <v>0</v>
      </c>
      <c r="AT2716" s="1">
        <v>0</v>
      </c>
      <c r="AU2716" s="1">
        <v>0</v>
      </c>
      <c r="AV2716" s="1">
        <v>0</v>
      </c>
      <c r="AW2716" s="1">
        <v>0</v>
      </c>
      <c r="AX2716" s="1">
        <v>0</v>
      </c>
      <c r="AY2716" s="1">
        <v>0</v>
      </c>
      <c r="AZ2716" s="1">
        <v>0</v>
      </c>
      <c r="BA2716" s="1">
        <v>0</v>
      </c>
      <c r="BB2716" s="1">
        <v>0</v>
      </c>
      <c r="BC2716" s="1">
        <v>0</v>
      </c>
      <c r="BD2716" s="1">
        <v>0</v>
      </c>
      <c r="BE2716" s="1">
        <v>0</v>
      </c>
      <c r="BF2716" s="1">
        <v>0</v>
      </c>
      <c r="BG2716" s="1">
        <v>0</v>
      </c>
      <c r="BH2716" s="1">
        <v>0</v>
      </c>
      <c r="BI2716" s="1">
        <v>0</v>
      </c>
      <c r="BJ2716" s="1">
        <v>0</v>
      </c>
      <c r="BK2716" s="1">
        <v>0</v>
      </c>
      <c r="BL2716" s="1">
        <v>0</v>
      </c>
      <c r="BM2716" s="1">
        <v>0</v>
      </c>
      <c r="BN2716" s="1">
        <v>0</v>
      </c>
      <c r="BO2716" s="1">
        <v>0</v>
      </c>
      <c r="BP2716" s="1">
        <v>0</v>
      </c>
      <c r="BQ2716" s="1" t="s">
        <v>104</v>
      </c>
      <c r="BR2716" s="1">
        <v>4843</v>
      </c>
      <c r="BS2716" s="1" t="s">
        <v>104</v>
      </c>
      <c r="BX2716" s="1">
        <v>0</v>
      </c>
      <c r="BY2716" s="1" t="s">
        <v>104</v>
      </c>
      <c r="BZ2716" s="1">
        <v>2</v>
      </c>
      <c r="CA2716" s="1" t="s">
        <v>104</v>
      </c>
      <c r="CB2716" s="1" t="s">
        <v>104</v>
      </c>
      <c r="CC2716" s="1" t="s">
        <v>104</v>
      </c>
      <c r="CD2716" s="1" t="s">
        <v>104</v>
      </c>
      <c r="CE2716" s="1" t="s">
        <v>104</v>
      </c>
      <c r="CF2716" s="1" t="s">
        <v>104</v>
      </c>
      <c r="CG2716" s="1" t="s">
        <v>104</v>
      </c>
      <c r="CH2716" s="1">
        <v>2</v>
      </c>
      <c r="CJ2716" s="1">
        <v>0</v>
      </c>
      <c r="CK2716" s="1">
        <v>0</v>
      </c>
      <c r="CL2716" s="1">
        <v>0</v>
      </c>
      <c r="CM2716" s="1" t="s">
        <v>104</v>
      </c>
    </row>
    <row r="2717" spans="1:91" ht="14.25" customHeight="1" x14ac:dyDescent="0.3">
      <c r="A2717" s="1" t="s">
        <v>13702</v>
      </c>
      <c r="B2717" s="1" t="s">
        <v>162</v>
      </c>
      <c r="E2717" s="1" t="s">
        <v>13703</v>
      </c>
      <c r="F2717" s="1" t="s">
        <v>95</v>
      </c>
      <c r="G2717" s="1" t="s">
        <v>13704</v>
      </c>
      <c r="H2717" s="1">
        <v>0</v>
      </c>
      <c r="I2717" s="1" t="s">
        <v>157</v>
      </c>
      <c r="L2717" s="1" t="s">
        <v>158</v>
      </c>
      <c r="M2717" s="1" t="s">
        <v>426</v>
      </c>
      <c r="N2717" s="1">
        <v>1</v>
      </c>
      <c r="O2717" s="1">
        <v>0</v>
      </c>
      <c r="R2717" s="1" t="s">
        <v>13705</v>
      </c>
      <c r="S2717" s="1" t="s">
        <v>13691</v>
      </c>
      <c r="T2717" s="1">
        <v>1</v>
      </c>
      <c r="U2717" s="1">
        <v>1</v>
      </c>
      <c r="V2717" s="1">
        <v>1</v>
      </c>
      <c r="W2717" s="1">
        <v>0</v>
      </c>
      <c r="X2717" s="1">
        <v>1</v>
      </c>
      <c r="Y2717" s="1" t="s">
        <v>104</v>
      </c>
      <c r="Z2717" s="1" t="s">
        <v>104</v>
      </c>
      <c r="AA2717" s="1">
        <v>1</v>
      </c>
      <c r="AB2717" s="1" t="s">
        <v>104</v>
      </c>
      <c r="AC2717" s="1" t="s">
        <v>104</v>
      </c>
      <c r="AD2717" s="1" t="s">
        <v>104</v>
      </c>
      <c r="AE2717" s="1" t="s">
        <v>104</v>
      </c>
      <c r="AF2717" s="1" t="s">
        <v>104</v>
      </c>
      <c r="AG2717" s="1" t="s">
        <v>104</v>
      </c>
      <c r="AH2717" s="1">
        <v>1</v>
      </c>
      <c r="AI2717" s="1">
        <v>1</v>
      </c>
      <c r="AJ2717" s="1">
        <v>1</v>
      </c>
      <c r="AK2717" s="1" t="s">
        <v>104</v>
      </c>
      <c r="AL2717" s="1" t="s">
        <v>104</v>
      </c>
      <c r="AM2717" s="1" t="s">
        <v>104</v>
      </c>
      <c r="AO2717" s="1">
        <v>1</v>
      </c>
      <c r="AR2717" s="1">
        <v>0</v>
      </c>
      <c r="AS2717" s="1">
        <v>0</v>
      </c>
      <c r="AT2717" s="1">
        <v>0</v>
      </c>
      <c r="AU2717" s="1">
        <v>0</v>
      </c>
      <c r="AV2717" s="1">
        <v>0</v>
      </c>
      <c r="AW2717" s="1">
        <v>0</v>
      </c>
      <c r="AX2717" s="1">
        <v>0</v>
      </c>
      <c r="AY2717" s="1">
        <v>0</v>
      </c>
      <c r="AZ2717" s="1">
        <v>0</v>
      </c>
      <c r="BA2717" s="1">
        <v>0</v>
      </c>
      <c r="BB2717" s="1">
        <v>0</v>
      </c>
      <c r="BC2717" s="1">
        <v>0</v>
      </c>
      <c r="BD2717" s="1">
        <v>0</v>
      </c>
      <c r="BE2717" s="1">
        <v>0</v>
      </c>
      <c r="BF2717" s="1">
        <v>0</v>
      </c>
      <c r="BG2717" s="1">
        <v>0</v>
      </c>
      <c r="BH2717" s="1">
        <v>0</v>
      </c>
      <c r="BI2717" s="1">
        <v>0</v>
      </c>
      <c r="BJ2717" s="1">
        <v>0</v>
      </c>
      <c r="BK2717" s="1">
        <v>0</v>
      </c>
      <c r="BL2717" s="1">
        <v>0</v>
      </c>
      <c r="BM2717" s="1">
        <v>0</v>
      </c>
      <c r="BN2717" s="1">
        <v>0</v>
      </c>
      <c r="BO2717" s="1">
        <v>0</v>
      </c>
      <c r="BP2717" s="1">
        <v>0</v>
      </c>
      <c r="BQ2717" s="1" t="s">
        <v>104</v>
      </c>
      <c r="BR2717" s="1">
        <v>4844</v>
      </c>
      <c r="BS2717" s="1" t="s">
        <v>104</v>
      </c>
      <c r="BX2717" s="1">
        <v>0</v>
      </c>
      <c r="BY2717" s="1" t="s">
        <v>104</v>
      </c>
      <c r="BZ2717" s="1">
        <v>1</v>
      </c>
      <c r="CA2717" s="1" t="s">
        <v>104</v>
      </c>
      <c r="CB2717" s="1" t="s">
        <v>104</v>
      </c>
      <c r="CC2717" s="1" t="s">
        <v>104</v>
      </c>
      <c r="CD2717" s="1" t="s">
        <v>104</v>
      </c>
      <c r="CE2717" s="1" t="s">
        <v>104</v>
      </c>
      <c r="CF2717" s="1" t="s">
        <v>104</v>
      </c>
      <c r="CG2717" s="1" t="s">
        <v>104</v>
      </c>
      <c r="CH2717" s="1" t="s">
        <v>104</v>
      </c>
      <c r="CJ2717" s="1">
        <v>0</v>
      </c>
      <c r="CK2717" s="1">
        <v>0</v>
      </c>
      <c r="CL2717" s="1">
        <v>0</v>
      </c>
      <c r="CM2717" s="1" t="s">
        <v>104</v>
      </c>
    </row>
    <row r="2718" spans="1:91" ht="14.25" customHeight="1" x14ac:dyDescent="0.3">
      <c r="A2718" s="1" t="s">
        <v>13706</v>
      </c>
      <c r="B2718" s="1" t="s">
        <v>137</v>
      </c>
      <c r="E2718" s="1" t="s">
        <v>13707</v>
      </c>
      <c r="F2718" s="1" t="s">
        <v>95</v>
      </c>
      <c r="G2718" s="1" t="s">
        <v>127</v>
      </c>
      <c r="H2718" s="1">
        <v>0</v>
      </c>
      <c r="I2718" s="1" t="s">
        <v>97</v>
      </c>
      <c r="J2718" s="1" t="s">
        <v>1405</v>
      </c>
      <c r="M2718" s="1" t="s">
        <v>437</v>
      </c>
      <c r="N2718" s="1">
        <v>1</v>
      </c>
      <c r="O2718" s="1">
        <v>0</v>
      </c>
      <c r="P2718" s="1" t="s">
        <v>1406</v>
      </c>
      <c r="Q2718" s="1" t="s">
        <v>101</v>
      </c>
      <c r="R2718" s="1" t="s">
        <v>13708</v>
      </c>
      <c r="S2718" s="1" t="s">
        <v>13691</v>
      </c>
      <c r="T2718" s="1">
        <v>1</v>
      </c>
      <c r="U2718" s="1">
        <v>1</v>
      </c>
      <c r="V2718" s="1">
        <v>0</v>
      </c>
      <c r="W2718" s="1">
        <v>0</v>
      </c>
      <c r="X2718" s="1">
        <v>1</v>
      </c>
      <c r="Y2718" s="1" t="s">
        <v>104</v>
      </c>
      <c r="Z2718" s="1" t="s">
        <v>104</v>
      </c>
      <c r="AA2718" s="1" t="s">
        <v>104</v>
      </c>
      <c r="AB2718" s="1">
        <v>4</v>
      </c>
      <c r="AC2718" s="1">
        <v>4</v>
      </c>
      <c r="AD2718" s="1" t="s">
        <v>104</v>
      </c>
      <c r="AE2718" s="1" t="s">
        <v>104</v>
      </c>
      <c r="AF2718" s="1" t="s">
        <v>104</v>
      </c>
      <c r="AG2718" s="1" t="s">
        <v>104</v>
      </c>
      <c r="AH2718" s="1" t="s">
        <v>104</v>
      </c>
      <c r="AI2718" s="1" t="s">
        <v>104</v>
      </c>
      <c r="AJ2718" s="1" t="s">
        <v>104</v>
      </c>
      <c r="AK2718" s="1" t="s">
        <v>104</v>
      </c>
      <c r="AL2718" s="1" t="s">
        <v>104</v>
      </c>
      <c r="AM2718" s="1" t="s">
        <v>104</v>
      </c>
      <c r="AO2718" s="1">
        <v>4</v>
      </c>
      <c r="AR2718" s="1">
        <v>0</v>
      </c>
      <c r="AS2718" s="1">
        <v>0</v>
      </c>
      <c r="AT2718" s="1">
        <v>0</v>
      </c>
      <c r="AU2718" s="1">
        <v>0</v>
      </c>
      <c r="AV2718" s="1">
        <v>0</v>
      </c>
      <c r="AW2718" s="1">
        <v>0</v>
      </c>
      <c r="AX2718" s="1">
        <v>0</v>
      </c>
      <c r="AY2718" s="1">
        <v>0</v>
      </c>
      <c r="AZ2718" s="1">
        <v>0</v>
      </c>
      <c r="BA2718" s="1">
        <v>0</v>
      </c>
      <c r="BB2718" s="1">
        <v>0</v>
      </c>
      <c r="BC2718" s="1">
        <v>0</v>
      </c>
      <c r="BD2718" s="1">
        <v>0</v>
      </c>
      <c r="BE2718" s="1">
        <v>0</v>
      </c>
      <c r="BF2718" s="1">
        <v>0</v>
      </c>
      <c r="BG2718" s="1">
        <v>0</v>
      </c>
      <c r="BH2718" s="1">
        <v>0</v>
      </c>
      <c r="BI2718" s="1">
        <v>0</v>
      </c>
      <c r="BJ2718" s="1">
        <v>0</v>
      </c>
      <c r="BK2718" s="1">
        <v>0</v>
      </c>
      <c r="BL2718" s="1">
        <v>0</v>
      </c>
      <c r="BM2718" s="1">
        <v>0</v>
      </c>
      <c r="BN2718" s="1">
        <v>0</v>
      </c>
      <c r="BO2718" s="1">
        <v>0</v>
      </c>
      <c r="BP2718" s="1">
        <v>0</v>
      </c>
      <c r="BQ2718" s="1" t="s">
        <v>104</v>
      </c>
      <c r="BR2718" s="1">
        <v>4845</v>
      </c>
      <c r="BS2718" s="1" t="s">
        <v>104</v>
      </c>
      <c r="BX2718" s="1">
        <v>0</v>
      </c>
      <c r="BY2718" s="1" t="s">
        <v>104</v>
      </c>
      <c r="BZ2718" s="1">
        <v>4</v>
      </c>
      <c r="CA2718" s="1" t="s">
        <v>104</v>
      </c>
      <c r="CB2718" s="1" t="s">
        <v>104</v>
      </c>
      <c r="CC2718" s="1" t="s">
        <v>104</v>
      </c>
      <c r="CD2718" s="1" t="s">
        <v>104</v>
      </c>
      <c r="CE2718" s="1" t="s">
        <v>104</v>
      </c>
      <c r="CF2718" s="1" t="s">
        <v>104</v>
      </c>
      <c r="CG2718" s="1" t="s">
        <v>104</v>
      </c>
      <c r="CH2718" s="1">
        <v>4</v>
      </c>
      <c r="CJ2718" s="1">
        <v>0</v>
      </c>
      <c r="CK2718" s="1">
        <v>0</v>
      </c>
      <c r="CL2718" s="1">
        <v>0</v>
      </c>
      <c r="CM2718" s="1" t="s">
        <v>104</v>
      </c>
    </row>
    <row r="2719" spans="1:91" ht="14.25" customHeight="1" x14ac:dyDescent="0.3">
      <c r="A2719" s="1" t="s">
        <v>13709</v>
      </c>
      <c r="B2719" s="1" t="s">
        <v>137</v>
      </c>
      <c r="E2719" s="1" t="s">
        <v>13710</v>
      </c>
      <c r="F2719" s="1" t="s">
        <v>95</v>
      </c>
      <c r="G2719" s="1" t="s">
        <v>13711</v>
      </c>
      <c r="H2719" s="1">
        <v>0</v>
      </c>
      <c r="I2719" s="1" t="s">
        <v>157</v>
      </c>
      <c r="L2719" s="1" t="s">
        <v>158</v>
      </c>
      <c r="M2719" s="1" t="s">
        <v>13712</v>
      </c>
      <c r="N2719" s="1">
        <v>0</v>
      </c>
      <c r="O2719" s="1">
        <v>0</v>
      </c>
      <c r="R2719" s="1" t="s">
        <v>13713</v>
      </c>
      <c r="S2719" s="1" t="s">
        <v>13691</v>
      </c>
      <c r="T2719" s="1">
        <v>1</v>
      </c>
      <c r="U2719" s="1">
        <v>1</v>
      </c>
      <c r="V2719" s="1">
        <v>1</v>
      </c>
      <c r="W2719" s="1">
        <v>0</v>
      </c>
      <c r="X2719" s="1">
        <v>1</v>
      </c>
      <c r="Y2719" s="1">
        <v>3</v>
      </c>
      <c r="Z2719" s="1">
        <v>3</v>
      </c>
      <c r="AA2719" s="1" t="s">
        <v>104</v>
      </c>
      <c r="AB2719" s="1" t="s">
        <v>104</v>
      </c>
      <c r="AC2719" s="1" t="s">
        <v>104</v>
      </c>
      <c r="AD2719" s="1" t="s">
        <v>104</v>
      </c>
      <c r="AE2719" s="1" t="s">
        <v>104</v>
      </c>
      <c r="AF2719" s="1" t="s">
        <v>104</v>
      </c>
      <c r="AG2719" s="1" t="s">
        <v>104</v>
      </c>
      <c r="AH2719" s="1">
        <v>3</v>
      </c>
      <c r="AI2719" s="1" t="s">
        <v>104</v>
      </c>
      <c r="AJ2719" s="1" t="s">
        <v>104</v>
      </c>
      <c r="AK2719" s="1" t="s">
        <v>104</v>
      </c>
      <c r="AL2719" s="1" t="s">
        <v>104</v>
      </c>
      <c r="AM2719" s="1" t="s">
        <v>104</v>
      </c>
      <c r="AO2719" s="1">
        <v>3</v>
      </c>
      <c r="AR2719" s="1">
        <v>0</v>
      </c>
      <c r="AS2719" s="1">
        <v>0</v>
      </c>
      <c r="AT2719" s="1">
        <v>0</v>
      </c>
      <c r="AU2719" s="1">
        <v>0</v>
      </c>
      <c r="AV2719" s="1">
        <v>0</v>
      </c>
      <c r="AW2719" s="1">
        <v>0</v>
      </c>
      <c r="AX2719" s="1">
        <v>0</v>
      </c>
      <c r="AY2719" s="1">
        <v>0</v>
      </c>
      <c r="AZ2719" s="1">
        <v>0</v>
      </c>
      <c r="BA2719" s="1">
        <v>0</v>
      </c>
      <c r="BB2719" s="1">
        <v>0</v>
      </c>
      <c r="BC2719" s="1">
        <v>0</v>
      </c>
      <c r="BD2719" s="1">
        <v>0</v>
      </c>
      <c r="BE2719" s="1">
        <v>0</v>
      </c>
      <c r="BF2719" s="1">
        <v>0</v>
      </c>
      <c r="BG2719" s="1">
        <v>0</v>
      </c>
      <c r="BH2719" s="1">
        <v>0</v>
      </c>
      <c r="BI2719" s="1">
        <v>0</v>
      </c>
      <c r="BJ2719" s="1">
        <v>0</v>
      </c>
      <c r="BK2719" s="1">
        <v>0</v>
      </c>
      <c r="BL2719" s="1">
        <v>0</v>
      </c>
      <c r="BM2719" s="1">
        <v>0</v>
      </c>
      <c r="BN2719" s="1">
        <v>0</v>
      </c>
      <c r="BO2719" s="1">
        <v>0</v>
      </c>
      <c r="BP2719" s="1">
        <v>0</v>
      </c>
      <c r="BQ2719" s="1" t="s">
        <v>104</v>
      </c>
      <c r="BR2719" s="1">
        <v>4846</v>
      </c>
      <c r="BS2719" s="1" t="s">
        <v>104</v>
      </c>
      <c r="BX2719" s="1">
        <v>0</v>
      </c>
      <c r="BY2719" s="1" t="s">
        <v>104</v>
      </c>
      <c r="BZ2719" s="1" t="s">
        <v>104</v>
      </c>
      <c r="CA2719" s="1" t="s">
        <v>104</v>
      </c>
      <c r="CB2719" s="1">
        <v>3</v>
      </c>
      <c r="CC2719" s="1" t="s">
        <v>104</v>
      </c>
      <c r="CD2719" s="1" t="s">
        <v>104</v>
      </c>
      <c r="CE2719" s="1" t="s">
        <v>104</v>
      </c>
      <c r="CF2719" s="1" t="s">
        <v>104</v>
      </c>
      <c r="CG2719" s="1" t="s">
        <v>104</v>
      </c>
      <c r="CH2719" s="1" t="s">
        <v>104</v>
      </c>
      <c r="CJ2719" s="1">
        <v>0</v>
      </c>
      <c r="CK2719" s="1">
        <v>0</v>
      </c>
      <c r="CL2719" s="1">
        <v>0</v>
      </c>
      <c r="CM2719" s="1" t="s">
        <v>104</v>
      </c>
    </row>
    <row r="2720" spans="1:91" ht="14.25" customHeight="1" x14ac:dyDescent="0.3">
      <c r="A2720" s="1" t="s">
        <v>13714</v>
      </c>
      <c r="B2720" s="1" t="s">
        <v>172</v>
      </c>
      <c r="E2720" s="1" t="s">
        <v>13715</v>
      </c>
      <c r="F2720" s="1" t="s">
        <v>95</v>
      </c>
      <c r="G2720" s="1" t="s">
        <v>13716</v>
      </c>
      <c r="H2720" s="1">
        <v>1</v>
      </c>
      <c r="I2720" s="1" t="s">
        <v>157</v>
      </c>
      <c r="L2720" s="1" t="s">
        <v>158</v>
      </c>
      <c r="M2720" s="1" t="s">
        <v>13717</v>
      </c>
      <c r="N2720" s="1">
        <v>0</v>
      </c>
      <c r="O2720" s="1">
        <v>0</v>
      </c>
      <c r="R2720" s="1" t="s">
        <v>13718</v>
      </c>
      <c r="S2720" s="1" t="s">
        <v>13691</v>
      </c>
      <c r="T2720" s="1">
        <v>1</v>
      </c>
      <c r="U2720" s="1">
        <v>1</v>
      </c>
      <c r="V2720" s="1">
        <v>0</v>
      </c>
      <c r="W2720" s="1">
        <v>0</v>
      </c>
      <c r="X2720" s="1">
        <v>0</v>
      </c>
      <c r="Y2720" s="1" t="s">
        <v>104</v>
      </c>
      <c r="Z2720" s="1" t="s">
        <v>104</v>
      </c>
      <c r="AA2720" s="1" t="s">
        <v>104</v>
      </c>
      <c r="AB2720" s="1">
        <v>9</v>
      </c>
      <c r="AC2720" s="1" t="s">
        <v>104</v>
      </c>
      <c r="AD2720" s="1" t="s">
        <v>104</v>
      </c>
      <c r="AE2720" s="1" t="s">
        <v>104</v>
      </c>
      <c r="AF2720" s="1" t="s">
        <v>104</v>
      </c>
      <c r="AG2720" s="1" t="s">
        <v>104</v>
      </c>
      <c r="AH2720" s="1">
        <v>9</v>
      </c>
      <c r="AI2720" s="1" t="s">
        <v>104</v>
      </c>
      <c r="AJ2720" s="1" t="s">
        <v>104</v>
      </c>
      <c r="AK2720" s="1" t="s">
        <v>104</v>
      </c>
      <c r="AL2720" s="1" t="s">
        <v>104</v>
      </c>
      <c r="AM2720" s="1" t="s">
        <v>104</v>
      </c>
      <c r="AO2720" s="1">
        <v>9</v>
      </c>
      <c r="AR2720" s="1">
        <v>0</v>
      </c>
      <c r="AS2720" s="1">
        <v>0</v>
      </c>
      <c r="AT2720" s="1">
        <v>0</v>
      </c>
      <c r="AU2720" s="1">
        <v>0</v>
      </c>
      <c r="AV2720" s="1">
        <v>0</v>
      </c>
      <c r="AW2720" s="1">
        <v>0</v>
      </c>
      <c r="AX2720" s="1">
        <v>0</v>
      </c>
      <c r="AY2720" s="1">
        <v>0</v>
      </c>
      <c r="AZ2720" s="1">
        <v>0</v>
      </c>
      <c r="BA2720" s="1">
        <v>0</v>
      </c>
      <c r="BB2720" s="1">
        <v>0</v>
      </c>
      <c r="BC2720" s="1">
        <v>0</v>
      </c>
      <c r="BD2720" s="1">
        <v>0</v>
      </c>
      <c r="BE2720" s="1">
        <v>0</v>
      </c>
      <c r="BF2720" s="1">
        <v>0</v>
      </c>
      <c r="BG2720" s="1">
        <v>0</v>
      </c>
      <c r="BH2720" s="1">
        <v>0</v>
      </c>
      <c r="BI2720" s="1">
        <v>0</v>
      </c>
      <c r="BJ2720" s="1">
        <v>0</v>
      </c>
      <c r="BK2720" s="1">
        <v>0</v>
      </c>
      <c r="BL2720" s="1">
        <v>0</v>
      </c>
      <c r="BM2720" s="1">
        <v>0</v>
      </c>
      <c r="BN2720" s="1">
        <v>0</v>
      </c>
      <c r="BO2720" s="1">
        <v>0</v>
      </c>
      <c r="BP2720" s="1">
        <v>0</v>
      </c>
      <c r="BQ2720" s="1" t="s">
        <v>104</v>
      </c>
      <c r="BR2720" s="1">
        <v>4847</v>
      </c>
      <c r="BS2720" s="1">
        <v>729</v>
      </c>
      <c r="BX2720" s="1">
        <v>0</v>
      </c>
      <c r="BY2720" s="1" t="s">
        <v>104</v>
      </c>
      <c r="BZ2720" s="1" t="s">
        <v>104</v>
      </c>
      <c r="CA2720" s="1">
        <v>9</v>
      </c>
      <c r="CB2720" s="1" t="s">
        <v>104</v>
      </c>
      <c r="CC2720" s="1" t="s">
        <v>104</v>
      </c>
      <c r="CD2720" s="1" t="s">
        <v>104</v>
      </c>
      <c r="CE2720" s="1" t="s">
        <v>104</v>
      </c>
      <c r="CF2720" s="1" t="s">
        <v>104</v>
      </c>
      <c r="CG2720" s="1" t="s">
        <v>104</v>
      </c>
      <c r="CH2720" s="1" t="s">
        <v>104</v>
      </c>
      <c r="CJ2720" s="1">
        <v>0</v>
      </c>
      <c r="CK2720" s="1">
        <v>0</v>
      </c>
      <c r="CL2720" s="1">
        <v>0</v>
      </c>
      <c r="CM2720" s="1" t="s">
        <v>104</v>
      </c>
    </row>
    <row r="2721" spans="1:91" ht="14.25" customHeight="1" x14ac:dyDescent="0.3">
      <c r="A2721" s="1" t="s">
        <v>13719</v>
      </c>
      <c r="B2721" s="1" t="s">
        <v>172</v>
      </c>
      <c r="E2721" s="1" t="s">
        <v>13720</v>
      </c>
      <c r="F2721" s="1" t="s">
        <v>95</v>
      </c>
      <c r="G2721" s="1" t="s">
        <v>13711</v>
      </c>
      <c r="H2721" s="1">
        <v>0</v>
      </c>
      <c r="I2721" s="1" t="s">
        <v>157</v>
      </c>
      <c r="L2721" s="1" t="s">
        <v>158</v>
      </c>
      <c r="M2721" s="1" t="s">
        <v>13721</v>
      </c>
      <c r="N2721" s="1">
        <v>0</v>
      </c>
      <c r="O2721" s="1">
        <v>0</v>
      </c>
      <c r="R2721" s="1" t="s">
        <v>13722</v>
      </c>
      <c r="S2721" s="1" t="s">
        <v>13691</v>
      </c>
      <c r="T2721" s="1">
        <v>1</v>
      </c>
      <c r="U2721" s="1">
        <v>1</v>
      </c>
      <c r="V2721" s="1">
        <v>1</v>
      </c>
      <c r="W2721" s="1">
        <v>0</v>
      </c>
      <c r="X2721" s="1">
        <v>1</v>
      </c>
      <c r="Y2721" s="1">
        <v>3</v>
      </c>
      <c r="Z2721" s="1">
        <v>3</v>
      </c>
      <c r="AA2721" s="1" t="s">
        <v>104</v>
      </c>
      <c r="AB2721" s="1" t="s">
        <v>104</v>
      </c>
      <c r="AC2721" s="1" t="s">
        <v>104</v>
      </c>
      <c r="AD2721" s="1">
        <v>3</v>
      </c>
      <c r="AE2721" s="1" t="s">
        <v>104</v>
      </c>
      <c r="AF2721" s="1" t="s">
        <v>104</v>
      </c>
      <c r="AG2721" s="1" t="s">
        <v>104</v>
      </c>
      <c r="AH2721" s="1">
        <v>3</v>
      </c>
      <c r="AI2721" s="1" t="s">
        <v>104</v>
      </c>
      <c r="AJ2721" s="1" t="s">
        <v>104</v>
      </c>
      <c r="AK2721" s="1" t="s">
        <v>104</v>
      </c>
      <c r="AL2721" s="1" t="s">
        <v>104</v>
      </c>
      <c r="AM2721" s="1" t="s">
        <v>104</v>
      </c>
      <c r="AO2721" s="1">
        <v>3</v>
      </c>
      <c r="AR2721" s="1">
        <v>0</v>
      </c>
      <c r="AS2721" s="1">
        <v>0</v>
      </c>
      <c r="AT2721" s="1">
        <v>0</v>
      </c>
      <c r="AU2721" s="1">
        <v>0</v>
      </c>
      <c r="AV2721" s="1">
        <v>0</v>
      </c>
      <c r="AW2721" s="1">
        <v>0</v>
      </c>
      <c r="AX2721" s="1">
        <v>0</v>
      </c>
      <c r="AY2721" s="1">
        <v>0</v>
      </c>
      <c r="AZ2721" s="1">
        <v>0</v>
      </c>
      <c r="BA2721" s="1">
        <v>0</v>
      </c>
      <c r="BB2721" s="1">
        <v>0</v>
      </c>
      <c r="BC2721" s="1">
        <v>0</v>
      </c>
      <c r="BD2721" s="1">
        <v>0</v>
      </c>
      <c r="BE2721" s="1">
        <v>0</v>
      </c>
      <c r="BF2721" s="1">
        <v>0</v>
      </c>
      <c r="BG2721" s="1">
        <v>0</v>
      </c>
      <c r="BH2721" s="1">
        <v>0</v>
      </c>
      <c r="BI2721" s="1">
        <v>0</v>
      </c>
      <c r="BJ2721" s="1">
        <v>0</v>
      </c>
      <c r="BK2721" s="1">
        <v>0</v>
      </c>
      <c r="BL2721" s="1">
        <v>0</v>
      </c>
      <c r="BM2721" s="1">
        <v>0</v>
      </c>
      <c r="BN2721" s="1">
        <v>0</v>
      </c>
      <c r="BO2721" s="1">
        <v>0</v>
      </c>
      <c r="BP2721" s="1">
        <v>0</v>
      </c>
      <c r="BQ2721" s="1" t="s">
        <v>104</v>
      </c>
      <c r="BR2721" s="1">
        <v>4848</v>
      </c>
      <c r="BS2721" s="1" t="s">
        <v>104</v>
      </c>
      <c r="BX2721" s="1">
        <v>0</v>
      </c>
      <c r="BY2721" s="1" t="s">
        <v>104</v>
      </c>
      <c r="BZ2721" s="1" t="s">
        <v>104</v>
      </c>
      <c r="CA2721" s="1">
        <v>3</v>
      </c>
      <c r="CB2721" s="1">
        <v>3</v>
      </c>
      <c r="CC2721" s="1" t="s">
        <v>104</v>
      </c>
      <c r="CD2721" s="1">
        <v>3</v>
      </c>
      <c r="CE2721" s="1" t="s">
        <v>104</v>
      </c>
      <c r="CF2721" s="1" t="s">
        <v>104</v>
      </c>
      <c r="CG2721" s="1" t="s">
        <v>104</v>
      </c>
      <c r="CH2721" s="1" t="s">
        <v>104</v>
      </c>
      <c r="CJ2721" s="1">
        <v>0</v>
      </c>
      <c r="CK2721" s="1">
        <v>0</v>
      </c>
      <c r="CL2721" s="1">
        <v>0</v>
      </c>
      <c r="CM2721" s="1" t="s">
        <v>104</v>
      </c>
    </row>
    <row r="2722" spans="1:91" ht="14.25" customHeight="1" x14ac:dyDescent="0.3">
      <c r="A2722" s="1" t="s">
        <v>13723</v>
      </c>
      <c r="B2722" s="1" t="s">
        <v>92</v>
      </c>
      <c r="C2722" s="1" t="s">
        <v>903</v>
      </c>
      <c r="E2722" s="1" t="s">
        <v>13724</v>
      </c>
      <c r="F2722" s="1" t="s">
        <v>95</v>
      </c>
      <c r="G2722" s="1" t="s">
        <v>116</v>
      </c>
      <c r="H2722" s="1">
        <v>0</v>
      </c>
      <c r="I2722" s="1" t="s">
        <v>117</v>
      </c>
      <c r="K2722" s="1" t="s">
        <v>13725</v>
      </c>
      <c r="M2722" s="1" t="s">
        <v>111</v>
      </c>
      <c r="N2722" s="1">
        <v>0</v>
      </c>
      <c r="O2722" s="1">
        <v>0</v>
      </c>
      <c r="P2722" s="1" t="s">
        <v>100</v>
      </c>
      <c r="Q2722" s="1" t="s">
        <v>101</v>
      </c>
      <c r="R2722" s="1" t="s">
        <v>13726</v>
      </c>
      <c r="S2722" s="1" t="s">
        <v>13691</v>
      </c>
      <c r="T2722" s="1">
        <v>1</v>
      </c>
      <c r="U2722" s="1">
        <v>1</v>
      </c>
      <c r="V2722" s="1">
        <v>0</v>
      </c>
      <c r="W2722" s="1">
        <v>0</v>
      </c>
      <c r="X2722" s="1">
        <v>0</v>
      </c>
      <c r="Y2722" s="1">
        <v>2</v>
      </c>
      <c r="Z2722" s="1">
        <v>2</v>
      </c>
      <c r="AA2722" s="1">
        <v>2</v>
      </c>
      <c r="AB2722" s="1" t="s">
        <v>104</v>
      </c>
      <c r="AC2722" s="1">
        <v>1</v>
      </c>
      <c r="AD2722" s="1">
        <v>2</v>
      </c>
      <c r="AE2722" s="1" t="s">
        <v>104</v>
      </c>
      <c r="AF2722" s="1" t="s">
        <v>104</v>
      </c>
      <c r="AG2722" s="1" t="s">
        <v>104</v>
      </c>
      <c r="AH2722" s="1" t="s">
        <v>104</v>
      </c>
      <c r="AI2722" s="1">
        <v>2</v>
      </c>
      <c r="AJ2722" s="1">
        <v>2</v>
      </c>
      <c r="AK2722" s="1" t="s">
        <v>104</v>
      </c>
      <c r="AL2722" s="1" t="s">
        <v>104</v>
      </c>
      <c r="AM2722" s="1" t="s">
        <v>104</v>
      </c>
      <c r="AO2722" s="1">
        <v>2</v>
      </c>
      <c r="AR2722" s="1">
        <v>0</v>
      </c>
      <c r="AS2722" s="1">
        <v>0</v>
      </c>
      <c r="AT2722" s="1">
        <v>0</v>
      </c>
      <c r="AU2722" s="1">
        <v>0</v>
      </c>
      <c r="AV2722" s="1">
        <v>0</v>
      </c>
      <c r="AW2722" s="1">
        <v>0</v>
      </c>
      <c r="AX2722" s="1">
        <v>0</v>
      </c>
      <c r="AY2722" s="1">
        <v>0</v>
      </c>
      <c r="AZ2722" s="1">
        <v>0</v>
      </c>
      <c r="BA2722" s="1">
        <v>0</v>
      </c>
      <c r="BB2722" s="1">
        <v>0</v>
      </c>
      <c r="BC2722" s="1">
        <v>0</v>
      </c>
      <c r="BD2722" s="1">
        <v>0</v>
      </c>
      <c r="BE2722" s="1">
        <v>0</v>
      </c>
      <c r="BF2722" s="1">
        <v>0</v>
      </c>
      <c r="BG2722" s="1">
        <v>0</v>
      </c>
      <c r="BH2722" s="1">
        <v>0</v>
      </c>
      <c r="BI2722" s="1">
        <v>0</v>
      </c>
      <c r="BJ2722" s="1">
        <v>0</v>
      </c>
      <c r="BK2722" s="1">
        <v>0</v>
      </c>
      <c r="BL2722" s="1">
        <v>0</v>
      </c>
      <c r="BM2722" s="1">
        <v>0</v>
      </c>
      <c r="BN2722" s="1">
        <v>0</v>
      </c>
      <c r="BO2722" s="1">
        <v>0</v>
      </c>
      <c r="BP2722" s="1">
        <v>0</v>
      </c>
      <c r="BQ2722" s="1" t="s">
        <v>104</v>
      </c>
      <c r="BR2722" s="1">
        <v>4849</v>
      </c>
      <c r="BS2722" s="1" t="s">
        <v>104</v>
      </c>
      <c r="BX2722" s="1">
        <v>0</v>
      </c>
      <c r="BY2722" s="1" t="s">
        <v>104</v>
      </c>
      <c r="BZ2722" s="1" t="s">
        <v>104</v>
      </c>
      <c r="CA2722" s="1">
        <v>2</v>
      </c>
      <c r="CB2722" s="1">
        <v>1</v>
      </c>
      <c r="CC2722" s="1" t="s">
        <v>104</v>
      </c>
      <c r="CD2722" s="1" t="s">
        <v>104</v>
      </c>
      <c r="CE2722" s="1" t="s">
        <v>104</v>
      </c>
      <c r="CF2722" s="1" t="s">
        <v>104</v>
      </c>
      <c r="CG2722" s="1" t="s">
        <v>104</v>
      </c>
      <c r="CH2722" s="1">
        <v>1</v>
      </c>
      <c r="CJ2722" s="1">
        <v>0</v>
      </c>
      <c r="CK2722" s="1">
        <v>0</v>
      </c>
      <c r="CL2722" s="1">
        <v>0</v>
      </c>
      <c r="CM2722" s="1" t="s">
        <v>104</v>
      </c>
    </row>
    <row r="2723" spans="1:91" ht="14.25" customHeight="1" x14ac:dyDescent="0.3">
      <c r="A2723" s="1" t="s">
        <v>13727</v>
      </c>
      <c r="B2723" s="1" t="s">
        <v>92</v>
      </c>
      <c r="C2723" s="1" t="s">
        <v>903</v>
      </c>
      <c r="E2723" s="1" t="s">
        <v>13728</v>
      </c>
      <c r="F2723" s="1" t="s">
        <v>95</v>
      </c>
      <c r="G2723" s="1" t="s">
        <v>116</v>
      </c>
      <c r="H2723" s="1">
        <v>0</v>
      </c>
      <c r="I2723" s="1" t="s">
        <v>117</v>
      </c>
      <c r="K2723" s="1" t="s">
        <v>13729</v>
      </c>
      <c r="M2723" s="1" t="s">
        <v>111</v>
      </c>
      <c r="N2723" s="1">
        <v>0</v>
      </c>
      <c r="O2723" s="1">
        <v>0</v>
      </c>
      <c r="P2723" s="1" t="s">
        <v>100</v>
      </c>
      <c r="Q2723" s="1" t="s">
        <v>101</v>
      </c>
      <c r="R2723" s="1" t="s">
        <v>13730</v>
      </c>
      <c r="S2723" s="1" t="s">
        <v>13691</v>
      </c>
      <c r="T2723" s="1">
        <v>1</v>
      </c>
      <c r="U2723" s="1">
        <v>1</v>
      </c>
      <c r="V2723" s="1">
        <v>0</v>
      </c>
      <c r="W2723" s="1">
        <v>0</v>
      </c>
      <c r="X2723" s="1">
        <v>0</v>
      </c>
      <c r="Y2723" s="1">
        <v>5</v>
      </c>
      <c r="Z2723" s="1">
        <v>5</v>
      </c>
      <c r="AA2723" s="1">
        <v>5</v>
      </c>
      <c r="AB2723" s="1" t="s">
        <v>104</v>
      </c>
      <c r="AC2723" s="1">
        <v>3</v>
      </c>
      <c r="AD2723" s="1">
        <v>4</v>
      </c>
      <c r="AE2723" s="1" t="s">
        <v>104</v>
      </c>
      <c r="AF2723" s="1" t="s">
        <v>104</v>
      </c>
      <c r="AG2723" s="1" t="s">
        <v>104</v>
      </c>
      <c r="AH2723" s="1" t="s">
        <v>104</v>
      </c>
      <c r="AI2723" s="1">
        <v>4</v>
      </c>
      <c r="AJ2723" s="1">
        <v>5</v>
      </c>
      <c r="AK2723" s="1" t="s">
        <v>104</v>
      </c>
      <c r="AL2723" s="1" t="s">
        <v>104</v>
      </c>
      <c r="AM2723" s="1" t="s">
        <v>104</v>
      </c>
      <c r="AO2723" s="1">
        <v>5</v>
      </c>
      <c r="AR2723" s="1">
        <v>0</v>
      </c>
      <c r="AS2723" s="1">
        <v>0</v>
      </c>
      <c r="AT2723" s="1">
        <v>0</v>
      </c>
      <c r="AU2723" s="1">
        <v>0</v>
      </c>
      <c r="AV2723" s="1">
        <v>0</v>
      </c>
      <c r="AW2723" s="1">
        <v>0</v>
      </c>
      <c r="AX2723" s="1">
        <v>0</v>
      </c>
      <c r="AY2723" s="1">
        <v>0</v>
      </c>
      <c r="AZ2723" s="1">
        <v>0</v>
      </c>
      <c r="BA2723" s="1">
        <v>0</v>
      </c>
      <c r="BB2723" s="1">
        <v>0</v>
      </c>
      <c r="BC2723" s="1">
        <v>0</v>
      </c>
      <c r="BD2723" s="1">
        <v>0</v>
      </c>
      <c r="BE2723" s="1">
        <v>0</v>
      </c>
      <c r="BF2723" s="1">
        <v>0</v>
      </c>
      <c r="BG2723" s="1">
        <v>0</v>
      </c>
      <c r="BH2723" s="1">
        <v>0</v>
      </c>
      <c r="BI2723" s="1">
        <v>0</v>
      </c>
      <c r="BJ2723" s="1">
        <v>0</v>
      </c>
      <c r="BK2723" s="1">
        <v>0</v>
      </c>
      <c r="BL2723" s="1">
        <v>0</v>
      </c>
      <c r="BM2723" s="1">
        <v>0</v>
      </c>
      <c r="BN2723" s="1">
        <v>0</v>
      </c>
      <c r="BO2723" s="1">
        <v>0</v>
      </c>
      <c r="BP2723" s="1">
        <v>0</v>
      </c>
      <c r="BQ2723" s="1" t="s">
        <v>104</v>
      </c>
      <c r="BR2723" s="1">
        <v>4850</v>
      </c>
      <c r="BS2723" s="1" t="s">
        <v>104</v>
      </c>
      <c r="BX2723" s="1">
        <v>0</v>
      </c>
      <c r="BY2723" s="1" t="s">
        <v>104</v>
      </c>
      <c r="BZ2723" s="1" t="s">
        <v>104</v>
      </c>
      <c r="CA2723" s="1">
        <v>5</v>
      </c>
      <c r="CB2723" s="1">
        <v>3</v>
      </c>
      <c r="CC2723" s="1" t="s">
        <v>104</v>
      </c>
      <c r="CD2723" s="1" t="s">
        <v>104</v>
      </c>
      <c r="CE2723" s="1" t="s">
        <v>104</v>
      </c>
      <c r="CF2723" s="1" t="s">
        <v>104</v>
      </c>
      <c r="CG2723" s="1" t="s">
        <v>104</v>
      </c>
      <c r="CH2723" s="1">
        <v>3</v>
      </c>
      <c r="CJ2723" s="1">
        <v>0</v>
      </c>
      <c r="CK2723" s="1">
        <v>0</v>
      </c>
      <c r="CL2723" s="1">
        <v>0</v>
      </c>
      <c r="CM2723" s="1" t="s">
        <v>104</v>
      </c>
    </row>
    <row r="2724" spans="1:91" ht="14.25" customHeight="1" x14ac:dyDescent="0.3">
      <c r="A2724" s="1" t="s">
        <v>13731</v>
      </c>
      <c r="B2724" s="1" t="s">
        <v>137</v>
      </c>
      <c r="E2724" s="1" t="s">
        <v>13732</v>
      </c>
      <c r="F2724" s="1" t="s">
        <v>4934</v>
      </c>
      <c r="G2724" s="1" t="s">
        <v>13733</v>
      </c>
      <c r="H2724" s="1">
        <v>1</v>
      </c>
      <c r="I2724" s="1" t="s">
        <v>157</v>
      </c>
      <c r="L2724" s="1" t="s">
        <v>158</v>
      </c>
      <c r="M2724" s="1" t="s">
        <v>119</v>
      </c>
      <c r="N2724" s="1">
        <v>0</v>
      </c>
      <c r="O2724" s="1">
        <v>0</v>
      </c>
      <c r="R2724" s="1" t="s">
        <v>13734</v>
      </c>
      <c r="S2724" s="1" t="s">
        <v>13691</v>
      </c>
      <c r="T2724" s="1">
        <v>1</v>
      </c>
      <c r="U2724" s="1">
        <v>1</v>
      </c>
      <c r="V2724" s="1">
        <v>1</v>
      </c>
      <c r="W2724" s="1">
        <v>0</v>
      </c>
      <c r="X2724" s="1">
        <v>0</v>
      </c>
      <c r="Y2724" s="1">
        <v>7</v>
      </c>
      <c r="Z2724" s="1">
        <v>7</v>
      </c>
      <c r="AA2724" s="1" t="s">
        <v>104</v>
      </c>
      <c r="AB2724" s="1" t="s">
        <v>104</v>
      </c>
      <c r="AC2724" s="1" t="s">
        <v>104</v>
      </c>
      <c r="AD2724" s="1" t="s">
        <v>104</v>
      </c>
      <c r="AE2724" s="1" t="s">
        <v>104</v>
      </c>
      <c r="AF2724" s="1" t="s">
        <v>104</v>
      </c>
      <c r="AG2724" s="1" t="s">
        <v>104</v>
      </c>
      <c r="AH2724" s="1">
        <v>7</v>
      </c>
      <c r="AI2724" s="1" t="s">
        <v>104</v>
      </c>
      <c r="AJ2724" s="1" t="s">
        <v>104</v>
      </c>
      <c r="AK2724" s="1" t="s">
        <v>104</v>
      </c>
      <c r="AL2724" s="1" t="s">
        <v>104</v>
      </c>
      <c r="AM2724" s="1" t="s">
        <v>104</v>
      </c>
      <c r="AO2724" s="1">
        <v>7</v>
      </c>
      <c r="AR2724" s="1">
        <v>0</v>
      </c>
      <c r="AS2724" s="1">
        <v>0</v>
      </c>
      <c r="AT2724" s="1">
        <v>0</v>
      </c>
      <c r="AU2724" s="1">
        <v>0</v>
      </c>
      <c r="AV2724" s="1">
        <v>0</v>
      </c>
      <c r="AW2724" s="1">
        <v>0</v>
      </c>
      <c r="AX2724" s="1">
        <v>0</v>
      </c>
      <c r="AY2724" s="1">
        <v>0</v>
      </c>
      <c r="AZ2724" s="1">
        <v>0</v>
      </c>
      <c r="BA2724" s="1">
        <v>0</v>
      </c>
      <c r="BB2724" s="1">
        <v>0</v>
      </c>
      <c r="BC2724" s="1">
        <v>0</v>
      </c>
      <c r="BD2724" s="1">
        <v>0</v>
      </c>
      <c r="BE2724" s="1">
        <v>0</v>
      </c>
      <c r="BF2724" s="1">
        <v>0</v>
      </c>
      <c r="BG2724" s="1">
        <v>0</v>
      </c>
      <c r="BH2724" s="1">
        <v>0</v>
      </c>
      <c r="BI2724" s="1">
        <v>0</v>
      </c>
      <c r="BJ2724" s="1">
        <v>0</v>
      </c>
      <c r="BK2724" s="1">
        <v>0</v>
      </c>
      <c r="BL2724" s="1">
        <v>0</v>
      </c>
      <c r="BM2724" s="1">
        <v>0</v>
      </c>
      <c r="BN2724" s="1">
        <v>0</v>
      </c>
      <c r="BO2724" s="1">
        <v>0</v>
      </c>
      <c r="BP2724" s="1">
        <v>0</v>
      </c>
      <c r="BQ2724" s="1" t="s">
        <v>104</v>
      </c>
      <c r="BR2724" s="1">
        <v>4851</v>
      </c>
      <c r="BS2724" s="1">
        <v>100</v>
      </c>
      <c r="BX2724" s="1">
        <v>0</v>
      </c>
      <c r="BY2724" s="1" t="s">
        <v>104</v>
      </c>
      <c r="BZ2724" s="1" t="s">
        <v>104</v>
      </c>
      <c r="CA2724" s="1">
        <v>7</v>
      </c>
      <c r="CB2724" s="1" t="s">
        <v>104</v>
      </c>
      <c r="CC2724" s="1" t="s">
        <v>104</v>
      </c>
      <c r="CD2724" s="1" t="s">
        <v>104</v>
      </c>
      <c r="CE2724" s="1" t="s">
        <v>104</v>
      </c>
      <c r="CF2724" s="1" t="s">
        <v>104</v>
      </c>
      <c r="CG2724" s="1" t="s">
        <v>104</v>
      </c>
      <c r="CH2724" s="1" t="s">
        <v>104</v>
      </c>
      <c r="CJ2724" s="1">
        <v>0</v>
      </c>
      <c r="CK2724" s="1">
        <v>0</v>
      </c>
      <c r="CL2724" s="1">
        <v>0</v>
      </c>
      <c r="CM2724" s="1" t="s">
        <v>104</v>
      </c>
    </row>
    <row r="2725" spans="1:91" ht="14.25" customHeight="1" x14ac:dyDescent="0.3">
      <c r="A2725" s="1" t="s">
        <v>13735</v>
      </c>
      <c r="B2725" s="1" t="s">
        <v>92</v>
      </c>
      <c r="C2725" s="1" t="s">
        <v>1160</v>
      </c>
      <c r="E2725" s="1" t="s">
        <v>13736</v>
      </c>
      <c r="F2725" s="1" t="s">
        <v>95</v>
      </c>
      <c r="G2725" s="1" t="s">
        <v>13737</v>
      </c>
      <c r="H2725" s="1">
        <v>1</v>
      </c>
      <c r="I2725" s="1" t="s">
        <v>13738</v>
      </c>
      <c r="M2725" s="1" t="s">
        <v>5119</v>
      </c>
      <c r="N2725" s="1">
        <v>0</v>
      </c>
      <c r="O2725" s="1">
        <v>0</v>
      </c>
      <c r="P2725" s="1" t="s">
        <v>100</v>
      </c>
      <c r="Q2725" s="1" t="s">
        <v>101</v>
      </c>
      <c r="R2725" s="1" t="s">
        <v>13739</v>
      </c>
      <c r="S2725" s="1" t="s">
        <v>13691</v>
      </c>
      <c r="T2725" s="1">
        <v>1</v>
      </c>
      <c r="U2725" s="1">
        <v>1</v>
      </c>
      <c r="V2725" s="1">
        <v>0</v>
      </c>
      <c r="W2725" s="1">
        <v>0</v>
      </c>
      <c r="X2725" s="1">
        <v>0</v>
      </c>
      <c r="Y2725" s="1">
        <v>8</v>
      </c>
      <c r="Z2725" s="1">
        <v>8</v>
      </c>
      <c r="AA2725" s="1" t="s">
        <v>104</v>
      </c>
      <c r="AB2725" s="1">
        <v>9</v>
      </c>
      <c r="AC2725" s="1" t="s">
        <v>104</v>
      </c>
      <c r="AD2725" s="1" t="s">
        <v>104</v>
      </c>
      <c r="AE2725" s="1" t="s">
        <v>104</v>
      </c>
      <c r="AF2725" s="1" t="s">
        <v>104</v>
      </c>
      <c r="AG2725" s="1" t="s">
        <v>104</v>
      </c>
      <c r="AH2725" s="1">
        <v>8</v>
      </c>
      <c r="AI2725" s="1" t="s">
        <v>104</v>
      </c>
      <c r="AJ2725" s="1" t="s">
        <v>104</v>
      </c>
      <c r="AK2725" s="1" t="s">
        <v>104</v>
      </c>
      <c r="AL2725" s="1" t="s">
        <v>104</v>
      </c>
      <c r="AM2725" s="1" t="s">
        <v>104</v>
      </c>
      <c r="AO2725" s="1">
        <v>8</v>
      </c>
      <c r="AR2725" s="1">
        <v>0</v>
      </c>
      <c r="AS2725" s="1">
        <v>0</v>
      </c>
      <c r="AT2725" s="1">
        <v>0</v>
      </c>
      <c r="AU2725" s="1">
        <v>0</v>
      </c>
      <c r="AV2725" s="1">
        <v>0</v>
      </c>
      <c r="AW2725" s="1">
        <v>0</v>
      </c>
      <c r="AX2725" s="1">
        <v>0</v>
      </c>
      <c r="AY2725" s="1">
        <v>0</v>
      </c>
      <c r="AZ2725" s="1">
        <v>0</v>
      </c>
      <c r="BA2725" s="1">
        <v>0</v>
      </c>
      <c r="BB2725" s="1">
        <v>0</v>
      </c>
      <c r="BC2725" s="1">
        <v>0</v>
      </c>
      <c r="BD2725" s="1">
        <v>0</v>
      </c>
      <c r="BE2725" s="1">
        <v>0</v>
      </c>
      <c r="BF2725" s="1">
        <v>0</v>
      </c>
      <c r="BG2725" s="1">
        <v>0</v>
      </c>
      <c r="BH2725" s="1">
        <v>0</v>
      </c>
      <c r="BI2725" s="1">
        <v>0</v>
      </c>
      <c r="BJ2725" s="1">
        <v>0</v>
      </c>
      <c r="BK2725" s="1">
        <v>0</v>
      </c>
      <c r="BL2725" s="1">
        <v>0</v>
      </c>
      <c r="BM2725" s="1">
        <v>0</v>
      </c>
      <c r="BN2725" s="1">
        <v>0</v>
      </c>
      <c r="BO2725" s="1">
        <v>0</v>
      </c>
      <c r="BP2725" s="1">
        <v>0</v>
      </c>
      <c r="BQ2725" s="1" t="s">
        <v>104</v>
      </c>
      <c r="BR2725" s="1">
        <v>4852</v>
      </c>
      <c r="BS2725" s="1">
        <v>1500</v>
      </c>
      <c r="BX2725" s="1">
        <v>0</v>
      </c>
      <c r="BY2725" s="1" t="s">
        <v>104</v>
      </c>
      <c r="BZ2725" s="1" t="s">
        <v>104</v>
      </c>
      <c r="CA2725" s="1">
        <v>8</v>
      </c>
      <c r="CB2725" s="1" t="s">
        <v>104</v>
      </c>
      <c r="CC2725" s="1" t="s">
        <v>104</v>
      </c>
      <c r="CD2725" s="1" t="s">
        <v>104</v>
      </c>
      <c r="CE2725" s="1" t="s">
        <v>104</v>
      </c>
      <c r="CF2725" s="1" t="s">
        <v>104</v>
      </c>
      <c r="CG2725" s="1" t="s">
        <v>104</v>
      </c>
      <c r="CH2725" s="1" t="s">
        <v>104</v>
      </c>
      <c r="CJ2725" s="1">
        <v>0</v>
      </c>
      <c r="CK2725" s="1">
        <v>0</v>
      </c>
      <c r="CL2725" s="1">
        <v>0</v>
      </c>
      <c r="CM2725" s="1" t="s">
        <v>104</v>
      </c>
    </row>
    <row r="2726" spans="1:91" ht="14.25" customHeight="1" x14ac:dyDescent="0.3">
      <c r="A2726" s="1" t="s">
        <v>13740</v>
      </c>
      <c r="B2726" s="1" t="s">
        <v>137</v>
      </c>
      <c r="D2726" s="1" t="s">
        <v>58</v>
      </c>
      <c r="E2726" s="1" t="s">
        <v>7157</v>
      </c>
      <c r="F2726" s="1" t="s">
        <v>95</v>
      </c>
      <c r="G2726" s="1" t="s">
        <v>116</v>
      </c>
      <c r="H2726" s="1">
        <v>0</v>
      </c>
      <c r="I2726" s="1" t="s">
        <v>128</v>
      </c>
      <c r="L2726" s="1" t="s">
        <v>1254</v>
      </c>
      <c r="M2726" s="1" t="s">
        <v>111</v>
      </c>
      <c r="N2726" s="1">
        <v>0</v>
      </c>
      <c r="O2726" s="1">
        <v>0</v>
      </c>
      <c r="P2726" s="1" t="s">
        <v>100</v>
      </c>
      <c r="Q2726" s="1" t="s">
        <v>101</v>
      </c>
      <c r="R2726" s="1" t="s">
        <v>13741</v>
      </c>
      <c r="S2726" s="1" t="s">
        <v>13742</v>
      </c>
      <c r="T2726" s="1">
        <v>1</v>
      </c>
      <c r="U2726" s="1">
        <v>1</v>
      </c>
      <c r="V2726" s="1">
        <v>0</v>
      </c>
      <c r="W2726" s="1">
        <v>0</v>
      </c>
      <c r="X2726" s="1">
        <v>0</v>
      </c>
      <c r="Y2726" s="1" t="s">
        <v>104</v>
      </c>
      <c r="Z2726" s="1" t="s">
        <v>104</v>
      </c>
      <c r="AA2726" s="1">
        <v>4</v>
      </c>
      <c r="AB2726" s="1" t="s">
        <v>104</v>
      </c>
      <c r="AC2726" s="1" t="s">
        <v>104</v>
      </c>
      <c r="AD2726" s="1" t="s">
        <v>104</v>
      </c>
      <c r="AE2726" s="1">
        <v>4</v>
      </c>
      <c r="AF2726" s="1" t="s">
        <v>104</v>
      </c>
      <c r="AG2726" s="1" t="s">
        <v>104</v>
      </c>
      <c r="AH2726" s="1" t="s">
        <v>104</v>
      </c>
      <c r="AI2726" s="1">
        <v>4</v>
      </c>
      <c r="AJ2726" s="1">
        <v>4</v>
      </c>
      <c r="AK2726" s="1" t="s">
        <v>104</v>
      </c>
      <c r="AL2726" s="1" t="s">
        <v>104</v>
      </c>
      <c r="AM2726" s="1" t="s">
        <v>104</v>
      </c>
      <c r="AO2726" s="1">
        <v>4</v>
      </c>
      <c r="AR2726" s="1">
        <v>0</v>
      </c>
      <c r="AS2726" s="1">
        <v>0</v>
      </c>
      <c r="AT2726" s="1">
        <v>0</v>
      </c>
      <c r="AU2726" s="1">
        <v>0</v>
      </c>
      <c r="AV2726" s="1">
        <v>0</v>
      </c>
      <c r="AW2726" s="1">
        <v>0</v>
      </c>
      <c r="AX2726" s="1">
        <v>0</v>
      </c>
      <c r="AY2726" s="1">
        <v>0</v>
      </c>
      <c r="AZ2726" s="1">
        <v>0</v>
      </c>
      <c r="BA2726" s="1">
        <v>0</v>
      </c>
      <c r="BB2726" s="1">
        <v>0</v>
      </c>
      <c r="BC2726" s="1">
        <v>0</v>
      </c>
      <c r="BD2726" s="1">
        <v>0</v>
      </c>
      <c r="BE2726" s="1">
        <v>0</v>
      </c>
      <c r="BF2726" s="1">
        <v>0</v>
      </c>
      <c r="BG2726" s="1">
        <v>1</v>
      </c>
      <c r="BH2726" s="1">
        <v>0</v>
      </c>
      <c r="BI2726" s="1">
        <v>0</v>
      </c>
      <c r="BJ2726" s="1">
        <v>0</v>
      </c>
      <c r="BK2726" s="1">
        <v>0</v>
      </c>
      <c r="BL2726" s="1">
        <v>0</v>
      </c>
      <c r="BM2726" s="1">
        <v>0</v>
      </c>
      <c r="BN2726" s="1">
        <v>0</v>
      </c>
      <c r="BO2726" s="1">
        <v>0</v>
      </c>
      <c r="BP2726" s="1">
        <v>0</v>
      </c>
      <c r="BQ2726" s="1" t="s">
        <v>104</v>
      </c>
      <c r="BR2726" s="1">
        <v>4853</v>
      </c>
      <c r="BS2726" s="1" t="s">
        <v>104</v>
      </c>
      <c r="BX2726" s="1">
        <v>0</v>
      </c>
      <c r="BY2726" s="1" t="s">
        <v>104</v>
      </c>
      <c r="BZ2726" s="1" t="s">
        <v>104</v>
      </c>
      <c r="CA2726" s="1" t="s">
        <v>104</v>
      </c>
      <c r="CB2726" s="1" t="s">
        <v>104</v>
      </c>
      <c r="CC2726" s="1" t="s">
        <v>104</v>
      </c>
      <c r="CD2726" s="1" t="s">
        <v>104</v>
      </c>
      <c r="CE2726" s="1" t="s">
        <v>104</v>
      </c>
      <c r="CF2726" s="1" t="s">
        <v>104</v>
      </c>
      <c r="CG2726" s="1" t="s">
        <v>104</v>
      </c>
      <c r="CH2726" s="1" t="s">
        <v>104</v>
      </c>
      <c r="CJ2726" s="1">
        <v>0</v>
      </c>
      <c r="CK2726" s="1">
        <v>0</v>
      </c>
      <c r="CL2726" s="1">
        <v>0</v>
      </c>
      <c r="CM2726" s="1" t="s">
        <v>104</v>
      </c>
    </row>
    <row r="2727" spans="1:91" ht="14.25" customHeight="1" x14ac:dyDescent="0.3">
      <c r="A2727" s="1" t="s">
        <v>13743</v>
      </c>
      <c r="B2727" s="1" t="s">
        <v>92</v>
      </c>
      <c r="C2727" s="1" t="s">
        <v>93</v>
      </c>
      <c r="D2727" s="1" t="s">
        <v>5702</v>
      </c>
      <c r="E2727" s="1" t="s">
        <v>13744</v>
      </c>
      <c r="F2727" s="1" t="s">
        <v>95</v>
      </c>
      <c r="G2727" s="1" t="s">
        <v>13745</v>
      </c>
      <c r="H2727" s="1">
        <v>0</v>
      </c>
      <c r="I2727" s="1" t="s">
        <v>109</v>
      </c>
      <c r="J2727" s="1" t="s">
        <v>13746</v>
      </c>
      <c r="M2727" s="1" t="s">
        <v>111</v>
      </c>
      <c r="N2727" s="1">
        <v>0</v>
      </c>
      <c r="O2727" s="1">
        <v>0</v>
      </c>
      <c r="P2727" s="1" t="s">
        <v>100</v>
      </c>
      <c r="Q2727" s="1" t="s">
        <v>101</v>
      </c>
      <c r="R2727" s="1" t="s">
        <v>13747</v>
      </c>
      <c r="S2727" s="1" t="s">
        <v>13742</v>
      </c>
      <c r="T2727" s="1">
        <v>1</v>
      </c>
      <c r="U2727" s="1">
        <v>1</v>
      </c>
      <c r="V2727" s="1">
        <v>1</v>
      </c>
      <c r="W2727" s="1">
        <v>0</v>
      </c>
      <c r="X2727" s="1">
        <v>1</v>
      </c>
      <c r="Y2727" s="1">
        <v>1</v>
      </c>
      <c r="Z2727" s="1">
        <v>1</v>
      </c>
      <c r="AA2727" s="1" t="s">
        <v>104</v>
      </c>
      <c r="AB2727" s="1">
        <v>1</v>
      </c>
      <c r="AC2727" s="1">
        <v>1</v>
      </c>
      <c r="AD2727" s="1" t="s">
        <v>104</v>
      </c>
      <c r="AE2727" s="1" t="s">
        <v>104</v>
      </c>
      <c r="AF2727" s="1" t="s">
        <v>104</v>
      </c>
      <c r="AG2727" s="1" t="s">
        <v>104</v>
      </c>
      <c r="AH2727" s="1">
        <v>1</v>
      </c>
      <c r="AI2727" s="1" t="s">
        <v>104</v>
      </c>
      <c r="AJ2727" s="1" t="s">
        <v>104</v>
      </c>
      <c r="AK2727" s="1" t="s">
        <v>104</v>
      </c>
      <c r="AL2727" s="1" t="s">
        <v>104</v>
      </c>
      <c r="AM2727" s="1" t="s">
        <v>104</v>
      </c>
      <c r="AO2727" s="1">
        <v>1</v>
      </c>
      <c r="AR2727" s="1">
        <v>0</v>
      </c>
      <c r="AS2727" s="1">
        <v>0</v>
      </c>
      <c r="AT2727" s="1">
        <v>0</v>
      </c>
      <c r="AU2727" s="1">
        <v>0</v>
      </c>
      <c r="AV2727" s="1">
        <v>0</v>
      </c>
      <c r="AW2727" s="1">
        <v>0</v>
      </c>
      <c r="AX2727" s="1">
        <v>0</v>
      </c>
      <c r="AY2727" s="1">
        <v>0</v>
      </c>
      <c r="AZ2727" s="1">
        <v>1</v>
      </c>
      <c r="BA2727" s="1">
        <v>0</v>
      </c>
      <c r="BB2727" s="1">
        <v>0</v>
      </c>
      <c r="BC2727" s="1">
        <v>0</v>
      </c>
      <c r="BD2727" s="1">
        <v>0</v>
      </c>
      <c r="BE2727" s="1">
        <v>1</v>
      </c>
      <c r="BF2727" s="1">
        <v>0</v>
      </c>
      <c r="BG2727" s="1">
        <v>0</v>
      </c>
      <c r="BH2727" s="1">
        <v>0</v>
      </c>
      <c r="BI2727" s="1">
        <v>0</v>
      </c>
      <c r="BJ2727" s="1">
        <v>0</v>
      </c>
      <c r="BK2727" s="1">
        <v>0</v>
      </c>
      <c r="BL2727" s="1">
        <v>0</v>
      </c>
      <c r="BM2727" s="1">
        <v>0</v>
      </c>
      <c r="BN2727" s="1">
        <v>0</v>
      </c>
      <c r="BO2727" s="1">
        <v>0</v>
      </c>
      <c r="BP2727" s="1">
        <v>0</v>
      </c>
      <c r="BQ2727" s="1" t="s">
        <v>104</v>
      </c>
      <c r="BR2727" s="1">
        <v>4854</v>
      </c>
      <c r="BS2727" s="1" t="s">
        <v>104</v>
      </c>
      <c r="BX2727" s="1">
        <v>0</v>
      </c>
      <c r="BY2727" s="1" t="s">
        <v>104</v>
      </c>
      <c r="BZ2727" s="1">
        <v>1</v>
      </c>
      <c r="CA2727" s="1" t="s">
        <v>104</v>
      </c>
      <c r="CB2727" s="1" t="s">
        <v>104</v>
      </c>
      <c r="CC2727" s="1" t="s">
        <v>104</v>
      </c>
      <c r="CD2727" s="1" t="s">
        <v>104</v>
      </c>
      <c r="CE2727" s="1" t="s">
        <v>104</v>
      </c>
      <c r="CF2727" s="1" t="s">
        <v>104</v>
      </c>
      <c r="CG2727" s="1" t="s">
        <v>104</v>
      </c>
      <c r="CH2727" s="1">
        <v>1</v>
      </c>
      <c r="CJ2727" s="1">
        <v>0</v>
      </c>
      <c r="CK2727" s="1">
        <v>0</v>
      </c>
      <c r="CL2727" s="1">
        <v>0</v>
      </c>
      <c r="CM2727" s="1" t="s">
        <v>104</v>
      </c>
    </row>
    <row r="2728" spans="1:91" ht="14.25" customHeight="1" x14ac:dyDescent="0.3">
      <c r="A2728" s="1" t="s">
        <v>13748</v>
      </c>
      <c r="B2728" s="1" t="s">
        <v>434</v>
      </c>
      <c r="D2728" s="1" t="s">
        <v>13749</v>
      </c>
      <c r="E2728" s="1" t="s">
        <v>9159</v>
      </c>
      <c r="F2728" s="1" t="s">
        <v>95</v>
      </c>
      <c r="G2728" s="1" t="s">
        <v>127</v>
      </c>
      <c r="H2728" s="1">
        <v>0</v>
      </c>
      <c r="I2728" s="1" t="s">
        <v>128</v>
      </c>
      <c r="J2728" s="1" t="s">
        <v>13750</v>
      </c>
      <c r="M2728" s="1" t="s">
        <v>581</v>
      </c>
      <c r="N2728" s="1">
        <v>0</v>
      </c>
      <c r="O2728" s="1">
        <v>0</v>
      </c>
      <c r="P2728" s="1" t="s">
        <v>100</v>
      </c>
      <c r="Q2728" s="1" t="s">
        <v>184</v>
      </c>
      <c r="R2728" s="1" t="s">
        <v>13751</v>
      </c>
      <c r="S2728" s="1" t="s">
        <v>13742</v>
      </c>
      <c r="T2728" s="1">
        <v>1</v>
      </c>
      <c r="U2728" s="1">
        <v>1</v>
      </c>
      <c r="V2728" s="1">
        <v>0</v>
      </c>
      <c r="W2728" s="1">
        <v>0</v>
      </c>
      <c r="X2728" s="1">
        <v>1</v>
      </c>
      <c r="Y2728" s="1" t="s">
        <v>104</v>
      </c>
      <c r="Z2728" s="1" t="s">
        <v>104</v>
      </c>
      <c r="AA2728" s="1">
        <v>5</v>
      </c>
      <c r="AB2728" s="1" t="s">
        <v>104</v>
      </c>
      <c r="AC2728" s="1" t="s">
        <v>104</v>
      </c>
      <c r="AD2728" s="1" t="s">
        <v>104</v>
      </c>
      <c r="AE2728" s="1">
        <v>4</v>
      </c>
      <c r="AF2728" s="1" t="s">
        <v>104</v>
      </c>
      <c r="AG2728" s="1" t="s">
        <v>104</v>
      </c>
      <c r="AH2728" s="1" t="s">
        <v>104</v>
      </c>
      <c r="AI2728" s="1">
        <v>4</v>
      </c>
      <c r="AJ2728" s="1">
        <v>5</v>
      </c>
      <c r="AK2728" s="1" t="s">
        <v>104</v>
      </c>
      <c r="AL2728" s="1" t="s">
        <v>104</v>
      </c>
      <c r="AM2728" s="1" t="s">
        <v>104</v>
      </c>
      <c r="AO2728" s="1">
        <v>5</v>
      </c>
      <c r="AR2728" s="1">
        <v>0</v>
      </c>
      <c r="AS2728" s="1">
        <v>0</v>
      </c>
      <c r="AT2728" s="1">
        <v>0</v>
      </c>
      <c r="AU2728" s="1">
        <v>0</v>
      </c>
      <c r="AV2728" s="1">
        <v>0</v>
      </c>
      <c r="AW2728" s="1">
        <v>0</v>
      </c>
      <c r="AX2728" s="1">
        <v>0</v>
      </c>
      <c r="AY2728" s="1">
        <v>0</v>
      </c>
      <c r="AZ2728" s="1">
        <v>0</v>
      </c>
      <c r="BA2728" s="1">
        <v>0</v>
      </c>
      <c r="BB2728" s="1">
        <v>0</v>
      </c>
      <c r="BC2728" s="1">
        <v>0</v>
      </c>
      <c r="BD2728" s="1">
        <v>0</v>
      </c>
      <c r="BE2728" s="1">
        <v>1</v>
      </c>
      <c r="BF2728" s="1">
        <v>0</v>
      </c>
      <c r="BG2728" s="1">
        <v>1</v>
      </c>
      <c r="BH2728" s="1">
        <v>0</v>
      </c>
      <c r="BI2728" s="1">
        <v>0</v>
      </c>
      <c r="BJ2728" s="1">
        <v>0</v>
      </c>
      <c r="BK2728" s="1">
        <v>0</v>
      </c>
      <c r="BL2728" s="1">
        <v>0</v>
      </c>
      <c r="BM2728" s="1">
        <v>0</v>
      </c>
      <c r="BN2728" s="1">
        <v>0</v>
      </c>
      <c r="BO2728" s="1">
        <v>0</v>
      </c>
      <c r="BP2728" s="1">
        <v>0</v>
      </c>
      <c r="BQ2728" s="1" t="s">
        <v>104</v>
      </c>
      <c r="BR2728" s="1">
        <v>4855</v>
      </c>
      <c r="BS2728" s="1" t="s">
        <v>104</v>
      </c>
      <c r="BX2728" s="1">
        <v>0</v>
      </c>
      <c r="BY2728" s="1" t="s">
        <v>104</v>
      </c>
      <c r="BZ2728" s="1" t="s">
        <v>104</v>
      </c>
      <c r="CA2728" s="1" t="s">
        <v>104</v>
      </c>
      <c r="CB2728" s="1" t="s">
        <v>104</v>
      </c>
      <c r="CC2728" s="1" t="s">
        <v>104</v>
      </c>
      <c r="CD2728" s="1" t="s">
        <v>104</v>
      </c>
      <c r="CE2728" s="1" t="s">
        <v>104</v>
      </c>
      <c r="CF2728" s="1" t="s">
        <v>104</v>
      </c>
      <c r="CG2728" s="1" t="s">
        <v>104</v>
      </c>
      <c r="CH2728" s="1" t="s">
        <v>104</v>
      </c>
      <c r="CJ2728" s="1">
        <v>0</v>
      </c>
      <c r="CK2728" s="1">
        <v>0</v>
      </c>
      <c r="CL2728" s="1">
        <v>0</v>
      </c>
      <c r="CM2728" s="1" t="s">
        <v>104</v>
      </c>
    </row>
    <row r="2729" spans="1:91" ht="14.25" customHeight="1" x14ac:dyDescent="0.3">
      <c r="A2729" s="1" t="s">
        <v>13752</v>
      </c>
      <c r="B2729" s="1" t="s">
        <v>137</v>
      </c>
      <c r="D2729" s="1" t="s">
        <v>11441</v>
      </c>
      <c r="E2729" s="1" t="s">
        <v>13753</v>
      </c>
      <c r="F2729" s="1" t="s">
        <v>95</v>
      </c>
      <c r="G2729" s="1" t="s">
        <v>13754</v>
      </c>
      <c r="H2729" s="1">
        <v>0</v>
      </c>
      <c r="I2729" s="1" t="s">
        <v>128</v>
      </c>
      <c r="L2729" s="1" t="s">
        <v>374</v>
      </c>
      <c r="M2729" s="1" t="s">
        <v>298</v>
      </c>
      <c r="N2729" s="1">
        <v>0</v>
      </c>
      <c r="O2729" s="1">
        <v>0</v>
      </c>
      <c r="P2729" s="1" t="s">
        <v>211</v>
      </c>
      <c r="Q2729" s="1" t="s">
        <v>184</v>
      </c>
      <c r="R2729" s="1" t="s">
        <v>13755</v>
      </c>
      <c r="S2729" s="1" t="s">
        <v>13742</v>
      </c>
      <c r="T2729" s="1">
        <v>1</v>
      </c>
      <c r="U2729" s="1">
        <v>1</v>
      </c>
      <c r="V2729" s="1">
        <v>1</v>
      </c>
      <c r="W2729" s="1">
        <v>0</v>
      </c>
      <c r="X2729" s="1">
        <v>1</v>
      </c>
      <c r="Y2729" s="1">
        <v>2</v>
      </c>
      <c r="Z2729" s="1">
        <v>2</v>
      </c>
      <c r="AA2729" s="1">
        <v>2</v>
      </c>
      <c r="AB2729" s="1" t="s">
        <v>104</v>
      </c>
      <c r="AC2729" s="1" t="s">
        <v>104</v>
      </c>
      <c r="AD2729" s="1" t="s">
        <v>104</v>
      </c>
      <c r="AE2729" s="1" t="s">
        <v>104</v>
      </c>
      <c r="AF2729" s="1" t="s">
        <v>104</v>
      </c>
      <c r="AG2729" s="1" t="s">
        <v>104</v>
      </c>
      <c r="AH2729" s="1">
        <v>2</v>
      </c>
      <c r="AI2729" s="1">
        <v>2</v>
      </c>
      <c r="AJ2729" s="1">
        <v>2</v>
      </c>
      <c r="AK2729" s="1" t="s">
        <v>104</v>
      </c>
      <c r="AL2729" s="1" t="s">
        <v>104</v>
      </c>
      <c r="AM2729" s="1" t="s">
        <v>104</v>
      </c>
      <c r="AO2729" s="1">
        <v>2</v>
      </c>
      <c r="AR2729" s="1">
        <v>0</v>
      </c>
      <c r="AS2729" s="1">
        <v>0</v>
      </c>
      <c r="AT2729" s="1">
        <v>0</v>
      </c>
      <c r="AU2729" s="1">
        <v>0</v>
      </c>
      <c r="AV2729" s="1">
        <v>1</v>
      </c>
      <c r="AW2729" s="1">
        <v>0</v>
      </c>
      <c r="AX2729" s="1">
        <v>0</v>
      </c>
      <c r="AY2729" s="1">
        <v>0</v>
      </c>
      <c r="AZ2729" s="1">
        <v>0</v>
      </c>
      <c r="BA2729" s="1">
        <v>0</v>
      </c>
      <c r="BB2729" s="1">
        <v>0</v>
      </c>
      <c r="BC2729" s="1">
        <v>0</v>
      </c>
      <c r="BD2729" s="1">
        <v>0</v>
      </c>
      <c r="BE2729" s="1">
        <v>0</v>
      </c>
      <c r="BF2729" s="1">
        <v>0</v>
      </c>
      <c r="BG2729" s="1">
        <v>0</v>
      </c>
      <c r="BH2729" s="1">
        <v>0</v>
      </c>
      <c r="BI2729" s="1">
        <v>0</v>
      </c>
      <c r="BJ2729" s="1">
        <v>0</v>
      </c>
      <c r="BK2729" s="1">
        <v>0</v>
      </c>
      <c r="BL2729" s="1">
        <v>0</v>
      </c>
      <c r="BM2729" s="1">
        <v>0</v>
      </c>
      <c r="BN2729" s="1">
        <v>0</v>
      </c>
      <c r="BO2729" s="1">
        <v>0</v>
      </c>
      <c r="BP2729" s="1">
        <v>0</v>
      </c>
      <c r="BQ2729" s="1" t="s">
        <v>104</v>
      </c>
      <c r="BR2729" s="1">
        <v>4856</v>
      </c>
      <c r="BS2729" s="1" t="s">
        <v>104</v>
      </c>
      <c r="BX2729" s="1">
        <v>0</v>
      </c>
      <c r="BY2729" s="1">
        <v>2</v>
      </c>
      <c r="BZ2729" s="1">
        <v>2</v>
      </c>
      <c r="CA2729" s="1" t="s">
        <v>104</v>
      </c>
      <c r="CB2729" s="1" t="s">
        <v>104</v>
      </c>
      <c r="CC2729" s="1" t="s">
        <v>104</v>
      </c>
      <c r="CD2729" s="1" t="s">
        <v>104</v>
      </c>
      <c r="CE2729" s="1" t="s">
        <v>104</v>
      </c>
      <c r="CF2729" s="1" t="s">
        <v>104</v>
      </c>
      <c r="CG2729" s="1" t="s">
        <v>104</v>
      </c>
      <c r="CH2729" s="1" t="s">
        <v>104</v>
      </c>
      <c r="CJ2729" s="1">
        <v>0</v>
      </c>
      <c r="CK2729" s="1">
        <v>0</v>
      </c>
      <c r="CL2729" s="1">
        <v>0</v>
      </c>
      <c r="CM2729" s="1" t="s">
        <v>104</v>
      </c>
    </row>
    <row r="2730" spans="1:91" ht="14.25" customHeight="1" x14ac:dyDescent="0.3">
      <c r="A2730" s="1" t="s">
        <v>13756</v>
      </c>
      <c r="B2730" s="1" t="s">
        <v>137</v>
      </c>
      <c r="D2730" s="1" t="s">
        <v>11441</v>
      </c>
      <c r="E2730" s="1" t="s">
        <v>13757</v>
      </c>
      <c r="F2730" s="1" t="s">
        <v>95</v>
      </c>
      <c r="G2730" s="1" t="s">
        <v>13754</v>
      </c>
      <c r="H2730" s="1">
        <v>0</v>
      </c>
      <c r="I2730" s="1" t="s">
        <v>97</v>
      </c>
      <c r="L2730" s="1" t="s">
        <v>541</v>
      </c>
      <c r="M2730" s="1" t="s">
        <v>298</v>
      </c>
      <c r="N2730" s="1">
        <v>0</v>
      </c>
      <c r="O2730" s="1">
        <v>0</v>
      </c>
      <c r="P2730" s="1" t="s">
        <v>211</v>
      </c>
      <c r="Q2730" s="1" t="s">
        <v>184</v>
      </c>
      <c r="R2730" s="1" t="s">
        <v>13758</v>
      </c>
      <c r="S2730" s="1" t="s">
        <v>13742</v>
      </c>
      <c r="T2730" s="1">
        <v>1</v>
      </c>
      <c r="U2730" s="1">
        <v>1</v>
      </c>
      <c r="V2730" s="1">
        <v>1</v>
      </c>
      <c r="W2730" s="1">
        <v>0</v>
      </c>
      <c r="X2730" s="1">
        <v>1</v>
      </c>
      <c r="Y2730" s="1">
        <v>5</v>
      </c>
      <c r="Z2730" s="1">
        <v>5</v>
      </c>
      <c r="AA2730" s="1">
        <v>5</v>
      </c>
      <c r="AB2730" s="1" t="s">
        <v>104</v>
      </c>
      <c r="AC2730" s="1" t="s">
        <v>104</v>
      </c>
      <c r="AD2730" s="1" t="s">
        <v>104</v>
      </c>
      <c r="AE2730" s="1" t="s">
        <v>104</v>
      </c>
      <c r="AF2730" s="1" t="s">
        <v>104</v>
      </c>
      <c r="AG2730" s="1" t="s">
        <v>104</v>
      </c>
      <c r="AH2730" s="1">
        <v>5</v>
      </c>
      <c r="AI2730" s="1">
        <v>5</v>
      </c>
      <c r="AJ2730" s="1">
        <v>5</v>
      </c>
      <c r="AK2730" s="1" t="s">
        <v>104</v>
      </c>
      <c r="AL2730" s="1" t="s">
        <v>104</v>
      </c>
      <c r="AM2730" s="1" t="s">
        <v>104</v>
      </c>
      <c r="AO2730" s="1">
        <v>5</v>
      </c>
      <c r="AR2730" s="1">
        <v>0</v>
      </c>
      <c r="AS2730" s="1">
        <v>0</v>
      </c>
      <c r="AT2730" s="1">
        <v>0</v>
      </c>
      <c r="AU2730" s="1">
        <v>0</v>
      </c>
      <c r="AV2730" s="1">
        <v>1</v>
      </c>
      <c r="AW2730" s="1">
        <v>0</v>
      </c>
      <c r="AX2730" s="1">
        <v>0</v>
      </c>
      <c r="AY2730" s="1">
        <v>0</v>
      </c>
      <c r="AZ2730" s="1">
        <v>0</v>
      </c>
      <c r="BA2730" s="1">
        <v>0</v>
      </c>
      <c r="BB2730" s="1">
        <v>0</v>
      </c>
      <c r="BC2730" s="1">
        <v>0</v>
      </c>
      <c r="BD2730" s="1">
        <v>0</v>
      </c>
      <c r="BE2730" s="1">
        <v>0</v>
      </c>
      <c r="BF2730" s="1">
        <v>0</v>
      </c>
      <c r="BG2730" s="1">
        <v>0</v>
      </c>
      <c r="BH2730" s="1">
        <v>0</v>
      </c>
      <c r="BI2730" s="1">
        <v>0</v>
      </c>
      <c r="BJ2730" s="1">
        <v>0</v>
      </c>
      <c r="BK2730" s="1">
        <v>0</v>
      </c>
      <c r="BL2730" s="1">
        <v>0</v>
      </c>
      <c r="BM2730" s="1">
        <v>0</v>
      </c>
      <c r="BN2730" s="1">
        <v>0</v>
      </c>
      <c r="BO2730" s="1">
        <v>0</v>
      </c>
      <c r="BP2730" s="1">
        <v>0</v>
      </c>
      <c r="BQ2730" s="1" t="s">
        <v>104</v>
      </c>
      <c r="BR2730" s="1">
        <v>4857</v>
      </c>
      <c r="BS2730" s="1" t="s">
        <v>104</v>
      </c>
      <c r="BX2730" s="1">
        <v>0</v>
      </c>
      <c r="BY2730" s="1">
        <v>5</v>
      </c>
      <c r="BZ2730" s="1">
        <v>5</v>
      </c>
      <c r="CA2730" s="1" t="s">
        <v>104</v>
      </c>
      <c r="CB2730" s="1" t="s">
        <v>104</v>
      </c>
      <c r="CC2730" s="1" t="s">
        <v>104</v>
      </c>
      <c r="CD2730" s="1" t="s">
        <v>104</v>
      </c>
      <c r="CE2730" s="1" t="s">
        <v>104</v>
      </c>
      <c r="CF2730" s="1" t="s">
        <v>104</v>
      </c>
      <c r="CG2730" s="1" t="s">
        <v>104</v>
      </c>
      <c r="CH2730" s="1" t="s">
        <v>104</v>
      </c>
      <c r="CJ2730" s="1">
        <v>0</v>
      </c>
      <c r="CK2730" s="1">
        <v>0</v>
      </c>
      <c r="CL2730" s="1">
        <v>0</v>
      </c>
      <c r="CM2730" s="1" t="s">
        <v>104</v>
      </c>
    </row>
    <row r="2731" spans="1:91" ht="14.25" customHeight="1" x14ac:dyDescent="0.3">
      <c r="A2731" s="1" t="s">
        <v>13759</v>
      </c>
      <c r="B2731" s="1" t="s">
        <v>507</v>
      </c>
      <c r="C2731" s="1" t="s">
        <v>508</v>
      </c>
      <c r="E2731" s="1" t="s">
        <v>13760</v>
      </c>
      <c r="F2731" s="1" t="s">
        <v>95</v>
      </c>
      <c r="G2731" s="1" t="s">
        <v>2922</v>
      </c>
      <c r="H2731" s="1">
        <v>0</v>
      </c>
      <c r="I2731" s="1" t="s">
        <v>128</v>
      </c>
      <c r="L2731" s="1" t="s">
        <v>374</v>
      </c>
      <c r="M2731" s="1" t="s">
        <v>111</v>
      </c>
      <c r="N2731" s="1">
        <v>0</v>
      </c>
      <c r="O2731" s="1">
        <v>0</v>
      </c>
      <c r="P2731" s="1" t="s">
        <v>375</v>
      </c>
      <c r="Q2731" s="1" t="s">
        <v>184</v>
      </c>
      <c r="R2731" s="1" t="s">
        <v>13761</v>
      </c>
      <c r="S2731" s="1" t="s">
        <v>13742</v>
      </c>
      <c r="T2731" s="1">
        <v>1</v>
      </c>
      <c r="U2731" s="1">
        <v>1</v>
      </c>
      <c r="V2731" s="1">
        <v>1</v>
      </c>
      <c r="W2731" s="1">
        <v>0</v>
      </c>
      <c r="X2731" s="1">
        <v>1</v>
      </c>
      <c r="Y2731" s="1">
        <v>3</v>
      </c>
      <c r="Z2731" s="1">
        <v>3</v>
      </c>
      <c r="AA2731" s="1" t="s">
        <v>104</v>
      </c>
      <c r="AB2731" s="1" t="s">
        <v>104</v>
      </c>
      <c r="AC2731" s="1">
        <v>3</v>
      </c>
      <c r="AD2731" s="1">
        <v>3</v>
      </c>
      <c r="AE2731" s="1" t="s">
        <v>104</v>
      </c>
      <c r="AF2731" s="1" t="s">
        <v>104</v>
      </c>
      <c r="AG2731" s="1" t="s">
        <v>104</v>
      </c>
      <c r="AH2731" s="1" t="s">
        <v>104</v>
      </c>
      <c r="AI2731" s="1" t="s">
        <v>104</v>
      </c>
      <c r="AJ2731" s="1" t="s">
        <v>104</v>
      </c>
      <c r="AK2731" s="1" t="s">
        <v>104</v>
      </c>
      <c r="AL2731" s="1" t="s">
        <v>104</v>
      </c>
      <c r="AM2731" s="1" t="s">
        <v>104</v>
      </c>
      <c r="AO2731" s="1">
        <v>3</v>
      </c>
      <c r="AR2731" s="1">
        <v>0</v>
      </c>
      <c r="AS2731" s="1">
        <v>0</v>
      </c>
      <c r="AT2731" s="1">
        <v>0</v>
      </c>
      <c r="AU2731" s="1">
        <v>0</v>
      </c>
      <c r="AV2731" s="1">
        <v>0</v>
      </c>
      <c r="AW2731" s="1">
        <v>0</v>
      </c>
      <c r="AX2731" s="1">
        <v>0</v>
      </c>
      <c r="AY2731" s="1">
        <v>0</v>
      </c>
      <c r="AZ2731" s="1">
        <v>0</v>
      </c>
      <c r="BA2731" s="1">
        <v>0</v>
      </c>
      <c r="BB2731" s="1">
        <v>0</v>
      </c>
      <c r="BC2731" s="1">
        <v>0</v>
      </c>
      <c r="BD2731" s="1">
        <v>0</v>
      </c>
      <c r="BE2731" s="1">
        <v>0</v>
      </c>
      <c r="BF2731" s="1">
        <v>0</v>
      </c>
      <c r="BG2731" s="1">
        <v>0</v>
      </c>
      <c r="BH2731" s="1">
        <v>0</v>
      </c>
      <c r="BI2731" s="1">
        <v>0</v>
      </c>
      <c r="BJ2731" s="1">
        <v>0</v>
      </c>
      <c r="BK2731" s="1">
        <v>0</v>
      </c>
      <c r="BL2731" s="1">
        <v>0</v>
      </c>
      <c r="BM2731" s="1">
        <v>0</v>
      </c>
      <c r="BN2731" s="1">
        <v>0</v>
      </c>
      <c r="BO2731" s="1">
        <v>0</v>
      </c>
      <c r="BP2731" s="1">
        <v>0</v>
      </c>
      <c r="BQ2731" s="1" t="s">
        <v>104</v>
      </c>
      <c r="BR2731" s="1">
        <v>4858</v>
      </c>
      <c r="BS2731" s="1" t="s">
        <v>104</v>
      </c>
      <c r="BX2731" s="1">
        <v>0</v>
      </c>
      <c r="BY2731" s="1" t="s">
        <v>104</v>
      </c>
      <c r="BZ2731" s="1" t="s">
        <v>104</v>
      </c>
      <c r="CA2731" s="1" t="s">
        <v>104</v>
      </c>
      <c r="CB2731" s="1" t="s">
        <v>104</v>
      </c>
      <c r="CC2731" s="1" t="s">
        <v>104</v>
      </c>
      <c r="CD2731" s="1" t="s">
        <v>104</v>
      </c>
      <c r="CE2731" s="1" t="s">
        <v>104</v>
      </c>
      <c r="CF2731" s="1" t="s">
        <v>104</v>
      </c>
      <c r="CG2731" s="1" t="s">
        <v>104</v>
      </c>
      <c r="CH2731" s="1">
        <v>3</v>
      </c>
      <c r="CJ2731" s="1">
        <v>0</v>
      </c>
      <c r="CK2731" s="1">
        <v>0</v>
      </c>
      <c r="CL2731" s="1">
        <v>0</v>
      </c>
      <c r="CM2731" s="1" t="s">
        <v>104</v>
      </c>
    </row>
    <row r="2732" spans="1:91" ht="14.25" customHeight="1" x14ac:dyDescent="0.3">
      <c r="A2732" s="1" t="s">
        <v>13762</v>
      </c>
      <c r="B2732" s="1" t="s">
        <v>137</v>
      </c>
      <c r="E2732" s="1" t="s">
        <v>13763</v>
      </c>
      <c r="F2732" s="1" t="s">
        <v>95</v>
      </c>
      <c r="G2732" s="1" t="s">
        <v>13764</v>
      </c>
      <c r="H2732" s="1">
        <v>0</v>
      </c>
      <c r="I2732" s="1" t="s">
        <v>157</v>
      </c>
      <c r="L2732" s="1" t="s">
        <v>158</v>
      </c>
      <c r="M2732" s="1" t="s">
        <v>2330</v>
      </c>
      <c r="N2732" s="1">
        <v>0</v>
      </c>
      <c r="O2732" s="1">
        <v>0</v>
      </c>
      <c r="R2732" s="1" t="s">
        <v>13765</v>
      </c>
      <c r="S2732" s="1" t="s">
        <v>13742</v>
      </c>
      <c r="T2732" s="1">
        <v>1</v>
      </c>
      <c r="U2732" s="1">
        <v>1</v>
      </c>
      <c r="V2732" s="1">
        <v>1</v>
      </c>
      <c r="W2732" s="1">
        <v>0</v>
      </c>
      <c r="X2732" s="1">
        <v>0</v>
      </c>
      <c r="Y2732" s="1" t="s">
        <v>104</v>
      </c>
      <c r="Z2732" s="1" t="s">
        <v>104</v>
      </c>
      <c r="AA2732" s="1" t="s">
        <v>104</v>
      </c>
      <c r="AB2732" s="1" t="s">
        <v>104</v>
      </c>
      <c r="AC2732" s="1" t="s">
        <v>104</v>
      </c>
      <c r="AD2732" s="1">
        <v>2</v>
      </c>
      <c r="AE2732" s="1" t="s">
        <v>104</v>
      </c>
      <c r="AF2732" s="1">
        <v>2</v>
      </c>
      <c r="AG2732" s="1" t="s">
        <v>104</v>
      </c>
      <c r="AH2732" s="1" t="s">
        <v>104</v>
      </c>
      <c r="AI2732" s="1" t="s">
        <v>104</v>
      </c>
      <c r="AJ2732" s="1" t="s">
        <v>104</v>
      </c>
      <c r="AK2732" s="1" t="s">
        <v>104</v>
      </c>
      <c r="AL2732" s="1">
        <v>2</v>
      </c>
      <c r="AM2732" s="1" t="s">
        <v>104</v>
      </c>
      <c r="AO2732" s="1">
        <v>2</v>
      </c>
      <c r="AR2732" s="1">
        <v>0</v>
      </c>
      <c r="AS2732" s="1">
        <v>0</v>
      </c>
      <c r="AT2732" s="1">
        <v>0</v>
      </c>
      <c r="AU2732" s="1">
        <v>0</v>
      </c>
      <c r="AV2732" s="1">
        <v>0</v>
      </c>
      <c r="AW2732" s="1">
        <v>0</v>
      </c>
      <c r="AX2732" s="1">
        <v>0</v>
      </c>
      <c r="AY2732" s="1">
        <v>0</v>
      </c>
      <c r="AZ2732" s="1">
        <v>0</v>
      </c>
      <c r="BA2732" s="1">
        <v>0</v>
      </c>
      <c r="BB2732" s="1">
        <v>0</v>
      </c>
      <c r="BC2732" s="1">
        <v>0</v>
      </c>
      <c r="BD2732" s="1">
        <v>0</v>
      </c>
      <c r="BE2732" s="1">
        <v>0</v>
      </c>
      <c r="BF2732" s="1">
        <v>0</v>
      </c>
      <c r="BG2732" s="1">
        <v>0</v>
      </c>
      <c r="BH2732" s="1">
        <v>0</v>
      </c>
      <c r="BI2732" s="1">
        <v>0</v>
      </c>
      <c r="BJ2732" s="1">
        <v>0</v>
      </c>
      <c r="BK2732" s="1">
        <v>0</v>
      </c>
      <c r="BL2732" s="1">
        <v>0</v>
      </c>
      <c r="BM2732" s="1">
        <v>0</v>
      </c>
      <c r="BN2732" s="1">
        <v>0</v>
      </c>
      <c r="BO2732" s="1">
        <v>0</v>
      </c>
      <c r="BP2732" s="1">
        <v>0</v>
      </c>
      <c r="BQ2732" s="1" t="s">
        <v>104</v>
      </c>
      <c r="BR2732" s="1">
        <v>4859</v>
      </c>
      <c r="BS2732" s="1" t="s">
        <v>104</v>
      </c>
      <c r="BX2732" s="1">
        <v>0</v>
      </c>
      <c r="BY2732" s="1" t="s">
        <v>104</v>
      </c>
      <c r="BZ2732" s="1" t="s">
        <v>104</v>
      </c>
      <c r="CA2732" s="1" t="s">
        <v>104</v>
      </c>
      <c r="CB2732" s="1" t="s">
        <v>104</v>
      </c>
      <c r="CC2732" s="1" t="s">
        <v>104</v>
      </c>
      <c r="CD2732" s="1" t="s">
        <v>104</v>
      </c>
      <c r="CE2732" s="1" t="s">
        <v>104</v>
      </c>
      <c r="CF2732" s="1" t="s">
        <v>104</v>
      </c>
      <c r="CG2732" s="1" t="s">
        <v>104</v>
      </c>
      <c r="CH2732" s="1" t="s">
        <v>104</v>
      </c>
      <c r="CJ2732" s="1">
        <v>0</v>
      </c>
      <c r="CK2732" s="1">
        <v>0</v>
      </c>
      <c r="CL2732" s="1">
        <v>0</v>
      </c>
      <c r="CM2732" s="1" t="s">
        <v>104</v>
      </c>
    </row>
    <row r="2733" spans="1:91" ht="14.25" customHeight="1" x14ac:dyDescent="0.3">
      <c r="A2733" s="1" t="s">
        <v>13766</v>
      </c>
      <c r="B2733" s="1" t="s">
        <v>137</v>
      </c>
      <c r="D2733" s="1" t="s">
        <v>11441</v>
      </c>
      <c r="E2733" s="1" t="s">
        <v>13767</v>
      </c>
      <c r="F2733" s="1" t="s">
        <v>95</v>
      </c>
      <c r="G2733" s="1" t="s">
        <v>13768</v>
      </c>
      <c r="H2733" s="1">
        <v>0</v>
      </c>
      <c r="I2733" s="1" t="s">
        <v>11757</v>
      </c>
      <c r="L2733" s="1" t="s">
        <v>1065</v>
      </c>
      <c r="M2733" s="1" t="s">
        <v>2330</v>
      </c>
      <c r="N2733" s="1">
        <v>0</v>
      </c>
      <c r="O2733" s="1">
        <v>0</v>
      </c>
      <c r="P2733" s="1" t="s">
        <v>211</v>
      </c>
      <c r="Q2733" s="1" t="s">
        <v>184</v>
      </c>
      <c r="R2733" s="1" t="s">
        <v>13769</v>
      </c>
      <c r="S2733" s="1" t="s">
        <v>13742</v>
      </c>
      <c r="T2733" s="1">
        <v>1</v>
      </c>
      <c r="U2733" s="1">
        <v>1</v>
      </c>
      <c r="V2733" s="1">
        <v>1</v>
      </c>
      <c r="W2733" s="1">
        <v>0</v>
      </c>
      <c r="X2733" s="1">
        <v>0</v>
      </c>
      <c r="Y2733" s="1" t="s">
        <v>104</v>
      </c>
      <c r="Z2733" s="1" t="s">
        <v>104</v>
      </c>
      <c r="AA2733" s="1">
        <v>3</v>
      </c>
      <c r="AB2733" s="1" t="s">
        <v>104</v>
      </c>
      <c r="AC2733" s="1" t="s">
        <v>104</v>
      </c>
      <c r="AD2733" s="1">
        <v>2</v>
      </c>
      <c r="AE2733" s="1">
        <v>2</v>
      </c>
      <c r="AF2733" s="1" t="s">
        <v>104</v>
      </c>
      <c r="AG2733" s="1" t="s">
        <v>104</v>
      </c>
      <c r="AH2733" s="1" t="s">
        <v>104</v>
      </c>
      <c r="AI2733" s="1" t="s">
        <v>104</v>
      </c>
      <c r="AJ2733" s="1">
        <v>3</v>
      </c>
      <c r="AK2733" s="1" t="s">
        <v>104</v>
      </c>
      <c r="AL2733" s="1">
        <v>2</v>
      </c>
      <c r="AM2733" s="1" t="s">
        <v>104</v>
      </c>
      <c r="AO2733" s="1">
        <v>3</v>
      </c>
      <c r="AR2733" s="1">
        <v>0</v>
      </c>
      <c r="AS2733" s="1">
        <v>0</v>
      </c>
      <c r="AT2733" s="1">
        <v>0</v>
      </c>
      <c r="AU2733" s="1">
        <v>0</v>
      </c>
      <c r="AV2733" s="1">
        <v>1</v>
      </c>
      <c r="AW2733" s="1">
        <v>0</v>
      </c>
      <c r="AX2733" s="1">
        <v>0</v>
      </c>
      <c r="AY2733" s="1">
        <v>0</v>
      </c>
      <c r="AZ2733" s="1">
        <v>0</v>
      </c>
      <c r="BA2733" s="1">
        <v>0</v>
      </c>
      <c r="BB2733" s="1">
        <v>0</v>
      </c>
      <c r="BC2733" s="1">
        <v>0</v>
      </c>
      <c r="BD2733" s="1">
        <v>0</v>
      </c>
      <c r="BE2733" s="1">
        <v>0</v>
      </c>
      <c r="BF2733" s="1">
        <v>0</v>
      </c>
      <c r="BG2733" s="1">
        <v>0</v>
      </c>
      <c r="BH2733" s="1">
        <v>0</v>
      </c>
      <c r="BI2733" s="1">
        <v>0</v>
      </c>
      <c r="BJ2733" s="1">
        <v>0</v>
      </c>
      <c r="BK2733" s="1">
        <v>0</v>
      </c>
      <c r="BL2733" s="1">
        <v>0</v>
      </c>
      <c r="BM2733" s="1">
        <v>0</v>
      </c>
      <c r="BN2733" s="1">
        <v>0</v>
      </c>
      <c r="BO2733" s="1">
        <v>0</v>
      </c>
      <c r="BP2733" s="1">
        <v>0</v>
      </c>
      <c r="BQ2733" s="1" t="s">
        <v>104</v>
      </c>
      <c r="BR2733" s="1">
        <v>4860</v>
      </c>
      <c r="BS2733" s="1" t="s">
        <v>104</v>
      </c>
      <c r="BX2733" s="1">
        <v>0</v>
      </c>
      <c r="BY2733" s="1" t="s">
        <v>104</v>
      </c>
      <c r="BZ2733" s="1" t="s">
        <v>104</v>
      </c>
      <c r="CA2733" s="1" t="s">
        <v>104</v>
      </c>
      <c r="CB2733" s="1" t="s">
        <v>104</v>
      </c>
      <c r="CC2733" s="1" t="s">
        <v>104</v>
      </c>
      <c r="CD2733" s="1" t="s">
        <v>104</v>
      </c>
      <c r="CE2733" s="1" t="s">
        <v>104</v>
      </c>
      <c r="CF2733" s="1" t="s">
        <v>104</v>
      </c>
      <c r="CG2733" s="1" t="s">
        <v>104</v>
      </c>
      <c r="CH2733" s="1" t="s">
        <v>104</v>
      </c>
      <c r="CJ2733" s="1">
        <v>0</v>
      </c>
      <c r="CK2733" s="1">
        <v>0</v>
      </c>
      <c r="CL2733" s="1">
        <v>0</v>
      </c>
      <c r="CM2733" s="1" t="s">
        <v>104</v>
      </c>
    </row>
    <row r="2734" spans="1:91" ht="14.25" customHeight="1" x14ac:dyDescent="0.3">
      <c r="A2734" s="1" t="s">
        <v>13770</v>
      </c>
      <c r="B2734" s="1" t="s">
        <v>137</v>
      </c>
      <c r="E2734" s="1" t="s">
        <v>13771</v>
      </c>
      <c r="F2734" s="1" t="s">
        <v>1502</v>
      </c>
      <c r="G2734" s="1" t="s">
        <v>116</v>
      </c>
      <c r="H2734" s="1">
        <v>0</v>
      </c>
      <c r="I2734" s="1" t="s">
        <v>157</v>
      </c>
      <c r="L2734" s="1" t="s">
        <v>158</v>
      </c>
      <c r="M2734" s="1" t="s">
        <v>119</v>
      </c>
      <c r="N2734" s="1">
        <v>0</v>
      </c>
      <c r="O2734" s="1">
        <v>0</v>
      </c>
      <c r="R2734" s="1" t="s">
        <v>13772</v>
      </c>
      <c r="S2734" s="1" t="s">
        <v>13742</v>
      </c>
      <c r="T2734" s="1">
        <v>1</v>
      </c>
      <c r="U2734" s="1">
        <v>1</v>
      </c>
      <c r="V2734" s="1">
        <v>0</v>
      </c>
      <c r="W2734" s="1">
        <v>0</v>
      </c>
      <c r="X2734" s="1">
        <v>0</v>
      </c>
      <c r="Y2734" s="1" t="s">
        <v>104</v>
      </c>
      <c r="Z2734" s="1" t="s">
        <v>104</v>
      </c>
      <c r="AA2734" s="1" t="s">
        <v>104</v>
      </c>
      <c r="AB2734" s="1" t="s">
        <v>104</v>
      </c>
      <c r="AC2734" s="1" t="s">
        <v>104</v>
      </c>
      <c r="AD2734" s="1">
        <v>1</v>
      </c>
      <c r="AE2734" s="1" t="s">
        <v>104</v>
      </c>
      <c r="AF2734" s="1" t="s">
        <v>104</v>
      </c>
      <c r="AG2734" s="1" t="s">
        <v>104</v>
      </c>
      <c r="AH2734" s="1" t="s">
        <v>104</v>
      </c>
      <c r="AI2734" s="1" t="s">
        <v>104</v>
      </c>
      <c r="AJ2734" s="1" t="s">
        <v>104</v>
      </c>
      <c r="AK2734" s="1" t="s">
        <v>104</v>
      </c>
      <c r="AL2734" s="1">
        <v>1</v>
      </c>
      <c r="AM2734" s="1" t="s">
        <v>104</v>
      </c>
      <c r="AO2734" s="1">
        <v>1</v>
      </c>
      <c r="AR2734" s="1">
        <v>0</v>
      </c>
      <c r="AS2734" s="1">
        <v>0</v>
      </c>
      <c r="AT2734" s="1">
        <v>0</v>
      </c>
      <c r="AU2734" s="1">
        <v>0</v>
      </c>
      <c r="AV2734" s="1">
        <v>0</v>
      </c>
      <c r="AW2734" s="1">
        <v>0</v>
      </c>
      <c r="AX2734" s="1">
        <v>0</v>
      </c>
      <c r="AY2734" s="1">
        <v>0</v>
      </c>
      <c r="AZ2734" s="1">
        <v>0</v>
      </c>
      <c r="BA2734" s="1">
        <v>0</v>
      </c>
      <c r="BB2734" s="1">
        <v>0</v>
      </c>
      <c r="BC2734" s="1">
        <v>0</v>
      </c>
      <c r="BD2734" s="1">
        <v>0</v>
      </c>
      <c r="BE2734" s="1">
        <v>0</v>
      </c>
      <c r="BF2734" s="1">
        <v>0</v>
      </c>
      <c r="BG2734" s="1">
        <v>0</v>
      </c>
      <c r="BH2734" s="1">
        <v>0</v>
      </c>
      <c r="BI2734" s="1">
        <v>0</v>
      </c>
      <c r="BJ2734" s="1">
        <v>0</v>
      </c>
      <c r="BK2734" s="1">
        <v>0</v>
      </c>
      <c r="BL2734" s="1">
        <v>0</v>
      </c>
      <c r="BM2734" s="1">
        <v>0</v>
      </c>
      <c r="BN2734" s="1">
        <v>0</v>
      </c>
      <c r="BO2734" s="1">
        <v>0</v>
      </c>
      <c r="BP2734" s="1">
        <v>0</v>
      </c>
      <c r="BQ2734" s="1" t="s">
        <v>104</v>
      </c>
      <c r="BR2734" s="1">
        <v>4861</v>
      </c>
      <c r="BS2734" s="1" t="s">
        <v>104</v>
      </c>
      <c r="BX2734" s="1">
        <v>0</v>
      </c>
      <c r="BY2734" s="1" t="s">
        <v>104</v>
      </c>
      <c r="BZ2734" s="1" t="s">
        <v>104</v>
      </c>
      <c r="CA2734" s="1" t="s">
        <v>104</v>
      </c>
      <c r="CB2734" s="1" t="s">
        <v>104</v>
      </c>
      <c r="CC2734" s="1" t="s">
        <v>104</v>
      </c>
      <c r="CD2734" s="1" t="s">
        <v>104</v>
      </c>
      <c r="CE2734" s="1" t="s">
        <v>104</v>
      </c>
      <c r="CF2734" s="1" t="s">
        <v>104</v>
      </c>
      <c r="CG2734" s="1" t="s">
        <v>104</v>
      </c>
      <c r="CH2734" s="1" t="s">
        <v>104</v>
      </c>
      <c r="CJ2734" s="1">
        <v>0</v>
      </c>
      <c r="CK2734" s="1">
        <v>0</v>
      </c>
      <c r="CL2734" s="1">
        <v>0</v>
      </c>
      <c r="CM2734" s="1" t="s">
        <v>104</v>
      </c>
    </row>
    <row r="2735" spans="1:91" ht="14.25" customHeight="1" x14ac:dyDescent="0.3">
      <c r="A2735" s="1" t="s">
        <v>13773</v>
      </c>
      <c r="B2735" s="1" t="s">
        <v>137</v>
      </c>
      <c r="E2735" s="1" t="s">
        <v>7249</v>
      </c>
      <c r="F2735" s="1" t="s">
        <v>95</v>
      </c>
      <c r="G2735" s="1" t="s">
        <v>13774</v>
      </c>
      <c r="H2735" s="1">
        <v>1</v>
      </c>
      <c r="I2735" s="1" t="s">
        <v>157</v>
      </c>
      <c r="L2735" s="1" t="s">
        <v>158</v>
      </c>
      <c r="M2735" s="1" t="s">
        <v>2330</v>
      </c>
      <c r="N2735" s="1">
        <v>0</v>
      </c>
      <c r="O2735" s="1">
        <v>0</v>
      </c>
      <c r="R2735" s="1" t="s">
        <v>13775</v>
      </c>
      <c r="S2735" s="1" t="s">
        <v>13742</v>
      </c>
      <c r="T2735" s="1">
        <v>1</v>
      </c>
      <c r="U2735" s="1">
        <v>1</v>
      </c>
      <c r="V2735" s="1">
        <v>0</v>
      </c>
      <c r="W2735" s="1">
        <v>0</v>
      </c>
      <c r="X2735" s="1">
        <v>0</v>
      </c>
      <c r="Y2735" s="1" t="s">
        <v>104</v>
      </c>
      <c r="Z2735" s="1" t="s">
        <v>104</v>
      </c>
      <c r="AA2735" s="1" t="s">
        <v>104</v>
      </c>
      <c r="AB2735" s="1" t="s">
        <v>104</v>
      </c>
      <c r="AC2735" s="1" t="s">
        <v>104</v>
      </c>
      <c r="AD2735" s="1" t="s">
        <v>104</v>
      </c>
      <c r="AE2735" s="1" t="s">
        <v>104</v>
      </c>
      <c r="AF2735" s="1" t="s">
        <v>104</v>
      </c>
      <c r="AG2735" s="1" t="s">
        <v>104</v>
      </c>
      <c r="AH2735" s="1" t="s">
        <v>104</v>
      </c>
      <c r="AI2735" s="1" t="s">
        <v>104</v>
      </c>
      <c r="AJ2735" s="1" t="s">
        <v>104</v>
      </c>
      <c r="AK2735" s="1" t="s">
        <v>104</v>
      </c>
      <c r="AL2735" s="1">
        <v>3</v>
      </c>
      <c r="AM2735" s="1" t="s">
        <v>104</v>
      </c>
      <c r="AO2735" s="1">
        <v>3</v>
      </c>
      <c r="AR2735" s="1">
        <v>0</v>
      </c>
      <c r="AS2735" s="1">
        <v>0</v>
      </c>
      <c r="AT2735" s="1">
        <v>0</v>
      </c>
      <c r="AU2735" s="1">
        <v>0</v>
      </c>
      <c r="AV2735" s="1">
        <v>0</v>
      </c>
      <c r="AW2735" s="1">
        <v>0</v>
      </c>
      <c r="AX2735" s="1">
        <v>0</v>
      </c>
      <c r="AY2735" s="1">
        <v>0</v>
      </c>
      <c r="AZ2735" s="1">
        <v>0</v>
      </c>
      <c r="BA2735" s="1">
        <v>0</v>
      </c>
      <c r="BB2735" s="1">
        <v>0</v>
      </c>
      <c r="BC2735" s="1">
        <v>0</v>
      </c>
      <c r="BD2735" s="1">
        <v>0</v>
      </c>
      <c r="BE2735" s="1">
        <v>0</v>
      </c>
      <c r="BF2735" s="1">
        <v>0</v>
      </c>
      <c r="BG2735" s="1">
        <v>0</v>
      </c>
      <c r="BH2735" s="1">
        <v>0</v>
      </c>
      <c r="BI2735" s="1">
        <v>0</v>
      </c>
      <c r="BJ2735" s="1">
        <v>0</v>
      </c>
      <c r="BK2735" s="1">
        <v>0</v>
      </c>
      <c r="BL2735" s="1">
        <v>0</v>
      </c>
      <c r="BM2735" s="1">
        <v>0</v>
      </c>
      <c r="BN2735" s="1">
        <v>0</v>
      </c>
      <c r="BO2735" s="1">
        <v>0</v>
      </c>
      <c r="BP2735" s="1">
        <v>0</v>
      </c>
      <c r="BQ2735" s="1" t="s">
        <v>104</v>
      </c>
      <c r="BR2735" s="1">
        <v>4862</v>
      </c>
      <c r="BS2735" s="1">
        <v>500</v>
      </c>
      <c r="BX2735" s="1">
        <v>0</v>
      </c>
      <c r="BY2735" s="1" t="s">
        <v>104</v>
      </c>
      <c r="BZ2735" s="1" t="s">
        <v>104</v>
      </c>
      <c r="CA2735" s="1" t="s">
        <v>104</v>
      </c>
      <c r="CB2735" s="1" t="s">
        <v>104</v>
      </c>
      <c r="CC2735" s="1" t="s">
        <v>104</v>
      </c>
      <c r="CD2735" s="1" t="s">
        <v>104</v>
      </c>
      <c r="CE2735" s="1" t="s">
        <v>104</v>
      </c>
      <c r="CF2735" s="1" t="s">
        <v>104</v>
      </c>
      <c r="CG2735" s="1" t="s">
        <v>104</v>
      </c>
      <c r="CH2735" s="1" t="s">
        <v>104</v>
      </c>
      <c r="CJ2735" s="1">
        <v>0</v>
      </c>
      <c r="CK2735" s="1">
        <v>0</v>
      </c>
      <c r="CL2735" s="1">
        <v>0</v>
      </c>
      <c r="CM2735" s="1" t="s">
        <v>104</v>
      </c>
    </row>
    <row r="2736" spans="1:91" ht="14.25" customHeight="1" x14ac:dyDescent="0.3">
      <c r="A2736" s="1" t="s">
        <v>13776</v>
      </c>
      <c r="B2736" s="1" t="s">
        <v>123</v>
      </c>
      <c r="C2736" s="1" t="s">
        <v>635</v>
      </c>
      <c r="D2736" s="1" t="s">
        <v>125</v>
      </c>
      <c r="E2736" s="1" t="s">
        <v>4596</v>
      </c>
      <c r="F2736" s="1" t="s">
        <v>95</v>
      </c>
      <c r="G2736" s="1" t="s">
        <v>116</v>
      </c>
      <c r="H2736" s="1">
        <v>0</v>
      </c>
      <c r="I2736" s="1" t="s">
        <v>697</v>
      </c>
      <c r="L2736" s="1" t="s">
        <v>1065</v>
      </c>
      <c r="M2736" s="1" t="s">
        <v>111</v>
      </c>
      <c r="N2736" s="1">
        <v>0</v>
      </c>
      <c r="O2736" s="1">
        <v>0</v>
      </c>
      <c r="P2736" s="1" t="s">
        <v>211</v>
      </c>
      <c r="Q2736" s="1" t="s">
        <v>184</v>
      </c>
      <c r="R2736" s="1" t="s">
        <v>13777</v>
      </c>
      <c r="S2736" s="1" t="s">
        <v>13742</v>
      </c>
      <c r="T2736" s="1">
        <v>1</v>
      </c>
      <c r="U2736" s="1">
        <v>1</v>
      </c>
      <c r="V2736" s="1">
        <v>0</v>
      </c>
      <c r="W2736" s="1">
        <v>0</v>
      </c>
      <c r="X2736" s="1">
        <v>0</v>
      </c>
      <c r="Y2736" s="1" t="s">
        <v>104</v>
      </c>
      <c r="Z2736" s="1" t="s">
        <v>104</v>
      </c>
      <c r="AA2736" s="1" t="s">
        <v>104</v>
      </c>
      <c r="AB2736" s="1" t="s">
        <v>104</v>
      </c>
      <c r="AC2736" s="1" t="s">
        <v>104</v>
      </c>
      <c r="AD2736" s="1">
        <v>2</v>
      </c>
      <c r="AE2736" s="1" t="s">
        <v>104</v>
      </c>
      <c r="AF2736" s="1" t="s">
        <v>104</v>
      </c>
      <c r="AG2736" s="1" t="s">
        <v>104</v>
      </c>
      <c r="AH2736" s="1" t="s">
        <v>104</v>
      </c>
      <c r="AI2736" s="1" t="s">
        <v>104</v>
      </c>
      <c r="AJ2736" s="1" t="s">
        <v>104</v>
      </c>
      <c r="AK2736" s="1" t="s">
        <v>104</v>
      </c>
      <c r="AL2736" s="1" t="s">
        <v>104</v>
      </c>
      <c r="AM2736" s="1" t="s">
        <v>104</v>
      </c>
      <c r="AO2736" s="1">
        <v>2</v>
      </c>
      <c r="AR2736" s="1">
        <v>0</v>
      </c>
      <c r="AS2736" s="1">
        <v>0</v>
      </c>
      <c r="AT2736" s="1">
        <v>0</v>
      </c>
      <c r="AU2736" s="1">
        <v>0</v>
      </c>
      <c r="AV2736" s="1">
        <v>0</v>
      </c>
      <c r="AW2736" s="1">
        <v>0</v>
      </c>
      <c r="AX2736" s="1">
        <v>0</v>
      </c>
      <c r="AY2736" s="1">
        <v>0</v>
      </c>
      <c r="AZ2736" s="1">
        <v>0</v>
      </c>
      <c r="BA2736" s="1">
        <v>0</v>
      </c>
      <c r="BB2736" s="1">
        <v>0</v>
      </c>
      <c r="BC2736" s="1">
        <v>0</v>
      </c>
      <c r="BD2736" s="1">
        <v>0</v>
      </c>
      <c r="BE2736" s="1">
        <v>0</v>
      </c>
      <c r="BF2736" s="1">
        <v>0</v>
      </c>
      <c r="BG2736" s="1">
        <v>0</v>
      </c>
      <c r="BH2736" s="1">
        <v>0</v>
      </c>
      <c r="BI2736" s="1">
        <v>0</v>
      </c>
      <c r="BJ2736" s="1">
        <v>0</v>
      </c>
      <c r="BK2736" s="1">
        <v>1</v>
      </c>
      <c r="BL2736" s="1">
        <v>0</v>
      </c>
      <c r="BM2736" s="1">
        <v>0</v>
      </c>
      <c r="BN2736" s="1">
        <v>0</v>
      </c>
      <c r="BO2736" s="1">
        <v>0</v>
      </c>
      <c r="BP2736" s="1">
        <v>0</v>
      </c>
      <c r="BQ2736" s="1" t="s">
        <v>104</v>
      </c>
      <c r="BR2736" s="1">
        <v>4863</v>
      </c>
      <c r="BS2736" s="1" t="s">
        <v>104</v>
      </c>
      <c r="BX2736" s="1">
        <v>0</v>
      </c>
      <c r="BY2736" s="1" t="s">
        <v>104</v>
      </c>
      <c r="BZ2736" s="1" t="s">
        <v>104</v>
      </c>
      <c r="CA2736" s="1" t="s">
        <v>104</v>
      </c>
      <c r="CB2736" s="1" t="s">
        <v>104</v>
      </c>
      <c r="CC2736" s="1" t="s">
        <v>104</v>
      </c>
      <c r="CD2736" s="1" t="s">
        <v>104</v>
      </c>
      <c r="CE2736" s="1" t="s">
        <v>104</v>
      </c>
      <c r="CF2736" s="1" t="s">
        <v>104</v>
      </c>
      <c r="CG2736" s="1" t="s">
        <v>104</v>
      </c>
      <c r="CH2736" s="1" t="s">
        <v>104</v>
      </c>
      <c r="CJ2736" s="1">
        <v>0</v>
      </c>
      <c r="CK2736" s="1">
        <v>0</v>
      </c>
      <c r="CL2736" s="1">
        <v>0</v>
      </c>
      <c r="CM2736" s="1" t="s">
        <v>104</v>
      </c>
    </row>
    <row r="2737" spans="1:91" ht="14.25" customHeight="1" x14ac:dyDescent="0.3">
      <c r="A2737" s="1" t="s">
        <v>13778</v>
      </c>
      <c r="B2737" s="1" t="s">
        <v>507</v>
      </c>
      <c r="C2737" s="1" t="s">
        <v>508</v>
      </c>
      <c r="E2737" s="1" t="s">
        <v>13779</v>
      </c>
      <c r="F2737" s="1" t="s">
        <v>95</v>
      </c>
      <c r="G2737" s="1" t="s">
        <v>116</v>
      </c>
      <c r="H2737" s="1">
        <v>0</v>
      </c>
      <c r="I2737" s="1" t="s">
        <v>157</v>
      </c>
      <c r="M2737" s="1" t="s">
        <v>13780</v>
      </c>
      <c r="N2737" s="1">
        <v>0</v>
      </c>
      <c r="O2737" s="1">
        <v>0</v>
      </c>
      <c r="P2737" s="1" t="s">
        <v>100</v>
      </c>
      <c r="Q2737" s="1" t="s">
        <v>101</v>
      </c>
      <c r="R2737" s="1" t="s">
        <v>13781</v>
      </c>
      <c r="S2737" s="1" t="s">
        <v>13742</v>
      </c>
      <c r="T2737" s="1">
        <v>1</v>
      </c>
      <c r="U2737" s="1">
        <v>1</v>
      </c>
      <c r="V2737" s="1">
        <v>0</v>
      </c>
      <c r="W2737" s="1">
        <v>0</v>
      </c>
      <c r="X2737" s="1">
        <v>0</v>
      </c>
      <c r="Y2737" s="1">
        <v>5</v>
      </c>
      <c r="Z2737" s="1">
        <v>5</v>
      </c>
      <c r="AA2737" s="1" t="s">
        <v>104</v>
      </c>
      <c r="AB2737" s="1" t="s">
        <v>104</v>
      </c>
      <c r="AC2737" s="1" t="s">
        <v>104</v>
      </c>
      <c r="AD2737" s="1">
        <v>5</v>
      </c>
      <c r="AE2737" s="1" t="s">
        <v>104</v>
      </c>
      <c r="AF2737" s="1" t="s">
        <v>104</v>
      </c>
      <c r="AG2737" s="1" t="s">
        <v>104</v>
      </c>
      <c r="AH2737" s="1" t="s">
        <v>104</v>
      </c>
      <c r="AI2737" s="1" t="s">
        <v>104</v>
      </c>
      <c r="AJ2737" s="1" t="s">
        <v>104</v>
      </c>
      <c r="AK2737" s="1" t="s">
        <v>104</v>
      </c>
      <c r="AL2737" s="1" t="s">
        <v>104</v>
      </c>
      <c r="AM2737" s="1" t="s">
        <v>104</v>
      </c>
      <c r="AO2737" s="1">
        <v>5</v>
      </c>
      <c r="AR2737" s="1">
        <v>0</v>
      </c>
      <c r="AS2737" s="1">
        <v>0</v>
      </c>
      <c r="AT2737" s="1">
        <v>0</v>
      </c>
      <c r="AU2737" s="1">
        <v>0</v>
      </c>
      <c r="AV2737" s="1">
        <v>0</v>
      </c>
      <c r="AW2737" s="1">
        <v>0</v>
      </c>
      <c r="AX2737" s="1">
        <v>0</v>
      </c>
      <c r="AY2737" s="1">
        <v>0</v>
      </c>
      <c r="AZ2737" s="1">
        <v>0</v>
      </c>
      <c r="BA2737" s="1">
        <v>0</v>
      </c>
      <c r="BB2737" s="1">
        <v>0</v>
      </c>
      <c r="BC2737" s="1">
        <v>0</v>
      </c>
      <c r="BD2737" s="1">
        <v>0</v>
      </c>
      <c r="BE2737" s="1">
        <v>0</v>
      </c>
      <c r="BF2737" s="1">
        <v>0</v>
      </c>
      <c r="BG2737" s="1">
        <v>0</v>
      </c>
      <c r="BH2737" s="1">
        <v>0</v>
      </c>
      <c r="BI2737" s="1">
        <v>0</v>
      </c>
      <c r="BJ2737" s="1">
        <v>0</v>
      </c>
      <c r="BK2737" s="1">
        <v>0</v>
      </c>
      <c r="BL2737" s="1">
        <v>0</v>
      </c>
      <c r="BM2737" s="1">
        <v>0</v>
      </c>
      <c r="BN2737" s="1">
        <v>0</v>
      </c>
      <c r="BO2737" s="1">
        <v>0</v>
      </c>
      <c r="BP2737" s="1">
        <v>0</v>
      </c>
      <c r="BQ2737" s="1" t="s">
        <v>104</v>
      </c>
      <c r="BR2737" s="1">
        <v>4864</v>
      </c>
      <c r="BS2737" s="1" t="s">
        <v>104</v>
      </c>
      <c r="BX2737" s="1">
        <v>0</v>
      </c>
      <c r="BY2737" s="1" t="s">
        <v>104</v>
      </c>
      <c r="BZ2737" s="1" t="s">
        <v>104</v>
      </c>
      <c r="CA2737" s="1">
        <v>5</v>
      </c>
      <c r="CB2737" s="1" t="s">
        <v>104</v>
      </c>
      <c r="CC2737" s="1">
        <v>5</v>
      </c>
      <c r="CD2737" s="1" t="s">
        <v>104</v>
      </c>
      <c r="CE2737" s="1" t="s">
        <v>104</v>
      </c>
      <c r="CF2737" s="1" t="s">
        <v>104</v>
      </c>
      <c r="CG2737" s="1" t="s">
        <v>104</v>
      </c>
      <c r="CH2737" s="1" t="s">
        <v>104</v>
      </c>
      <c r="CJ2737" s="1">
        <v>0</v>
      </c>
      <c r="CK2737" s="1">
        <v>0</v>
      </c>
      <c r="CL2737" s="1">
        <v>0</v>
      </c>
      <c r="CM2737" s="1" t="s">
        <v>104</v>
      </c>
    </row>
    <row r="2738" spans="1:91" ht="14.25" customHeight="1" x14ac:dyDescent="0.3">
      <c r="A2738" s="1" t="s">
        <v>13782</v>
      </c>
      <c r="B2738" s="1" t="s">
        <v>123</v>
      </c>
      <c r="D2738" s="1" t="s">
        <v>347</v>
      </c>
      <c r="E2738" s="1" t="s">
        <v>13783</v>
      </c>
      <c r="F2738" s="1" t="s">
        <v>95</v>
      </c>
      <c r="G2738" s="1" t="s">
        <v>116</v>
      </c>
      <c r="H2738" s="1">
        <v>0</v>
      </c>
      <c r="I2738" s="1" t="s">
        <v>117</v>
      </c>
      <c r="L2738" s="1" t="s">
        <v>1065</v>
      </c>
      <c r="M2738" s="1" t="s">
        <v>13784</v>
      </c>
      <c r="N2738" s="1">
        <v>0</v>
      </c>
      <c r="O2738" s="1">
        <v>0</v>
      </c>
      <c r="P2738" s="1" t="s">
        <v>211</v>
      </c>
      <c r="Q2738" s="1" t="s">
        <v>184</v>
      </c>
      <c r="R2738" s="1" t="s">
        <v>13785</v>
      </c>
      <c r="S2738" s="1" t="s">
        <v>13742</v>
      </c>
      <c r="T2738" s="1">
        <v>1</v>
      </c>
      <c r="U2738" s="1">
        <v>1</v>
      </c>
      <c r="V2738" s="1">
        <v>0</v>
      </c>
      <c r="W2738" s="1">
        <v>0</v>
      </c>
      <c r="X2738" s="1">
        <v>0</v>
      </c>
      <c r="Y2738" s="1">
        <v>2</v>
      </c>
      <c r="Z2738" s="1">
        <v>2</v>
      </c>
      <c r="AA2738" s="1" t="s">
        <v>104</v>
      </c>
      <c r="AB2738" s="1" t="s">
        <v>104</v>
      </c>
      <c r="AC2738" s="1" t="s">
        <v>104</v>
      </c>
      <c r="AD2738" s="1">
        <v>2</v>
      </c>
      <c r="AE2738" s="1" t="s">
        <v>104</v>
      </c>
      <c r="AF2738" s="1" t="s">
        <v>104</v>
      </c>
      <c r="AG2738" s="1" t="s">
        <v>104</v>
      </c>
      <c r="AH2738" s="1" t="s">
        <v>104</v>
      </c>
      <c r="AI2738" s="1">
        <v>2</v>
      </c>
      <c r="AJ2738" s="1" t="s">
        <v>104</v>
      </c>
      <c r="AK2738" s="1">
        <v>1</v>
      </c>
      <c r="AL2738" s="1" t="s">
        <v>104</v>
      </c>
      <c r="AM2738" s="1" t="s">
        <v>104</v>
      </c>
      <c r="AO2738" s="1">
        <v>2</v>
      </c>
      <c r="AR2738" s="1">
        <v>0</v>
      </c>
      <c r="AS2738" s="1">
        <v>0</v>
      </c>
      <c r="AT2738" s="1">
        <v>0</v>
      </c>
      <c r="AU2738" s="1">
        <v>0</v>
      </c>
      <c r="AV2738" s="1">
        <v>0</v>
      </c>
      <c r="AW2738" s="1">
        <v>0</v>
      </c>
      <c r="AX2738" s="1">
        <v>0</v>
      </c>
      <c r="AY2738" s="1">
        <v>0</v>
      </c>
      <c r="AZ2738" s="1">
        <v>0</v>
      </c>
      <c r="BA2738" s="1">
        <v>0</v>
      </c>
      <c r="BB2738" s="1">
        <v>0</v>
      </c>
      <c r="BC2738" s="1">
        <v>0</v>
      </c>
      <c r="BD2738" s="1">
        <v>1</v>
      </c>
      <c r="BE2738" s="1">
        <v>0</v>
      </c>
      <c r="BF2738" s="1">
        <v>0</v>
      </c>
      <c r="BG2738" s="1">
        <v>0</v>
      </c>
      <c r="BH2738" s="1">
        <v>0</v>
      </c>
      <c r="BI2738" s="1">
        <v>0</v>
      </c>
      <c r="BJ2738" s="1">
        <v>0</v>
      </c>
      <c r="BK2738" s="1">
        <v>1</v>
      </c>
      <c r="BL2738" s="1">
        <v>0</v>
      </c>
      <c r="BM2738" s="1">
        <v>0</v>
      </c>
      <c r="BN2738" s="1">
        <v>0</v>
      </c>
      <c r="BO2738" s="1">
        <v>0</v>
      </c>
      <c r="BP2738" s="1">
        <v>0</v>
      </c>
      <c r="BQ2738" s="1" t="s">
        <v>104</v>
      </c>
      <c r="BR2738" s="1">
        <v>4865</v>
      </c>
      <c r="BS2738" s="1" t="s">
        <v>104</v>
      </c>
      <c r="BX2738" s="1">
        <v>0</v>
      </c>
      <c r="BY2738" s="1" t="s">
        <v>104</v>
      </c>
      <c r="BZ2738" s="1" t="s">
        <v>104</v>
      </c>
      <c r="CA2738" s="1">
        <v>2</v>
      </c>
      <c r="CB2738" s="1" t="s">
        <v>104</v>
      </c>
      <c r="CC2738" s="1">
        <v>2</v>
      </c>
      <c r="CD2738" s="1" t="s">
        <v>104</v>
      </c>
      <c r="CE2738" s="1" t="s">
        <v>104</v>
      </c>
      <c r="CF2738" s="1" t="s">
        <v>104</v>
      </c>
      <c r="CG2738" s="1" t="s">
        <v>104</v>
      </c>
      <c r="CH2738" s="1" t="s">
        <v>104</v>
      </c>
      <c r="CJ2738" s="1">
        <v>0</v>
      </c>
      <c r="CK2738" s="1">
        <v>0</v>
      </c>
      <c r="CL2738" s="1">
        <v>0</v>
      </c>
      <c r="CM2738" s="1" t="s">
        <v>104</v>
      </c>
    </row>
    <row r="2739" spans="1:91" ht="14.25" customHeight="1" x14ac:dyDescent="0.3">
      <c r="A2739" s="1" t="s">
        <v>13786</v>
      </c>
      <c r="B2739" s="1" t="s">
        <v>507</v>
      </c>
      <c r="C2739" s="1" t="s">
        <v>1308</v>
      </c>
      <c r="E2739" s="1" t="s">
        <v>13787</v>
      </c>
      <c r="F2739" s="1" t="s">
        <v>95</v>
      </c>
      <c r="G2739" s="1" t="s">
        <v>13788</v>
      </c>
      <c r="H2739" s="1">
        <v>0</v>
      </c>
      <c r="I2739" s="1" t="s">
        <v>128</v>
      </c>
      <c r="L2739" s="1" t="s">
        <v>13789</v>
      </c>
      <c r="M2739" s="1" t="s">
        <v>5573</v>
      </c>
      <c r="N2739" s="1">
        <v>1</v>
      </c>
      <c r="O2739" s="1">
        <v>0</v>
      </c>
      <c r="P2739" s="1" t="s">
        <v>195</v>
      </c>
      <c r="Q2739" s="1" t="s">
        <v>101</v>
      </c>
      <c r="R2739" s="1" t="s">
        <v>13790</v>
      </c>
      <c r="S2739" s="1" t="s">
        <v>13742</v>
      </c>
      <c r="T2739" s="1">
        <v>1</v>
      </c>
      <c r="U2739" s="1">
        <v>1</v>
      </c>
      <c r="V2739" s="1">
        <v>1</v>
      </c>
      <c r="W2739" s="1">
        <v>0</v>
      </c>
      <c r="X2739" s="1">
        <v>0</v>
      </c>
      <c r="Y2739" s="1">
        <v>2</v>
      </c>
      <c r="Z2739" s="1">
        <v>2</v>
      </c>
      <c r="AA2739" s="1" t="s">
        <v>104</v>
      </c>
      <c r="AB2739" s="1" t="s">
        <v>104</v>
      </c>
      <c r="AC2739" s="1" t="s">
        <v>104</v>
      </c>
      <c r="AD2739" s="1">
        <v>2</v>
      </c>
      <c r="AE2739" s="1" t="s">
        <v>104</v>
      </c>
      <c r="AF2739" s="1" t="s">
        <v>104</v>
      </c>
      <c r="AG2739" s="1" t="s">
        <v>104</v>
      </c>
      <c r="AH2739" s="1" t="s">
        <v>104</v>
      </c>
      <c r="AI2739" s="1" t="s">
        <v>104</v>
      </c>
      <c r="AJ2739" s="1" t="s">
        <v>104</v>
      </c>
      <c r="AK2739" s="1" t="s">
        <v>104</v>
      </c>
      <c r="AL2739" s="1" t="s">
        <v>104</v>
      </c>
      <c r="AM2739" s="1" t="s">
        <v>104</v>
      </c>
      <c r="AO2739" s="1">
        <v>2</v>
      </c>
      <c r="AR2739" s="1">
        <v>0</v>
      </c>
      <c r="AS2739" s="1">
        <v>0</v>
      </c>
      <c r="AT2739" s="1">
        <v>0</v>
      </c>
      <c r="AU2739" s="1">
        <v>0</v>
      </c>
      <c r="AV2739" s="1">
        <v>0</v>
      </c>
      <c r="AW2739" s="1">
        <v>0</v>
      </c>
      <c r="AX2739" s="1">
        <v>0</v>
      </c>
      <c r="AY2739" s="1">
        <v>0</v>
      </c>
      <c r="AZ2739" s="1">
        <v>0</v>
      </c>
      <c r="BA2739" s="1">
        <v>0</v>
      </c>
      <c r="BB2739" s="1">
        <v>0</v>
      </c>
      <c r="BC2739" s="1">
        <v>0</v>
      </c>
      <c r="BD2739" s="1">
        <v>0</v>
      </c>
      <c r="BE2739" s="1">
        <v>0</v>
      </c>
      <c r="BF2739" s="1">
        <v>0</v>
      </c>
      <c r="BG2739" s="1">
        <v>0</v>
      </c>
      <c r="BH2739" s="1">
        <v>0</v>
      </c>
      <c r="BI2739" s="1">
        <v>0</v>
      </c>
      <c r="BJ2739" s="1">
        <v>0</v>
      </c>
      <c r="BK2739" s="1">
        <v>0</v>
      </c>
      <c r="BL2739" s="1">
        <v>0</v>
      </c>
      <c r="BM2739" s="1">
        <v>0</v>
      </c>
      <c r="BN2739" s="1">
        <v>0</v>
      </c>
      <c r="BO2739" s="1">
        <v>0</v>
      </c>
      <c r="BP2739" s="1">
        <v>0</v>
      </c>
      <c r="BQ2739" s="1" t="s">
        <v>104</v>
      </c>
      <c r="BR2739" s="1">
        <v>4866</v>
      </c>
      <c r="BS2739" s="1" t="s">
        <v>104</v>
      </c>
      <c r="BX2739" s="1">
        <v>0</v>
      </c>
      <c r="BY2739" s="1" t="s">
        <v>104</v>
      </c>
      <c r="BZ2739" s="1" t="s">
        <v>104</v>
      </c>
      <c r="CA2739" s="1">
        <v>2</v>
      </c>
      <c r="CB2739" s="1" t="s">
        <v>104</v>
      </c>
      <c r="CC2739" s="1">
        <v>2</v>
      </c>
      <c r="CD2739" s="1">
        <v>2</v>
      </c>
      <c r="CE2739" s="1" t="s">
        <v>104</v>
      </c>
      <c r="CF2739" s="1" t="s">
        <v>104</v>
      </c>
      <c r="CG2739" s="1" t="s">
        <v>104</v>
      </c>
      <c r="CH2739" s="1" t="s">
        <v>104</v>
      </c>
      <c r="CJ2739" s="1">
        <v>0</v>
      </c>
      <c r="CK2739" s="1">
        <v>0</v>
      </c>
      <c r="CL2739" s="1">
        <v>0</v>
      </c>
      <c r="CM2739" s="1" t="s">
        <v>104</v>
      </c>
    </row>
    <row r="2740" spans="1:91" ht="14.25" customHeight="1" x14ac:dyDescent="0.3">
      <c r="A2740" s="1" t="s">
        <v>13791</v>
      </c>
      <c r="B2740" s="1" t="s">
        <v>507</v>
      </c>
      <c r="C2740" s="1" t="s">
        <v>508</v>
      </c>
      <c r="E2740" s="1" t="s">
        <v>13787</v>
      </c>
      <c r="F2740" s="1" t="s">
        <v>95</v>
      </c>
      <c r="G2740" s="1" t="s">
        <v>2367</v>
      </c>
      <c r="H2740" s="1">
        <v>0</v>
      </c>
      <c r="I2740" s="1" t="s">
        <v>128</v>
      </c>
      <c r="L2740" s="1" t="s">
        <v>2368</v>
      </c>
      <c r="M2740" s="1" t="s">
        <v>4400</v>
      </c>
      <c r="N2740" s="1">
        <v>1</v>
      </c>
      <c r="O2740" s="1">
        <v>0</v>
      </c>
      <c r="P2740" s="1" t="s">
        <v>6053</v>
      </c>
      <c r="Q2740" s="1" t="s">
        <v>101</v>
      </c>
      <c r="R2740" s="1" t="s">
        <v>13792</v>
      </c>
      <c r="S2740" s="1" t="s">
        <v>13742</v>
      </c>
      <c r="T2740" s="1">
        <v>1</v>
      </c>
      <c r="U2740" s="1">
        <v>1</v>
      </c>
      <c r="V2740" s="1">
        <v>0</v>
      </c>
      <c r="W2740" s="1">
        <v>0</v>
      </c>
      <c r="X2740" s="1">
        <v>0</v>
      </c>
      <c r="Y2740" s="1">
        <v>2</v>
      </c>
      <c r="Z2740" s="1">
        <v>2</v>
      </c>
      <c r="AA2740" s="1" t="s">
        <v>104</v>
      </c>
      <c r="AB2740" s="1" t="s">
        <v>104</v>
      </c>
      <c r="AC2740" s="1" t="s">
        <v>104</v>
      </c>
      <c r="AD2740" s="1">
        <v>2</v>
      </c>
      <c r="AE2740" s="1" t="s">
        <v>104</v>
      </c>
      <c r="AF2740" s="1" t="s">
        <v>104</v>
      </c>
      <c r="AG2740" s="1" t="s">
        <v>104</v>
      </c>
      <c r="AH2740" s="1" t="s">
        <v>104</v>
      </c>
      <c r="AI2740" s="1" t="s">
        <v>104</v>
      </c>
      <c r="AJ2740" s="1" t="s">
        <v>104</v>
      </c>
      <c r="AK2740" s="1" t="s">
        <v>104</v>
      </c>
      <c r="AL2740" s="1" t="s">
        <v>104</v>
      </c>
      <c r="AM2740" s="1" t="s">
        <v>104</v>
      </c>
      <c r="AO2740" s="1">
        <v>2</v>
      </c>
      <c r="AR2740" s="1">
        <v>0</v>
      </c>
      <c r="AS2740" s="1">
        <v>0</v>
      </c>
      <c r="AT2740" s="1">
        <v>0</v>
      </c>
      <c r="AU2740" s="1">
        <v>0</v>
      </c>
      <c r="AV2740" s="1">
        <v>0</v>
      </c>
      <c r="AW2740" s="1">
        <v>0</v>
      </c>
      <c r="AX2740" s="1">
        <v>0</v>
      </c>
      <c r="AY2740" s="1">
        <v>0</v>
      </c>
      <c r="AZ2740" s="1">
        <v>0</v>
      </c>
      <c r="BA2740" s="1">
        <v>0</v>
      </c>
      <c r="BB2740" s="1">
        <v>0</v>
      </c>
      <c r="BC2740" s="1">
        <v>0</v>
      </c>
      <c r="BD2740" s="1">
        <v>0</v>
      </c>
      <c r="BE2740" s="1">
        <v>0</v>
      </c>
      <c r="BF2740" s="1">
        <v>0</v>
      </c>
      <c r="BG2740" s="1">
        <v>0</v>
      </c>
      <c r="BH2740" s="1">
        <v>0</v>
      </c>
      <c r="BI2740" s="1">
        <v>0</v>
      </c>
      <c r="BJ2740" s="1">
        <v>0</v>
      </c>
      <c r="BK2740" s="1">
        <v>0</v>
      </c>
      <c r="BL2740" s="1">
        <v>0</v>
      </c>
      <c r="BM2740" s="1">
        <v>0</v>
      </c>
      <c r="BN2740" s="1">
        <v>0</v>
      </c>
      <c r="BO2740" s="1">
        <v>0</v>
      </c>
      <c r="BP2740" s="1">
        <v>0</v>
      </c>
      <c r="BQ2740" s="1" t="s">
        <v>104</v>
      </c>
      <c r="BR2740" s="1">
        <v>4867</v>
      </c>
      <c r="BS2740" s="1" t="s">
        <v>104</v>
      </c>
      <c r="BX2740" s="1">
        <v>0</v>
      </c>
      <c r="BY2740" s="1" t="s">
        <v>104</v>
      </c>
      <c r="BZ2740" s="1" t="s">
        <v>104</v>
      </c>
      <c r="CA2740" s="1">
        <v>2</v>
      </c>
      <c r="CB2740" s="1" t="s">
        <v>104</v>
      </c>
      <c r="CC2740" s="1">
        <v>2</v>
      </c>
      <c r="CD2740" s="1">
        <v>2</v>
      </c>
      <c r="CE2740" s="1" t="s">
        <v>104</v>
      </c>
      <c r="CF2740" s="1" t="s">
        <v>104</v>
      </c>
      <c r="CG2740" s="1" t="s">
        <v>104</v>
      </c>
      <c r="CH2740" s="1" t="s">
        <v>104</v>
      </c>
      <c r="CJ2740" s="1">
        <v>0</v>
      </c>
      <c r="CK2740" s="1">
        <v>0</v>
      </c>
      <c r="CL2740" s="1">
        <v>0</v>
      </c>
      <c r="CM2740" s="1" t="s">
        <v>104</v>
      </c>
    </row>
    <row r="2741" spans="1:91" ht="14.25" customHeight="1" x14ac:dyDescent="0.3">
      <c r="A2741" s="1" t="s">
        <v>13793</v>
      </c>
      <c r="B2741" s="1" t="s">
        <v>137</v>
      </c>
      <c r="E2741" s="1" t="s">
        <v>13794</v>
      </c>
      <c r="F2741" s="1" t="s">
        <v>95</v>
      </c>
      <c r="G2741" s="1" t="s">
        <v>116</v>
      </c>
      <c r="H2741" s="1">
        <v>0</v>
      </c>
      <c r="I2741" s="1" t="s">
        <v>157</v>
      </c>
      <c r="L2741" s="1" t="s">
        <v>158</v>
      </c>
      <c r="M2741" s="1" t="s">
        <v>4332</v>
      </c>
      <c r="N2741" s="1">
        <v>0</v>
      </c>
      <c r="O2741" s="1">
        <v>0</v>
      </c>
      <c r="R2741" s="1" t="s">
        <v>13795</v>
      </c>
      <c r="S2741" s="1" t="s">
        <v>13796</v>
      </c>
      <c r="T2741" s="1">
        <v>1</v>
      </c>
      <c r="U2741" s="1">
        <v>1</v>
      </c>
      <c r="V2741" s="1">
        <v>0</v>
      </c>
      <c r="W2741" s="1">
        <v>0</v>
      </c>
      <c r="X2741" s="1">
        <v>0</v>
      </c>
      <c r="Y2741" s="1">
        <v>2</v>
      </c>
      <c r="Z2741" s="1">
        <v>2</v>
      </c>
      <c r="AA2741" s="1" t="s">
        <v>104</v>
      </c>
      <c r="AB2741" s="1">
        <v>2</v>
      </c>
      <c r="AC2741" s="1" t="s">
        <v>104</v>
      </c>
      <c r="AD2741" s="1" t="s">
        <v>104</v>
      </c>
      <c r="AE2741" s="1" t="s">
        <v>104</v>
      </c>
      <c r="AF2741" s="1">
        <v>2</v>
      </c>
      <c r="AG2741" s="1" t="s">
        <v>104</v>
      </c>
      <c r="AH2741" s="1">
        <v>2</v>
      </c>
      <c r="AI2741" s="1" t="s">
        <v>104</v>
      </c>
      <c r="AJ2741" s="1" t="s">
        <v>104</v>
      </c>
      <c r="AK2741" s="1" t="s">
        <v>104</v>
      </c>
      <c r="AL2741" s="1" t="s">
        <v>104</v>
      </c>
      <c r="AM2741" s="1" t="s">
        <v>104</v>
      </c>
      <c r="AO2741" s="1">
        <v>2</v>
      </c>
      <c r="AR2741" s="1">
        <v>0</v>
      </c>
      <c r="AS2741" s="1">
        <v>0</v>
      </c>
      <c r="AT2741" s="1">
        <v>0</v>
      </c>
      <c r="AU2741" s="1">
        <v>0</v>
      </c>
      <c r="AV2741" s="1">
        <v>0</v>
      </c>
      <c r="AW2741" s="1">
        <v>0</v>
      </c>
      <c r="AX2741" s="1">
        <v>0</v>
      </c>
      <c r="AY2741" s="1">
        <v>0</v>
      </c>
      <c r="AZ2741" s="1">
        <v>0</v>
      </c>
      <c r="BA2741" s="1">
        <v>0</v>
      </c>
      <c r="BB2741" s="1">
        <v>0</v>
      </c>
      <c r="BC2741" s="1">
        <v>0</v>
      </c>
      <c r="BD2741" s="1">
        <v>0</v>
      </c>
      <c r="BE2741" s="1">
        <v>0</v>
      </c>
      <c r="BF2741" s="1">
        <v>0</v>
      </c>
      <c r="BG2741" s="1">
        <v>0</v>
      </c>
      <c r="BH2741" s="1">
        <v>0</v>
      </c>
      <c r="BI2741" s="1">
        <v>0</v>
      </c>
      <c r="BJ2741" s="1">
        <v>0</v>
      </c>
      <c r="BK2741" s="1">
        <v>0</v>
      </c>
      <c r="BL2741" s="1">
        <v>0</v>
      </c>
      <c r="BM2741" s="1">
        <v>0</v>
      </c>
      <c r="BN2741" s="1">
        <v>0</v>
      </c>
      <c r="BO2741" s="1">
        <v>0</v>
      </c>
      <c r="BP2741" s="1">
        <v>0</v>
      </c>
      <c r="BQ2741" s="1" t="s">
        <v>104</v>
      </c>
      <c r="BR2741" s="1">
        <v>4868</v>
      </c>
      <c r="BS2741" s="1" t="s">
        <v>104</v>
      </c>
      <c r="BX2741" s="1">
        <v>0</v>
      </c>
      <c r="BY2741" s="1" t="s">
        <v>104</v>
      </c>
      <c r="BZ2741" s="1" t="s">
        <v>104</v>
      </c>
      <c r="CA2741" s="1" t="s">
        <v>104</v>
      </c>
      <c r="CB2741" s="1" t="s">
        <v>104</v>
      </c>
      <c r="CC2741" s="1" t="s">
        <v>104</v>
      </c>
      <c r="CD2741" s="1" t="s">
        <v>104</v>
      </c>
      <c r="CE2741" s="1" t="s">
        <v>104</v>
      </c>
      <c r="CF2741" s="1" t="s">
        <v>104</v>
      </c>
      <c r="CG2741" s="1" t="s">
        <v>104</v>
      </c>
      <c r="CH2741" s="1">
        <v>2</v>
      </c>
      <c r="CJ2741" s="1">
        <v>0</v>
      </c>
      <c r="CK2741" s="1">
        <v>0</v>
      </c>
      <c r="CL2741" s="1">
        <v>0</v>
      </c>
      <c r="CM2741" s="1" t="s">
        <v>104</v>
      </c>
    </row>
    <row r="2742" spans="1:91" ht="14.25" customHeight="1" x14ac:dyDescent="0.3">
      <c r="A2742" s="1" t="s">
        <v>13797</v>
      </c>
      <c r="B2742" s="1" t="s">
        <v>137</v>
      </c>
      <c r="E2742" s="1" t="s">
        <v>8558</v>
      </c>
      <c r="F2742" s="1" t="s">
        <v>95</v>
      </c>
      <c r="G2742" s="1" t="s">
        <v>116</v>
      </c>
      <c r="H2742" s="1">
        <v>0</v>
      </c>
      <c r="I2742" s="1" t="s">
        <v>128</v>
      </c>
      <c r="L2742" s="1" t="s">
        <v>129</v>
      </c>
      <c r="M2742" s="1" t="s">
        <v>5942</v>
      </c>
      <c r="N2742" s="1">
        <v>0</v>
      </c>
      <c r="O2742" s="1">
        <v>0</v>
      </c>
      <c r="P2742" s="1" t="s">
        <v>6053</v>
      </c>
      <c r="Q2742" s="1" t="s">
        <v>184</v>
      </c>
      <c r="R2742" s="1" t="s">
        <v>13798</v>
      </c>
      <c r="S2742" s="1" t="s">
        <v>13796</v>
      </c>
      <c r="T2742" s="1">
        <v>1</v>
      </c>
      <c r="U2742" s="1">
        <v>1</v>
      </c>
      <c r="V2742" s="1">
        <v>0</v>
      </c>
      <c r="W2742" s="1">
        <v>0</v>
      </c>
      <c r="X2742" s="1">
        <v>0</v>
      </c>
      <c r="Y2742" s="1">
        <v>3</v>
      </c>
      <c r="Z2742" s="1">
        <v>3</v>
      </c>
      <c r="AA2742" s="1">
        <v>3</v>
      </c>
      <c r="AB2742" s="1">
        <v>3</v>
      </c>
      <c r="AC2742" s="1" t="s">
        <v>104</v>
      </c>
      <c r="AD2742" s="1" t="s">
        <v>104</v>
      </c>
      <c r="AE2742" s="1" t="s">
        <v>104</v>
      </c>
      <c r="AF2742" s="1" t="s">
        <v>104</v>
      </c>
      <c r="AG2742" s="1" t="s">
        <v>104</v>
      </c>
      <c r="AH2742" s="1">
        <v>3</v>
      </c>
      <c r="AI2742" s="1" t="s">
        <v>104</v>
      </c>
      <c r="AJ2742" s="1">
        <v>3</v>
      </c>
      <c r="AK2742" s="1" t="s">
        <v>104</v>
      </c>
      <c r="AL2742" s="1" t="s">
        <v>104</v>
      </c>
      <c r="AM2742" s="1" t="s">
        <v>104</v>
      </c>
      <c r="AO2742" s="1">
        <v>3</v>
      </c>
      <c r="AR2742" s="1">
        <v>0</v>
      </c>
      <c r="AS2742" s="1">
        <v>0</v>
      </c>
      <c r="AT2742" s="1">
        <v>0</v>
      </c>
      <c r="AU2742" s="1">
        <v>0</v>
      </c>
      <c r="AV2742" s="1">
        <v>0</v>
      </c>
      <c r="AW2742" s="1">
        <v>0</v>
      </c>
      <c r="AX2742" s="1">
        <v>0</v>
      </c>
      <c r="AY2742" s="1">
        <v>0</v>
      </c>
      <c r="AZ2742" s="1">
        <v>0</v>
      </c>
      <c r="BA2742" s="1">
        <v>0</v>
      </c>
      <c r="BB2742" s="1">
        <v>0</v>
      </c>
      <c r="BC2742" s="1">
        <v>0</v>
      </c>
      <c r="BD2742" s="1">
        <v>0</v>
      </c>
      <c r="BE2742" s="1">
        <v>0</v>
      </c>
      <c r="BF2742" s="1">
        <v>0</v>
      </c>
      <c r="BG2742" s="1">
        <v>0</v>
      </c>
      <c r="BH2742" s="1">
        <v>0</v>
      </c>
      <c r="BI2742" s="1">
        <v>0</v>
      </c>
      <c r="BJ2742" s="1">
        <v>0</v>
      </c>
      <c r="BK2742" s="1">
        <v>0</v>
      </c>
      <c r="BL2742" s="1">
        <v>0</v>
      </c>
      <c r="BM2742" s="1">
        <v>0</v>
      </c>
      <c r="BN2742" s="1">
        <v>0</v>
      </c>
      <c r="BO2742" s="1">
        <v>0</v>
      </c>
      <c r="BP2742" s="1">
        <v>0</v>
      </c>
      <c r="BQ2742" s="1" t="s">
        <v>104</v>
      </c>
      <c r="BR2742" s="1">
        <v>4869</v>
      </c>
      <c r="BS2742" s="1" t="s">
        <v>104</v>
      </c>
      <c r="BX2742" s="1">
        <v>0</v>
      </c>
      <c r="BY2742" s="1" t="s">
        <v>104</v>
      </c>
      <c r="BZ2742" s="1" t="s">
        <v>104</v>
      </c>
      <c r="CA2742" s="1" t="s">
        <v>104</v>
      </c>
      <c r="CB2742" s="1" t="s">
        <v>104</v>
      </c>
      <c r="CC2742" s="1" t="s">
        <v>104</v>
      </c>
      <c r="CD2742" s="1" t="s">
        <v>104</v>
      </c>
      <c r="CE2742" s="1" t="s">
        <v>104</v>
      </c>
      <c r="CF2742" s="1" t="s">
        <v>104</v>
      </c>
      <c r="CG2742" s="1" t="s">
        <v>104</v>
      </c>
      <c r="CH2742" s="1">
        <v>3</v>
      </c>
      <c r="CJ2742" s="1">
        <v>0</v>
      </c>
      <c r="CK2742" s="1">
        <v>0</v>
      </c>
      <c r="CL2742" s="1">
        <v>0</v>
      </c>
      <c r="CM2742" s="1" t="s">
        <v>104</v>
      </c>
    </row>
    <row r="2743" spans="1:91" ht="14.25" customHeight="1" x14ac:dyDescent="0.3">
      <c r="A2743" s="1" t="s">
        <v>13799</v>
      </c>
      <c r="B2743" s="1" t="s">
        <v>162</v>
      </c>
      <c r="E2743" s="1" t="s">
        <v>13800</v>
      </c>
      <c r="F2743" s="1" t="s">
        <v>95</v>
      </c>
      <c r="G2743" s="1" t="s">
        <v>13801</v>
      </c>
      <c r="H2743" s="1">
        <v>0</v>
      </c>
      <c r="I2743" s="1" t="s">
        <v>157</v>
      </c>
      <c r="L2743" s="1" t="s">
        <v>158</v>
      </c>
      <c r="M2743" s="1" t="s">
        <v>111</v>
      </c>
      <c r="N2743" s="1">
        <v>0</v>
      </c>
      <c r="O2743" s="1">
        <v>0</v>
      </c>
      <c r="P2743" s="1" t="s">
        <v>100</v>
      </c>
      <c r="Q2743" s="1" t="s">
        <v>101</v>
      </c>
      <c r="R2743" s="1" t="s">
        <v>13802</v>
      </c>
      <c r="S2743" s="1" t="s">
        <v>13803</v>
      </c>
      <c r="T2743" s="1">
        <v>1</v>
      </c>
      <c r="U2743" s="1">
        <v>1</v>
      </c>
      <c r="V2743" s="1">
        <v>0</v>
      </c>
      <c r="W2743" s="1">
        <v>0</v>
      </c>
      <c r="X2743" s="1">
        <v>0</v>
      </c>
      <c r="Y2743" s="1">
        <v>3</v>
      </c>
      <c r="Z2743" s="1">
        <v>3</v>
      </c>
      <c r="AA2743" s="1" t="s">
        <v>104</v>
      </c>
      <c r="AB2743" s="1" t="s">
        <v>104</v>
      </c>
      <c r="AC2743" s="1" t="s">
        <v>104</v>
      </c>
      <c r="AD2743" s="1">
        <v>3</v>
      </c>
      <c r="AE2743" s="1" t="s">
        <v>104</v>
      </c>
      <c r="AF2743" s="1" t="s">
        <v>104</v>
      </c>
      <c r="AG2743" s="1">
        <v>3</v>
      </c>
      <c r="AH2743" s="1" t="s">
        <v>104</v>
      </c>
      <c r="AI2743" s="1" t="s">
        <v>104</v>
      </c>
      <c r="AJ2743" s="1" t="s">
        <v>104</v>
      </c>
      <c r="AK2743" s="1" t="s">
        <v>104</v>
      </c>
      <c r="AL2743" s="1">
        <v>3</v>
      </c>
      <c r="AM2743" s="1" t="s">
        <v>104</v>
      </c>
      <c r="AO2743" s="1">
        <v>3</v>
      </c>
      <c r="AR2743" s="1">
        <v>0</v>
      </c>
      <c r="AS2743" s="1">
        <v>0</v>
      </c>
      <c r="AT2743" s="1">
        <v>0</v>
      </c>
      <c r="AU2743" s="1">
        <v>0</v>
      </c>
      <c r="AV2743" s="1">
        <v>0</v>
      </c>
      <c r="AW2743" s="1">
        <v>0</v>
      </c>
      <c r="AX2743" s="1">
        <v>0</v>
      </c>
      <c r="AY2743" s="1">
        <v>0</v>
      </c>
      <c r="AZ2743" s="1">
        <v>0</v>
      </c>
      <c r="BA2743" s="1">
        <v>0</v>
      </c>
      <c r="BB2743" s="1">
        <v>0</v>
      </c>
      <c r="BC2743" s="1">
        <v>0</v>
      </c>
      <c r="BD2743" s="1">
        <v>0</v>
      </c>
      <c r="BE2743" s="1">
        <v>0</v>
      </c>
      <c r="BF2743" s="1">
        <v>0</v>
      </c>
      <c r="BG2743" s="1">
        <v>0</v>
      </c>
      <c r="BH2743" s="1">
        <v>0</v>
      </c>
      <c r="BI2743" s="1">
        <v>0</v>
      </c>
      <c r="BJ2743" s="1">
        <v>0</v>
      </c>
      <c r="BK2743" s="1">
        <v>0</v>
      </c>
      <c r="BL2743" s="1">
        <v>0</v>
      </c>
      <c r="BM2743" s="1">
        <v>0</v>
      </c>
      <c r="BN2743" s="1">
        <v>0</v>
      </c>
      <c r="BO2743" s="1">
        <v>0</v>
      </c>
      <c r="BP2743" s="1">
        <v>0</v>
      </c>
      <c r="BQ2743" s="1" t="s">
        <v>104</v>
      </c>
      <c r="BR2743" s="1">
        <v>4870</v>
      </c>
      <c r="BS2743" s="1" t="s">
        <v>104</v>
      </c>
      <c r="BX2743" s="1">
        <v>0</v>
      </c>
      <c r="BY2743" s="1">
        <v>3</v>
      </c>
      <c r="BZ2743" s="1" t="s">
        <v>104</v>
      </c>
      <c r="CA2743" s="1" t="s">
        <v>104</v>
      </c>
      <c r="CB2743" s="1" t="s">
        <v>104</v>
      </c>
      <c r="CC2743" s="1" t="s">
        <v>104</v>
      </c>
      <c r="CD2743" s="1">
        <v>2</v>
      </c>
      <c r="CE2743" s="1" t="s">
        <v>104</v>
      </c>
      <c r="CF2743" s="1" t="s">
        <v>104</v>
      </c>
      <c r="CG2743" s="1" t="s">
        <v>104</v>
      </c>
      <c r="CH2743" s="1" t="s">
        <v>104</v>
      </c>
      <c r="CJ2743" s="1">
        <v>0</v>
      </c>
      <c r="CK2743" s="1">
        <v>0</v>
      </c>
      <c r="CL2743" s="1">
        <v>0</v>
      </c>
      <c r="CM2743" s="1">
        <v>3</v>
      </c>
    </row>
    <row r="2744" spans="1:91" ht="14.25" customHeight="1" x14ac:dyDescent="0.3">
      <c r="A2744" s="1" t="s">
        <v>13804</v>
      </c>
      <c r="B2744" s="1" t="s">
        <v>137</v>
      </c>
      <c r="E2744" s="1" t="s">
        <v>13805</v>
      </c>
      <c r="F2744" s="1" t="s">
        <v>95</v>
      </c>
      <c r="G2744" s="1" t="s">
        <v>13806</v>
      </c>
      <c r="H2744" s="1">
        <v>0</v>
      </c>
      <c r="I2744" s="1" t="s">
        <v>157</v>
      </c>
      <c r="L2744" s="1" t="s">
        <v>158</v>
      </c>
      <c r="M2744" s="1" t="s">
        <v>2330</v>
      </c>
      <c r="N2744" s="1">
        <v>0</v>
      </c>
      <c r="O2744" s="1">
        <v>0</v>
      </c>
      <c r="P2744" s="1" t="s">
        <v>100</v>
      </c>
      <c r="Q2744" s="1" t="s">
        <v>101</v>
      </c>
      <c r="R2744" s="1" t="s">
        <v>13807</v>
      </c>
      <c r="S2744" s="1" t="s">
        <v>13803</v>
      </c>
      <c r="T2744" s="1">
        <v>1</v>
      </c>
      <c r="U2744" s="1">
        <v>1</v>
      </c>
      <c r="V2744" s="1">
        <v>0</v>
      </c>
      <c r="W2744" s="1">
        <v>0</v>
      </c>
      <c r="X2744" s="1">
        <v>0</v>
      </c>
      <c r="Y2744" s="1">
        <v>2</v>
      </c>
      <c r="Z2744" s="1">
        <v>2</v>
      </c>
      <c r="AA2744" s="1" t="s">
        <v>104</v>
      </c>
      <c r="AB2744" s="1" t="s">
        <v>104</v>
      </c>
      <c r="AC2744" s="1" t="s">
        <v>104</v>
      </c>
      <c r="AD2744" s="1">
        <v>2</v>
      </c>
      <c r="AE2744" s="1" t="s">
        <v>104</v>
      </c>
      <c r="AF2744" s="1" t="s">
        <v>104</v>
      </c>
      <c r="AG2744" s="1" t="s">
        <v>104</v>
      </c>
      <c r="AH2744" s="1">
        <v>2</v>
      </c>
      <c r="AI2744" s="1">
        <v>2</v>
      </c>
      <c r="AJ2744" s="1" t="s">
        <v>104</v>
      </c>
      <c r="AK2744" s="1" t="s">
        <v>104</v>
      </c>
      <c r="AL2744" s="1" t="s">
        <v>104</v>
      </c>
      <c r="AM2744" s="1" t="s">
        <v>104</v>
      </c>
      <c r="AO2744" s="1">
        <v>2</v>
      </c>
      <c r="AR2744" s="1">
        <v>0</v>
      </c>
      <c r="AS2744" s="1">
        <v>0</v>
      </c>
      <c r="AT2744" s="1">
        <v>0</v>
      </c>
      <c r="AU2744" s="1">
        <v>0</v>
      </c>
      <c r="AV2744" s="1">
        <v>0</v>
      </c>
      <c r="AW2744" s="1">
        <v>0</v>
      </c>
      <c r="AX2744" s="1">
        <v>0</v>
      </c>
      <c r="AY2744" s="1">
        <v>0</v>
      </c>
      <c r="AZ2744" s="1">
        <v>0</v>
      </c>
      <c r="BA2744" s="1">
        <v>0</v>
      </c>
      <c r="BB2744" s="1">
        <v>0</v>
      </c>
      <c r="BC2744" s="1">
        <v>0</v>
      </c>
      <c r="BD2744" s="1">
        <v>0</v>
      </c>
      <c r="BE2744" s="1">
        <v>0</v>
      </c>
      <c r="BF2744" s="1">
        <v>0</v>
      </c>
      <c r="BG2744" s="1">
        <v>0</v>
      </c>
      <c r="BH2744" s="1">
        <v>0</v>
      </c>
      <c r="BI2744" s="1">
        <v>0</v>
      </c>
      <c r="BJ2744" s="1">
        <v>0</v>
      </c>
      <c r="BK2744" s="1">
        <v>0</v>
      </c>
      <c r="BL2744" s="1">
        <v>0</v>
      </c>
      <c r="BM2744" s="1">
        <v>0</v>
      </c>
      <c r="BN2744" s="1">
        <v>0</v>
      </c>
      <c r="BO2744" s="1">
        <v>0</v>
      </c>
      <c r="BP2744" s="1">
        <v>0</v>
      </c>
      <c r="BQ2744" s="1" t="s">
        <v>104</v>
      </c>
      <c r="BR2744" s="1">
        <v>4871</v>
      </c>
      <c r="BS2744" s="1" t="s">
        <v>104</v>
      </c>
      <c r="BX2744" s="1">
        <v>0</v>
      </c>
      <c r="BY2744" s="1" t="s">
        <v>104</v>
      </c>
      <c r="BZ2744" s="1">
        <v>2</v>
      </c>
      <c r="CA2744" s="1" t="s">
        <v>104</v>
      </c>
      <c r="CB2744" s="1" t="s">
        <v>104</v>
      </c>
      <c r="CC2744" s="1" t="s">
        <v>104</v>
      </c>
      <c r="CD2744" s="1">
        <v>2</v>
      </c>
      <c r="CE2744" s="1" t="s">
        <v>104</v>
      </c>
      <c r="CF2744" s="1" t="s">
        <v>104</v>
      </c>
      <c r="CG2744" s="1" t="s">
        <v>104</v>
      </c>
      <c r="CH2744" s="1" t="s">
        <v>104</v>
      </c>
      <c r="CJ2744" s="1">
        <v>0</v>
      </c>
      <c r="CK2744" s="1">
        <v>0</v>
      </c>
      <c r="CL2744" s="1">
        <v>0</v>
      </c>
      <c r="CM2744" s="1" t="s">
        <v>104</v>
      </c>
    </row>
    <row r="2745" spans="1:91" ht="14.25" customHeight="1" x14ac:dyDescent="0.3">
      <c r="A2745" s="1" t="s">
        <v>13808</v>
      </c>
      <c r="B2745" s="1" t="s">
        <v>137</v>
      </c>
      <c r="E2745" s="1" t="s">
        <v>13809</v>
      </c>
      <c r="F2745" s="1" t="s">
        <v>95</v>
      </c>
      <c r="G2745" s="1" t="s">
        <v>13810</v>
      </c>
      <c r="H2745" s="1">
        <v>0</v>
      </c>
      <c r="I2745" s="1" t="s">
        <v>157</v>
      </c>
      <c r="L2745" s="1" t="s">
        <v>158</v>
      </c>
      <c r="M2745" s="1" t="s">
        <v>2330</v>
      </c>
      <c r="N2745" s="1">
        <v>0</v>
      </c>
      <c r="O2745" s="1">
        <v>0</v>
      </c>
      <c r="P2745" s="1" t="s">
        <v>100</v>
      </c>
      <c r="Q2745" s="1" t="s">
        <v>101</v>
      </c>
      <c r="R2745" s="1" t="s">
        <v>13811</v>
      </c>
      <c r="S2745" s="1" t="s">
        <v>13803</v>
      </c>
      <c r="T2745" s="1">
        <v>1</v>
      </c>
      <c r="U2745" s="1">
        <v>1</v>
      </c>
      <c r="V2745" s="1">
        <v>0</v>
      </c>
      <c r="W2745" s="1">
        <v>0</v>
      </c>
      <c r="X2745" s="1">
        <v>0</v>
      </c>
      <c r="Y2745" s="1">
        <v>1</v>
      </c>
      <c r="Z2745" s="1">
        <v>1</v>
      </c>
      <c r="AA2745" s="1" t="s">
        <v>104</v>
      </c>
      <c r="AB2745" s="1" t="s">
        <v>104</v>
      </c>
      <c r="AC2745" s="1" t="s">
        <v>104</v>
      </c>
      <c r="AD2745" s="1">
        <v>1</v>
      </c>
      <c r="AE2745" s="1" t="s">
        <v>104</v>
      </c>
      <c r="AF2745" s="1" t="s">
        <v>104</v>
      </c>
      <c r="AG2745" s="1" t="s">
        <v>104</v>
      </c>
      <c r="AH2745" s="1" t="s">
        <v>104</v>
      </c>
      <c r="AI2745" s="1">
        <v>1</v>
      </c>
      <c r="AJ2745" s="1" t="s">
        <v>104</v>
      </c>
      <c r="AK2745" s="1" t="s">
        <v>104</v>
      </c>
      <c r="AL2745" s="1" t="s">
        <v>104</v>
      </c>
      <c r="AM2745" s="1" t="s">
        <v>104</v>
      </c>
      <c r="AO2745" s="1">
        <v>1</v>
      </c>
      <c r="AR2745" s="1">
        <v>0</v>
      </c>
      <c r="AS2745" s="1">
        <v>0</v>
      </c>
      <c r="AT2745" s="1">
        <v>0</v>
      </c>
      <c r="AU2745" s="1">
        <v>0</v>
      </c>
      <c r="AV2745" s="1">
        <v>0</v>
      </c>
      <c r="AW2745" s="1">
        <v>0</v>
      </c>
      <c r="AX2745" s="1">
        <v>0</v>
      </c>
      <c r="AY2745" s="1">
        <v>0</v>
      </c>
      <c r="AZ2745" s="1">
        <v>0</v>
      </c>
      <c r="BA2745" s="1">
        <v>0</v>
      </c>
      <c r="BB2745" s="1">
        <v>0</v>
      </c>
      <c r="BC2745" s="1">
        <v>0</v>
      </c>
      <c r="BD2745" s="1">
        <v>0</v>
      </c>
      <c r="BE2745" s="1">
        <v>0</v>
      </c>
      <c r="BF2745" s="1">
        <v>0</v>
      </c>
      <c r="BG2745" s="1">
        <v>0</v>
      </c>
      <c r="BH2745" s="1">
        <v>0</v>
      </c>
      <c r="BI2745" s="1">
        <v>0</v>
      </c>
      <c r="BJ2745" s="1">
        <v>0</v>
      </c>
      <c r="BK2745" s="1">
        <v>0</v>
      </c>
      <c r="BL2745" s="1">
        <v>0</v>
      </c>
      <c r="BM2745" s="1">
        <v>0</v>
      </c>
      <c r="BN2745" s="1">
        <v>0</v>
      </c>
      <c r="BO2745" s="1">
        <v>0</v>
      </c>
      <c r="BP2745" s="1">
        <v>0</v>
      </c>
      <c r="BQ2745" s="1" t="s">
        <v>104</v>
      </c>
      <c r="BR2745" s="1">
        <v>4872</v>
      </c>
      <c r="BS2745" s="1" t="s">
        <v>104</v>
      </c>
      <c r="BX2745" s="1">
        <v>0</v>
      </c>
      <c r="BY2745" s="1" t="s">
        <v>104</v>
      </c>
      <c r="BZ2745" s="1" t="s">
        <v>104</v>
      </c>
      <c r="CA2745" s="1" t="s">
        <v>104</v>
      </c>
      <c r="CB2745" s="1" t="s">
        <v>104</v>
      </c>
      <c r="CC2745" s="1" t="s">
        <v>104</v>
      </c>
      <c r="CD2745" s="1">
        <v>1</v>
      </c>
      <c r="CE2745" s="1" t="s">
        <v>104</v>
      </c>
      <c r="CF2745" s="1">
        <v>1</v>
      </c>
      <c r="CG2745" s="1" t="s">
        <v>104</v>
      </c>
      <c r="CH2745" s="1" t="s">
        <v>104</v>
      </c>
      <c r="CJ2745" s="1">
        <v>0</v>
      </c>
      <c r="CK2745" s="1">
        <v>0</v>
      </c>
      <c r="CL2745" s="1">
        <v>0</v>
      </c>
      <c r="CM2745" s="1" t="s">
        <v>104</v>
      </c>
    </row>
    <row r="2746" spans="1:91" ht="14.25" customHeight="1" x14ac:dyDescent="0.3">
      <c r="A2746" s="1" t="s">
        <v>13812</v>
      </c>
      <c r="B2746" s="1" t="s">
        <v>92</v>
      </c>
      <c r="C2746" s="1" t="s">
        <v>523</v>
      </c>
      <c r="E2746" s="1" t="s">
        <v>13813</v>
      </c>
      <c r="F2746" s="1" t="s">
        <v>95</v>
      </c>
      <c r="G2746" s="1" t="s">
        <v>13814</v>
      </c>
      <c r="H2746" s="1">
        <v>0</v>
      </c>
      <c r="I2746" s="1" t="s">
        <v>157</v>
      </c>
      <c r="L2746" s="1" t="s">
        <v>158</v>
      </c>
      <c r="M2746" s="1" t="s">
        <v>201</v>
      </c>
      <c r="N2746" s="1">
        <v>0</v>
      </c>
      <c r="O2746" s="1">
        <v>0</v>
      </c>
      <c r="P2746" s="1" t="s">
        <v>100</v>
      </c>
      <c r="Q2746" s="1" t="s">
        <v>101</v>
      </c>
      <c r="R2746" s="1" t="s">
        <v>13815</v>
      </c>
      <c r="S2746" s="1" t="s">
        <v>13803</v>
      </c>
      <c r="T2746" s="1">
        <v>1</v>
      </c>
      <c r="U2746" s="1">
        <v>1</v>
      </c>
      <c r="V2746" s="1">
        <v>0</v>
      </c>
      <c r="W2746" s="1">
        <v>0</v>
      </c>
      <c r="X2746" s="1">
        <v>0</v>
      </c>
      <c r="Y2746" s="1" t="s">
        <v>104</v>
      </c>
      <c r="Z2746" s="1" t="s">
        <v>104</v>
      </c>
      <c r="AA2746" s="1">
        <v>2</v>
      </c>
      <c r="AB2746" s="1">
        <v>2</v>
      </c>
      <c r="AC2746" s="1">
        <v>2</v>
      </c>
      <c r="AD2746" s="1" t="s">
        <v>104</v>
      </c>
      <c r="AE2746" s="1">
        <v>2</v>
      </c>
      <c r="AF2746" s="1" t="s">
        <v>104</v>
      </c>
      <c r="AG2746" s="1" t="s">
        <v>104</v>
      </c>
      <c r="AH2746" s="1" t="s">
        <v>104</v>
      </c>
      <c r="AI2746" s="1" t="s">
        <v>104</v>
      </c>
      <c r="AJ2746" s="1">
        <v>2</v>
      </c>
      <c r="AK2746" s="1" t="s">
        <v>104</v>
      </c>
      <c r="AL2746" s="1" t="s">
        <v>104</v>
      </c>
      <c r="AM2746" s="1" t="s">
        <v>104</v>
      </c>
      <c r="AO2746" s="1">
        <v>2</v>
      </c>
      <c r="AR2746" s="1">
        <v>0</v>
      </c>
      <c r="AS2746" s="1">
        <v>0</v>
      </c>
      <c r="AT2746" s="1">
        <v>0</v>
      </c>
      <c r="AU2746" s="1">
        <v>0</v>
      </c>
      <c r="AV2746" s="1">
        <v>0</v>
      </c>
      <c r="AW2746" s="1">
        <v>0</v>
      </c>
      <c r="AX2746" s="1">
        <v>0</v>
      </c>
      <c r="AY2746" s="1">
        <v>0</v>
      </c>
      <c r="AZ2746" s="1">
        <v>0</v>
      </c>
      <c r="BA2746" s="1">
        <v>0</v>
      </c>
      <c r="BB2746" s="1">
        <v>0</v>
      </c>
      <c r="BC2746" s="1">
        <v>0</v>
      </c>
      <c r="BD2746" s="1">
        <v>0</v>
      </c>
      <c r="BE2746" s="1">
        <v>0</v>
      </c>
      <c r="BF2746" s="1">
        <v>0</v>
      </c>
      <c r="BG2746" s="1">
        <v>0</v>
      </c>
      <c r="BH2746" s="1">
        <v>0</v>
      </c>
      <c r="BI2746" s="1">
        <v>0</v>
      </c>
      <c r="BJ2746" s="1">
        <v>0</v>
      </c>
      <c r="BK2746" s="1">
        <v>0</v>
      </c>
      <c r="BL2746" s="1">
        <v>0</v>
      </c>
      <c r="BM2746" s="1">
        <v>0</v>
      </c>
      <c r="BN2746" s="1">
        <v>0</v>
      </c>
      <c r="BO2746" s="1">
        <v>0</v>
      </c>
      <c r="BP2746" s="1">
        <v>0</v>
      </c>
      <c r="BQ2746" s="1" t="s">
        <v>104</v>
      </c>
      <c r="BR2746" s="1">
        <v>4873</v>
      </c>
      <c r="BS2746" s="1" t="s">
        <v>104</v>
      </c>
      <c r="BX2746" s="1">
        <v>0</v>
      </c>
      <c r="BY2746" s="1" t="s">
        <v>104</v>
      </c>
      <c r="BZ2746" s="1">
        <v>2</v>
      </c>
      <c r="CA2746" s="1" t="s">
        <v>104</v>
      </c>
      <c r="CB2746" s="1" t="s">
        <v>104</v>
      </c>
      <c r="CC2746" s="1" t="s">
        <v>104</v>
      </c>
      <c r="CD2746" s="1">
        <v>2</v>
      </c>
      <c r="CE2746" s="1" t="s">
        <v>104</v>
      </c>
      <c r="CF2746" s="1" t="s">
        <v>104</v>
      </c>
      <c r="CG2746" s="1" t="s">
        <v>104</v>
      </c>
      <c r="CH2746" s="1">
        <v>2</v>
      </c>
      <c r="CJ2746" s="1">
        <v>0</v>
      </c>
      <c r="CK2746" s="1">
        <v>0</v>
      </c>
      <c r="CL2746" s="1">
        <v>0</v>
      </c>
      <c r="CM2746" s="1" t="s">
        <v>104</v>
      </c>
    </row>
    <row r="2747" spans="1:91" ht="14.25" customHeight="1" x14ac:dyDescent="0.3">
      <c r="A2747" s="1" t="s">
        <v>13816</v>
      </c>
      <c r="B2747" s="1" t="s">
        <v>137</v>
      </c>
      <c r="E2747" s="1" t="s">
        <v>13817</v>
      </c>
      <c r="F2747" s="1" t="s">
        <v>95</v>
      </c>
      <c r="G2747" s="1" t="s">
        <v>13818</v>
      </c>
      <c r="H2747" s="1">
        <v>0</v>
      </c>
      <c r="I2747" s="1" t="s">
        <v>157</v>
      </c>
      <c r="L2747" s="1" t="s">
        <v>158</v>
      </c>
      <c r="M2747" s="1" t="s">
        <v>2330</v>
      </c>
      <c r="N2747" s="1">
        <v>0</v>
      </c>
      <c r="O2747" s="1">
        <v>0</v>
      </c>
      <c r="P2747" s="1" t="s">
        <v>100</v>
      </c>
      <c r="Q2747" s="1" t="s">
        <v>101</v>
      </c>
      <c r="R2747" s="1" t="s">
        <v>13819</v>
      </c>
      <c r="S2747" s="1" t="s">
        <v>13803</v>
      </c>
      <c r="T2747" s="1">
        <v>1</v>
      </c>
      <c r="U2747" s="1">
        <v>1</v>
      </c>
      <c r="V2747" s="1">
        <v>0</v>
      </c>
      <c r="W2747" s="1">
        <v>0</v>
      </c>
      <c r="X2747" s="1">
        <v>0</v>
      </c>
      <c r="Y2747" s="1">
        <v>1</v>
      </c>
      <c r="Z2747" s="1">
        <v>1</v>
      </c>
      <c r="AA2747" s="1" t="s">
        <v>104</v>
      </c>
      <c r="AB2747" s="1" t="s">
        <v>104</v>
      </c>
      <c r="AC2747" s="1">
        <v>1</v>
      </c>
      <c r="AD2747" s="1">
        <v>1</v>
      </c>
      <c r="AE2747" s="1" t="s">
        <v>104</v>
      </c>
      <c r="AF2747" s="1" t="s">
        <v>104</v>
      </c>
      <c r="AG2747" s="1" t="s">
        <v>104</v>
      </c>
      <c r="AH2747" s="1">
        <v>1</v>
      </c>
      <c r="AI2747" s="1" t="s">
        <v>104</v>
      </c>
      <c r="AJ2747" s="1" t="s">
        <v>104</v>
      </c>
      <c r="AK2747" s="1" t="s">
        <v>104</v>
      </c>
      <c r="AL2747" s="1" t="s">
        <v>104</v>
      </c>
      <c r="AM2747" s="1" t="s">
        <v>104</v>
      </c>
      <c r="AO2747" s="1">
        <v>1</v>
      </c>
      <c r="AR2747" s="1">
        <v>0</v>
      </c>
      <c r="AS2747" s="1">
        <v>0</v>
      </c>
      <c r="AT2747" s="1">
        <v>0</v>
      </c>
      <c r="AU2747" s="1">
        <v>0</v>
      </c>
      <c r="AV2747" s="1">
        <v>0</v>
      </c>
      <c r="AW2747" s="1">
        <v>0</v>
      </c>
      <c r="AX2747" s="1">
        <v>0</v>
      </c>
      <c r="AY2747" s="1">
        <v>0</v>
      </c>
      <c r="AZ2747" s="1">
        <v>0</v>
      </c>
      <c r="BA2747" s="1">
        <v>0</v>
      </c>
      <c r="BB2747" s="1">
        <v>0</v>
      </c>
      <c r="BC2747" s="1">
        <v>0</v>
      </c>
      <c r="BD2747" s="1">
        <v>0</v>
      </c>
      <c r="BE2747" s="1">
        <v>0</v>
      </c>
      <c r="BF2747" s="1">
        <v>0</v>
      </c>
      <c r="BG2747" s="1">
        <v>0</v>
      </c>
      <c r="BH2747" s="1">
        <v>0</v>
      </c>
      <c r="BI2747" s="1">
        <v>0</v>
      </c>
      <c r="BJ2747" s="1">
        <v>0</v>
      </c>
      <c r="BK2747" s="1">
        <v>0</v>
      </c>
      <c r="BL2747" s="1">
        <v>0</v>
      </c>
      <c r="BM2747" s="1">
        <v>0</v>
      </c>
      <c r="BN2747" s="1">
        <v>0</v>
      </c>
      <c r="BO2747" s="1">
        <v>0</v>
      </c>
      <c r="BP2747" s="1">
        <v>0</v>
      </c>
      <c r="BQ2747" s="1" t="s">
        <v>104</v>
      </c>
      <c r="BR2747" s="1">
        <v>4874</v>
      </c>
      <c r="BS2747" s="1" t="s">
        <v>104</v>
      </c>
      <c r="BX2747" s="1">
        <v>0</v>
      </c>
      <c r="BY2747" s="1" t="s">
        <v>104</v>
      </c>
      <c r="BZ2747" s="1">
        <v>1</v>
      </c>
      <c r="CA2747" s="1" t="s">
        <v>104</v>
      </c>
      <c r="CB2747" s="1" t="s">
        <v>104</v>
      </c>
      <c r="CC2747" s="1" t="s">
        <v>104</v>
      </c>
      <c r="CD2747" s="1">
        <v>1</v>
      </c>
      <c r="CE2747" s="1" t="s">
        <v>104</v>
      </c>
      <c r="CF2747" s="1" t="s">
        <v>104</v>
      </c>
      <c r="CG2747" s="1" t="s">
        <v>104</v>
      </c>
      <c r="CH2747" s="1">
        <v>1</v>
      </c>
      <c r="CJ2747" s="1">
        <v>0</v>
      </c>
      <c r="CK2747" s="1">
        <v>0</v>
      </c>
      <c r="CL2747" s="1">
        <v>0</v>
      </c>
      <c r="CM2747" s="1" t="s">
        <v>104</v>
      </c>
    </row>
    <row r="2748" spans="1:91" ht="14.25" customHeight="1" x14ac:dyDescent="0.3">
      <c r="A2748" s="1" t="s">
        <v>13820</v>
      </c>
      <c r="B2748" s="1" t="s">
        <v>137</v>
      </c>
      <c r="E2748" s="1" t="s">
        <v>13821</v>
      </c>
      <c r="F2748" s="1" t="s">
        <v>95</v>
      </c>
      <c r="G2748" s="1" t="s">
        <v>13822</v>
      </c>
      <c r="H2748" s="1">
        <v>0</v>
      </c>
      <c r="I2748" s="1" t="s">
        <v>157</v>
      </c>
      <c r="L2748" s="1" t="s">
        <v>158</v>
      </c>
      <c r="M2748" s="1" t="s">
        <v>111</v>
      </c>
      <c r="N2748" s="1">
        <v>0</v>
      </c>
      <c r="O2748" s="1">
        <v>0</v>
      </c>
      <c r="P2748" s="1" t="s">
        <v>100</v>
      </c>
      <c r="Q2748" s="1" t="s">
        <v>101</v>
      </c>
      <c r="R2748" s="1" t="s">
        <v>13823</v>
      </c>
      <c r="S2748" s="1" t="s">
        <v>13803</v>
      </c>
      <c r="T2748" s="1">
        <v>1</v>
      </c>
      <c r="U2748" s="1">
        <v>1</v>
      </c>
      <c r="V2748" s="1">
        <v>0</v>
      </c>
      <c r="W2748" s="1">
        <v>0</v>
      </c>
      <c r="X2748" s="1">
        <v>0</v>
      </c>
      <c r="Y2748" s="1" t="s">
        <v>104</v>
      </c>
      <c r="Z2748" s="1" t="s">
        <v>104</v>
      </c>
      <c r="AA2748" s="1" t="s">
        <v>104</v>
      </c>
      <c r="AB2748" s="1">
        <v>2</v>
      </c>
      <c r="AC2748" s="1">
        <v>2</v>
      </c>
      <c r="AD2748" s="1" t="s">
        <v>104</v>
      </c>
      <c r="AE2748" s="1" t="s">
        <v>104</v>
      </c>
      <c r="AF2748" s="1" t="s">
        <v>104</v>
      </c>
      <c r="AG2748" s="1" t="s">
        <v>104</v>
      </c>
      <c r="AH2748" s="1" t="s">
        <v>104</v>
      </c>
      <c r="AI2748" s="1" t="s">
        <v>104</v>
      </c>
      <c r="AJ2748" s="1" t="s">
        <v>104</v>
      </c>
      <c r="AK2748" s="1" t="s">
        <v>104</v>
      </c>
      <c r="AL2748" s="1" t="s">
        <v>104</v>
      </c>
      <c r="AM2748" s="1" t="s">
        <v>104</v>
      </c>
      <c r="AO2748" s="1">
        <v>2</v>
      </c>
      <c r="AR2748" s="1">
        <v>0</v>
      </c>
      <c r="AS2748" s="1">
        <v>0</v>
      </c>
      <c r="AT2748" s="1">
        <v>0</v>
      </c>
      <c r="AU2748" s="1">
        <v>0</v>
      </c>
      <c r="AV2748" s="1">
        <v>0</v>
      </c>
      <c r="AW2748" s="1">
        <v>0</v>
      </c>
      <c r="AX2748" s="1">
        <v>0</v>
      </c>
      <c r="AY2748" s="1">
        <v>0</v>
      </c>
      <c r="AZ2748" s="1">
        <v>0</v>
      </c>
      <c r="BA2748" s="1">
        <v>0</v>
      </c>
      <c r="BB2748" s="1">
        <v>0</v>
      </c>
      <c r="BC2748" s="1">
        <v>0</v>
      </c>
      <c r="BD2748" s="1">
        <v>0</v>
      </c>
      <c r="BE2748" s="1">
        <v>0</v>
      </c>
      <c r="BF2748" s="1">
        <v>0</v>
      </c>
      <c r="BG2748" s="1">
        <v>0</v>
      </c>
      <c r="BH2748" s="1">
        <v>0</v>
      </c>
      <c r="BI2748" s="1">
        <v>0</v>
      </c>
      <c r="BJ2748" s="1">
        <v>0</v>
      </c>
      <c r="BK2748" s="1">
        <v>0</v>
      </c>
      <c r="BL2748" s="1">
        <v>0</v>
      </c>
      <c r="BM2748" s="1">
        <v>0</v>
      </c>
      <c r="BN2748" s="1">
        <v>0</v>
      </c>
      <c r="BO2748" s="1">
        <v>0</v>
      </c>
      <c r="BP2748" s="1">
        <v>0</v>
      </c>
      <c r="BQ2748" s="1" t="s">
        <v>104</v>
      </c>
      <c r="BR2748" s="1">
        <v>4875</v>
      </c>
      <c r="BS2748" s="1" t="s">
        <v>104</v>
      </c>
      <c r="BX2748" s="1">
        <v>0</v>
      </c>
      <c r="BY2748" s="1" t="s">
        <v>104</v>
      </c>
      <c r="BZ2748" s="1">
        <v>2</v>
      </c>
      <c r="CA2748" s="1" t="s">
        <v>104</v>
      </c>
      <c r="CB2748" s="1" t="s">
        <v>104</v>
      </c>
      <c r="CC2748" s="1" t="s">
        <v>104</v>
      </c>
      <c r="CD2748" s="1">
        <v>2</v>
      </c>
      <c r="CE2748" s="1" t="s">
        <v>104</v>
      </c>
      <c r="CF2748" s="1" t="s">
        <v>104</v>
      </c>
      <c r="CG2748" s="1" t="s">
        <v>104</v>
      </c>
      <c r="CH2748" s="1">
        <v>2</v>
      </c>
      <c r="CJ2748" s="1">
        <v>0</v>
      </c>
      <c r="CK2748" s="1">
        <v>0</v>
      </c>
      <c r="CL2748" s="1">
        <v>0</v>
      </c>
      <c r="CM2748" s="1" t="s">
        <v>104</v>
      </c>
    </row>
    <row r="2749" spans="1:91" ht="14.25" customHeight="1" x14ac:dyDescent="0.3">
      <c r="A2749" s="1" t="s">
        <v>13824</v>
      </c>
      <c r="B2749" s="1" t="s">
        <v>172</v>
      </c>
      <c r="D2749" s="1" t="s">
        <v>67</v>
      </c>
      <c r="E2749" s="1" t="s">
        <v>13825</v>
      </c>
      <c r="F2749" s="1" t="s">
        <v>95</v>
      </c>
      <c r="G2749" s="1" t="s">
        <v>116</v>
      </c>
      <c r="H2749" s="1">
        <v>0</v>
      </c>
      <c r="I2749" s="1" t="s">
        <v>109</v>
      </c>
      <c r="J2749" s="1" t="s">
        <v>11863</v>
      </c>
      <c r="M2749" s="1" t="s">
        <v>201</v>
      </c>
      <c r="N2749" s="1">
        <v>0</v>
      </c>
      <c r="O2749" s="1">
        <v>0</v>
      </c>
      <c r="P2749" s="1" t="s">
        <v>100</v>
      </c>
      <c r="Q2749" s="1" t="s">
        <v>101</v>
      </c>
      <c r="R2749" s="1" t="s">
        <v>13826</v>
      </c>
      <c r="S2749" s="1" t="s">
        <v>13827</v>
      </c>
      <c r="T2749" s="1">
        <v>1</v>
      </c>
      <c r="U2749" s="1">
        <v>1</v>
      </c>
      <c r="V2749" s="1">
        <v>0</v>
      </c>
      <c r="W2749" s="1">
        <v>0</v>
      </c>
      <c r="X2749" s="1">
        <v>0</v>
      </c>
      <c r="Y2749" s="1" t="s">
        <v>104</v>
      </c>
      <c r="Z2749" s="1" t="s">
        <v>104</v>
      </c>
      <c r="AA2749" s="1" t="s">
        <v>104</v>
      </c>
      <c r="AB2749" s="1">
        <v>3</v>
      </c>
      <c r="AC2749" s="1">
        <v>2</v>
      </c>
      <c r="AD2749" s="1" t="s">
        <v>104</v>
      </c>
      <c r="AE2749" s="1" t="s">
        <v>104</v>
      </c>
      <c r="AF2749" s="1" t="s">
        <v>104</v>
      </c>
      <c r="AG2749" s="1" t="s">
        <v>104</v>
      </c>
      <c r="AH2749" s="1" t="s">
        <v>104</v>
      </c>
      <c r="AI2749" s="1">
        <v>3</v>
      </c>
      <c r="AJ2749" s="1" t="s">
        <v>104</v>
      </c>
      <c r="AK2749" s="1" t="s">
        <v>104</v>
      </c>
      <c r="AL2749" s="1" t="s">
        <v>104</v>
      </c>
      <c r="AM2749" s="1" t="s">
        <v>104</v>
      </c>
      <c r="AO2749" s="1">
        <v>3</v>
      </c>
      <c r="AR2749" s="1">
        <v>0</v>
      </c>
      <c r="AS2749" s="1">
        <v>0</v>
      </c>
      <c r="AT2749" s="1">
        <v>0</v>
      </c>
      <c r="AU2749" s="1">
        <v>0</v>
      </c>
      <c r="AV2749" s="1">
        <v>0</v>
      </c>
      <c r="AW2749" s="1">
        <v>0</v>
      </c>
      <c r="AX2749" s="1">
        <v>0</v>
      </c>
      <c r="AY2749" s="1">
        <v>0</v>
      </c>
      <c r="AZ2749" s="1">
        <v>0</v>
      </c>
      <c r="BA2749" s="1">
        <v>0</v>
      </c>
      <c r="BB2749" s="1">
        <v>0</v>
      </c>
      <c r="BC2749" s="1">
        <v>0</v>
      </c>
      <c r="BD2749" s="1">
        <v>0</v>
      </c>
      <c r="BE2749" s="1">
        <v>0</v>
      </c>
      <c r="BF2749" s="1">
        <v>0</v>
      </c>
      <c r="BG2749" s="1">
        <v>0</v>
      </c>
      <c r="BH2749" s="1">
        <v>0</v>
      </c>
      <c r="BI2749" s="1">
        <v>0</v>
      </c>
      <c r="BJ2749" s="1">
        <v>0</v>
      </c>
      <c r="BK2749" s="1">
        <v>0</v>
      </c>
      <c r="BL2749" s="1">
        <v>0</v>
      </c>
      <c r="BM2749" s="1">
        <v>0</v>
      </c>
      <c r="BN2749" s="1">
        <v>0</v>
      </c>
      <c r="BO2749" s="1">
        <v>0</v>
      </c>
      <c r="BP2749" s="1">
        <v>1</v>
      </c>
      <c r="BQ2749" s="1" t="s">
        <v>104</v>
      </c>
      <c r="BR2749" s="1">
        <v>4876</v>
      </c>
      <c r="BS2749" s="1" t="s">
        <v>104</v>
      </c>
      <c r="BX2749" s="1">
        <v>0</v>
      </c>
      <c r="BY2749" s="1" t="s">
        <v>104</v>
      </c>
      <c r="BZ2749" s="1">
        <v>3</v>
      </c>
      <c r="CA2749" s="1" t="s">
        <v>104</v>
      </c>
      <c r="CB2749" s="1" t="s">
        <v>104</v>
      </c>
      <c r="CC2749" s="1" t="s">
        <v>104</v>
      </c>
      <c r="CD2749" s="1" t="s">
        <v>104</v>
      </c>
      <c r="CE2749" s="1" t="s">
        <v>104</v>
      </c>
      <c r="CF2749" s="1" t="s">
        <v>104</v>
      </c>
      <c r="CG2749" s="1" t="s">
        <v>104</v>
      </c>
      <c r="CH2749" s="1">
        <v>2</v>
      </c>
      <c r="CJ2749" s="1">
        <v>0</v>
      </c>
      <c r="CK2749" s="1">
        <v>0</v>
      </c>
      <c r="CL2749" s="1">
        <v>0</v>
      </c>
      <c r="CM2749" s="1" t="s">
        <v>104</v>
      </c>
    </row>
    <row r="2750" spans="1:91" ht="14.25" customHeight="1" x14ac:dyDescent="0.3">
      <c r="A2750" s="1" t="s">
        <v>13828</v>
      </c>
      <c r="B2750" s="1" t="s">
        <v>434</v>
      </c>
      <c r="E2750" s="1" t="s">
        <v>13829</v>
      </c>
      <c r="F2750" s="1" t="s">
        <v>95</v>
      </c>
      <c r="G2750" s="1" t="s">
        <v>13830</v>
      </c>
      <c r="H2750" s="1">
        <v>0</v>
      </c>
      <c r="I2750" s="1" t="s">
        <v>128</v>
      </c>
      <c r="L2750" s="1" t="s">
        <v>374</v>
      </c>
      <c r="M2750" s="1" t="s">
        <v>4292</v>
      </c>
      <c r="N2750" s="1">
        <v>0</v>
      </c>
      <c r="O2750" s="1">
        <v>0</v>
      </c>
      <c r="P2750" s="1" t="s">
        <v>211</v>
      </c>
      <c r="Q2750" s="1" t="s">
        <v>184</v>
      </c>
      <c r="R2750" s="1" t="s">
        <v>13831</v>
      </c>
      <c r="S2750" s="1" t="s">
        <v>13827</v>
      </c>
      <c r="T2750" s="1">
        <v>1</v>
      </c>
      <c r="U2750" s="1">
        <v>1</v>
      </c>
      <c r="V2750" s="1">
        <v>1</v>
      </c>
      <c r="W2750" s="1">
        <v>0</v>
      </c>
      <c r="X2750" s="1">
        <v>1</v>
      </c>
      <c r="Y2750" s="1" t="s">
        <v>104</v>
      </c>
      <c r="Z2750" s="1" t="s">
        <v>104</v>
      </c>
      <c r="AA2750" s="1" t="s">
        <v>104</v>
      </c>
      <c r="AB2750" s="1">
        <v>2</v>
      </c>
      <c r="AC2750" s="1">
        <v>2</v>
      </c>
      <c r="AD2750" s="1">
        <v>2</v>
      </c>
      <c r="AE2750" s="1" t="s">
        <v>104</v>
      </c>
      <c r="AF2750" s="1">
        <v>2</v>
      </c>
      <c r="AG2750" s="1" t="s">
        <v>104</v>
      </c>
      <c r="AH2750" s="1" t="s">
        <v>104</v>
      </c>
      <c r="AI2750" s="1" t="s">
        <v>104</v>
      </c>
      <c r="AJ2750" s="1" t="s">
        <v>104</v>
      </c>
      <c r="AK2750" s="1" t="s">
        <v>104</v>
      </c>
      <c r="AL2750" s="1" t="s">
        <v>104</v>
      </c>
      <c r="AM2750" s="1" t="s">
        <v>104</v>
      </c>
      <c r="AO2750" s="1">
        <v>2</v>
      </c>
      <c r="AR2750" s="1">
        <v>0</v>
      </c>
      <c r="AS2750" s="1">
        <v>0</v>
      </c>
      <c r="AT2750" s="1">
        <v>0</v>
      </c>
      <c r="AU2750" s="1">
        <v>0</v>
      </c>
      <c r="AV2750" s="1">
        <v>0</v>
      </c>
      <c r="AW2750" s="1">
        <v>0</v>
      </c>
      <c r="AX2750" s="1">
        <v>0</v>
      </c>
      <c r="AY2750" s="1">
        <v>0</v>
      </c>
      <c r="AZ2750" s="1">
        <v>0</v>
      </c>
      <c r="BA2750" s="1">
        <v>0</v>
      </c>
      <c r="BB2750" s="1">
        <v>0</v>
      </c>
      <c r="BC2750" s="1">
        <v>0</v>
      </c>
      <c r="BD2750" s="1">
        <v>0</v>
      </c>
      <c r="BE2750" s="1">
        <v>0</v>
      </c>
      <c r="BF2750" s="1">
        <v>0</v>
      </c>
      <c r="BG2750" s="1">
        <v>0</v>
      </c>
      <c r="BH2750" s="1">
        <v>0</v>
      </c>
      <c r="BI2750" s="1">
        <v>0</v>
      </c>
      <c r="BJ2750" s="1">
        <v>0</v>
      </c>
      <c r="BK2750" s="1">
        <v>0</v>
      </c>
      <c r="BL2750" s="1">
        <v>0</v>
      </c>
      <c r="BM2750" s="1">
        <v>0</v>
      </c>
      <c r="BN2750" s="1">
        <v>0</v>
      </c>
      <c r="BO2750" s="1">
        <v>0</v>
      </c>
      <c r="BP2750" s="1">
        <v>0</v>
      </c>
      <c r="BQ2750" s="1" t="s">
        <v>104</v>
      </c>
      <c r="BR2750" s="1">
        <v>4877</v>
      </c>
      <c r="BS2750" s="1" t="s">
        <v>104</v>
      </c>
      <c r="BX2750" s="1">
        <v>0</v>
      </c>
      <c r="BY2750" s="1" t="s">
        <v>104</v>
      </c>
      <c r="BZ2750" s="1">
        <v>2</v>
      </c>
      <c r="CA2750" s="1">
        <v>2</v>
      </c>
      <c r="CB2750" s="1">
        <v>2</v>
      </c>
      <c r="CC2750" s="1" t="s">
        <v>104</v>
      </c>
      <c r="CD2750" s="1">
        <v>2</v>
      </c>
      <c r="CE2750" s="1" t="s">
        <v>104</v>
      </c>
      <c r="CF2750" s="1" t="s">
        <v>104</v>
      </c>
      <c r="CG2750" s="1" t="s">
        <v>104</v>
      </c>
      <c r="CH2750" s="1">
        <v>2</v>
      </c>
      <c r="CJ2750" s="1">
        <v>0</v>
      </c>
      <c r="CK2750" s="1">
        <v>0</v>
      </c>
      <c r="CL2750" s="1">
        <v>0</v>
      </c>
      <c r="CM2750" s="1" t="s">
        <v>104</v>
      </c>
    </row>
    <row r="2751" spans="1:91" ht="14.25" customHeight="1" x14ac:dyDescent="0.3">
      <c r="A2751" s="1" t="s">
        <v>13832</v>
      </c>
      <c r="B2751" s="1" t="s">
        <v>162</v>
      </c>
      <c r="E2751" s="1" t="s">
        <v>13833</v>
      </c>
      <c r="F2751" s="1" t="s">
        <v>95</v>
      </c>
      <c r="G2751" s="1" t="s">
        <v>13834</v>
      </c>
      <c r="H2751" s="1">
        <v>0</v>
      </c>
      <c r="I2751" s="1" t="s">
        <v>128</v>
      </c>
      <c r="L2751" s="1" t="s">
        <v>374</v>
      </c>
      <c r="M2751" s="1" t="s">
        <v>4292</v>
      </c>
      <c r="N2751" s="1">
        <v>0</v>
      </c>
      <c r="O2751" s="1">
        <v>0</v>
      </c>
      <c r="P2751" s="1" t="s">
        <v>375</v>
      </c>
      <c r="Q2751" s="1" t="s">
        <v>131</v>
      </c>
      <c r="R2751" s="1" t="s">
        <v>13835</v>
      </c>
      <c r="S2751" s="1" t="s">
        <v>13827</v>
      </c>
      <c r="T2751" s="1">
        <v>1</v>
      </c>
      <c r="U2751" s="1">
        <v>1</v>
      </c>
      <c r="V2751" s="1">
        <v>1</v>
      </c>
      <c r="W2751" s="1">
        <v>0</v>
      </c>
      <c r="X2751" s="1">
        <v>1</v>
      </c>
      <c r="Y2751" s="1" t="s">
        <v>104</v>
      </c>
      <c r="Z2751" s="1" t="s">
        <v>104</v>
      </c>
      <c r="AA2751" s="1">
        <v>3</v>
      </c>
      <c r="AB2751" s="1">
        <v>3</v>
      </c>
      <c r="AC2751" s="1">
        <v>3</v>
      </c>
      <c r="AD2751" s="1">
        <v>3</v>
      </c>
      <c r="AE2751" s="1" t="s">
        <v>104</v>
      </c>
      <c r="AF2751" s="1">
        <v>3</v>
      </c>
      <c r="AG2751" s="1" t="s">
        <v>104</v>
      </c>
      <c r="AH2751" s="1" t="s">
        <v>104</v>
      </c>
      <c r="AI2751" s="1">
        <v>3</v>
      </c>
      <c r="AJ2751" s="1">
        <v>3</v>
      </c>
      <c r="AK2751" s="1" t="s">
        <v>104</v>
      </c>
      <c r="AL2751" s="1" t="s">
        <v>104</v>
      </c>
      <c r="AM2751" s="1" t="s">
        <v>104</v>
      </c>
      <c r="AO2751" s="1">
        <v>3</v>
      </c>
      <c r="AR2751" s="1">
        <v>0</v>
      </c>
      <c r="AS2751" s="1">
        <v>0</v>
      </c>
      <c r="AT2751" s="1">
        <v>0</v>
      </c>
      <c r="AU2751" s="1">
        <v>0</v>
      </c>
      <c r="AV2751" s="1">
        <v>0</v>
      </c>
      <c r="AW2751" s="1">
        <v>0</v>
      </c>
      <c r="AX2751" s="1">
        <v>0</v>
      </c>
      <c r="AY2751" s="1">
        <v>0</v>
      </c>
      <c r="AZ2751" s="1">
        <v>0</v>
      </c>
      <c r="BA2751" s="1">
        <v>0</v>
      </c>
      <c r="BB2751" s="1">
        <v>0</v>
      </c>
      <c r="BC2751" s="1">
        <v>0</v>
      </c>
      <c r="BD2751" s="1">
        <v>0</v>
      </c>
      <c r="BE2751" s="1">
        <v>0</v>
      </c>
      <c r="BF2751" s="1">
        <v>0</v>
      </c>
      <c r="BG2751" s="1">
        <v>0</v>
      </c>
      <c r="BH2751" s="1">
        <v>0</v>
      </c>
      <c r="BI2751" s="1">
        <v>0</v>
      </c>
      <c r="BJ2751" s="1">
        <v>0</v>
      </c>
      <c r="BK2751" s="1">
        <v>0</v>
      </c>
      <c r="BL2751" s="1">
        <v>0</v>
      </c>
      <c r="BM2751" s="1">
        <v>0</v>
      </c>
      <c r="BN2751" s="1">
        <v>0</v>
      </c>
      <c r="BO2751" s="1">
        <v>0</v>
      </c>
      <c r="BP2751" s="1">
        <v>0</v>
      </c>
      <c r="BQ2751" s="1" t="s">
        <v>104</v>
      </c>
      <c r="BR2751" s="1">
        <v>4878</v>
      </c>
      <c r="BS2751" s="1" t="s">
        <v>104</v>
      </c>
      <c r="BX2751" s="1">
        <v>0</v>
      </c>
      <c r="BY2751" s="1" t="s">
        <v>104</v>
      </c>
      <c r="BZ2751" s="1" t="s">
        <v>104</v>
      </c>
      <c r="CA2751" s="1">
        <v>3</v>
      </c>
      <c r="CB2751" s="1">
        <v>3</v>
      </c>
      <c r="CC2751" s="1">
        <v>3</v>
      </c>
      <c r="CD2751" s="1">
        <v>3</v>
      </c>
      <c r="CE2751" s="1">
        <v>3</v>
      </c>
      <c r="CF2751" s="1" t="s">
        <v>104</v>
      </c>
      <c r="CG2751" s="1" t="s">
        <v>104</v>
      </c>
      <c r="CH2751" s="1">
        <v>3</v>
      </c>
      <c r="CJ2751" s="1">
        <v>0</v>
      </c>
      <c r="CK2751" s="1">
        <v>0</v>
      </c>
      <c r="CL2751" s="1">
        <v>0</v>
      </c>
      <c r="CM2751" s="1" t="s">
        <v>104</v>
      </c>
    </row>
    <row r="2752" spans="1:91" ht="14.25" customHeight="1" x14ac:dyDescent="0.3">
      <c r="A2752" s="1" t="s">
        <v>13836</v>
      </c>
      <c r="B2752" s="1" t="s">
        <v>507</v>
      </c>
      <c r="C2752" s="1" t="s">
        <v>508</v>
      </c>
      <c r="E2752" s="1" t="s">
        <v>13837</v>
      </c>
      <c r="F2752" s="1" t="s">
        <v>95</v>
      </c>
      <c r="G2752" s="1" t="s">
        <v>13838</v>
      </c>
      <c r="H2752" s="1">
        <v>0</v>
      </c>
      <c r="I2752" s="1" t="s">
        <v>128</v>
      </c>
      <c r="J2752" s="1" t="s">
        <v>13839</v>
      </c>
      <c r="M2752" s="1" t="s">
        <v>4641</v>
      </c>
      <c r="N2752" s="1">
        <v>1</v>
      </c>
      <c r="O2752" s="1">
        <v>0</v>
      </c>
      <c r="P2752" s="1" t="s">
        <v>375</v>
      </c>
      <c r="Q2752" s="1" t="s">
        <v>131</v>
      </c>
      <c r="R2752" s="1" t="s">
        <v>13840</v>
      </c>
      <c r="S2752" s="1" t="s">
        <v>13827</v>
      </c>
      <c r="T2752" s="1">
        <v>1</v>
      </c>
      <c r="U2752" s="1">
        <v>1</v>
      </c>
      <c r="V2752" s="1">
        <v>1</v>
      </c>
      <c r="W2752" s="1">
        <v>0</v>
      </c>
      <c r="X2752" s="1">
        <v>0</v>
      </c>
      <c r="Y2752" s="1">
        <v>2</v>
      </c>
      <c r="Z2752" s="1">
        <v>2</v>
      </c>
      <c r="AA2752" s="1" t="s">
        <v>104</v>
      </c>
      <c r="AB2752" s="1" t="s">
        <v>104</v>
      </c>
      <c r="AC2752" s="1" t="s">
        <v>104</v>
      </c>
      <c r="AD2752" s="1">
        <v>2</v>
      </c>
      <c r="AE2752" s="1" t="s">
        <v>104</v>
      </c>
      <c r="AF2752" s="1">
        <v>2</v>
      </c>
      <c r="AG2752" s="1">
        <v>2</v>
      </c>
      <c r="AH2752" s="1" t="s">
        <v>104</v>
      </c>
      <c r="AI2752" s="1">
        <v>2</v>
      </c>
      <c r="AJ2752" s="1" t="s">
        <v>104</v>
      </c>
      <c r="AK2752" s="1">
        <v>2</v>
      </c>
      <c r="AL2752" s="1">
        <v>2</v>
      </c>
      <c r="AM2752" s="1" t="s">
        <v>104</v>
      </c>
      <c r="AO2752" s="1">
        <v>2</v>
      </c>
      <c r="AR2752" s="1">
        <v>0</v>
      </c>
      <c r="AS2752" s="1">
        <v>0</v>
      </c>
      <c r="AT2752" s="1">
        <v>0</v>
      </c>
      <c r="AU2752" s="1">
        <v>0</v>
      </c>
      <c r="AV2752" s="1">
        <v>0</v>
      </c>
      <c r="AW2752" s="1">
        <v>0</v>
      </c>
      <c r="AX2752" s="1">
        <v>0</v>
      </c>
      <c r="AY2752" s="1">
        <v>0</v>
      </c>
      <c r="AZ2752" s="1">
        <v>0</v>
      </c>
      <c r="BA2752" s="1">
        <v>0</v>
      </c>
      <c r="BB2752" s="1">
        <v>0</v>
      </c>
      <c r="BC2752" s="1">
        <v>0</v>
      </c>
      <c r="BD2752" s="1">
        <v>0</v>
      </c>
      <c r="BE2752" s="1">
        <v>0</v>
      </c>
      <c r="BF2752" s="1">
        <v>0</v>
      </c>
      <c r="BG2752" s="1">
        <v>0</v>
      </c>
      <c r="BH2752" s="1">
        <v>0</v>
      </c>
      <c r="BI2752" s="1">
        <v>0</v>
      </c>
      <c r="BJ2752" s="1">
        <v>0</v>
      </c>
      <c r="BK2752" s="1">
        <v>0</v>
      </c>
      <c r="BL2752" s="1">
        <v>0</v>
      </c>
      <c r="BM2752" s="1">
        <v>0</v>
      </c>
      <c r="BN2752" s="1">
        <v>0</v>
      </c>
      <c r="BO2752" s="1">
        <v>0</v>
      </c>
      <c r="BP2752" s="1">
        <v>0</v>
      </c>
      <c r="BQ2752" s="1" t="s">
        <v>104</v>
      </c>
      <c r="BR2752" s="1">
        <v>4879</v>
      </c>
      <c r="BS2752" s="1" t="s">
        <v>104</v>
      </c>
      <c r="BX2752" s="1">
        <v>0</v>
      </c>
      <c r="BY2752" s="1" t="s">
        <v>104</v>
      </c>
      <c r="BZ2752" s="1" t="s">
        <v>104</v>
      </c>
      <c r="CA2752" s="1">
        <v>2</v>
      </c>
      <c r="CB2752" s="1">
        <v>2</v>
      </c>
      <c r="CC2752" s="1">
        <v>2</v>
      </c>
      <c r="CD2752" s="1">
        <v>2</v>
      </c>
      <c r="CE2752" s="1">
        <v>2</v>
      </c>
      <c r="CF2752" s="1" t="s">
        <v>104</v>
      </c>
      <c r="CG2752" s="1" t="s">
        <v>104</v>
      </c>
      <c r="CH2752" s="1" t="s">
        <v>104</v>
      </c>
      <c r="CJ2752" s="1">
        <v>0</v>
      </c>
      <c r="CK2752" s="1">
        <v>0</v>
      </c>
      <c r="CL2752" s="1">
        <v>0</v>
      </c>
      <c r="CM2752" s="1">
        <v>2</v>
      </c>
    </row>
    <row r="2753" spans="1:91" ht="14.25" customHeight="1" x14ac:dyDescent="0.3">
      <c r="A2753" s="1" t="s">
        <v>13841</v>
      </c>
      <c r="B2753" s="1" t="s">
        <v>507</v>
      </c>
      <c r="C2753" s="1" t="s">
        <v>508</v>
      </c>
      <c r="E2753" s="1" t="s">
        <v>13842</v>
      </c>
      <c r="F2753" s="1" t="s">
        <v>95</v>
      </c>
      <c r="G2753" s="1" t="s">
        <v>13838</v>
      </c>
      <c r="H2753" s="1">
        <v>0</v>
      </c>
      <c r="I2753" s="1" t="s">
        <v>128</v>
      </c>
      <c r="J2753" s="1" t="s">
        <v>13843</v>
      </c>
      <c r="M2753" s="1" t="s">
        <v>4641</v>
      </c>
      <c r="N2753" s="1">
        <v>1</v>
      </c>
      <c r="O2753" s="1">
        <v>0</v>
      </c>
      <c r="P2753" s="1" t="s">
        <v>375</v>
      </c>
      <c r="Q2753" s="1" t="s">
        <v>131</v>
      </c>
      <c r="R2753" s="1" t="s">
        <v>13844</v>
      </c>
      <c r="S2753" s="1" t="s">
        <v>13827</v>
      </c>
      <c r="T2753" s="1">
        <v>1</v>
      </c>
      <c r="U2753" s="1">
        <v>1</v>
      </c>
      <c r="V2753" s="1">
        <v>1</v>
      </c>
      <c r="W2753" s="1">
        <v>0</v>
      </c>
      <c r="X2753" s="1">
        <v>0</v>
      </c>
      <c r="Y2753" s="1">
        <v>3</v>
      </c>
      <c r="Z2753" s="1">
        <v>3</v>
      </c>
      <c r="AA2753" s="1" t="s">
        <v>104</v>
      </c>
      <c r="AB2753" s="1" t="s">
        <v>104</v>
      </c>
      <c r="AC2753" s="1" t="s">
        <v>104</v>
      </c>
      <c r="AD2753" s="1">
        <v>3</v>
      </c>
      <c r="AE2753" s="1" t="s">
        <v>104</v>
      </c>
      <c r="AF2753" s="1" t="s">
        <v>104</v>
      </c>
      <c r="AG2753" s="1">
        <v>3</v>
      </c>
      <c r="AH2753" s="1" t="s">
        <v>104</v>
      </c>
      <c r="AI2753" s="1" t="s">
        <v>104</v>
      </c>
      <c r="AJ2753" s="1" t="s">
        <v>104</v>
      </c>
      <c r="AK2753" s="1" t="s">
        <v>104</v>
      </c>
      <c r="AL2753" s="1" t="s">
        <v>104</v>
      </c>
      <c r="AM2753" s="1" t="s">
        <v>104</v>
      </c>
      <c r="AO2753" s="1">
        <v>3</v>
      </c>
      <c r="AR2753" s="1">
        <v>0</v>
      </c>
      <c r="AS2753" s="1">
        <v>0</v>
      </c>
      <c r="AT2753" s="1">
        <v>0</v>
      </c>
      <c r="AU2753" s="1">
        <v>0</v>
      </c>
      <c r="AV2753" s="1">
        <v>0</v>
      </c>
      <c r="AW2753" s="1">
        <v>0</v>
      </c>
      <c r="AX2753" s="1">
        <v>0</v>
      </c>
      <c r="AY2753" s="1">
        <v>0</v>
      </c>
      <c r="AZ2753" s="1">
        <v>0</v>
      </c>
      <c r="BA2753" s="1">
        <v>0</v>
      </c>
      <c r="BB2753" s="1">
        <v>0</v>
      </c>
      <c r="BC2753" s="1">
        <v>0</v>
      </c>
      <c r="BD2753" s="1">
        <v>0</v>
      </c>
      <c r="BE2753" s="1">
        <v>0</v>
      </c>
      <c r="BF2753" s="1">
        <v>0</v>
      </c>
      <c r="BG2753" s="1">
        <v>0</v>
      </c>
      <c r="BH2753" s="1">
        <v>0</v>
      </c>
      <c r="BI2753" s="1">
        <v>0</v>
      </c>
      <c r="BJ2753" s="1">
        <v>0</v>
      </c>
      <c r="BK2753" s="1">
        <v>0</v>
      </c>
      <c r="BL2753" s="1">
        <v>0</v>
      </c>
      <c r="BM2753" s="1">
        <v>0</v>
      </c>
      <c r="BN2753" s="1">
        <v>0</v>
      </c>
      <c r="BO2753" s="1">
        <v>0</v>
      </c>
      <c r="BP2753" s="1">
        <v>0</v>
      </c>
      <c r="BQ2753" s="1" t="s">
        <v>104</v>
      </c>
      <c r="BR2753" s="1">
        <v>4880</v>
      </c>
      <c r="BS2753" s="1" t="s">
        <v>104</v>
      </c>
      <c r="BX2753" s="1">
        <v>0</v>
      </c>
      <c r="BY2753" s="1" t="s">
        <v>104</v>
      </c>
      <c r="BZ2753" s="1" t="s">
        <v>104</v>
      </c>
      <c r="CA2753" s="1">
        <v>3</v>
      </c>
      <c r="CB2753" s="1" t="s">
        <v>104</v>
      </c>
      <c r="CC2753" s="1">
        <v>3</v>
      </c>
      <c r="CD2753" s="1">
        <v>3</v>
      </c>
      <c r="CE2753" s="1" t="s">
        <v>104</v>
      </c>
      <c r="CF2753" s="1" t="s">
        <v>104</v>
      </c>
      <c r="CG2753" s="1" t="s">
        <v>104</v>
      </c>
      <c r="CH2753" s="1" t="s">
        <v>104</v>
      </c>
      <c r="CJ2753" s="1">
        <v>0</v>
      </c>
      <c r="CK2753" s="1">
        <v>0</v>
      </c>
      <c r="CL2753" s="1">
        <v>0</v>
      </c>
      <c r="CM2753" s="1">
        <v>3</v>
      </c>
    </row>
    <row r="2754" spans="1:91" ht="14.25" customHeight="1" x14ac:dyDescent="0.3">
      <c r="A2754" s="1" t="s">
        <v>13845</v>
      </c>
      <c r="B2754" s="1" t="s">
        <v>507</v>
      </c>
      <c r="C2754" s="1" t="s">
        <v>508</v>
      </c>
      <c r="E2754" s="1" t="s">
        <v>13846</v>
      </c>
      <c r="F2754" s="1" t="s">
        <v>95</v>
      </c>
      <c r="G2754" s="1" t="s">
        <v>13838</v>
      </c>
      <c r="H2754" s="1">
        <v>0</v>
      </c>
      <c r="I2754" s="1" t="s">
        <v>97</v>
      </c>
      <c r="J2754" s="1" t="s">
        <v>13843</v>
      </c>
      <c r="L2754" s="1" t="s">
        <v>2192</v>
      </c>
      <c r="M2754" s="1" t="s">
        <v>4641</v>
      </c>
      <c r="N2754" s="1">
        <v>1</v>
      </c>
      <c r="O2754" s="1">
        <v>0</v>
      </c>
      <c r="P2754" s="1" t="s">
        <v>375</v>
      </c>
      <c r="Q2754" s="1" t="s">
        <v>131</v>
      </c>
      <c r="R2754" s="1" t="s">
        <v>13847</v>
      </c>
      <c r="S2754" s="1" t="s">
        <v>13827</v>
      </c>
      <c r="T2754" s="1">
        <v>1</v>
      </c>
      <c r="U2754" s="1">
        <v>1</v>
      </c>
      <c r="V2754" s="1">
        <v>1</v>
      </c>
      <c r="W2754" s="1">
        <v>0</v>
      </c>
      <c r="X2754" s="1">
        <v>0</v>
      </c>
      <c r="Y2754" s="1">
        <v>7</v>
      </c>
      <c r="Z2754" s="1">
        <v>7</v>
      </c>
      <c r="AA2754" s="1" t="s">
        <v>104</v>
      </c>
      <c r="AB2754" s="1" t="s">
        <v>104</v>
      </c>
      <c r="AC2754" s="1" t="s">
        <v>104</v>
      </c>
      <c r="AD2754" s="1" t="s">
        <v>104</v>
      </c>
      <c r="AE2754" s="1" t="s">
        <v>104</v>
      </c>
      <c r="AF2754" s="1" t="s">
        <v>104</v>
      </c>
      <c r="AG2754" s="1">
        <v>6</v>
      </c>
      <c r="AH2754" s="1" t="s">
        <v>104</v>
      </c>
      <c r="AI2754" s="1" t="s">
        <v>104</v>
      </c>
      <c r="AJ2754" s="1" t="s">
        <v>104</v>
      </c>
      <c r="AK2754" s="1" t="s">
        <v>104</v>
      </c>
      <c r="AL2754" s="1" t="s">
        <v>104</v>
      </c>
      <c r="AM2754" s="1" t="s">
        <v>104</v>
      </c>
      <c r="AO2754" s="1">
        <v>7</v>
      </c>
      <c r="AR2754" s="1">
        <v>0</v>
      </c>
      <c r="AS2754" s="1">
        <v>0</v>
      </c>
      <c r="AT2754" s="1">
        <v>0</v>
      </c>
      <c r="AU2754" s="1">
        <v>0</v>
      </c>
      <c r="AV2754" s="1">
        <v>0</v>
      </c>
      <c r="AW2754" s="1">
        <v>0</v>
      </c>
      <c r="AX2754" s="1">
        <v>0</v>
      </c>
      <c r="AY2754" s="1">
        <v>0</v>
      </c>
      <c r="AZ2754" s="1">
        <v>0</v>
      </c>
      <c r="BA2754" s="1">
        <v>0</v>
      </c>
      <c r="BB2754" s="1">
        <v>0</v>
      </c>
      <c r="BC2754" s="1">
        <v>0</v>
      </c>
      <c r="BD2754" s="1">
        <v>0</v>
      </c>
      <c r="BE2754" s="1">
        <v>0</v>
      </c>
      <c r="BF2754" s="1">
        <v>0</v>
      </c>
      <c r="BG2754" s="1">
        <v>0</v>
      </c>
      <c r="BH2754" s="1">
        <v>0</v>
      </c>
      <c r="BI2754" s="1">
        <v>0</v>
      </c>
      <c r="BJ2754" s="1">
        <v>0</v>
      </c>
      <c r="BK2754" s="1">
        <v>0</v>
      </c>
      <c r="BL2754" s="1">
        <v>0</v>
      </c>
      <c r="BM2754" s="1">
        <v>0</v>
      </c>
      <c r="BN2754" s="1">
        <v>0</v>
      </c>
      <c r="BO2754" s="1">
        <v>0</v>
      </c>
      <c r="BP2754" s="1">
        <v>0</v>
      </c>
      <c r="BQ2754" s="1" t="s">
        <v>104</v>
      </c>
      <c r="BR2754" s="1">
        <v>4881</v>
      </c>
      <c r="BS2754" s="1" t="s">
        <v>104</v>
      </c>
      <c r="BX2754" s="1">
        <v>0</v>
      </c>
      <c r="BY2754" s="1" t="s">
        <v>104</v>
      </c>
      <c r="BZ2754" s="1" t="s">
        <v>104</v>
      </c>
      <c r="CA2754" s="1">
        <v>7</v>
      </c>
      <c r="CB2754" s="1" t="s">
        <v>104</v>
      </c>
      <c r="CC2754" s="1">
        <v>6</v>
      </c>
      <c r="CD2754" s="1" t="s">
        <v>104</v>
      </c>
      <c r="CE2754" s="1" t="s">
        <v>104</v>
      </c>
      <c r="CF2754" s="1" t="s">
        <v>104</v>
      </c>
      <c r="CG2754" s="1" t="s">
        <v>104</v>
      </c>
      <c r="CH2754" s="1" t="s">
        <v>104</v>
      </c>
      <c r="CJ2754" s="1">
        <v>0</v>
      </c>
      <c r="CK2754" s="1">
        <v>0</v>
      </c>
      <c r="CL2754" s="1">
        <v>0</v>
      </c>
      <c r="CM2754" s="1">
        <v>6</v>
      </c>
    </row>
    <row r="2755" spans="1:91" ht="14.25" customHeight="1" x14ac:dyDescent="0.3">
      <c r="A2755" s="1" t="s">
        <v>13848</v>
      </c>
      <c r="B2755" s="1" t="s">
        <v>434</v>
      </c>
      <c r="E2755" s="1" t="s">
        <v>13849</v>
      </c>
      <c r="F2755" s="1" t="s">
        <v>95</v>
      </c>
      <c r="G2755" s="1" t="s">
        <v>13830</v>
      </c>
      <c r="H2755" s="1">
        <v>0</v>
      </c>
      <c r="I2755" s="1" t="s">
        <v>128</v>
      </c>
      <c r="L2755" s="1" t="s">
        <v>374</v>
      </c>
      <c r="M2755" s="1" t="s">
        <v>4292</v>
      </c>
      <c r="N2755" s="1">
        <v>0</v>
      </c>
      <c r="O2755" s="1">
        <v>0</v>
      </c>
      <c r="P2755" s="1" t="s">
        <v>211</v>
      </c>
      <c r="Q2755" s="1" t="s">
        <v>184</v>
      </c>
      <c r="R2755" s="1" t="s">
        <v>13850</v>
      </c>
      <c r="S2755" s="1" t="s">
        <v>13827</v>
      </c>
      <c r="T2755" s="1">
        <v>1</v>
      </c>
      <c r="U2755" s="1">
        <v>1</v>
      </c>
      <c r="V2755" s="1">
        <v>1</v>
      </c>
      <c r="W2755" s="1">
        <v>0</v>
      </c>
      <c r="X2755" s="1">
        <v>1</v>
      </c>
      <c r="Y2755" s="1" t="s">
        <v>104</v>
      </c>
      <c r="Z2755" s="1" t="s">
        <v>104</v>
      </c>
      <c r="AA2755" s="1" t="s">
        <v>104</v>
      </c>
      <c r="AB2755" s="1">
        <v>2</v>
      </c>
      <c r="AC2755" s="1">
        <v>2</v>
      </c>
      <c r="AD2755" s="1">
        <v>2</v>
      </c>
      <c r="AE2755" s="1" t="s">
        <v>104</v>
      </c>
      <c r="AF2755" s="1">
        <v>2</v>
      </c>
      <c r="AG2755" s="1" t="s">
        <v>104</v>
      </c>
      <c r="AH2755" s="1">
        <v>2</v>
      </c>
      <c r="AI2755" s="1" t="s">
        <v>104</v>
      </c>
      <c r="AJ2755" s="1" t="s">
        <v>104</v>
      </c>
      <c r="AK2755" s="1" t="s">
        <v>104</v>
      </c>
      <c r="AL2755" s="1" t="s">
        <v>104</v>
      </c>
      <c r="AM2755" s="1" t="s">
        <v>104</v>
      </c>
      <c r="AO2755" s="1">
        <v>2</v>
      </c>
      <c r="AR2755" s="1">
        <v>0</v>
      </c>
      <c r="AS2755" s="1">
        <v>0</v>
      </c>
      <c r="AT2755" s="1">
        <v>0</v>
      </c>
      <c r="AU2755" s="1">
        <v>0</v>
      </c>
      <c r="AV2755" s="1">
        <v>0</v>
      </c>
      <c r="AW2755" s="1">
        <v>0</v>
      </c>
      <c r="AX2755" s="1">
        <v>0</v>
      </c>
      <c r="AY2755" s="1">
        <v>0</v>
      </c>
      <c r="AZ2755" s="1">
        <v>0</v>
      </c>
      <c r="BA2755" s="1">
        <v>0</v>
      </c>
      <c r="BB2755" s="1">
        <v>0</v>
      </c>
      <c r="BC2755" s="1">
        <v>0</v>
      </c>
      <c r="BD2755" s="1">
        <v>0</v>
      </c>
      <c r="BE2755" s="1">
        <v>0</v>
      </c>
      <c r="BF2755" s="1">
        <v>0</v>
      </c>
      <c r="BG2755" s="1">
        <v>0</v>
      </c>
      <c r="BH2755" s="1">
        <v>0</v>
      </c>
      <c r="BI2755" s="1">
        <v>0</v>
      </c>
      <c r="BJ2755" s="1">
        <v>0</v>
      </c>
      <c r="BK2755" s="1">
        <v>0</v>
      </c>
      <c r="BL2755" s="1">
        <v>0</v>
      </c>
      <c r="BM2755" s="1">
        <v>0</v>
      </c>
      <c r="BN2755" s="1">
        <v>0</v>
      </c>
      <c r="BO2755" s="1">
        <v>0</v>
      </c>
      <c r="BP2755" s="1">
        <v>0</v>
      </c>
      <c r="BQ2755" s="1" t="s">
        <v>104</v>
      </c>
      <c r="BR2755" s="1">
        <v>4882</v>
      </c>
      <c r="BS2755" s="1" t="s">
        <v>104</v>
      </c>
      <c r="BX2755" s="1">
        <v>0</v>
      </c>
      <c r="BY2755" s="1" t="s">
        <v>104</v>
      </c>
      <c r="BZ2755" s="1">
        <v>2</v>
      </c>
      <c r="CA2755" s="1">
        <v>2</v>
      </c>
      <c r="CB2755" s="1">
        <v>2</v>
      </c>
      <c r="CC2755" s="1" t="s">
        <v>104</v>
      </c>
      <c r="CD2755" s="1">
        <v>2</v>
      </c>
      <c r="CE2755" s="1" t="s">
        <v>104</v>
      </c>
      <c r="CF2755" s="1" t="s">
        <v>104</v>
      </c>
      <c r="CG2755" s="1" t="s">
        <v>104</v>
      </c>
      <c r="CH2755" s="1">
        <v>2</v>
      </c>
      <c r="CJ2755" s="1">
        <v>0</v>
      </c>
      <c r="CK2755" s="1">
        <v>0</v>
      </c>
      <c r="CL2755" s="1">
        <v>0</v>
      </c>
      <c r="CM2755" s="1" t="s">
        <v>104</v>
      </c>
    </row>
    <row r="2756" spans="1:91" ht="14.25" customHeight="1" x14ac:dyDescent="0.3">
      <c r="A2756" s="1" t="s">
        <v>13851</v>
      </c>
      <c r="B2756" s="1" t="s">
        <v>92</v>
      </c>
      <c r="C2756" s="1" t="s">
        <v>523</v>
      </c>
      <c r="D2756" s="1" t="s">
        <v>67</v>
      </c>
      <c r="E2756" s="1" t="s">
        <v>13852</v>
      </c>
      <c r="F2756" s="1" t="s">
        <v>95</v>
      </c>
      <c r="G2756" s="1" t="s">
        <v>127</v>
      </c>
      <c r="H2756" s="1">
        <v>0</v>
      </c>
      <c r="I2756" s="1" t="s">
        <v>109</v>
      </c>
      <c r="J2756" s="1" t="s">
        <v>13853</v>
      </c>
      <c r="M2756" s="1" t="s">
        <v>255</v>
      </c>
      <c r="N2756" s="1">
        <v>0</v>
      </c>
      <c r="O2756" s="1">
        <v>0</v>
      </c>
      <c r="P2756" s="1" t="s">
        <v>2127</v>
      </c>
      <c r="Q2756" s="1" t="s">
        <v>184</v>
      </c>
      <c r="R2756" s="1" t="s">
        <v>13854</v>
      </c>
      <c r="S2756" s="1" t="s">
        <v>13827</v>
      </c>
      <c r="T2756" s="1">
        <v>1</v>
      </c>
      <c r="U2756" s="1">
        <v>1</v>
      </c>
      <c r="V2756" s="1">
        <v>0</v>
      </c>
      <c r="W2756" s="1">
        <v>0</v>
      </c>
      <c r="X2756" s="1">
        <v>1</v>
      </c>
      <c r="Y2756" s="1" t="s">
        <v>104</v>
      </c>
      <c r="Z2756" s="1" t="s">
        <v>104</v>
      </c>
      <c r="AA2756" s="1">
        <v>3</v>
      </c>
      <c r="AB2756" s="1">
        <v>3</v>
      </c>
      <c r="AC2756" s="1">
        <v>3</v>
      </c>
      <c r="AD2756" s="1" t="s">
        <v>104</v>
      </c>
      <c r="AE2756" s="1">
        <v>3</v>
      </c>
      <c r="AF2756" s="1" t="s">
        <v>104</v>
      </c>
      <c r="AG2756" s="1" t="s">
        <v>104</v>
      </c>
      <c r="AH2756" s="1" t="s">
        <v>104</v>
      </c>
      <c r="AI2756" s="1" t="s">
        <v>104</v>
      </c>
      <c r="AJ2756" s="1">
        <v>3</v>
      </c>
      <c r="AK2756" s="1" t="s">
        <v>104</v>
      </c>
      <c r="AL2756" s="1" t="s">
        <v>104</v>
      </c>
      <c r="AM2756" s="1" t="s">
        <v>104</v>
      </c>
      <c r="AO2756" s="1">
        <v>3</v>
      </c>
      <c r="AR2756" s="1">
        <v>0</v>
      </c>
      <c r="AS2756" s="1">
        <v>0</v>
      </c>
      <c r="AT2756" s="1">
        <v>0</v>
      </c>
      <c r="AU2756" s="1">
        <v>0</v>
      </c>
      <c r="AV2756" s="1">
        <v>0</v>
      </c>
      <c r="AW2756" s="1">
        <v>0</v>
      </c>
      <c r="AX2756" s="1">
        <v>0</v>
      </c>
      <c r="AY2756" s="1">
        <v>0</v>
      </c>
      <c r="AZ2756" s="1">
        <v>0</v>
      </c>
      <c r="BA2756" s="1">
        <v>0</v>
      </c>
      <c r="BB2756" s="1">
        <v>0</v>
      </c>
      <c r="BC2756" s="1">
        <v>0</v>
      </c>
      <c r="BD2756" s="1">
        <v>0</v>
      </c>
      <c r="BE2756" s="1">
        <v>0</v>
      </c>
      <c r="BF2756" s="1">
        <v>0</v>
      </c>
      <c r="BG2756" s="1">
        <v>0</v>
      </c>
      <c r="BH2756" s="1">
        <v>0</v>
      </c>
      <c r="BI2756" s="1">
        <v>0</v>
      </c>
      <c r="BJ2756" s="1">
        <v>0</v>
      </c>
      <c r="BK2756" s="1">
        <v>0</v>
      </c>
      <c r="BL2756" s="1">
        <v>0</v>
      </c>
      <c r="BM2756" s="1">
        <v>0</v>
      </c>
      <c r="BN2756" s="1">
        <v>0</v>
      </c>
      <c r="BO2756" s="1">
        <v>0</v>
      </c>
      <c r="BP2756" s="1">
        <v>1</v>
      </c>
      <c r="BQ2756" s="1" t="s">
        <v>104</v>
      </c>
      <c r="BR2756" s="1">
        <v>4883</v>
      </c>
      <c r="BS2756" s="1" t="s">
        <v>104</v>
      </c>
      <c r="BX2756" s="1">
        <v>0</v>
      </c>
      <c r="BY2756" s="1" t="s">
        <v>104</v>
      </c>
      <c r="BZ2756" s="1">
        <v>3</v>
      </c>
      <c r="CA2756" s="1" t="s">
        <v>104</v>
      </c>
      <c r="CB2756" s="1" t="s">
        <v>104</v>
      </c>
      <c r="CC2756" s="1" t="s">
        <v>104</v>
      </c>
      <c r="CD2756" s="1" t="s">
        <v>104</v>
      </c>
      <c r="CE2756" s="1" t="s">
        <v>104</v>
      </c>
      <c r="CF2756" s="1" t="s">
        <v>104</v>
      </c>
      <c r="CG2756" s="1" t="s">
        <v>104</v>
      </c>
      <c r="CH2756" s="1">
        <v>3</v>
      </c>
      <c r="CJ2756" s="1">
        <v>0</v>
      </c>
      <c r="CK2756" s="1">
        <v>0</v>
      </c>
      <c r="CL2756" s="1">
        <v>0</v>
      </c>
      <c r="CM2756" s="1" t="s">
        <v>104</v>
      </c>
    </row>
    <row r="2757" spans="1:91" ht="14.25" customHeight="1" x14ac:dyDescent="0.3">
      <c r="A2757" s="1" t="s">
        <v>13855</v>
      </c>
      <c r="B2757" s="1" t="s">
        <v>434</v>
      </c>
      <c r="E2757" s="1" t="s">
        <v>13829</v>
      </c>
      <c r="F2757" s="1" t="s">
        <v>95</v>
      </c>
      <c r="G2757" s="1" t="s">
        <v>13830</v>
      </c>
      <c r="H2757" s="1">
        <v>0</v>
      </c>
      <c r="I2757" s="1" t="s">
        <v>128</v>
      </c>
      <c r="L2757" s="1" t="s">
        <v>374</v>
      </c>
      <c r="M2757" s="1" t="s">
        <v>4292</v>
      </c>
      <c r="N2757" s="1">
        <v>0</v>
      </c>
      <c r="O2757" s="1">
        <v>0</v>
      </c>
      <c r="P2757" s="1" t="s">
        <v>211</v>
      </c>
      <c r="Q2757" s="1" t="s">
        <v>184</v>
      </c>
      <c r="R2757" s="1" t="s">
        <v>13856</v>
      </c>
      <c r="S2757" s="1" t="s">
        <v>13827</v>
      </c>
      <c r="T2757" s="1">
        <v>1</v>
      </c>
      <c r="U2757" s="1">
        <v>1</v>
      </c>
      <c r="V2757" s="1">
        <v>1</v>
      </c>
      <c r="W2757" s="1">
        <v>0</v>
      </c>
      <c r="X2757" s="1">
        <v>1</v>
      </c>
      <c r="Y2757" s="1" t="s">
        <v>104</v>
      </c>
      <c r="Z2757" s="1" t="s">
        <v>104</v>
      </c>
      <c r="AA2757" s="1" t="s">
        <v>104</v>
      </c>
      <c r="AB2757" s="1">
        <v>2</v>
      </c>
      <c r="AC2757" s="1">
        <v>2</v>
      </c>
      <c r="AD2757" s="1">
        <v>2</v>
      </c>
      <c r="AE2757" s="1" t="s">
        <v>104</v>
      </c>
      <c r="AF2757" s="1">
        <v>2</v>
      </c>
      <c r="AG2757" s="1" t="s">
        <v>104</v>
      </c>
      <c r="AH2757" s="1" t="s">
        <v>104</v>
      </c>
      <c r="AI2757" s="1" t="s">
        <v>104</v>
      </c>
      <c r="AJ2757" s="1" t="s">
        <v>104</v>
      </c>
      <c r="AK2757" s="1" t="s">
        <v>104</v>
      </c>
      <c r="AL2757" s="1" t="s">
        <v>104</v>
      </c>
      <c r="AM2757" s="1" t="s">
        <v>104</v>
      </c>
      <c r="AO2757" s="1">
        <v>2</v>
      </c>
      <c r="AR2757" s="1">
        <v>0</v>
      </c>
      <c r="AS2757" s="1">
        <v>0</v>
      </c>
      <c r="AT2757" s="1">
        <v>0</v>
      </c>
      <c r="AU2757" s="1">
        <v>0</v>
      </c>
      <c r="AV2757" s="1">
        <v>0</v>
      </c>
      <c r="AW2757" s="1">
        <v>0</v>
      </c>
      <c r="AX2757" s="1">
        <v>0</v>
      </c>
      <c r="AY2757" s="1">
        <v>0</v>
      </c>
      <c r="AZ2757" s="1">
        <v>0</v>
      </c>
      <c r="BA2757" s="1">
        <v>0</v>
      </c>
      <c r="BB2757" s="1">
        <v>0</v>
      </c>
      <c r="BC2757" s="1">
        <v>0</v>
      </c>
      <c r="BD2757" s="1">
        <v>0</v>
      </c>
      <c r="BE2757" s="1">
        <v>0</v>
      </c>
      <c r="BF2757" s="1">
        <v>0</v>
      </c>
      <c r="BG2757" s="1">
        <v>0</v>
      </c>
      <c r="BH2757" s="1">
        <v>0</v>
      </c>
      <c r="BI2757" s="1">
        <v>0</v>
      </c>
      <c r="BJ2757" s="1">
        <v>0</v>
      </c>
      <c r="BK2757" s="1">
        <v>0</v>
      </c>
      <c r="BL2757" s="1">
        <v>0</v>
      </c>
      <c r="BM2757" s="1">
        <v>0</v>
      </c>
      <c r="BN2757" s="1">
        <v>0</v>
      </c>
      <c r="BO2757" s="1">
        <v>0</v>
      </c>
      <c r="BP2757" s="1">
        <v>0</v>
      </c>
      <c r="BQ2757" s="1" t="s">
        <v>104</v>
      </c>
      <c r="BR2757" s="1">
        <v>4884</v>
      </c>
      <c r="BS2757" s="1" t="s">
        <v>104</v>
      </c>
      <c r="BX2757" s="1">
        <v>0</v>
      </c>
      <c r="BY2757" s="1" t="s">
        <v>104</v>
      </c>
      <c r="BZ2757" s="1">
        <v>2</v>
      </c>
      <c r="CA2757" s="1">
        <v>2</v>
      </c>
      <c r="CB2757" s="1">
        <v>2</v>
      </c>
      <c r="CC2757" s="1" t="s">
        <v>104</v>
      </c>
      <c r="CD2757" s="1">
        <v>2</v>
      </c>
      <c r="CE2757" s="1" t="s">
        <v>104</v>
      </c>
      <c r="CF2757" s="1" t="s">
        <v>104</v>
      </c>
      <c r="CG2757" s="1" t="s">
        <v>104</v>
      </c>
      <c r="CH2757" s="1">
        <v>2</v>
      </c>
      <c r="CJ2757" s="1">
        <v>0</v>
      </c>
      <c r="CK2757" s="1">
        <v>0</v>
      </c>
      <c r="CL2757" s="1">
        <v>0</v>
      </c>
      <c r="CM2757" s="1" t="s">
        <v>104</v>
      </c>
    </row>
    <row r="2758" spans="1:91" ht="14.25" customHeight="1" x14ac:dyDescent="0.3">
      <c r="A2758" s="1" t="s">
        <v>13857</v>
      </c>
      <c r="B2758" s="1" t="s">
        <v>162</v>
      </c>
      <c r="E2758" s="1" t="s">
        <v>13858</v>
      </c>
      <c r="F2758" s="1" t="s">
        <v>95</v>
      </c>
      <c r="G2758" s="1" t="s">
        <v>13859</v>
      </c>
      <c r="H2758" s="1">
        <v>0</v>
      </c>
      <c r="I2758" s="1" t="s">
        <v>128</v>
      </c>
      <c r="L2758" s="1" t="s">
        <v>374</v>
      </c>
      <c r="M2758" s="1" t="s">
        <v>201</v>
      </c>
      <c r="N2758" s="1">
        <v>0</v>
      </c>
      <c r="O2758" s="1">
        <v>0</v>
      </c>
      <c r="P2758" s="1" t="s">
        <v>1058</v>
      </c>
      <c r="Q2758" s="1" t="s">
        <v>131</v>
      </c>
      <c r="R2758" s="1" t="s">
        <v>13860</v>
      </c>
      <c r="S2758" s="1" t="s">
        <v>13827</v>
      </c>
      <c r="T2758" s="1">
        <v>1</v>
      </c>
      <c r="U2758" s="1">
        <v>1</v>
      </c>
      <c r="V2758" s="1">
        <v>1</v>
      </c>
      <c r="W2758" s="1">
        <v>0</v>
      </c>
      <c r="X2758" s="1">
        <v>0</v>
      </c>
      <c r="Y2758" s="1" t="s">
        <v>104</v>
      </c>
      <c r="Z2758" s="1" t="s">
        <v>104</v>
      </c>
      <c r="AA2758" s="1">
        <v>3</v>
      </c>
      <c r="AB2758" s="1">
        <v>3</v>
      </c>
      <c r="AC2758" s="1">
        <v>3</v>
      </c>
      <c r="AD2758" s="1" t="s">
        <v>104</v>
      </c>
      <c r="AE2758" s="1">
        <v>3</v>
      </c>
      <c r="AF2758" s="1">
        <v>3</v>
      </c>
      <c r="AG2758" s="1">
        <v>3</v>
      </c>
      <c r="AH2758" s="1" t="s">
        <v>104</v>
      </c>
      <c r="AI2758" s="1" t="s">
        <v>104</v>
      </c>
      <c r="AJ2758" s="1">
        <v>3</v>
      </c>
      <c r="AK2758" s="1" t="s">
        <v>104</v>
      </c>
      <c r="AL2758" s="1" t="s">
        <v>104</v>
      </c>
      <c r="AM2758" s="1" t="s">
        <v>104</v>
      </c>
      <c r="AO2758" s="1">
        <v>3</v>
      </c>
      <c r="AR2758" s="1">
        <v>0</v>
      </c>
      <c r="AS2758" s="1">
        <v>0</v>
      </c>
      <c r="AT2758" s="1">
        <v>0</v>
      </c>
      <c r="AU2758" s="1">
        <v>0</v>
      </c>
      <c r="AV2758" s="1">
        <v>0</v>
      </c>
      <c r="AW2758" s="1">
        <v>0</v>
      </c>
      <c r="AX2758" s="1">
        <v>0</v>
      </c>
      <c r="AY2758" s="1">
        <v>0</v>
      </c>
      <c r="AZ2758" s="1">
        <v>0</v>
      </c>
      <c r="BA2758" s="1">
        <v>0</v>
      </c>
      <c r="BB2758" s="1">
        <v>0</v>
      </c>
      <c r="BC2758" s="1">
        <v>0</v>
      </c>
      <c r="BD2758" s="1">
        <v>0</v>
      </c>
      <c r="BE2758" s="1">
        <v>0</v>
      </c>
      <c r="BF2758" s="1">
        <v>0</v>
      </c>
      <c r="BG2758" s="1">
        <v>0</v>
      </c>
      <c r="BH2758" s="1">
        <v>0</v>
      </c>
      <c r="BI2758" s="1">
        <v>0</v>
      </c>
      <c r="BJ2758" s="1">
        <v>0</v>
      </c>
      <c r="BK2758" s="1">
        <v>0</v>
      </c>
      <c r="BL2758" s="1">
        <v>0</v>
      </c>
      <c r="BM2758" s="1">
        <v>0</v>
      </c>
      <c r="BN2758" s="1">
        <v>0</v>
      </c>
      <c r="BO2758" s="1">
        <v>0</v>
      </c>
      <c r="BP2758" s="1">
        <v>0</v>
      </c>
      <c r="BQ2758" s="1" t="s">
        <v>104</v>
      </c>
      <c r="BR2758" s="1">
        <v>4885</v>
      </c>
      <c r="BS2758" s="1" t="s">
        <v>104</v>
      </c>
      <c r="BX2758" s="1">
        <v>0</v>
      </c>
      <c r="BY2758" s="1">
        <v>3</v>
      </c>
      <c r="BZ2758" s="1">
        <v>3</v>
      </c>
      <c r="CA2758" s="1">
        <v>3</v>
      </c>
      <c r="CB2758" s="1" t="s">
        <v>104</v>
      </c>
      <c r="CC2758" s="1" t="s">
        <v>104</v>
      </c>
      <c r="CD2758" s="1" t="s">
        <v>104</v>
      </c>
      <c r="CE2758" s="1" t="s">
        <v>104</v>
      </c>
      <c r="CF2758" s="1" t="s">
        <v>104</v>
      </c>
      <c r="CG2758" s="1" t="s">
        <v>104</v>
      </c>
      <c r="CH2758" s="1">
        <v>3</v>
      </c>
      <c r="CJ2758" s="1">
        <v>0</v>
      </c>
      <c r="CK2758" s="1">
        <v>0</v>
      </c>
      <c r="CL2758" s="1">
        <v>0</v>
      </c>
      <c r="CM2758" s="1">
        <v>3</v>
      </c>
    </row>
    <row r="2759" spans="1:91" ht="14.25" customHeight="1" x14ac:dyDescent="0.3">
      <c r="A2759" s="1" t="s">
        <v>13861</v>
      </c>
      <c r="B2759" s="1" t="s">
        <v>162</v>
      </c>
      <c r="E2759" s="1" t="s">
        <v>13862</v>
      </c>
      <c r="F2759" s="1" t="s">
        <v>95</v>
      </c>
      <c r="G2759" s="1" t="s">
        <v>13863</v>
      </c>
      <c r="H2759" s="1">
        <v>0</v>
      </c>
      <c r="I2759" s="1" t="s">
        <v>128</v>
      </c>
      <c r="L2759" s="1" t="s">
        <v>374</v>
      </c>
      <c r="M2759" s="1" t="s">
        <v>119</v>
      </c>
      <c r="N2759" s="1">
        <v>0</v>
      </c>
      <c r="O2759" s="1">
        <v>0</v>
      </c>
      <c r="P2759" s="1" t="s">
        <v>1058</v>
      </c>
      <c r="Q2759" s="1" t="s">
        <v>131</v>
      </c>
      <c r="R2759" s="1" t="s">
        <v>13864</v>
      </c>
      <c r="S2759" s="1" t="s">
        <v>13827</v>
      </c>
      <c r="T2759" s="1">
        <v>1</v>
      </c>
      <c r="U2759" s="1">
        <v>1</v>
      </c>
      <c r="V2759" s="1">
        <v>1</v>
      </c>
      <c r="W2759" s="1">
        <v>0</v>
      </c>
      <c r="X2759" s="1">
        <v>0</v>
      </c>
      <c r="Y2759" s="1" t="s">
        <v>104</v>
      </c>
      <c r="Z2759" s="1" t="s">
        <v>104</v>
      </c>
      <c r="AA2759" s="1">
        <v>2</v>
      </c>
      <c r="AB2759" s="1">
        <v>2</v>
      </c>
      <c r="AC2759" s="1">
        <v>2</v>
      </c>
      <c r="AD2759" s="1" t="s">
        <v>104</v>
      </c>
      <c r="AE2759" s="1">
        <v>2</v>
      </c>
      <c r="AF2759" s="1">
        <v>2</v>
      </c>
      <c r="AG2759" s="1">
        <v>2</v>
      </c>
      <c r="AH2759" s="1" t="s">
        <v>104</v>
      </c>
      <c r="AI2759" s="1" t="s">
        <v>104</v>
      </c>
      <c r="AJ2759" s="1">
        <v>2</v>
      </c>
      <c r="AK2759" s="1" t="s">
        <v>104</v>
      </c>
      <c r="AL2759" s="1" t="s">
        <v>104</v>
      </c>
      <c r="AM2759" s="1" t="s">
        <v>104</v>
      </c>
      <c r="AO2759" s="1">
        <v>2</v>
      </c>
      <c r="AR2759" s="1">
        <v>0</v>
      </c>
      <c r="AS2759" s="1">
        <v>0</v>
      </c>
      <c r="AT2759" s="1">
        <v>0</v>
      </c>
      <c r="AU2759" s="1">
        <v>0</v>
      </c>
      <c r="AV2759" s="1">
        <v>0</v>
      </c>
      <c r="AW2759" s="1">
        <v>0</v>
      </c>
      <c r="AX2759" s="1">
        <v>0</v>
      </c>
      <c r="AY2759" s="1">
        <v>0</v>
      </c>
      <c r="AZ2759" s="1">
        <v>0</v>
      </c>
      <c r="BA2759" s="1">
        <v>0</v>
      </c>
      <c r="BB2759" s="1">
        <v>0</v>
      </c>
      <c r="BC2759" s="1">
        <v>0</v>
      </c>
      <c r="BD2759" s="1">
        <v>0</v>
      </c>
      <c r="BE2759" s="1">
        <v>0</v>
      </c>
      <c r="BF2759" s="1">
        <v>0</v>
      </c>
      <c r="BG2759" s="1">
        <v>0</v>
      </c>
      <c r="BH2759" s="1">
        <v>0</v>
      </c>
      <c r="BI2759" s="1">
        <v>0</v>
      </c>
      <c r="BJ2759" s="1">
        <v>0</v>
      </c>
      <c r="BK2759" s="1">
        <v>0</v>
      </c>
      <c r="BL2759" s="1">
        <v>0</v>
      </c>
      <c r="BM2759" s="1">
        <v>0</v>
      </c>
      <c r="BN2759" s="1">
        <v>0</v>
      </c>
      <c r="BO2759" s="1">
        <v>0</v>
      </c>
      <c r="BP2759" s="1">
        <v>0</v>
      </c>
      <c r="BQ2759" s="1" t="s">
        <v>104</v>
      </c>
      <c r="BR2759" s="1">
        <v>4886</v>
      </c>
      <c r="BS2759" s="1" t="s">
        <v>104</v>
      </c>
      <c r="BX2759" s="1">
        <v>0</v>
      </c>
      <c r="BY2759" s="1">
        <v>2</v>
      </c>
      <c r="BZ2759" s="1">
        <v>2</v>
      </c>
      <c r="CA2759" s="1">
        <v>2</v>
      </c>
      <c r="CB2759" s="1" t="s">
        <v>104</v>
      </c>
      <c r="CC2759" s="1" t="s">
        <v>104</v>
      </c>
      <c r="CD2759" s="1" t="s">
        <v>104</v>
      </c>
      <c r="CE2759" s="1" t="s">
        <v>104</v>
      </c>
      <c r="CF2759" s="1" t="s">
        <v>104</v>
      </c>
      <c r="CG2759" s="1" t="s">
        <v>104</v>
      </c>
      <c r="CH2759" s="1">
        <v>2</v>
      </c>
      <c r="CJ2759" s="1">
        <v>0</v>
      </c>
      <c r="CK2759" s="1">
        <v>0</v>
      </c>
      <c r="CL2759" s="1">
        <v>0</v>
      </c>
      <c r="CM2759" s="1">
        <v>2</v>
      </c>
    </row>
    <row r="2760" spans="1:91" ht="14.25" customHeight="1" x14ac:dyDescent="0.3">
      <c r="A2760" s="1" t="s">
        <v>13865</v>
      </c>
      <c r="B2760" s="1" t="s">
        <v>434</v>
      </c>
      <c r="D2760" s="1" t="s">
        <v>5022</v>
      </c>
      <c r="E2760" s="1" t="s">
        <v>843</v>
      </c>
      <c r="F2760" s="1" t="s">
        <v>95</v>
      </c>
      <c r="G2760" s="1" t="s">
        <v>13866</v>
      </c>
      <c r="H2760" s="1">
        <v>0</v>
      </c>
      <c r="I2760" s="1" t="s">
        <v>157</v>
      </c>
      <c r="L2760" s="1" t="s">
        <v>158</v>
      </c>
      <c r="M2760" s="1" t="s">
        <v>111</v>
      </c>
      <c r="N2760" s="1">
        <v>0</v>
      </c>
      <c r="O2760" s="1">
        <v>0</v>
      </c>
      <c r="R2760" s="1" t="s">
        <v>13867</v>
      </c>
      <c r="S2760" s="1" t="s">
        <v>13827</v>
      </c>
      <c r="T2760" s="1">
        <v>1</v>
      </c>
      <c r="U2760" s="1">
        <v>1</v>
      </c>
      <c r="V2760" s="1">
        <v>1</v>
      </c>
      <c r="W2760" s="1">
        <v>0</v>
      </c>
      <c r="X2760" s="1">
        <v>0</v>
      </c>
      <c r="Y2760" s="1">
        <v>7</v>
      </c>
      <c r="Z2760" s="1">
        <v>7</v>
      </c>
      <c r="AA2760" s="1" t="s">
        <v>104</v>
      </c>
      <c r="AB2760" s="1" t="s">
        <v>104</v>
      </c>
      <c r="AC2760" s="1" t="s">
        <v>104</v>
      </c>
      <c r="AD2760" s="1" t="s">
        <v>104</v>
      </c>
      <c r="AE2760" s="1" t="s">
        <v>104</v>
      </c>
      <c r="AF2760" s="1" t="s">
        <v>104</v>
      </c>
      <c r="AG2760" s="1" t="s">
        <v>104</v>
      </c>
      <c r="AH2760" s="1" t="s">
        <v>104</v>
      </c>
      <c r="AI2760" s="1" t="s">
        <v>104</v>
      </c>
      <c r="AJ2760" s="1" t="s">
        <v>104</v>
      </c>
      <c r="AK2760" s="1" t="s">
        <v>104</v>
      </c>
      <c r="AL2760" s="1" t="s">
        <v>104</v>
      </c>
      <c r="AM2760" s="1" t="s">
        <v>104</v>
      </c>
      <c r="AO2760" s="1">
        <v>7</v>
      </c>
      <c r="AR2760" s="1">
        <v>0</v>
      </c>
      <c r="AS2760" s="1">
        <v>0</v>
      </c>
      <c r="AT2760" s="1">
        <v>0</v>
      </c>
      <c r="AU2760" s="1">
        <v>0</v>
      </c>
      <c r="AV2760" s="1">
        <v>0</v>
      </c>
      <c r="AW2760" s="1">
        <v>0</v>
      </c>
      <c r="AX2760" s="1">
        <v>0</v>
      </c>
      <c r="AY2760" s="1">
        <v>0</v>
      </c>
      <c r="AZ2760" s="1">
        <v>0</v>
      </c>
      <c r="BA2760" s="1">
        <v>0</v>
      </c>
      <c r="BB2760" s="1">
        <v>0</v>
      </c>
      <c r="BC2760" s="1">
        <v>0</v>
      </c>
      <c r="BD2760" s="1">
        <v>0</v>
      </c>
      <c r="BE2760" s="1">
        <v>1</v>
      </c>
      <c r="BF2760" s="1">
        <v>0</v>
      </c>
      <c r="BG2760" s="1">
        <v>0</v>
      </c>
      <c r="BH2760" s="1">
        <v>0</v>
      </c>
      <c r="BI2760" s="1">
        <v>0</v>
      </c>
      <c r="BJ2760" s="1">
        <v>0</v>
      </c>
      <c r="BK2760" s="1">
        <v>0</v>
      </c>
      <c r="BL2760" s="1">
        <v>0</v>
      </c>
      <c r="BM2760" s="1">
        <v>0</v>
      </c>
      <c r="BN2760" s="1">
        <v>0</v>
      </c>
      <c r="BO2760" s="1">
        <v>0</v>
      </c>
      <c r="BP2760" s="1">
        <v>1</v>
      </c>
      <c r="BQ2760" s="1" t="s">
        <v>104</v>
      </c>
      <c r="BR2760" s="1">
        <v>4887</v>
      </c>
      <c r="BS2760" s="1" t="s">
        <v>104</v>
      </c>
      <c r="BX2760" s="1">
        <v>0</v>
      </c>
      <c r="BY2760" s="1" t="s">
        <v>104</v>
      </c>
      <c r="BZ2760" s="1" t="s">
        <v>104</v>
      </c>
      <c r="CA2760" s="1" t="s">
        <v>104</v>
      </c>
      <c r="CB2760" s="1" t="s">
        <v>104</v>
      </c>
      <c r="CC2760" s="1" t="s">
        <v>104</v>
      </c>
      <c r="CD2760" s="1" t="s">
        <v>104</v>
      </c>
      <c r="CE2760" s="1" t="s">
        <v>104</v>
      </c>
      <c r="CF2760" s="1" t="s">
        <v>104</v>
      </c>
      <c r="CG2760" s="1" t="s">
        <v>104</v>
      </c>
      <c r="CH2760" s="1" t="s">
        <v>104</v>
      </c>
      <c r="CJ2760" s="1">
        <v>0</v>
      </c>
      <c r="CK2760" s="1">
        <v>0</v>
      </c>
      <c r="CL2760" s="1">
        <v>0</v>
      </c>
      <c r="CM2760" s="1" t="s">
        <v>104</v>
      </c>
    </row>
    <row r="2761" spans="1:91" ht="14.25" customHeight="1" x14ac:dyDescent="0.3">
      <c r="A2761" s="1" t="s">
        <v>13868</v>
      </c>
      <c r="B2761" s="1" t="s">
        <v>92</v>
      </c>
      <c r="C2761" s="1" t="s">
        <v>523</v>
      </c>
      <c r="D2761" s="1" t="s">
        <v>67</v>
      </c>
      <c r="E2761" s="1" t="s">
        <v>13869</v>
      </c>
      <c r="F2761" s="1" t="s">
        <v>95</v>
      </c>
      <c r="G2761" s="1" t="s">
        <v>127</v>
      </c>
      <c r="H2761" s="1">
        <v>0</v>
      </c>
      <c r="I2761" s="1" t="s">
        <v>109</v>
      </c>
      <c r="J2761" s="1" t="s">
        <v>13853</v>
      </c>
      <c r="M2761" s="1" t="s">
        <v>255</v>
      </c>
      <c r="N2761" s="1">
        <v>0</v>
      </c>
      <c r="O2761" s="1">
        <v>0</v>
      </c>
      <c r="P2761" s="1" t="s">
        <v>2127</v>
      </c>
      <c r="Q2761" s="1" t="s">
        <v>184</v>
      </c>
      <c r="R2761" s="1" t="s">
        <v>13870</v>
      </c>
      <c r="S2761" s="1" t="s">
        <v>13827</v>
      </c>
      <c r="T2761" s="1">
        <v>1</v>
      </c>
      <c r="U2761" s="1">
        <v>1</v>
      </c>
      <c r="V2761" s="1">
        <v>0</v>
      </c>
      <c r="W2761" s="1">
        <v>0</v>
      </c>
      <c r="X2761" s="1">
        <v>1</v>
      </c>
      <c r="Y2761" s="1" t="s">
        <v>104</v>
      </c>
      <c r="Z2761" s="1" t="s">
        <v>104</v>
      </c>
      <c r="AA2761" s="1">
        <v>3</v>
      </c>
      <c r="AB2761" s="1">
        <v>3</v>
      </c>
      <c r="AC2761" s="1">
        <v>3</v>
      </c>
      <c r="AD2761" s="1" t="s">
        <v>104</v>
      </c>
      <c r="AE2761" s="1" t="s">
        <v>104</v>
      </c>
      <c r="AF2761" s="1" t="s">
        <v>104</v>
      </c>
      <c r="AG2761" s="1" t="s">
        <v>104</v>
      </c>
      <c r="AH2761" s="1" t="s">
        <v>104</v>
      </c>
      <c r="AI2761" s="1" t="s">
        <v>104</v>
      </c>
      <c r="AJ2761" s="1">
        <v>3</v>
      </c>
      <c r="AK2761" s="1">
        <v>3</v>
      </c>
      <c r="AL2761" s="1" t="s">
        <v>104</v>
      </c>
      <c r="AM2761" s="1" t="s">
        <v>104</v>
      </c>
      <c r="AO2761" s="1">
        <v>3</v>
      </c>
      <c r="AR2761" s="1">
        <v>0</v>
      </c>
      <c r="AS2761" s="1">
        <v>0</v>
      </c>
      <c r="AT2761" s="1">
        <v>0</v>
      </c>
      <c r="AU2761" s="1">
        <v>0</v>
      </c>
      <c r="AV2761" s="1">
        <v>0</v>
      </c>
      <c r="AW2761" s="1">
        <v>0</v>
      </c>
      <c r="AX2761" s="1">
        <v>0</v>
      </c>
      <c r="AY2761" s="1">
        <v>0</v>
      </c>
      <c r="AZ2761" s="1">
        <v>0</v>
      </c>
      <c r="BA2761" s="1">
        <v>0</v>
      </c>
      <c r="BB2761" s="1">
        <v>0</v>
      </c>
      <c r="BC2761" s="1">
        <v>0</v>
      </c>
      <c r="BD2761" s="1">
        <v>0</v>
      </c>
      <c r="BE2761" s="1">
        <v>0</v>
      </c>
      <c r="BF2761" s="1">
        <v>0</v>
      </c>
      <c r="BG2761" s="1">
        <v>0</v>
      </c>
      <c r="BH2761" s="1">
        <v>0</v>
      </c>
      <c r="BI2761" s="1">
        <v>0</v>
      </c>
      <c r="BJ2761" s="1">
        <v>0</v>
      </c>
      <c r="BK2761" s="1">
        <v>0</v>
      </c>
      <c r="BL2761" s="1">
        <v>0</v>
      </c>
      <c r="BM2761" s="1">
        <v>0</v>
      </c>
      <c r="BN2761" s="1">
        <v>0</v>
      </c>
      <c r="BO2761" s="1">
        <v>0</v>
      </c>
      <c r="BP2761" s="1">
        <v>1</v>
      </c>
      <c r="BQ2761" s="1" t="s">
        <v>104</v>
      </c>
      <c r="BR2761" s="1">
        <v>4888</v>
      </c>
      <c r="BS2761" s="1" t="s">
        <v>104</v>
      </c>
      <c r="BX2761" s="1">
        <v>0</v>
      </c>
      <c r="BY2761" s="1" t="s">
        <v>104</v>
      </c>
      <c r="BZ2761" s="1">
        <v>3</v>
      </c>
      <c r="CA2761" s="1" t="s">
        <v>104</v>
      </c>
      <c r="CB2761" s="1" t="s">
        <v>104</v>
      </c>
      <c r="CC2761" s="1" t="s">
        <v>104</v>
      </c>
      <c r="CD2761" s="1" t="s">
        <v>104</v>
      </c>
      <c r="CE2761" s="1" t="s">
        <v>104</v>
      </c>
      <c r="CF2761" s="1" t="s">
        <v>104</v>
      </c>
      <c r="CG2761" s="1" t="s">
        <v>104</v>
      </c>
      <c r="CH2761" s="1">
        <v>3</v>
      </c>
      <c r="CJ2761" s="1">
        <v>0</v>
      </c>
      <c r="CK2761" s="1">
        <v>0</v>
      </c>
      <c r="CL2761" s="1">
        <v>0</v>
      </c>
      <c r="CM2761" s="1" t="s">
        <v>104</v>
      </c>
    </row>
    <row r="2762" spans="1:91" ht="14.25" customHeight="1" x14ac:dyDescent="0.3">
      <c r="A2762" s="1" t="s">
        <v>13871</v>
      </c>
      <c r="B2762" s="1" t="s">
        <v>137</v>
      </c>
      <c r="D2762" s="1" t="s">
        <v>67</v>
      </c>
      <c r="E2762" s="1" t="s">
        <v>13872</v>
      </c>
      <c r="F2762" s="1" t="s">
        <v>95</v>
      </c>
      <c r="G2762" s="1" t="s">
        <v>116</v>
      </c>
      <c r="H2762" s="1">
        <v>0</v>
      </c>
      <c r="I2762" s="1" t="s">
        <v>157</v>
      </c>
      <c r="L2762" s="1" t="s">
        <v>158</v>
      </c>
      <c r="M2762" s="1" t="s">
        <v>119</v>
      </c>
      <c r="N2762" s="1">
        <v>0</v>
      </c>
      <c r="O2762" s="1">
        <v>0</v>
      </c>
      <c r="P2762" s="1" t="s">
        <v>145</v>
      </c>
      <c r="Q2762" s="1" t="s">
        <v>11472</v>
      </c>
      <c r="R2762" s="1" t="s">
        <v>13873</v>
      </c>
      <c r="S2762" s="1" t="s">
        <v>13827</v>
      </c>
      <c r="T2762" s="1">
        <v>1</v>
      </c>
      <c r="U2762" s="1">
        <v>1</v>
      </c>
      <c r="V2762" s="1">
        <v>0</v>
      </c>
      <c r="W2762" s="1">
        <v>0</v>
      </c>
      <c r="X2762" s="1">
        <v>0</v>
      </c>
      <c r="Y2762" s="1">
        <v>4</v>
      </c>
      <c r="Z2762" s="1">
        <v>4</v>
      </c>
      <c r="AA2762" s="1">
        <v>4</v>
      </c>
      <c r="AB2762" s="1">
        <v>4</v>
      </c>
      <c r="AC2762" s="1" t="s">
        <v>104</v>
      </c>
      <c r="AD2762" s="1" t="s">
        <v>104</v>
      </c>
      <c r="AE2762" s="1" t="s">
        <v>104</v>
      </c>
      <c r="AF2762" s="1" t="s">
        <v>104</v>
      </c>
      <c r="AG2762" s="1" t="s">
        <v>104</v>
      </c>
      <c r="AH2762" s="1" t="s">
        <v>104</v>
      </c>
      <c r="AI2762" s="1" t="s">
        <v>104</v>
      </c>
      <c r="AJ2762" s="1">
        <v>4</v>
      </c>
      <c r="AK2762" s="1" t="s">
        <v>104</v>
      </c>
      <c r="AL2762" s="1" t="s">
        <v>104</v>
      </c>
      <c r="AM2762" s="1" t="s">
        <v>104</v>
      </c>
      <c r="AO2762" s="1">
        <v>4</v>
      </c>
      <c r="AR2762" s="1">
        <v>0</v>
      </c>
      <c r="AS2762" s="1">
        <v>0</v>
      </c>
      <c r="AT2762" s="1">
        <v>0</v>
      </c>
      <c r="AU2762" s="1">
        <v>0</v>
      </c>
      <c r="AV2762" s="1">
        <v>0</v>
      </c>
      <c r="AW2762" s="1">
        <v>0</v>
      </c>
      <c r="AX2762" s="1">
        <v>0</v>
      </c>
      <c r="AY2762" s="1">
        <v>0</v>
      </c>
      <c r="AZ2762" s="1">
        <v>0</v>
      </c>
      <c r="BA2762" s="1">
        <v>0</v>
      </c>
      <c r="BB2762" s="1">
        <v>0</v>
      </c>
      <c r="BC2762" s="1">
        <v>0</v>
      </c>
      <c r="BD2762" s="1">
        <v>0</v>
      </c>
      <c r="BE2762" s="1">
        <v>0</v>
      </c>
      <c r="BF2762" s="1">
        <v>0</v>
      </c>
      <c r="BG2762" s="1">
        <v>0</v>
      </c>
      <c r="BH2762" s="1">
        <v>0</v>
      </c>
      <c r="BI2762" s="1">
        <v>0</v>
      </c>
      <c r="BJ2762" s="1">
        <v>0</v>
      </c>
      <c r="BK2762" s="1">
        <v>0</v>
      </c>
      <c r="BL2762" s="1">
        <v>0</v>
      </c>
      <c r="BM2762" s="1">
        <v>0</v>
      </c>
      <c r="BN2762" s="1">
        <v>0</v>
      </c>
      <c r="BO2762" s="1">
        <v>0</v>
      </c>
      <c r="BP2762" s="1">
        <v>1</v>
      </c>
      <c r="BQ2762" s="1" t="s">
        <v>104</v>
      </c>
      <c r="BR2762" s="1">
        <v>4889</v>
      </c>
      <c r="BS2762" s="1" t="s">
        <v>104</v>
      </c>
      <c r="BX2762" s="1">
        <v>0</v>
      </c>
      <c r="BY2762" s="1">
        <v>4</v>
      </c>
      <c r="BZ2762" s="1">
        <v>4</v>
      </c>
      <c r="CA2762" s="1" t="s">
        <v>104</v>
      </c>
      <c r="CB2762" s="1" t="s">
        <v>104</v>
      </c>
      <c r="CC2762" s="1" t="s">
        <v>104</v>
      </c>
      <c r="CD2762" s="1" t="s">
        <v>104</v>
      </c>
      <c r="CE2762" s="1" t="s">
        <v>104</v>
      </c>
      <c r="CF2762" s="1" t="s">
        <v>104</v>
      </c>
      <c r="CG2762" s="1" t="s">
        <v>104</v>
      </c>
      <c r="CH2762" s="1">
        <v>4</v>
      </c>
      <c r="CJ2762" s="1">
        <v>0</v>
      </c>
      <c r="CK2762" s="1">
        <v>0</v>
      </c>
      <c r="CL2762" s="1">
        <v>0</v>
      </c>
      <c r="CM2762" s="1" t="s">
        <v>104</v>
      </c>
    </row>
    <row r="2763" spans="1:91" ht="14.25" customHeight="1" x14ac:dyDescent="0.3">
      <c r="A2763" s="1" t="s">
        <v>13874</v>
      </c>
      <c r="B2763" s="1" t="s">
        <v>162</v>
      </c>
      <c r="E2763" s="1" t="s">
        <v>13875</v>
      </c>
      <c r="F2763" s="1" t="s">
        <v>95</v>
      </c>
      <c r="G2763" s="1" t="s">
        <v>13876</v>
      </c>
      <c r="H2763" s="1">
        <v>1</v>
      </c>
      <c r="I2763" s="1" t="s">
        <v>128</v>
      </c>
      <c r="L2763" s="1" t="s">
        <v>13877</v>
      </c>
      <c r="M2763" s="1" t="s">
        <v>13878</v>
      </c>
      <c r="N2763" s="1">
        <v>0</v>
      </c>
      <c r="O2763" s="1">
        <v>0</v>
      </c>
      <c r="P2763" s="1" t="s">
        <v>375</v>
      </c>
      <c r="Q2763" s="1" t="s">
        <v>131</v>
      </c>
      <c r="R2763" s="1" t="s">
        <v>13879</v>
      </c>
      <c r="S2763" s="1" t="s">
        <v>13742</v>
      </c>
      <c r="T2763" s="1">
        <v>1</v>
      </c>
      <c r="U2763" s="1">
        <v>1</v>
      </c>
      <c r="V2763" s="1">
        <v>1</v>
      </c>
      <c r="W2763" s="1">
        <v>0</v>
      </c>
      <c r="X2763" s="1">
        <v>0</v>
      </c>
      <c r="Y2763" s="1">
        <v>4</v>
      </c>
      <c r="Z2763" s="1">
        <v>4</v>
      </c>
      <c r="AA2763" s="1">
        <v>4</v>
      </c>
      <c r="AB2763" s="1" t="s">
        <v>104</v>
      </c>
      <c r="AC2763" s="1" t="s">
        <v>104</v>
      </c>
      <c r="AD2763" s="1">
        <v>4</v>
      </c>
      <c r="AE2763" s="1" t="s">
        <v>104</v>
      </c>
      <c r="AF2763" s="1" t="s">
        <v>104</v>
      </c>
      <c r="AG2763" s="1" t="s">
        <v>104</v>
      </c>
      <c r="AH2763" s="1" t="s">
        <v>104</v>
      </c>
      <c r="AI2763" s="1" t="s">
        <v>104</v>
      </c>
      <c r="AJ2763" s="1">
        <v>4</v>
      </c>
      <c r="AK2763" s="1" t="s">
        <v>104</v>
      </c>
      <c r="AL2763" s="1">
        <v>4</v>
      </c>
      <c r="AM2763" s="1" t="s">
        <v>104</v>
      </c>
      <c r="AO2763" s="1">
        <v>4</v>
      </c>
      <c r="AR2763" s="1">
        <v>0</v>
      </c>
      <c r="AS2763" s="1">
        <v>0</v>
      </c>
      <c r="AT2763" s="1">
        <v>0</v>
      </c>
      <c r="AU2763" s="1">
        <v>0</v>
      </c>
      <c r="AV2763" s="1">
        <v>0</v>
      </c>
      <c r="AW2763" s="1">
        <v>0</v>
      </c>
      <c r="AX2763" s="1">
        <v>0</v>
      </c>
      <c r="AY2763" s="1">
        <v>0</v>
      </c>
      <c r="AZ2763" s="1">
        <v>0</v>
      </c>
      <c r="BA2763" s="1">
        <v>0</v>
      </c>
      <c r="BB2763" s="1">
        <v>0</v>
      </c>
      <c r="BC2763" s="1">
        <v>0</v>
      </c>
      <c r="BD2763" s="1">
        <v>0</v>
      </c>
      <c r="BE2763" s="1">
        <v>0</v>
      </c>
      <c r="BF2763" s="1">
        <v>0</v>
      </c>
      <c r="BG2763" s="1">
        <v>0</v>
      </c>
      <c r="BH2763" s="1">
        <v>0</v>
      </c>
      <c r="BI2763" s="1">
        <v>0</v>
      </c>
      <c r="BJ2763" s="1">
        <v>0</v>
      </c>
      <c r="BK2763" s="1">
        <v>0</v>
      </c>
      <c r="BL2763" s="1">
        <v>0</v>
      </c>
      <c r="BM2763" s="1">
        <v>0</v>
      </c>
      <c r="BN2763" s="1">
        <v>0</v>
      </c>
      <c r="BO2763" s="1">
        <v>0</v>
      </c>
      <c r="BP2763" s="1">
        <v>0</v>
      </c>
      <c r="BQ2763" s="1" t="s">
        <v>104</v>
      </c>
      <c r="BR2763" s="1">
        <v>4890</v>
      </c>
      <c r="BS2763" s="1">
        <v>25</v>
      </c>
      <c r="BX2763" s="1">
        <v>0</v>
      </c>
      <c r="BY2763" s="1" t="s">
        <v>104</v>
      </c>
      <c r="BZ2763" s="1" t="s">
        <v>104</v>
      </c>
      <c r="CA2763" s="1" t="s">
        <v>104</v>
      </c>
      <c r="CB2763" s="1" t="s">
        <v>104</v>
      </c>
      <c r="CC2763" s="1" t="s">
        <v>104</v>
      </c>
      <c r="CD2763" s="1">
        <v>4</v>
      </c>
      <c r="CE2763" s="1" t="s">
        <v>104</v>
      </c>
      <c r="CF2763" s="1" t="s">
        <v>104</v>
      </c>
      <c r="CG2763" s="1" t="s">
        <v>104</v>
      </c>
      <c r="CH2763" s="1" t="s">
        <v>104</v>
      </c>
      <c r="CJ2763" s="1">
        <v>0</v>
      </c>
      <c r="CK2763" s="1">
        <v>0</v>
      </c>
      <c r="CL2763" s="1">
        <v>0</v>
      </c>
      <c r="CM2763" s="1" t="s">
        <v>104</v>
      </c>
    </row>
    <row r="2764" spans="1:91" ht="14.25" customHeight="1" x14ac:dyDescent="0.3">
      <c r="A2764" s="1" t="s">
        <v>13880</v>
      </c>
      <c r="B2764" s="1" t="s">
        <v>162</v>
      </c>
      <c r="E2764" s="1" t="s">
        <v>13881</v>
      </c>
      <c r="F2764" s="1" t="s">
        <v>95</v>
      </c>
      <c r="G2764" s="1" t="s">
        <v>13876</v>
      </c>
      <c r="H2764" s="1">
        <v>1</v>
      </c>
      <c r="I2764" s="1" t="s">
        <v>128</v>
      </c>
      <c r="L2764" s="1" t="s">
        <v>13877</v>
      </c>
      <c r="M2764" s="1" t="s">
        <v>13878</v>
      </c>
      <c r="N2764" s="1">
        <v>0</v>
      </c>
      <c r="O2764" s="1">
        <v>0</v>
      </c>
      <c r="P2764" s="1" t="s">
        <v>375</v>
      </c>
      <c r="Q2764" s="1" t="s">
        <v>131</v>
      </c>
      <c r="R2764" s="1" t="s">
        <v>13882</v>
      </c>
      <c r="S2764" s="1" t="s">
        <v>13742</v>
      </c>
      <c r="T2764" s="1">
        <v>1</v>
      </c>
      <c r="U2764" s="1">
        <v>1</v>
      </c>
      <c r="V2764" s="1">
        <v>1</v>
      </c>
      <c r="W2764" s="1">
        <v>0</v>
      </c>
      <c r="X2764" s="1">
        <v>0</v>
      </c>
      <c r="Y2764" s="1">
        <v>6</v>
      </c>
      <c r="Z2764" s="1">
        <v>6</v>
      </c>
      <c r="AA2764" s="1">
        <v>6</v>
      </c>
      <c r="AB2764" s="1" t="s">
        <v>104</v>
      </c>
      <c r="AC2764" s="1" t="s">
        <v>104</v>
      </c>
      <c r="AD2764" s="1">
        <v>6</v>
      </c>
      <c r="AE2764" s="1" t="s">
        <v>104</v>
      </c>
      <c r="AF2764" s="1" t="s">
        <v>104</v>
      </c>
      <c r="AG2764" s="1" t="s">
        <v>104</v>
      </c>
      <c r="AH2764" s="1" t="s">
        <v>104</v>
      </c>
      <c r="AI2764" s="1" t="s">
        <v>104</v>
      </c>
      <c r="AJ2764" s="1">
        <v>6</v>
      </c>
      <c r="AK2764" s="1" t="s">
        <v>104</v>
      </c>
      <c r="AL2764" s="1">
        <v>6</v>
      </c>
      <c r="AM2764" s="1" t="s">
        <v>104</v>
      </c>
      <c r="AO2764" s="1">
        <v>6</v>
      </c>
      <c r="AR2764" s="1">
        <v>0</v>
      </c>
      <c r="AS2764" s="1">
        <v>0</v>
      </c>
      <c r="AT2764" s="1">
        <v>0</v>
      </c>
      <c r="AU2764" s="1">
        <v>0</v>
      </c>
      <c r="AV2764" s="1">
        <v>0</v>
      </c>
      <c r="AW2764" s="1">
        <v>0</v>
      </c>
      <c r="AX2764" s="1">
        <v>0</v>
      </c>
      <c r="AY2764" s="1">
        <v>0</v>
      </c>
      <c r="AZ2764" s="1">
        <v>0</v>
      </c>
      <c r="BA2764" s="1">
        <v>0</v>
      </c>
      <c r="BB2764" s="1">
        <v>0</v>
      </c>
      <c r="BC2764" s="1">
        <v>0</v>
      </c>
      <c r="BD2764" s="1">
        <v>0</v>
      </c>
      <c r="BE2764" s="1">
        <v>0</v>
      </c>
      <c r="BF2764" s="1">
        <v>0</v>
      </c>
      <c r="BG2764" s="1">
        <v>0</v>
      </c>
      <c r="BH2764" s="1">
        <v>0</v>
      </c>
      <c r="BI2764" s="1">
        <v>0</v>
      </c>
      <c r="BJ2764" s="1">
        <v>0</v>
      </c>
      <c r="BK2764" s="1">
        <v>0</v>
      </c>
      <c r="BL2764" s="1">
        <v>0</v>
      </c>
      <c r="BM2764" s="1">
        <v>0</v>
      </c>
      <c r="BN2764" s="1">
        <v>0</v>
      </c>
      <c r="BO2764" s="1">
        <v>0</v>
      </c>
      <c r="BP2764" s="1">
        <v>0</v>
      </c>
      <c r="BQ2764" s="1" t="s">
        <v>104</v>
      </c>
      <c r="BR2764" s="1">
        <v>4891</v>
      </c>
      <c r="BS2764" s="1">
        <v>25</v>
      </c>
      <c r="BX2764" s="1">
        <v>0</v>
      </c>
      <c r="BY2764" s="1" t="s">
        <v>104</v>
      </c>
      <c r="BZ2764" s="1" t="s">
        <v>104</v>
      </c>
      <c r="CA2764" s="1" t="s">
        <v>104</v>
      </c>
      <c r="CB2764" s="1" t="s">
        <v>104</v>
      </c>
      <c r="CC2764" s="1" t="s">
        <v>104</v>
      </c>
      <c r="CD2764" s="1">
        <v>6</v>
      </c>
      <c r="CE2764" s="1" t="s">
        <v>104</v>
      </c>
      <c r="CF2764" s="1" t="s">
        <v>104</v>
      </c>
      <c r="CG2764" s="1" t="s">
        <v>104</v>
      </c>
      <c r="CH2764" s="1" t="s">
        <v>104</v>
      </c>
      <c r="CJ2764" s="1">
        <v>0</v>
      </c>
      <c r="CK2764" s="1">
        <v>0</v>
      </c>
      <c r="CL2764" s="1">
        <v>0</v>
      </c>
      <c r="CM2764" s="1" t="s">
        <v>104</v>
      </c>
    </row>
    <row r="2765" spans="1:91" ht="14.25" customHeight="1" x14ac:dyDescent="0.3">
      <c r="A2765" s="1" t="s">
        <v>13883</v>
      </c>
      <c r="B2765" s="1" t="s">
        <v>162</v>
      </c>
      <c r="E2765" s="1" t="s">
        <v>4341</v>
      </c>
      <c r="F2765" s="1" t="s">
        <v>95</v>
      </c>
      <c r="G2765" s="1" t="s">
        <v>13876</v>
      </c>
      <c r="H2765" s="1">
        <v>1</v>
      </c>
      <c r="I2765" s="1" t="s">
        <v>128</v>
      </c>
      <c r="L2765" s="1" t="s">
        <v>13877</v>
      </c>
      <c r="M2765" s="1" t="s">
        <v>13878</v>
      </c>
      <c r="N2765" s="1">
        <v>0</v>
      </c>
      <c r="O2765" s="1">
        <v>0</v>
      </c>
      <c r="P2765" s="1" t="s">
        <v>375</v>
      </c>
      <c r="Q2765" s="1" t="s">
        <v>131</v>
      </c>
      <c r="R2765" s="1" t="s">
        <v>13884</v>
      </c>
      <c r="S2765" s="1" t="s">
        <v>13742</v>
      </c>
      <c r="T2765" s="1">
        <v>1</v>
      </c>
      <c r="U2765" s="1">
        <v>1</v>
      </c>
      <c r="V2765" s="1">
        <v>1</v>
      </c>
      <c r="W2765" s="1">
        <v>0</v>
      </c>
      <c r="X2765" s="1">
        <v>0</v>
      </c>
      <c r="Y2765" s="1">
        <v>9</v>
      </c>
      <c r="Z2765" s="1">
        <v>9</v>
      </c>
      <c r="AA2765" s="1">
        <v>9</v>
      </c>
      <c r="AB2765" s="1" t="s">
        <v>104</v>
      </c>
      <c r="AC2765" s="1" t="s">
        <v>104</v>
      </c>
      <c r="AD2765" s="1" t="s">
        <v>104</v>
      </c>
      <c r="AE2765" s="1" t="s">
        <v>104</v>
      </c>
      <c r="AF2765" s="1" t="s">
        <v>104</v>
      </c>
      <c r="AG2765" s="1" t="s">
        <v>104</v>
      </c>
      <c r="AH2765" s="1" t="s">
        <v>104</v>
      </c>
      <c r="AI2765" s="1" t="s">
        <v>104</v>
      </c>
      <c r="AJ2765" s="1">
        <v>9</v>
      </c>
      <c r="AK2765" s="1" t="s">
        <v>104</v>
      </c>
      <c r="AL2765" s="1" t="s">
        <v>104</v>
      </c>
      <c r="AM2765" s="1" t="s">
        <v>104</v>
      </c>
      <c r="AO2765" s="1">
        <v>9</v>
      </c>
      <c r="AR2765" s="1">
        <v>0</v>
      </c>
      <c r="AS2765" s="1">
        <v>0</v>
      </c>
      <c r="AT2765" s="1">
        <v>0</v>
      </c>
      <c r="AU2765" s="1">
        <v>0</v>
      </c>
      <c r="AV2765" s="1">
        <v>0</v>
      </c>
      <c r="AW2765" s="1">
        <v>0</v>
      </c>
      <c r="AX2765" s="1">
        <v>0</v>
      </c>
      <c r="AY2765" s="1">
        <v>0</v>
      </c>
      <c r="AZ2765" s="1">
        <v>0</v>
      </c>
      <c r="BA2765" s="1">
        <v>0</v>
      </c>
      <c r="BB2765" s="1">
        <v>0</v>
      </c>
      <c r="BC2765" s="1">
        <v>0</v>
      </c>
      <c r="BD2765" s="1">
        <v>0</v>
      </c>
      <c r="BE2765" s="1">
        <v>0</v>
      </c>
      <c r="BF2765" s="1">
        <v>0</v>
      </c>
      <c r="BG2765" s="1">
        <v>0</v>
      </c>
      <c r="BH2765" s="1">
        <v>0</v>
      </c>
      <c r="BI2765" s="1">
        <v>0</v>
      </c>
      <c r="BJ2765" s="1">
        <v>0</v>
      </c>
      <c r="BK2765" s="1">
        <v>0</v>
      </c>
      <c r="BL2765" s="1">
        <v>0</v>
      </c>
      <c r="BM2765" s="1">
        <v>0</v>
      </c>
      <c r="BN2765" s="1">
        <v>0</v>
      </c>
      <c r="BO2765" s="1">
        <v>0</v>
      </c>
      <c r="BP2765" s="1">
        <v>0</v>
      </c>
      <c r="BQ2765" s="1" t="s">
        <v>104</v>
      </c>
      <c r="BR2765" s="1">
        <v>4892</v>
      </c>
      <c r="BS2765" s="1">
        <v>25</v>
      </c>
      <c r="BX2765" s="1">
        <v>0</v>
      </c>
      <c r="BY2765" s="1" t="s">
        <v>104</v>
      </c>
      <c r="BZ2765" s="1" t="s">
        <v>104</v>
      </c>
      <c r="CA2765" s="1" t="s">
        <v>104</v>
      </c>
      <c r="CB2765" s="1" t="s">
        <v>104</v>
      </c>
      <c r="CC2765" s="1" t="s">
        <v>104</v>
      </c>
      <c r="CD2765" s="1" t="s">
        <v>104</v>
      </c>
      <c r="CE2765" s="1" t="s">
        <v>104</v>
      </c>
      <c r="CF2765" s="1" t="s">
        <v>104</v>
      </c>
      <c r="CG2765" s="1" t="s">
        <v>104</v>
      </c>
      <c r="CH2765" s="1" t="s">
        <v>104</v>
      </c>
      <c r="CJ2765" s="1">
        <v>0</v>
      </c>
      <c r="CK2765" s="1">
        <v>0</v>
      </c>
      <c r="CL2765" s="1">
        <v>0</v>
      </c>
      <c r="CM2765" s="1" t="s">
        <v>104</v>
      </c>
    </row>
    <row r="2766" spans="1:91" ht="14.25" customHeight="1" x14ac:dyDescent="0.3">
      <c r="A2766" s="1" t="s">
        <v>13885</v>
      </c>
      <c r="B2766" s="1" t="s">
        <v>137</v>
      </c>
      <c r="E2766" s="1" t="s">
        <v>11916</v>
      </c>
      <c r="F2766" s="1" t="s">
        <v>255</v>
      </c>
      <c r="G2766" s="1" t="s">
        <v>10663</v>
      </c>
      <c r="H2766" s="1">
        <v>0</v>
      </c>
      <c r="I2766" s="1" t="s">
        <v>157</v>
      </c>
      <c r="L2766" s="1" t="s">
        <v>158</v>
      </c>
      <c r="M2766" s="1" t="s">
        <v>13886</v>
      </c>
      <c r="N2766" s="1">
        <v>0</v>
      </c>
      <c r="O2766" s="1">
        <v>0</v>
      </c>
      <c r="R2766" s="1" t="s">
        <v>13887</v>
      </c>
      <c r="S2766" s="1" t="s">
        <v>13742</v>
      </c>
      <c r="T2766" s="1">
        <v>1</v>
      </c>
      <c r="U2766" s="1">
        <v>1</v>
      </c>
      <c r="V2766" s="1">
        <v>1</v>
      </c>
      <c r="W2766" s="1">
        <v>0</v>
      </c>
      <c r="X2766" s="1">
        <v>0</v>
      </c>
      <c r="Y2766" s="1">
        <v>2</v>
      </c>
      <c r="Z2766" s="1">
        <v>2</v>
      </c>
      <c r="AA2766" s="1" t="s">
        <v>104</v>
      </c>
      <c r="AB2766" s="1" t="s">
        <v>104</v>
      </c>
      <c r="AC2766" s="1" t="s">
        <v>104</v>
      </c>
      <c r="AD2766" s="1">
        <v>2</v>
      </c>
      <c r="AE2766" s="1" t="s">
        <v>104</v>
      </c>
      <c r="AF2766" s="1" t="s">
        <v>104</v>
      </c>
      <c r="AG2766" s="1" t="s">
        <v>104</v>
      </c>
      <c r="AH2766" s="1" t="s">
        <v>104</v>
      </c>
      <c r="AI2766" s="1" t="s">
        <v>104</v>
      </c>
      <c r="AJ2766" s="1" t="s">
        <v>104</v>
      </c>
      <c r="AK2766" s="1" t="s">
        <v>104</v>
      </c>
      <c r="AL2766" s="1" t="s">
        <v>104</v>
      </c>
      <c r="AM2766" s="1" t="s">
        <v>104</v>
      </c>
      <c r="AO2766" s="1">
        <v>2</v>
      </c>
      <c r="AR2766" s="1">
        <v>0</v>
      </c>
      <c r="AS2766" s="1">
        <v>0</v>
      </c>
      <c r="AT2766" s="1">
        <v>0</v>
      </c>
      <c r="AU2766" s="1">
        <v>0</v>
      </c>
      <c r="AV2766" s="1">
        <v>0</v>
      </c>
      <c r="AW2766" s="1">
        <v>0</v>
      </c>
      <c r="AX2766" s="1">
        <v>0</v>
      </c>
      <c r="AY2766" s="1">
        <v>0</v>
      </c>
      <c r="AZ2766" s="1">
        <v>0</v>
      </c>
      <c r="BA2766" s="1">
        <v>0</v>
      </c>
      <c r="BB2766" s="1">
        <v>0</v>
      </c>
      <c r="BC2766" s="1">
        <v>0</v>
      </c>
      <c r="BD2766" s="1">
        <v>0</v>
      </c>
      <c r="BE2766" s="1">
        <v>0</v>
      </c>
      <c r="BF2766" s="1">
        <v>0</v>
      </c>
      <c r="BG2766" s="1">
        <v>0</v>
      </c>
      <c r="BH2766" s="1">
        <v>0</v>
      </c>
      <c r="BI2766" s="1">
        <v>0</v>
      </c>
      <c r="BJ2766" s="1">
        <v>0</v>
      </c>
      <c r="BK2766" s="1">
        <v>0</v>
      </c>
      <c r="BL2766" s="1">
        <v>0</v>
      </c>
      <c r="BM2766" s="1">
        <v>0</v>
      </c>
      <c r="BN2766" s="1">
        <v>0</v>
      </c>
      <c r="BO2766" s="1">
        <v>0</v>
      </c>
      <c r="BP2766" s="1">
        <v>0</v>
      </c>
      <c r="BQ2766" s="1" t="s">
        <v>104</v>
      </c>
      <c r="BR2766" s="1">
        <v>4893</v>
      </c>
      <c r="BS2766" s="1" t="s">
        <v>104</v>
      </c>
      <c r="BX2766" s="1">
        <v>0</v>
      </c>
      <c r="BY2766" s="1" t="s">
        <v>104</v>
      </c>
      <c r="BZ2766" s="1" t="s">
        <v>104</v>
      </c>
      <c r="CA2766" s="1">
        <v>2</v>
      </c>
      <c r="CB2766" s="1">
        <v>2</v>
      </c>
      <c r="CC2766" s="1">
        <v>2</v>
      </c>
      <c r="CD2766" s="1">
        <v>2</v>
      </c>
      <c r="CE2766" s="1" t="s">
        <v>104</v>
      </c>
      <c r="CF2766" s="1" t="s">
        <v>104</v>
      </c>
      <c r="CG2766" s="1" t="s">
        <v>104</v>
      </c>
      <c r="CH2766" s="1" t="s">
        <v>104</v>
      </c>
      <c r="CJ2766" s="1">
        <v>0</v>
      </c>
      <c r="CK2766" s="1">
        <v>0</v>
      </c>
      <c r="CL2766" s="1">
        <v>0</v>
      </c>
      <c r="CM2766" s="1" t="s">
        <v>104</v>
      </c>
    </row>
    <row r="2767" spans="1:91" ht="14.25" customHeight="1" x14ac:dyDescent="0.3">
      <c r="A2767" s="1" t="s">
        <v>13888</v>
      </c>
      <c r="B2767" s="1" t="s">
        <v>172</v>
      </c>
      <c r="E2767" s="1" t="s">
        <v>13889</v>
      </c>
      <c r="F2767" s="1" t="s">
        <v>191</v>
      </c>
      <c r="G2767" s="1" t="s">
        <v>13890</v>
      </c>
      <c r="H2767" s="1">
        <v>1</v>
      </c>
      <c r="I2767" s="1" t="s">
        <v>128</v>
      </c>
      <c r="L2767" s="1" t="s">
        <v>13891</v>
      </c>
      <c r="M2767" s="1" t="s">
        <v>119</v>
      </c>
      <c r="N2767" s="1">
        <v>0</v>
      </c>
      <c r="O2767" s="1">
        <v>0</v>
      </c>
      <c r="P2767" s="1" t="s">
        <v>100</v>
      </c>
      <c r="Q2767" s="1" t="s">
        <v>101</v>
      </c>
      <c r="R2767" s="1" t="s">
        <v>13892</v>
      </c>
      <c r="S2767" s="1" t="s">
        <v>13742</v>
      </c>
      <c r="T2767" s="1">
        <v>1</v>
      </c>
      <c r="U2767" s="1">
        <v>1</v>
      </c>
      <c r="V2767" s="1">
        <v>1</v>
      </c>
      <c r="W2767" s="1">
        <v>0</v>
      </c>
      <c r="X2767" s="1">
        <v>0</v>
      </c>
      <c r="Y2767" s="1">
        <v>1</v>
      </c>
      <c r="Z2767" s="1">
        <v>1</v>
      </c>
      <c r="AA2767" s="1">
        <v>1</v>
      </c>
      <c r="AB2767" s="1" t="s">
        <v>104</v>
      </c>
      <c r="AC2767" s="1" t="s">
        <v>104</v>
      </c>
      <c r="AD2767" s="1">
        <v>1</v>
      </c>
      <c r="AE2767" s="1" t="s">
        <v>104</v>
      </c>
      <c r="AF2767" s="1" t="s">
        <v>104</v>
      </c>
      <c r="AG2767" s="1" t="s">
        <v>104</v>
      </c>
      <c r="AH2767" s="1" t="s">
        <v>104</v>
      </c>
      <c r="AI2767" s="1" t="s">
        <v>104</v>
      </c>
      <c r="AJ2767" s="1">
        <v>1</v>
      </c>
      <c r="AK2767" s="1" t="s">
        <v>104</v>
      </c>
      <c r="AL2767" s="1" t="s">
        <v>104</v>
      </c>
      <c r="AM2767" s="1" t="s">
        <v>104</v>
      </c>
      <c r="AO2767" s="1">
        <v>1</v>
      </c>
      <c r="AR2767" s="1">
        <v>0</v>
      </c>
      <c r="AS2767" s="1">
        <v>0</v>
      </c>
      <c r="AT2767" s="1">
        <v>0</v>
      </c>
      <c r="AU2767" s="1">
        <v>0</v>
      </c>
      <c r="AV2767" s="1">
        <v>0</v>
      </c>
      <c r="AW2767" s="1">
        <v>0</v>
      </c>
      <c r="AX2767" s="1">
        <v>0</v>
      </c>
      <c r="AY2767" s="1">
        <v>0</v>
      </c>
      <c r="AZ2767" s="1">
        <v>0</v>
      </c>
      <c r="BA2767" s="1">
        <v>0</v>
      </c>
      <c r="BB2767" s="1">
        <v>0</v>
      </c>
      <c r="BC2767" s="1">
        <v>0</v>
      </c>
      <c r="BD2767" s="1">
        <v>0</v>
      </c>
      <c r="BE2767" s="1">
        <v>0</v>
      </c>
      <c r="BF2767" s="1">
        <v>0</v>
      </c>
      <c r="BG2767" s="1">
        <v>0</v>
      </c>
      <c r="BH2767" s="1">
        <v>0</v>
      </c>
      <c r="BI2767" s="1">
        <v>0</v>
      </c>
      <c r="BJ2767" s="1">
        <v>0</v>
      </c>
      <c r="BK2767" s="1">
        <v>0</v>
      </c>
      <c r="BL2767" s="1">
        <v>0</v>
      </c>
      <c r="BM2767" s="1">
        <v>0</v>
      </c>
      <c r="BN2767" s="1">
        <v>0</v>
      </c>
      <c r="BO2767" s="1">
        <v>0</v>
      </c>
      <c r="BP2767" s="1">
        <v>0</v>
      </c>
      <c r="BQ2767" s="1" t="s">
        <v>104</v>
      </c>
      <c r="BR2767" s="1">
        <v>4894</v>
      </c>
      <c r="BS2767" s="1">
        <v>25</v>
      </c>
      <c r="BX2767" s="1">
        <v>0</v>
      </c>
      <c r="BY2767" s="1" t="s">
        <v>104</v>
      </c>
      <c r="BZ2767" s="1" t="s">
        <v>104</v>
      </c>
      <c r="CA2767" s="1">
        <v>1</v>
      </c>
      <c r="CB2767" s="1" t="s">
        <v>104</v>
      </c>
      <c r="CC2767" s="1" t="s">
        <v>104</v>
      </c>
      <c r="CD2767" s="1">
        <v>1</v>
      </c>
      <c r="CE2767" s="1" t="s">
        <v>104</v>
      </c>
      <c r="CF2767" s="1" t="s">
        <v>104</v>
      </c>
      <c r="CG2767" s="1" t="s">
        <v>104</v>
      </c>
      <c r="CH2767" s="1" t="s">
        <v>104</v>
      </c>
      <c r="CJ2767" s="1">
        <v>0</v>
      </c>
      <c r="CK2767" s="1">
        <v>0</v>
      </c>
      <c r="CL2767" s="1">
        <v>0</v>
      </c>
      <c r="CM2767" s="1" t="s">
        <v>104</v>
      </c>
    </row>
    <row r="2768" spans="1:91" ht="14.25" customHeight="1" x14ac:dyDescent="0.3">
      <c r="A2768" s="1" t="s">
        <v>13893</v>
      </c>
      <c r="B2768" s="1" t="s">
        <v>137</v>
      </c>
      <c r="E2768" s="1" t="s">
        <v>13894</v>
      </c>
      <c r="F2768" s="1" t="s">
        <v>191</v>
      </c>
      <c r="G2768" s="1" t="s">
        <v>13895</v>
      </c>
      <c r="H2768" s="1">
        <v>1</v>
      </c>
      <c r="I2768" s="1" t="s">
        <v>117</v>
      </c>
      <c r="L2768" s="1" t="s">
        <v>417</v>
      </c>
      <c r="M2768" s="1" t="s">
        <v>13896</v>
      </c>
      <c r="N2768" s="1">
        <v>0</v>
      </c>
      <c r="O2768" s="1">
        <v>0</v>
      </c>
      <c r="P2768" s="1" t="s">
        <v>4502</v>
      </c>
      <c r="Q2768" s="1" t="s">
        <v>131</v>
      </c>
      <c r="R2768" s="1" t="s">
        <v>13897</v>
      </c>
      <c r="S2768" s="1" t="s">
        <v>13742</v>
      </c>
      <c r="T2768" s="1">
        <v>1</v>
      </c>
      <c r="U2768" s="1">
        <v>1</v>
      </c>
      <c r="V2768" s="1">
        <v>1</v>
      </c>
      <c r="W2768" s="1">
        <v>0</v>
      </c>
      <c r="X2768" s="1">
        <v>0</v>
      </c>
      <c r="Y2768" s="1">
        <v>2</v>
      </c>
      <c r="Z2768" s="1">
        <v>2</v>
      </c>
      <c r="AA2768" s="1" t="s">
        <v>104</v>
      </c>
      <c r="AB2768" s="1" t="s">
        <v>104</v>
      </c>
      <c r="AC2768" s="1" t="s">
        <v>104</v>
      </c>
      <c r="AD2768" s="1">
        <v>2</v>
      </c>
      <c r="AE2768" s="1" t="s">
        <v>104</v>
      </c>
      <c r="AF2768" s="1" t="s">
        <v>104</v>
      </c>
      <c r="AG2768" s="1" t="s">
        <v>104</v>
      </c>
      <c r="AH2768" s="1">
        <v>2</v>
      </c>
      <c r="AI2768" s="1" t="s">
        <v>104</v>
      </c>
      <c r="AJ2768" s="1" t="s">
        <v>104</v>
      </c>
      <c r="AK2768" s="1" t="s">
        <v>104</v>
      </c>
      <c r="AL2768" s="1" t="s">
        <v>104</v>
      </c>
      <c r="AM2768" s="1" t="s">
        <v>104</v>
      </c>
      <c r="AO2768" s="1">
        <v>2</v>
      </c>
      <c r="AR2768" s="1">
        <v>0</v>
      </c>
      <c r="AS2768" s="1">
        <v>0</v>
      </c>
      <c r="AT2768" s="1">
        <v>0</v>
      </c>
      <c r="AU2768" s="1">
        <v>0</v>
      </c>
      <c r="AV2768" s="1">
        <v>0</v>
      </c>
      <c r="AW2768" s="1">
        <v>0</v>
      </c>
      <c r="AX2768" s="1">
        <v>0</v>
      </c>
      <c r="AY2768" s="1">
        <v>0</v>
      </c>
      <c r="AZ2768" s="1">
        <v>0</v>
      </c>
      <c r="BA2768" s="1">
        <v>0</v>
      </c>
      <c r="BB2768" s="1">
        <v>0</v>
      </c>
      <c r="BC2768" s="1">
        <v>0</v>
      </c>
      <c r="BD2768" s="1">
        <v>0</v>
      </c>
      <c r="BE2768" s="1">
        <v>0</v>
      </c>
      <c r="BF2768" s="1">
        <v>0</v>
      </c>
      <c r="BG2768" s="1">
        <v>0</v>
      </c>
      <c r="BH2768" s="1">
        <v>0</v>
      </c>
      <c r="BI2768" s="1">
        <v>0</v>
      </c>
      <c r="BJ2768" s="1">
        <v>0</v>
      </c>
      <c r="BK2768" s="1">
        <v>0</v>
      </c>
      <c r="BL2768" s="1">
        <v>0</v>
      </c>
      <c r="BM2768" s="1">
        <v>0</v>
      </c>
      <c r="BN2768" s="1">
        <v>0</v>
      </c>
      <c r="BO2768" s="1">
        <v>0</v>
      </c>
      <c r="BP2768" s="1">
        <v>0</v>
      </c>
      <c r="BQ2768" s="1" t="s">
        <v>104</v>
      </c>
      <c r="BR2768" s="1">
        <v>4895</v>
      </c>
      <c r="BS2768" s="1">
        <v>25</v>
      </c>
      <c r="BX2768" s="1">
        <v>0</v>
      </c>
      <c r="BY2768" s="1" t="s">
        <v>104</v>
      </c>
      <c r="BZ2768" s="1" t="s">
        <v>104</v>
      </c>
      <c r="CA2768" s="1" t="s">
        <v>104</v>
      </c>
      <c r="CB2768" s="1" t="s">
        <v>104</v>
      </c>
      <c r="CC2768" s="1" t="s">
        <v>104</v>
      </c>
      <c r="CD2768" s="1">
        <v>2</v>
      </c>
      <c r="CE2768" s="1" t="s">
        <v>104</v>
      </c>
      <c r="CF2768" s="1" t="s">
        <v>104</v>
      </c>
      <c r="CG2768" s="1" t="s">
        <v>104</v>
      </c>
      <c r="CH2768" s="1" t="s">
        <v>104</v>
      </c>
      <c r="CJ2768" s="1">
        <v>0</v>
      </c>
      <c r="CK2768" s="1">
        <v>0</v>
      </c>
      <c r="CL2768" s="1">
        <v>0</v>
      </c>
      <c r="CM2768" s="1" t="s">
        <v>104</v>
      </c>
    </row>
    <row r="2769" spans="1:91" ht="14.25" customHeight="1" x14ac:dyDescent="0.3">
      <c r="A2769" s="1" t="s">
        <v>13898</v>
      </c>
      <c r="B2769" s="1" t="s">
        <v>123</v>
      </c>
      <c r="C2769" s="1" t="s">
        <v>124</v>
      </c>
      <c r="D2769" s="1" t="s">
        <v>11422</v>
      </c>
      <c r="E2769" s="1" t="s">
        <v>13899</v>
      </c>
      <c r="F2769" s="1" t="s">
        <v>95</v>
      </c>
      <c r="G2769" s="1" t="s">
        <v>13900</v>
      </c>
      <c r="H2769" s="1">
        <v>0</v>
      </c>
      <c r="I2769" s="1" t="s">
        <v>117</v>
      </c>
      <c r="L2769" s="1" t="s">
        <v>417</v>
      </c>
      <c r="M2769" s="1" t="s">
        <v>111</v>
      </c>
      <c r="N2769" s="1">
        <v>0</v>
      </c>
      <c r="O2769" s="1">
        <v>0</v>
      </c>
      <c r="P2769" s="1" t="s">
        <v>12418</v>
      </c>
      <c r="Q2769" s="1" t="s">
        <v>184</v>
      </c>
      <c r="R2769" s="1" t="s">
        <v>13901</v>
      </c>
      <c r="S2769" s="1" t="s">
        <v>13742</v>
      </c>
      <c r="T2769" s="1">
        <v>1</v>
      </c>
      <c r="U2769" s="1">
        <v>1</v>
      </c>
      <c r="V2769" s="1">
        <v>1</v>
      </c>
      <c r="W2769" s="1">
        <v>0</v>
      </c>
      <c r="X2769" s="1">
        <v>1</v>
      </c>
      <c r="Y2769" s="1">
        <v>3</v>
      </c>
      <c r="Z2769" s="1">
        <v>3</v>
      </c>
      <c r="AA2769" s="1">
        <v>3</v>
      </c>
      <c r="AB2769" s="1" t="s">
        <v>104</v>
      </c>
      <c r="AC2769" s="1" t="s">
        <v>104</v>
      </c>
      <c r="AD2769" s="1">
        <v>2</v>
      </c>
      <c r="AE2769" s="1">
        <v>2</v>
      </c>
      <c r="AF2769" s="1" t="s">
        <v>104</v>
      </c>
      <c r="AG2769" s="1" t="s">
        <v>104</v>
      </c>
      <c r="AH2769" s="1">
        <v>3</v>
      </c>
      <c r="AI2769" s="1">
        <v>3</v>
      </c>
      <c r="AJ2769" s="1">
        <v>3</v>
      </c>
      <c r="AK2769" s="1" t="s">
        <v>104</v>
      </c>
      <c r="AL2769" s="1" t="s">
        <v>104</v>
      </c>
      <c r="AM2769" s="1" t="s">
        <v>104</v>
      </c>
      <c r="AO2769" s="1">
        <v>3</v>
      </c>
      <c r="AR2769" s="1">
        <v>0</v>
      </c>
      <c r="AS2769" s="1">
        <v>0</v>
      </c>
      <c r="AT2769" s="1">
        <v>0</v>
      </c>
      <c r="AU2769" s="1">
        <v>0</v>
      </c>
      <c r="AV2769" s="1">
        <v>0</v>
      </c>
      <c r="AW2769" s="1">
        <v>0</v>
      </c>
      <c r="AX2769" s="1">
        <v>0</v>
      </c>
      <c r="AY2769" s="1">
        <v>0</v>
      </c>
      <c r="AZ2769" s="1">
        <v>0</v>
      </c>
      <c r="BA2769" s="1">
        <v>0</v>
      </c>
      <c r="BB2769" s="1">
        <v>1</v>
      </c>
      <c r="BC2769" s="1">
        <v>0</v>
      </c>
      <c r="BD2769" s="1">
        <v>0</v>
      </c>
      <c r="BE2769" s="1">
        <v>0</v>
      </c>
      <c r="BF2769" s="1">
        <v>0</v>
      </c>
      <c r="BG2769" s="1">
        <v>0</v>
      </c>
      <c r="BH2769" s="1">
        <v>0</v>
      </c>
      <c r="BI2769" s="1">
        <v>0</v>
      </c>
      <c r="BJ2769" s="1">
        <v>0</v>
      </c>
      <c r="BK2769" s="1">
        <v>1</v>
      </c>
      <c r="BL2769" s="1">
        <v>0</v>
      </c>
      <c r="BM2769" s="1">
        <v>0</v>
      </c>
      <c r="BN2769" s="1">
        <v>0</v>
      </c>
      <c r="BO2769" s="1">
        <v>0</v>
      </c>
      <c r="BP2769" s="1">
        <v>0</v>
      </c>
      <c r="BQ2769" s="1" t="s">
        <v>104</v>
      </c>
      <c r="BR2769" s="1">
        <v>4896</v>
      </c>
      <c r="BS2769" s="1" t="s">
        <v>104</v>
      </c>
      <c r="BX2769" s="1">
        <v>0</v>
      </c>
      <c r="BY2769" s="1" t="s">
        <v>104</v>
      </c>
      <c r="BZ2769" s="1" t="s">
        <v>104</v>
      </c>
      <c r="CA2769" s="1" t="s">
        <v>104</v>
      </c>
      <c r="CB2769" s="1" t="s">
        <v>104</v>
      </c>
      <c r="CC2769" s="1">
        <v>2</v>
      </c>
      <c r="CD2769" s="1" t="s">
        <v>104</v>
      </c>
      <c r="CE2769" s="1" t="s">
        <v>104</v>
      </c>
      <c r="CF2769" s="1" t="s">
        <v>104</v>
      </c>
      <c r="CG2769" s="1" t="s">
        <v>104</v>
      </c>
      <c r="CH2769" s="1" t="s">
        <v>104</v>
      </c>
      <c r="CJ2769" s="1">
        <v>0</v>
      </c>
      <c r="CK2769" s="1">
        <v>0</v>
      </c>
      <c r="CL2769" s="1">
        <v>0</v>
      </c>
      <c r="CM2769" s="1" t="s">
        <v>104</v>
      </c>
    </row>
    <row r="2770" spans="1:91" ht="14.25" customHeight="1" x14ac:dyDescent="0.3">
      <c r="A2770" s="1" t="s">
        <v>13902</v>
      </c>
      <c r="B2770" s="1" t="s">
        <v>172</v>
      </c>
      <c r="E2770" s="1" t="s">
        <v>13903</v>
      </c>
      <c r="F2770" s="1" t="s">
        <v>95</v>
      </c>
      <c r="G2770" s="1" t="s">
        <v>116</v>
      </c>
      <c r="H2770" s="1">
        <v>0</v>
      </c>
      <c r="I2770" s="1" t="s">
        <v>776</v>
      </c>
      <c r="J2770" s="1" t="s">
        <v>1030</v>
      </c>
      <c r="M2770" s="1" t="s">
        <v>8629</v>
      </c>
      <c r="N2770" s="1">
        <v>1</v>
      </c>
      <c r="O2770" s="1">
        <v>0</v>
      </c>
      <c r="P2770" s="1" t="s">
        <v>100</v>
      </c>
      <c r="Q2770" s="1" t="s">
        <v>101</v>
      </c>
      <c r="R2770" s="1" t="s">
        <v>13904</v>
      </c>
      <c r="S2770" s="1" t="s">
        <v>13742</v>
      </c>
      <c r="T2770" s="1">
        <v>1</v>
      </c>
      <c r="U2770" s="1">
        <v>1</v>
      </c>
      <c r="V2770" s="1">
        <v>0</v>
      </c>
      <c r="W2770" s="1">
        <v>0</v>
      </c>
      <c r="X2770" s="1">
        <v>0</v>
      </c>
      <c r="Y2770" s="1">
        <v>1</v>
      </c>
      <c r="Z2770" s="1">
        <v>1</v>
      </c>
      <c r="AA2770" s="1">
        <v>1</v>
      </c>
      <c r="AB2770" s="1" t="s">
        <v>104</v>
      </c>
      <c r="AC2770" s="1" t="s">
        <v>104</v>
      </c>
      <c r="AD2770" s="1">
        <v>1</v>
      </c>
      <c r="AE2770" s="1">
        <v>1</v>
      </c>
      <c r="AF2770" s="1" t="s">
        <v>104</v>
      </c>
      <c r="AG2770" s="1" t="s">
        <v>104</v>
      </c>
      <c r="AH2770" s="1">
        <v>1</v>
      </c>
      <c r="AI2770" s="1">
        <v>1</v>
      </c>
      <c r="AJ2770" s="1">
        <v>1</v>
      </c>
      <c r="AK2770" s="1" t="s">
        <v>104</v>
      </c>
      <c r="AL2770" s="1" t="s">
        <v>104</v>
      </c>
      <c r="AM2770" s="1" t="s">
        <v>104</v>
      </c>
      <c r="AO2770" s="1">
        <v>1</v>
      </c>
      <c r="AR2770" s="1">
        <v>0</v>
      </c>
      <c r="AS2770" s="1">
        <v>0</v>
      </c>
      <c r="AT2770" s="1">
        <v>0</v>
      </c>
      <c r="AU2770" s="1">
        <v>0</v>
      </c>
      <c r="AV2770" s="1">
        <v>0</v>
      </c>
      <c r="AW2770" s="1">
        <v>0</v>
      </c>
      <c r="AX2770" s="1">
        <v>0</v>
      </c>
      <c r="AY2770" s="1">
        <v>0</v>
      </c>
      <c r="AZ2770" s="1">
        <v>0</v>
      </c>
      <c r="BA2770" s="1">
        <v>0</v>
      </c>
      <c r="BB2770" s="1">
        <v>0</v>
      </c>
      <c r="BC2770" s="1">
        <v>0</v>
      </c>
      <c r="BD2770" s="1">
        <v>0</v>
      </c>
      <c r="BE2770" s="1">
        <v>0</v>
      </c>
      <c r="BF2770" s="1">
        <v>0</v>
      </c>
      <c r="BG2770" s="1">
        <v>0</v>
      </c>
      <c r="BH2770" s="1">
        <v>0</v>
      </c>
      <c r="BI2770" s="1">
        <v>0</v>
      </c>
      <c r="BJ2770" s="1">
        <v>0</v>
      </c>
      <c r="BK2770" s="1">
        <v>0</v>
      </c>
      <c r="BL2770" s="1">
        <v>0</v>
      </c>
      <c r="BM2770" s="1">
        <v>0</v>
      </c>
      <c r="BN2770" s="1">
        <v>0</v>
      </c>
      <c r="BO2770" s="1">
        <v>0</v>
      </c>
      <c r="BP2770" s="1">
        <v>0</v>
      </c>
      <c r="BQ2770" s="1" t="s">
        <v>104</v>
      </c>
      <c r="BR2770" s="1">
        <v>4897</v>
      </c>
      <c r="BS2770" s="1" t="s">
        <v>104</v>
      </c>
      <c r="BX2770" s="1">
        <v>0</v>
      </c>
      <c r="BY2770" s="1" t="s">
        <v>104</v>
      </c>
      <c r="BZ2770" s="1">
        <v>1</v>
      </c>
      <c r="CA2770" s="1">
        <v>1</v>
      </c>
      <c r="CB2770" s="1">
        <v>1</v>
      </c>
      <c r="CC2770" s="1">
        <v>1</v>
      </c>
      <c r="CD2770" s="1">
        <v>1</v>
      </c>
      <c r="CE2770" s="1">
        <v>1</v>
      </c>
      <c r="CF2770" s="1" t="s">
        <v>104</v>
      </c>
      <c r="CG2770" s="1" t="s">
        <v>104</v>
      </c>
      <c r="CH2770" s="1" t="s">
        <v>104</v>
      </c>
      <c r="CJ2770" s="1">
        <v>0</v>
      </c>
      <c r="CK2770" s="1">
        <v>0</v>
      </c>
      <c r="CL2770" s="1">
        <v>0</v>
      </c>
      <c r="CM2770" s="1" t="s">
        <v>104</v>
      </c>
    </row>
    <row r="2771" spans="1:91" ht="14.25" customHeight="1" x14ac:dyDescent="0.3">
      <c r="A2771" s="1" t="s">
        <v>13905</v>
      </c>
      <c r="B2771" s="1" t="s">
        <v>92</v>
      </c>
      <c r="C2771" s="1" t="s">
        <v>903</v>
      </c>
      <c r="E2771" s="1" t="s">
        <v>13906</v>
      </c>
      <c r="F2771" s="1" t="s">
        <v>255</v>
      </c>
      <c r="G2771" s="1" t="s">
        <v>13907</v>
      </c>
      <c r="H2771" s="1">
        <v>1</v>
      </c>
      <c r="I2771" s="1" t="s">
        <v>117</v>
      </c>
      <c r="K2771" s="1" t="s">
        <v>13908</v>
      </c>
      <c r="M2771" s="1" t="s">
        <v>4292</v>
      </c>
      <c r="N2771" s="1">
        <v>0</v>
      </c>
      <c r="O2771" s="1">
        <v>0</v>
      </c>
      <c r="P2771" s="1" t="s">
        <v>100</v>
      </c>
      <c r="Q2771" s="1" t="s">
        <v>101</v>
      </c>
      <c r="R2771" s="1" t="s">
        <v>13909</v>
      </c>
      <c r="S2771" s="1" t="s">
        <v>13742</v>
      </c>
      <c r="T2771" s="1">
        <v>1</v>
      </c>
      <c r="U2771" s="1">
        <v>1</v>
      </c>
      <c r="V2771" s="1">
        <v>0</v>
      </c>
      <c r="W2771" s="1">
        <v>0</v>
      </c>
      <c r="X2771" s="1">
        <v>0</v>
      </c>
      <c r="Y2771" s="1">
        <v>6</v>
      </c>
      <c r="Z2771" s="1">
        <v>6</v>
      </c>
      <c r="AA2771" s="1" t="s">
        <v>104</v>
      </c>
      <c r="AB2771" s="1">
        <v>6</v>
      </c>
      <c r="AC2771" s="1">
        <v>4</v>
      </c>
      <c r="AD2771" s="1" t="s">
        <v>104</v>
      </c>
      <c r="AE2771" s="1" t="s">
        <v>104</v>
      </c>
      <c r="AF2771" s="1" t="s">
        <v>104</v>
      </c>
      <c r="AG2771" s="1">
        <v>6</v>
      </c>
      <c r="AH2771" s="1">
        <v>6</v>
      </c>
      <c r="AI2771" s="1" t="s">
        <v>104</v>
      </c>
      <c r="AJ2771" s="1" t="s">
        <v>104</v>
      </c>
      <c r="AK2771" s="1" t="s">
        <v>104</v>
      </c>
      <c r="AL2771" s="1" t="s">
        <v>104</v>
      </c>
      <c r="AM2771" s="1" t="s">
        <v>104</v>
      </c>
      <c r="AO2771" s="1">
        <v>6</v>
      </c>
      <c r="AR2771" s="1">
        <v>0</v>
      </c>
      <c r="AS2771" s="1">
        <v>0</v>
      </c>
      <c r="AT2771" s="1">
        <v>0</v>
      </c>
      <c r="AU2771" s="1">
        <v>0</v>
      </c>
      <c r="AV2771" s="1">
        <v>0</v>
      </c>
      <c r="AW2771" s="1">
        <v>0</v>
      </c>
      <c r="AX2771" s="1">
        <v>0</v>
      </c>
      <c r="AY2771" s="1">
        <v>0</v>
      </c>
      <c r="AZ2771" s="1">
        <v>0</v>
      </c>
      <c r="BA2771" s="1">
        <v>0</v>
      </c>
      <c r="BB2771" s="1">
        <v>0</v>
      </c>
      <c r="BC2771" s="1">
        <v>0</v>
      </c>
      <c r="BD2771" s="1">
        <v>0</v>
      </c>
      <c r="BE2771" s="1">
        <v>0</v>
      </c>
      <c r="BF2771" s="1">
        <v>0</v>
      </c>
      <c r="BG2771" s="1">
        <v>0</v>
      </c>
      <c r="BH2771" s="1">
        <v>0</v>
      </c>
      <c r="BI2771" s="1">
        <v>0</v>
      </c>
      <c r="BJ2771" s="1">
        <v>0</v>
      </c>
      <c r="BK2771" s="1">
        <v>0</v>
      </c>
      <c r="BL2771" s="1">
        <v>0</v>
      </c>
      <c r="BM2771" s="1">
        <v>0</v>
      </c>
      <c r="BN2771" s="1">
        <v>0</v>
      </c>
      <c r="BO2771" s="1">
        <v>0</v>
      </c>
      <c r="BP2771" s="1">
        <v>0</v>
      </c>
      <c r="BQ2771" s="1" t="s">
        <v>104</v>
      </c>
      <c r="BR2771" s="1">
        <v>4898</v>
      </c>
      <c r="BS2771" s="1">
        <v>100</v>
      </c>
      <c r="BX2771" s="1">
        <v>0</v>
      </c>
      <c r="BY2771" s="1">
        <v>4</v>
      </c>
      <c r="BZ2771" s="1">
        <v>6</v>
      </c>
      <c r="CA2771" s="1" t="s">
        <v>104</v>
      </c>
      <c r="CB2771" s="1" t="s">
        <v>104</v>
      </c>
      <c r="CC2771" s="1" t="s">
        <v>104</v>
      </c>
      <c r="CD2771" s="1" t="s">
        <v>104</v>
      </c>
      <c r="CE2771" s="1" t="s">
        <v>104</v>
      </c>
      <c r="CF2771" s="1" t="s">
        <v>104</v>
      </c>
      <c r="CG2771" s="1" t="s">
        <v>104</v>
      </c>
      <c r="CH2771" s="1">
        <v>4</v>
      </c>
      <c r="CJ2771" s="1">
        <v>0</v>
      </c>
      <c r="CK2771" s="1">
        <v>0</v>
      </c>
      <c r="CL2771" s="1">
        <v>0</v>
      </c>
      <c r="CM2771" s="1">
        <v>6</v>
      </c>
    </row>
    <row r="2772" spans="1:91" ht="14.25" customHeight="1" x14ac:dyDescent="0.3">
      <c r="A2772" s="1" t="s">
        <v>13910</v>
      </c>
      <c r="B2772" s="1" t="s">
        <v>162</v>
      </c>
      <c r="E2772" s="1" t="s">
        <v>13911</v>
      </c>
      <c r="F2772" s="1" t="s">
        <v>95</v>
      </c>
      <c r="G2772" s="1" t="s">
        <v>116</v>
      </c>
      <c r="H2772" s="1">
        <v>0</v>
      </c>
      <c r="I2772" s="1" t="s">
        <v>117</v>
      </c>
      <c r="L2772" s="1" t="s">
        <v>13912</v>
      </c>
      <c r="M2772" s="1" t="s">
        <v>13913</v>
      </c>
      <c r="N2772" s="1">
        <v>0</v>
      </c>
      <c r="O2772" s="1">
        <v>0</v>
      </c>
      <c r="P2772" s="1" t="s">
        <v>375</v>
      </c>
      <c r="Q2772" s="1" t="s">
        <v>131</v>
      </c>
      <c r="R2772" s="1" t="s">
        <v>13914</v>
      </c>
      <c r="S2772" s="1" t="s">
        <v>13742</v>
      </c>
      <c r="T2772" s="1">
        <v>1</v>
      </c>
      <c r="U2772" s="1">
        <v>1</v>
      </c>
      <c r="V2772" s="1">
        <v>0</v>
      </c>
      <c r="W2772" s="1">
        <v>0</v>
      </c>
      <c r="X2772" s="1">
        <v>0</v>
      </c>
      <c r="Y2772" s="1">
        <v>2</v>
      </c>
      <c r="Z2772" s="1">
        <v>2</v>
      </c>
      <c r="AA2772" s="1">
        <v>2</v>
      </c>
      <c r="AB2772" s="1" t="s">
        <v>104</v>
      </c>
      <c r="AC2772" s="1" t="s">
        <v>104</v>
      </c>
      <c r="AD2772" s="1">
        <v>2</v>
      </c>
      <c r="AE2772" s="1">
        <v>2</v>
      </c>
      <c r="AF2772" s="1" t="s">
        <v>104</v>
      </c>
      <c r="AG2772" s="1" t="s">
        <v>104</v>
      </c>
      <c r="AH2772" s="1" t="s">
        <v>104</v>
      </c>
      <c r="AI2772" s="1" t="s">
        <v>104</v>
      </c>
      <c r="AJ2772" s="1">
        <v>2</v>
      </c>
      <c r="AK2772" s="1" t="s">
        <v>104</v>
      </c>
      <c r="AL2772" s="1" t="s">
        <v>104</v>
      </c>
      <c r="AM2772" s="1" t="s">
        <v>104</v>
      </c>
      <c r="AO2772" s="1">
        <v>2</v>
      </c>
      <c r="AR2772" s="1">
        <v>0</v>
      </c>
      <c r="AS2772" s="1">
        <v>0</v>
      </c>
      <c r="AT2772" s="1">
        <v>0</v>
      </c>
      <c r="AU2772" s="1">
        <v>0</v>
      </c>
      <c r="AV2772" s="1">
        <v>0</v>
      </c>
      <c r="AW2772" s="1">
        <v>0</v>
      </c>
      <c r="AX2772" s="1">
        <v>0</v>
      </c>
      <c r="AY2772" s="1">
        <v>0</v>
      </c>
      <c r="AZ2772" s="1">
        <v>0</v>
      </c>
      <c r="BA2772" s="1">
        <v>0</v>
      </c>
      <c r="BB2772" s="1">
        <v>0</v>
      </c>
      <c r="BC2772" s="1">
        <v>0</v>
      </c>
      <c r="BD2772" s="1">
        <v>0</v>
      </c>
      <c r="BE2772" s="1">
        <v>0</v>
      </c>
      <c r="BF2772" s="1">
        <v>0</v>
      </c>
      <c r="BG2772" s="1">
        <v>0</v>
      </c>
      <c r="BH2772" s="1">
        <v>0</v>
      </c>
      <c r="BI2772" s="1">
        <v>0</v>
      </c>
      <c r="BJ2772" s="1">
        <v>0</v>
      </c>
      <c r="BK2772" s="1">
        <v>0</v>
      </c>
      <c r="BL2772" s="1">
        <v>0</v>
      </c>
      <c r="BM2772" s="1">
        <v>0</v>
      </c>
      <c r="BN2772" s="1">
        <v>0</v>
      </c>
      <c r="BO2772" s="1">
        <v>0</v>
      </c>
      <c r="BP2772" s="1">
        <v>0</v>
      </c>
      <c r="BQ2772" s="1" t="s">
        <v>104</v>
      </c>
      <c r="BR2772" s="1">
        <v>4899</v>
      </c>
      <c r="BS2772" s="1" t="s">
        <v>104</v>
      </c>
      <c r="BX2772" s="1">
        <v>0</v>
      </c>
      <c r="BY2772" s="1" t="s">
        <v>104</v>
      </c>
      <c r="BZ2772" s="1">
        <v>2</v>
      </c>
      <c r="CA2772" s="1">
        <v>2</v>
      </c>
      <c r="CB2772" s="1" t="s">
        <v>104</v>
      </c>
      <c r="CC2772" s="1">
        <v>2</v>
      </c>
      <c r="CD2772" s="1" t="s">
        <v>104</v>
      </c>
      <c r="CE2772" s="1" t="s">
        <v>104</v>
      </c>
      <c r="CF2772" s="1" t="s">
        <v>104</v>
      </c>
      <c r="CG2772" s="1" t="s">
        <v>104</v>
      </c>
      <c r="CH2772" s="1" t="s">
        <v>104</v>
      </c>
      <c r="CJ2772" s="1">
        <v>0</v>
      </c>
      <c r="CK2772" s="1">
        <v>0</v>
      </c>
      <c r="CL2772" s="1">
        <v>0</v>
      </c>
      <c r="CM2772" s="1" t="s">
        <v>104</v>
      </c>
    </row>
    <row r="2773" spans="1:91" ht="14.25" customHeight="1" x14ac:dyDescent="0.3">
      <c r="A2773" s="1" t="s">
        <v>13915</v>
      </c>
      <c r="B2773" s="1" t="s">
        <v>137</v>
      </c>
      <c r="D2773" s="1" t="s">
        <v>11441</v>
      </c>
      <c r="E2773" s="1" t="s">
        <v>4590</v>
      </c>
      <c r="F2773" s="1" t="s">
        <v>255</v>
      </c>
      <c r="G2773" s="1" t="s">
        <v>127</v>
      </c>
      <c r="H2773" s="1">
        <v>0</v>
      </c>
      <c r="I2773" s="1" t="s">
        <v>128</v>
      </c>
      <c r="L2773" s="1" t="s">
        <v>374</v>
      </c>
      <c r="M2773" s="1" t="s">
        <v>194</v>
      </c>
      <c r="N2773" s="1">
        <v>0</v>
      </c>
      <c r="O2773" s="1">
        <v>0</v>
      </c>
      <c r="P2773" s="1" t="s">
        <v>183</v>
      </c>
      <c r="Q2773" s="1" t="s">
        <v>184</v>
      </c>
      <c r="R2773" s="1" t="s">
        <v>13916</v>
      </c>
      <c r="S2773" s="1" t="s">
        <v>13742</v>
      </c>
      <c r="T2773" s="1">
        <v>1</v>
      </c>
      <c r="U2773" s="1">
        <v>1</v>
      </c>
      <c r="V2773" s="1">
        <v>0</v>
      </c>
      <c r="W2773" s="1">
        <v>0</v>
      </c>
      <c r="X2773" s="1">
        <v>1</v>
      </c>
      <c r="Y2773" s="1" t="s">
        <v>104</v>
      </c>
      <c r="Z2773" s="1" t="s">
        <v>104</v>
      </c>
      <c r="AA2773" s="1" t="s">
        <v>104</v>
      </c>
      <c r="AB2773" s="1" t="s">
        <v>104</v>
      </c>
      <c r="AC2773" s="1" t="s">
        <v>104</v>
      </c>
      <c r="AD2773" s="1" t="s">
        <v>104</v>
      </c>
      <c r="AE2773" s="1" t="s">
        <v>104</v>
      </c>
      <c r="AF2773" s="1" t="s">
        <v>104</v>
      </c>
      <c r="AG2773" s="1" t="s">
        <v>104</v>
      </c>
      <c r="AH2773" s="1" t="s">
        <v>104</v>
      </c>
      <c r="AI2773" s="1">
        <v>1</v>
      </c>
      <c r="AJ2773" s="1" t="s">
        <v>104</v>
      </c>
      <c r="AK2773" s="1" t="s">
        <v>104</v>
      </c>
      <c r="AL2773" s="1" t="s">
        <v>104</v>
      </c>
      <c r="AM2773" s="1" t="s">
        <v>104</v>
      </c>
      <c r="AO2773" s="1">
        <v>1</v>
      </c>
      <c r="AR2773" s="1">
        <v>0</v>
      </c>
      <c r="AS2773" s="1">
        <v>0</v>
      </c>
      <c r="AT2773" s="1">
        <v>0</v>
      </c>
      <c r="AU2773" s="1">
        <v>0</v>
      </c>
      <c r="AV2773" s="1">
        <v>1</v>
      </c>
      <c r="AW2773" s="1">
        <v>0</v>
      </c>
      <c r="AX2773" s="1">
        <v>0</v>
      </c>
      <c r="AY2773" s="1">
        <v>0</v>
      </c>
      <c r="AZ2773" s="1">
        <v>0</v>
      </c>
      <c r="BA2773" s="1">
        <v>0</v>
      </c>
      <c r="BB2773" s="1">
        <v>0</v>
      </c>
      <c r="BC2773" s="1">
        <v>0</v>
      </c>
      <c r="BD2773" s="1">
        <v>0</v>
      </c>
      <c r="BE2773" s="1">
        <v>0</v>
      </c>
      <c r="BF2773" s="1">
        <v>0</v>
      </c>
      <c r="BG2773" s="1">
        <v>0</v>
      </c>
      <c r="BH2773" s="1">
        <v>0</v>
      </c>
      <c r="BI2773" s="1">
        <v>0</v>
      </c>
      <c r="BJ2773" s="1">
        <v>0</v>
      </c>
      <c r="BK2773" s="1">
        <v>0</v>
      </c>
      <c r="BL2773" s="1">
        <v>0</v>
      </c>
      <c r="BM2773" s="1">
        <v>0</v>
      </c>
      <c r="BN2773" s="1">
        <v>0</v>
      </c>
      <c r="BO2773" s="1">
        <v>0</v>
      </c>
      <c r="BP2773" s="1">
        <v>0</v>
      </c>
      <c r="BQ2773" s="1" t="s">
        <v>104</v>
      </c>
      <c r="BR2773" s="1">
        <v>4900</v>
      </c>
      <c r="BS2773" s="1" t="s">
        <v>104</v>
      </c>
      <c r="BX2773" s="1">
        <v>0</v>
      </c>
      <c r="BY2773" s="1" t="s">
        <v>104</v>
      </c>
      <c r="BZ2773" s="1" t="s">
        <v>104</v>
      </c>
      <c r="CA2773" s="1" t="s">
        <v>104</v>
      </c>
      <c r="CB2773" s="1" t="s">
        <v>104</v>
      </c>
      <c r="CC2773" s="1" t="s">
        <v>104</v>
      </c>
      <c r="CD2773" s="1" t="s">
        <v>104</v>
      </c>
      <c r="CE2773" s="1" t="s">
        <v>104</v>
      </c>
      <c r="CF2773" s="1" t="s">
        <v>104</v>
      </c>
      <c r="CG2773" s="1" t="s">
        <v>104</v>
      </c>
      <c r="CH2773" s="1" t="s">
        <v>104</v>
      </c>
      <c r="CJ2773" s="1">
        <v>0</v>
      </c>
      <c r="CK2773" s="1">
        <v>0</v>
      </c>
      <c r="CL2773" s="1">
        <v>0</v>
      </c>
      <c r="CM2773" s="1" t="s">
        <v>104</v>
      </c>
    </row>
    <row r="2774" spans="1:91" ht="14.25" customHeight="1" x14ac:dyDescent="0.3">
      <c r="A2774" s="1" t="s">
        <v>13917</v>
      </c>
      <c r="B2774" s="1" t="s">
        <v>137</v>
      </c>
      <c r="D2774" s="1" t="s">
        <v>11441</v>
      </c>
      <c r="E2774" s="1" t="s">
        <v>4964</v>
      </c>
      <c r="F2774" s="1" t="s">
        <v>255</v>
      </c>
      <c r="G2774" s="1" t="s">
        <v>127</v>
      </c>
      <c r="H2774" s="1">
        <v>0</v>
      </c>
      <c r="I2774" s="1" t="s">
        <v>128</v>
      </c>
      <c r="L2774" s="1" t="s">
        <v>374</v>
      </c>
      <c r="M2774" s="1" t="s">
        <v>194</v>
      </c>
      <c r="N2774" s="1">
        <v>0</v>
      </c>
      <c r="O2774" s="1">
        <v>0</v>
      </c>
      <c r="P2774" s="1" t="s">
        <v>183</v>
      </c>
      <c r="Q2774" s="1" t="s">
        <v>184</v>
      </c>
      <c r="R2774" s="1" t="s">
        <v>13918</v>
      </c>
      <c r="S2774" s="1" t="s">
        <v>13742</v>
      </c>
      <c r="T2774" s="1">
        <v>1</v>
      </c>
      <c r="U2774" s="1">
        <v>1</v>
      </c>
      <c r="V2774" s="1">
        <v>0</v>
      </c>
      <c r="W2774" s="1">
        <v>0</v>
      </c>
      <c r="X2774" s="1">
        <v>1</v>
      </c>
      <c r="Y2774" s="1" t="s">
        <v>104</v>
      </c>
      <c r="Z2774" s="1" t="s">
        <v>104</v>
      </c>
      <c r="AA2774" s="1" t="s">
        <v>104</v>
      </c>
      <c r="AB2774" s="1" t="s">
        <v>104</v>
      </c>
      <c r="AC2774" s="1" t="s">
        <v>104</v>
      </c>
      <c r="AD2774" s="1" t="s">
        <v>104</v>
      </c>
      <c r="AE2774" s="1" t="s">
        <v>104</v>
      </c>
      <c r="AF2774" s="1" t="s">
        <v>104</v>
      </c>
      <c r="AG2774" s="1" t="s">
        <v>104</v>
      </c>
      <c r="AH2774" s="1" t="s">
        <v>104</v>
      </c>
      <c r="AI2774" s="1">
        <v>2</v>
      </c>
      <c r="AJ2774" s="1" t="s">
        <v>104</v>
      </c>
      <c r="AK2774" s="1" t="s">
        <v>104</v>
      </c>
      <c r="AL2774" s="1" t="s">
        <v>104</v>
      </c>
      <c r="AM2774" s="1" t="s">
        <v>104</v>
      </c>
      <c r="AO2774" s="1">
        <v>2</v>
      </c>
      <c r="AR2774" s="1">
        <v>0</v>
      </c>
      <c r="AS2774" s="1">
        <v>0</v>
      </c>
      <c r="AT2774" s="1">
        <v>0</v>
      </c>
      <c r="AU2774" s="1">
        <v>0</v>
      </c>
      <c r="AV2774" s="1">
        <v>1</v>
      </c>
      <c r="AW2774" s="1">
        <v>0</v>
      </c>
      <c r="AX2774" s="1">
        <v>0</v>
      </c>
      <c r="AY2774" s="1">
        <v>0</v>
      </c>
      <c r="AZ2774" s="1">
        <v>0</v>
      </c>
      <c r="BA2774" s="1">
        <v>0</v>
      </c>
      <c r="BB2774" s="1">
        <v>0</v>
      </c>
      <c r="BC2774" s="1">
        <v>0</v>
      </c>
      <c r="BD2774" s="1">
        <v>0</v>
      </c>
      <c r="BE2774" s="1">
        <v>0</v>
      </c>
      <c r="BF2774" s="1">
        <v>0</v>
      </c>
      <c r="BG2774" s="1">
        <v>0</v>
      </c>
      <c r="BH2774" s="1">
        <v>0</v>
      </c>
      <c r="BI2774" s="1">
        <v>0</v>
      </c>
      <c r="BJ2774" s="1">
        <v>0</v>
      </c>
      <c r="BK2774" s="1">
        <v>0</v>
      </c>
      <c r="BL2774" s="1">
        <v>0</v>
      </c>
      <c r="BM2774" s="1">
        <v>0</v>
      </c>
      <c r="BN2774" s="1">
        <v>0</v>
      </c>
      <c r="BO2774" s="1">
        <v>0</v>
      </c>
      <c r="BP2774" s="1">
        <v>0</v>
      </c>
      <c r="BQ2774" s="1" t="s">
        <v>104</v>
      </c>
      <c r="BR2774" s="1">
        <v>4901</v>
      </c>
      <c r="BS2774" s="1" t="s">
        <v>104</v>
      </c>
      <c r="BX2774" s="1">
        <v>0</v>
      </c>
      <c r="BY2774" s="1" t="s">
        <v>104</v>
      </c>
      <c r="BZ2774" s="1" t="s">
        <v>104</v>
      </c>
      <c r="CA2774" s="1" t="s">
        <v>104</v>
      </c>
      <c r="CB2774" s="1" t="s">
        <v>104</v>
      </c>
      <c r="CC2774" s="1" t="s">
        <v>104</v>
      </c>
      <c r="CD2774" s="1" t="s">
        <v>104</v>
      </c>
      <c r="CE2774" s="1" t="s">
        <v>104</v>
      </c>
      <c r="CF2774" s="1" t="s">
        <v>104</v>
      </c>
      <c r="CG2774" s="1" t="s">
        <v>104</v>
      </c>
      <c r="CH2774" s="1" t="s">
        <v>104</v>
      </c>
      <c r="CJ2774" s="1">
        <v>0</v>
      </c>
      <c r="CK2774" s="1">
        <v>0</v>
      </c>
      <c r="CL2774" s="1">
        <v>0</v>
      </c>
      <c r="CM2774" s="1" t="s">
        <v>104</v>
      </c>
    </row>
    <row r="2775" spans="1:91" ht="14.25" customHeight="1" x14ac:dyDescent="0.3">
      <c r="A2775" s="1" t="s">
        <v>13919</v>
      </c>
      <c r="B2775" s="1" t="s">
        <v>137</v>
      </c>
      <c r="D2775" s="1" t="s">
        <v>11441</v>
      </c>
      <c r="E2775" s="1" t="s">
        <v>4560</v>
      </c>
      <c r="F2775" s="1" t="s">
        <v>255</v>
      </c>
      <c r="G2775" s="1" t="s">
        <v>127</v>
      </c>
      <c r="H2775" s="1">
        <v>0</v>
      </c>
      <c r="I2775" s="1" t="s">
        <v>128</v>
      </c>
      <c r="L2775" s="1" t="s">
        <v>374</v>
      </c>
      <c r="M2775" s="1" t="s">
        <v>298</v>
      </c>
      <c r="N2775" s="1">
        <v>0</v>
      </c>
      <c r="O2775" s="1">
        <v>0</v>
      </c>
      <c r="P2775" s="1" t="s">
        <v>183</v>
      </c>
      <c r="Q2775" s="1" t="s">
        <v>184</v>
      </c>
      <c r="R2775" s="1" t="s">
        <v>13920</v>
      </c>
      <c r="S2775" s="1" t="s">
        <v>13742</v>
      </c>
      <c r="T2775" s="1">
        <v>1</v>
      </c>
      <c r="U2775" s="1">
        <v>1</v>
      </c>
      <c r="V2775" s="1">
        <v>0</v>
      </c>
      <c r="W2775" s="1">
        <v>0</v>
      </c>
      <c r="X2775" s="1">
        <v>1</v>
      </c>
      <c r="Y2775" s="1" t="s">
        <v>104</v>
      </c>
      <c r="Z2775" s="1" t="s">
        <v>104</v>
      </c>
      <c r="AA2775" s="1" t="s">
        <v>104</v>
      </c>
      <c r="AB2775" s="1" t="s">
        <v>104</v>
      </c>
      <c r="AC2775" s="1" t="s">
        <v>104</v>
      </c>
      <c r="AD2775" s="1" t="s">
        <v>104</v>
      </c>
      <c r="AE2775" s="1" t="s">
        <v>104</v>
      </c>
      <c r="AF2775" s="1" t="s">
        <v>104</v>
      </c>
      <c r="AG2775" s="1" t="s">
        <v>104</v>
      </c>
      <c r="AH2775" s="1" t="s">
        <v>104</v>
      </c>
      <c r="AI2775" s="1">
        <v>4</v>
      </c>
      <c r="AJ2775" s="1" t="s">
        <v>104</v>
      </c>
      <c r="AK2775" s="1" t="s">
        <v>104</v>
      </c>
      <c r="AL2775" s="1" t="s">
        <v>104</v>
      </c>
      <c r="AM2775" s="1" t="s">
        <v>104</v>
      </c>
      <c r="AO2775" s="1">
        <v>4</v>
      </c>
      <c r="AR2775" s="1">
        <v>0</v>
      </c>
      <c r="AS2775" s="1">
        <v>0</v>
      </c>
      <c r="AT2775" s="1">
        <v>0</v>
      </c>
      <c r="AU2775" s="1">
        <v>0</v>
      </c>
      <c r="AV2775" s="1">
        <v>1</v>
      </c>
      <c r="AW2775" s="1">
        <v>0</v>
      </c>
      <c r="AX2775" s="1">
        <v>0</v>
      </c>
      <c r="AY2775" s="1">
        <v>0</v>
      </c>
      <c r="AZ2775" s="1">
        <v>0</v>
      </c>
      <c r="BA2775" s="1">
        <v>0</v>
      </c>
      <c r="BB2775" s="1">
        <v>0</v>
      </c>
      <c r="BC2775" s="1">
        <v>0</v>
      </c>
      <c r="BD2775" s="1">
        <v>0</v>
      </c>
      <c r="BE2775" s="1">
        <v>0</v>
      </c>
      <c r="BF2775" s="1">
        <v>0</v>
      </c>
      <c r="BG2775" s="1">
        <v>0</v>
      </c>
      <c r="BH2775" s="1">
        <v>0</v>
      </c>
      <c r="BI2775" s="1">
        <v>0</v>
      </c>
      <c r="BJ2775" s="1">
        <v>0</v>
      </c>
      <c r="BK2775" s="1">
        <v>0</v>
      </c>
      <c r="BL2775" s="1">
        <v>0</v>
      </c>
      <c r="BM2775" s="1">
        <v>0</v>
      </c>
      <c r="BN2775" s="1">
        <v>0</v>
      </c>
      <c r="BO2775" s="1">
        <v>0</v>
      </c>
      <c r="BP2775" s="1">
        <v>0</v>
      </c>
      <c r="BQ2775" s="1" t="s">
        <v>104</v>
      </c>
      <c r="BR2775" s="1">
        <v>4902</v>
      </c>
      <c r="BS2775" s="1" t="s">
        <v>104</v>
      </c>
      <c r="BX2775" s="1">
        <v>0</v>
      </c>
      <c r="BY2775" s="1" t="s">
        <v>104</v>
      </c>
      <c r="BZ2775" s="1" t="s">
        <v>104</v>
      </c>
      <c r="CA2775" s="1" t="s">
        <v>104</v>
      </c>
      <c r="CB2775" s="1" t="s">
        <v>104</v>
      </c>
      <c r="CC2775" s="1" t="s">
        <v>104</v>
      </c>
      <c r="CD2775" s="1" t="s">
        <v>104</v>
      </c>
      <c r="CE2775" s="1" t="s">
        <v>104</v>
      </c>
      <c r="CF2775" s="1" t="s">
        <v>104</v>
      </c>
      <c r="CG2775" s="1" t="s">
        <v>104</v>
      </c>
      <c r="CH2775" s="1" t="s">
        <v>104</v>
      </c>
      <c r="CJ2775" s="1">
        <v>0</v>
      </c>
      <c r="CK2775" s="1">
        <v>0</v>
      </c>
      <c r="CL2775" s="1">
        <v>0</v>
      </c>
      <c r="CM2775" s="1" t="s">
        <v>104</v>
      </c>
    </row>
    <row r="2776" spans="1:91" ht="14.25" customHeight="1" x14ac:dyDescent="0.3">
      <c r="A2776" s="1" t="s">
        <v>13921</v>
      </c>
      <c r="B2776" s="1" t="s">
        <v>507</v>
      </c>
      <c r="C2776" s="1" t="s">
        <v>65</v>
      </c>
      <c r="E2776" s="1" t="s">
        <v>3789</v>
      </c>
      <c r="F2776" s="1" t="s">
        <v>255</v>
      </c>
      <c r="G2776" s="1" t="s">
        <v>13922</v>
      </c>
      <c r="H2776" s="1">
        <v>1</v>
      </c>
      <c r="I2776" s="1" t="s">
        <v>2272</v>
      </c>
      <c r="K2776" s="1" t="s">
        <v>13923</v>
      </c>
      <c r="M2776" s="1" t="s">
        <v>119</v>
      </c>
      <c r="N2776" s="1">
        <v>0</v>
      </c>
      <c r="O2776" s="1">
        <v>0</v>
      </c>
      <c r="P2776" s="1" t="s">
        <v>550</v>
      </c>
      <c r="Q2776" s="1" t="s">
        <v>184</v>
      </c>
      <c r="R2776" s="1" t="s">
        <v>13924</v>
      </c>
      <c r="S2776" s="1" t="s">
        <v>13742</v>
      </c>
      <c r="T2776" s="1">
        <v>1</v>
      </c>
      <c r="U2776" s="1">
        <v>1</v>
      </c>
      <c r="V2776" s="1">
        <v>0</v>
      </c>
      <c r="W2776" s="1">
        <v>0</v>
      </c>
      <c r="X2776" s="1">
        <v>0</v>
      </c>
      <c r="Y2776" s="1" t="s">
        <v>104</v>
      </c>
      <c r="Z2776" s="1" t="s">
        <v>104</v>
      </c>
      <c r="AA2776" s="1" t="s">
        <v>104</v>
      </c>
      <c r="AB2776" s="1" t="s">
        <v>104</v>
      </c>
      <c r="AC2776" s="1" t="s">
        <v>104</v>
      </c>
      <c r="AD2776" s="1">
        <v>6</v>
      </c>
      <c r="AE2776" s="1" t="s">
        <v>104</v>
      </c>
      <c r="AF2776" s="1" t="s">
        <v>104</v>
      </c>
      <c r="AG2776" s="1" t="s">
        <v>104</v>
      </c>
      <c r="AH2776" s="1" t="s">
        <v>104</v>
      </c>
      <c r="AI2776" s="1" t="s">
        <v>104</v>
      </c>
      <c r="AJ2776" s="1" t="s">
        <v>104</v>
      </c>
      <c r="AK2776" s="1" t="s">
        <v>104</v>
      </c>
      <c r="AL2776" s="1" t="s">
        <v>104</v>
      </c>
      <c r="AM2776" s="1" t="s">
        <v>104</v>
      </c>
      <c r="AO2776" s="1">
        <v>6</v>
      </c>
      <c r="AR2776" s="1">
        <v>0</v>
      </c>
      <c r="AS2776" s="1">
        <v>0</v>
      </c>
      <c r="AT2776" s="1">
        <v>0</v>
      </c>
      <c r="AU2776" s="1">
        <v>0</v>
      </c>
      <c r="AV2776" s="1">
        <v>0</v>
      </c>
      <c r="AW2776" s="1">
        <v>0</v>
      </c>
      <c r="AX2776" s="1">
        <v>0</v>
      </c>
      <c r="AY2776" s="1">
        <v>0</v>
      </c>
      <c r="AZ2776" s="1">
        <v>0</v>
      </c>
      <c r="BA2776" s="1">
        <v>0</v>
      </c>
      <c r="BB2776" s="1">
        <v>0</v>
      </c>
      <c r="BC2776" s="1">
        <v>0</v>
      </c>
      <c r="BD2776" s="1">
        <v>0</v>
      </c>
      <c r="BE2776" s="1">
        <v>0</v>
      </c>
      <c r="BF2776" s="1">
        <v>0</v>
      </c>
      <c r="BG2776" s="1">
        <v>0</v>
      </c>
      <c r="BH2776" s="1">
        <v>0</v>
      </c>
      <c r="BI2776" s="1">
        <v>0</v>
      </c>
      <c r="BJ2776" s="1">
        <v>0</v>
      </c>
      <c r="BK2776" s="1">
        <v>0</v>
      </c>
      <c r="BL2776" s="1">
        <v>0</v>
      </c>
      <c r="BM2776" s="1">
        <v>0</v>
      </c>
      <c r="BN2776" s="1">
        <v>0</v>
      </c>
      <c r="BO2776" s="1">
        <v>0</v>
      </c>
      <c r="BP2776" s="1">
        <v>0</v>
      </c>
      <c r="BQ2776" s="1" t="s">
        <v>104</v>
      </c>
      <c r="BR2776" s="1">
        <v>4903</v>
      </c>
      <c r="BS2776" s="1">
        <v>100</v>
      </c>
      <c r="BX2776" s="1">
        <v>0</v>
      </c>
      <c r="BY2776" s="1" t="s">
        <v>104</v>
      </c>
      <c r="BZ2776" s="1" t="s">
        <v>104</v>
      </c>
      <c r="CA2776" s="1" t="s">
        <v>104</v>
      </c>
      <c r="CB2776" s="1" t="s">
        <v>104</v>
      </c>
      <c r="CC2776" s="1" t="s">
        <v>104</v>
      </c>
      <c r="CD2776" s="1" t="s">
        <v>104</v>
      </c>
      <c r="CE2776" s="1" t="s">
        <v>104</v>
      </c>
      <c r="CF2776" s="1" t="s">
        <v>104</v>
      </c>
      <c r="CG2776" s="1" t="s">
        <v>104</v>
      </c>
      <c r="CH2776" s="1" t="s">
        <v>104</v>
      </c>
      <c r="CJ2776" s="1">
        <v>0</v>
      </c>
      <c r="CK2776" s="1">
        <v>0</v>
      </c>
      <c r="CL2776" s="1">
        <v>0</v>
      </c>
      <c r="CM2776" s="1" t="s">
        <v>104</v>
      </c>
    </row>
    <row r="2777" spans="1:91" ht="14.25" customHeight="1" x14ac:dyDescent="0.3">
      <c r="A2777" s="1" t="s">
        <v>13925</v>
      </c>
      <c r="B2777" s="1" t="s">
        <v>92</v>
      </c>
      <c r="C2777" s="1" t="s">
        <v>2732</v>
      </c>
      <c r="D2777" s="1" t="s">
        <v>13926</v>
      </c>
      <c r="E2777" s="1" t="s">
        <v>13927</v>
      </c>
      <c r="F2777" s="1" t="s">
        <v>255</v>
      </c>
      <c r="G2777" s="1" t="s">
        <v>13928</v>
      </c>
      <c r="H2777" s="1">
        <v>0</v>
      </c>
      <c r="I2777" s="1" t="s">
        <v>117</v>
      </c>
      <c r="K2777" s="1" t="s">
        <v>13929</v>
      </c>
      <c r="M2777" s="1" t="s">
        <v>2330</v>
      </c>
      <c r="N2777" s="1">
        <v>0</v>
      </c>
      <c r="O2777" s="1">
        <v>0</v>
      </c>
      <c r="P2777" s="1" t="s">
        <v>100</v>
      </c>
      <c r="Q2777" s="1" t="s">
        <v>101</v>
      </c>
      <c r="R2777" s="1" t="s">
        <v>13930</v>
      </c>
      <c r="S2777" s="1" t="s">
        <v>13742</v>
      </c>
      <c r="T2777" s="1">
        <v>1</v>
      </c>
      <c r="U2777" s="1">
        <v>1</v>
      </c>
      <c r="V2777" s="1">
        <v>0</v>
      </c>
      <c r="W2777" s="1">
        <v>0</v>
      </c>
      <c r="X2777" s="1">
        <v>1</v>
      </c>
      <c r="Y2777" s="1">
        <v>3</v>
      </c>
      <c r="Z2777" s="1">
        <v>3</v>
      </c>
      <c r="AA2777" s="1">
        <v>3</v>
      </c>
      <c r="AB2777" s="1" t="s">
        <v>104</v>
      </c>
      <c r="AC2777" s="1" t="s">
        <v>104</v>
      </c>
      <c r="AD2777" s="1" t="s">
        <v>104</v>
      </c>
      <c r="AE2777" s="1" t="s">
        <v>104</v>
      </c>
      <c r="AF2777" s="1" t="s">
        <v>104</v>
      </c>
      <c r="AG2777" s="1">
        <v>3</v>
      </c>
      <c r="AH2777" s="1" t="s">
        <v>104</v>
      </c>
      <c r="AI2777" s="1" t="s">
        <v>104</v>
      </c>
      <c r="AJ2777" s="1">
        <v>3</v>
      </c>
      <c r="AK2777" s="1" t="s">
        <v>104</v>
      </c>
      <c r="AL2777" s="1" t="s">
        <v>104</v>
      </c>
      <c r="AM2777" s="1" t="s">
        <v>104</v>
      </c>
      <c r="AO2777" s="1">
        <v>3</v>
      </c>
      <c r="AR2777" s="1">
        <v>0</v>
      </c>
      <c r="AS2777" s="1">
        <v>0</v>
      </c>
      <c r="AT2777" s="1">
        <v>0</v>
      </c>
      <c r="AU2777" s="1">
        <v>0</v>
      </c>
      <c r="AV2777" s="1">
        <v>0</v>
      </c>
      <c r="AW2777" s="1">
        <v>0</v>
      </c>
      <c r="AX2777" s="1">
        <v>0</v>
      </c>
      <c r="AY2777" s="1">
        <v>0</v>
      </c>
      <c r="AZ2777" s="1">
        <v>0</v>
      </c>
      <c r="BA2777" s="1">
        <v>0</v>
      </c>
      <c r="BB2777" s="1">
        <v>0</v>
      </c>
      <c r="BC2777" s="1">
        <v>0</v>
      </c>
      <c r="BD2777" s="1">
        <v>0</v>
      </c>
      <c r="BE2777" s="1">
        <v>0</v>
      </c>
      <c r="BF2777" s="1">
        <v>0</v>
      </c>
      <c r="BG2777" s="1">
        <v>0</v>
      </c>
      <c r="BH2777" s="1">
        <v>0</v>
      </c>
      <c r="BI2777" s="1">
        <v>1</v>
      </c>
      <c r="BJ2777" s="1">
        <v>0</v>
      </c>
      <c r="BK2777" s="1">
        <v>0</v>
      </c>
      <c r="BL2777" s="1">
        <v>0</v>
      </c>
      <c r="BM2777" s="1">
        <v>0</v>
      </c>
      <c r="BN2777" s="1">
        <v>0</v>
      </c>
      <c r="BO2777" s="1">
        <v>0</v>
      </c>
      <c r="BP2777" s="1">
        <v>0</v>
      </c>
      <c r="BQ2777" s="1" t="s">
        <v>104</v>
      </c>
      <c r="BR2777" s="1">
        <v>4904</v>
      </c>
      <c r="BS2777" s="1" t="s">
        <v>104</v>
      </c>
      <c r="BX2777" s="1">
        <v>0</v>
      </c>
      <c r="BY2777" s="1" t="s">
        <v>104</v>
      </c>
      <c r="BZ2777" s="1" t="s">
        <v>104</v>
      </c>
      <c r="CA2777" s="1" t="s">
        <v>104</v>
      </c>
      <c r="CB2777" s="1" t="s">
        <v>104</v>
      </c>
      <c r="CC2777" s="1" t="s">
        <v>104</v>
      </c>
      <c r="CD2777" s="1" t="s">
        <v>104</v>
      </c>
      <c r="CE2777" s="1" t="s">
        <v>104</v>
      </c>
      <c r="CF2777" s="1" t="s">
        <v>104</v>
      </c>
      <c r="CG2777" s="1" t="s">
        <v>104</v>
      </c>
      <c r="CH2777" s="1" t="s">
        <v>104</v>
      </c>
      <c r="CJ2777" s="1">
        <v>0</v>
      </c>
      <c r="CK2777" s="1">
        <v>0</v>
      </c>
      <c r="CL2777" s="1">
        <v>0</v>
      </c>
      <c r="CM2777" s="1">
        <v>3</v>
      </c>
    </row>
    <row r="2778" spans="1:91" ht="14.25" customHeight="1" x14ac:dyDescent="0.3">
      <c r="A2778" s="1" t="s">
        <v>13931</v>
      </c>
      <c r="B2778" s="1" t="s">
        <v>92</v>
      </c>
      <c r="C2778" s="1" t="s">
        <v>93</v>
      </c>
      <c r="E2778" s="1" t="s">
        <v>13932</v>
      </c>
      <c r="F2778" s="1" t="s">
        <v>95</v>
      </c>
      <c r="G2778" s="1" t="s">
        <v>116</v>
      </c>
      <c r="H2778" s="1">
        <v>0</v>
      </c>
      <c r="I2778" s="1" t="s">
        <v>128</v>
      </c>
      <c r="K2778" s="1" t="s">
        <v>13933</v>
      </c>
      <c r="M2778" s="1" t="s">
        <v>201</v>
      </c>
      <c r="N2778" s="1">
        <v>0</v>
      </c>
      <c r="O2778" s="1">
        <v>0</v>
      </c>
      <c r="P2778" s="1" t="s">
        <v>4047</v>
      </c>
      <c r="Q2778" s="1" t="s">
        <v>101</v>
      </c>
      <c r="R2778" s="1" t="s">
        <v>13934</v>
      </c>
      <c r="S2778" s="1" t="s">
        <v>13742</v>
      </c>
      <c r="T2778" s="1">
        <v>1</v>
      </c>
      <c r="U2778" s="1">
        <v>1</v>
      </c>
      <c r="V2778" s="1">
        <v>0</v>
      </c>
      <c r="W2778" s="1">
        <v>0</v>
      </c>
      <c r="X2778" s="1">
        <v>0</v>
      </c>
      <c r="Y2778" s="1">
        <v>2</v>
      </c>
      <c r="Z2778" s="1">
        <v>2</v>
      </c>
      <c r="AA2778" s="1">
        <v>2</v>
      </c>
      <c r="AB2778" s="1" t="s">
        <v>104</v>
      </c>
      <c r="AC2778" s="1">
        <v>2</v>
      </c>
      <c r="AD2778" s="1" t="s">
        <v>104</v>
      </c>
      <c r="AE2778" s="1" t="s">
        <v>104</v>
      </c>
      <c r="AF2778" s="1" t="s">
        <v>104</v>
      </c>
      <c r="AG2778" s="1">
        <v>2</v>
      </c>
      <c r="AH2778" s="1" t="s">
        <v>104</v>
      </c>
      <c r="AI2778" s="1">
        <v>2</v>
      </c>
      <c r="AJ2778" s="1">
        <v>2</v>
      </c>
      <c r="AK2778" s="1" t="s">
        <v>104</v>
      </c>
      <c r="AL2778" s="1" t="s">
        <v>104</v>
      </c>
      <c r="AM2778" s="1" t="s">
        <v>104</v>
      </c>
      <c r="AO2778" s="1">
        <v>2</v>
      </c>
      <c r="AR2778" s="1">
        <v>0</v>
      </c>
      <c r="AS2778" s="1">
        <v>0</v>
      </c>
      <c r="AT2778" s="1">
        <v>0</v>
      </c>
      <c r="AU2778" s="1">
        <v>0</v>
      </c>
      <c r="AV2778" s="1">
        <v>0</v>
      </c>
      <c r="AW2778" s="1">
        <v>0</v>
      </c>
      <c r="AX2778" s="1">
        <v>0</v>
      </c>
      <c r="AY2778" s="1">
        <v>0</v>
      </c>
      <c r="AZ2778" s="1">
        <v>0</v>
      </c>
      <c r="BA2778" s="1">
        <v>0</v>
      </c>
      <c r="BB2778" s="1">
        <v>0</v>
      </c>
      <c r="BC2778" s="1">
        <v>0</v>
      </c>
      <c r="BD2778" s="1">
        <v>0</v>
      </c>
      <c r="BE2778" s="1">
        <v>0</v>
      </c>
      <c r="BF2778" s="1">
        <v>0</v>
      </c>
      <c r="BG2778" s="1">
        <v>0</v>
      </c>
      <c r="BH2778" s="1">
        <v>0</v>
      </c>
      <c r="BI2778" s="1">
        <v>0</v>
      </c>
      <c r="BJ2778" s="1">
        <v>0</v>
      </c>
      <c r="BK2778" s="1">
        <v>0</v>
      </c>
      <c r="BL2778" s="1">
        <v>0</v>
      </c>
      <c r="BM2778" s="1">
        <v>0</v>
      </c>
      <c r="BN2778" s="1">
        <v>0</v>
      </c>
      <c r="BO2778" s="1">
        <v>0</v>
      </c>
      <c r="BP2778" s="1">
        <v>0</v>
      </c>
      <c r="BQ2778" s="1" t="s">
        <v>104</v>
      </c>
      <c r="BR2778" s="1">
        <v>4905</v>
      </c>
      <c r="BS2778" s="1" t="s">
        <v>104</v>
      </c>
      <c r="BX2778" s="1">
        <v>0</v>
      </c>
      <c r="BY2778" s="1" t="s">
        <v>104</v>
      </c>
      <c r="BZ2778" s="1" t="s">
        <v>104</v>
      </c>
      <c r="CA2778" s="1" t="s">
        <v>104</v>
      </c>
      <c r="CB2778" s="1" t="s">
        <v>104</v>
      </c>
      <c r="CC2778" s="1" t="s">
        <v>104</v>
      </c>
      <c r="CD2778" s="1" t="s">
        <v>104</v>
      </c>
      <c r="CE2778" s="1" t="s">
        <v>104</v>
      </c>
      <c r="CF2778" s="1" t="s">
        <v>104</v>
      </c>
      <c r="CG2778" s="1" t="s">
        <v>104</v>
      </c>
      <c r="CH2778" s="1">
        <v>2</v>
      </c>
      <c r="CJ2778" s="1">
        <v>0</v>
      </c>
      <c r="CK2778" s="1">
        <v>0</v>
      </c>
      <c r="CL2778" s="1">
        <v>0</v>
      </c>
      <c r="CM2778" s="1">
        <v>2</v>
      </c>
    </row>
    <row r="2779" spans="1:91" ht="14.25" customHeight="1" x14ac:dyDescent="0.3">
      <c r="A2779" s="1" t="s">
        <v>13935</v>
      </c>
      <c r="B2779" s="1" t="s">
        <v>434</v>
      </c>
      <c r="D2779" s="1" t="s">
        <v>61</v>
      </c>
      <c r="E2779" s="1" t="s">
        <v>13936</v>
      </c>
      <c r="F2779" s="1" t="s">
        <v>95</v>
      </c>
      <c r="G2779" s="1" t="s">
        <v>116</v>
      </c>
      <c r="H2779" s="1">
        <v>0</v>
      </c>
      <c r="I2779" s="1" t="s">
        <v>128</v>
      </c>
      <c r="L2779" s="1" t="s">
        <v>983</v>
      </c>
      <c r="M2779" s="1" t="s">
        <v>620</v>
      </c>
      <c r="N2779" s="1">
        <v>1</v>
      </c>
      <c r="O2779" s="1">
        <v>0</v>
      </c>
      <c r="P2779" s="1" t="s">
        <v>100</v>
      </c>
      <c r="Q2779" s="1" t="s">
        <v>101</v>
      </c>
      <c r="R2779" s="1" t="s">
        <v>13937</v>
      </c>
      <c r="S2779" s="1" t="s">
        <v>13742</v>
      </c>
      <c r="T2779" s="1">
        <v>1</v>
      </c>
      <c r="U2779" s="1">
        <v>1</v>
      </c>
      <c r="V2779" s="1">
        <v>0</v>
      </c>
      <c r="W2779" s="1">
        <v>0</v>
      </c>
      <c r="X2779" s="1">
        <v>0</v>
      </c>
      <c r="Y2779" s="1">
        <v>4</v>
      </c>
      <c r="Z2779" s="1">
        <v>4</v>
      </c>
      <c r="AA2779" s="1">
        <v>4</v>
      </c>
      <c r="AB2779" s="1">
        <v>4</v>
      </c>
      <c r="AC2779" s="1">
        <v>4</v>
      </c>
      <c r="AD2779" s="1">
        <v>4</v>
      </c>
      <c r="AE2779" s="1">
        <v>4</v>
      </c>
      <c r="AF2779" s="1" t="s">
        <v>104</v>
      </c>
      <c r="AG2779" s="1" t="s">
        <v>104</v>
      </c>
      <c r="AH2779" s="1" t="s">
        <v>104</v>
      </c>
      <c r="AI2779" s="1">
        <v>4</v>
      </c>
      <c r="AJ2779" s="1">
        <v>4</v>
      </c>
      <c r="AK2779" s="1" t="s">
        <v>104</v>
      </c>
      <c r="AL2779" s="1">
        <v>4</v>
      </c>
      <c r="AM2779" s="1" t="s">
        <v>104</v>
      </c>
      <c r="AO2779" s="1">
        <v>4</v>
      </c>
      <c r="AR2779" s="1">
        <v>0</v>
      </c>
      <c r="AS2779" s="1">
        <v>0</v>
      </c>
      <c r="AT2779" s="1">
        <v>0</v>
      </c>
      <c r="AU2779" s="1">
        <v>0</v>
      </c>
      <c r="AV2779" s="1">
        <v>0</v>
      </c>
      <c r="AW2779" s="1">
        <v>0</v>
      </c>
      <c r="AX2779" s="1">
        <v>0</v>
      </c>
      <c r="AY2779" s="1">
        <v>0</v>
      </c>
      <c r="AZ2779" s="1">
        <v>0</v>
      </c>
      <c r="BA2779" s="1">
        <v>0</v>
      </c>
      <c r="BB2779" s="1">
        <v>0</v>
      </c>
      <c r="BC2779" s="1">
        <v>0</v>
      </c>
      <c r="BD2779" s="1">
        <v>0</v>
      </c>
      <c r="BE2779" s="1">
        <v>0</v>
      </c>
      <c r="BF2779" s="1">
        <v>0</v>
      </c>
      <c r="BG2779" s="1">
        <v>0</v>
      </c>
      <c r="BH2779" s="1">
        <v>0</v>
      </c>
      <c r="BI2779" s="1">
        <v>0</v>
      </c>
      <c r="BJ2779" s="1">
        <v>1</v>
      </c>
      <c r="BK2779" s="1">
        <v>0</v>
      </c>
      <c r="BL2779" s="1">
        <v>0</v>
      </c>
      <c r="BM2779" s="1">
        <v>0</v>
      </c>
      <c r="BN2779" s="1">
        <v>0</v>
      </c>
      <c r="BO2779" s="1">
        <v>0</v>
      </c>
      <c r="BP2779" s="1">
        <v>0</v>
      </c>
      <c r="BQ2779" s="1" t="s">
        <v>104</v>
      </c>
      <c r="BR2779" s="1">
        <v>4906</v>
      </c>
      <c r="BS2779" s="1" t="s">
        <v>104</v>
      </c>
      <c r="BX2779" s="1">
        <v>0</v>
      </c>
      <c r="BY2779" s="1" t="s">
        <v>104</v>
      </c>
      <c r="BZ2779" s="1">
        <v>4</v>
      </c>
      <c r="CA2779" s="1" t="s">
        <v>104</v>
      </c>
      <c r="CB2779" s="1" t="s">
        <v>104</v>
      </c>
      <c r="CC2779" s="1" t="s">
        <v>104</v>
      </c>
      <c r="CD2779" s="1">
        <v>4</v>
      </c>
      <c r="CE2779" s="1" t="s">
        <v>104</v>
      </c>
      <c r="CF2779" s="1" t="s">
        <v>104</v>
      </c>
      <c r="CG2779" s="1" t="s">
        <v>104</v>
      </c>
      <c r="CH2779" s="1">
        <v>4</v>
      </c>
      <c r="CJ2779" s="1">
        <v>0</v>
      </c>
      <c r="CK2779" s="1">
        <v>0</v>
      </c>
      <c r="CL2779" s="1">
        <v>0</v>
      </c>
      <c r="CM2779" s="1" t="s">
        <v>104</v>
      </c>
    </row>
    <row r="2780" spans="1:91" ht="14.25" customHeight="1" x14ac:dyDescent="0.3">
      <c r="A2780" s="1" t="s">
        <v>13938</v>
      </c>
      <c r="B2780" s="1" t="s">
        <v>137</v>
      </c>
      <c r="E2780" s="1" t="s">
        <v>13939</v>
      </c>
      <c r="F2780" s="1" t="s">
        <v>95</v>
      </c>
      <c r="G2780" s="1" t="s">
        <v>13940</v>
      </c>
      <c r="H2780" s="1">
        <v>0</v>
      </c>
      <c r="I2780" s="1" t="s">
        <v>117</v>
      </c>
      <c r="L2780" s="1" t="s">
        <v>1065</v>
      </c>
      <c r="M2780" s="1" t="s">
        <v>4292</v>
      </c>
      <c r="N2780" s="1">
        <v>0</v>
      </c>
      <c r="O2780" s="1">
        <v>0</v>
      </c>
      <c r="P2780" s="1" t="s">
        <v>183</v>
      </c>
      <c r="Q2780" s="1" t="s">
        <v>184</v>
      </c>
      <c r="R2780" s="1" t="s">
        <v>13941</v>
      </c>
      <c r="S2780" s="1" t="s">
        <v>13742</v>
      </c>
      <c r="T2780" s="1">
        <v>1</v>
      </c>
      <c r="U2780" s="1">
        <v>1</v>
      </c>
      <c r="V2780" s="1">
        <v>1</v>
      </c>
      <c r="W2780" s="1">
        <v>0</v>
      </c>
      <c r="X2780" s="1">
        <v>0</v>
      </c>
      <c r="Y2780" s="1" t="s">
        <v>104</v>
      </c>
      <c r="Z2780" s="1" t="s">
        <v>104</v>
      </c>
      <c r="AA2780" s="1">
        <v>3</v>
      </c>
      <c r="AB2780" s="1">
        <v>3</v>
      </c>
      <c r="AC2780" s="1">
        <v>2</v>
      </c>
      <c r="AD2780" s="1" t="s">
        <v>104</v>
      </c>
      <c r="AE2780" s="1">
        <v>3</v>
      </c>
      <c r="AF2780" s="1" t="s">
        <v>104</v>
      </c>
      <c r="AG2780" s="1" t="s">
        <v>104</v>
      </c>
      <c r="AH2780" s="1">
        <v>3</v>
      </c>
      <c r="AI2780" s="1">
        <v>3</v>
      </c>
      <c r="AJ2780" s="1">
        <v>3</v>
      </c>
      <c r="AK2780" s="1" t="s">
        <v>104</v>
      </c>
      <c r="AL2780" s="1" t="s">
        <v>104</v>
      </c>
      <c r="AM2780" s="1" t="s">
        <v>104</v>
      </c>
      <c r="AO2780" s="1">
        <v>3</v>
      </c>
      <c r="AR2780" s="1">
        <v>0</v>
      </c>
      <c r="AS2780" s="1">
        <v>0</v>
      </c>
      <c r="AT2780" s="1">
        <v>0</v>
      </c>
      <c r="AU2780" s="1">
        <v>0</v>
      </c>
      <c r="AV2780" s="1">
        <v>0</v>
      </c>
      <c r="AW2780" s="1">
        <v>0</v>
      </c>
      <c r="AX2780" s="1">
        <v>0</v>
      </c>
      <c r="AY2780" s="1">
        <v>0</v>
      </c>
      <c r="AZ2780" s="1">
        <v>0</v>
      </c>
      <c r="BA2780" s="1">
        <v>0</v>
      </c>
      <c r="BB2780" s="1">
        <v>0</v>
      </c>
      <c r="BC2780" s="1">
        <v>0</v>
      </c>
      <c r="BD2780" s="1">
        <v>0</v>
      </c>
      <c r="BE2780" s="1">
        <v>0</v>
      </c>
      <c r="BF2780" s="1">
        <v>0</v>
      </c>
      <c r="BG2780" s="1">
        <v>0</v>
      </c>
      <c r="BH2780" s="1">
        <v>0</v>
      </c>
      <c r="BI2780" s="1">
        <v>0</v>
      </c>
      <c r="BJ2780" s="1">
        <v>0</v>
      </c>
      <c r="BK2780" s="1">
        <v>0</v>
      </c>
      <c r="BL2780" s="1">
        <v>0</v>
      </c>
      <c r="BM2780" s="1">
        <v>0</v>
      </c>
      <c r="BN2780" s="1">
        <v>0</v>
      </c>
      <c r="BO2780" s="1">
        <v>0</v>
      </c>
      <c r="BP2780" s="1">
        <v>0</v>
      </c>
      <c r="BQ2780" s="1" t="s">
        <v>104</v>
      </c>
      <c r="BR2780" s="1">
        <v>4907</v>
      </c>
      <c r="BS2780" s="1" t="s">
        <v>104</v>
      </c>
      <c r="BX2780" s="1">
        <v>0</v>
      </c>
      <c r="BY2780" s="1" t="s">
        <v>104</v>
      </c>
      <c r="BZ2780" s="1">
        <v>3</v>
      </c>
      <c r="CA2780" s="1" t="s">
        <v>104</v>
      </c>
      <c r="CB2780" s="1" t="s">
        <v>104</v>
      </c>
      <c r="CC2780" s="1" t="s">
        <v>104</v>
      </c>
      <c r="CD2780" s="1" t="s">
        <v>104</v>
      </c>
      <c r="CE2780" s="1" t="s">
        <v>104</v>
      </c>
      <c r="CF2780" s="1" t="s">
        <v>104</v>
      </c>
      <c r="CG2780" s="1" t="s">
        <v>104</v>
      </c>
      <c r="CH2780" s="1">
        <v>2</v>
      </c>
      <c r="CJ2780" s="1">
        <v>0</v>
      </c>
      <c r="CK2780" s="1">
        <v>0</v>
      </c>
      <c r="CL2780" s="1">
        <v>0</v>
      </c>
      <c r="CM2780" s="1" t="s">
        <v>104</v>
      </c>
    </row>
    <row r="2781" spans="1:91" ht="14.25" customHeight="1" x14ac:dyDescent="0.3">
      <c r="A2781" s="1" t="s">
        <v>13942</v>
      </c>
      <c r="B2781" s="1" t="s">
        <v>172</v>
      </c>
      <c r="D2781" s="1" t="s">
        <v>58</v>
      </c>
      <c r="E2781" s="1" t="s">
        <v>13943</v>
      </c>
      <c r="F2781" s="1" t="s">
        <v>191</v>
      </c>
      <c r="G2781" s="1" t="s">
        <v>13944</v>
      </c>
      <c r="H2781" s="1">
        <v>1</v>
      </c>
      <c r="I2781" s="1" t="s">
        <v>128</v>
      </c>
      <c r="L2781" s="1" t="s">
        <v>13945</v>
      </c>
      <c r="M2781" s="1" t="s">
        <v>8359</v>
      </c>
      <c r="N2781" s="1">
        <v>0</v>
      </c>
      <c r="O2781" s="1">
        <v>0</v>
      </c>
      <c r="P2781" s="1" t="s">
        <v>375</v>
      </c>
      <c r="Q2781" s="1" t="s">
        <v>101</v>
      </c>
      <c r="R2781" s="1" t="s">
        <v>13946</v>
      </c>
      <c r="S2781" s="1" t="s">
        <v>13742</v>
      </c>
      <c r="T2781" s="1">
        <v>1</v>
      </c>
      <c r="U2781" s="1">
        <v>1</v>
      </c>
      <c r="V2781" s="1">
        <v>0</v>
      </c>
      <c r="W2781" s="1">
        <v>0</v>
      </c>
      <c r="X2781" s="1">
        <v>0</v>
      </c>
      <c r="Y2781" s="1" t="s">
        <v>104</v>
      </c>
      <c r="Z2781" s="1" t="s">
        <v>104</v>
      </c>
      <c r="AA2781" s="1">
        <v>2</v>
      </c>
      <c r="AB2781" s="1" t="s">
        <v>104</v>
      </c>
      <c r="AC2781" s="1" t="s">
        <v>104</v>
      </c>
      <c r="AD2781" s="1" t="s">
        <v>104</v>
      </c>
      <c r="AE2781" s="1">
        <v>1</v>
      </c>
      <c r="AF2781" s="1" t="s">
        <v>104</v>
      </c>
      <c r="AG2781" s="1" t="s">
        <v>104</v>
      </c>
      <c r="AH2781" s="1" t="s">
        <v>104</v>
      </c>
      <c r="AI2781" s="1">
        <v>1</v>
      </c>
      <c r="AJ2781" s="1">
        <v>2</v>
      </c>
      <c r="AK2781" s="1" t="s">
        <v>104</v>
      </c>
      <c r="AL2781" s="1" t="s">
        <v>104</v>
      </c>
      <c r="AM2781" s="1" t="s">
        <v>104</v>
      </c>
      <c r="AO2781" s="1">
        <v>2</v>
      </c>
      <c r="AR2781" s="1">
        <v>0</v>
      </c>
      <c r="AS2781" s="1">
        <v>0</v>
      </c>
      <c r="AT2781" s="1">
        <v>0</v>
      </c>
      <c r="AU2781" s="1">
        <v>0</v>
      </c>
      <c r="AV2781" s="1">
        <v>0</v>
      </c>
      <c r="AW2781" s="1">
        <v>0</v>
      </c>
      <c r="AX2781" s="1">
        <v>0</v>
      </c>
      <c r="AY2781" s="1">
        <v>0</v>
      </c>
      <c r="AZ2781" s="1">
        <v>0</v>
      </c>
      <c r="BA2781" s="1">
        <v>0</v>
      </c>
      <c r="BB2781" s="1">
        <v>0</v>
      </c>
      <c r="BC2781" s="1">
        <v>0</v>
      </c>
      <c r="BD2781" s="1">
        <v>0</v>
      </c>
      <c r="BE2781" s="1">
        <v>0</v>
      </c>
      <c r="BF2781" s="1">
        <v>0</v>
      </c>
      <c r="BG2781" s="1">
        <v>1</v>
      </c>
      <c r="BH2781" s="1">
        <v>0</v>
      </c>
      <c r="BI2781" s="1">
        <v>0</v>
      </c>
      <c r="BJ2781" s="1">
        <v>0</v>
      </c>
      <c r="BK2781" s="1">
        <v>0</v>
      </c>
      <c r="BL2781" s="1">
        <v>0</v>
      </c>
      <c r="BM2781" s="1">
        <v>0</v>
      </c>
      <c r="BN2781" s="1">
        <v>0</v>
      </c>
      <c r="BO2781" s="1">
        <v>0</v>
      </c>
      <c r="BP2781" s="1">
        <v>0</v>
      </c>
      <c r="BQ2781" s="1" t="s">
        <v>104</v>
      </c>
      <c r="BR2781" s="1">
        <v>4908</v>
      </c>
      <c r="BS2781" s="1">
        <v>50</v>
      </c>
      <c r="BX2781" s="1">
        <v>0</v>
      </c>
      <c r="BY2781" s="1" t="s">
        <v>104</v>
      </c>
      <c r="BZ2781" s="1" t="s">
        <v>104</v>
      </c>
      <c r="CA2781" s="1" t="s">
        <v>104</v>
      </c>
      <c r="CB2781" s="1" t="s">
        <v>104</v>
      </c>
      <c r="CC2781" s="1" t="s">
        <v>104</v>
      </c>
      <c r="CD2781" s="1" t="s">
        <v>104</v>
      </c>
      <c r="CE2781" s="1" t="s">
        <v>104</v>
      </c>
      <c r="CF2781" s="1" t="s">
        <v>104</v>
      </c>
      <c r="CG2781" s="1" t="s">
        <v>104</v>
      </c>
      <c r="CH2781" s="1" t="s">
        <v>104</v>
      </c>
      <c r="CJ2781" s="1">
        <v>0</v>
      </c>
      <c r="CK2781" s="1">
        <v>0</v>
      </c>
      <c r="CL2781" s="1">
        <v>0</v>
      </c>
      <c r="CM2781" s="1" t="s">
        <v>104</v>
      </c>
    </row>
    <row r="2782" spans="1:91" ht="14.25" customHeight="1" x14ac:dyDescent="0.3">
      <c r="A2782" s="1" t="s">
        <v>13947</v>
      </c>
      <c r="B2782" s="1" t="s">
        <v>172</v>
      </c>
      <c r="E2782" s="1" t="s">
        <v>13948</v>
      </c>
      <c r="F2782" s="1" t="s">
        <v>95</v>
      </c>
      <c r="G2782" s="1" t="s">
        <v>13949</v>
      </c>
      <c r="H2782" s="1">
        <v>1</v>
      </c>
      <c r="I2782" s="1" t="s">
        <v>128</v>
      </c>
      <c r="L2782" s="1" t="s">
        <v>374</v>
      </c>
      <c r="M2782" s="1" t="s">
        <v>341</v>
      </c>
      <c r="N2782" s="1">
        <v>0</v>
      </c>
      <c r="O2782" s="1">
        <v>0</v>
      </c>
      <c r="P2782" s="1" t="s">
        <v>148</v>
      </c>
      <c r="Q2782" s="1" t="s">
        <v>149</v>
      </c>
      <c r="R2782" s="1" t="s">
        <v>13950</v>
      </c>
      <c r="S2782" s="1" t="s">
        <v>13742</v>
      </c>
      <c r="T2782" s="1">
        <v>1</v>
      </c>
      <c r="U2782" s="1">
        <v>1</v>
      </c>
      <c r="V2782" s="1">
        <v>1</v>
      </c>
      <c r="W2782" s="1">
        <v>0</v>
      </c>
      <c r="X2782" s="1">
        <v>0</v>
      </c>
      <c r="Y2782" s="1">
        <v>5</v>
      </c>
      <c r="Z2782" s="1">
        <v>5</v>
      </c>
      <c r="AA2782" s="1" t="s">
        <v>104</v>
      </c>
      <c r="AB2782" s="1" t="s">
        <v>104</v>
      </c>
      <c r="AC2782" s="1" t="s">
        <v>104</v>
      </c>
      <c r="AD2782" s="1" t="s">
        <v>104</v>
      </c>
      <c r="AE2782" s="1" t="s">
        <v>104</v>
      </c>
      <c r="AF2782" s="1">
        <v>5</v>
      </c>
      <c r="AG2782" s="1" t="s">
        <v>104</v>
      </c>
      <c r="AH2782" s="1">
        <v>5</v>
      </c>
      <c r="AI2782" s="1" t="s">
        <v>104</v>
      </c>
      <c r="AJ2782" s="1" t="s">
        <v>104</v>
      </c>
      <c r="AK2782" s="1" t="s">
        <v>104</v>
      </c>
      <c r="AL2782" s="1">
        <v>5</v>
      </c>
      <c r="AM2782" s="1" t="s">
        <v>104</v>
      </c>
      <c r="AO2782" s="1">
        <v>5</v>
      </c>
      <c r="AR2782" s="1">
        <v>0</v>
      </c>
      <c r="AS2782" s="1">
        <v>0</v>
      </c>
      <c r="AT2782" s="1">
        <v>0</v>
      </c>
      <c r="AU2782" s="1">
        <v>0</v>
      </c>
      <c r="AV2782" s="1">
        <v>0</v>
      </c>
      <c r="AW2782" s="1">
        <v>0</v>
      </c>
      <c r="AX2782" s="1">
        <v>0</v>
      </c>
      <c r="AY2782" s="1">
        <v>0</v>
      </c>
      <c r="AZ2782" s="1">
        <v>0</v>
      </c>
      <c r="BA2782" s="1">
        <v>0</v>
      </c>
      <c r="BB2782" s="1">
        <v>0</v>
      </c>
      <c r="BC2782" s="1">
        <v>0</v>
      </c>
      <c r="BD2782" s="1">
        <v>0</v>
      </c>
      <c r="BE2782" s="1">
        <v>0</v>
      </c>
      <c r="BF2782" s="1">
        <v>0</v>
      </c>
      <c r="BG2782" s="1">
        <v>0</v>
      </c>
      <c r="BH2782" s="1">
        <v>0</v>
      </c>
      <c r="BI2782" s="1">
        <v>0</v>
      </c>
      <c r="BJ2782" s="1">
        <v>0</v>
      </c>
      <c r="BK2782" s="1">
        <v>0</v>
      </c>
      <c r="BL2782" s="1">
        <v>0</v>
      </c>
      <c r="BM2782" s="1">
        <v>0</v>
      </c>
      <c r="BN2782" s="1">
        <v>0</v>
      </c>
      <c r="BO2782" s="1">
        <v>0</v>
      </c>
      <c r="BP2782" s="1">
        <v>0</v>
      </c>
      <c r="BQ2782" s="1" t="s">
        <v>104</v>
      </c>
      <c r="BR2782" s="1">
        <v>4909</v>
      </c>
      <c r="BS2782" s="1">
        <v>200</v>
      </c>
      <c r="BX2782" s="1">
        <v>0</v>
      </c>
      <c r="BY2782" s="1">
        <v>4</v>
      </c>
      <c r="BZ2782" s="1">
        <v>5</v>
      </c>
      <c r="CA2782" s="1" t="s">
        <v>104</v>
      </c>
      <c r="CB2782" s="1" t="s">
        <v>104</v>
      </c>
      <c r="CC2782" s="1" t="s">
        <v>104</v>
      </c>
      <c r="CD2782" s="1" t="s">
        <v>104</v>
      </c>
      <c r="CE2782" s="1" t="s">
        <v>104</v>
      </c>
      <c r="CF2782" s="1" t="s">
        <v>104</v>
      </c>
      <c r="CG2782" s="1" t="s">
        <v>104</v>
      </c>
      <c r="CH2782" s="1" t="s">
        <v>104</v>
      </c>
      <c r="CJ2782" s="1">
        <v>0</v>
      </c>
      <c r="CK2782" s="1">
        <v>0</v>
      </c>
      <c r="CL2782" s="1">
        <v>0</v>
      </c>
      <c r="CM2782" s="1" t="s">
        <v>104</v>
      </c>
    </row>
    <row r="2783" spans="1:91" ht="14.25" customHeight="1" x14ac:dyDescent="0.3">
      <c r="A2783" s="1" t="s">
        <v>13951</v>
      </c>
      <c r="B2783" s="1" t="s">
        <v>92</v>
      </c>
      <c r="C2783" s="1" t="s">
        <v>2732</v>
      </c>
      <c r="E2783" s="1" t="s">
        <v>13952</v>
      </c>
      <c r="F2783" s="1" t="s">
        <v>287</v>
      </c>
      <c r="G2783" s="1" t="s">
        <v>13953</v>
      </c>
      <c r="H2783" s="1">
        <v>1</v>
      </c>
      <c r="I2783" s="1" t="s">
        <v>117</v>
      </c>
      <c r="K2783" s="1" t="s">
        <v>13954</v>
      </c>
      <c r="M2783" s="1" t="s">
        <v>723</v>
      </c>
      <c r="N2783" s="1">
        <v>0</v>
      </c>
      <c r="O2783" s="1">
        <v>0</v>
      </c>
      <c r="P2783" s="1" t="s">
        <v>100</v>
      </c>
      <c r="Q2783" s="1" t="s">
        <v>101</v>
      </c>
      <c r="R2783" s="1" t="s">
        <v>13955</v>
      </c>
      <c r="S2783" s="1" t="s">
        <v>13742</v>
      </c>
      <c r="T2783" s="1">
        <v>1</v>
      </c>
      <c r="U2783" s="1">
        <v>1</v>
      </c>
      <c r="V2783" s="1">
        <v>1</v>
      </c>
      <c r="W2783" s="1">
        <v>0</v>
      </c>
      <c r="X2783" s="1">
        <v>0</v>
      </c>
      <c r="Y2783" s="1">
        <v>3</v>
      </c>
      <c r="Z2783" s="1">
        <v>3</v>
      </c>
      <c r="AA2783" s="1">
        <v>3</v>
      </c>
      <c r="AB2783" s="1">
        <v>3</v>
      </c>
      <c r="AC2783" s="1" t="s">
        <v>104</v>
      </c>
      <c r="AD2783" s="1" t="s">
        <v>104</v>
      </c>
      <c r="AE2783" s="1" t="s">
        <v>104</v>
      </c>
      <c r="AF2783" s="1" t="s">
        <v>104</v>
      </c>
      <c r="AG2783" s="1">
        <v>3</v>
      </c>
      <c r="AH2783" s="1">
        <v>3</v>
      </c>
      <c r="AI2783" s="1">
        <v>3</v>
      </c>
      <c r="AJ2783" s="1">
        <v>3</v>
      </c>
      <c r="AK2783" s="1" t="s">
        <v>104</v>
      </c>
      <c r="AL2783" s="1" t="s">
        <v>104</v>
      </c>
      <c r="AM2783" s="1" t="s">
        <v>104</v>
      </c>
      <c r="AO2783" s="1">
        <v>3</v>
      </c>
      <c r="AR2783" s="1">
        <v>0</v>
      </c>
      <c r="AS2783" s="1">
        <v>0</v>
      </c>
      <c r="AT2783" s="1">
        <v>0</v>
      </c>
      <c r="AU2783" s="1">
        <v>0</v>
      </c>
      <c r="AV2783" s="1">
        <v>0</v>
      </c>
      <c r="AW2783" s="1">
        <v>0</v>
      </c>
      <c r="AX2783" s="1">
        <v>0</v>
      </c>
      <c r="AY2783" s="1">
        <v>0</v>
      </c>
      <c r="AZ2783" s="1">
        <v>0</v>
      </c>
      <c r="BA2783" s="1">
        <v>0</v>
      </c>
      <c r="BB2783" s="1">
        <v>0</v>
      </c>
      <c r="BC2783" s="1">
        <v>0</v>
      </c>
      <c r="BD2783" s="1">
        <v>0</v>
      </c>
      <c r="BE2783" s="1">
        <v>0</v>
      </c>
      <c r="BF2783" s="1">
        <v>0</v>
      </c>
      <c r="BG2783" s="1">
        <v>0</v>
      </c>
      <c r="BH2783" s="1">
        <v>0</v>
      </c>
      <c r="BI2783" s="1">
        <v>0</v>
      </c>
      <c r="BJ2783" s="1">
        <v>0</v>
      </c>
      <c r="BK2783" s="1">
        <v>0</v>
      </c>
      <c r="BL2783" s="1">
        <v>0</v>
      </c>
      <c r="BM2783" s="1">
        <v>0</v>
      </c>
      <c r="BN2783" s="1">
        <v>0</v>
      </c>
      <c r="BO2783" s="1">
        <v>0</v>
      </c>
      <c r="BP2783" s="1">
        <v>0</v>
      </c>
      <c r="BQ2783" s="1" t="s">
        <v>104</v>
      </c>
      <c r="BR2783" s="1">
        <v>4910</v>
      </c>
      <c r="BS2783" s="1">
        <v>100</v>
      </c>
      <c r="BX2783" s="1">
        <v>1</v>
      </c>
      <c r="BY2783" s="1" t="s">
        <v>104</v>
      </c>
      <c r="BZ2783" s="1">
        <v>3</v>
      </c>
      <c r="CA2783" s="1" t="s">
        <v>104</v>
      </c>
      <c r="CB2783" s="1" t="s">
        <v>104</v>
      </c>
      <c r="CC2783" s="1" t="s">
        <v>104</v>
      </c>
      <c r="CD2783" s="1" t="s">
        <v>104</v>
      </c>
      <c r="CE2783" s="1" t="s">
        <v>104</v>
      </c>
      <c r="CF2783" s="1" t="s">
        <v>104</v>
      </c>
      <c r="CG2783" s="1" t="s">
        <v>104</v>
      </c>
      <c r="CH2783" s="1">
        <v>3</v>
      </c>
      <c r="CJ2783" s="1">
        <v>0</v>
      </c>
      <c r="CK2783" s="1">
        <v>0</v>
      </c>
      <c r="CL2783" s="1">
        <v>0</v>
      </c>
      <c r="CM2783" s="1">
        <v>3</v>
      </c>
    </row>
    <row r="2784" spans="1:91" ht="14.25" customHeight="1" x14ac:dyDescent="0.3">
      <c r="A2784" s="1" t="s">
        <v>13956</v>
      </c>
      <c r="B2784" s="1" t="s">
        <v>92</v>
      </c>
      <c r="C2784" s="1" t="s">
        <v>93</v>
      </c>
      <c r="D2784" s="1" t="s">
        <v>46</v>
      </c>
      <c r="E2784" s="1" t="s">
        <v>13957</v>
      </c>
      <c r="F2784" s="1" t="s">
        <v>255</v>
      </c>
      <c r="G2784" s="1" t="s">
        <v>13958</v>
      </c>
      <c r="H2784" s="1">
        <v>0</v>
      </c>
      <c r="I2784" s="1" t="s">
        <v>117</v>
      </c>
      <c r="K2784" s="1" t="s">
        <v>13959</v>
      </c>
      <c r="M2784" s="1" t="s">
        <v>426</v>
      </c>
      <c r="N2784" s="1">
        <v>1</v>
      </c>
      <c r="O2784" s="1">
        <v>0</v>
      </c>
      <c r="P2784" s="1" t="s">
        <v>100</v>
      </c>
      <c r="Q2784" s="1" t="s">
        <v>101</v>
      </c>
      <c r="R2784" s="1" t="s">
        <v>13960</v>
      </c>
      <c r="S2784" s="1" t="s">
        <v>13742</v>
      </c>
      <c r="T2784" s="1">
        <v>1</v>
      </c>
      <c r="U2784" s="1">
        <v>1</v>
      </c>
      <c r="V2784" s="1">
        <v>1</v>
      </c>
      <c r="W2784" s="1">
        <v>0</v>
      </c>
      <c r="X2784" s="1">
        <v>0</v>
      </c>
      <c r="Y2784" s="1">
        <v>7</v>
      </c>
      <c r="Z2784" s="1">
        <v>7</v>
      </c>
      <c r="AA2784" s="1">
        <v>7</v>
      </c>
      <c r="AB2784" s="1">
        <v>7</v>
      </c>
      <c r="AC2784" s="1" t="s">
        <v>104</v>
      </c>
      <c r="AD2784" s="1" t="s">
        <v>104</v>
      </c>
      <c r="AE2784" s="1" t="s">
        <v>104</v>
      </c>
      <c r="AF2784" s="1" t="s">
        <v>104</v>
      </c>
      <c r="AG2784" s="1">
        <v>6</v>
      </c>
      <c r="AH2784" s="1" t="s">
        <v>104</v>
      </c>
      <c r="AI2784" s="1" t="s">
        <v>104</v>
      </c>
      <c r="AJ2784" s="1">
        <v>7</v>
      </c>
      <c r="AK2784" s="1" t="s">
        <v>104</v>
      </c>
      <c r="AL2784" s="1" t="s">
        <v>104</v>
      </c>
      <c r="AM2784" s="1" t="s">
        <v>104</v>
      </c>
      <c r="AO2784" s="1">
        <v>7</v>
      </c>
      <c r="AR2784" s="1">
        <v>0</v>
      </c>
      <c r="AS2784" s="1">
        <v>0</v>
      </c>
      <c r="AT2784" s="1">
        <v>0</v>
      </c>
      <c r="AU2784" s="1">
        <v>1</v>
      </c>
      <c r="AV2784" s="1">
        <v>0</v>
      </c>
      <c r="AW2784" s="1">
        <v>0</v>
      </c>
      <c r="AX2784" s="1">
        <v>0</v>
      </c>
      <c r="AY2784" s="1">
        <v>0</v>
      </c>
      <c r="AZ2784" s="1">
        <v>0</v>
      </c>
      <c r="BA2784" s="1">
        <v>0</v>
      </c>
      <c r="BB2784" s="1">
        <v>0</v>
      </c>
      <c r="BC2784" s="1">
        <v>0</v>
      </c>
      <c r="BD2784" s="1">
        <v>0</v>
      </c>
      <c r="BE2784" s="1">
        <v>0</v>
      </c>
      <c r="BF2784" s="1">
        <v>0</v>
      </c>
      <c r="BG2784" s="1">
        <v>0</v>
      </c>
      <c r="BH2784" s="1">
        <v>0</v>
      </c>
      <c r="BI2784" s="1">
        <v>0</v>
      </c>
      <c r="BJ2784" s="1">
        <v>0</v>
      </c>
      <c r="BK2784" s="1">
        <v>0</v>
      </c>
      <c r="BL2784" s="1">
        <v>0</v>
      </c>
      <c r="BM2784" s="1">
        <v>0</v>
      </c>
      <c r="BN2784" s="1">
        <v>0</v>
      </c>
      <c r="BO2784" s="1">
        <v>0</v>
      </c>
      <c r="BP2784" s="1">
        <v>0</v>
      </c>
      <c r="BQ2784" s="1" t="s">
        <v>104</v>
      </c>
      <c r="BR2784" s="1">
        <v>4911</v>
      </c>
      <c r="BS2784" s="1" t="s">
        <v>104</v>
      </c>
      <c r="BX2784" s="1">
        <v>0</v>
      </c>
      <c r="BY2784" s="1" t="s">
        <v>104</v>
      </c>
      <c r="BZ2784" s="1">
        <v>7</v>
      </c>
      <c r="CA2784" s="1" t="s">
        <v>104</v>
      </c>
      <c r="CB2784" s="1" t="s">
        <v>104</v>
      </c>
      <c r="CC2784" s="1" t="s">
        <v>104</v>
      </c>
      <c r="CD2784" s="1" t="s">
        <v>104</v>
      </c>
      <c r="CE2784" s="1" t="s">
        <v>104</v>
      </c>
      <c r="CF2784" s="1" t="s">
        <v>104</v>
      </c>
      <c r="CG2784" s="1" t="s">
        <v>104</v>
      </c>
      <c r="CH2784" s="1" t="s">
        <v>104</v>
      </c>
      <c r="CJ2784" s="1">
        <v>0</v>
      </c>
      <c r="CK2784" s="1">
        <v>0</v>
      </c>
      <c r="CL2784" s="1">
        <v>0</v>
      </c>
      <c r="CM2784" s="1">
        <v>6</v>
      </c>
    </row>
    <row r="2785" spans="1:91" ht="14.25" customHeight="1" x14ac:dyDescent="0.3">
      <c r="A2785" s="1" t="s">
        <v>13961</v>
      </c>
      <c r="B2785" s="1" t="s">
        <v>137</v>
      </c>
      <c r="E2785" s="1" t="s">
        <v>3705</v>
      </c>
      <c r="F2785" s="1" t="s">
        <v>4934</v>
      </c>
      <c r="G2785" s="1" t="s">
        <v>116</v>
      </c>
      <c r="H2785" s="1">
        <v>0</v>
      </c>
      <c r="I2785" s="1" t="s">
        <v>157</v>
      </c>
      <c r="L2785" s="1" t="s">
        <v>158</v>
      </c>
      <c r="M2785" s="1" t="s">
        <v>111</v>
      </c>
      <c r="N2785" s="1">
        <v>0</v>
      </c>
      <c r="O2785" s="1">
        <v>0</v>
      </c>
      <c r="P2785" s="1" t="s">
        <v>100</v>
      </c>
      <c r="Q2785" s="1" t="s">
        <v>101</v>
      </c>
      <c r="R2785" s="1" t="s">
        <v>13962</v>
      </c>
      <c r="S2785" s="1" t="s">
        <v>13742</v>
      </c>
      <c r="T2785" s="1">
        <v>1</v>
      </c>
      <c r="U2785" s="1">
        <v>1</v>
      </c>
      <c r="V2785" s="1">
        <v>0</v>
      </c>
      <c r="W2785" s="1">
        <v>0</v>
      </c>
      <c r="X2785" s="1">
        <v>0</v>
      </c>
      <c r="Y2785" s="1" t="s">
        <v>104</v>
      </c>
      <c r="Z2785" s="1" t="s">
        <v>104</v>
      </c>
      <c r="AA2785" s="1" t="s">
        <v>104</v>
      </c>
      <c r="AB2785" s="1">
        <v>5</v>
      </c>
      <c r="AC2785" s="1" t="s">
        <v>104</v>
      </c>
      <c r="AD2785" s="1" t="s">
        <v>104</v>
      </c>
      <c r="AE2785" s="1" t="s">
        <v>104</v>
      </c>
      <c r="AF2785" s="1" t="s">
        <v>104</v>
      </c>
      <c r="AG2785" s="1" t="s">
        <v>104</v>
      </c>
      <c r="AH2785" s="1" t="s">
        <v>104</v>
      </c>
      <c r="AI2785" s="1" t="s">
        <v>104</v>
      </c>
      <c r="AJ2785" s="1" t="s">
        <v>104</v>
      </c>
      <c r="AK2785" s="1" t="s">
        <v>104</v>
      </c>
      <c r="AL2785" s="1" t="s">
        <v>104</v>
      </c>
      <c r="AM2785" s="1" t="s">
        <v>104</v>
      </c>
      <c r="AO2785" s="1">
        <v>5</v>
      </c>
      <c r="AR2785" s="1">
        <v>0</v>
      </c>
      <c r="AS2785" s="1">
        <v>0</v>
      </c>
      <c r="AT2785" s="1">
        <v>0</v>
      </c>
      <c r="AU2785" s="1">
        <v>0</v>
      </c>
      <c r="AV2785" s="1">
        <v>0</v>
      </c>
      <c r="AW2785" s="1">
        <v>0</v>
      </c>
      <c r="AX2785" s="1">
        <v>0</v>
      </c>
      <c r="AY2785" s="1">
        <v>0</v>
      </c>
      <c r="AZ2785" s="1">
        <v>0</v>
      </c>
      <c r="BA2785" s="1">
        <v>0</v>
      </c>
      <c r="BB2785" s="1">
        <v>0</v>
      </c>
      <c r="BC2785" s="1">
        <v>0</v>
      </c>
      <c r="BD2785" s="1">
        <v>0</v>
      </c>
      <c r="BE2785" s="1">
        <v>0</v>
      </c>
      <c r="BF2785" s="1">
        <v>0</v>
      </c>
      <c r="BG2785" s="1">
        <v>0</v>
      </c>
      <c r="BH2785" s="1">
        <v>0</v>
      </c>
      <c r="BI2785" s="1">
        <v>0</v>
      </c>
      <c r="BJ2785" s="1">
        <v>0</v>
      </c>
      <c r="BK2785" s="1">
        <v>0</v>
      </c>
      <c r="BL2785" s="1">
        <v>0</v>
      </c>
      <c r="BM2785" s="1">
        <v>0</v>
      </c>
      <c r="BN2785" s="1">
        <v>0</v>
      </c>
      <c r="BO2785" s="1">
        <v>0</v>
      </c>
      <c r="BP2785" s="1">
        <v>0</v>
      </c>
      <c r="BQ2785" s="1" t="s">
        <v>104</v>
      </c>
      <c r="BR2785" s="1">
        <v>4912</v>
      </c>
      <c r="BS2785" s="1" t="s">
        <v>104</v>
      </c>
      <c r="BX2785" s="1">
        <v>0</v>
      </c>
      <c r="BY2785" s="1" t="s">
        <v>104</v>
      </c>
      <c r="BZ2785" s="1" t="s">
        <v>104</v>
      </c>
      <c r="CA2785" s="1" t="s">
        <v>104</v>
      </c>
      <c r="CB2785" s="1" t="s">
        <v>104</v>
      </c>
      <c r="CC2785" s="1" t="s">
        <v>104</v>
      </c>
      <c r="CD2785" s="1" t="s">
        <v>104</v>
      </c>
      <c r="CE2785" s="1" t="s">
        <v>104</v>
      </c>
      <c r="CF2785" s="1" t="s">
        <v>104</v>
      </c>
      <c r="CG2785" s="1" t="s">
        <v>104</v>
      </c>
      <c r="CH2785" s="1">
        <v>5</v>
      </c>
      <c r="CJ2785" s="1">
        <v>0</v>
      </c>
      <c r="CK2785" s="1">
        <v>0</v>
      </c>
      <c r="CL2785" s="1">
        <v>0</v>
      </c>
      <c r="CM2785" s="1" t="s">
        <v>104</v>
      </c>
    </row>
    <row r="2786" spans="1:91" ht="14.25" customHeight="1" x14ac:dyDescent="0.3">
      <c r="A2786" s="1" t="s">
        <v>13963</v>
      </c>
      <c r="B2786" s="1" t="s">
        <v>137</v>
      </c>
      <c r="E2786" s="1" t="s">
        <v>13964</v>
      </c>
      <c r="F2786" s="1" t="s">
        <v>95</v>
      </c>
      <c r="G2786" s="1" t="s">
        <v>13965</v>
      </c>
      <c r="H2786" s="1">
        <v>0</v>
      </c>
      <c r="I2786" s="1" t="s">
        <v>117</v>
      </c>
      <c r="L2786" s="1" t="s">
        <v>417</v>
      </c>
      <c r="M2786" s="1" t="s">
        <v>111</v>
      </c>
      <c r="N2786" s="1">
        <v>0</v>
      </c>
      <c r="O2786" s="1">
        <v>0</v>
      </c>
      <c r="P2786" s="1" t="s">
        <v>183</v>
      </c>
      <c r="Q2786" s="1" t="s">
        <v>184</v>
      </c>
      <c r="R2786" s="1" t="s">
        <v>13966</v>
      </c>
      <c r="S2786" s="1" t="s">
        <v>13742</v>
      </c>
      <c r="T2786" s="1">
        <v>1</v>
      </c>
      <c r="U2786" s="1">
        <v>0</v>
      </c>
      <c r="V2786" s="1">
        <v>1</v>
      </c>
      <c r="W2786" s="1">
        <v>0</v>
      </c>
      <c r="X2786" s="1">
        <v>0</v>
      </c>
      <c r="Y2786" s="1">
        <v>3</v>
      </c>
      <c r="Z2786" s="1">
        <v>3</v>
      </c>
      <c r="AA2786" s="1">
        <v>3</v>
      </c>
      <c r="AB2786" s="1">
        <v>3</v>
      </c>
      <c r="AC2786" s="1" t="s">
        <v>104</v>
      </c>
      <c r="AD2786" s="1" t="s">
        <v>104</v>
      </c>
      <c r="AE2786" s="1" t="s">
        <v>104</v>
      </c>
      <c r="AF2786" s="1" t="s">
        <v>104</v>
      </c>
      <c r="AG2786" s="1" t="s">
        <v>104</v>
      </c>
      <c r="AH2786" s="1">
        <v>3</v>
      </c>
      <c r="AI2786" s="1">
        <v>3</v>
      </c>
      <c r="AJ2786" s="1">
        <v>3</v>
      </c>
      <c r="AK2786" s="1" t="s">
        <v>104</v>
      </c>
      <c r="AL2786" s="1">
        <v>3</v>
      </c>
      <c r="AM2786" s="1" t="s">
        <v>104</v>
      </c>
      <c r="AO2786" s="1">
        <v>3</v>
      </c>
      <c r="AR2786" s="1">
        <v>0</v>
      </c>
      <c r="AS2786" s="1">
        <v>0</v>
      </c>
      <c r="AT2786" s="1">
        <v>0</v>
      </c>
      <c r="AU2786" s="1">
        <v>0</v>
      </c>
      <c r="AV2786" s="1">
        <v>0</v>
      </c>
      <c r="AW2786" s="1">
        <v>0</v>
      </c>
      <c r="AX2786" s="1">
        <v>0</v>
      </c>
      <c r="AY2786" s="1">
        <v>0</v>
      </c>
      <c r="AZ2786" s="1">
        <v>0</v>
      </c>
      <c r="BA2786" s="1">
        <v>0</v>
      </c>
      <c r="BB2786" s="1">
        <v>0</v>
      </c>
      <c r="BC2786" s="1">
        <v>0</v>
      </c>
      <c r="BD2786" s="1">
        <v>0</v>
      </c>
      <c r="BE2786" s="1">
        <v>0</v>
      </c>
      <c r="BF2786" s="1">
        <v>0</v>
      </c>
      <c r="BG2786" s="1">
        <v>0</v>
      </c>
      <c r="BH2786" s="1">
        <v>0</v>
      </c>
      <c r="BI2786" s="1">
        <v>0</v>
      </c>
      <c r="BJ2786" s="1">
        <v>0</v>
      </c>
      <c r="BK2786" s="1">
        <v>0</v>
      </c>
      <c r="BL2786" s="1">
        <v>0</v>
      </c>
      <c r="BM2786" s="1">
        <v>0</v>
      </c>
      <c r="BN2786" s="1">
        <v>0</v>
      </c>
      <c r="BO2786" s="1">
        <v>0</v>
      </c>
      <c r="BP2786" s="1">
        <v>0</v>
      </c>
      <c r="BQ2786" s="1" t="s">
        <v>104</v>
      </c>
      <c r="BR2786" s="1">
        <v>4913</v>
      </c>
      <c r="BS2786" s="1" t="s">
        <v>104</v>
      </c>
      <c r="BX2786" s="1">
        <v>0</v>
      </c>
      <c r="BY2786" s="1">
        <v>2</v>
      </c>
      <c r="BZ2786" s="1" t="s">
        <v>104</v>
      </c>
      <c r="CA2786" s="1" t="s">
        <v>104</v>
      </c>
      <c r="CB2786" s="1" t="s">
        <v>104</v>
      </c>
      <c r="CC2786" s="1" t="s">
        <v>104</v>
      </c>
      <c r="CD2786" s="1" t="s">
        <v>104</v>
      </c>
      <c r="CE2786" s="1" t="s">
        <v>104</v>
      </c>
      <c r="CF2786" s="1" t="s">
        <v>104</v>
      </c>
      <c r="CG2786" s="1" t="s">
        <v>104</v>
      </c>
      <c r="CH2786" s="1">
        <v>3</v>
      </c>
      <c r="CJ2786" s="1">
        <v>0</v>
      </c>
      <c r="CK2786" s="1">
        <v>0</v>
      </c>
      <c r="CL2786" s="1">
        <v>0</v>
      </c>
      <c r="CM2786" s="1" t="s">
        <v>104</v>
      </c>
    </row>
    <row r="2787" spans="1:91" ht="14.25" customHeight="1" x14ac:dyDescent="0.3">
      <c r="A2787" s="1" t="s">
        <v>13967</v>
      </c>
      <c r="B2787" s="1" t="s">
        <v>137</v>
      </c>
      <c r="E2787" s="1" t="s">
        <v>13968</v>
      </c>
      <c r="F2787" s="1" t="s">
        <v>95</v>
      </c>
      <c r="G2787" s="1" t="s">
        <v>1802</v>
      </c>
      <c r="H2787" s="1">
        <v>0</v>
      </c>
      <c r="I2787" s="1" t="s">
        <v>117</v>
      </c>
      <c r="L2787" s="1" t="s">
        <v>1065</v>
      </c>
      <c r="M2787" s="1" t="s">
        <v>119</v>
      </c>
      <c r="N2787" s="1">
        <v>0</v>
      </c>
      <c r="O2787" s="1">
        <v>0</v>
      </c>
      <c r="P2787" s="1" t="s">
        <v>183</v>
      </c>
      <c r="Q2787" s="1" t="s">
        <v>101</v>
      </c>
      <c r="R2787" s="1" t="s">
        <v>13969</v>
      </c>
      <c r="S2787" s="1" t="s">
        <v>13742</v>
      </c>
      <c r="T2787" s="1">
        <v>0</v>
      </c>
      <c r="U2787" s="1">
        <v>1</v>
      </c>
      <c r="V2787" s="1">
        <v>0</v>
      </c>
      <c r="W2787" s="1">
        <v>0</v>
      </c>
      <c r="X2787" s="1">
        <v>0</v>
      </c>
      <c r="Y2787" s="1">
        <v>4</v>
      </c>
      <c r="Z2787" s="1">
        <v>4</v>
      </c>
      <c r="AA2787" s="1">
        <v>4</v>
      </c>
      <c r="AB2787" s="1">
        <v>4</v>
      </c>
      <c r="AC2787" s="1" t="s">
        <v>104</v>
      </c>
      <c r="AD2787" s="1" t="s">
        <v>104</v>
      </c>
      <c r="AE2787" s="1" t="s">
        <v>104</v>
      </c>
      <c r="AF2787" s="1">
        <v>4</v>
      </c>
      <c r="AG2787" s="1" t="s">
        <v>104</v>
      </c>
      <c r="AH2787" s="1">
        <v>4</v>
      </c>
      <c r="AI2787" s="1" t="s">
        <v>104</v>
      </c>
      <c r="AJ2787" s="1">
        <v>4</v>
      </c>
      <c r="AK2787" s="1" t="s">
        <v>104</v>
      </c>
      <c r="AL2787" s="1" t="s">
        <v>104</v>
      </c>
      <c r="AM2787" s="1" t="s">
        <v>104</v>
      </c>
      <c r="AO2787" s="1">
        <v>4</v>
      </c>
      <c r="AR2787" s="1">
        <v>0</v>
      </c>
      <c r="AS2787" s="1">
        <v>0</v>
      </c>
      <c r="AT2787" s="1">
        <v>0</v>
      </c>
      <c r="AU2787" s="1">
        <v>0</v>
      </c>
      <c r="AV2787" s="1">
        <v>0</v>
      </c>
      <c r="AW2787" s="1">
        <v>0</v>
      </c>
      <c r="AX2787" s="1">
        <v>0</v>
      </c>
      <c r="AY2787" s="1">
        <v>0</v>
      </c>
      <c r="AZ2787" s="1">
        <v>0</v>
      </c>
      <c r="BA2787" s="1">
        <v>0</v>
      </c>
      <c r="BB2787" s="1">
        <v>0</v>
      </c>
      <c r="BC2787" s="1">
        <v>0</v>
      </c>
      <c r="BD2787" s="1">
        <v>0</v>
      </c>
      <c r="BE2787" s="1">
        <v>0</v>
      </c>
      <c r="BF2787" s="1">
        <v>0</v>
      </c>
      <c r="BG2787" s="1">
        <v>0</v>
      </c>
      <c r="BH2787" s="1">
        <v>0</v>
      </c>
      <c r="BI2787" s="1">
        <v>0</v>
      </c>
      <c r="BJ2787" s="1">
        <v>0</v>
      </c>
      <c r="BK2787" s="1">
        <v>0</v>
      </c>
      <c r="BL2787" s="1">
        <v>0</v>
      </c>
      <c r="BM2787" s="1">
        <v>0</v>
      </c>
      <c r="BN2787" s="1">
        <v>0</v>
      </c>
      <c r="BO2787" s="1">
        <v>0</v>
      </c>
      <c r="BP2787" s="1">
        <v>0</v>
      </c>
      <c r="BQ2787" s="1" t="s">
        <v>104</v>
      </c>
      <c r="BR2787" s="1">
        <v>4914</v>
      </c>
      <c r="BS2787" s="1" t="s">
        <v>104</v>
      </c>
      <c r="BX2787" s="1">
        <v>0</v>
      </c>
      <c r="BY2787" s="1" t="s">
        <v>104</v>
      </c>
      <c r="BZ2787" s="1" t="s">
        <v>104</v>
      </c>
      <c r="CA2787" s="1" t="s">
        <v>104</v>
      </c>
      <c r="CB2787" s="1" t="s">
        <v>104</v>
      </c>
      <c r="CC2787" s="1" t="s">
        <v>104</v>
      </c>
      <c r="CD2787" s="1" t="s">
        <v>104</v>
      </c>
      <c r="CE2787" s="1" t="s">
        <v>104</v>
      </c>
      <c r="CF2787" s="1" t="s">
        <v>104</v>
      </c>
      <c r="CG2787" s="1" t="s">
        <v>104</v>
      </c>
      <c r="CH2787" s="1">
        <v>4</v>
      </c>
      <c r="CJ2787" s="1">
        <v>0</v>
      </c>
      <c r="CK2787" s="1">
        <v>0</v>
      </c>
      <c r="CL2787" s="1">
        <v>0</v>
      </c>
      <c r="CM2787" s="1" t="s">
        <v>104</v>
      </c>
    </row>
    <row r="2788" spans="1:91" ht="14.25" customHeight="1" x14ac:dyDescent="0.3">
      <c r="A2788" s="1" t="s">
        <v>13970</v>
      </c>
      <c r="B2788" s="1" t="s">
        <v>137</v>
      </c>
      <c r="D2788" s="1" t="s">
        <v>11441</v>
      </c>
      <c r="E2788" s="1" t="s">
        <v>13971</v>
      </c>
      <c r="F2788" s="1" t="s">
        <v>95</v>
      </c>
      <c r="G2788" s="1" t="s">
        <v>5322</v>
      </c>
      <c r="H2788" s="1">
        <v>0</v>
      </c>
      <c r="I2788" s="1" t="s">
        <v>128</v>
      </c>
      <c r="L2788" s="1" t="s">
        <v>13972</v>
      </c>
      <c r="M2788" s="1" t="s">
        <v>13973</v>
      </c>
      <c r="N2788" s="1">
        <v>0</v>
      </c>
      <c r="O2788" s="1">
        <v>0</v>
      </c>
      <c r="P2788" s="1" t="s">
        <v>211</v>
      </c>
      <c r="Q2788" s="1" t="s">
        <v>184</v>
      </c>
      <c r="R2788" s="1" t="s">
        <v>13974</v>
      </c>
      <c r="S2788" s="1" t="s">
        <v>13742</v>
      </c>
      <c r="T2788" s="1">
        <v>1</v>
      </c>
      <c r="U2788" s="1">
        <v>1</v>
      </c>
      <c r="V2788" s="1">
        <v>1</v>
      </c>
      <c r="W2788" s="1">
        <v>0</v>
      </c>
      <c r="X2788" s="1">
        <v>0</v>
      </c>
      <c r="Y2788" s="1">
        <v>2</v>
      </c>
      <c r="Z2788" s="1">
        <v>2</v>
      </c>
      <c r="AA2788" s="1" t="s">
        <v>104</v>
      </c>
      <c r="AB2788" s="1" t="s">
        <v>104</v>
      </c>
      <c r="AC2788" s="1" t="s">
        <v>104</v>
      </c>
      <c r="AD2788" s="1" t="s">
        <v>104</v>
      </c>
      <c r="AE2788" s="1" t="s">
        <v>104</v>
      </c>
      <c r="AF2788" s="1" t="s">
        <v>104</v>
      </c>
      <c r="AG2788" s="1" t="s">
        <v>104</v>
      </c>
      <c r="AH2788" s="1">
        <v>2</v>
      </c>
      <c r="AI2788" s="1">
        <v>2</v>
      </c>
      <c r="AJ2788" s="1" t="s">
        <v>104</v>
      </c>
      <c r="AK2788" s="1" t="s">
        <v>104</v>
      </c>
      <c r="AL2788" s="1" t="s">
        <v>104</v>
      </c>
      <c r="AM2788" s="1" t="s">
        <v>104</v>
      </c>
      <c r="AO2788" s="1">
        <v>2</v>
      </c>
      <c r="AR2788" s="1">
        <v>0</v>
      </c>
      <c r="AS2788" s="1">
        <v>0</v>
      </c>
      <c r="AT2788" s="1">
        <v>0</v>
      </c>
      <c r="AU2788" s="1">
        <v>0</v>
      </c>
      <c r="AV2788" s="1">
        <v>1</v>
      </c>
      <c r="AW2788" s="1">
        <v>0</v>
      </c>
      <c r="AX2788" s="1">
        <v>0</v>
      </c>
      <c r="AY2788" s="1">
        <v>0</v>
      </c>
      <c r="AZ2788" s="1">
        <v>0</v>
      </c>
      <c r="BA2788" s="1">
        <v>0</v>
      </c>
      <c r="BB2788" s="1">
        <v>0</v>
      </c>
      <c r="BC2788" s="1">
        <v>0</v>
      </c>
      <c r="BD2788" s="1">
        <v>0</v>
      </c>
      <c r="BE2788" s="1">
        <v>0</v>
      </c>
      <c r="BF2788" s="1">
        <v>0</v>
      </c>
      <c r="BG2788" s="1">
        <v>0</v>
      </c>
      <c r="BH2788" s="1">
        <v>0</v>
      </c>
      <c r="BI2788" s="1">
        <v>0</v>
      </c>
      <c r="BJ2788" s="1">
        <v>0</v>
      </c>
      <c r="BK2788" s="1">
        <v>0</v>
      </c>
      <c r="BL2788" s="1">
        <v>0</v>
      </c>
      <c r="BM2788" s="1">
        <v>0</v>
      </c>
      <c r="BN2788" s="1">
        <v>0</v>
      </c>
      <c r="BO2788" s="1">
        <v>0</v>
      </c>
      <c r="BP2788" s="1">
        <v>0</v>
      </c>
      <c r="BQ2788" s="1" t="s">
        <v>104</v>
      </c>
      <c r="BR2788" s="1">
        <v>4915</v>
      </c>
      <c r="BS2788" s="1" t="s">
        <v>104</v>
      </c>
      <c r="BX2788" s="1">
        <v>0</v>
      </c>
      <c r="BY2788" s="1">
        <v>2</v>
      </c>
      <c r="BZ2788" s="1" t="s">
        <v>104</v>
      </c>
      <c r="CA2788" s="1" t="s">
        <v>104</v>
      </c>
      <c r="CB2788" s="1" t="s">
        <v>104</v>
      </c>
      <c r="CC2788" s="1" t="s">
        <v>104</v>
      </c>
      <c r="CD2788" s="1" t="s">
        <v>104</v>
      </c>
      <c r="CE2788" s="1" t="s">
        <v>104</v>
      </c>
      <c r="CF2788" s="1" t="s">
        <v>104</v>
      </c>
      <c r="CG2788" s="1" t="s">
        <v>104</v>
      </c>
      <c r="CH2788" s="1" t="s">
        <v>104</v>
      </c>
      <c r="CJ2788" s="1">
        <v>0</v>
      </c>
      <c r="CK2788" s="1">
        <v>0</v>
      </c>
      <c r="CL2788" s="1">
        <v>0</v>
      </c>
      <c r="CM2788" s="1" t="s">
        <v>104</v>
      </c>
    </row>
    <row r="2789" spans="1:91" ht="14.25" customHeight="1" x14ac:dyDescent="0.3">
      <c r="A2789" s="1" t="s">
        <v>13975</v>
      </c>
      <c r="B2789" s="1" t="s">
        <v>507</v>
      </c>
      <c r="C2789" s="1" t="s">
        <v>1308</v>
      </c>
      <c r="D2789" s="1" t="s">
        <v>125</v>
      </c>
      <c r="E2789" s="1" t="s">
        <v>13976</v>
      </c>
      <c r="F2789" s="1" t="s">
        <v>95</v>
      </c>
      <c r="G2789" s="1" t="s">
        <v>13977</v>
      </c>
      <c r="H2789" s="1">
        <v>0</v>
      </c>
      <c r="I2789" s="1" t="s">
        <v>109</v>
      </c>
      <c r="L2789" s="1" t="s">
        <v>417</v>
      </c>
      <c r="M2789" s="1" t="s">
        <v>201</v>
      </c>
      <c r="N2789" s="1">
        <v>0</v>
      </c>
      <c r="O2789" s="1">
        <v>0</v>
      </c>
      <c r="P2789" s="1" t="s">
        <v>211</v>
      </c>
      <c r="Q2789" s="1" t="s">
        <v>184</v>
      </c>
      <c r="R2789" s="1" t="s">
        <v>13978</v>
      </c>
      <c r="S2789" s="1" t="s">
        <v>13742</v>
      </c>
      <c r="T2789" s="1">
        <v>1</v>
      </c>
      <c r="U2789" s="1">
        <v>1</v>
      </c>
      <c r="V2789" s="1">
        <v>0</v>
      </c>
      <c r="W2789" s="1">
        <v>0</v>
      </c>
      <c r="X2789" s="1">
        <v>0</v>
      </c>
      <c r="Y2789" s="1">
        <v>1</v>
      </c>
      <c r="Z2789" s="1">
        <v>1</v>
      </c>
      <c r="AA2789" s="1">
        <v>1</v>
      </c>
      <c r="AB2789" s="1" t="s">
        <v>104</v>
      </c>
      <c r="AC2789" s="1" t="s">
        <v>104</v>
      </c>
      <c r="AD2789" s="1">
        <v>1</v>
      </c>
      <c r="AE2789" s="1" t="s">
        <v>104</v>
      </c>
      <c r="AF2789" s="1" t="s">
        <v>104</v>
      </c>
      <c r="AG2789" s="1" t="s">
        <v>104</v>
      </c>
      <c r="AH2789" s="1" t="s">
        <v>104</v>
      </c>
      <c r="AI2789" s="1" t="s">
        <v>104</v>
      </c>
      <c r="AJ2789" s="1">
        <v>1</v>
      </c>
      <c r="AK2789" s="1" t="s">
        <v>104</v>
      </c>
      <c r="AL2789" s="1" t="s">
        <v>104</v>
      </c>
      <c r="AM2789" s="1" t="s">
        <v>104</v>
      </c>
      <c r="AO2789" s="1">
        <v>1</v>
      </c>
      <c r="AR2789" s="1">
        <v>0</v>
      </c>
      <c r="AS2789" s="1">
        <v>0</v>
      </c>
      <c r="AT2789" s="1">
        <v>0</v>
      </c>
      <c r="AU2789" s="1">
        <v>0</v>
      </c>
      <c r="AV2789" s="1">
        <v>0</v>
      </c>
      <c r="AW2789" s="1">
        <v>0</v>
      </c>
      <c r="AX2789" s="1">
        <v>0</v>
      </c>
      <c r="AY2789" s="1">
        <v>0</v>
      </c>
      <c r="AZ2789" s="1">
        <v>0</v>
      </c>
      <c r="BA2789" s="1">
        <v>0</v>
      </c>
      <c r="BB2789" s="1">
        <v>0</v>
      </c>
      <c r="BC2789" s="1">
        <v>0</v>
      </c>
      <c r="BD2789" s="1">
        <v>0</v>
      </c>
      <c r="BE2789" s="1">
        <v>0</v>
      </c>
      <c r="BF2789" s="1">
        <v>0</v>
      </c>
      <c r="BG2789" s="1">
        <v>0</v>
      </c>
      <c r="BH2789" s="1">
        <v>0</v>
      </c>
      <c r="BI2789" s="1">
        <v>0</v>
      </c>
      <c r="BJ2789" s="1">
        <v>0</v>
      </c>
      <c r="BK2789" s="1">
        <v>1</v>
      </c>
      <c r="BL2789" s="1">
        <v>0</v>
      </c>
      <c r="BM2789" s="1">
        <v>0</v>
      </c>
      <c r="BN2789" s="1">
        <v>0</v>
      </c>
      <c r="BO2789" s="1">
        <v>0</v>
      </c>
      <c r="BP2789" s="1">
        <v>0</v>
      </c>
      <c r="BQ2789" s="1" t="s">
        <v>104</v>
      </c>
      <c r="BR2789" s="1">
        <v>4916</v>
      </c>
      <c r="BS2789" s="1" t="s">
        <v>104</v>
      </c>
      <c r="BX2789" s="1">
        <v>0</v>
      </c>
      <c r="BY2789" s="1" t="s">
        <v>104</v>
      </c>
      <c r="BZ2789" s="1" t="s">
        <v>104</v>
      </c>
      <c r="CA2789" s="1">
        <v>1</v>
      </c>
      <c r="CB2789" s="1" t="s">
        <v>104</v>
      </c>
      <c r="CC2789" s="1">
        <v>1</v>
      </c>
      <c r="CD2789" s="1">
        <v>1</v>
      </c>
      <c r="CE2789" s="1" t="s">
        <v>104</v>
      </c>
      <c r="CF2789" s="1" t="s">
        <v>104</v>
      </c>
      <c r="CG2789" s="1" t="s">
        <v>104</v>
      </c>
      <c r="CH2789" s="1" t="s">
        <v>104</v>
      </c>
      <c r="CJ2789" s="1">
        <v>0</v>
      </c>
      <c r="CK2789" s="1">
        <v>0</v>
      </c>
      <c r="CL2789" s="1">
        <v>0</v>
      </c>
      <c r="CM2789" s="1" t="s">
        <v>104</v>
      </c>
    </row>
    <row r="2790" spans="1:91" ht="14.25" customHeight="1" x14ac:dyDescent="0.3">
      <c r="A2790" s="1" t="s">
        <v>13979</v>
      </c>
      <c r="B2790" s="1" t="s">
        <v>172</v>
      </c>
      <c r="E2790" s="1" t="s">
        <v>13980</v>
      </c>
      <c r="F2790" s="1" t="s">
        <v>273</v>
      </c>
      <c r="G2790" s="1" t="s">
        <v>13981</v>
      </c>
      <c r="H2790" s="1">
        <v>1</v>
      </c>
      <c r="I2790" s="1" t="s">
        <v>157</v>
      </c>
      <c r="L2790" s="1" t="s">
        <v>158</v>
      </c>
      <c r="M2790" s="1" t="s">
        <v>13982</v>
      </c>
      <c r="N2790" s="1">
        <v>0</v>
      </c>
      <c r="O2790" s="1">
        <v>0</v>
      </c>
      <c r="P2790" s="1" t="s">
        <v>375</v>
      </c>
      <c r="Q2790" s="1" t="s">
        <v>9311</v>
      </c>
      <c r="R2790" s="1" t="s">
        <v>13983</v>
      </c>
      <c r="S2790" s="1" t="s">
        <v>13742</v>
      </c>
      <c r="T2790" s="1">
        <v>1</v>
      </c>
      <c r="U2790" s="1">
        <v>1</v>
      </c>
      <c r="V2790" s="1">
        <v>1</v>
      </c>
      <c r="W2790" s="1">
        <v>0</v>
      </c>
      <c r="X2790" s="1">
        <v>0</v>
      </c>
      <c r="Y2790" s="1">
        <v>6</v>
      </c>
      <c r="Z2790" s="1">
        <v>6</v>
      </c>
      <c r="AA2790" s="1">
        <v>6</v>
      </c>
      <c r="AB2790" s="1" t="s">
        <v>104</v>
      </c>
      <c r="AC2790" s="1" t="s">
        <v>104</v>
      </c>
      <c r="AD2790" s="1">
        <v>6</v>
      </c>
      <c r="AE2790" s="1" t="s">
        <v>104</v>
      </c>
      <c r="AF2790" s="1" t="s">
        <v>104</v>
      </c>
      <c r="AG2790" s="1" t="s">
        <v>104</v>
      </c>
      <c r="AH2790" s="1">
        <v>6</v>
      </c>
      <c r="AI2790" s="1">
        <v>6</v>
      </c>
      <c r="AJ2790" s="1">
        <v>6</v>
      </c>
      <c r="AK2790" s="1" t="s">
        <v>104</v>
      </c>
      <c r="AL2790" s="1" t="s">
        <v>104</v>
      </c>
      <c r="AM2790" s="1" t="s">
        <v>104</v>
      </c>
      <c r="AO2790" s="1">
        <v>6</v>
      </c>
      <c r="AR2790" s="1">
        <v>0</v>
      </c>
      <c r="AS2790" s="1">
        <v>0</v>
      </c>
      <c r="AT2790" s="1">
        <v>0</v>
      </c>
      <c r="AU2790" s="1">
        <v>0</v>
      </c>
      <c r="AV2790" s="1">
        <v>0</v>
      </c>
      <c r="AW2790" s="1">
        <v>0</v>
      </c>
      <c r="AX2790" s="1">
        <v>0</v>
      </c>
      <c r="AY2790" s="1">
        <v>0</v>
      </c>
      <c r="AZ2790" s="1">
        <v>0</v>
      </c>
      <c r="BA2790" s="1">
        <v>0</v>
      </c>
      <c r="BB2790" s="1">
        <v>0</v>
      </c>
      <c r="BC2790" s="1">
        <v>0</v>
      </c>
      <c r="BD2790" s="1">
        <v>0</v>
      </c>
      <c r="BE2790" s="1">
        <v>0</v>
      </c>
      <c r="BF2790" s="1">
        <v>0</v>
      </c>
      <c r="BG2790" s="1">
        <v>0</v>
      </c>
      <c r="BH2790" s="1">
        <v>0</v>
      </c>
      <c r="BI2790" s="1">
        <v>0</v>
      </c>
      <c r="BJ2790" s="1">
        <v>0</v>
      </c>
      <c r="BK2790" s="1">
        <v>0</v>
      </c>
      <c r="BL2790" s="1">
        <v>0</v>
      </c>
      <c r="BM2790" s="1">
        <v>0</v>
      </c>
      <c r="BN2790" s="1">
        <v>0</v>
      </c>
      <c r="BO2790" s="1">
        <v>0</v>
      </c>
      <c r="BP2790" s="1">
        <v>0</v>
      </c>
      <c r="BQ2790" s="1" t="s">
        <v>104</v>
      </c>
      <c r="BR2790" s="1">
        <v>4917</v>
      </c>
      <c r="BS2790" s="1">
        <v>1500</v>
      </c>
      <c r="BX2790" s="1">
        <v>0</v>
      </c>
      <c r="BY2790" s="1" t="s">
        <v>104</v>
      </c>
      <c r="BZ2790" s="1" t="s">
        <v>104</v>
      </c>
      <c r="CA2790" s="1">
        <v>6</v>
      </c>
      <c r="CB2790" s="1" t="s">
        <v>104</v>
      </c>
      <c r="CC2790" s="1" t="s">
        <v>104</v>
      </c>
      <c r="CD2790" s="1" t="s">
        <v>104</v>
      </c>
      <c r="CE2790" s="1" t="s">
        <v>104</v>
      </c>
      <c r="CF2790" s="1" t="s">
        <v>104</v>
      </c>
      <c r="CG2790" s="1" t="s">
        <v>104</v>
      </c>
      <c r="CH2790" s="1" t="s">
        <v>104</v>
      </c>
      <c r="CJ2790" s="1">
        <v>0</v>
      </c>
      <c r="CK2790" s="1">
        <v>0</v>
      </c>
      <c r="CL2790" s="1">
        <v>0</v>
      </c>
      <c r="CM2790" s="1" t="s">
        <v>104</v>
      </c>
    </row>
    <row r="2791" spans="1:91" ht="14.25" customHeight="1" x14ac:dyDescent="0.3">
      <c r="A2791" s="1" t="s">
        <v>13984</v>
      </c>
      <c r="B2791" s="1" t="s">
        <v>137</v>
      </c>
      <c r="D2791" s="1" t="s">
        <v>51</v>
      </c>
      <c r="E2791" s="1" t="s">
        <v>8562</v>
      </c>
      <c r="F2791" s="1" t="s">
        <v>255</v>
      </c>
      <c r="G2791" s="1" t="s">
        <v>127</v>
      </c>
      <c r="H2791" s="1">
        <v>0</v>
      </c>
      <c r="I2791" s="1" t="s">
        <v>117</v>
      </c>
      <c r="K2791" s="1" t="s">
        <v>13985</v>
      </c>
      <c r="M2791" s="1" t="s">
        <v>111</v>
      </c>
      <c r="N2791" s="1">
        <v>0</v>
      </c>
      <c r="O2791" s="1">
        <v>0</v>
      </c>
      <c r="P2791" s="1" t="s">
        <v>1605</v>
      </c>
      <c r="Q2791" s="1" t="s">
        <v>184</v>
      </c>
      <c r="R2791" s="1" t="s">
        <v>13986</v>
      </c>
      <c r="S2791" s="1" t="s">
        <v>13742</v>
      </c>
      <c r="T2791" s="1">
        <v>1</v>
      </c>
      <c r="U2791" s="1">
        <v>1</v>
      </c>
      <c r="V2791" s="1">
        <v>0</v>
      </c>
      <c r="W2791" s="1">
        <v>0</v>
      </c>
      <c r="X2791" s="1">
        <v>1</v>
      </c>
      <c r="Y2791" s="1">
        <v>5</v>
      </c>
      <c r="Z2791" s="1">
        <v>5</v>
      </c>
      <c r="AA2791" s="1">
        <v>5</v>
      </c>
      <c r="AB2791" s="1">
        <v>5</v>
      </c>
      <c r="AC2791" s="1" t="s">
        <v>104</v>
      </c>
      <c r="AD2791" s="1" t="s">
        <v>104</v>
      </c>
      <c r="AE2791" s="1" t="s">
        <v>104</v>
      </c>
      <c r="AF2791" s="1" t="s">
        <v>104</v>
      </c>
      <c r="AG2791" s="1" t="s">
        <v>104</v>
      </c>
      <c r="AH2791" s="1">
        <v>5</v>
      </c>
      <c r="AI2791" s="1" t="s">
        <v>104</v>
      </c>
      <c r="AJ2791" s="1">
        <v>5</v>
      </c>
      <c r="AK2791" s="1" t="s">
        <v>104</v>
      </c>
      <c r="AL2791" s="1" t="s">
        <v>104</v>
      </c>
      <c r="AM2791" s="1" t="s">
        <v>104</v>
      </c>
      <c r="AO2791" s="1">
        <v>5</v>
      </c>
      <c r="AR2791" s="1">
        <v>0</v>
      </c>
      <c r="AS2791" s="1">
        <v>0</v>
      </c>
      <c r="AT2791" s="1">
        <v>0</v>
      </c>
      <c r="AU2791" s="1">
        <v>0</v>
      </c>
      <c r="AV2791" s="1">
        <v>0</v>
      </c>
      <c r="AW2791" s="1">
        <v>0</v>
      </c>
      <c r="AX2791" s="1">
        <v>0</v>
      </c>
      <c r="AY2791" s="1">
        <v>0</v>
      </c>
      <c r="AZ2791" s="1">
        <v>1</v>
      </c>
      <c r="BA2791" s="1">
        <v>0</v>
      </c>
      <c r="BB2791" s="1">
        <v>0</v>
      </c>
      <c r="BC2791" s="1">
        <v>0</v>
      </c>
      <c r="BD2791" s="1">
        <v>0</v>
      </c>
      <c r="BE2791" s="1">
        <v>0</v>
      </c>
      <c r="BF2791" s="1">
        <v>0</v>
      </c>
      <c r="BG2791" s="1">
        <v>0</v>
      </c>
      <c r="BH2791" s="1">
        <v>0</v>
      </c>
      <c r="BI2791" s="1">
        <v>0</v>
      </c>
      <c r="BJ2791" s="1">
        <v>0</v>
      </c>
      <c r="BK2791" s="1">
        <v>0</v>
      </c>
      <c r="BL2791" s="1">
        <v>0</v>
      </c>
      <c r="BM2791" s="1">
        <v>0</v>
      </c>
      <c r="BN2791" s="1">
        <v>0</v>
      </c>
      <c r="BO2791" s="1">
        <v>0</v>
      </c>
      <c r="BP2791" s="1">
        <v>0</v>
      </c>
      <c r="BQ2791" s="1" t="s">
        <v>104</v>
      </c>
      <c r="BR2791" s="1">
        <v>4918</v>
      </c>
      <c r="BS2791" s="1" t="s">
        <v>104</v>
      </c>
      <c r="BX2791" s="1">
        <v>0</v>
      </c>
      <c r="BY2791" s="1" t="s">
        <v>104</v>
      </c>
      <c r="BZ2791" s="1" t="s">
        <v>104</v>
      </c>
      <c r="CA2791" s="1" t="s">
        <v>104</v>
      </c>
      <c r="CB2791" s="1" t="s">
        <v>104</v>
      </c>
      <c r="CC2791" s="1" t="s">
        <v>104</v>
      </c>
      <c r="CD2791" s="1" t="s">
        <v>104</v>
      </c>
      <c r="CE2791" s="1" t="s">
        <v>104</v>
      </c>
      <c r="CF2791" s="1" t="s">
        <v>104</v>
      </c>
      <c r="CG2791" s="1" t="s">
        <v>104</v>
      </c>
      <c r="CH2791" s="1">
        <v>5</v>
      </c>
      <c r="CJ2791" s="1">
        <v>0</v>
      </c>
      <c r="CK2791" s="1">
        <v>0</v>
      </c>
      <c r="CL2791" s="1">
        <v>0</v>
      </c>
      <c r="CM2791" s="1" t="s">
        <v>104</v>
      </c>
    </row>
    <row r="2792" spans="1:91" ht="14.25" customHeight="1" x14ac:dyDescent="0.3">
      <c r="A2792" s="1" t="s">
        <v>13987</v>
      </c>
      <c r="B2792" s="1" t="s">
        <v>92</v>
      </c>
      <c r="C2792" s="1" t="s">
        <v>93</v>
      </c>
      <c r="E2792" s="1" t="s">
        <v>13988</v>
      </c>
      <c r="F2792" s="1" t="s">
        <v>95</v>
      </c>
      <c r="G2792" s="1" t="s">
        <v>116</v>
      </c>
      <c r="H2792" s="1">
        <v>0</v>
      </c>
      <c r="I2792" s="1" t="s">
        <v>128</v>
      </c>
      <c r="K2792" s="1" t="s">
        <v>13989</v>
      </c>
      <c r="M2792" s="1" t="s">
        <v>119</v>
      </c>
      <c r="N2792" s="1">
        <v>0</v>
      </c>
      <c r="O2792" s="1">
        <v>0</v>
      </c>
      <c r="P2792" s="1" t="s">
        <v>100</v>
      </c>
      <c r="Q2792" s="1" t="s">
        <v>101</v>
      </c>
      <c r="R2792" s="1" t="s">
        <v>13990</v>
      </c>
      <c r="S2792" s="1" t="s">
        <v>13742</v>
      </c>
      <c r="T2792" s="1">
        <v>1</v>
      </c>
      <c r="U2792" s="1">
        <v>1</v>
      </c>
      <c r="V2792" s="1">
        <v>0</v>
      </c>
      <c r="W2792" s="1">
        <v>0</v>
      </c>
      <c r="X2792" s="1">
        <v>0</v>
      </c>
      <c r="Y2792" s="1">
        <v>1</v>
      </c>
      <c r="Z2792" s="1">
        <v>1</v>
      </c>
      <c r="AA2792" s="1">
        <v>1</v>
      </c>
      <c r="AB2792" s="1" t="s">
        <v>104</v>
      </c>
      <c r="AC2792" s="1" t="s">
        <v>104</v>
      </c>
      <c r="AD2792" s="1">
        <v>1</v>
      </c>
      <c r="AE2792" s="1" t="s">
        <v>104</v>
      </c>
      <c r="AF2792" s="1" t="s">
        <v>104</v>
      </c>
      <c r="AG2792" s="1">
        <v>1</v>
      </c>
      <c r="AH2792" s="1">
        <v>1</v>
      </c>
      <c r="AI2792" s="1">
        <v>1</v>
      </c>
      <c r="AJ2792" s="1">
        <v>1</v>
      </c>
      <c r="AK2792" s="1" t="s">
        <v>104</v>
      </c>
      <c r="AL2792" s="1" t="s">
        <v>104</v>
      </c>
      <c r="AM2792" s="1" t="s">
        <v>104</v>
      </c>
      <c r="AO2792" s="1">
        <v>1</v>
      </c>
      <c r="AR2792" s="1">
        <v>0</v>
      </c>
      <c r="AS2792" s="1">
        <v>0</v>
      </c>
      <c r="AT2792" s="1">
        <v>0</v>
      </c>
      <c r="AU2792" s="1">
        <v>0</v>
      </c>
      <c r="AV2792" s="1">
        <v>0</v>
      </c>
      <c r="AW2792" s="1">
        <v>0</v>
      </c>
      <c r="AX2792" s="1">
        <v>0</v>
      </c>
      <c r="AY2792" s="1">
        <v>0</v>
      </c>
      <c r="AZ2792" s="1">
        <v>0</v>
      </c>
      <c r="BA2792" s="1">
        <v>0</v>
      </c>
      <c r="BB2792" s="1">
        <v>0</v>
      </c>
      <c r="BC2792" s="1">
        <v>0</v>
      </c>
      <c r="BD2792" s="1">
        <v>0</v>
      </c>
      <c r="BE2792" s="1">
        <v>0</v>
      </c>
      <c r="BF2792" s="1">
        <v>0</v>
      </c>
      <c r="BG2792" s="1">
        <v>0</v>
      </c>
      <c r="BH2792" s="1">
        <v>0</v>
      </c>
      <c r="BI2792" s="1">
        <v>0</v>
      </c>
      <c r="BJ2792" s="1">
        <v>0</v>
      </c>
      <c r="BK2792" s="1">
        <v>0</v>
      </c>
      <c r="BL2792" s="1">
        <v>0</v>
      </c>
      <c r="BM2792" s="1">
        <v>0</v>
      </c>
      <c r="BN2792" s="1">
        <v>0</v>
      </c>
      <c r="BO2792" s="1">
        <v>0</v>
      </c>
      <c r="BP2792" s="1">
        <v>0</v>
      </c>
      <c r="BQ2792" s="1" t="s">
        <v>104</v>
      </c>
      <c r="BR2792" s="1">
        <v>4919</v>
      </c>
      <c r="BS2792" s="1" t="s">
        <v>104</v>
      </c>
      <c r="BX2792" s="1">
        <v>0</v>
      </c>
      <c r="BY2792" s="1" t="s">
        <v>104</v>
      </c>
      <c r="BZ2792" s="1" t="s">
        <v>104</v>
      </c>
      <c r="CA2792" s="1">
        <v>1</v>
      </c>
      <c r="CB2792" s="1" t="s">
        <v>104</v>
      </c>
      <c r="CC2792" s="1">
        <v>1</v>
      </c>
      <c r="CD2792" s="1">
        <v>1</v>
      </c>
      <c r="CE2792" s="1" t="s">
        <v>104</v>
      </c>
      <c r="CF2792" s="1" t="s">
        <v>104</v>
      </c>
      <c r="CG2792" s="1" t="s">
        <v>104</v>
      </c>
      <c r="CH2792" s="1" t="s">
        <v>104</v>
      </c>
      <c r="CJ2792" s="1">
        <v>0</v>
      </c>
      <c r="CK2792" s="1">
        <v>0</v>
      </c>
      <c r="CL2792" s="1">
        <v>0</v>
      </c>
      <c r="CM2792" s="1">
        <v>1</v>
      </c>
    </row>
    <row r="2793" spans="1:91" ht="14.25" customHeight="1" x14ac:dyDescent="0.3">
      <c r="A2793" s="1" t="s">
        <v>13991</v>
      </c>
      <c r="B2793" s="1" t="s">
        <v>162</v>
      </c>
      <c r="D2793" s="1" t="s">
        <v>58</v>
      </c>
      <c r="E2793" s="1" t="s">
        <v>13992</v>
      </c>
      <c r="F2793" s="1" t="s">
        <v>95</v>
      </c>
      <c r="G2793" s="1" t="s">
        <v>116</v>
      </c>
      <c r="H2793" s="1">
        <v>0</v>
      </c>
      <c r="I2793" s="1" t="s">
        <v>109</v>
      </c>
      <c r="K2793" s="1" t="s">
        <v>13993</v>
      </c>
      <c r="M2793" s="1" t="s">
        <v>111</v>
      </c>
      <c r="N2793" s="1">
        <v>0</v>
      </c>
      <c r="O2793" s="1">
        <v>0</v>
      </c>
      <c r="P2793" s="1" t="s">
        <v>145</v>
      </c>
      <c r="Q2793" s="1" t="s">
        <v>184</v>
      </c>
      <c r="R2793" s="1" t="s">
        <v>13994</v>
      </c>
      <c r="S2793" s="1" t="s">
        <v>13742</v>
      </c>
      <c r="T2793" s="1">
        <v>1</v>
      </c>
      <c r="U2793" s="1">
        <v>1</v>
      </c>
      <c r="V2793" s="1">
        <v>0</v>
      </c>
      <c r="W2793" s="1">
        <v>0</v>
      </c>
      <c r="X2793" s="1">
        <v>0</v>
      </c>
      <c r="Y2793" s="1">
        <v>6</v>
      </c>
      <c r="Z2793" s="1">
        <v>6</v>
      </c>
      <c r="AA2793" s="1">
        <v>6</v>
      </c>
      <c r="AB2793" s="1" t="s">
        <v>104</v>
      </c>
      <c r="AC2793" s="1" t="s">
        <v>104</v>
      </c>
      <c r="AD2793" s="1">
        <v>5</v>
      </c>
      <c r="AE2793" s="1" t="s">
        <v>104</v>
      </c>
      <c r="AF2793" s="1" t="s">
        <v>104</v>
      </c>
      <c r="AG2793" s="1" t="s">
        <v>104</v>
      </c>
      <c r="AH2793" s="1" t="s">
        <v>104</v>
      </c>
      <c r="AI2793" s="1">
        <v>5</v>
      </c>
      <c r="AJ2793" s="1">
        <v>6</v>
      </c>
      <c r="AK2793" s="1" t="s">
        <v>104</v>
      </c>
      <c r="AL2793" s="1" t="s">
        <v>104</v>
      </c>
      <c r="AM2793" s="1" t="s">
        <v>104</v>
      </c>
      <c r="AO2793" s="1">
        <v>6</v>
      </c>
      <c r="AR2793" s="1">
        <v>0</v>
      </c>
      <c r="AS2793" s="1">
        <v>0</v>
      </c>
      <c r="AT2793" s="1">
        <v>0</v>
      </c>
      <c r="AU2793" s="1">
        <v>0</v>
      </c>
      <c r="AV2793" s="1">
        <v>0</v>
      </c>
      <c r="AW2793" s="1">
        <v>0</v>
      </c>
      <c r="AX2793" s="1">
        <v>0</v>
      </c>
      <c r="AY2793" s="1">
        <v>0</v>
      </c>
      <c r="AZ2793" s="1">
        <v>0</v>
      </c>
      <c r="BA2793" s="1">
        <v>0</v>
      </c>
      <c r="BB2793" s="1">
        <v>0</v>
      </c>
      <c r="BC2793" s="1">
        <v>0</v>
      </c>
      <c r="BD2793" s="1">
        <v>0</v>
      </c>
      <c r="BE2793" s="1">
        <v>0</v>
      </c>
      <c r="BF2793" s="1">
        <v>0</v>
      </c>
      <c r="BG2793" s="1">
        <v>1</v>
      </c>
      <c r="BH2793" s="1">
        <v>0</v>
      </c>
      <c r="BI2793" s="1">
        <v>0</v>
      </c>
      <c r="BJ2793" s="1">
        <v>0</v>
      </c>
      <c r="BK2793" s="1">
        <v>0</v>
      </c>
      <c r="BL2793" s="1">
        <v>0</v>
      </c>
      <c r="BM2793" s="1">
        <v>0</v>
      </c>
      <c r="BN2793" s="1">
        <v>0</v>
      </c>
      <c r="BO2793" s="1">
        <v>0</v>
      </c>
      <c r="BP2793" s="1">
        <v>0</v>
      </c>
      <c r="BQ2793" s="1" t="s">
        <v>104</v>
      </c>
      <c r="BR2793" s="1">
        <v>4920</v>
      </c>
      <c r="BS2793" s="1" t="s">
        <v>104</v>
      </c>
      <c r="BX2793" s="1">
        <v>0</v>
      </c>
      <c r="BY2793" s="1" t="s">
        <v>104</v>
      </c>
      <c r="BZ2793" s="1" t="s">
        <v>104</v>
      </c>
      <c r="CA2793" s="1" t="s">
        <v>104</v>
      </c>
      <c r="CB2793" s="1" t="s">
        <v>104</v>
      </c>
      <c r="CC2793" s="1" t="s">
        <v>104</v>
      </c>
      <c r="CD2793" s="1" t="s">
        <v>104</v>
      </c>
      <c r="CE2793" s="1" t="s">
        <v>104</v>
      </c>
      <c r="CF2793" s="1" t="s">
        <v>104</v>
      </c>
      <c r="CG2793" s="1" t="s">
        <v>104</v>
      </c>
      <c r="CH2793" s="1" t="s">
        <v>104</v>
      </c>
      <c r="CJ2793" s="1">
        <v>0</v>
      </c>
      <c r="CK2793" s="1">
        <v>0</v>
      </c>
      <c r="CL2793" s="1">
        <v>0</v>
      </c>
      <c r="CM2793" s="1" t="s">
        <v>104</v>
      </c>
    </row>
    <row r="2794" spans="1:91" ht="14.25" customHeight="1" x14ac:dyDescent="0.3">
      <c r="A2794" s="1" t="s">
        <v>13995</v>
      </c>
      <c r="B2794" s="1" t="s">
        <v>172</v>
      </c>
      <c r="C2794" s="1" t="s">
        <v>285</v>
      </c>
      <c r="E2794" s="1" t="s">
        <v>12817</v>
      </c>
      <c r="F2794" s="1" t="s">
        <v>255</v>
      </c>
      <c r="G2794" s="1" t="s">
        <v>13996</v>
      </c>
      <c r="H2794" s="1">
        <v>0</v>
      </c>
      <c r="I2794" s="1" t="s">
        <v>157</v>
      </c>
      <c r="L2794" s="1" t="s">
        <v>158</v>
      </c>
      <c r="M2794" s="1" t="s">
        <v>4641</v>
      </c>
      <c r="N2794" s="1">
        <v>1</v>
      </c>
      <c r="O2794" s="1">
        <v>0</v>
      </c>
      <c r="P2794" s="1" t="s">
        <v>375</v>
      </c>
      <c r="Q2794" s="1" t="s">
        <v>131</v>
      </c>
      <c r="R2794" s="1" t="s">
        <v>13997</v>
      </c>
      <c r="S2794" s="1" t="s">
        <v>13742</v>
      </c>
      <c r="T2794" s="1">
        <v>1</v>
      </c>
      <c r="U2794" s="1">
        <v>1</v>
      </c>
      <c r="V2794" s="1">
        <v>0</v>
      </c>
      <c r="W2794" s="1">
        <v>0</v>
      </c>
      <c r="X2794" s="1">
        <v>0</v>
      </c>
      <c r="Y2794" s="1">
        <v>2</v>
      </c>
      <c r="Z2794" s="1">
        <v>2</v>
      </c>
      <c r="AA2794" s="1">
        <v>2</v>
      </c>
      <c r="AB2794" s="1">
        <v>2</v>
      </c>
      <c r="AC2794" s="1" t="s">
        <v>104</v>
      </c>
      <c r="AD2794" s="1" t="s">
        <v>104</v>
      </c>
      <c r="AE2794" s="1" t="s">
        <v>104</v>
      </c>
      <c r="AF2794" s="1" t="s">
        <v>104</v>
      </c>
      <c r="AG2794" s="1" t="s">
        <v>104</v>
      </c>
      <c r="AH2794" s="1">
        <v>2</v>
      </c>
      <c r="AI2794" s="1" t="s">
        <v>104</v>
      </c>
      <c r="AJ2794" s="1">
        <v>2</v>
      </c>
      <c r="AK2794" s="1" t="s">
        <v>104</v>
      </c>
      <c r="AL2794" s="1" t="s">
        <v>104</v>
      </c>
      <c r="AM2794" s="1" t="s">
        <v>104</v>
      </c>
      <c r="AO2794" s="1">
        <v>2</v>
      </c>
      <c r="AR2794" s="1">
        <v>0</v>
      </c>
      <c r="AS2794" s="1">
        <v>0</v>
      </c>
      <c r="AT2794" s="1">
        <v>0</v>
      </c>
      <c r="AU2794" s="1">
        <v>0</v>
      </c>
      <c r="AV2794" s="1">
        <v>0</v>
      </c>
      <c r="AW2794" s="1">
        <v>0</v>
      </c>
      <c r="AX2794" s="1">
        <v>0</v>
      </c>
      <c r="AY2794" s="1">
        <v>0</v>
      </c>
      <c r="AZ2794" s="1">
        <v>0</v>
      </c>
      <c r="BA2794" s="1">
        <v>0</v>
      </c>
      <c r="BB2794" s="1">
        <v>0</v>
      </c>
      <c r="BC2794" s="1">
        <v>0</v>
      </c>
      <c r="BD2794" s="1">
        <v>0</v>
      </c>
      <c r="BE2794" s="1">
        <v>0</v>
      </c>
      <c r="BF2794" s="1">
        <v>0</v>
      </c>
      <c r="BG2794" s="1">
        <v>0</v>
      </c>
      <c r="BH2794" s="1">
        <v>0</v>
      </c>
      <c r="BI2794" s="1">
        <v>0</v>
      </c>
      <c r="BJ2794" s="1">
        <v>0</v>
      </c>
      <c r="BK2794" s="1">
        <v>0</v>
      </c>
      <c r="BL2794" s="1">
        <v>0</v>
      </c>
      <c r="BM2794" s="1">
        <v>0</v>
      </c>
      <c r="BN2794" s="1">
        <v>0</v>
      </c>
      <c r="BO2794" s="1">
        <v>0</v>
      </c>
      <c r="BP2794" s="1">
        <v>0</v>
      </c>
      <c r="BQ2794" s="1" t="s">
        <v>104</v>
      </c>
      <c r="BR2794" s="1">
        <v>4921</v>
      </c>
      <c r="BS2794" s="1" t="s">
        <v>104</v>
      </c>
      <c r="BX2794" s="1">
        <v>0</v>
      </c>
      <c r="BY2794" s="1" t="s">
        <v>104</v>
      </c>
      <c r="BZ2794" s="1">
        <v>2</v>
      </c>
      <c r="CA2794" s="1" t="s">
        <v>104</v>
      </c>
      <c r="CB2794" s="1" t="s">
        <v>104</v>
      </c>
      <c r="CC2794" s="1" t="s">
        <v>104</v>
      </c>
      <c r="CD2794" s="1" t="s">
        <v>104</v>
      </c>
      <c r="CE2794" s="1" t="s">
        <v>104</v>
      </c>
      <c r="CF2794" s="1" t="s">
        <v>104</v>
      </c>
      <c r="CG2794" s="1" t="s">
        <v>104</v>
      </c>
      <c r="CH2794" s="1">
        <v>2</v>
      </c>
      <c r="CJ2794" s="1">
        <v>0</v>
      </c>
      <c r="CK2794" s="1">
        <v>0</v>
      </c>
      <c r="CL2794" s="1">
        <v>0</v>
      </c>
      <c r="CM2794" s="1" t="s">
        <v>104</v>
      </c>
    </row>
    <row r="2795" spans="1:91" ht="14.25" customHeight="1" x14ac:dyDescent="0.3">
      <c r="A2795" s="1" t="s">
        <v>13998</v>
      </c>
      <c r="B2795" s="1" t="s">
        <v>123</v>
      </c>
      <c r="C2795" s="1" t="s">
        <v>635</v>
      </c>
      <c r="D2795" s="1" t="s">
        <v>125</v>
      </c>
      <c r="E2795" s="1" t="s">
        <v>13999</v>
      </c>
      <c r="F2795" s="1" t="s">
        <v>287</v>
      </c>
      <c r="G2795" s="1" t="s">
        <v>14000</v>
      </c>
      <c r="H2795" s="1">
        <v>0</v>
      </c>
      <c r="I2795" s="1" t="s">
        <v>157</v>
      </c>
      <c r="L2795" s="1" t="s">
        <v>158</v>
      </c>
      <c r="M2795" s="1" t="s">
        <v>620</v>
      </c>
      <c r="N2795" s="1">
        <v>1</v>
      </c>
      <c r="O2795" s="1">
        <v>0</v>
      </c>
      <c r="R2795" s="1" t="s">
        <v>14001</v>
      </c>
      <c r="S2795" s="1" t="s">
        <v>14002</v>
      </c>
      <c r="T2795" s="1">
        <v>1</v>
      </c>
      <c r="U2795" s="1">
        <v>1</v>
      </c>
      <c r="V2795" s="1">
        <v>1</v>
      </c>
      <c r="W2795" s="1">
        <v>0</v>
      </c>
      <c r="X2795" s="1">
        <v>0</v>
      </c>
      <c r="Y2795" s="1" t="s">
        <v>104</v>
      </c>
      <c r="Z2795" s="1" t="s">
        <v>104</v>
      </c>
      <c r="AA2795" s="1" t="s">
        <v>104</v>
      </c>
      <c r="AB2795" s="1">
        <v>2</v>
      </c>
      <c r="AC2795" s="1">
        <v>2</v>
      </c>
      <c r="AD2795" s="1">
        <v>3</v>
      </c>
      <c r="AE2795" s="1" t="s">
        <v>104</v>
      </c>
      <c r="AF2795" s="1" t="s">
        <v>104</v>
      </c>
      <c r="AG2795" s="1" t="s">
        <v>104</v>
      </c>
      <c r="AH2795" s="1" t="s">
        <v>104</v>
      </c>
      <c r="AI2795" s="1" t="s">
        <v>104</v>
      </c>
      <c r="AJ2795" s="1" t="s">
        <v>104</v>
      </c>
      <c r="AK2795" s="1" t="s">
        <v>104</v>
      </c>
      <c r="AL2795" s="1" t="s">
        <v>104</v>
      </c>
      <c r="AM2795" s="1" t="s">
        <v>104</v>
      </c>
      <c r="AO2795" s="1">
        <v>2</v>
      </c>
      <c r="AQ2795" s="1" t="s">
        <v>14003</v>
      </c>
      <c r="AR2795" s="1">
        <v>0</v>
      </c>
      <c r="AS2795" s="1">
        <v>0</v>
      </c>
      <c r="AT2795" s="1">
        <v>0</v>
      </c>
      <c r="AU2795" s="1">
        <v>0</v>
      </c>
      <c r="AV2795" s="1">
        <v>0</v>
      </c>
      <c r="AW2795" s="1">
        <v>0</v>
      </c>
      <c r="AX2795" s="1">
        <v>0</v>
      </c>
      <c r="AY2795" s="1">
        <v>0</v>
      </c>
      <c r="AZ2795" s="1">
        <v>0</v>
      </c>
      <c r="BA2795" s="1">
        <v>0</v>
      </c>
      <c r="BB2795" s="1">
        <v>0</v>
      </c>
      <c r="BC2795" s="1">
        <v>0</v>
      </c>
      <c r="BD2795" s="1">
        <v>0</v>
      </c>
      <c r="BE2795" s="1">
        <v>0</v>
      </c>
      <c r="BF2795" s="1">
        <v>0</v>
      </c>
      <c r="BG2795" s="1">
        <v>0</v>
      </c>
      <c r="BH2795" s="1">
        <v>0</v>
      </c>
      <c r="BI2795" s="1">
        <v>0</v>
      </c>
      <c r="BJ2795" s="1">
        <v>0</v>
      </c>
      <c r="BK2795" s="1">
        <v>1</v>
      </c>
      <c r="BL2795" s="1">
        <v>0</v>
      </c>
      <c r="BM2795" s="1">
        <v>0</v>
      </c>
      <c r="BN2795" s="1">
        <v>0</v>
      </c>
      <c r="BO2795" s="1">
        <v>0</v>
      </c>
      <c r="BP2795" s="1">
        <v>0</v>
      </c>
      <c r="BQ2795" s="1" t="s">
        <v>104</v>
      </c>
      <c r="BR2795" s="1">
        <v>4922</v>
      </c>
      <c r="BS2795" s="1" t="s">
        <v>104</v>
      </c>
      <c r="BX2795" s="1">
        <v>0</v>
      </c>
      <c r="BY2795" s="1" t="s">
        <v>104</v>
      </c>
      <c r="BZ2795" s="1">
        <v>2</v>
      </c>
      <c r="CA2795" s="1" t="s">
        <v>104</v>
      </c>
      <c r="CB2795" s="1">
        <v>2</v>
      </c>
      <c r="CC2795" s="1">
        <v>3</v>
      </c>
      <c r="CD2795" s="1" t="s">
        <v>104</v>
      </c>
      <c r="CE2795" s="1" t="s">
        <v>104</v>
      </c>
      <c r="CF2795" s="1" t="s">
        <v>104</v>
      </c>
      <c r="CG2795" s="1" t="s">
        <v>104</v>
      </c>
      <c r="CH2795" s="1">
        <v>2</v>
      </c>
      <c r="CJ2795" s="1">
        <v>0</v>
      </c>
      <c r="CK2795" s="1">
        <v>0</v>
      </c>
      <c r="CL2795" s="1">
        <v>0</v>
      </c>
      <c r="CM2795" s="1" t="s">
        <v>104</v>
      </c>
    </row>
    <row r="2796" spans="1:91" ht="14.25" customHeight="1" x14ac:dyDescent="0.3">
      <c r="A2796" s="1" t="s">
        <v>14004</v>
      </c>
      <c r="B2796" s="1" t="s">
        <v>92</v>
      </c>
      <c r="C2796" s="1" t="s">
        <v>903</v>
      </c>
      <c r="E2796" s="1" t="s">
        <v>14005</v>
      </c>
      <c r="F2796" s="1" t="s">
        <v>255</v>
      </c>
      <c r="G2796" s="1" t="s">
        <v>127</v>
      </c>
      <c r="H2796" s="1">
        <v>0</v>
      </c>
      <c r="I2796" s="1" t="s">
        <v>109</v>
      </c>
      <c r="K2796" s="1" t="s">
        <v>14006</v>
      </c>
      <c r="M2796" s="1" t="s">
        <v>620</v>
      </c>
      <c r="N2796" s="1">
        <v>1</v>
      </c>
      <c r="O2796" s="1">
        <v>0</v>
      </c>
      <c r="P2796" s="1" t="s">
        <v>100</v>
      </c>
      <c r="Q2796" s="1" t="s">
        <v>101</v>
      </c>
      <c r="R2796" s="1" t="s">
        <v>14007</v>
      </c>
      <c r="S2796" s="1" t="s">
        <v>14002</v>
      </c>
      <c r="T2796" s="1">
        <v>1</v>
      </c>
      <c r="U2796" s="1">
        <v>1</v>
      </c>
      <c r="V2796" s="1">
        <v>0</v>
      </c>
      <c r="W2796" s="1">
        <v>0</v>
      </c>
      <c r="X2796" s="1">
        <v>1</v>
      </c>
      <c r="Y2796" s="1" t="s">
        <v>104</v>
      </c>
      <c r="Z2796" s="1" t="s">
        <v>104</v>
      </c>
      <c r="AA2796" s="1" t="s">
        <v>104</v>
      </c>
      <c r="AB2796" s="1">
        <v>2</v>
      </c>
      <c r="AC2796" s="1">
        <v>2</v>
      </c>
      <c r="AD2796" s="1" t="s">
        <v>104</v>
      </c>
      <c r="AE2796" s="1">
        <v>2</v>
      </c>
      <c r="AF2796" s="1" t="s">
        <v>104</v>
      </c>
      <c r="AG2796" s="1">
        <v>2</v>
      </c>
      <c r="AH2796" s="1" t="s">
        <v>104</v>
      </c>
      <c r="AI2796" s="1" t="s">
        <v>104</v>
      </c>
      <c r="AJ2796" s="1" t="s">
        <v>104</v>
      </c>
      <c r="AK2796" s="1">
        <v>2</v>
      </c>
      <c r="AL2796" s="1" t="s">
        <v>104</v>
      </c>
      <c r="AM2796" s="1" t="s">
        <v>104</v>
      </c>
      <c r="AO2796" s="1">
        <v>2</v>
      </c>
      <c r="AQ2796" s="1" t="s">
        <v>14008</v>
      </c>
      <c r="AR2796" s="1">
        <v>0</v>
      </c>
      <c r="AS2796" s="1">
        <v>0</v>
      </c>
      <c r="AT2796" s="1">
        <v>0</v>
      </c>
      <c r="AU2796" s="1">
        <v>0</v>
      </c>
      <c r="AV2796" s="1">
        <v>0</v>
      </c>
      <c r="AW2796" s="1">
        <v>0</v>
      </c>
      <c r="AX2796" s="1">
        <v>0</v>
      </c>
      <c r="AY2796" s="1">
        <v>0</v>
      </c>
      <c r="AZ2796" s="1">
        <v>0</v>
      </c>
      <c r="BA2796" s="1">
        <v>0</v>
      </c>
      <c r="BB2796" s="1">
        <v>0</v>
      </c>
      <c r="BC2796" s="1">
        <v>0</v>
      </c>
      <c r="BD2796" s="1">
        <v>0</v>
      </c>
      <c r="BE2796" s="1">
        <v>0</v>
      </c>
      <c r="BF2796" s="1">
        <v>0</v>
      </c>
      <c r="BG2796" s="1">
        <v>0</v>
      </c>
      <c r="BH2796" s="1">
        <v>0</v>
      </c>
      <c r="BI2796" s="1">
        <v>0</v>
      </c>
      <c r="BJ2796" s="1">
        <v>0</v>
      </c>
      <c r="BK2796" s="1">
        <v>0</v>
      </c>
      <c r="BL2796" s="1">
        <v>0</v>
      </c>
      <c r="BM2796" s="1">
        <v>0</v>
      </c>
      <c r="BN2796" s="1">
        <v>0</v>
      </c>
      <c r="BO2796" s="1">
        <v>0</v>
      </c>
      <c r="BP2796" s="1">
        <v>0</v>
      </c>
      <c r="BQ2796" s="1" t="s">
        <v>104</v>
      </c>
      <c r="BR2796" s="1">
        <v>4923</v>
      </c>
      <c r="BS2796" s="1" t="s">
        <v>104</v>
      </c>
      <c r="BX2796" s="1">
        <v>0</v>
      </c>
      <c r="BY2796" s="1" t="s">
        <v>104</v>
      </c>
      <c r="BZ2796" s="1">
        <v>2</v>
      </c>
      <c r="CA2796" s="1" t="s">
        <v>104</v>
      </c>
      <c r="CB2796" s="1" t="s">
        <v>104</v>
      </c>
      <c r="CC2796" s="1" t="s">
        <v>104</v>
      </c>
      <c r="CD2796" s="1" t="s">
        <v>104</v>
      </c>
      <c r="CE2796" s="1" t="s">
        <v>104</v>
      </c>
      <c r="CF2796" s="1" t="s">
        <v>104</v>
      </c>
      <c r="CG2796" s="1" t="s">
        <v>104</v>
      </c>
      <c r="CH2796" s="1">
        <v>2</v>
      </c>
      <c r="CJ2796" s="1">
        <v>0</v>
      </c>
      <c r="CK2796" s="1">
        <v>0</v>
      </c>
      <c r="CL2796" s="1">
        <v>0</v>
      </c>
      <c r="CM2796" s="1">
        <v>2</v>
      </c>
    </row>
    <row r="2797" spans="1:91" ht="14.25" customHeight="1" x14ac:dyDescent="0.3">
      <c r="A2797" s="1" t="s">
        <v>14009</v>
      </c>
      <c r="B2797" s="1" t="s">
        <v>123</v>
      </c>
      <c r="C2797" s="1" t="s">
        <v>124</v>
      </c>
      <c r="D2797" s="1" t="s">
        <v>125</v>
      </c>
      <c r="E2797" s="1" t="s">
        <v>14010</v>
      </c>
      <c r="F2797" s="1" t="s">
        <v>1502</v>
      </c>
      <c r="G2797" s="1" t="s">
        <v>116</v>
      </c>
      <c r="H2797" s="1">
        <v>0</v>
      </c>
      <c r="I2797" s="1" t="s">
        <v>128</v>
      </c>
      <c r="L2797" s="1" t="s">
        <v>8578</v>
      </c>
      <c r="M2797" s="1" t="s">
        <v>119</v>
      </c>
      <c r="N2797" s="1">
        <v>0</v>
      </c>
      <c r="O2797" s="1">
        <v>0</v>
      </c>
      <c r="P2797" s="1" t="s">
        <v>100</v>
      </c>
      <c r="Q2797" s="1" t="s">
        <v>101</v>
      </c>
      <c r="R2797" s="1" t="s">
        <v>14011</v>
      </c>
      <c r="S2797" s="1" t="s">
        <v>14002</v>
      </c>
      <c r="T2797" s="1">
        <v>1</v>
      </c>
      <c r="U2797" s="1">
        <v>1</v>
      </c>
      <c r="V2797" s="1">
        <v>0</v>
      </c>
      <c r="W2797" s="1">
        <v>0</v>
      </c>
      <c r="X2797" s="1">
        <v>0</v>
      </c>
      <c r="Y2797" s="1">
        <v>3</v>
      </c>
      <c r="Z2797" s="1">
        <v>3</v>
      </c>
      <c r="AA2797" s="1" t="s">
        <v>104</v>
      </c>
      <c r="AB2797" s="1">
        <v>3</v>
      </c>
      <c r="AC2797" s="1">
        <v>3</v>
      </c>
      <c r="AD2797" s="1" t="s">
        <v>104</v>
      </c>
      <c r="AE2797" s="1" t="s">
        <v>104</v>
      </c>
      <c r="AF2797" s="1" t="s">
        <v>104</v>
      </c>
      <c r="AG2797" s="1" t="s">
        <v>104</v>
      </c>
      <c r="AH2797" s="1">
        <v>3</v>
      </c>
      <c r="AI2797" s="1" t="s">
        <v>104</v>
      </c>
      <c r="AJ2797" s="1" t="s">
        <v>104</v>
      </c>
      <c r="AK2797" s="1">
        <v>2</v>
      </c>
      <c r="AL2797" s="1" t="s">
        <v>104</v>
      </c>
      <c r="AM2797" s="1" t="s">
        <v>104</v>
      </c>
      <c r="AO2797" s="1">
        <v>3</v>
      </c>
      <c r="AQ2797" s="1" t="s">
        <v>14012</v>
      </c>
      <c r="AR2797" s="1">
        <v>0</v>
      </c>
      <c r="AS2797" s="1">
        <v>0</v>
      </c>
      <c r="AT2797" s="1">
        <v>0</v>
      </c>
      <c r="AU2797" s="1">
        <v>0</v>
      </c>
      <c r="AV2797" s="1">
        <v>0</v>
      </c>
      <c r="AW2797" s="1">
        <v>0</v>
      </c>
      <c r="AX2797" s="1">
        <v>0</v>
      </c>
      <c r="AY2797" s="1">
        <v>0</v>
      </c>
      <c r="AZ2797" s="1">
        <v>0</v>
      </c>
      <c r="BA2797" s="1">
        <v>0</v>
      </c>
      <c r="BB2797" s="1">
        <v>0</v>
      </c>
      <c r="BC2797" s="1">
        <v>0</v>
      </c>
      <c r="BD2797" s="1">
        <v>0</v>
      </c>
      <c r="BE2797" s="1">
        <v>0</v>
      </c>
      <c r="BF2797" s="1">
        <v>0</v>
      </c>
      <c r="BG2797" s="1">
        <v>0</v>
      </c>
      <c r="BH2797" s="1">
        <v>0</v>
      </c>
      <c r="BI2797" s="1">
        <v>0</v>
      </c>
      <c r="BJ2797" s="1">
        <v>0</v>
      </c>
      <c r="BK2797" s="1">
        <v>1</v>
      </c>
      <c r="BL2797" s="1">
        <v>0</v>
      </c>
      <c r="BM2797" s="1">
        <v>0</v>
      </c>
      <c r="BN2797" s="1">
        <v>0</v>
      </c>
      <c r="BO2797" s="1">
        <v>0</v>
      </c>
      <c r="BP2797" s="1">
        <v>0</v>
      </c>
      <c r="BQ2797" s="1" t="s">
        <v>104</v>
      </c>
      <c r="BR2797" s="1">
        <v>4924</v>
      </c>
      <c r="BS2797" s="1" t="s">
        <v>104</v>
      </c>
      <c r="BX2797" s="1">
        <v>0</v>
      </c>
      <c r="BY2797" s="1" t="s">
        <v>104</v>
      </c>
      <c r="BZ2797" s="1" t="s">
        <v>104</v>
      </c>
      <c r="CA2797" s="1" t="s">
        <v>104</v>
      </c>
      <c r="CB2797" s="1" t="s">
        <v>104</v>
      </c>
      <c r="CC2797" s="1" t="s">
        <v>104</v>
      </c>
      <c r="CD2797" s="1" t="s">
        <v>104</v>
      </c>
      <c r="CE2797" s="1" t="s">
        <v>104</v>
      </c>
      <c r="CF2797" s="1" t="s">
        <v>104</v>
      </c>
      <c r="CG2797" s="1" t="s">
        <v>104</v>
      </c>
      <c r="CH2797" s="1">
        <v>3</v>
      </c>
      <c r="CJ2797" s="1">
        <v>0</v>
      </c>
      <c r="CK2797" s="1">
        <v>0</v>
      </c>
      <c r="CL2797" s="1">
        <v>0</v>
      </c>
      <c r="CM2797" s="1" t="s">
        <v>104</v>
      </c>
    </row>
    <row r="2798" spans="1:91" ht="14.25" customHeight="1" x14ac:dyDescent="0.3">
      <c r="A2798" s="1" t="s">
        <v>14013</v>
      </c>
      <c r="B2798" s="1" t="s">
        <v>92</v>
      </c>
      <c r="C2798" s="1" t="s">
        <v>1160</v>
      </c>
      <c r="E2798" s="1" t="s">
        <v>14014</v>
      </c>
      <c r="F2798" s="1" t="s">
        <v>95</v>
      </c>
      <c r="G2798" s="1" t="s">
        <v>14015</v>
      </c>
      <c r="H2798" s="1">
        <v>0</v>
      </c>
      <c r="I2798" s="1" t="s">
        <v>97</v>
      </c>
      <c r="L2798" s="1" t="s">
        <v>14016</v>
      </c>
      <c r="M2798" s="1" t="s">
        <v>14017</v>
      </c>
      <c r="N2798" s="1">
        <v>0</v>
      </c>
      <c r="O2798" s="1">
        <v>0</v>
      </c>
      <c r="P2798" s="1" t="s">
        <v>1058</v>
      </c>
      <c r="Q2798" s="1" t="s">
        <v>131</v>
      </c>
      <c r="R2798" s="1" t="s">
        <v>14018</v>
      </c>
      <c r="S2798" s="1" t="s">
        <v>14002</v>
      </c>
      <c r="T2798" s="1">
        <v>1</v>
      </c>
      <c r="U2798" s="1">
        <v>1</v>
      </c>
      <c r="V2798" s="1">
        <v>1</v>
      </c>
      <c r="W2798" s="1">
        <v>0</v>
      </c>
      <c r="X2798" s="1">
        <v>0</v>
      </c>
      <c r="Y2798" s="1">
        <v>2</v>
      </c>
      <c r="Z2798" s="1">
        <v>2</v>
      </c>
      <c r="AA2798" s="1" t="s">
        <v>104</v>
      </c>
      <c r="AB2798" s="1" t="s">
        <v>104</v>
      </c>
      <c r="AC2798" s="1" t="s">
        <v>104</v>
      </c>
      <c r="AD2798" s="1" t="s">
        <v>104</v>
      </c>
      <c r="AE2798" s="1" t="s">
        <v>104</v>
      </c>
      <c r="AF2798" s="1" t="s">
        <v>104</v>
      </c>
      <c r="AG2798" s="1" t="s">
        <v>104</v>
      </c>
      <c r="AH2798" s="1">
        <v>2</v>
      </c>
      <c r="AI2798" s="1" t="s">
        <v>104</v>
      </c>
      <c r="AJ2798" s="1" t="s">
        <v>104</v>
      </c>
      <c r="AK2798" s="1" t="s">
        <v>104</v>
      </c>
      <c r="AL2798" s="1" t="s">
        <v>104</v>
      </c>
      <c r="AM2798" s="1" t="s">
        <v>104</v>
      </c>
      <c r="AO2798" s="1">
        <v>2</v>
      </c>
      <c r="AQ2798" s="1" t="s">
        <v>14019</v>
      </c>
      <c r="AR2798" s="1">
        <v>0</v>
      </c>
      <c r="AS2798" s="1">
        <v>0</v>
      </c>
      <c r="AT2798" s="1">
        <v>0</v>
      </c>
      <c r="AU2798" s="1">
        <v>0</v>
      </c>
      <c r="AV2798" s="1">
        <v>0</v>
      </c>
      <c r="AW2798" s="1">
        <v>0</v>
      </c>
      <c r="AX2798" s="1">
        <v>0</v>
      </c>
      <c r="AY2798" s="1">
        <v>0</v>
      </c>
      <c r="AZ2798" s="1">
        <v>0</v>
      </c>
      <c r="BA2798" s="1">
        <v>0</v>
      </c>
      <c r="BB2798" s="1">
        <v>0</v>
      </c>
      <c r="BC2798" s="1">
        <v>0</v>
      </c>
      <c r="BD2798" s="1">
        <v>0</v>
      </c>
      <c r="BE2798" s="1">
        <v>0</v>
      </c>
      <c r="BF2798" s="1">
        <v>0</v>
      </c>
      <c r="BG2798" s="1">
        <v>0</v>
      </c>
      <c r="BH2798" s="1">
        <v>0</v>
      </c>
      <c r="BI2798" s="1">
        <v>0</v>
      </c>
      <c r="BJ2798" s="1">
        <v>0</v>
      </c>
      <c r="BK2798" s="1">
        <v>0</v>
      </c>
      <c r="BL2798" s="1">
        <v>0</v>
      </c>
      <c r="BM2798" s="1">
        <v>0</v>
      </c>
      <c r="BN2798" s="1">
        <v>0</v>
      </c>
      <c r="BO2798" s="1">
        <v>0</v>
      </c>
      <c r="BP2798" s="1">
        <v>0</v>
      </c>
      <c r="BQ2798" s="1" t="s">
        <v>104</v>
      </c>
      <c r="BR2798" s="1">
        <v>4925</v>
      </c>
      <c r="BS2798" s="1" t="s">
        <v>104</v>
      </c>
      <c r="BX2798" s="1">
        <v>0</v>
      </c>
      <c r="BY2798" s="1" t="s">
        <v>104</v>
      </c>
      <c r="BZ2798" s="1">
        <v>2</v>
      </c>
      <c r="CA2798" s="1" t="s">
        <v>104</v>
      </c>
      <c r="CB2798" s="1" t="s">
        <v>104</v>
      </c>
      <c r="CC2798" s="1" t="s">
        <v>104</v>
      </c>
      <c r="CD2798" s="1" t="s">
        <v>104</v>
      </c>
      <c r="CE2798" s="1" t="s">
        <v>104</v>
      </c>
      <c r="CF2798" s="1" t="s">
        <v>104</v>
      </c>
      <c r="CG2798" s="1" t="s">
        <v>104</v>
      </c>
      <c r="CH2798" s="1" t="s">
        <v>104</v>
      </c>
      <c r="CJ2798" s="1">
        <v>0</v>
      </c>
      <c r="CK2798" s="1">
        <v>0</v>
      </c>
      <c r="CL2798" s="1">
        <v>0</v>
      </c>
      <c r="CM2798" s="1" t="s">
        <v>104</v>
      </c>
    </row>
    <row r="2799" spans="1:91" ht="14.25" customHeight="1" x14ac:dyDescent="0.3">
      <c r="A2799" s="1" t="s">
        <v>14020</v>
      </c>
      <c r="B2799" s="1" t="s">
        <v>92</v>
      </c>
      <c r="C2799" s="1" t="s">
        <v>1160</v>
      </c>
      <c r="E2799" s="1" t="s">
        <v>10389</v>
      </c>
      <c r="F2799" s="1" t="s">
        <v>95</v>
      </c>
      <c r="G2799" s="1" t="s">
        <v>14015</v>
      </c>
      <c r="H2799" s="1">
        <v>0</v>
      </c>
      <c r="I2799" s="1" t="s">
        <v>4126</v>
      </c>
      <c r="L2799" s="1" t="s">
        <v>14016</v>
      </c>
      <c r="M2799" s="1" t="s">
        <v>14021</v>
      </c>
      <c r="N2799" s="1">
        <v>0</v>
      </c>
      <c r="O2799" s="1">
        <v>0</v>
      </c>
      <c r="P2799" s="1" t="s">
        <v>1058</v>
      </c>
      <c r="Q2799" s="1" t="s">
        <v>131</v>
      </c>
      <c r="R2799" s="1" t="s">
        <v>14022</v>
      </c>
      <c r="S2799" s="1" t="s">
        <v>14002</v>
      </c>
      <c r="T2799" s="1">
        <v>1</v>
      </c>
      <c r="U2799" s="1">
        <v>1</v>
      </c>
      <c r="V2799" s="1">
        <v>1</v>
      </c>
      <c r="W2799" s="1">
        <v>0</v>
      </c>
      <c r="X2799" s="1">
        <v>0</v>
      </c>
      <c r="Y2799" s="1">
        <v>5</v>
      </c>
      <c r="Z2799" s="1">
        <v>5</v>
      </c>
      <c r="AA2799" s="1" t="s">
        <v>104</v>
      </c>
      <c r="AB2799" s="1" t="s">
        <v>104</v>
      </c>
      <c r="AC2799" s="1" t="s">
        <v>104</v>
      </c>
      <c r="AD2799" s="1" t="s">
        <v>104</v>
      </c>
      <c r="AE2799" s="1" t="s">
        <v>104</v>
      </c>
      <c r="AF2799" s="1" t="s">
        <v>104</v>
      </c>
      <c r="AG2799" s="1" t="s">
        <v>104</v>
      </c>
      <c r="AH2799" s="1">
        <v>5</v>
      </c>
      <c r="AI2799" s="1" t="s">
        <v>104</v>
      </c>
      <c r="AJ2799" s="1" t="s">
        <v>104</v>
      </c>
      <c r="AK2799" s="1" t="s">
        <v>104</v>
      </c>
      <c r="AL2799" s="1" t="s">
        <v>104</v>
      </c>
      <c r="AM2799" s="1" t="s">
        <v>104</v>
      </c>
      <c r="AO2799" s="1">
        <v>5</v>
      </c>
      <c r="AQ2799" s="1" t="s">
        <v>14023</v>
      </c>
      <c r="AR2799" s="1">
        <v>0</v>
      </c>
      <c r="AS2799" s="1">
        <v>0</v>
      </c>
      <c r="AT2799" s="1">
        <v>0</v>
      </c>
      <c r="AU2799" s="1">
        <v>0</v>
      </c>
      <c r="AV2799" s="1">
        <v>0</v>
      </c>
      <c r="AW2799" s="1">
        <v>0</v>
      </c>
      <c r="AX2799" s="1">
        <v>0</v>
      </c>
      <c r="AY2799" s="1">
        <v>0</v>
      </c>
      <c r="AZ2799" s="1">
        <v>0</v>
      </c>
      <c r="BA2799" s="1">
        <v>0</v>
      </c>
      <c r="BB2799" s="1">
        <v>0</v>
      </c>
      <c r="BC2799" s="1">
        <v>0</v>
      </c>
      <c r="BD2799" s="1">
        <v>0</v>
      </c>
      <c r="BE2799" s="1">
        <v>0</v>
      </c>
      <c r="BF2799" s="1">
        <v>0</v>
      </c>
      <c r="BG2799" s="1">
        <v>0</v>
      </c>
      <c r="BH2799" s="1">
        <v>0</v>
      </c>
      <c r="BI2799" s="1">
        <v>0</v>
      </c>
      <c r="BJ2799" s="1">
        <v>0</v>
      </c>
      <c r="BK2799" s="1">
        <v>0</v>
      </c>
      <c r="BL2799" s="1">
        <v>0</v>
      </c>
      <c r="BM2799" s="1">
        <v>0</v>
      </c>
      <c r="BN2799" s="1">
        <v>0</v>
      </c>
      <c r="BO2799" s="1">
        <v>0</v>
      </c>
      <c r="BP2799" s="1">
        <v>0</v>
      </c>
      <c r="BQ2799" s="1" t="s">
        <v>104</v>
      </c>
      <c r="BR2799" s="1">
        <v>4926</v>
      </c>
      <c r="BS2799" s="1" t="s">
        <v>104</v>
      </c>
      <c r="BX2799" s="1">
        <v>0</v>
      </c>
      <c r="BY2799" s="1" t="s">
        <v>104</v>
      </c>
      <c r="BZ2799" s="1">
        <v>5</v>
      </c>
      <c r="CA2799" s="1" t="s">
        <v>104</v>
      </c>
      <c r="CB2799" s="1" t="s">
        <v>104</v>
      </c>
      <c r="CC2799" s="1" t="s">
        <v>104</v>
      </c>
      <c r="CD2799" s="1" t="s">
        <v>104</v>
      </c>
      <c r="CE2799" s="1" t="s">
        <v>104</v>
      </c>
      <c r="CF2799" s="1" t="s">
        <v>104</v>
      </c>
      <c r="CG2799" s="1" t="s">
        <v>104</v>
      </c>
      <c r="CH2799" s="1" t="s">
        <v>104</v>
      </c>
      <c r="CJ2799" s="1">
        <v>0</v>
      </c>
      <c r="CK2799" s="1">
        <v>0</v>
      </c>
      <c r="CL2799" s="1">
        <v>0</v>
      </c>
      <c r="CM2799" s="1" t="s">
        <v>104</v>
      </c>
    </row>
    <row r="2800" spans="1:91" ht="14.25" customHeight="1" x14ac:dyDescent="0.3">
      <c r="A2800" s="1" t="s">
        <v>14024</v>
      </c>
      <c r="B2800" s="1" t="s">
        <v>92</v>
      </c>
      <c r="C2800" s="1" t="s">
        <v>93</v>
      </c>
      <c r="D2800" s="1" t="s">
        <v>51</v>
      </c>
      <c r="E2800" s="1" t="s">
        <v>14025</v>
      </c>
      <c r="F2800" s="1" t="s">
        <v>95</v>
      </c>
      <c r="G2800" s="1" t="s">
        <v>14026</v>
      </c>
      <c r="H2800" s="1">
        <v>1</v>
      </c>
      <c r="I2800" s="1" t="s">
        <v>117</v>
      </c>
      <c r="J2800" s="1" t="s">
        <v>14027</v>
      </c>
      <c r="M2800" s="1" t="s">
        <v>14028</v>
      </c>
      <c r="N2800" s="1">
        <v>1</v>
      </c>
      <c r="O2800" s="1">
        <v>1</v>
      </c>
      <c r="P2800" s="1" t="s">
        <v>7148</v>
      </c>
      <c r="Q2800" s="1" t="s">
        <v>101</v>
      </c>
      <c r="R2800" s="1" t="s">
        <v>14029</v>
      </c>
      <c r="S2800" s="1" t="s">
        <v>14002</v>
      </c>
      <c r="T2800" s="1">
        <v>1</v>
      </c>
      <c r="U2800" s="1">
        <v>1</v>
      </c>
      <c r="V2800" s="1">
        <v>1</v>
      </c>
      <c r="W2800" s="1">
        <v>0</v>
      </c>
      <c r="X2800" s="1">
        <v>0</v>
      </c>
      <c r="Y2800" s="1" t="s">
        <v>104</v>
      </c>
      <c r="Z2800" s="1" t="s">
        <v>104</v>
      </c>
      <c r="AA2800" s="1" t="s">
        <v>104</v>
      </c>
      <c r="AB2800" s="1">
        <v>5</v>
      </c>
      <c r="AC2800" s="1" t="s">
        <v>104</v>
      </c>
      <c r="AD2800" s="1" t="s">
        <v>104</v>
      </c>
      <c r="AE2800" s="1" t="s">
        <v>104</v>
      </c>
      <c r="AF2800" s="1" t="s">
        <v>104</v>
      </c>
      <c r="AG2800" s="1" t="s">
        <v>104</v>
      </c>
      <c r="AH2800" s="1">
        <v>5</v>
      </c>
      <c r="AI2800" s="1" t="s">
        <v>104</v>
      </c>
      <c r="AJ2800" s="1" t="s">
        <v>104</v>
      </c>
      <c r="AK2800" s="1" t="s">
        <v>104</v>
      </c>
      <c r="AL2800" s="1" t="s">
        <v>104</v>
      </c>
      <c r="AM2800" s="1" t="s">
        <v>104</v>
      </c>
      <c r="AO2800" s="1">
        <v>5</v>
      </c>
      <c r="AQ2800" s="1" t="s">
        <v>14030</v>
      </c>
      <c r="AR2800" s="1">
        <v>0</v>
      </c>
      <c r="AS2800" s="1">
        <v>0</v>
      </c>
      <c r="AT2800" s="1">
        <v>0</v>
      </c>
      <c r="AU2800" s="1">
        <v>0</v>
      </c>
      <c r="AV2800" s="1">
        <v>0</v>
      </c>
      <c r="AW2800" s="1">
        <v>0</v>
      </c>
      <c r="AX2800" s="1">
        <v>0</v>
      </c>
      <c r="AY2800" s="1">
        <v>0</v>
      </c>
      <c r="AZ2800" s="1">
        <v>1</v>
      </c>
      <c r="BA2800" s="1">
        <v>0</v>
      </c>
      <c r="BB2800" s="1">
        <v>0</v>
      </c>
      <c r="BC2800" s="1">
        <v>0</v>
      </c>
      <c r="BD2800" s="1">
        <v>0</v>
      </c>
      <c r="BE2800" s="1">
        <v>0</v>
      </c>
      <c r="BF2800" s="1">
        <v>0</v>
      </c>
      <c r="BG2800" s="1">
        <v>0</v>
      </c>
      <c r="BH2800" s="1">
        <v>0</v>
      </c>
      <c r="BI2800" s="1">
        <v>0</v>
      </c>
      <c r="BJ2800" s="1">
        <v>0</v>
      </c>
      <c r="BK2800" s="1">
        <v>0</v>
      </c>
      <c r="BL2800" s="1">
        <v>0</v>
      </c>
      <c r="BM2800" s="1">
        <v>0</v>
      </c>
      <c r="BN2800" s="1">
        <v>0</v>
      </c>
      <c r="BO2800" s="1">
        <v>0</v>
      </c>
      <c r="BP2800" s="1">
        <v>0</v>
      </c>
      <c r="BQ2800" s="1" t="s">
        <v>104</v>
      </c>
      <c r="BR2800" s="1">
        <v>4927</v>
      </c>
      <c r="BS2800" s="1">
        <v>150</v>
      </c>
      <c r="BX2800" s="1">
        <v>0</v>
      </c>
      <c r="BY2800" s="1" t="s">
        <v>104</v>
      </c>
      <c r="BZ2800" s="1">
        <v>5</v>
      </c>
      <c r="CA2800" s="1" t="s">
        <v>104</v>
      </c>
      <c r="CB2800" s="1" t="s">
        <v>104</v>
      </c>
      <c r="CC2800" s="1" t="s">
        <v>104</v>
      </c>
      <c r="CD2800" s="1" t="s">
        <v>104</v>
      </c>
      <c r="CE2800" s="1" t="s">
        <v>104</v>
      </c>
      <c r="CF2800" s="1" t="s">
        <v>104</v>
      </c>
      <c r="CG2800" s="1" t="s">
        <v>104</v>
      </c>
      <c r="CH2800" s="1">
        <v>5</v>
      </c>
      <c r="CJ2800" s="1">
        <v>0</v>
      </c>
      <c r="CK2800" s="1">
        <v>0</v>
      </c>
      <c r="CL2800" s="1">
        <v>0</v>
      </c>
      <c r="CM2800" s="1" t="s">
        <v>104</v>
      </c>
    </row>
    <row r="2801" spans="1:91" ht="14.25" customHeight="1" x14ac:dyDescent="0.3">
      <c r="A2801" s="1" t="s">
        <v>14031</v>
      </c>
      <c r="B2801" s="1" t="s">
        <v>92</v>
      </c>
      <c r="C2801" s="1" t="s">
        <v>1160</v>
      </c>
      <c r="E2801" s="1" t="s">
        <v>14032</v>
      </c>
      <c r="F2801" s="1" t="s">
        <v>95</v>
      </c>
      <c r="G2801" s="1" t="s">
        <v>14033</v>
      </c>
      <c r="H2801" s="1">
        <v>0</v>
      </c>
      <c r="I2801" s="1" t="s">
        <v>97</v>
      </c>
      <c r="L2801" s="1" t="s">
        <v>14034</v>
      </c>
      <c r="M2801" s="1" t="s">
        <v>119</v>
      </c>
      <c r="N2801" s="1">
        <v>0</v>
      </c>
      <c r="O2801" s="1">
        <v>0</v>
      </c>
      <c r="P2801" s="1" t="s">
        <v>5957</v>
      </c>
      <c r="Q2801" s="1" t="s">
        <v>101</v>
      </c>
      <c r="R2801" s="1" t="s">
        <v>14035</v>
      </c>
      <c r="S2801" s="1" t="s">
        <v>14002</v>
      </c>
      <c r="T2801" s="1">
        <v>1</v>
      </c>
      <c r="U2801" s="1">
        <v>1</v>
      </c>
      <c r="V2801" s="1">
        <v>0</v>
      </c>
      <c r="W2801" s="1">
        <v>0</v>
      </c>
      <c r="X2801" s="1">
        <v>0</v>
      </c>
      <c r="Y2801" s="1">
        <v>5</v>
      </c>
      <c r="Z2801" s="1">
        <v>5</v>
      </c>
      <c r="AA2801" s="1" t="s">
        <v>104</v>
      </c>
      <c r="AB2801" s="1">
        <v>5</v>
      </c>
      <c r="AC2801" s="1">
        <v>4</v>
      </c>
      <c r="AD2801" s="1" t="s">
        <v>104</v>
      </c>
      <c r="AE2801" s="1">
        <v>4</v>
      </c>
      <c r="AF2801" s="1" t="s">
        <v>104</v>
      </c>
      <c r="AG2801" s="1" t="s">
        <v>104</v>
      </c>
      <c r="AH2801" s="1">
        <v>5</v>
      </c>
      <c r="AI2801" s="1" t="s">
        <v>104</v>
      </c>
      <c r="AJ2801" s="1" t="s">
        <v>104</v>
      </c>
      <c r="AK2801" s="1">
        <v>4</v>
      </c>
      <c r="AL2801" s="1" t="s">
        <v>104</v>
      </c>
      <c r="AM2801" s="1" t="s">
        <v>104</v>
      </c>
      <c r="AO2801" s="1">
        <v>5</v>
      </c>
      <c r="AQ2801" s="1" t="s">
        <v>14036</v>
      </c>
      <c r="AR2801" s="1">
        <v>0</v>
      </c>
      <c r="AS2801" s="1">
        <v>0</v>
      </c>
      <c r="AT2801" s="1">
        <v>0</v>
      </c>
      <c r="AU2801" s="1">
        <v>0</v>
      </c>
      <c r="AV2801" s="1">
        <v>0</v>
      </c>
      <c r="AW2801" s="1">
        <v>0</v>
      </c>
      <c r="AX2801" s="1">
        <v>0</v>
      </c>
      <c r="AY2801" s="1">
        <v>0</v>
      </c>
      <c r="AZ2801" s="1">
        <v>0</v>
      </c>
      <c r="BA2801" s="1">
        <v>0</v>
      </c>
      <c r="BB2801" s="1">
        <v>0</v>
      </c>
      <c r="BC2801" s="1">
        <v>0</v>
      </c>
      <c r="BD2801" s="1">
        <v>0</v>
      </c>
      <c r="BE2801" s="1">
        <v>0</v>
      </c>
      <c r="BF2801" s="1">
        <v>0</v>
      </c>
      <c r="BG2801" s="1">
        <v>0</v>
      </c>
      <c r="BH2801" s="1">
        <v>0</v>
      </c>
      <c r="BI2801" s="1">
        <v>0</v>
      </c>
      <c r="BJ2801" s="1">
        <v>0</v>
      </c>
      <c r="BK2801" s="1">
        <v>0</v>
      </c>
      <c r="BL2801" s="1">
        <v>0</v>
      </c>
      <c r="BM2801" s="1">
        <v>0</v>
      </c>
      <c r="BN2801" s="1">
        <v>0</v>
      </c>
      <c r="BO2801" s="1">
        <v>0</v>
      </c>
      <c r="BP2801" s="1">
        <v>0</v>
      </c>
      <c r="BQ2801" s="1" t="s">
        <v>104</v>
      </c>
      <c r="BR2801" s="1">
        <v>4928</v>
      </c>
      <c r="BS2801" s="1" t="s">
        <v>104</v>
      </c>
      <c r="BX2801" s="1">
        <v>0</v>
      </c>
      <c r="BY2801" s="1" t="s">
        <v>104</v>
      </c>
      <c r="BZ2801" s="1">
        <v>5</v>
      </c>
      <c r="CA2801" s="1" t="s">
        <v>104</v>
      </c>
      <c r="CB2801" s="1" t="s">
        <v>104</v>
      </c>
      <c r="CC2801" s="1" t="s">
        <v>104</v>
      </c>
      <c r="CD2801" s="1" t="s">
        <v>104</v>
      </c>
      <c r="CE2801" s="1" t="s">
        <v>104</v>
      </c>
      <c r="CF2801" s="1" t="s">
        <v>104</v>
      </c>
      <c r="CG2801" s="1" t="s">
        <v>104</v>
      </c>
      <c r="CH2801" s="1">
        <v>4</v>
      </c>
      <c r="CJ2801" s="1">
        <v>0</v>
      </c>
      <c r="CK2801" s="1">
        <v>0</v>
      </c>
      <c r="CL2801" s="1">
        <v>0</v>
      </c>
      <c r="CM2801" s="1" t="s">
        <v>104</v>
      </c>
    </row>
    <row r="2802" spans="1:91" ht="14.25" customHeight="1" x14ac:dyDescent="0.3">
      <c r="A2802" s="1" t="s">
        <v>14037</v>
      </c>
      <c r="B2802" s="1" t="s">
        <v>137</v>
      </c>
      <c r="D2802" s="1" t="s">
        <v>51</v>
      </c>
      <c r="E2802" s="1" t="s">
        <v>14038</v>
      </c>
      <c r="F2802" s="1" t="s">
        <v>95</v>
      </c>
      <c r="G2802" s="1" t="s">
        <v>116</v>
      </c>
      <c r="H2802" s="1">
        <v>0</v>
      </c>
      <c r="I2802" s="1" t="s">
        <v>14039</v>
      </c>
      <c r="J2802" s="1" t="s">
        <v>14040</v>
      </c>
      <c r="M2802" s="1" t="s">
        <v>119</v>
      </c>
      <c r="N2802" s="1">
        <v>0</v>
      </c>
      <c r="O2802" s="1">
        <v>0</v>
      </c>
      <c r="P2802" s="1" t="s">
        <v>6014</v>
      </c>
      <c r="Q2802" s="1" t="s">
        <v>101</v>
      </c>
      <c r="R2802" s="1" t="s">
        <v>14041</v>
      </c>
      <c r="S2802" s="1" t="s">
        <v>14002</v>
      </c>
      <c r="T2802" s="1">
        <v>1</v>
      </c>
      <c r="U2802" s="1">
        <v>1</v>
      </c>
      <c r="V2802" s="1">
        <v>0</v>
      </c>
      <c r="W2802" s="1">
        <v>0</v>
      </c>
      <c r="X2802" s="1">
        <v>0</v>
      </c>
      <c r="Y2802" s="1">
        <v>3</v>
      </c>
      <c r="Z2802" s="1">
        <v>3</v>
      </c>
      <c r="AA2802" s="1" t="s">
        <v>104</v>
      </c>
      <c r="AB2802" s="1">
        <v>3</v>
      </c>
      <c r="AC2802" s="1" t="s">
        <v>104</v>
      </c>
      <c r="AD2802" s="1" t="s">
        <v>104</v>
      </c>
      <c r="AE2802" s="1" t="s">
        <v>104</v>
      </c>
      <c r="AF2802" s="1" t="s">
        <v>104</v>
      </c>
      <c r="AG2802" s="1" t="s">
        <v>104</v>
      </c>
      <c r="AH2802" s="1">
        <v>3</v>
      </c>
      <c r="AI2802" s="1" t="s">
        <v>104</v>
      </c>
      <c r="AJ2802" s="1" t="s">
        <v>104</v>
      </c>
      <c r="AK2802" s="1" t="s">
        <v>104</v>
      </c>
      <c r="AL2802" s="1">
        <v>3</v>
      </c>
      <c r="AM2802" s="1" t="s">
        <v>104</v>
      </c>
      <c r="AO2802" s="1">
        <v>3</v>
      </c>
      <c r="AQ2802" s="1" t="s">
        <v>14042</v>
      </c>
      <c r="AR2802" s="1">
        <v>0</v>
      </c>
      <c r="AS2802" s="1">
        <v>0</v>
      </c>
      <c r="AT2802" s="1">
        <v>0</v>
      </c>
      <c r="AU2802" s="1">
        <v>0</v>
      </c>
      <c r="AV2802" s="1">
        <v>0</v>
      </c>
      <c r="AW2802" s="1">
        <v>0</v>
      </c>
      <c r="AX2802" s="1">
        <v>0</v>
      </c>
      <c r="AY2802" s="1">
        <v>0</v>
      </c>
      <c r="AZ2802" s="1">
        <v>1</v>
      </c>
      <c r="BA2802" s="1">
        <v>0</v>
      </c>
      <c r="BB2802" s="1">
        <v>0</v>
      </c>
      <c r="BC2802" s="1">
        <v>0</v>
      </c>
      <c r="BD2802" s="1">
        <v>0</v>
      </c>
      <c r="BE2802" s="1">
        <v>0</v>
      </c>
      <c r="BF2802" s="1">
        <v>0</v>
      </c>
      <c r="BG2802" s="1">
        <v>0</v>
      </c>
      <c r="BH2802" s="1">
        <v>0</v>
      </c>
      <c r="BI2802" s="1">
        <v>0</v>
      </c>
      <c r="BJ2802" s="1">
        <v>0</v>
      </c>
      <c r="BK2802" s="1">
        <v>0</v>
      </c>
      <c r="BL2802" s="1">
        <v>0</v>
      </c>
      <c r="BM2802" s="1">
        <v>0</v>
      </c>
      <c r="BN2802" s="1">
        <v>0</v>
      </c>
      <c r="BO2802" s="1">
        <v>0</v>
      </c>
      <c r="BP2802" s="1">
        <v>0</v>
      </c>
      <c r="BQ2802" s="1" t="s">
        <v>104</v>
      </c>
      <c r="BR2802" s="1">
        <v>4929</v>
      </c>
      <c r="BS2802" s="1" t="s">
        <v>104</v>
      </c>
      <c r="BX2802" s="1">
        <v>0</v>
      </c>
      <c r="BY2802" s="1">
        <v>3</v>
      </c>
      <c r="BZ2802" s="1">
        <v>3</v>
      </c>
      <c r="CA2802" s="1" t="s">
        <v>104</v>
      </c>
      <c r="CB2802" s="1" t="s">
        <v>104</v>
      </c>
      <c r="CC2802" s="1" t="s">
        <v>104</v>
      </c>
      <c r="CD2802" s="1" t="s">
        <v>104</v>
      </c>
      <c r="CE2802" s="1" t="s">
        <v>104</v>
      </c>
      <c r="CF2802" s="1" t="s">
        <v>104</v>
      </c>
      <c r="CG2802" s="1" t="s">
        <v>104</v>
      </c>
      <c r="CH2802" s="1">
        <v>3</v>
      </c>
      <c r="CJ2802" s="1">
        <v>0</v>
      </c>
      <c r="CK2802" s="1">
        <v>0</v>
      </c>
      <c r="CL2802" s="1">
        <v>0</v>
      </c>
      <c r="CM2802" s="1" t="s">
        <v>104</v>
      </c>
    </row>
    <row r="2803" spans="1:91" ht="14.25" customHeight="1" x14ac:dyDescent="0.3">
      <c r="A2803" s="1" t="s">
        <v>14043</v>
      </c>
      <c r="B2803" s="1" t="s">
        <v>507</v>
      </c>
      <c r="C2803" s="1" t="s">
        <v>1767</v>
      </c>
      <c r="E2803" s="1" t="s">
        <v>14044</v>
      </c>
      <c r="F2803" s="1" t="s">
        <v>95</v>
      </c>
      <c r="G2803" s="1" t="s">
        <v>14045</v>
      </c>
      <c r="H2803" s="1">
        <v>0</v>
      </c>
      <c r="I2803" s="1" t="s">
        <v>14046</v>
      </c>
      <c r="J2803" s="1" t="s">
        <v>14047</v>
      </c>
      <c r="M2803" s="1" t="s">
        <v>426</v>
      </c>
      <c r="N2803" s="1">
        <v>1</v>
      </c>
      <c r="O2803" s="1">
        <v>1</v>
      </c>
      <c r="P2803" s="1" t="s">
        <v>1894</v>
      </c>
      <c r="Q2803" s="1" t="s">
        <v>184</v>
      </c>
      <c r="R2803" s="1" t="s">
        <v>14048</v>
      </c>
      <c r="S2803" s="1" t="s">
        <v>14002</v>
      </c>
      <c r="T2803" s="1">
        <v>1</v>
      </c>
      <c r="U2803" s="1">
        <v>1</v>
      </c>
      <c r="V2803" s="1">
        <v>0</v>
      </c>
      <c r="W2803" s="1">
        <v>0</v>
      </c>
      <c r="X2803" s="1">
        <v>0</v>
      </c>
      <c r="Y2803" s="1" t="s">
        <v>104</v>
      </c>
      <c r="Z2803" s="1" t="s">
        <v>104</v>
      </c>
      <c r="AA2803" s="1" t="s">
        <v>104</v>
      </c>
      <c r="AB2803" s="1">
        <v>1</v>
      </c>
      <c r="AC2803" s="1">
        <v>1</v>
      </c>
      <c r="AD2803" s="1">
        <v>1</v>
      </c>
      <c r="AE2803" s="1" t="s">
        <v>104</v>
      </c>
      <c r="AF2803" s="1" t="s">
        <v>104</v>
      </c>
      <c r="AG2803" s="1" t="s">
        <v>104</v>
      </c>
      <c r="AH2803" s="1">
        <v>1</v>
      </c>
      <c r="AI2803" s="1" t="s">
        <v>104</v>
      </c>
      <c r="AJ2803" s="1" t="s">
        <v>104</v>
      </c>
      <c r="AK2803" s="1" t="s">
        <v>104</v>
      </c>
      <c r="AL2803" s="1" t="s">
        <v>104</v>
      </c>
      <c r="AM2803" s="1" t="s">
        <v>104</v>
      </c>
      <c r="AO2803" s="1">
        <v>1</v>
      </c>
      <c r="AQ2803" s="1" t="s">
        <v>14049</v>
      </c>
      <c r="AR2803" s="1">
        <v>0</v>
      </c>
      <c r="AS2803" s="1">
        <v>0</v>
      </c>
      <c r="AT2803" s="1">
        <v>0</v>
      </c>
      <c r="AU2803" s="1">
        <v>0</v>
      </c>
      <c r="AV2803" s="1">
        <v>0</v>
      </c>
      <c r="AW2803" s="1">
        <v>0</v>
      </c>
      <c r="AX2803" s="1">
        <v>0</v>
      </c>
      <c r="AY2803" s="1">
        <v>0</v>
      </c>
      <c r="AZ2803" s="1">
        <v>0</v>
      </c>
      <c r="BA2803" s="1">
        <v>0</v>
      </c>
      <c r="BB2803" s="1">
        <v>0</v>
      </c>
      <c r="BC2803" s="1">
        <v>0</v>
      </c>
      <c r="BD2803" s="1">
        <v>0</v>
      </c>
      <c r="BE2803" s="1">
        <v>0</v>
      </c>
      <c r="BF2803" s="1">
        <v>0</v>
      </c>
      <c r="BG2803" s="1">
        <v>0</v>
      </c>
      <c r="BH2803" s="1">
        <v>0</v>
      </c>
      <c r="BI2803" s="1">
        <v>0</v>
      </c>
      <c r="BJ2803" s="1">
        <v>0</v>
      </c>
      <c r="BK2803" s="1">
        <v>0</v>
      </c>
      <c r="BL2803" s="1">
        <v>0</v>
      </c>
      <c r="BM2803" s="1">
        <v>0</v>
      </c>
      <c r="BN2803" s="1">
        <v>0</v>
      </c>
      <c r="BO2803" s="1">
        <v>0</v>
      </c>
      <c r="BP2803" s="1">
        <v>0</v>
      </c>
      <c r="BQ2803" s="1" t="s">
        <v>104</v>
      </c>
      <c r="BR2803" s="1">
        <v>4930</v>
      </c>
      <c r="BS2803" s="1" t="s">
        <v>104</v>
      </c>
      <c r="BX2803" s="1">
        <v>0</v>
      </c>
      <c r="BY2803" s="1" t="s">
        <v>104</v>
      </c>
      <c r="BZ2803" s="1" t="s">
        <v>104</v>
      </c>
      <c r="CA2803" s="1">
        <v>1</v>
      </c>
      <c r="CB2803" s="1">
        <v>1</v>
      </c>
      <c r="CC2803" s="1">
        <v>1</v>
      </c>
      <c r="CD2803" s="1">
        <v>1</v>
      </c>
      <c r="CE2803" s="1">
        <v>1</v>
      </c>
      <c r="CF2803" s="1" t="s">
        <v>104</v>
      </c>
      <c r="CG2803" s="1" t="s">
        <v>104</v>
      </c>
      <c r="CH2803" s="1">
        <v>1</v>
      </c>
      <c r="CJ2803" s="1">
        <v>0</v>
      </c>
      <c r="CK2803" s="1">
        <v>0</v>
      </c>
      <c r="CL2803" s="1">
        <v>0</v>
      </c>
      <c r="CM2803" s="1" t="s">
        <v>104</v>
      </c>
    </row>
    <row r="2804" spans="1:91" ht="14.25" customHeight="1" x14ac:dyDescent="0.3">
      <c r="A2804" s="1" t="s">
        <v>14050</v>
      </c>
      <c r="B2804" s="1" t="s">
        <v>216</v>
      </c>
      <c r="E2804" s="1" t="s">
        <v>281</v>
      </c>
      <c r="F2804" s="1" t="s">
        <v>95</v>
      </c>
      <c r="G2804" s="1" t="s">
        <v>14051</v>
      </c>
      <c r="H2804" s="1">
        <v>0</v>
      </c>
      <c r="I2804" s="1" t="s">
        <v>117</v>
      </c>
      <c r="J2804" s="1" t="s">
        <v>5994</v>
      </c>
      <c r="M2804" s="1" t="s">
        <v>119</v>
      </c>
      <c r="N2804" s="1">
        <v>0</v>
      </c>
      <c r="O2804" s="1">
        <v>0</v>
      </c>
      <c r="P2804" s="1" t="s">
        <v>6014</v>
      </c>
      <c r="Q2804" s="1" t="s">
        <v>184</v>
      </c>
      <c r="R2804" s="1" t="s">
        <v>14052</v>
      </c>
      <c r="S2804" s="1" t="s">
        <v>14002</v>
      </c>
      <c r="T2804" s="1">
        <v>1</v>
      </c>
      <c r="U2804" s="1">
        <v>1</v>
      </c>
      <c r="V2804" s="1">
        <v>1</v>
      </c>
      <c r="W2804" s="1">
        <v>0</v>
      </c>
      <c r="X2804" s="1">
        <v>0</v>
      </c>
      <c r="Y2804" s="1" t="s">
        <v>104</v>
      </c>
      <c r="Z2804" s="1" t="s">
        <v>104</v>
      </c>
      <c r="AA2804" s="1" t="s">
        <v>104</v>
      </c>
      <c r="AB2804" s="1">
        <v>4</v>
      </c>
      <c r="AC2804" s="1" t="s">
        <v>104</v>
      </c>
      <c r="AD2804" s="1" t="s">
        <v>104</v>
      </c>
      <c r="AE2804" s="1" t="s">
        <v>104</v>
      </c>
      <c r="AF2804" s="1" t="s">
        <v>104</v>
      </c>
      <c r="AG2804" s="1" t="s">
        <v>104</v>
      </c>
      <c r="AH2804" s="1" t="s">
        <v>104</v>
      </c>
      <c r="AI2804" s="1" t="s">
        <v>104</v>
      </c>
      <c r="AJ2804" s="1" t="s">
        <v>104</v>
      </c>
      <c r="AK2804" s="1" t="s">
        <v>104</v>
      </c>
      <c r="AL2804" s="1" t="s">
        <v>104</v>
      </c>
      <c r="AM2804" s="1" t="s">
        <v>104</v>
      </c>
      <c r="AO2804" s="1">
        <v>4</v>
      </c>
      <c r="AQ2804" s="1" t="s">
        <v>14053</v>
      </c>
      <c r="AR2804" s="1">
        <v>0</v>
      </c>
      <c r="AS2804" s="1">
        <v>0</v>
      </c>
      <c r="AT2804" s="1">
        <v>0</v>
      </c>
      <c r="AU2804" s="1">
        <v>0</v>
      </c>
      <c r="AV2804" s="1">
        <v>0</v>
      </c>
      <c r="AW2804" s="1">
        <v>0</v>
      </c>
      <c r="AX2804" s="1">
        <v>0</v>
      </c>
      <c r="AY2804" s="1">
        <v>0</v>
      </c>
      <c r="AZ2804" s="1">
        <v>0</v>
      </c>
      <c r="BA2804" s="1">
        <v>0</v>
      </c>
      <c r="BB2804" s="1">
        <v>0</v>
      </c>
      <c r="BC2804" s="1">
        <v>0</v>
      </c>
      <c r="BD2804" s="1">
        <v>0</v>
      </c>
      <c r="BE2804" s="1">
        <v>0</v>
      </c>
      <c r="BF2804" s="1">
        <v>0</v>
      </c>
      <c r="BG2804" s="1">
        <v>0</v>
      </c>
      <c r="BH2804" s="1">
        <v>0</v>
      </c>
      <c r="BI2804" s="1">
        <v>0</v>
      </c>
      <c r="BJ2804" s="1">
        <v>0</v>
      </c>
      <c r="BK2804" s="1">
        <v>0</v>
      </c>
      <c r="BL2804" s="1">
        <v>0</v>
      </c>
      <c r="BM2804" s="1">
        <v>0</v>
      </c>
      <c r="BN2804" s="1">
        <v>0</v>
      </c>
      <c r="BO2804" s="1">
        <v>0</v>
      </c>
      <c r="BP2804" s="1">
        <v>0</v>
      </c>
      <c r="BQ2804" s="1" t="s">
        <v>104</v>
      </c>
      <c r="BR2804" s="1">
        <v>4931</v>
      </c>
      <c r="BS2804" s="1" t="s">
        <v>104</v>
      </c>
      <c r="BX2804" s="1">
        <v>0</v>
      </c>
      <c r="BY2804" s="1" t="s">
        <v>104</v>
      </c>
      <c r="BZ2804" s="1" t="s">
        <v>104</v>
      </c>
      <c r="CA2804" s="1" t="s">
        <v>104</v>
      </c>
      <c r="CB2804" s="1" t="s">
        <v>104</v>
      </c>
      <c r="CC2804" s="1" t="s">
        <v>104</v>
      </c>
      <c r="CD2804" s="1" t="s">
        <v>104</v>
      </c>
      <c r="CE2804" s="1" t="s">
        <v>104</v>
      </c>
      <c r="CF2804" s="1" t="s">
        <v>104</v>
      </c>
      <c r="CG2804" s="1" t="s">
        <v>104</v>
      </c>
      <c r="CH2804" s="1">
        <v>4</v>
      </c>
      <c r="CJ2804" s="1">
        <v>0</v>
      </c>
      <c r="CK2804" s="1">
        <v>0</v>
      </c>
      <c r="CL2804" s="1">
        <v>0</v>
      </c>
      <c r="CM2804" s="1" t="s">
        <v>104</v>
      </c>
    </row>
    <row r="2805" spans="1:91" ht="14.25" customHeight="1" x14ac:dyDescent="0.3">
      <c r="A2805" s="1" t="s">
        <v>14054</v>
      </c>
      <c r="B2805" s="1" t="s">
        <v>137</v>
      </c>
      <c r="C2805" s="1" t="s">
        <v>154</v>
      </c>
      <c r="E2805" s="1" t="s">
        <v>14055</v>
      </c>
      <c r="F2805" s="1" t="s">
        <v>95</v>
      </c>
      <c r="G2805" s="1" t="s">
        <v>156</v>
      </c>
      <c r="H2805" s="1">
        <v>0</v>
      </c>
      <c r="I2805" s="1" t="s">
        <v>157</v>
      </c>
      <c r="L2805" s="1" t="s">
        <v>158</v>
      </c>
      <c r="M2805" s="1" t="s">
        <v>4641</v>
      </c>
      <c r="N2805" s="1">
        <v>1</v>
      </c>
      <c r="O2805" s="1">
        <v>0</v>
      </c>
      <c r="R2805" s="1" t="s">
        <v>14056</v>
      </c>
      <c r="S2805" s="1" t="s">
        <v>14002</v>
      </c>
      <c r="T2805" s="1">
        <v>1</v>
      </c>
      <c r="U2805" s="1">
        <v>1</v>
      </c>
      <c r="V2805" s="1">
        <v>1</v>
      </c>
      <c r="W2805" s="1">
        <v>0</v>
      </c>
      <c r="X2805" s="1">
        <v>0</v>
      </c>
      <c r="Y2805" s="1">
        <v>4</v>
      </c>
      <c r="Z2805" s="1">
        <v>4</v>
      </c>
      <c r="AA2805" s="1" t="s">
        <v>104</v>
      </c>
      <c r="AB2805" s="1">
        <v>3</v>
      </c>
      <c r="AC2805" s="1" t="s">
        <v>104</v>
      </c>
      <c r="AD2805" s="1" t="s">
        <v>104</v>
      </c>
      <c r="AE2805" s="1" t="s">
        <v>104</v>
      </c>
      <c r="AF2805" s="1">
        <v>3</v>
      </c>
      <c r="AG2805" s="1" t="s">
        <v>104</v>
      </c>
      <c r="AH2805" s="1">
        <v>4</v>
      </c>
      <c r="AI2805" s="1" t="s">
        <v>104</v>
      </c>
      <c r="AJ2805" s="1" t="s">
        <v>104</v>
      </c>
      <c r="AK2805" s="1" t="s">
        <v>104</v>
      </c>
      <c r="AL2805" s="1">
        <v>4</v>
      </c>
      <c r="AM2805" s="1" t="s">
        <v>104</v>
      </c>
      <c r="AO2805" s="1">
        <v>4</v>
      </c>
      <c r="AQ2805" s="1" t="s">
        <v>14057</v>
      </c>
      <c r="AR2805" s="1">
        <v>0</v>
      </c>
      <c r="AS2805" s="1">
        <v>0</v>
      </c>
      <c r="AT2805" s="1">
        <v>0</v>
      </c>
      <c r="AU2805" s="1">
        <v>0</v>
      </c>
      <c r="AV2805" s="1">
        <v>0</v>
      </c>
      <c r="AW2805" s="1">
        <v>0</v>
      </c>
      <c r="AX2805" s="1">
        <v>0</v>
      </c>
      <c r="AY2805" s="1">
        <v>0</v>
      </c>
      <c r="AZ2805" s="1">
        <v>0</v>
      </c>
      <c r="BA2805" s="1">
        <v>0</v>
      </c>
      <c r="BB2805" s="1">
        <v>0</v>
      </c>
      <c r="BC2805" s="1">
        <v>0</v>
      </c>
      <c r="BD2805" s="1">
        <v>0</v>
      </c>
      <c r="BE2805" s="1">
        <v>0</v>
      </c>
      <c r="BF2805" s="1">
        <v>0</v>
      </c>
      <c r="BG2805" s="1">
        <v>0</v>
      </c>
      <c r="BH2805" s="1">
        <v>0</v>
      </c>
      <c r="BI2805" s="1">
        <v>0</v>
      </c>
      <c r="BJ2805" s="1">
        <v>0</v>
      </c>
      <c r="BK2805" s="1">
        <v>0</v>
      </c>
      <c r="BL2805" s="1">
        <v>0</v>
      </c>
      <c r="BM2805" s="1">
        <v>0</v>
      </c>
      <c r="BN2805" s="1">
        <v>0</v>
      </c>
      <c r="BO2805" s="1">
        <v>0</v>
      </c>
      <c r="BP2805" s="1">
        <v>0</v>
      </c>
      <c r="BQ2805" s="1" t="s">
        <v>104</v>
      </c>
      <c r="BR2805" s="1">
        <v>4932</v>
      </c>
      <c r="BS2805" s="1" t="s">
        <v>104</v>
      </c>
      <c r="BX2805" s="1">
        <v>0</v>
      </c>
      <c r="BY2805" s="1">
        <v>3</v>
      </c>
      <c r="BZ2805" s="1">
        <v>3</v>
      </c>
      <c r="CA2805" s="1" t="s">
        <v>104</v>
      </c>
      <c r="CB2805" s="1" t="s">
        <v>104</v>
      </c>
      <c r="CC2805" s="1" t="s">
        <v>104</v>
      </c>
      <c r="CD2805" s="1" t="s">
        <v>104</v>
      </c>
      <c r="CE2805" s="1" t="s">
        <v>104</v>
      </c>
      <c r="CF2805" s="1" t="s">
        <v>104</v>
      </c>
      <c r="CG2805" s="1" t="s">
        <v>104</v>
      </c>
      <c r="CH2805" s="1">
        <v>3</v>
      </c>
      <c r="CJ2805" s="1">
        <v>0</v>
      </c>
      <c r="CK2805" s="1">
        <v>0</v>
      </c>
      <c r="CL2805" s="1">
        <v>0</v>
      </c>
      <c r="CM2805" s="1" t="s">
        <v>104</v>
      </c>
    </row>
    <row r="2806" spans="1:91" ht="14.25" customHeight="1" x14ac:dyDescent="0.3">
      <c r="A2806" s="1" t="s">
        <v>14058</v>
      </c>
      <c r="B2806" s="1" t="s">
        <v>137</v>
      </c>
      <c r="C2806" s="1" t="s">
        <v>154</v>
      </c>
      <c r="E2806" s="1" t="s">
        <v>14059</v>
      </c>
      <c r="F2806" s="1" t="s">
        <v>95</v>
      </c>
      <c r="G2806" s="1" t="s">
        <v>156</v>
      </c>
      <c r="H2806" s="1">
        <v>0</v>
      </c>
      <c r="I2806" s="1" t="s">
        <v>157</v>
      </c>
      <c r="L2806" s="1" t="s">
        <v>158</v>
      </c>
      <c r="M2806" s="1" t="s">
        <v>4641</v>
      </c>
      <c r="N2806" s="1">
        <v>1</v>
      </c>
      <c r="O2806" s="1">
        <v>0</v>
      </c>
      <c r="R2806" s="1" t="s">
        <v>14060</v>
      </c>
      <c r="S2806" s="1" t="s">
        <v>14002</v>
      </c>
      <c r="T2806" s="1">
        <v>1</v>
      </c>
      <c r="U2806" s="1">
        <v>1</v>
      </c>
      <c r="V2806" s="1">
        <v>1</v>
      </c>
      <c r="W2806" s="1">
        <v>0</v>
      </c>
      <c r="X2806" s="1">
        <v>0</v>
      </c>
      <c r="Y2806" s="1">
        <v>6</v>
      </c>
      <c r="Z2806" s="1">
        <v>6</v>
      </c>
      <c r="AA2806" s="1" t="s">
        <v>104</v>
      </c>
      <c r="AB2806" s="1">
        <v>5</v>
      </c>
      <c r="AC2806" s="1" t="s">
        <v>104</v>
      </c>
      <c r="AD2806" s="1" t="s">
        <v>104</v>
      </c>
      <c r="AE2806" s="1" t="s">
        <v>104</v>
      </c>
      <c r="AF2806" s="1">
        <v>5</v>
      </c>
      <c r="AG2806" s="1" t="s">
        <v>104</v>
      </c>
      <c r="AH2806" s="1">
        <v>6</v>
      </c>
      <c r="AI2806" s="1" t="s">
        <v>104</v>
      </c>
      <c r="AJ2806" s="1" t="s">
        <v>104</v>
      </c>
      <c r="AK2806" s="1" t="s">
        <v>104</v>
      </c>
      <c r="AL2806" s="1">
        <v>6</v>
      </c>
      <c r="AM2806" s="1" t="s">
        <v>104</v>
      </c>
      <c r="AO2806" s="1">
        <v>6</v>
      </c>
      <c r="AQ2806" s="1" t="s">
        <v>14061</v>
      </c>
      <c r="AR2806" s="1">
        <v>0</v>
      </c>
      <c r="AS2806" s="1">
        <v>0</v>
      </c>
      <c r="AT2806" s="1">
        <v>0</v>
      </c>
      <c r="AU2806" s="1">
        <v>0</v>
      </c>
      <c r="AV2806" s="1">
        <v>0</v>
      </c>
      <c r="AW2806" s="1">
        <v>0</v>
      </c>
      <c r="AX2806" s="1">
        <v>0</v>
      </c>
      <c r="AY2806" s="1">
        <v>0</v>
      </c>
      <c r="AZ2806" s="1">
        <v>0</v>
      </c>
      <c r="BA2806" s="1">
        <v>0</v>
      </c>
      <c r="BB2806" s="1">
        <v>0</v>
      </c>
      <c r="BC2806" s="1">
        <v>0</v>
      </c>
      <c r="BD2806" s="1">
        <v>0</v>
      </c>
      <c r="BE2806" s="1">
        <v>0</v>
      </c>
      <c r="BF2806" s="1">
        <v>0</v>
      </c>
      <c r="BG2806" s="1">
        <v>0</v>
      </c>
      <c r="BH2806" s="1">
        <v>0</v>
      </c>
      <c r="BI2806" s="1">
        <v>0</v>
      </c>
      <c r="BJ2806" s="1">
        <v>0</v>
      </c>
      <c r="BK2806" s="1">
        <v>0</v>
      </c>
      <c r="BL2806" s="1">
        <v>0</v>
      </c>
      <c r="BM2806" s="1">
        <v>0</v>
      </c>
      <c r="BN2806" s="1">
        <v>0</v>
      </c>
      <c r="BO2806" s="1">
        <v>0</v>
      </c>
      <c r="BP2806" s="1">
        <v>0</v>
      </c>
      <c r="BQ2806" s="1" t="s">
        <v>104</v>
      </c>
      <c r="BR2806" s="1">
        <v>4933</v>
      </c>
      <c r="BS2806" s="1" t="s">
        <v>104</v>
      </c>
      <c r="BX2806" s="1">
        <v>0</v>
      </c>
      <c r="BY2806" s="1" t="s">
        <v>104</v>
      </c>
      <c r="BZ2806" s="1">
        <v>5</v>
      </c>
      <c r="CA2806" s="1" t="s">
        <v>104</v>
      </c>
      <c r="CB2806" s="1" t="s">
        <v>104</v>
      </c>
      <c r="CC2806" s="1" t="s">
        <v>104</v>
      </c>
      <c r="CD2806" s="1" t="s">
        <v>104</v>
      </c>
      <c r="CE2806" s="1" t="s">
        <v>104</v>
      </c>
      <c r="CF2806" s="1" t="s">
        <v>104</v>
      </c>
      <c r="CG2806" s="1" t="s">
        <v>104</v>
      </c>
      <c r="CH2806" s="1">
        <v>5</v>
      </c>
      <c r="CJ2806" s="1">
        <v>0</v>
      </c>
      <c r="CK2806" s="1">
        <v>0</v>
      </c>
      <c r="CL2806" s="1">
        <v>0</v>
      </c>
      <c r="CM2806" s="1" t="s">
        <v>104</v>
      </c>
    </row>
    <row r="2807" spans="1:91" ht="14.25" customHeight="1" x14ac:dyDescent="0.3">
      <c r="A2807" s="1" t="s">
        <v>14062</v>
      </c>
      <c r="B2807" s="1" t="s">
        <v>137</v>
      </c>
      <c r="C2807" s="1" t="s">
        <v>154</v>
      </c>
      <c r="E2807" s="1" t="s">
        <v>14063</v>
      </c>
      <c r="F2807" s="1" t="s">
        <v>95</v>
      </c>
      <c r="G2807" s="1" t="s">
        <v>156</v>
      </c>
      <c r="H2807" s="1">
        <v>0</v>
      </c>
      <c r="I2807" s="1" t="s">
        <v>157</v>
      </c>
      <c r="L2807" s="1" t="s">
        <v>158</v>
      </c>
      <c r="M2807" s="1" t="s">
        <v>4641</v>
      </c>
      <c r="N2807" s="1">
        <v>1</v>
      </c>
      <c r="O2807" s="1">
        <v>0</v>
      </c>
      <c r="R2807" s="1" t="s">
        <v>14064</v>
      </c>
      <c r="S2807" s="1" t="s">
        <v>14002</v>
      </c>
      <c r="T2807" s="1">
        <v>1</v>
      </c>
      <c r="U2807" s="1">
        <v>1</v>
      </c>
      <c r="V2807" s="1">
        <v>1</v>
      </c>
      <c r="W2807" s="1">
        <v>0</v>
      </c>
      <c r="X2807" s="1">
        <v>0</v>
      </c>
      <c r="Y2807" s="1">
        <v>7</v>
      </c>
      <c r="Z2807" s="1">
        <v>7</v>
      </c>
      <c r="AA2807" s="1" t="s">
        <v>104</v>
      </c>
      <c r="AB2807" s="1">
        <v>6</v>
      </c>
      <c r="AC2807" s="1" t="s">
        <v>104</v>
      </c>
      <c r="AD2807" s="1" t="s">
        <v>104</v>
      </c>
      <c r="AE2807" s="1" t="s">
        <v>104</v>
      </c>
      <c r="AF2807" s="1">
        <v>6</v>
      </c>
      <c r="AG2807" s="1" t="s">
        <v>104</v>
      </c>
      <c r="AH2807" s="1">
        <v>7</v>
      </c>
      <c r="AI2807" s="1" t="s">
        <v>104</v>
      </c>
      <c r="AJ2807" s="1" t="s">
        <v>104</v>
      </c>
      <c r="AK2807" s="1" t="s">
        <v>104</v>
      </c>
      <c r="AL2807" s="1" t="s">
        <v>104</v>
      </c>
      <c r="AM2807" s="1" t="s">
        <v>104</v>
      </c>
      <c r="AO2807" s="1">
        <v>7</v>
      </c>
      <c r="AQ2807" s="1" t="s">
        <v>14065</v>
      </c>
      <c r="AR2807" s="1">
        <v>0</v>
      </c>
      <c r="AS2807" s="1">
        <v>0</v>
      </c>
      <c r="AT2807" s="1">
        <v>0</v>
      </c>
      <c r="AU2807" s="1">
        <v>0</v>
      </c>
      <c r="AV2807" s="1">
        <v>0</v>
      </c>
      <c r="AW2807" s="1">
        <v>0</v>
      </c>
      <c r="AX2807" s="1">
        <v>0</v>
      </c>
      <c r="AY2807" s="1">
        <v>0</v>
      </c>
      <c r="AZ2807" s="1">
        <v>0</v>
      </c>
      <c r="BA2807" s="1">
        <v>0</v>
      </c>
      <c r="BB2807" s="1">
        <v>0</v>
      </c>
      <c r="BC2807" s="1">
        <v>0</v>
      </c>
      <c r="BD2807" s="1">
        <v>0</v>
      </c>
      <c r="BE2807" s="1">
        <v>0</v>
      </c>
      <c r="BF2807" s="1">
        <v>0</v>
      </c>
      <c r="BG2807" s="1">
        <v>0</v>
      </c>
      <c r="BH2807" s="1">
        <v>0</v>
      </c>
      <c r="BI2807" s="1">
        <v>0</v>
      </c>
      <c r="BJ2807" s="1">
        <v>0</v>
      </c>
      <c r="BK2807" s="1">
        <v>0</v>
      </c>
      <c r="BL2807" s="1">
        <v>0</v>
      </c>
      <c r="BM2807" s="1">
        <v>0</v>
      </c>
      <c r="BN2807" s="1">
        <v>0</v>
      </c>
      <c r="BO2807" s="1">
        <v>0</v>
      </c>
      <c r="BP2807" s="1">
        <v>0</v>
      </c>
      <c r="BQ2807" s="1" t="s">
        <v>104</v>
      </c>
      <c r="BR2807" s="1">
        <v>4934</v>
      </c>
      <c r="BS2807" s="1" t="s">
        <v>104</v>
      </c>
      <c r="BX2807" s="1">
        <v>0</v>
      </c>
      <c r="BY2807" s="1" t="s">
        <v>104</v>
      </c>
      <c r="BZ2807" s="1">
        <v>6</v>
      </c>
      <c r="CA2807" s="1" t="s">
        <v>104</v>
      </c>
      <c r="CB2807" s="1" t="s">
        <v>104</v>
      </c>
      <c r="CC2807" s="1" t="s">
        <v>104</v>
      </c>
      <c r="CD2807" s="1" t="s">
        <v>104</v>
      </c>
      <c r="CE2807" s="1" t="s">
        <v>104</v>
      </c>
      <c r="CF2807" s="1" t="s">
        <v>104</v>
      </c>
      <c r="CG2807" s="1" t="s">
        <v>104</v>
      </c>
      <c r="CH2807" s="1">
        <v>6</v>
      </c>
      <c r="CJ2807" s="1">
        <v>0</v>
      </c>
      <c r="CK2807" s="1">
        <v>0</v>
      </c>
      <c r="CL2807" s="1">
        <v>0</v>
      </c>
      <c r="CM2807" s="1" t="s">
        <v>104</v>
      </c>
    </row>
    <row r="2808" spans="1:91" ht="14.25" customHeight="1" x14ac:dyDescent="0.3">
      <c r="A2808" s="1" t="s">
        <v>14066</v>
      </c>
      <c r="B2808" s="1" t="s">
        <v>137</v>
      </c>
      <c r="C2808" s="1" t="s">
        <v>154</v>
      </c>
      <c r="E2808" s="1" t="s">
        <v>14067</v>
      </c>
      <c r="F2808" s="1" t="s">
        <v>95</v>
      </c>
      <c r="G2808" s="1" t="s">
        <v>156</v>
      </c>
      <c r="H2808" s="1">
        <v>0</v>
      </c>
      <c r="I2808" s="1" t="s">
        <v>157</v>
      </c>
      <c r="L2808" s="1" t="s">
        <v>158</v>
      </c>
      <c r="M2808" s="1" t="s">
        <v>4641</v>
      </c>
      <c r="N2808" s="1">
        <v>1</v>
      </c>
      <c r="O2808" s="1">
        <v>0</v>
      </c>
      <c r="R2808" s="1" t="s">
        <v>14068</v>
      </c>
      <c r="S2808" s="1" t="s">
        <v>14002</v>
      </c>
      <c r="T2808" s="1">
        <v>1</v>
      </c>
      <c r="U2808" s="1">
        <v>1</v>
      </c>
      <c r="V2808" s="1">
        <v>1</v>
      </c>
      <c r="W2808" s="1">
        <v>0</v>
      </c>
      <c r="X2808" s="1">
        <v>0</v>
      </c>
      <c r="Y2808" s="1">
        <v>9</v>
      </c>
      <c r="Z2808" s="1">
        <v>9</v>
      </c>
      <c r="AA2808" s="1" t="s">
        <v>104</v>
      </c>
      <c r="AB2808" s="1">
        <v>8</v>
      </c>
      <c r="AC2808" s="1" t="s">
        <v>104</v>
      </c>
      <c r="AD2808" s="1" t="s">
        <v>104</v>
      </c>
      <c r="AE2808" s="1" t="s">
        <v>104</v>
      </c>
      <c r="AF2808" s="1" t="s">
        <v>104</v>
      </c>
      <c r="AG2808" s="1" t="s">
        <v>104</v>
      </c>
      <c r="AH2808" s="1">
        <v>9</v>
      </c>
      <c r="AI2808" s="1" t="s">
        <v>104</v>
      </c>
      <c r="AJ2808" s="1" t="s">
        <v>104</v>
      </c>
      <c r="AK2808" s="1" t="s">
        <v>104</v>
      </c>
      <c r="AL2808" s="1" t="s">
        <v>104</v>
      </c>
      <c r="AM2808" s="1" t="s">
        <v>104</v>
      </c>
      <c r="AO2808" s="1">
        <v>9</v>
      </c>
      <c r="AQ2808" s="1" t="s">
        <v>14069</v>
      </c>
      <c r="AR2808" s="1">
        <v>0</v>
      </c>
      <c r="AS2808" s="1">
        <v>0</v>
      </c>
      <c r="AT2808" s="1">
        <v>0</v>
      </c>
      <c r="AU2808" s="1">
        <v>0</v>
      </c>
      <c r="AV2808" s="1">
        <v>0</v>
      </c>
      <c r="AW2808" s="1">
        <v>0</v>
      </c>
      <c r="AX2808" s="1">
        <v>0</v>
      </c>
      <c r="AY2808" s="1">
        <v>0</v>
      </c>
      <c r="AZ2808" s="1">
        <v>0</v>
      </c>
      <c r="BA2808" s="1">
        <v>0</v>
      </c>
      <c r="BB2808" s="1">
        <v>0</v>
      </c>
      <c r="BC2808" s="1">
        <v>0</v>
      </c>
      <c r="BD2808" s="1">
        <v>0</v>
      </c>
      <c r="BE2808" s="1">
        <v>0</v>
      </c>
      <c r="BF2808" s="1">
        <v>0</v>
      </c>
      <c r="BG2808" s="1">
        <v>0</v>
      </c>
      <c r="BH2808" s="1">
        <v>0</v>
      </c>
      <c r="BI2808" s="1">
        <v>0</v>
      </c>
      <c r="BJ2808" s="1">
        <v>0</v>
      </c>
      <c r="BK2808" s="1">
        <v>0</v>
      </c>
      <c r="BL2808" s="1">
        <v>0</v>
      </c>
      <c r="BM2808" s="1">
        <v>0</v>
      </c>
      <c r="BN2808" s="1">
        <v>0</v>
      </c>
      <c r="BO2808" s="1">
        <v>0</v>
      </c>
      <c r="BP2808" s="1">
        <v>0</v>
      </c>
      <c r="BQ2808" s="1" t="s">
        <v>104</v>
      </c>
      <c r="BR2808" s="1">
        <v>4935</v>
      </c>
      <c r="BS2808" s="1" t="s">
        <v>104</v>
      </c>
      <c r="BX2808" s="1">
        <v>0</v>
      </c>
      <c r="BY2808" s="1" t="s">
        <v>104</v>
      </c>
      <c r="BZ2808" s="1">
        <v>8</v>
      </c>
      <c r="CA2808" s="1" t="s">
        <v>104</v>
      </c>
      <c r="CB2808" s="1" t="s">
        <v>104</v>
      </c>
      <c r="CC2808" s="1" t="s">
        <v>104</v>
      </c>
      <c r="CD2808" s="1" t="s">
        <v>104</v>
      </c>
      <c r="CE2808" s="1" t="s">
        <v>104</v>
      </c>
      <c r="CF2808" s="1" t="s">
        <v>104</v>
      </c>
      <c r="CG2808" s="1" t="s">
        <v>104</v>
      </c>
      <c r="CH2808" s="1" t="s">
        <v>104</v>
      </c>
      <c r="CJ2808" s="1">
        <v>0</v>
      </c>
      <c r="CK2808" s="1">
        <v>0</v>
      </c>
      <c r="CL2808" s="1">
        <v>0</v>
      </c>
      <c r="CM2808" s="1" t="s">
        <v>104</v>
      </c>
    </row>
    <row r="2809" spans="1:91" ht="14.25" customHeight="1" x14ac:dyDescent="0.3">
      <c r="A2809" s="1" t="s">
        <v>14070</v>
      </c>
      <c r="B2809" s="1" t="s">
        <v>92</v>
      </c>
      <c r="C2809" s="1" t="s">
        <v>93</v>
      </c>
      <c r="E2809" s="1" t="s">
        <v>14071</v>
      </c>
      <c r="F2809" s="1" t="s">
        <v>95</v>
      </c>
      <c r="G2809" s="1" t="s">
        <v>116</v>
      </c>
      <c r="H2809" s="1">
        <v>0</v>
      </c>
      <c r="I2809" s="1" t="s">
        <v>117</v>
      </c>
      <c r="M2809" s="1" t="s">
        <v>6947</v>
      </c>
      <c r="N2809" s="1">
        <v>0</v>
      </c>
      <c r="O2809" s="1">
        <v>0</v>
      </c>
      <c r="P2809" s="1" t="s">
        <v>100</v>
      </c>
      <c r="Q2809" s="1" t="s">
        <v>101</v>
      </c>
      <c r="R2809" s="1" t="s">
        <v>14072</v>
      </c>
      <c r="S2809" s="1" t="s">
        <v>14002</v>
      </c>
      <c r="T2809" s="1">
        <v>1</v>
      </c>
      <c r="U2809" s="1">
        <v>1</v>
      </c>
      <c r="V2809" s="1">
        <v>0</v>
      </c>
      <c r="W2809" s="1">
        <v>0</v>
      </c>
      <c r="X2809" s="1">
        <v>0</v>
      </c>
      <c r="Y2809" s="1">
        <v>8</v>
      </c>
      <c r="Z2809" s="1">
        <v>8</v>
      </c>
      <c r="AA2809" s="1">
        <v>8</v>
      </c>
      <c r="AB2809" s="1">
        <v>8</v>
      </c>
      <c r="AC2809" s="1" t="s">
        <v>104</v>
      </c>
      <c r="AD2809" s="1">
        <v>6</v>
      </c>
      <c r="AE2809" s="1" t="s">
        <v>104</v>
      </c>
      <c r="AF2809" s="1" t="s">
        <v>104</v>
      </c>
      <c r="AG2809" s="1">
        <v>6</v>
      </c>
      <c r="AH2809" s="1">
        <v>8</v>
      </c>
      <c r="AI2809" s="1" t="s">
        <v>104</v>
      </c>
      <c r="AJ2809" s="1">
        <v>8</v>
      </c>
      <c r="AK2809" s="1" t="s">
        <v>104</v>
      </c>
      <c r="AL2809" s="1" t="s">
        <v>104</v>
      </c>
      <c r="AM2809" s="1" t="s">
        <v>104</v>
      </c>
      <c r="AO2809" s="1">
        <v>8</v>
      </c>
      <c r="AQ2809" s="1" t="s">
        <v>14073</v>
      </c>
      <c r="AR2809" s="1">
        <v>0</v>
      </c>
      <c r="AS2809" s="1">
        <v>0</v>
      </c>
      <c r="AT2809" s="1">
        <v>0</v>
      </c>
      <c r="AU2809" s="1">
        <v>0</v>
      </c>
      <c r="AV2809" s="1">
        <v>0</v>
      </c>
      <c r="AW2809" s="1">
        <v>0</v>
      </c>
      <c r="AX2809" s="1">
        <v>0</v>
      </c>
      <c r="AY2809" s="1">
        <v>0</v>
      </c>
      <c r="AZ2809" s="1">
        <v>0</v>
      </c>
      <c r="BA2809" s="1">
        <v>0</v>
      </c>
      <c r="BB2809" s="1">
        <v>0</v>
      </c>
      <c r="BC2809" s="1">
        <v>0</v>
      </c>
      <c r="BD2809" s="1">
        <v>0</v>
      </c>
      <c r="BE2809" s="1">
        <v>0</v>
      </c>
      <c r="BF2809" s="1">
        <v>0</v>
      </c>
      <c r="BG2809" s="1">
        <v>0</v>
      </c>
      <c r="BH2809" s="1">
        <v>0</v>
      </c>
      <c r="BI2809" s="1">
        <v>0</v>
      </c>
      <c r="BJ2809" s="1">
        <v>0</v>
      </c>
      <c r="BK2809" s="1">
        <v>0</v>
      </c>
      <c r="BL2809" s="1">
        <v>0</v>
      </c>
      <c r="BM2809" s="1">
        <v>0</v>
      </c>
      <c r="BN2809" s="1">
        <v>0</v>
      </c>
      <c r="BO2809" s="1">
        <v>0</v>
      </c>
      <c r="BP2809" s="1">
        <v>0</v>
      </c>
      <c r="BQ2809" s="1" t="s">
        <v>104</v>
      </c>
      <c r="BR2809" s="1">
        <v>4936</v>
      </c>
      <c r="BS2809" s="1" t="s">
        <v>104</v>
      </c>
      <c r="BX2809" s="1">
        <v>0</v>
      </c>
      <c r="BY2809" s="1" t="s">
        <v>104</v>
      </c>
      <c r="BZ2809" s="1" t="s">
        <v>104</v>
      </c>
      <c r="CA2809" s="1" t="s">
        <v>104</v>
      </c>
      <c r="CB2809" s="1" t="s">
        <v>104</v>
      </c>
      <c r="CC2809" s="1" t="s">
        <v>104</v>
      </c>
      <c r="CD2809" s="1" t="s">
        <v>104</v>
      </c>
      <c r="CE2809" s="1" t="s">
        <v>104</v>
      </c>
      <c r="CF2809" s="1" t="s">
        <v>104</v>
      </c>
      <c r="CG2809" s="1" t="s">
        <v>104</v>
      </c>
      <c r="CH2809" s="1" t="s">
        <v>104</v>
      </c>
      <c r="CJ2809" s="1">
        <v>0</v>
      </c>
      <c r="CK2809" s="1">
        <v>0</v>
      </c>
      <c r="CL2809" s="1">
        <v>0</v>
      </c>
      <c r="CM2809" s="1">
        <v>6</v>
      </c>
    </row>
    <row r="2810" spans="1:91" ht="14.25" customHeight="1" x14ac:dyDescent="0.3">
      <c r="A2810" s="1" t="s">
        <v>14074</v>
      </c>
      <c r="B2810" s="1" t="s">
        <v>434</v>
      </c>
      <c r="D2810" s="1" t="s">
        <v>56</v>
      </c>
      <c r="E2810" s="1" t="s">
        <v>14075</v>
      </c>
      <c r="F2810" s="1" t="s">
        <v>95</v>
      </c>
      <c r="G2810" s="1" t="s">
        <v>116</v>
      </c>
      <c r="H2810" s="1">
        <v>0</v>
      </c>
      <c r="I2810" s="1" t="s">
        <v>109</v>
      </c>
      <c r="J2810" s="1" t="s">
        <v>14076</v>
      </c>
      <c r="M2810" s="1" t="s">
        <v>111</v>
      </c>
      <c r="N2810" s="1">
        <v>0</v>
      </c>
      <c r="O2810" s="1">
        <v>0</v>
      </c>
      <c r="P2810" s="1" t="s">
        <v>14077</v>
      </c>
      <c r="Q2810" s="1" t="s">
        <v>472</v>
      </c>
      <c r="R2810" s="1" t="s">
        <v>14078</v>
      </c>
      <c r="S2810" s="1" t="s">
        <v>14002</v>
      </c>
      <c r="T2810" s="1">
        <v>1</v>
      </c>
      <c r="U2810" s="1">
        <v>1</v>
      </c>
      <c r="V2810" s="1">
        <v>0</v>
      </c>
      <c r="W2810" s="1">
        <v>0</v>
      </c>
      <c r="X2810" s="1">
        <v>0</v>
      </c>
      <c r="Y2810" s="1" t="s">
        <v>104</v>
      </c>
      <c r="Z2810" s="1" t="s">
        <v>104</v>
      </c>
      <c r="AA2810" s="1" t="s">
        <v>104</v>
      </c>
      <c r="AB2810" s="1">
        <v>3</v>
      </c>
      <c r="AC2810" s="1" t="s">
        <v>104</v>
      </c>
      <c r="AD2810" s="1" t="s">
        <v>104</v>
      </c>
      <c r="AE2810" s="1" t="s">
        <v>104</v>
      </c>
      <c r="AF2810" s="1" t="s">
        <v>104</v>
      </c>
      <c r="AG2810" s="1" t="s">
        <v>104</v>
      </c>
      <c r="AH2810" s="1" t="s">
        <v>104</v>
      </c>
      <c r="AI2810" s="1" t="s">
        <v>104</v>
      </c>
      <c r="AJ2810" s="1" t="s">
        <v>104</v>
      </c>
      <c r="AK2810" s="1" t="s">
        <v>104</v>
      </c>
      <c r="AL2810" s="1" t="s">
        <v>104</v>
      </c>
      <c r="AM2810" s="1" t="s">
        <v>104</v>
      </c>
      <c r="AO2810" s="1">
        <v>3</v>
      </c>
      <c r="AQ2810" s="1" t="s">
        <v>14079</v>
      </c>
      <c r="AR2810" s="1">
        <v>0</v>
      </c>
      <c r="AS2810" s="1">
        <v>0</v>
      </c>
      <c r="AT2810" s="1">
        <v>0</v>
      </c>
      <c r="AU2810" s="1">
        <v>0</v>
      </c>
      <c r="AV2810" s="1">
        <v>0</v>
      </c>
      <c r="AW2810" s="1">
        <v>0</v>
      </c>
      <c r="AX2810" s="1">
        <v>0</v>
      </c>
      <c r="AY2810" s="1">
        <v>0</v>
      </c>
      <c r="AZ2810" s="1">
        <v>0</v>
      </c>
      <c r="BA2810" s="1">
        <v>0</v>
      </c>
      <c r="BB2810" s="1">
        <v>0</v>
      </c>
      <c r="BC2810" s="1">
        <v>0</v>
      </c>
      <c r="BD2810" s="1">
        <v>0</v>
      </c>
      <c r="BE2810" s="1">
        <v>1</v>
      </c>
      <c r="BF2810" s="1">
        <v>0</v>
      </c>
      <c r="BG2810" s="1">
        <v>0</v>
      </c>
      <c r="BH2810" s="1">
        <v>0</v>
      </c>
      <c r="BI2810" s="1">
        <v>0</v>
      </c>
      <c r="BJ2810" s="1">
        <v>0</v>
      </c>
      <c r="BK2810" s="1">
        <v>0</v>
      </c>
      <c r="BL2810" s="1">
        <v>0</v>
      </c>
      <c r="BM2810" s="1">
        <v>0</v>
      </c>
      <c r="BN2810" s="1">
        <v>0</v>
      </c>
      <c r="BO2810" s="1">
        <v>0</v>
      </c>
      <c r="BP2810" s="1">
        <v>0</v>
      </c>
      <c r="BQ2810" s="1" t="s">
        <v>104</v>
      </c>
      <c r="BR2810" s="1">
        <v>4937</v>
      </c>
      <c r="BS2810" s="1" t="s">
        <v>104</v>
      </c>
      <c r="BX2810" s="1">
        <v>0</v>
      </c>
      <c r="BY2810" s="1" t="s">
        <v>104</v>
      </c>
      <c r="BZ2810" s="1">
        <v>3</v>
      </c>
      <c r="CA2810" s="1" t="s">
        <v>104</v>
      </c>
      <c r="CB2810" s="1" t="s">
        <v>104</v>
      </c>
      <c r="CC2810" s="1" t="s">
        <v>104</v>
      </c>
      <c r="CD2810" s="1" t="s">
        <v>104</v>
      </c>
      <c r="CE2810" s="1" t="s">
        <v>104</v>
      </c>
      <c r="CF2810" s="1" t="s">
        <v>104</v>
      </c>
      <c r="CG2810" s="1" t="s">
        <v>104</v>
      </c>
      <c r="CH2810" s="1">
        <v>3</v>
      </c>
      <c r="CJ2810" s="1">
        <v>0</v>
      </c>
      <c r="CK2810" s="1">
        <v>0</v>
      </c>
      <c r="CL2810" s="1">
        <v>0</v>
      </c>
      <c r="CM2810" s="1" t="s">
        <v>104</v>
      </c>
    </row>
    <row r="2811" spans="1:91" ht="14.25" customHeight="1" x14ac:dyDescent="0.3">
      <c r="A2811" s="1" t="s">
        <v>14080</v>
      </c>
      <c r="B2811" s="1" t="s">
        <v>172</v>
      </c>
      <c r="C2811" s="1" t="s">
        <v>285</v>
      </c>
      <c r="E2811" s="1" t="s">
        <v>742</v>
      </c>
      <c r="F2811" s="1" t="s">
        <v>95</v>
      </c>
      <c r="G2811" s="1" t="s">
        <v>116</v>
      </c>
      <c r="H2811" s="1">
        <v>0</v>
      </c>
      <c r="I2811" s="1" t="s">
        <v>4126</v>
      </c>
      <c r="L2811" s="1" t="s">
        <v>1065</v>
      </c>
      <c r="M2811" s="1" t="s">
        <v>11466</v>
      </c>
      <c r="N2811" s="1">
        <v>1</v>
      </c>
      <c r="O2811" s="1">
        <v>0</v>
      </c>
      <c r="P2811" s="1" t="s">
        <v>211</v>
      </c>
      <c r="Q2811" s="1" t="s">
        <v>184</v>
      </c>
      <c r="R2811" s="1" t="s">
        <v>14081</v>
      </c>
      <c r="S2811" s="1" t="s">
        <v>14002</v>
      </c>
      <c r="T2811" s="1">
        <v>1</v>
      </c>
      <c r="U2811" s="1">
        <v>1</v>
      </c>
      <c r="V2811" s="1">
        <v>0</v>
      </c>
      <c r="W2811" s="1">
        <v>0</v>
      </c>
      <c r="X2811" s="1">
        <v>0</v>
      </c>
      <c r="Y2811" s="1" t="s">
        <v>104</v>
      </c>
      <c r="Z2811" s="1" t="s">
        <v>104</v>
      </c>
      <c r="AA2811" s="1" t="s">
        <v>104</v>
      </c>
      <c r="AB2811" s="1">
        <v>4</v>
      </c>
      <c r="AC2811" s="1">
        <v>3</v>
      </c>
      <c r="AD2811" s="1" t="s">
        <v>104</v>
      </c>
      <c r="AE2811" s="1" t="s">
        <v>104</v>
      </c>
      <c r="AF2811" s="1" t="s">
        <v>104</v>
      </c>
      <c r="AG2811" s="1" t="s">
        <v>104</v>
      </c>
      <c r="AH2811" s="1" t="s">
        <v>104</v>
      </c>
      <c r="AI2811" s="1" t="s">
        <v>104</v>
      </c>
      <c r="AJ2811" s="1" t="s">
        <v>104</v>
      </c>
      <c r="AK2811" s="1" t="s">
        <v>104</v>
      </c>
      <c r="AL2811" s="1" t="s">
        <v>104</v>
      </c>
      <c r="AM2811" s="1" t="s">
        <v>104</v>
      </c>
      <c r="AO2811" s="1">
        <v>4</v>
      </c>
      <c r="AQ2811" s="1" t="s">
        <v>14082</v>
      </c>
      <c r="AR2811" s="1">
        <v>0</v>
      </c>
      <c r="AS2811" s="1">
        <v>0</v>
      </c>
      <c r="AT2811" s="1">
        <v>0</v>
      </c>
      <c r="AU2811" s="1">
        <v>0</v>
      </c>
      <c r="AV2811" s="1">
        <v>0</v>
      </c>
      <c r="AW2811" s="1">
        <v>0</v>
      </c>
      <c r="AX2811" s="1">
        <v>0</v>
      </c>
      <c r="AY2811" s="1">
        <v>0</v>
      </c>
      <c r="AZ2811" s="1">
        <v>0</v>
      </c>
      <c r="BA2811" s="1">
        <v>0</v>
      </c>
      <c r="BB2811" s="1">
        <v>0</v>
      </c>
      <c r="BC2811" s="1">
        <v>0</v>
      </c>
      <c r="BD2811" s="1">
        <v>0</v>
      </c>
      <c r="BE2811" s="1">
        <v>0</v>
      </c>
      <c r="BF2811" s="1">
        <v>0</v>
      </c>
      <c r="BG2811" s="1">
        <v>0</v>
      </c>
      <c r="BH2811" s="1">
        <v>0</v>
      </c>
      <c r="BI2811" s="1">
        <v>0</v>
      </c>
      <c r="BJ2811" s="1">
        <v>0</v>
      </c>
      <c r="BK2811" s="1">
        <v>0</v>
      </c>
      <c r="BL2811" s="1">
        <v>0</v>
      </c>
      <c r="BM2811" s="1">
        <v>0</v>
      </c>
      <c r="BN2811" s="1">
        <v>0</v>
      </c>
      <c r="BO2811" s="1">
        <v>0</v>
      </c>
      <c r="BP2811" s="1">
        <v>0</v>
      </c>
      <c r="BQ2811" s="1" t="s">
        <v>104</v>
      </c>
      <c r="BR2811" s="1">
        <v>4938</v>
      </c>
      <c r="BS2811" s="1" t="s">
        <v>104</v>
      </c>
      <c r="BX2811" s="1">
        <v>0</v>
      </c>
      <c r="BY2811" s="1" t="s">
        <v>104</v>
      </c>
      <c r="BZ2811" s="1">
        <v>4</v>
      </c>
      <c r="CA2811" s="1" t="s">
        <v>104</v>
      </c>
      <c r="CB2811" s="1" t="s">
        <v>104</v>
      </c>
      <c r="CC2811" s="1" t="s">
        <v>104</v>
      </c>
      <c r="CD2811" s="1" t="s">
        <v>104</v>
      </c>
      <c r="CE2811" s="1" t="s">
        <v>104</v>
      </c>
      <c r="CF2811" s="1" t="s">
        <v>104</v>
      </c>
      <c r="CG2811" s="1" t="s">
        <v>104</v>
      </c>
      <c r="CH2811" s="1">
        <v>3</v>
      </c>
      <c r="CJ2811" s="1">
        <v>0</v>
      </c>
      <c r="CK2811" s="1">
        <v>0</v>
      </c>
      <c r="CL2811" s="1">
        <v>0</v>
      </c>
      <c r="CM2811" s="1" t="s">
        <v>104</v>
      </c>
    </row>
    <row r="2812" spans="1:91" ht="14.25" customHeight="1" x14ac:dyDescent="0.3">
      <c r="A2812" s="1" t="s">
        <v>14083</v>
      </c>
      <c r="B2812" s="1" t="s">
        <v>137</v>
      </c>
      <c r="E2812" s="1" t="s">
        <v>14084</v>
      </c>
      <c r="F2812" s="1" t="s">
        <v>95</v>
      </c>
      <c r="G2812" s="1" t="s">
        <v>14085</v>
      </c>
      <c r="H2812" s="1">
        <v>0</v>
      </c>
      <c r="I2812" s="1" t="s">
        <v>128</v>
      </c>
      <c r="L2812" s="1" t="s">
        <v>374</v>
      </c>
      <c r="M2812" s="1" t="s">
        <v>4292</v>
      </c>
      <c r="N2812" s="1">
        <v>0</v>
      </c>
      <c r="O2812" s="1">
        <v>0</v>
      </c>
      <c r="P2812" s="1" t="s">
        <v>375</v>
      </c>
      <c r="Q2812" s="1" t="s">
        <v>101</v>
      </c>
      <c r="R2812" s="1" t="s">
        <v>14086</v>
      </c>
      <c r="S2812" s="1" t="s">
        <v>14002</v>
      </c>
      <c r="T2812" s="1">
        <v>1</v>
      </c>
      <c r="U2812" s="1">
        <v>1</v>
      </c>
      <c r="V2812" s="1">
        <v>1</v>
      </c>
      <c r="W2812" s="1">
        <v>0</v>
      </c>
      <c r="X2812" s="1">
        <v>0</v>
      </c>
      <c r="Y2812" s="1">
        <v>2</v>
      </c>
      <c r="Z2812" s="1">
        <v>2</v>
      </c>
      <c r="AA2812" s="1" t="s">
        <v>104</v>
      </c>
      <c r="AB2812" s="1">
        <v>2</v>
      </c>
      <c r="AC2812" s="1">
        <v>2</v>
      </c>
      <c r="AD2812" s="1" t="s">
        <v>104</v>
      </c>
      <c r="AE2812" s="1" t="s">
        <v>104</v>
      </c>
      <c r="AF2812" s="1" t="s">
        <v>104</v>
      </c>
      <c r="AG2812" s="1" t="s">
        <v>104</v>
      </c>
      <c r="AH2812" s="1" t="s">
        <v>104</v>
      </c>
      <c r="AI2812" s="1" t="s">
        <v>104</v>
      </c>
      <c r="AJ2812" s="1" t="s">
        <v>104</v>
      </c>
      <c r="AK2812" s="1" t="s">
        <v>104</v>
      </c>
      <c r="AL2812" s="1" t="s">
        <v>104</v>
      </c>
      <c r="AM2812" s="1" t="s">
        <v>104</v>
      </c>
      <c r="AO2812" s="1">
        <v>2</v>
      </c>
      <c r="AQ2812" s="1" t="s">
        <v>14087</v>
      </c>
      <c r="AR2812" s="1">
        <v>0</v>
      </c>
      <c r="AS2812" s="1">
        <v>0</v>
      </c>
      <c r="AT2812" s="1">
        <v>0</v>
      </c>
      <c r="AU2812" s="1">
        <v>0</v>
      </c>
      <c r="AV2812" s="1">
        <v>0</v>
      </c>
      <c r="AW2812" s="1">
        <v>0</v>
      </c>
      <c r="AX2812" s="1">
        <v>0</v>
      </c>
      <c r="AY2812" s="1">
        <v>0</v>
      </c>
      <c r="AZ2812" s="1">
        <v>0</v>
      </c>
      <c r="BA2812" s="1">
        <v>0</v>
      </c>
      <c r="BB2812" s="1">
        <v>0</v>
      </c>
      <c r="BC2812" s="1">
        <v>0</v>
      </c>
      <c r="BD2812" s="1">
        <v>0</v>
      </c>
      <c r="BE2812" s="1">
        <v>0</v>
      </c>
      <c r="BF2812" s="1">
        <v>0</v>
      </c>
      <c r="BG2812" s="1">
        <v>0</v>
      </c>
      <c r="BH2812" s="1">
        <v>0</v>
      </c>
      <c r="BI2812" s="1">
        <v>0</v>
      </c>
      <c r="BJ2812" s="1">
        <v>0</v>
      </c>
      <c r="BK2812" s="1">
        <v>0</v>
      </c>
      <c r="BL2812" s="1">
        <v>0</v>
      </c>
      <c r="BM2812" s="1">
        <v>0</v>
      </c>
      <c r="BN2812" s="1">
        <v>0</v>
      </c>
      <c r="BO2812" s="1">
        <v>0</v>
      </c>
      <c r="BP2812" s="1">
        <v>0</v>
      </c>
      <c r="BQ2812" s="1" t="s">
        <v>104</v>
      </c>
      <c r="BR2812" s="1">
        <v>4939</v>
      </c>
      <c r="BS2812" s="1" t="s">
        <v>104</v>
      </c>
      <c r="BX2812" s="1">
        <v>0</v>
      </c>
      <c r="BY2812" s="1" t="s">
        <v>104</v>
      </c>
      <c r="BZ2812" s="1">
        <v>2</v>
      </c>
      <c r="CA2812" s="1" t="s">
        <v>104</v>
      </c>
      <c r="CB2812" s="1" t="s">
        <v>104</v>
      </c>
      <c r="CC2812" s="1" t="s">
        <v>104</v>
      </c>
      <c r="CD2812" s="1" t="s">
        <v>104</v>
      </c>
      <c r="CE2812" s="1" t="s">
        <v>104</v>
      </c>
      <c r="CF2812" s="1" t="s">
        <v>104</v>
      </c>
      <c r="CG2812" s="1" t="s">
        <v>104</v>
      </c>
      <c r="CH2812" s="1">
        <v>2</v>
      </c>
      <c r="CJ2812" s="1">
        <v>0</v>
      </c>
      <c r="CK2812" s="1">
        <v>0</v>
      </c>
      <c r="CL2812" s="1">
        <v>0</v>
      </c>
      <c r="CM2812" s="1" t="s">
        <v>104</v>
      </c>
    </row>
    <row r="2813" spans="1:91" ht="14.25" customHeight="1" x14ac:dyDescent="0.3">
      <c r="A2813" s="1" t="s">
        <v>14088</v>
      </c>
      <c r="B2813" s="1" t="s">
        <v>137</v>
      </c>
      <c r="D2813" s="1" t="s">
        <v>67</v>
      </c>
      <c r="E2813" s="1" t="s">
        <v>14089</v>
      </c>
      <c r="F2813" s="1" t="s">
        <v>273</v>
      </c>
      <c r="G2813" s="1" t="s">
        <v>14090</v>
      </c>
      <c r="H2813" s="1">
        <v>0</v>
      </c>
      <c r="I2813" s="1" t="s">
        <v>128</v>
      </c>
      <c r="K2813" s="1" t="s">
        <v>14091</v>
      </c>
      <c r="M2813" s="1" t="s">
        <v>201</v>
      </c>
      <c r="N2813" s="1">
        <v>0</v>
      </c>
      <c r="O2813" s="1">
        <v>0</v>
      </c>
      <c r="P2813" s="1" t="s">
        <v>100</v>
      </c>
      <c r="Q2813" s="1" t="s">
        <v>101</v>
      </c>
      <c r="R2813" s="1" t="s">
        <v>14092</v>
      </c>
      <c r="S2813" s="1" t="s">
        <v>14002</v>
      </c>
      <c r="T2813" s="1">
        <v>1</v>
      </c>
      <c r="U2813" s="1">
        <v>1</v>
      </c>
      <c r="V2813" s="1">
        <v>0</v>
      </c>
      <c r="W2813" s="1">
        <v>0</v>
      </c>
      <c r="X2813" s="1">
        <v>0</v>
      </c>
      <c r="Y2813" s="1" t="s">
        <v>104</v>
      </c>
      <c r="Z2813" s="1" t="s">
        <v>104</v>
      </c>
      <c r="AA2813" s="1">
        <v>1</v>
      </c>
      <c r="AB2813" s="1">
        <v>1</v>
      </c>
      <c r="AC2813" s="1">
        <v>1</v>
      </c>
      <c r="AD2813" s="1" t="s">
        <v>104</v>
      </c>
      <c r="AE2813" s="1" t="s">
        <v>104</v>
      </c>
      <c r="AF2813" s="1" t="s">
        <v>104</v>
      </c>
      <c r="AG2813" s="1" t="s">
        <v>104</v>
      </c>
      <c r="AH2813" s="1">
        <v>1</v>
      </c>
      <c r="AI2813" s="1" t="s">
        <v>104</v>
      </c>
      <c r="AJ2813" s="1">
        <v>1</v>
      </c>
      <c r="AK2813" s="1" t="s">
        <v>104</v>
      </c>
      <c r="AL2813" s="1" t="s">
        <v>104</v>
      </c>
      <c r="AM2813" s="1" t="s">
        <v>104</v>
      </c>
      <c r="AO2813" s="1">
        <v>1</v>
      </c>
      <c r="AQ2813" s="1" t="s">
        <v>14093</v>
      </c>
      <c r="AR2813" s="1">
        <v>0</v>
      </c>
      <c r="AS2813" s="1">
        <v>0</v>
      </c>
      <c r="AT2813" s="1">
        <v>0</v>
      </c>
      <c r="AU2813" s="1">
        <v>0</v>
      </c>
      <c r="AV2813" s="1">
        <v>0</v>
      </c>
      <c r="AW2813" s="1">
        <v>0</v>
      </c>
      <c r="AX2813" s="1">
        <v>0</v>
      </c>
      <c r="AY2813" s="1">
        <v>0</v>
      </c>
      <c r="AZ2813" s="1">
        <v>0</v>
      </c>
      <c r="BA2813" s="1">
        <v>0</v>
      </c>
      <c r="BB2813" s="1">
        <v>0</v>
      </c>
      <c r="BC2813" s="1">
        <v>0</v>
      </c>
      <c r="BD2813" s="1">
        <v>0</v>
      </c>
      <c r="BE2813" s="1">
        <v>0</v>
      </c>
      <c r="BF2813" s="1">
        <v>0</v>
      </c>
      <c r="BG2813" s="1">
        <v>0</v>
      </c>
      <c r="BH2813" s="1">
        <v>0</v>
      </c>
      <c r="BI2813" s="1">
        <v>0</v>
      </c>
      <c r="BJ2813" s="1">
        <v>0</v>
      </c>
      <c r="BK2813" s="1">
        <v>0</v>
      </c>
      <c r="BL2813" s="1">
        <v>0</v>
      </c>
      <c r="BM2813" s="1">
        <v>0</v>
      </c>
      <c r="BN2813" s="1">
        <v>0</v>
      </c>
      <c r="BO2813" s="1">
        <v>0</v>
      </c>
      <c r="BP2813" s="1">
        <v>1</v>
      </c>
      <c r="BQ2813" s="1" t="s">
        <v>104</v>
      </c>
      <c r="BR2813" s="1">
        <v>4940</v>
      </c>
      <c r="BS2813" s="1" t="s">
        <v>104</v>
      </c>
      <c r="BX2813" s="1">
        <v>0</v>
      </c>
      <c r="BY2813" s="1" t="s">
        <v>104</v>
      </c>
      <c r="BZ2813" s="1">
        <v>1</v>
      </c>
      <c r="CA2813" s="1" t="s">
        <v>104</v>
      </c>
      <c r="CB2813" s="1" t="s">
        <v>104</v>
      </c>
      <c r="CC2813" s="1" t="s">
        <v>104</v>
      </c>
      <c r="CD2813" s="1" t="s">
        <v>104</v>
      </c>
      <c r="CE2813" s="1" t="s">
        <v>104</v>
      </c>
      <c r="CF2813" s="1" t="s">
        <v>104</v>
      </c>
      <c r="CG2813" s="1" t="s">
        <v>104</v>
      </c>
      <c r="CH2813" s="1">
        <v>1</v>
      </c>
      <c r="CJ2813" s="1">
        <v>0</v>
      </c>
      <c r="CK2813" s="1">
        <v>0</v>
      </c>
      <c r="CL2813" s="1">
        <v>0</v>
      </c>
      <c r="CM2813" s="1" t="s">
        <v>104</v>
      </c>
    </row>
    <row r="2814" spans="1:91" ht="14.25" customHeight="1" x14ac:dyDescent="0.3">
      <c r="A2814" s="1" t="s">
        <v>14094</v>
      </c>
      <c r="B2814" s="1" t="s">
        <v>92</v>
      </c>
      <c r="C2814" s="1" t="s">
        <v>93</v>
      </c>
      <c r="E2814" s="1" t="s">
        <v>14095</v>
      </c>
      <c r="F2814" s="1" t="s">
        <v>95</v>
      </c>
      <c r="G2814" s="1" t="s">
        <v>14096</v>
      </c>
      <c r="H2814" s="1">
        <v>0</v>
      </c>
      <c r="I2814" s="1" t="s">
        <v>117</v>
      </c>
      <c r="M2814" s="1" t="s">
        <v>1720</v>
      </c>
      <c r="N2814" s="1">
        <v>0</v>
      </c>
      <c r="O2814" s="1">
        <v>0</v>
      </c>
      <c r="P2814" s="1" t="s">
        <v>1080</v>
      </c>
      <c r="Q2814" s="1" t="s">
        <v>101</v>
      </c>
      <c r="R2814" s="1" t="s">
        <v>14097</v>
      </c>
      <c r="S2814" s="1" t="s">
        <v>14002</v>
      </c>
      <c r="T2814" s="1">
        <v>1</v>
      </c>
      <c r="U2814" s="1">
        <v>1</v>
      </c>
      <c r="V2814" s="1">
        <v>1</v>
      </c>
      <c r="W2814" s="1">
        <v>0</v>
      </c>
      <c r="X2814" s="1">
        <v>0</v>
      </c>
      <c r="Y2814" s="1">
        <v>3</v>
      </c>
      <c r="Z2814" s="1">
        <v>3</v>
      </c>
      <c r="AA2814" s="1">
        <v>3</v>
      </c>
      <c r="AB2814" s="1">
        <v>3</v>
      </c>
      <c r="AC2814" s="1">
        <v>2</v>
      </c>
      <c r="AD2814" s="1" t="s">
        <v>104</v>
      </c>
      <c r="AE2814" s="1" t="s">
        <v>104</v>
      </c>
      <c r="AF2814" s="1" t="s">
        <v>104</v>
      </c>
      <c r="AG2814" s="1" t="s">
        <v>104</v>
      </c>
      <c r="AH2814" s="1">
        <v>3</v>
      </c>
      <c r="AI2814" s="1">
        <v>2</v>
      </c>
      <c r="AJ2814" s="1">
        <v>3</v>
      </c>
      <c r="AK2814" s="1" t="s">
        <v>104</v>
      </c>
      <c r="AL2814" s="1" t="s">
        <v>104</v>
      </c>
      <c r="AM2814" s="1" t="s">
        <v>104</v>
      </c>
      <c r="AO2814" s="1">
        <v>3</v>
      </c>
      <c r="AQ2814" s="1" t="s">
        <v>14098</v>
      </c>
      <c r="AR2814" s="1">
        <v>0</v>
      </c>
      <c r="AS2814" s="1">
        <v>0</v>
      </c>
      <c r="AT2814" s="1">
        <v>0</v>
      </c>
      <c r="AU2814" s="1">
        <v>0</v>
      </c>
      <c r="AV2814" s="1">
        <v>0</v>
      </c>
      <c r="AW2814" s="1">
        <v>0</v>
      </c>
      <c r="AX2814" s="1">
        <v>0</v>
      </c>
      <c r="AY2814" s="1">
        <v>0</v>
      </c>
      <c r="AZ2814" s="1">
        <v>0</v>
      </c>
      <c r="BA2814" s="1">
        <v>0</v>
      </c>
      <c r="BB2814" s="1">
        <v>0</v>
      </c>
      <c r="BC2814" s="1">
        <v>0</v>
      </c>
      <c r="BD2814" s="1">
        <v>0</v>
      </c>
      <c r="BE2814" s="1">
        <v>0</v>
      </c>
      <c r="BF2814" s="1">
        <v>0</v>
      </c>
      <c r="BG2814" s="1">
        <v>0</v>
      </c>
      <c r="BH2814" s="1">
        <v>0</v>
      </c>
      <c r="BI2814" s="1">
        <v>0</v>
      </c>
      <c r="BJ2814" s="1">
        <v>0</v>
      </c>
      <c r="BK2814" s="1">
        <v>0</v>
      </c>
      <c r="BL2814" s="1">
        <v>0</v>
      </c>
      <c r="BM2814" s="1">
        <v>0</v>
      </c>
      <c r="BN2814" s="1">
        <v>0</v>
      </c>
      <c r="BO2814" s="1">
        <v>0</v>
      </c>
      <c r="BP2814" s="1">
        <v>0</v>
      </c>
      <c r="BQ2814" s="1" t="s">
        <v>104</v>
      </c>
      <c r="BR2814" s="1">
        <v>4941</v>
      </c>
      <c r="BS2814" s="1" t="s">
        <v>104</v>
      </c>
      <c r="BX2814" s="1">
        <v>0</v>
      </c>
      <c r="BY2814" s="1" t="s">
        <v>104</v>
      </c>
      <c r="BZ2814" s="1" t="s">
        <v>104</v>
      </c>
      <c r="CA2814" s="1" t="s">
        <v>104</v>
      </c>
      <c r="CB2814" s="1" t="s">
        <v>104</v>
      </c>
      <c r="CC2814" s="1" t="s">
        <v>104</v>
      </c>
      <c r="CD2814" s="1" t="s">
        <v>104</v>
      </c>
      <c r="CE2814" s="1" t="s">
        <v>104</v>
      </c>
      <c r="CF2814" s="1" t="s">
        <v>104</v>
      </c>
      <c r="CG2814" s="1" t="s">
        <v>104</v>
      </c>
      <c r="CH2814" s="1">
        <v>2</v>
      </c>
      <c r="CJ2814" s="1">
        <v>0</v>
      </c>
      <c r="CK2814" s="1">
        <v>0</v>
      </c>
      <c r="CL2814" s="1">
        <v>0</v>
      </c>
      <c r="CM2814" s="1" t="s">
        <v>104</v>
      </c>
    </row>
    <row r="2815" spans="1:91" ht="14.25" customHeight="1" x14ac:dyDescent="0.3">
      <c r="A2815" s="1" t="s">
        <v>14099</v>
      </c>
      <c r="B2815" s="1" t="s">
        <v>137</v>
      </c>
      <c r="C2815" s="1" t="s">
        <v>154</v>
      </c>
      <c r="E2815" s="1" t="s">
        <v>843</v>
      </c>
      <c r="F2815" s="1" t="s">
        <v>95</v>
      </c>
      <c r="G2815" s="1" t="s">
        <v>156</v>
      </c>
      <c r="H2815" s="1">
        <v>0</v>
      </c>
      <c r="I2815" s="1" t="s">
        <v>157</v>
      </c>
      <c r="L2815" s="1" t="s">
        <v>158</v>
      </c>
      <c r="M2815" s="1" t="s">
        <v>437</v>
      </c>
      <c r="N2815" s="1">
        <v>1</v>
      </c>
      <c r="O2815" s="1">
        <v>0</v>
      </c>
      <c r="R2815" s="1" t="s">
        <v>14100</v>
      </c>
      <c r="S2815" s="1" t="s">
        <v>14002</v>
      </c>
      <c r="T2815" s="1">
        <v>1</v>
      </c>
      <c r="U2815" s="1">
        <v>1</v>
      </c>
      <c r="V2815" s="1">
        <v>1</v>
      </c>
      <c r="W2815" s="1">
        <v>0</v>
      </c>
      <c r="X2815" s="1">
        <v>0</v>
      </c>
      <c r="Y2815" s="1">
        <v>7</v>
      </c>
      <c r="Z2815" s="1">
        <v>7</v>
      </c>
      <c r="AA2815" s="1" t="s">
        <v>104</v>
      </c>
      <c r="AB2815" s="1" t="s">
        <v>104</v>
      </c>
      <c r="AC2815" s="1" t="s">
        <v>104</v>
      </c>
      <c r="AD2815" s="1" t="s">
        <v>104</v>
      </c>
      <c r="AE2815" s="1" t="s">
        <v>104</v>
      </c>
      <c r="AF2815" s="1" t="s">
        <v>104</v>
      </c>
      <c r="AG2815" s="1" t="s">
        <v>104</v>
      </c>
      <c r="AH2815" s="1" t="s">
        <v>104</v>
      </c>
      <c r="AI2815" s="1" t="s">
        <v>104</v>
      </c>
      <c r="AJ2815" s="1" t="s">
        <v>104</v>
      </c>
      <c r="AK2815" s="1" t="s">
        <v>104</v>
      </c>
      <c r="AL2815" s="1" t="s">
        <v>104</v>
      </c>
      <c r="AM2815" s="1" t="s">
        <v>104</v>
      </c>
      <c r="AO2815" s="1">
        <v>7</v>
      </c>
      <c r="AQ2815" s="1" t="s">
        <v>14101</v>
      </c>
      <c r="AR2815" s="1">
        <v>0</v>
      </c>
      <c r="AS2815" s="1">
        <v>0</v>
      </c>
      <c r="AT2815" s="1">
        <v>0</v>
      </c>
      <c r="AU2815" s="1">
        <v>0</v>
      </c>
      <c r="AV2815" s="1">
        <v>0</v>
      </c>
      <c r="AW2815" s="1">
        <v>0</v>
      </c>
      <c r="AX2815" s="1">
        <v>0</v>
      </c>
      <c r="AY2815" s="1">
        <v>0</v>
      </c>
      <c r="AZ2815" s="1">
        <v>0</v>
      </c>
      <c r="BA2815" s="1">
        <v>0</v>
      </c>
      <c r="BB2815" s="1">
        <v>0</v>
      </c>
      <c r="BC2815" s="1">
        <v>0</v>
      </c>
      <c r="BD2815" s="1">
        <v>0</v>
      </c>
      <c r="BE2815" s="1">
        <v>0</v>
      </c>
      <c r="BF2815" s="1">
        <v>0</v>
      </c>
      <c r="BG2815" s="1">
        <v>0</v>
      </c>
      <c r="BH2815" s="1">
        <v>0</v>
      </c>
      <c r="BI2815" s="1">
        <v>0</v>
      </c>
      <c r="BJ2815" s="1">
        <v>0</v>
      </c>
      <c r="BK2815" s="1">
        <v>0</v>
      </c>
      <c r="BL2815" s="1">
        <v>0</v>
      </c>
      <c r="BM2815" s="1">
        <v>0</v>
      </c>
      <c r="BN2815" s="1">
        <v>0</v>
      </c>
      <c r="BO2815" s="1">
        <v>0</v>
      </c>
      <c r="BP2815" s="1">
        <v>0</v>
      </c>
      <c r="BQ2815" s="1" t="s">
        <v>104</v>
      </c>
      <c r="BR2815" s="1">
        <v>4942</v>
      </c>
      <c r="BS2815" s="1" t="s">
        <v>104</v>
      </c>
      <c r="BX2815" s="1">
        <v>0</v>
      </c>
      <c r="BY2815" s="1" t="s">
        <v>104</v>
      </c>
      <c r="BZ2815" s="1" t="s">
        <v>104</v>
      </c>
      <c r="CA2815" s="1" t="s">
        <v>104</v>
      </c>
      <c r="CB2815" s="1" t="s">
        <v>104</v>
      </c>
      <c r="CC2815" s="1" t="s">
        <v>104</v>
      </c>
      <c r="CD2815" s="1" t="s">
        <v>104</v>
      </c>
      <c r="CE2815" s="1" t="s">
        <v>104</v>
      </c>
      <c r="CF2815" s="1" t="s">
        <v>104</v>
      </c>
      <c r="CG2815" s="1" t="s">
        <v>104</v>
      </c>
      <c r="CH2815" s="1" t="s">
        <v>104</v>
      </c>
      <c r="CJ2815" s="1">
        <v>0</v>
      </c>
      <c r="CK2815" s="1">
        <v>0</v>
      </c>
      <c r="CL2815" s="1">
        <v>0</v>
      </c>
      <c r="CM2815" s="1" t="s">
        <v>104</v>
      </c>
    </row>
    <row r="2816" spans="1:91" ht="14.25" customHeight="1" x14ac:dyDescent="0.3">
      <c r="A2816" s="1" t="s">
        <v>14102</v>
      </c>
      <c r="B2816" s="1" t="s">
        <v>137</v>
      </c>
      <c r="E2816" s="1" t="s">
        <v>14014</v>
      </c>
      <c r="F2816" s="1" t="s">
        <v>95</v>
      </c>
      <c r="G2816" s="1" t="s">
        <v>116</v>
      </c>
      <c r="H2816" s="1">
        <v>0</v>
      </c>
      <c r="I2816" s="1" t="s">
        <v>128</v>
      </c>
      <c r="L2816" s="1" t="s">
        <v>14103</v>
      </c>
      <c r="M2816" s="1" t="s">
        <v>620</v>
      </c>
      <c r="N2816" s="1">
        <v>1</v>
      </c>
      <c r="O2816" s="1">
        <v>0</v>
      </c>
      <c r="P2816" s="1" t="s">
        <v>1058</v>
      </c>
      <c r="Q2816" s="1" t="s">
        <v>131</v>
      </c>
      <c r="R2816" s="1" t="s">
        <v>14104</v>
      </c>
      <c r="S2816" s="1" t="s">
        <v>14002</v>
      </c>
      <c r="T2816" s="1">
        <v>1</v>
      </c>
      <c r="U2816" s="1">
        <v>1</v>
      </c>
      <c r="V2816" s="1">
        <v>0</v>
      </c>
      <c r="W2816" s="1">
        <v>0</v>
      </c>
      <c r="X2816" s="1">
        <v>0</v>
      </c>
      <c r="Y2816" s="1">
        <v>2</v>
      </c>
      <c r="Z2816" s="1">
        <v>2</v>
      </c>
      <c r="AA2816" s="1" t="s">
        <v>104</v>
      </c>
      <c r="AB2816" s="1" t="s">
        <v>104</v>
      </c>
      <c r="AC2816" s="1" t="s">
        <v>104</v>
      </c>
      <c r="AD2816" s="1" t="s">
        <v>104</v>
      </c>
      <c r="AE2816" s="1" t="s">
        <v>104</v>
      </c>
      <c r="AF2816" s="1" t="s">
        <v>104</v>
      </c>
      <c r="AG2816" s="1" t="s">
        <v>104</v>
      </c>
      <c r="AH2816" s="1">
        <v>2</v>
      </c>
      <c r="AI2816" s="1" t="s">
        <v>104</v>
      </c>
      <c r="AJ2816" s="1" t="s">
        <v>104</v>
      </c>
      <c r="AK2816" s="1" t="s">
        <v>104</v>
      </c>
      <c r="AL2816" s="1" t="s">
        <v>104</v>
      </c>
      <c r="AM2816" s="1" t="s">
        <v>104</v>
      </c>
      <c r="AO2816" s="1">
        <v>2</v>
      </c>
      <c r="AQ2816" s="1" t="s">
        <v>14105</v>
      </c>
      <c r="AR2816" s="1">
        <v>0</v>
      </c>
      <c r="AS2816" s="1">
        <v>0</v>
      </c>
      <c r="AT2816" s="1">
        <v>0</v>
      </c>
      <c r="AU2816" s="1">
        <v>0</v>
      </c>
      <c r="AV2816" s="1">
        <v>0</v>
      </c>
      <c r="AW2816" s="1">
        <v>0</v>
      </c>
      <c r="AX2816" s="1">
        <v>0</v>
      </c>
      <c r="AY2816" s="1">
        <v>0</v>
      </c>
      <c r="AZ2816" s="1">
        <v>0</v>
      </c>
      <c r="BA2816" s="1">
        <v>0</v>
      </c>
      <c r="BB2816" s="1">
        <v>0</v>
      </c>
      <c r="BC2816" s="1">
        <v>0</v>
      </c>
      <c r="BD2816" s="1">
        <v>0</v>
      </c>
      <c r="BE2816" s="1">
        <v>0</v>
      </c>
      <c r="BF2816" s="1">
        <v>0</v>
      </c>
      <c r="BG2816" s="1">
        <v>0</v>
      </c>
      <c r="BH2816" s="1">
        <v>0</v>
      </c>
      <c r="BI2816" s="1">
        <v>0</v>
      </c>
      <c r="BJ2816" s="1">
        <v>0</v>
      </c>
      <c r="BK2816" s="1">
        <v>0</v>
      </c>
      <c r="BL2816" s="1">
        <v>0</v>
      </c>
      <c r="BM2816" s="1">
        <v>0</v>
      </c>
      <c r="BN2816" s="1">
        <v>0</v>
      </c>
      <c r="BO2816" s="1">
        <v>0</v>
      </c>
      <c r="BP2816" s="1">
        <v>0</v>
      </c>
      <c r="BQ2816" s="1" t="s">
        <v>104</v>
      </c>
      <c r="BR2816" s="1">
        <v>4943</v>
      </c>
      <c r="BS2816" s="1" t="s">
        <v>104</v>
      </c>
      <c r="BX2816" s="1">
        <v>0</v>
      </c>
      <c r="BY2816" s="1" t="s">
        <v>104</v>
      </c>
      <c r="BZ2816" s="1">
        <v>2</v>
      </c>
      <c r="CA2816" s="1" t="s">
        <v>104</v>
      </c>
      <c r="CB2816" s="1" t="s">
        <v>104</v>
      </c>
      <c r="CC2816" s="1" t="s">
        <v>104</v>
      </c>
      <c r="CD2816" s="1" t="s">
        <v>104</v>
      </c>
      <c r="CE2816" s="1" t="s">
        <v>104</v>
      </c>
      <c r="CF2816" s="1" t="s">
        <v>104</v>
      </c>
      <c r="CG2816" s="1" t="s">
        <v>104</v>
      </c>
      <c r="CH2816" s="1" t="s">
        <v>104</v>
      </c>
      <c r="CJ2816" s="1">
        <v>0</v>
      </c>
      <c r="CK2816" s="1">
        <v>0</v>
      </c>
      <c r="CL2816" s="1">
        <v>0</v>
      </c>
      <c r="CM2816" s="1" t="s">
        <v>104</v>
      </c>
    </row>
    <row r="2817" spans="1:91" ht="14.25" customHeight="1" x14ac:dyDescent="0.3">
      <c r="A2817" s="1" t="s">
        <v>14106</v>
      </c>
      <c r="B2817" s="1" t="s">
        <v>507</v>
      </c>
      <c r="C2817" s="1" t="s">
        <v>1767</v>
      </c>
      <c r="E2817" s="1" t="s">
        <v>14107</v>
      </c>
      <c r="F2817" s="1" t="s">
        <v>287</v>
      </c>
      <c r="G2817" s="1" t="s">
        <v>14108</v>
      </c>
      <c r="H2817" s="1">
        <v>0</v>
      </c>
      <c r="I2817" s="1" t="s">
        <v>97</v>
      </c>
      <c r="J2817" s="1" t="s">
        <v>5822</v>
      </c>
      <c r="M2817" s="1" t="s">
        <v>5062</v>
      </c>
      <c r="N2817" s="1">
        <v>1</v>
      </c>
      <c r="O2817" s="1">
        <v>1</v>
      </c>
      <c r="P2817" s="1" t="s">
        <v>14109</v>
      </c>
      <c r="Q2817" s="1" t="s">
        <v>184</v>
      </c>
      <c r="R2817" s="1" t="s">
        <v>14110</v>
      </c>
      <c r="S2817" s="1" t="s">
        <v>14002</v>
      </c>
      <c r="T2817" s="1">
        <v>1</v>
      </c>
      <c r="U2817" s="1">
        <v>1</v>
      </c>
      <c r="V2817" s="1">
        <v>1</v>
      </c>
      <c r="W2817" s="1">
        <v>0</v>
      </c>
      <c r="X2817" s="1">
        <v>0</v>
      </c>
      <c r="Y2817" s="1" t="s">
        <v>104</v>
      </c>
      <c r="Z2817" s="1" t="s">
        <v>104</v>
      </c>
      <c r="AA2817" s="1" t="s">
        <v>104</v>
      </c>
      <c r="AB2817" s="1">
        <v>3</v>
      </c>
      <c r="AC2817" s="1">
        <v>3</v>
      </c>
      <c r="AD2817" s="1">
        <v>3</v>
      </c>
      <c r="AE2817" s="1" t="s">
        <v>104</v>
      </c>
      <c r="AF2817" s="1" t="s">
        <v>104</v>
      </c>
      <c r="AG2817" s="1" t="s">
        <v>104</v>
      </c>
      <c r="AH2817" s="1" t="s">
        <v>104</v>
      </c>
      <c r="AI2817" s="1" t="s">
        <v>104</v>
      </c>
      <c r="AJ2817" s="1" t="s">
        <v>104</v>
      </c>
      <c r="AK2817" s="1" t="s">
        <v>104</v>
      </c>
      <c r="AL2817" s="1" t="s">
        <v>104</v>
      </c>
      <c r="AM2817" s="1" t="s">
        <v>104</v>
      </c>
      <c r="AO2817" s="1">
        <v>3</v>
      </c>
      <c r="AQ2817" s="1" t="s">
        <v>14111</v>
      </c>
      <c r="AR2817" s="1">
        <v>0</v>
      </c>
      <c r="AS2817" s="1">
        <v>0</v>
      </c>
      <c r="AT2817" s="1">
        <v>0</v>
      </c>
      <c r="AU2817" s="1">
        <v>0</v>
      </c>
      <c r="AV2817" s="1">
        <v>0</v>
      </c>
      <c r="AW2817" s="1">
        <v>0</v>
      </c>
      <c r="AX2817" s="1">
        <v>0</v>
      </c>
      <c r="AY2817" s="1">
        <v>0</v>
      </c>
      <c r="AZ2817" s="1">
        <v>0</v>
      </c>
      <c r="BA2817" s="1">
        <v>0</v>
      </c>
      <c r="BB2817" s="1">
        <v>0</v>
      </c>
      <c r="BC2817" s="1">
        <v>0</v>
      </c>
      <c r="BD2817" s="1">
        <v>0</v>
      </c>
      <c r="BE2817" s="1">
        <v>0</v>
      </c>
      <c r="BF2817" s="1">
        <v>0</v>
      </c>
      <c r="BG2817" s="1">
        <v>0</v>
      </c>
      <c r="BH2817" s="1">
        <v>0</v>
      </c>
      <c r="BI2817" s="1">
        <v>0</v>
      </c>
      <c r="BJ2817" s="1">
        <v>0</v>
      </c>
      <c r="BK2817" s="1">
        <v>0</v>
      </c>
      <c r="BL2817" s="1">
        <v>0</v>
      </c>
      <c r="BM2817" s="1">
        <v>0</v>
      </c>
      <c r="BN2817" s="1">
        <v>0</v>
      </c>
      <c r="BO2817" s="1">
        <v>0</v>
      </c>
      <c r="BP2817" s="1">
        <v>0</v>
      </c>
      <c r="BQ2817" s="1" t="s">
        <v>104</v>
      </c>
      <c r="BR2817" s="1">
        <v>4944</v>
      </c>
      <c r="BS2817" s="1" t="s">
        <v>104</v>
      </c>
      <c r="BX2817" s="1">
        <v>0</v>
      </c>
      <c r="BY2817" s="1" t="s">
        <v>104</v>
      </c>
      <c r="BZ2817" s="1" t="s">
        <v>104</v>
      </c>
      <c r="CA2817" s="1">
        <v>3</v>
      </c>
      <c r="CB2817" s="1" t="s">
        <v>104</v>
      </c>
      <c r="CC2817" s="1">
        <v>3</v>
      </c>
      <c r="CD2817" s="1">
        <v>3</v>
      </c>
      <c r="CE2817" s="1" t="s">
        <v>104</v>
      </c>
      <c r="CF2817" s="1" t="s">
        <v>104</v>
      </c>
      <c r="CG2817" s="1" t="s">
        <v>104</v>
      </c>
      <c r="CH2817" s="1">
        <v>3</v>
      </c>
      <c r="CJ2817" s="1">
        <v>0</v>
      </c>
      <c r="CK2817" s="1">
        <v>0</v>
      </c>
      <c r="CL2817" s="1">
        <v>0</v>
      </c>
      <c r="CM2817" s="1" t="s">
        <v>104</v>
      </c>
    </row>
    <row r="2818" spans="1:91" ht="14.25" customHeight="1" x14ac:dyDescent="0.3">
      <c r="A2818" s="1" t="s">
        <v>14112</v>
      </c>
      <c r="B2818" s="1" t="s">
        <v>137</v>
      </c>
      <c r="C2818" s="1" t="s">
        <v>154</v>
      </c>
      <c r="E2818" s="1" t="s">
        <v>6491</v>
      </c>
      <c r="F2818" s="1" t="s">
        <v>95</v>
      </c>
      <c r="G2818" s="1" t="s">
        <v>14113</v>
      </c>
      <c r="H2818" s="1">
        <v>0</v>
      </c>
      <c r="I2818" s="1" t="s">
        <v>157</v>
      </c>
      <c r="L2818" s="1" t="s">
        <v>158</v>
      </c>
      <c r="M2818" s="1" t="s">
        <v>4641</v>
      </c>
      <c r="N2818" s="1">
        <v>1</v>
      </c>
      <c r="O2818" s="1">
        <v>0</v>
      </c>
      <c r="R2818" s="1" t="s">
        <v>14114</v>
      </c>
      <c r="S2818" s="1" t="s">
        <v>14002</v>
      </c>
      <c r="T2818" s="1">
        <v>1</v>
      </c>
      <c r="U2818" s="1">
        <v>1</v>
      </c>
      <c r="V2818" s="1">
        <v>1</v>
      </c>
      <c r="W2818" s="1">
        <v>0</v>
      </c>
      <c r="X2818" s="1">
        <v>0</v>
      </c>
      <c r="Y2818" s="1">
        <v>5</v>
      </c>
      <c r="Z2818" s="1">
        <v>5</v>
      </c>
      <c r="AA2818" s="1" t="s">
        <v>104</v>
      </c>
      <c r="AB2818" s="1" t="s">
        <v>104</v>
      </c>
      <c r="AC2818" s="1" t="s">
        <v>104</v>
      </c>
      <c r="AD2818" s="1" t="s">
        <v>104</v>
      </c>
      <c r="AE2818" s="1" t="s">
        <v>104</v>
      </c>
      <c r="AF2818" s="1">
        <v>5</v>
      </c>
      <c r="AG2818" s="1" t="s">
        <v>104</v>
      </c>
      <c r="AH2818" s="1" t="s">
        <v>104</v>
      </c>
      <c r="AI2818" s="1" t="s">
        <v>104</v>
      </c>
      <c r="AJ2818" s="1" t="s">
        <v>104</v>
      </c>
      <c r="AK2818" s="1" t="s">
        <v>104</v>
      </c>
      <c r="AL2818" s="1">
        <v>5</v>
      </c>
      <c r="AM2818" s="1" t="s">
        <v>104</v>
      </c>
      <c r="AO2818" s="1">
        <v>5</v>
      </c>
      <c r="AQ2818" s="1" t="s">
        <v>14115</v>
      </c>
      <c r="AR2818" s="1">
        <v>0</v>
      </c>
      <c r="AS2818" s="1">
        <v>0</v>
      </c>
      <c r="AT2818" s="1">
        <v>0</v>
      </c>
      <c r="AU2818" s="1">
        <v>0</v>
      </c>
      <c r="AV2818" s="1">
        <v>0</v>
      </c>
      <c r="AW2818" s="1">
        <v>0</v>
      </c>
      <c r="AX2818" s="1">
        <v>0</v>
      </c>
      <c r="AY2818" s="1">
        <v>0</v>
      </c>
      <c r="AZ2818" s="1">
        <v>0</v>
      </c>
      <c r="BA2818" s="1">
        <v>0</v>
      </c>
      <c r="BB2818" s="1">
        <v>0</v>
      </c>
      <c r="BC2818" s="1">
        <v>0</v>
      </c>
      <c r="BD2818" s="1">
        <v>0</v>
      </c>
      <c r="BE2818" s="1">
        <v>0</v>
      </c>
      <c r="BF2818" s="1">
        <v>0</v>
      </c>
      <c r="BG2818" s="1">
        <v>0</v>
      </c>
      <c r="BH2818" s="1">
        <v>0</v>
      </c>
      <c r="BI2818" s="1">
        <v>0</v>
      </c>
      <c r="BJ2818" s="1">
        <v>0</v>
      </c>
      <c r="BK2818" s="1">
        <v>0</v>
      </c>
      <c r="BL2818" s="1">
        <v>0</v>
      </c>
      <c r="BM2818" s="1">
        <v>0</v>
      </c>
      <c r="BN2818" s="1">
        <v>0</v>
      </c>
      <c r="BO2818" s="1">
        <v>0</v>
      </c>
      <c r="BP2818" s="1">
        <v>0</v>
      </c>
      <c r="BQ2818" s="1" t="s">
        <v>104</v>
      </c>
      <c r="BR2818" s="1">
        <v>4945</v>
      </c>
      <c r="BS2818" s="1" t="s">
        <v>104</v>
      </c>
      <c r="BX2818" s="1">
        <v>0</v>
      </c>
      <c r="BY2818" s="1" t="s">
        <v>104</v>
      </c>
      <c r="BZ2818" s="1" t="s">
        <v>104</v>
      </c>
      <c r="CA2818" s="1" t="s">
        <v>104</v>
      </c>
      <c r="CB2818" s="1" t="s">
        <v>104</v>
      </c>
      <c r="CC2818" s="1" t="s">
        <v>104</v>
      </c>
      <c r="CD2818" s="1" t="s">
        <v>104</v>
      </c>
      <c r="CE2818" s="1" t="s">
        <v>104</v>
      </c>
      <c r="CF2818" s="1" t="s">
        <v>104</v>
      </c>
      <c r="CG2818" s="1" t="s">
        <v>104</v>
      </c>
      <c r="CH2818" s="1" t="s">
        <v>104</v>
      </c>
      <c r="CJ2818" s="1">
        <v>0</v>
      </c>
      <c r="CK2818" s="1">
        <v>0</v>
      </c>
      <c r="CL2818" s="1">
        <v>0</v>
      </c>
      <c r="CM2818" s="1" t="s">
        <v>104</v>
      </c>
    </row>
    <row r="2819" spans="1:91" ht="14.25" customHeight="1" x14ac:dyDescent="0.3">
      <c r="A2819" s="1" t="s">
        <v>14116</v>
      </c>
      <c r="B2819" s="1" t="s">
        <v>137</v>
      </c>
      <c r="C2819" s="1" t="s">
        <v>154</v>
      </c>
      <c r="E2819" s="1" t="s">
        <v>6495</v>
      </c>
      <c r="F2819" s="1" t="s">
        <v>95</v>
      </c>
      <c r="G2819" s="1" t="s">
        <v>14113</v>
      </c>
      <c r="H2819" s="1">
        <v>0</v>
      </c>
      <c r="I2819" s="1" t="s">
        <v>157</v>
      </c>
      <c r="L2819" s="1" t="s">
        <v>158</v>
      </c>
      <c r="M2819" s="1" t="s">
        <v>4641</v>
      </c>
      <c r="N2819" s="1">
        <v>1</v>
      </c>
      <c r="O2819" s="1">
        <v>0</v>
      </c>
      <c r="R2819" s="1" t="s">
        <v>14117</v>
      </c>
      <c r="S2819" s="1" t="s">
        <v>14002</v>
      </c>
      <c r="T2819" s="1">
        <v>1</v>
      </c>
      <c r="U2819" s="1">
        <v>1</v>
      </c>
      <c r="V2819" s="1">
        <v>1</v>
      </c>
      <c r="W2819" s="1">
        <v>0</v>
      </c>
      <c r="X2819" s="1">
        <v>0</v>
      </c>
      <c r="Y2819" s="1">
        <v>6</v>
      </c>
      <c r="Z2819" s="1">
        <v>6</v>
      </c>
      <c r="AA2819" s="1" t="s">
        <v>104</v>
      </c>
      <c r="AB2819" s="1" t="s">
        <v>104</v>
      </c>
      <c r="AC2819" s="1" t="s">
        <v>104</v>
      </c>
      <c r="AD2819" s="1" t="s">
        <v>104</v>
      </c>
      <c r="AE2819" s="1" t="s">
        <v>104</v>
      </c>
      <c r="AF2819" s="1">
        <v>6</v>
      </c>
      <c r="AG2819" s="1" t="s">
        <v>104</v>
      </c>
      <c r="AH2819" s="1" t="s">
        <v>104</v>
      </c>
      <c r="AI2819" s="1" t="s">
        <v>104</v>
      </c>
      <c r="AJ2819" s="1" t="s">
        <v>104</v>
      </c>
      <c r="AK2819" s="1" t="s">
        <v>104</v>
      </c>
      <c r="AL2819" s="1">
        <v>6</v>
      </c>
      <c r="AM2819" s="1" t="s">
        <v>104</v>
      </c>
      <c r="AO2819" s="1">
        <v>6</v>
      </c>
      <c r="AQ2819" s="1" t="s">
        <v>14118</v>
      </c>
      <c r="AR2819" s="1">
        <v>0</v>
      </c>
      <c r="AS2819" s="1">
        <v>0</v>
      </c>
      <c r="AT2819" s="1">
        <v>0</v>
      </c>
      <c r="AU2819" s="1">
        <v>0</v>
      </c>
      <c r="AV2819" s="1">
        <v>0</v>
      </c>
      <c r="AW2819" s="1">
        <v>0</v>
      </c>
      <c r="AX2819" s="1">
        <v>0</v>
      </c>
      <c r="AY2819" s="1">
        <v>0</v>
      </c>
      <c r="AZ2819" s="1">
        <v>0</v>
      </c>
      <c r="BA2819" s="1">
        <v>0</v>
      </c>
      <c r="BB2819" s="1">
        <v>0</v>
      </c>
      <c r="BC2819" s="1">
        <v>0</v>
      </c>
      <c r="BD2819" s="1">
        <v>0</v>
      </c>
      <c r="BE2819" s="1">
        <v>0</v>
      </c>
      <c r="BF2819" s="1">
        <v>0</v>
      </c>
      <c r="BG2819" s="1">
        <v>0</v>
      </c>
      <c r="BH2819" s="1">
        <v>0</v>
      </c>
      <c r="BI2819" s="1">
        <v>0</v>
      </c>
      <c r="BJ2819" s="1">
        <v>0</v>
      </c>
      <c r="BK2819" s="1">
        <v>0</v>
      </c>
      <c r="BL2819" s="1">
        <v>0</v>
      </c>
      <c r="BM2819" s="1">
        <v>0</v>
      </c>
      <c r="BN2819" s="1">
        <v>0</v>
      </c>
      <c r="BO2819" s="1">
        <v>0</v>
      </c>
      <c r="BP2819" s="1">
        <v>0</v>
      </c>
      <c r="BQ2819" s="1" t="s">
        <v>104</v>
      </c>
      <c r="BR2819" s="1">
        <v>4946</v>
      </c>
      <c r="BS2819" s="1" t="s">
        <v>104</v>
      </c>
      <c r="BX2819" s="1">
        <v>0</v>
      </c>
      <c r="BY2819" s="1" t="s">
        <v>104</v>
      </c>
      <c r="BZ2819" s="1" t="s">
        <v>104</v>
      </c>
      <c r="CA2819" s="1" t="s">
        <v>104</v>
      </c>
      <c r="CB2819" s="1" t="s">
        <v>104</v>
      </c>
      <c r="CC2819" s="1" t="s">
        <v>104</v>
      </c>
      <c r="CD2819" s="1" t="s">
        <v>104</v>
      </c>
      <c r="CE2819" s="1" t="s">
        <v>104</v>
      </c>
      <c r="CF2819" s="1" t="s">
        <v>104</v>
      </c>
      <c r="CG2819" s="1" t="s">
        <v>104</v>
      </c>
      <c r="CH2819" s="1" t="s">
        <v>104</v>
      </c>
      <c r="CJ2819" s="1">
        <v>0</v>
      </c>
      <c r="CK2819" s="1">
        <v>0</v>
      </c>
      <c r="CL2819" s="1">
        <v>0</v>
      </c>
      <c r="CM2819" s="1" t="s">
        <v>104</v>
      </c>
    </row>
    <row r="2820" spans="1:91" ht="14.25" customHeight="1" x14ac:dyDescent="0.3">
      <c r="A2820" s="1" t="s">
        <v>14119</v>
      </c>
      <c r="B2820" s="1" t="s">
        <v>137</v>
      </c>
      <c r="C2820" s="1" t="s">
        <v>154</v>
      </c>
      <c r="E2820" s="1" t="s">
        <v>843</v>
      </c>
      <c r="F2820" s="1" t="s">
        <v>95</v>
      </c>
      <c r="G2820" s="1" t="s">
        <v>14113</v>
      </c>
      <c r="H2820" s="1">
        <v>0</v>
      </c>
      <c r="I2820" s="1" t="s">
        <v>157</v>
      </c>
      <c r="L2820" s="1" t="s">
        <v>158</v>
      </c>
      <c r="M2820" s="1" t="s">
        <v>4641</v>
      </c>
      <c r="N2820" s="1">
        <v>1</v>
      </c>
      <c r="O2820" s="1">
        <v>0</v>
      </c>
      <c r="R2820" s="1" t="s">
        <v>14120</v>
      </c>
      <c r="S2820" s="1" t="s">
        <v>14002</v>
      </c>
      <c r="T2820" s="1">
        <v>1</v>
      </c>
      <c r="U2820" s="1">
        <v>1</v>
      </c>
      <c r="V2820" s="1">
        <v>1</v>
      </c>
      <c r="W2820" s="1">
        <v>0</v>
      </c>
      <c r="X2820" s="1">
        <v>0</v>
      </c>
      <c r="Y2820" s="1">
        <v>7</v>
      </c>
      <c r="Z2820" s="1">
        <v>7</v>
      </c>
      <c r="AA2820" s="1" t="s">
        <v>104</v>
      </c>
      <c r="AB2820" s="1" t="s">
        <v>104</v>
      </c>
      <c r="AC2820" s="1" t="s">
        <v>104</v>
      </c>
      <c r="AD2820" s="1" t="s">
        <v>104</v>
      </c>
      <c r="AE2820" s="1" t="s">
        <v>104</v>
      </c>
      <c r="AF2820" s="1" t="s">
        <v>104</v>
      </c>
      <c r="AG2820" s="1" t="s">
        <v>104</v>
      </c>
      <c r="AH2820" s="1" t="s">
        <v>104</v>
      </c>
      <c r="AI2820" s="1" t="s">
        <v>104</v>
      </c>
      <c r="AJ2820" s="1" t="s">
        <v>104</v>
      </c>
      <c r="AK2820" s="1" t="s">
        <v>104</v>
      </c>
      <c r="AL2820" s="1" t="s">
        <v>104</v>
      </c>
      <c r="AM2820" s="1" t="s">
        <v>104</v>
      </c>
      <c r="AO2820" s="1">
        <v>7</v>
      </c>
      <c r="AQ2820" s="1" t="s">
        <v>14121</v>
      </c>
      <c r="AR2820" s="1">
        <v>0</v>
      </c>
      <c r="AS2820" s="1">
        <v>0</v>
      </c>
      <c r="AT2820" s="1">
        <v>0</v>
      </c>
      <c r="AU2820" s="1">
        <v>0</v>
      </c>
      <c r="AV2820" s="1">
        <v>0</v>
      </c>
      <c r="AW2820" s="1">
        <v>0</v>
      </c>
      <c r="AX2820" s="1">
        <v>0</v>
      </c>
      <c r="AY2820" s="1">
        <v>0</v>
      </c>
      <c r="AZ2820" s="1">
        <v>0</v>
      </c>
      <c r="BA2820" s="1">
        <v>0</v>
      </c>
      <c r="BB2820" s="1">
        <v>0</v>
      </c>
      <c r="BC2820" s="1">
        <v>0</v>
      </c>
      <c r="BD2820" s="1">
        <v>0</v>
      </c>
      <c r="BE2820" s="1">
        <v>0</v>
      </c>
      <c r="BF2820" s="1">
        <v>0</v>
      </c>
      <c r="BG2820" s="1">
        <v>0</v>
      </c>
      <c r="BH2820" s="1">
        <v>0</v>
      </c>
      <c r="BI2820" s="1">
        <v>0</v>
      </c>
      <c r="BJ2820" s="1">
        <v>0</v>
      </c>
      <c r="BK2820" s="1">
        <v>0</v>
      </c>
      <c r="BL2820" s="1">
        <v>0</v>
      </c>
      <c r="BM2820" s="1">
        <v>0</v>
      </c>
      <c r="BN2820" s="1">
        <v>0</v>
      </c>
      <c r="BO2820" s="1">
        <v>0</v>
      </c>
      <c r="BP2820" s="1">
        <v>0</v>
      </c>
      <c r="BQ2820" s="1" t="s">
        <v>104</v>
      </c>
      <c r="BR2820" s="1">
        <v>4947</v>
      </c>
      <c r="BS2820" s="1" t="s">
        <v>104</v>
      </c>
      <c r="BX2820" s="1">
        <v>0</v>
      </c>
      <c r="BY2820" s="1" t="s">
        <v>104</v>
      </c>
      <c r="BZ2820" s="1" t="s">
        <v>104</v>
      </c>
      <c r="CA2820" s="1" t="s">
        <v>104</v>
      </c>
      <c r="CB2820" s="1" t="s">
        <v>104</v>
      </c>
      <c r="CC2820" s="1" t="s">
        <v>104</v>
      </c>
      <c r="CD2820" s="1" t="s">
        <v>104</v>
      </c>
      <c r="CE2820" s="1" t="s">
        <v>104</v>
      </c>
      <c r="CF2820" s="1" t="s">
        <v>104</v>
      </c>
      <c r="CG2820" s="1" t="s">
        <v>104</v>
      </c>
      <c r="CH2820" s="1" t="s">
        <v>104</v>
      </c>
      <c r="CJ2820" s="1">
        <v>0</v>
      </c>
      <c r="CK2820" s="1">
        <v>0</v>
      </c>
      <c r="CL2820" s="1">
        <v>0</v>
      </c>
      <c r="CM2820" s="1" t="s">
        <v>104</v>
      </c>
    </row>
    <row r="2821" spans="1:91" ht="14.25" customHeight="1" x14ac:dyDescent="0.3">
      <c r="A2821" s="1" t="s">
        <v>14122</v>
      </c>
      <c r="B2821" s="1" t="s">
        <v>137</v>
      </c>
      <c r="E2821" s="1" t="s">
        <v>14123</v>
      </c>
      <c r="F2821" s="1" t="s">
        <v>95</v>
      </c>
      <c r="G2821" s="1" t="s">
        <v>116</v>
      </c>
      <c r="H2821" s="1">
        <v>0</v>
      </c>
      <c r="I2821" s="1" t="s">
        <v>157</v>
      </c>
      <c r="L2821" s="1" t="s">
        <v>158</v>
      </c>
      <c r="M2821" s="1" t="s">
        <v>111</v>
      </c>
      <c r="N2821" s="1">
        <v>0</v>
      </c>
      <c r="O2821" s="1">
        <v>0</v>
      </c>
      <c r="R2821" s="1" t="s">
        <v>14124</v>
      </c>
      <c r="S2821" s="1" t="s">
        <v>14002</v>
      </c>
      <c r="T2821" s="1">
        <v>1</v>
      </c>
      <c r="U2821" s="1">
        <v>1</v>
      </c>
      <c r="V2821" s="1">
        <v>0</v>
      </c>
      <c r="W2821" s="1">
        <v>0</v>
      </c>
      <c r="X2821" s="1">
        <v>0</v>
      </c>
      <c r="Y2821" s="1">
        <v>2</v>
      </c>
      <c r="Z2821" s="1">
        <v>2</v>
      </c>
      <c r="AA2821" s="1" t="s">
        <v>104</v>
      </c>
      <c r="AB2821" s="1">
        <v>2</v>
      </c>
      <c r="AC2821" s="1">
        <v>2</v>
      </c>
      <c r="AD2821" s="1" t="s">
        <v>104</v>
      </c>
      <c r="AE2821" s="1" t="s">
        <v>104</v>
      </c>
      <c r="AF2821" s="1">
        <v>2</v>
      </c>
      <c r="AG2821" s="1" t="s">
        <v>104</v>
      </c>
      <c r="AH2821" s="1">
        <v>2</v>
      </c>
      <c r="AI2821" s="1" t="s">
        <v>104</v>
      </c>
      <c r="AJ2821" s="1" t="s">
        <v>104</v>
      </c>
      <c r="AK2821" s="1" t="s">
        <v>104</v>
      </c>
      <c r="AL2821" s="1">
        <v>2</v>
      </c>
      <c r="AM2821" s="1" t="s">
        <v>104</v>
      </c>
      <c r="AO2821" s="1">
        <v>2</v>
      </c>
      <c r="AQ2821" s="1" t="s">
        <v>14122</v>
      </c>
      <c r="AR2821" s="1">
        <v>0</v>
      </c>
      <c r="AS2821" s="1">
        <v>0</v>
      </c>
      <c r="AT2821" s="1">
        <v>0</v>
      </c>
      <c r="AU2821" s="1">
        <v>0</v>
      </c>
      <c r="AV2821" s="1">
        <v>0</v>
      </c>
      <c r="AW2821" s="1">
        <v>0</v>
      </c>
      <c r="AX2821" s="1">
        <v>0</v>
      </c>
      <c r="AY2821" s="1">
        <v>0</v>
      </c>
      <c r="AZ2821" s="1">
        <v>0</v>
      </c>
      <c r="BA2821" s="1">
        <v>0</v>
      </c>
      <c r="BB2821" s="1">
        <v>0</v>
      </c>
      <c r="BC2821" s="1">
        <v>0</v>
      </c>
      <c r="BD2821" s="1">
        <v>0</v>
      </c>
      <c r="BE2821" s="1">
        <v>0</v>
      </c>
      <c r="BF2821" s="1">
        <v>0</v>
      </c>
      <c r="BG2821" s="1">
        <v>0</v>
      </c>
      <c r="BH2821" s="1">
        <v>0</v>
      </c>
      <c r="BI2821" s="1">
        <v>0</v>
      </c>
      <c r="BJ2821" s="1">
        <v>0</v>
      </c>
      <c r="BK2821" s="1">
        <v>0</v>
      </c>
      <c r="BL2821" s="1">
        <v>0</v>
      </c>
      <c r="BM2821" s="1">
        <v>0</v>
      </c>
      <c r="BN2821" s="1">
        <v>0</v>
      </c>
      <c r="BO2821" s="1">
        <v>0</v>
      </c>
      <c r="BP2821" s="1">
        <v>0</v>
      </c>
      <c r="BQ2821" s="1" t="s">
        <v>104</v>
      </c>
      <c r="BR2821" s="1">
        <v>4948</v>
      </c>
      <c r="BS2821" s="1" t="s">
        <v>104</v>
      </c>
      <c r="BX2821" s="1">
        <v>0</v>
      </c>
      <c r="BY2821" s="1">
        <v>2</v>
      </c>
      <c r="BZ2821" s="1" t="s">
        <v>104</v>
      </c>
      <c r="CA2821" s="1" t="s">
        <v>104</v>
      </c>
      <c r="CB2821" s="1" t="s">
        <v>104</v>
      </c>
      <c r="CC2821" s="1" t="s">
        <v>104</v>
      </c>
      <c r="CD2821" s="1" t="s">
        <v>104</v>
      </c>
      <c r="CE2821" s="1" t="s">
        <v>104</v>
      </c>
      <c r="CF2821" s="1" t="s">
        <v>104</v>
      </c>
      <c r="CG2821" s="1" t="s">
        <v>104</v>
      </c>
      <c r="CH2821" s="1">
        <v>2</v>
      </c>
      <c r="CJ2821" s="1">
        <v>0</v>
      </c>
      <c r="CK2821" s="1">
        <v>0</v>
      </c>
      <c r="CL2821" s="1">
        <v>0</v>
      </c>
      <c r="CM2821" s="1" t="s">
        <v>104</v>
      </c>
    </row>
    <row r="2822" spans="1:91" ht="14.25" customHeight="1" x14ac:dyDescent="0.3">
      <c r="A2822" s="1" t="s">
        <v>14125</v>
      </c>
      <c r="B2822" s="1" t="s">
        <v>172</v>
      </c>
      <c r="E2822" s="1" t="s">
        <v>14126</v>
      </c>
      <c r="F2822" s="1" t="s">
        <v>1519</v>
      </c>
      <c r="G2822" s="1" t="s">
        <v>14127</v>
      </c>
      <c r="H2822" s="1">
        <v>0</v>
      </c>
      <c r="I2822" s="1" t="s">
        <v>157</v>
      </c>
      <c r="L2822" s="1" t="s">
        <v>158</v>
      </c>
      <c r="M2822" s="1" t="s">
        <v>14128</v>
      </c>
      <c r="N2822" s="1">
        <v>0</v>
      </c>
      <c r="O2822" s="1">
        <v>0</v>
      </c>
      <c r="R2822" s="1" t="s">
        <v>14129</v>
      </c>
      <c r="S2822" s="1" t="s">
        <v>14002</v>
      </c>
      <c r="T2822" s="1">
        <v>1</v>
      </c>
      <c r="U2822" s="1">
        <v>1</v>
      </c>
      <c r="V2822" s="1">
        <v>0</v>
      </c>
      <c r="W2822" s="1">
        <v>0</v>
      </c>
      <c r="X2822" s="1">
        <v>0</v>
      </c>
      <c r="Y2822" s="1" t="s">
        <v>104</v>
      </c>
      <c r="Z2822" s="1" t="s">
        <v>104</v>
      </c>
      <c r="AA2822" s="1" t="s">
        <v>104</v>
      </c>
      <c r="AB2822" s="1">
        <v>5</v>
      </c>
      <c r="AC2822" s="1">
        <v>2</v>
      </c>
      <c r="AD2822" s="1" t="s">
        <v>104</v>
      </c>
      <c r="AE2822" s="1" t="s">
        <v>104</v>
      </c>
      <c r="AF2822" s="1" t="s">
        <v>104</v>
      </c>
      <c r="AG2822" s="1" t="s">
        <v>104</v>
      </c>
      <c r="AH2822" s="1" t="s">
        <v>104</v>
      </c>
      <c r="AI2822" s="1">
        <v>4</v>
      </c>
      <c r="AJ2822" s="1" t="s">
        <v>104</v>
      </c>
      <c r="AK2822" s="1" t="s">
        <v>104</v>
      </c>
      <c r="AL2822" s="1" t="s">
        <v>104</v>
      </c>
      <c r="AM2822" s="1" t="s">
        <v>104</v>
      </c>
      <c r="AO2822" s="1">
        <v>5</v>
      </c>
      <c r="AQ2822" s="1" t="s">
        <v>14130</v>
      </c>
      <c r="AR2822" s="1">
        <v>0</v>
      </c>
      <c r="AS2822" s="1">
        <v>0</v>
      </c>
      <c r="AT2822" s="1">
        <v>0</v>
      </c>
      <c r="AU2822" s="1">
        <v>0</v>
      </c>
      <c r="AV2822" s="1">
        <v>0</v>
      </c>
      <c r="AW2822" s="1">
        <v>0</v>
      </c>
      <c r="AX2822" s="1">
        <v>0</v>
      </c>
      <c r="AY2822" s="1">
        <v>0</v>
      </c>
      <c r="AZ2822" s="1">
        <v>0</v>
      </c>
      <c r="BA2822" s="1">
        <v>0</v>
      </c>
      <c r="BB2822" s="1">
        <v>0</v>
      </c>
      <c r="BC2822" s="1">
        <v>0</v>
      </c>
      <c r="BD2822" s="1">
        <v>0</v>
      </c>
      <c r="BE2822" s="1">
        <v>0</v>
      </c>
      <c r="BF2822" s="1">
        <v>0</v>
      </c>
      <c r="BG2822" s="1">
        <v>0</v>
      </c>
      <c r="BH2822" s="1">
        <v>0</v>
      </c>
      <c r="BI2822" s="1">
        <v>0</v>
      </c>
      <c r="BJ2822" s="1">
        <v>0</v>
      </c>
      <c r="BK2822" s="1">
        <v>0</v>
      </c>
      <c r="BL2822" s="1">
        <v>0</v>
      </c>
      <c r="BM2822" s="1">
        <v>0</v>
      </c>
      <c r="BN2822" s="1">
        <v>0</v>
      </c>
      <c r="BO2822" s="1">
        <v>0</v>
      </c>
      <c r="BP2822" s="1">
        <v>0</v>
      </c>
      <c r="BQ2822" s="1" t="s">
        <v>104</v>
      </c>
      <c r="BR2822" s="1">
        <v>4949</v>
      </c>
      <c r="BS2822" s="1" t="s">
        <v>104</v>
      </c>
      <c r="BX2822" s="1">
        <v>0</v>
      </c>
      <c r="BY2822" s="1" t="s">
        <v>104</v>
      </c>
      <c r="BZ2822" s="1" t="s">
        <v>104</v>
      </c>
      <c r="CA2822" s="1">
        <v>5</v>
      </c>
      <c r="CB2822" s="1">
        <v>3</v>
      </c>
      <c r="CC2822" s="1" t="s">
        <v>104</v>
      </c>
      <c r="CD2822" s="1">
        <v>3</v>
      </c>
      <c r="CE2822" s="1" t="s">
        <v>104</v>
      </c>
      <c r="CF2822" s="1" t="s">
        <v>104</v>
      </c>
      <c r="CG2822" s="1" t="s">
        <v>104</v>
      </c>
      <c r="CH2822" s="1">
        <v>2</v>
      </c>
      <c r="CJ2822" s="1">
        <v>0</v>
      </c>
      <c r="CK2822" s="1">
        <v>0</v>
      </c>
      <c r="CL2822" s="1">
        <v>0</v>
      </c>
      <c r="CM2822" s="1" t="s">
        <v>104</v>
      </c>
    </row>
    <row r="2823" spans="1:91" ht="14.25" customHeight="1" x14ac:dyDescent="0.3">
      <c r="A2823" s="1" t="s">
        <v>14131</v>
      </c>
      <c r="B2823" s="1" t="s">
        <v>137</v>
      </c>
      <c r="E2823" s="1" t="s">
        <v>14132</v>
      </c>
      <c r="F2823" s="1" t="s">
        <v>191</v>
      </c>
      <c r="G2823" s="1" t="s">
        <v>14133</v>
      </c>
      <c r="H2823" s="1">
        <v>0</v>
      </c>
      <c r="I2823" s="1" t="s">
        <v>128</v>
      </c>
      <c r="L2823" s="1" t="s">
        <v>14134</v>
      </c>
      <c r="M2823" s="1" t="s">
        <v>620</v>
      </c>
      <c r="N2823" s="1">
        <v>1</v>
      </c>
      <c r="O2823" s="1">
        <v>0</v>
      </c>
      <c r="P2823" s="1" t="s">
        <v>100</v>
      </c>
      <c r="Q2823" s="1" t="s">
        <v>101</v>
      </c>
      <c r="R2823" s="1" t="s">
        <v>14135</v>
      </c>
      <c r="S2823" s="1" t="s">
        <v>14002</v>
      </c>
      <c r="T2823" s="1">
        <v>1</v>
      </c>
      <c r="U2823" s="1">
        <v>1</v>
      </c>
      <c r="V2823" s="1">
        <v>0</v>
      </c>
      <c r="W2823" s="1">
        <v>0</v>
      </c>
      <c r="X2823" s="1">
        <v>0</v>
      </c>
      <c r="Y2823" s="1" t="s">
        <v>104</v>
      </c>
      <c r="Z2823" s="1" t="s">
        <v>104</v>
      </c>
      <c r="AA2823" s="1" t="s">
        <v>104</v>
      </c>
      <c r="AB2823" s="1" t="s">
        <v>104</v>
      </c>
      <c r="AC2823" s="1">
        <v>2</v>
      </c>
      <c r="AD2823" s="1" t="s">
        <v>104</v>
      </c>
      <c r="AE2823" s="1" t="s">
        <v>104</v>
      </c>
      <c r="AF2823" s="1" t="s">
        <v>104</v>
      </c>
      <c r="AG2823" s="1" t="s">
        <v>104</v>
      </c>
      <c r="AH2823" s="1" t="s">
        <v>104</v>
      </c>
      <c r="AI2823" s="1" t="s">
        <v>104</v>
      </c>
      <c r="AJ2823" s="1" t="s">
        <v>104</v>
      </c>
      <c r="AK2823" s="1" t="s">
        <v>104</v>
      </c>
      <c r="AL2823" s="1" t="s">
        <v>104</v>
      </c>
      <c r="AM2823" s="1" t="s">
        <v>104</v>
      </c>
      <c r="AO2823" s="1">
        <v>2</v>
      </c>
      <c r="AQ2823" s="1" t="s">
        <v>14136</v>
      </c>
      <c r="AR2823" s="1">
        <v>0</v>
      </c>
      <c r="AS2823" s="1">
        <v>0</v>
      </c>
      <c r="AT2823" s="1">
        <v>0</v>
      </c>
      <c r="AU2823" s="1">
        <v>0</v>
      </c>
      <c r="AV2823" s="1">
        <v>0</v>
      </c>
      <c r="AW2823" s="1">
        <v>0</v>
      </c>
      <c r="AX2823" s="1">
        <v>0</v>
      </c>
      <c r="AY2823" s="1">
        <v>0</v>
      </c>
      <c r="AZ2823" s="1">
        <v>0</v>
      </c>
      <c r="BA2823" s="1">
        <v>0</v>
      </c>
      <c r="BB2823" s="1">
        <v>0</v>
      </c>
      <c r="BC2823" s="1">
        <v>0</v>
      </c>
      <c r="BD2823" s="1">
        <v>0</v>
      </c>
      <c r="BE2823" s="1">
        <v>0</v>
      </c>
      <c r="BF2823" s="1">
        <v>0</v>
      </c>
      <c r="BG2823" s="1">
        <v>0</v>
      </c>
      <c r="BH2823" s="1">
        <v>0</v>
      </c>
      <c r="BI2823" s="1">
        <v>0</v>
      </c>
      <c r="BJ2823" s="1">
        <v>0</v>
      </c>
      <c r="BK2823" s="1">
        <v>0</v>
      </c>
      <c r="BL2823" s="1">
        <v>0</v>
      </c>
      <c r="BM2823" s="1">
        <v>0</v>
      </c>
      <c r="BN2823" s="1">
        <v>0</v>
      </c>
      <c r="BO2823" s="1">
        <v>0</v>
      </c>
      <c r="BP2823" s="1">
        <v>0</v>
      </c>
      <c r="BQ2823" s="1" t="s">
        <v>104</v>
      </c>
      <c r="BR2823" s="1">
        <v>4950</v>
      </c>
      <c r="BS2823" s="1" t="s">
        <v>104</v>
      </c>
      <c r="BX2823" s="1">
        <v>0</v>
      </c>
      <c r="BY2823" s="1" t="s">
        <v>104</v>
      </c>
      <c r="BZ2823" s="1" t="s">
        <v>104</v>
      </c>
      <c r="CA2823" s="1" t="s">
        <v>104</v>
      </c>
      <c r="CB2823" s="1" t="s">
        <v>104</v>
      </c>
      <c r="CC2823" s="1" t="s">
        <v>104</v>
      </c>
      <c r="CD2823" s="1">
        <v>2</v>
      </c>
      <c r="CE2823" s="1" t="s">
        <v>104</v>
      </c>
      <c r="CF2823" s="1" t="s">
        <v>104</v>
      </c>
      <c r="CG2823" s="1" t="s">
        <v>104</v>
      </c>
      <c r="CH2823" s="1">
        <v>2</v>
      </c>
      <c r="CJ2823" s="1">
        <v>0</v>
      </c>
      <c r="CK2823" s="1">
        <v>0</v>
      </c>
      <c r="CL2823" s="1">
        <v>0</v>
      </c>
      <c r="CM2823" s="1" t="s">
        <v>104</v>
      </c>
    </row>
    <row r="2824" spans="1:91" ht="14.25" customHeight="1" x14ac:dyDescent="0.3">
      <c r="A2824" s="1" t="s">
        <v>14137</v>
      </c>
      <c r="B2824" s="1" t="s">
        <v>137</v>
      </c>
      <c r="E2824" s="1" t="s">
        <v>3695</v>
      </c>
      <c r="F2824" s="1" t="s">
        <v>4934</v>
      </c>
      <c r="G2824" s="1" t="s">
        <v>116</v>
      </c>
      <c r="H2824" s="1">
        <v>0</v>
      </c>
      <c r="I2824" s="1" t="s">
        <v>117</v>
      </c>
      <c r="L2824" s="1" t="s">
        <v>7404</v>
      </c>
      <c r="M2824" s="1" t="s">
        <v>1066</v>
      </c>
      <c r="N2824" s="1">
        <v>0</v>
      </c>
      <c r="O2824" s="1">
        <v>0</v>
      </c>
      <c r="P2824" s="1" t="s">
        <v>100</v>
      </c>
      <c r="Q2824" s="1" t="s">
        <v>101</v>
      </c>
      <c r="R2824" s="1" t="s">
        <v>14138</v>
      </c>
      <c r="S2824" s="1" t="s">
        <v>14002</v>
      </c>
      <c r="T2824" s="1">
        <v>1</v>
      </c>
      <c r="U2824" s="1">
        <v>1</v>
      </c>
      <c r="V2824" s="1">
        <v>0</v>
      </c>
      <c r="W2824" s="1">
        <v>0</v>
      </c>
      <c r="X2824" s="1">
        <v>0</v>
      </c>
      <c r="Y2824" s="1" t="s">
        <v>104</v>
      </c>
      <c r="Z2824" s="1" t="s">
        <v>104</v>
      </c>
      <c r="AA2824" s="1" t="s">
        <v>104</v>
      </c>
      <c r="AB2824" s="1">
        <v>2</v>
      </c>
      <c r="AC2824" s="1">
        <v>2</v>
      </c>
      <c r="AD2824" s="1" t="s">
        <v>104</v>
      </c>
      <c r="AE2824" s="1" t="s">
        <v>104</v>
      </c>
      <c r="AF2824" s="1" t="s">
        <v>104</v>
      </c>
      <c r="AG2824" s="1" t="s">
        <v>104</v>
      </c>
      <c r="AH2824" s="1" t="s">
        <v>104</v>
      </c>
      <c r="AI2824" s="1" t="s">
        <v>104</v>
      </c>
      <c r="AJ2824" s="1" t="s">
        <v>104</v>
      </c>
      <c r="AK2824" s="1" t="s">
        <v>104</v>
      </c>
      <c r="AL2824" s="1" t="s">
        <v>104</v>
      </c>
      <c r="AM2824" s="1" t="s">
        <v>104</v>
      </c>
      <c r="AO2824" s="1">
        <v>2</v>
      </c>
      <c r="AQ2824" s="1" t="s">
        <v>14139</v>
      </c>
      <c r="AR2824" s="1">
        <v>0</v>
      </c>
      <c r="AS2824" s="1">
        <v>0</v>
      </c>
      <c r="AT2824" s="1">
        <v>0</v>
      </c>
      <c r="AU2824" s="1">
        <v>0</v>
      </c>
      <c r="AV2824" s="1">
        <v>0</v>
      </c>
      <c r="AW2824" s="1">
        <v>0</v>
      </c>
      <c r="AX2824" s="1">
        <v>0</v>
      </c>
      <c r="AY2824" s="1">
        <v>0</v>
      </c>
      <c r="AZ2824" s="1">
        <v>0</v>
      </c>
      <c r="BA2824" s="1">
        <v>0</v>
      </c>
      <c r="BB2824" s="1">
        <v>0</v>
      </c>
      <c r="BC2824" s="1">
        <v>0</v>
      </c>
      <c r="BD2824" s="1">
        <v>0</v>
      </c>
      <c r="BE2824" s="1">
        <v>0</v>
      </c>
      <c r="BF2824" s="1">
        <v>0</v>
      </c>
      <c r="BG2824" s="1">
        <v>0</v>
      </c>
      <c r="BH2824" s="1">
        <v>0</v>
      </c>
      <c r="BI2824" s="1">
        <v>0</v>
      </c>
      <c r="BJ2824" s="1">
        <v>0</v>
      </c>
      <c r="BK2824" s="1">
        <v>0</v>
      </c>
      <c r="BL2824" s="1">
        <v>0</v>
      </c>
      <c r="BM2824" s="1">
        <v>0</v>
      </c>
      <c r="BN2824" s="1">
        <v>0</v>
      </c>
      <c r="BO2824" s="1">
        <v>0</v>
      </c>
      <c r="BP2824" s="1">
        <v>0</v>
      </c>
      <c r="BQ2824" s="1" t="s">
        <v>104</v>
      </c>
      <c r="BR2824" s="1">
        <v>4951</v>
      </c>
      <c r="BS2824" s="1" t="s">
        <v>104</v>
      </c>
      <c r="BX2824" s="1">
        <v>0</v>
      </c>
      <c r="BY2824" s="1" t="s">
        <v>104</v>
      </c>
      <c r="BZ2824" s="1" t="s">
        <v>104</v>
      </c>
      <c r="CA2824" s="1" t="s">
        <v>104</v>
      </c>
      <c r="CB2824" s="1" t="s">
        <v>104</v>
      </c>
      <c r="CC2824" s="1" t="s">
        <v>104</v>
      </c>
      <c r="CD2824" s="1" t="s">
        <v>104</v>
      </c>
      <c r="CE2824" s="1" t="s">
        <v>104</v>
      </c>
      <c r="CF2824" s="1" t="s">
        <v>104</v>
      </c>
      <c r="CG2824" s="1" t="s">
        <v>104</v>
      </c>
      <c r="CH2824" s="1">
        <v>2</v>
      </c>
      <c r="CJ2824" s="1">
        <v>0</v>
      </c>
      <c r="CK2824" s="1">
        <v>0</v>
      </c>
      <c r="CL2824" s="1">
        <v>0</v>
      </c>
      <c r="CM2824" s="1" t="s">
        <v>104</v>
      </c>
    </row>
    <row r="2825" spans="1:91" ht="14.25" customHeight="1" x14ac:dyDescent="0.3">
      <c r="A2825" s="1" t="s">
        <v>14140</v>
      </c>
      <c r="B2825" s="1" t="s">
        <v>137</v>
      </c>
      <c r="D2825" s="1" t="s">
        <v>67</v>
      </c>
      <c r="E2825" s="1" t="s">
        <v>3717</v>
      </c>
      <c r="F2825" s="1" t="s">
        <v>273</v>
      </c>
      <c r="G2825" s="1" t="s">
        <v>127</v>
      </c>
      <c r="H2825" s="1">
        <v>0</v>
      </c>
      <c r="I2825" s="1" t="s">
        <v>705</v>
      </c>
      <c r="J2825" s="1" t="s">
        <v>14141</v>
      </c>
      <c r="M2825" s="1" t="s">
        <v>298</v>
      </c>
      <c r="N2825" s="1">
        <v>0</v>
      </c>
      <c r="O2825" s="1">
        <v>0</v>
      </c>
      <c r="P2825" s="1" t="s">
        <v>100</v>
      </c>
      <c r="Q2825" s="1" t="s">
        <v>101</v>
      </c>
      <c r="R2825" s="1" t="s">
        <v>14142</v>
      </c>
      <c r="S2825" s="1" t="s">
        <v>14002</v>
      </c>
      <c r="T2825" s="1">
        <v>1</v>
      </c>
      <c r="U2825" s="1">
        <v>1</v>
      </c>
      <c r="V2825" s="1">
        <v>0</v>
      </c>
      <c r="W2825" s="1">
        <v>0</v>
      </c>
      <c r="X2825" s="1">
        <v>1</v>
      </c>
      <c r="Y2825" s="1" t="s">
        <v>104</v>
      </c>
      <c r="Z2825" s="1" t="s">
        <v>104</v>
      </c>
      <c r="AA2825" s="1" t="s">
        <v>104</v>
      </c>
      <c r="AB2825" s="1">
        <v>9</v>
      </c>
      <c r="AC2825" s="1" t="s">
        <v>104</v>
      </c>
      <c r="AD2825" s="1" t="s">
        <v>104</v>
      </c>
      <c r="AE2825" s="1" t="s">
        <v>104</v>
      </c>
      <c r="AF2825" s="1" t="s">
        <v>104</v>
      </c>
      <c r="AG2825" s="1" t="s">
        <v>104</v>
      </c>
      <c r="AH2825" s="1" t="s">
        <v>104</v>
      </c>
      <c r="AI2825" s="1" t="s">
        <v>104</v>
      </c>
      <c r="AJ2825" s="1" t="s">
        <v>104</v>
      </c>
      <c r="AK2825" s="1" t="s">
        <v>104</v>
      </c>
      <c r="AL2825" s="1" t="s">
        <v>104</v>
      </c>
      <c r="AM2825" s="1" t="s">
        <v>104</v>
      </c>
      <c r="AO2825" s="1">
        <v>9</v>
      </c>
      <c r="AQ2825" s="1" t="s">
        <v>14143</v>
      </c>
      <c r="AR2825" s="1">
        <v>0</v>
      </c>
      <c r="AS2825" s="1">
        <v>0</v>
      </c>
      <c r="AT2825" s="1">
        <v>0</v>
      </c>
      <c r="AU2825" s="1">
        <v>0</v>
      </c>
      <c r="AV2825" s="1">
        <v>0</v>
      </c>
      <c r="AW2825" s="1">
        <v>0</v>
      </c>
      <c r="AX2825" s="1">
        <v>0</v>
      </c>
      <c r="AY2825" s="1">
        <v>0</v>
      </c>
      <c r="AZ2825" s="1">
        <v>0</v>
      </c>
      <c r="BA2825" s="1">
        <v>0</v>
      </c>
      <c r="BB2825" s="1">
        <v>0</v>
      </c>
      <c r="BC2825" s="1">
        <v>0</v>
      </c>
      <c r="BD2825" s="1">
        <v>0</v>
      </c>
      <c r="BE2825" s="1">
        <v>0</v>
      </c>
      <c r="BF2825" s="1">
        <v>0</v>
      </c>
      <c r="BG2825" s="1">
        <v>0</v>
      </c>
      <c r="BH2825" s="1">
        <v>0</v>
      </c>
      <c r="BI2825" s="1">
        <v>0</v>
      </c>
      <c r="BJ2825" s="1">
        <v>0</v>
      </c>
      <c r="BK2825" s="1">
        <v>0</v>
      </c>
      <c r="BL2825" s="1">
        <v>0</v>
      </c>
      <c r="BM2825" s="1">
        <v>0</v>
      </c>
      <c r="BN2825" s="1">
        <v>0</v>
      </c>
      <c r="BO2825" s="1">
        <v>0</v>
      </c>
      <c r="BP2825" s="1">
        <v>1</v>
      </c>
      <c r="BQ2825" s="1" t="s">
        <v>104</v>
      </c>
      <c r="BR2825" s="1">
        <v>4952</v>
      </c>
      <c r="BS2825" s="1" t="s">
        <v>104</v>
      </c>
      <c r="BX2825" s="1">
        <v>0</v>
      </c>
      <c r="BY2825" s="1" t="s">
        <v>104</v>
      </c>
      <c r="BZ2825" s="1" t="s">
        <v>104</v>
      </c>
      <c r="CA2825" s="1" t="s">
        <v>104</v>
      </c>
      <c r="CB2825" s="1" t="s">
        <v>104</v>
      </c>
      <c r="CC2825" s="1" t="s">
        <v>104</v>
      </c>
      <c r="CD2825" s="1" t="s">
        <v>104</v>
      </c>
      <c r="CE2825" s="1" t="s">
        <v>104</v>
      </c>
      <c r="CF2825" s="1" t="s">
        <v>104</v>
      </c>
      <c r="CG2825" s="1" t="s">
        <v>104</v>
      </c>
      <c r="CH2825" s="1" t="s">
        <v>104</v>
      </c>
      <c r="CJ2825" s="1">
        <v>0</v>
      </c>
      <c r="CK2825" s="1">
        <v>0</v>
      </c>
      <c r="CL2825" s="1">
        <v>0</v>
      </c>
      <c r="CM2825" s="1" t="s">
        <v>104</v>
      </c>
    </row>
    <row r="2826" spans="1:91" ht="14.25" customHeight="1" x14ac:dyDescent="0.3">
      <c r="A2826" s="1" t="s">
        <v>14144</v>
      </c>
      <c r="B2826" s="1" t="s">
        <v>137</v>
      </c>
      <c r="C2826" s="1" t="s">
        <v>154</v>
      </c>
      <c r="E2826" s="1" t="s">
        <v>14145</v>
      </c>
      <c r="F2826" s="1" t="s">
        <v>95</v>
      </c>
      <c r="G2826" s="1" t="s">
        <v>127</v>
      </c>
      <c r="H2826" s="1">
        <v>0</v>
      </c>
      <c r="I2826" s="1" t="s">
        <v>128</v>
      </c>
      <c r="L2826" s="1" t="s">
        <v>14146</v>
      </c>
      <c r="M2826" s="1" t="s">
        <v>4992</v>
      </c>
      <c r="N2826" s="1">
        <v>1</v>
      </c>
      <c r="O2826" s="1">
        <v>0</v>
      </c>
      <c r="P2826" s="1" t="s">
        <v>375</v>
      </c>
      <c r="Q2826" s="1" t="s">
        <v>131</v>
      </c>
      <c r="R2826" s="1" t="s">
        <v>14147</v>
      </c>
      <c r="S2826" s="1" t="s">
        <v>14002</v>
      </c>
      <c r="T2826" s="1">
        <v>1</v>
      </c>
      <c r="U2826" s="1">
        <v>1</v>
      </c>
      <c r="V2826" s="1">
        <v>0</v>
      </c>
      <c r="W2826" s="1">
        <v>0</v>
      </c>
      <c r="X2826" s="1">
        <v>1</v>
      </c>
      <c r="Y2826" s="1" t="s">
        <v>104</v>
      </c>
      <c r="Z2826" s="1" t="s">
        <v>104</v>
      </c>
      <c r="AA2826" s="1" t="s">
        <v>104</v>
      </c>
      <c r="AB2826" s="1">
        <v>2</v>
      </c>
      <c r="AC2826" s="1">
        <v>2</v>
      </c>
      <c r="AD2826" s="1" t="s">
        <v>104</v>
      </c>
      <c r="AE2826" s="1">
        <v>2</v>
      </c>
      <c r="AF2826" s="1" t="s">
        <v>104</v>
      </c>
      <c r="AG2826" s="1" t="s">
        <v>104</v>
      </c>
      <c r="AH2826" s="1" t="s">
        <v>104</v>
      </c>
      <c r="AI2826" s="1" t="s">
        <v>104</v>
      </c>
      <c r="AJ2826" s="1" t="s">
        <v>104</v>
      </c>
      <c r="AK2826" s="1" t="s">
        <v>104</v>
      </c>
      <c r="AL2826" s="1" t="s">
        <v>104</v>
      </c>
      <c r="AM2826" s="1" t="s">
        <v>104</v>
      </c>
      <c r="AO2826" s="1">
        <v>2</v>
      </c>
      <c r="AQ2826" s="1" t="s">
        <v>14148</v>
      </c>
      <c r="AR2826" s="1">
        <v>0</v>
      </c>
      <c r="AS2826" s="1">
        <v>0</v>
      </c>
      <c r="AT2826" s="1">
        <v>0</v>
      </c>
      <c r="AU2826" s="1">
        <v>0</v>
      </c>
      <c r="AV2826" s="1">
        <v>0</v>
      </c>
      <c r="AW2826" s="1">
        <v>0</v>
      </c>
      <c r="AX2826" s="1">
        <v>0</v>
      </c>
      <c r="AY2826" s="1">
        <v>0</v>
      </c>
      <c r="AZ2826" s="1">
        <v>0</v>
      </c>
      <c r="BA2826" s="1">
        <v>0</v>
      </c>
      <c r="BB2826" s="1">
        <v>0</v>
      </c>
      <c r="BC2826" s="1">
        <v>0</v>
      </c>
      <c r="BD2826" s="1">
        <v>0</v>
      </c>
      <c r="BE2826" s="1">
        <v>0</v>
      </c>
      <c r="BF2826" s="1">
        <v>0</v>
      </c>
      <c r="BG2826" s="1">
        <v>0</v>
      </c>
      <c r="BH2826" s="1">
        <v>0</v>
      </c>
      <c r="BI2826" s="1">
        <v>0</v>
      </c>
      <c r="BJ2826" s="1">
        <v>0</v>
      </c>
      <c r="BK2826" s="1">
        <v>0</v>
      </c>
      <c r="BL2826" s="1">
        <v>0</v>
      </c>
      <c r="BM2826" s="1">
        <v>0</v>
      </c>
      <c r="BN2826" s="1">
        <v>0</v>
      </c>
      <c r="BO2826" s="1">
        <v>0</v>
      </c>
      <c r="BP2826" s="1">
        <v>0</v>
      </c>
      <c r="BQ2826" s="1" t="s">
        <v>104</v>
      </c>
      <c r="BR2826" s="1">
        <v>4953</v>
      </c>
      <c r="BS2826" s="1" t="s">
        <v>104</v>
      </c>
      <c r="BX2826" s="1">
        <v>0</v>
      </c>
      <c r="BY2826" s="1" t="s">
        <v>104</v>
      </c>
      <c r="BZ2826" s="1" t="s">
        <v>104</v>
      </c>
      <c r="CA2826" s="1" t="s">
        <v>104</v>
      </c>
      <c r="CB2826" s="1" t="s">
        <v>104</v>
      </c>
      <c r="CC2826" s="1" t="s">
        <v>104</v>
      </c>
      <c r="CD2826" s="1" t="s">
        <v>104</v>
      </c>
      <c r="CE2826" s="1" t="s">
        <v>104</v>
      </c>
      <c r="CF2826" s="1" t="s">
        <v>104</v>
      </c>
      <c r="CG2826" s="1" t="s">
        <v>104</v>
      </c>
      <c r="CH2826" s="1">
        <v>2</v>
      </c>
      <c r="CJ2826" s="1">
        <v>0</v>
      </c>
      <c r="CK2826" s="1">
        <v>0</v>
      </c>
      <c r="CL2826" s="1">
        <v>0</v>
      </c>
      <c r="CM2826" s="1" t="s">
        <v>104</v>
      </c>
    </row>
    <row r="2827" spans="1:91" ht="14.25" customHeight="1" x14ac:dyDescent="0.3">
      <c r="A2827" s="1" t="s">
        <v>14149</v>
      </c>
      <c r="B2827" s="1" t="s">
        <v>137</v>
      </c>
      <c r="C2827" s="1" t="s">
        <v>154</v>
      </c>
      <c r="E2827" s="1" t="s">
        <v>14150</v>
      </c>
      <c r="F2827" s="1" t="s">
        <v>95</v>
      </c>
      <c r="G2827" s="1" t="s">
        <v>127</v>
      </c>
      <c r="H2827" s="1">
        <v>0</v>
      </c>
      <c r="I2827" s="1" t="s">
        <v>128</v>
      </c>
      <c r="L2827" s="1" t="s">
        <v>14146</v>
      </c>
      <c r="M2827" s="1" t="s">
        <v>4992</v>
      </c>
      <c r="N2827" s="1">
        <v>1</v>
      </c>
      <c r="O2827" s="1">
        <v>0</v>
      </c>
      <c r="P2827" s="1" t="s">
        <v>375</v>
      </c>
      <c r="Q2827" s="1" t="s">
        <v>131</v>
      </c>
      <c r="R2827" s="1" t="s">
        <v>14151</v>
      </c>
      <c r="S2827" s="1" t="s">
        <v>14002</v>
      </c>
      <c r="T2827" s="1">
        <v>1</v>
      </c>
      <c r="U2827" s="1">
        <v>1</v>
      </c>
      <c r="V2827" s="1">
        <v>0</v>
      </c>
      <c r="W2827" s="1">
        <v>0</v>
      </c>
      <c r="X2827" s="1">
        <v>1</v>
      </c>
      <c r="Y2827" s="1" t="s">
        <v>104</v>
      </c>
      <c r="Z2827" s="1" t="s">
        <v>104</v>
      </c>
      <c r="AA2827" s="1" t="s">
        <v>104</v>
      </c>
      <c r="AB2827" s="1">
        <v>4</v>
      </c>
      <c r="AC2827" s="1">
        <v>4</v>
      </c>
      <c r="AD2827" s="1" t="s">
        <v>104</v>
      </c>
      <c r="AE2827" s="1">
        <v>4</v>
      </c>
      <c r="AF2827" s="1" t="s">
        <v>104</v>
      </c>
      <c r="AG2827" s="1" t="s">
        <v>104</v>
      </c>
      <c r="AH2827" s="1" t="s">
        <v>104</v>
      </c>
      <c r="AI2827" s="1" t="s">
        <v>104</v>
      </c>
      <c r="AJ2827" s="1" t="s">
        <v>104</v>
      </c>
      <c r="AK2827" s="1" t="s">
        <v>104</v>
      </c>
      <c r="AL2827" s="1" t="s">
        <v>104</v>
      </c>
      <c r="AM2827" s="1" t="s">
        <v>104</v>
      </c>
      <c r="AO2827" s="1">
        <v>4</v>
      </c>
      <c r="AQ2827" s="1" t="s">
        <v>14152</v>
      </c>
      <c r="AR2827" s="1">
        <v>0</v>
      </c>
      <c r="AS2827" s="1">
        <v>0</v>
      </c>
      <c r="AT2827" s="1">
        <v>0</v>
      </c>
      <c r="AU2827" s="1">
        <v>0</v>
      </c>
      <c r="AV2827" s="1">
        <v>0</v>
      </c>
      <c r="AW2827" s="1">
        <v>0</v>
      </c>
      <c r="AX2827" s="1">
        <v>0</v>
      </c>
      <c r="AY2827" s="1">
        <v>0</v>
      </c>
      <c r="AZ2827" s="1">
        <v>0</v>
      </c>
      <c r="BA2827" s="1">
        <v>0</v>
      </c>
      <c r="BB2827" s="1">
        <v>0</v>
      </c>
      <c r="BC2827" s="1">
        <v>0</v>
      </c>
      <c r="BD2827" s="1">
        <v>0</v>
      </c>
      <c r="BE2827" s="1">
        <v>0</v>
      </c>
      <c r="BF2827" s="1">
        <v>0</v>
      </c>
      <c r="BG2827" s="1">
        <v>0</v>
      </c>
      <c r="BH2827" s="1">
        <v>0</v>
      </c>
      <c r="BI2827" s="1">
        <v>0</v>
      </c>
      <c r="BJ2827" s="1">
        <v>0</v>
      </c>
      <c r="BK2827" s="1">
        <v>0</v>
      </c>
      <c r="BL2827" s="1">
        <v>0</v>
      </c>
      <c r="BM2827" s="1">
        <v>0</v>
      </c>
      <c r="BN2827" s="1">
        <v>0</v>
      </c>
      <c r="BO2827" s="1">
        <v>0</v>
      </c>
      <c r="BP2827" s="1">
        <v>0</v>
      </c>
      <c r="BQ2827" s="1" t="s">
        <v>104</v>
      </c>
      <c r="BR2827" s="1">
        <v>4954</v>
      </c>
      <c r="BS2827" s="1" t="s">
        <v>104</v>
      </c>
      <c r="BX2827" s="1">
        <v>0</v>
      </c>
      <c r="BY2827" s="1" t="s">
        <v>104</v>
      </c>
      <c r="BZ2827" s="1" t="s">
        <v>104</v>
      </c>
      <c r="CA2827" s="1" t="s">
        <v>104</v>
      </c>
      <c r="CB2827" s="1" t="s">
        <v>104</v>
      </c>
      <c r="CC2827" s="1" t="s">
        <v>104</v>
      </c>
      <c r="CD2827" s="1" t="s">
        <v>104</v>
      </c>
      <c r="CE2827" s="1" t="s">
        <v>104</v>
      </c>
      <c r="CF2827" s="1" t="s">
        <v>104</v>
      </c>
      <c r="CG2827" s="1" t="s">
        <v>104</v>
      </c>
      <c r="CH2827" s="1">
        <v>4</v>
      </c>
      <c r="CJ2827" s="1">
        <v>0</v>
      </c>
      <c r="CK2827" s="1">
        <v>0</v>
      </c>
      <c r="CL2827" s="1">
        <v>0</v>
      </c>
      <c r="CM2827" s="1" t="s">
        <v>104</v>
      </c>
    </row>
    <row r="2828" spans="1:91" ht="14.25" customHeight="1" x14ac:dyDescent="0.3">
      <c r="A2828" s="1" t="s">
        <v>14153</v>
      </c>
      <c r="B2828" s="1" t="s">
        <v>137</v>
      </c>
      <c r="C2828" s="1" t="s">
        <v>154</v>
      </c>
      <c r="E2828" s="1" t="s">
        <v>6491</v>
      </c>
      <c r="F2828" s="1" t="s">
        <v>95</v>
      </c>
      <c r="G2828" s="1" t="s">
        <v>14154</v>
      </c>
      <c r="H2828" s="1">
        <v>0</v>
      </c>
      <c r="I2828" s="1" t="s">
        <v>128</v>
      </c>
      <c r="L2828" s="1" t="s">
        <v>14155</v>
      </c>
      <c r="M2828" s="1" t="s">
        <v>4292</v>
      </c>
      <c r="N2828" s="1">
        <v>0</v>
      </c>
      <c r="O2828" s="1">
        <v>0</v>
      </c>
      <c r="P2828" s="1" t="s">
        <v>1058</v>
      </c>
      <c r="Q2828" s="1" t="s">
        <v>131</v>
      </c>
      <c r="R2828" s="1" t="s">
        <v>14156</v>
      </c>
      <c r="S2828" s="1" t="s">
        <v>14002</v>
      </c>
      <c r="T2828" s="1">
        <v>1</v>
      </c>
      <c r="U2828" s="1">
        <v>1</v>
      </c>
      <c r="V2828" s="1">
        <v>1</v>
      </c>
      <c r="W2828" s="1">
        <v>0</v>
      </c>
      <c r="X2828" s="1">
        <v>0</v>
      </c>
      <c r="Y2828" s="1">
        <v>5</v>
      </c>
      <c r="Z2828" s="1">
        <v>5</v>
      </c>
      <c r="AA2828" s="1" t="s">
        <v>104</v>
      </c>
      <c r="AB2828" s="1" t="s">
        <v>104</v>
      </c>
      <c r="AC2828" s="1" t="s">
        <v>104</v>
      </c>
      <c r="AD2828" s="1" t="s">
        <v>104</v>
      </c>
      <c r="AE2828" s="1" t="s">
        <v>104</v>
      </c>
      <c r="AF2828" s="1">
        <v>5</v>
      </c>
      <c r="AG2828" s="1" t="s">
        <v>104</v>
      </c>
      <c r="AH2828" s="1" t="s">
        <v>104</v>
      </c>
      <c r="AI2828" s="1" t="s">
        <v>104</v>
      </c>
      <c r="AJ2828" s="1" t="s">
        <v>104</v>
      </c>
      <c r="AK2828" s="1" t="s">
        <v>104</v>
      </c>
      <c r="AL2828" s="1">
        <v>5</v>
      </c>
      <c r="AM2828" s="1" t="s">
        <v>104</v>
      </c>
      <c r="AO2828" s="1">
        <v>5</v>
      </c>
      <c r="AQ2828" s="1" t="s">
        <v>14157</v>
      </c>
      <c r="AR2828" s="1">
        <v>0</v>
      </c>
      <c r="AS2828" s="1">
        <v>0</v>
      </c>
      <c r="AT2828" s="1">
        <v>0</v>
      </c>
      <c r="AU2828" s="1">
        <v>0</v>
      </c>
      <c r="AV2828" s="1">
        <v>0</v>
      </c>
      <c r="AW2828" s="1">
        <v>0</v>
      </c>
      <c r="AX2828" s="1">
        <v>0</v>
      </c>
      <c r="AY2828" s="1">
        <v>0</v>
      </c>
      <c r="AZ2828" s="1">
        <v>0</v>
      </c>
      <c r="BA2828" s="1">
        <v>0</v>
      </c>
      <c r="BB2828" s="1">
        <v>0</v>
      </c>
      <c r="BC2828" s="1">
        <v>0</v>
      </c>
      <c r="BD2828" s="1">
        <v>0</v>
      </c>
      <c r="BE2828" s="1">
        <v>0</v>
      </c>
      <c r="BF2828" s="1">
        <v>0</v>
      </c>
      <c r="BG2828" s="1">
        <v>0</v>
      </c>
      <c r="BH2828" s="1">
        <v>0</v>
      </c>
      <c r="BI2828" s="1">
        <v>0</v>
      </c>
      <c r="BJ2828" s="1">
        <v>0</v>
      </c>
      <c r="BK2828" s="1">
        <v>0</v>
      </c>
      <c r="BL2828" s="1">
        <v>0</v>
      </c>
      <c r="BM2828" s="1">
        <v>0</v>
      </c>
      <c r="BN2828" s="1">
        <v>0</v>
      </c>
      <c r="BO2828" s="1">
        <v>0</v>
      </c>
      <c r="BP2828" s="1">
        <v>0</v>
      </c>
      <c r="BQ2828" s="1" t="s">
        <v>104</v>
      </c>
      <c r="BR2828" s="1">
        <v>4955</v>
      </c>
      <c r="BS2828" s="1" t="s">
        <v>104</v>
      </c>
      <c r="BX2828" s="1">
        <v>0</v>
      </c>
      <c r="BY2828" s="1" t="s">
        <v>104</v>
      </c>
      <c r="BZ2828" s="1" t="s">
        <v>104</v>
      </c>
      <c r="CA2828" s="1" t="s">
        <v>104</v>
      </c>
      <c r="CB2828" s="1" t="s">
        <v>104</v>
      </c>
      <c r="CC2828" s="1" t="s">
        <v>104</v>
      </c>
      <c r="CD2828" s="1" t="s">
        <v>104</v>
      </c>
      <c r="CE2828" s="1" t="s">
        <v>104</v>
      </c>
      <c r="CF2828" s="1" t="s">
        <v>104</v>
      </c>
      <c r="CG2828" s="1" t="s">
        <v>104</v>
      </c>
      <c r="CH2828" s="1" t="s">
        <v>104</v>
      </c>
      <c r="CJ2828" s="1">
        <v>0</v>
      </c>
      <c r="CK2828" s="1">
        <v>0</v>
      </c>
      <c r="CL2828" s="1">
        <v>0</v>
      </c>
      <c r="CM2828" s="1" t="s">
        <v>104</v>
      </c>
    </row>
    <row r="2829" spans="1:91" ht="14.25" customHeight="1" x14ac:dyDescent="0.3">
      <c r="A2829" s="1" t="s">
        <v>14158</v>
      </c>
      <c r="B2829" s="1" t="s">
        <v>137</v>
      </c>
      <c r="C2829" s="1" t="s">
        <v>154</v>
      </c>
      <c r="E2829" s="1" t="s">
        <v>843</v>
      </c>
      <c r="F2829" s="1" t="s">
        <v>95</v>
      </c>
      <c r="G2829" s="1" t="s">
        <v>14154</v>
      </c>
      <c r="H2829" s="1">
        <v>0</v>
      </c>
      <c r="I2829" s="1" t="s">
        <v>128</v>
      </c>
      <c r="L2829" s="1" t="s">
        <v>14155</v>
      </c>
      <c r="M2829" s="1" t="s">
        <v>201</v>
      </c>
      <c r="N2829" s="1">
        <v>0</v>
      </c>
      <c r="O2829" s="1">
        <v>0</v>
      </c>
      <c r="P2829" s="1" t="s">
        <v>1058</v>
      </c>
      <c r="Q2829" s="1" t="s">
        <v>131</v>
      </c>
      <c r="R2829" s="1" t="s">
        <v>14159</v>
      </c>
      <c r="S2829" s="1" t="s">
        <v>14002</v>
      </c>
      <c r="T2829" s="1">
        <v>1</v>
      </c>
      <c r="U2829" s="1">
        <v>1</v>
      </c>
      <c r="V2829" s="1">
        <v>1</v>
      </c>
      <c r="W2829" s="1">
        <v>0</v>
      </c>
      <c r="X2829" s="1">
        <v>0</v>
      </c>
      <c r="Y2829" s="1">
        <v>7</v>
      </c>
      <c r="Z2829" s="1">
        <v>7</v>
      </c>
      <c r="AA2829" s="1" t="s">
        <v>104</v>
      </c>
      <c r="AB2829" s="1" t="s">
        <v>104</v>
      </c>
      <c r="AC2829" s="1" t="s">
        <v>104</v>
      </c>
      <c r="AD2829" s="1" t="s">
        <v>104</v>
      </c>
      <c r="AE2829" s="1" t="s">
        <v>104</v>
      </c>
      <c r="AF2829" s="1" t="s">
        <v>104</v>
      </c>
      <c r="AG2829" s="1" t="s">
        <v>104</v>
      </c>
      <c r="AH2829" s="1" t="s">
        <v>104</v>
      </c>
      <c r="AI2829" s="1" t="s">
        <v>104</v>
      </c>
      <c r="AJ2829" s="1" t="s">
        <v>104</v>
      </c>
      <c r="AK2829" s="1" t="s">
        <v>104</v>
      </c>
      <c r="AL2829" s="1" t="s">
        <v>104</v>
      </c>
      <c r="AM2829" s="1" t="s">
        <v>104</v>
      </c>
      <c r="AO2829" s="1">
        <v>7</v>
      </c>
      <c r="AQ2829" s="1" t="s">
        <v>14160</v>
      </c>
      <c r="AR2829" s="1">
        <v>0</v>
      </c>
      <c r="AS2829" s="1">
        <v>0</v>
      </c>
      <c r="AT2829" s="1">
        <v>0</v>
      </c>
      <c r="AU2829" s="1">
        <v>0</v>
      </c>
      <c r="AV2829" s="1">
        <v>0</v>
      </c>
      <c r="AW2829" s="1">
        <v>0</v>
      </c>
      <c r="AX2829" s="1">
        <v>0</v>
      </c>
      <c r="AY2829" s="1">
        <v>0</v>
      </c>
      <c r="AZ2829" s="1">
        <v>0</v>
      </c>
      <c r="BA2829" s="1">
        <v>0</v>
      </c>
      <c r="BB2829" s="1">
        <v>0</v>
      </c>
      <c r="BC2829" s="1">
        <v>0</v>
      </c>
      <c r="BD2829" s="1">
        <v>0</v>
      </c>
      <c r="BE2829" s="1">
        <v>0</v>
      </c>
      <c r="BF2829" s="1">
        <v>0</v>
      </c>
      <c r="BG2829" s="1">
        <v>0</v>
      </c>
      <c r="BH2829" s="1">
        <v>0</v>
      </c>
      <c r="BI2829" s="1">
        <v>0</v>
      </c>
      <c r="BJ2829" s="1">
        <v>0</v>
      </c>
      <c r="BK2829" s="1">
        <v>0</v>
      </c>
      <c r="BL2829" s="1">
        <v>0</v>
      </c>
      <c r="BM2829" s="1">
        <v>0</v>
      </c>
      <c r="BN2829" s="1">
        <v>0</v>
      </c>
      <c r="BO2829" s="1">
        <v>0</v>
      </c>
      <c r="BP2829" s="1">
        <v>0</v>
      </c>
      <c r="BQ2829" s="1" t="s">
        <v>104</v>
      </c>
      <c r="BR2829" s="1">
        <v>4956</v>
      </c>
      <c r="BS2829" s="1" t="s">
        <v>104</v>
      </c>
      <c r="BX2829" s="1">
        <v>0</v>
      </c>
      <c r="BY2829" s="1" t="s">
        <v>104</v>
      </c>
      <c r="BZ2829" s="1" t="s">
        <v>104</v>
      </c>
      <c r="CA2829" s="1" t="s">
        <v>104</v>
      </c>
      <c r="CB2829" s="1" t="s">
        <v>104</v>
      </c>
      <c r="CC2829" s="1" t="s">
        <v>104</v>
      </c>
      <c r="CD2829" s="1" t="s">
        <v>104</v>
      </c>
      <c r="CE2829" s="1" t="s">
        <v>104</v>
      </c>
      <c r="CF2829" s="1" t="s">
        <v>104</v>
      </c>
      <c r="CG2829" s="1" t="s">
        <v>104</v>
      </c>
      <c r="CH2829" s="1" t="s">
        <v>104</v>
      </c>
      <c r="CJ2829" s="1">
        <v>0</v>
      </c>
      <c r="CK2829" s="1">
        <v>0</v>
      </c>
      <c r="CL2829" s="1">
        <v>0</v>
      </c>
      <c r="CM2829" s="1" t="s">
        <v>104</v>
      </c>
    </row>
    <row r="2830" spans="1:91" ht="14.25" customHeight="1" x14ac:dyDescent="0.3">
      <c r="A2830" s="1" t="s">
        <v>14161</v>
      </c>
      <c r="B2830" s="1" t="s">
        <v>172</v>
      </c>
      <c r="E2830" s="1" t="s">
        <v>10065</v>
      </c>
      <c r="F2830" s="1" t="s">
        <v>287</v>
      </c>
      <c r="G2830" s="1" t="s">
        <v>116</v>
      </c>
      <c r="H2830" s="1">
        <v>0</v>
      </c>
      <c r="I2830" s="1" t="s">
        <v>157</v>
      </c>
      <c r="L2830" s="1" t="s">
        <v>158</v>
      </c>
      <c r="M2830" s="1" t="s">
        <v>119</v>
      </c>
      <c r="N2830" s="1">
        <v>0</v>
      </c>
      <c r="O2830" s="1">
        <v>0</v>
      </c>
      <c r="R2830" s="1" t="s">
        <v>14162</v>
      </c>
      <c r="S2830" s="1" t="s">
        <v>14002</v>
      </c>
      <c r="T2830" s="1">
        <v>1</v>
      </c>
      <c r="U2830" s="1">
        <v>1</v>
      </c>
      <c r="V2830" s="1">
        <v>0</v>
      </c>
      <c r="W2830" s="1">
        <v>0</v>
      </c>
      <c r="X2830" s="1">
        <v>0</v>
      </c>
      <c r="Y2830" s="1" t="s">
        <v>104</v>
      </c>
      <c r="Z2830" s="1" t="s">
        <v>104</v>
      </c>
      <c r="AA2830" s="1" t="s">
        <v>104</v>
      </c>
      <c r="AB2830" s="1">
        <v>3</v>
      </c>
      <c r="AC2830" s="1">
        <v>3</v>
      </c>
      <c r="AD2830" s="1" t="s">
        <v>104</v>
      </c>
      <c r="AE2830" s="1" t="s">
        <v>104</v>
      </c>
      <c r="AF2830" s="1" t="s">
        <v>104</v>
      </c>
      <c r="AG2830" s="1" t="s">
        <v>104</v>
      </c>
      <c r="AH2830" s="1" t="s">
        <v>104</v>
      </c>
      <c r="AI2830" s="1" t="s">
        <v>104</v>
      </c>
      <c r="AJ2830" s="1" t="s">
        <v>104</v>
      </c>
      <c r="AK2830" s="1" t="s">
        <v>104</v>
      </c>
      <c r="AL2830" s="1" t="s">
        <v>104</v>
      </c>
      <c r="AM2830" s="1" t="s">
        <v>104</v>
      </c>
      <c r="AO2830" s="1">
        <v>3</v>
      </c>
      <c r="AQ2830" s="1" t="s">
        <v>14163</v>
      </c>
      <c r="AR2830" s="1">
        <v>0</v>
      </c>
      <c r="AS2830" s="1">
        <v>0</v>
      </c>
      <c r="AT2830" s="1">
        <v>0</v>
      </c>
      <c r="AU2830" s="1">
        <v>0</v>
      </c>
      <c r="AV2830" s="1">
        <v>0</v>
      </c>
      <c r="AW2830" s="1">
        <v>0</v>
      </c>
      <c r="AX2830" s="1">
        <v>0</v>
      </c>
      <c r="AY2830" s="1">
        <v>0</v>
      </c>
      <c r="AZ2830" s="1">
        <v>0</v>
      </c>
      <c r="BA2830" s="1">
        <v>0</v>
      </c>
      <c r="BB2830" s="1">
        <v>0</v>
      </c>
      <c r="BC2830" s="1">
        <v>0</v>
      </c>
      <c r="BD2830" s="1">
        <v>0</v>
      </c>
      <c r="BE2830" s="1">
        <v>0</v>
      </c>
      <c r="BF2830" s="1">
        <v>0</v>
      </c>
      <c r="BG2830" s="1">
        <v>0</v>
      </c>
      <c r="BH2830" s="1">
        <v>0</v>
      </c>
      <c r="BI2830" s="1">
        <v>0</v>
      </c>
      <c r="BJ2830" s="1">
        <v>0</v>
      </c>
      <c r="BK2830" s="1">
        <v>0</v>
      </c>
      <c r="BL2830" s="1">
        <v>0</v>
      </c>
      <c r="BM2830" s="1">
        <v>0</v>
      </c>
      <c r="BN2830" s="1">
        <v>0</v>
      </c>
      <c r="BO2830" s="1">
        <v>0</v>
      </c>
      <c r="BP2830" s="1">
        <v>0</v>
      </c>
      <c r="BQ2830" s="1" t="s">
        <v>104</v>
      </c>
      <c r="BR2830" s="1">
        <v>4957</v>
      </c>
      <c r="BS2830" s="1" t="s">
        <v>104</v>
      </c>
      <c r="BX2830" s="1">
        <v>0</v>
      </c>
      <c r="BY2830" s="1" t="s">
        <v>104</v>
      </c>
      <c r="BZ2830" s="1">
        <v>3</v>
      </c>
      <c r="CA2830" s="1" t="s">
        <v>104</v>
      </c>
      <c r="CB2830" s="1" t="s">
        <v>104</v>
      </c>
      <c r="CC2830" s="1" t="s">
        <v>104</v>
      </c>
      <c r="CD2830" s="1" t="s">
        <v>104</v>
      </c>
      <c r="CE2830" s="1" t="s">
        <v>104</v>
      </c>
      <c r="CF2830" s="1" t="s">
        <v>104</v>
      </c>
      <c r="CG2830" s="1" t="s">
        <v>104</v>
      </c>
      <c r="CH2830" s="1">
        <v>3</v>
      </c>
      <c r="CJ2830" s="1">
        <v>0</v>
      </c>
      <c r="CK2830" s="1">
        <v>0</v>
      </c>
      <c r="CL2830" s="1">
        <v>0</v>
      </c>
      <c r="CM2830" s="1" t="s">
        <v>104</v>
      </c>
    </row>
    <row r="2831" spans="1:91" ht="14.25" customHeight="1" x14ac:dyDescent="0.3">
      <c r="A2831" s="1" t="s">
        <v>14164</v>
      </c>
      <c r="B2831" s="1" t="s">
        <v>137</v>
      </c>
      <c r="C2831" s="1" t="s">
        <v>154</v>
      </c>
      <c r="E2831" s="1" t="s">
        <v>1936</v>
      </c>
      <c r="F2831" s="1" t="s">
        <v>95</v>
      </c>
      <c r="G2831" s="1" t="s">
        <v>127</v>
      </c>
      <c r="H2831" s="1">
        <v>0</v>
      </c>
      <c r="I2831" s="1" t="s">
        <v>128</v>
      </c>
      <c r="L2831" s="1" t="s">
        <v>14146</v>
      </c>
      <c r="M2831" s="1" t="s">
        <v>4641</v>
      </c>
      <c r="N2831" s="1">
        <v>1</v>
      </c>
      <c r="O2831" s="1">
        <v>0</v>
      </c>
      <c r="P2831" s="1" t="s">
        <v>375</v>
      </c>
      <c r="Q2831" s="1" t="s">
        <v>131</v>
      </c>
      <c r="R2831" s="1" t="s">
        <v>14165</v>
      </c>
      <c r="S2831" s="1" t="s">
        <v>14002</v>
      </c>
      <c r="T2831" s="1">
        <v>1</v>
      </c>
      <c r="U2831" s="1">
        <v>1</v>
      </c>
      <c r="V2831" s="1">
        <v>0</v>
      </c>
      <c r="W2831" s="1">
        <v>0</v>
      </c>
      <c r="X2831" s="1">
        <v>1</v>
      </c>
      <c r="Y2831" s="1" t="s">
        <v>104</v>
      </c>
      <c r="Z2831" s="1" t="s">
        <v>104</v>
      </c>
      <c r="AA2831" s="1" t="s">
        <v>104</v>
      </c>
      <c r="AB2831" s="1" t="s">
        <v>104</v>
      </c>
      <c r="AC2831" s="1" t="s">
        <v>104</v>
      </c>
      <c r="AD2831" s="1" t="s">
        <v>104</v>
      </c>
      <c r="AE2831" s="1">
        <v>3</v>
      </c>
      <c r="AF2831" s="1" t="s">
        <v>104</v>
      </c>
      <c r="AG2831" s="1" t="s">
        <v>104</v>
      </c>
      <c r="AH2831" s="1" t="s">
        <v>104</v>
      </c>
      <c r="AI2831" s="1" t="s">
        <v>104</v>
      </c>
      <c r="AJ2831" s="1" t="s">
        <v>104</v>
      </c>
      <c r="AK2831" s="1" t="s">
        <v>104</v>
      </c>
      <c r="AL2831" s="1" t="s">
        <v>104</v>
      </c>
      <c r="AM2831" s="1" t="s">
        <v>104</v>
      </c>
      <c r="AO2831" s="1">
        <v>3</v>
      </c>
      <c r="AQ2831" s="1" t="s">
        <v>14166</v>
      </c>
      <c r="AR2831" s="1">
        <v>0</v>
      </c>
      <c r="AS2831" s="1">
        <v>0</v>
      </c>
      <c r="AT2831" s="1">
        <v>0</v>
      </c>
      <c r="AU2831" s="1">
        <v>0</v>
      </c>
      <c r="AV2831" s="1">
        <v>0</v>
      </c>
      <c r="AW2831" s="1">
        <v>0</v>
      </c>
      <c r="AX2831" s="1">
        <v>0</v>
      </c>
      <c r="AY2831" s="1">
        <v>0</v>
      </c>
      <c r="AZ2831" s="1">
        <v>0</v>
      </c>
      <c r="BA2831" s="1">
        <v>0</v>
      </c>
      <c r="BB2831" s="1">
        <v>0</v>
      </c>
      <c r="BC2831" s="1">
        <v>0</v>
      </c>
      <c r="BD2831" s="1">
        <v>0</v>
      </c>
      <c r="BE2831" s="1">
        <v>0</v>
      </c>
      <c r="BF2831" s="1">
        <v>0</v>
      </c>
      <c r="BG2831" s="1">
        <v>0</v>
      </c>
      <c r="BH2831" s="1">
        <v>0</v>
      </c>
      <c r="BI2831" s="1">
        <v>0</v>
      </c>
      <c r="BJ2831" s="1">
        <v>0</v>
      </c>
      <c r="BK2831" s="1">
        <v>0</v>
      </c>
      <c r="BL2831" s="1">
        <v>0</v>
      </c>
      <c r="BM2831" s="1">
        <v>0</v>
      </c>
      <c r="BN2831" s="1">
        <v>0</v>
      </c>
      <c r="BO2831" s="1">
        <v>0</v>
      </c>
      <c r="BP2831" s="1">
        <v>0</v>
      </c>
      <c r="BQ2831" s="1" t="s">
        <v>104</v>
      </c>
      <c r="BR2831" s="1">
        <v>4958</v>
      </c>
      <c r="BS2831" s="1" t="s">
        <v>104</v>
      </c>
      <c r="BX2831" s="1">
        <v>0</v>
      </c>
      <c r="BY2831" s="1" t="s">
        <v>104</v>
      </c>
      <c r="BZ2831" s="1" t="s">
        <v>104</v>
      </c>
      <c r="CA2831" s="1" t="s">
        <v>104</v>
      </c>
      <c r="CB2831" s="1" t="s">
        <v>104</v>
      </c>
      <c r="CC2831" s="1" t="s">
        <v>104</v>
      </c>
      <c r="CD2831" s="1" t="s">
        <v>104</v>
      </c>
      <c r="CE2831" s="1" t="s">
        <v>104</v>
      </c>
      <c r="CF2831" s="1" t="s">
        <v>104</v>
      </c>
      <c r="CG2831" s="1" t="s">
        <v>104</v>
      </c>
      <c r="CH2831" s="1" t="s">
        <v>104</v>
      </c>
      <c r="CJ2831" s="1">
        <v>0</v>
      </c>
      <c r="CK2831" s="1">
        <v>0</v>
      </c>
      <c r="CL2831" s="1">
        <v>0</v>
      </c>
      <c r="CM2831" s="1" t="s">
        <v>104</v>
      </c>
    </row>
    <row r="2832" spans="1:91" ht="14.25" customHeight="1" x14ac:dyDescent="0.3">
      <c r="A2832" s="1" t="s">
        <v>14167</v>
      </c>
      <c r="B2832" s="1" t="s">
        <v>434</v>
      </c>
      <c r="D2832" s="1" t="s">
        <v>8589</v>
      </c>
      <c r="E2832" s="1" t="s">
        <v>14168</v>
      </c>
      <c r="F2832" s="1" t="s">
        <v>95</v>
      </c>
      <c r="G2832" s="1" t="s">
        <v>116</v>
      </c>
      <c r="H2832" s="1">
        <v>0</v>
      </c>
      <c r="I2832" s="1" t="s">
        <v>117</v>
      </c>
      <c r="K2832" s="1" t="s">
        <v>14169</v>
      </c>
      <c r="M2832" s="1" t="s">
        <v>119</v>
      </c>
      <c r="N2832" s="1">
        <v>0</v>
      </c>
      <c r="O2832" s="1">
        <v>0</v>
      </c>
      <c r="P2832" s="1" t="s">
        <v>100</v>
      </c>
      <c r="Q2832" s="1" t="s">
        <v>184</v>
      </c>
      <c r="R2832" s="1" t="s">
        <v>14170</v>
      </c>
      <c r="S2832" s="1" t="s">
        <v>14002</v>
      </c>
      <c r="T2832" s="1">
        <v>1</v>
      </c>
      <c r="U2832" s="1">
        <v>1</v>
      </c>
      <c r="V2832" s="1">
        <v>0</v>
      </c>
      <c r="W2832" s="1">
        <v>0</v>
      </c>
      <c r="X2832" s="1">
        <v>0</v>
      </c>
      <c r="Y2832" s="1">
        <v>1</v>
      </c>
      <c r="Z2832" s="1">
        <v>1</v>
      </c>
      <c r="AA2832" s="1" t="s">
        <v>104</v>
      </c>
      <c r="AB2832" s="1">
        <v>1</v>
      </c>
      <c r="AC2832" s="1" t="s">
        <v>104</v>
      </c>
      <c r="AD2832" s="1" t="s">
        <v>104</v>
      </c>
      <c r="AE2832" s="1" t="s">
        <v>104</v>
      </c>
      <c r="AF2832" s="1" t="s">
        <v>104</v>
      </c>
      <c r="AG2832" s="1">
        <v>1</v>
      </c>
      <c r="AH2832" s="1">
        <v>1</v>
      </c>
      <c r="AI2832" s="1" t="s">
        <v>104</v>
      </c>
      <c r="AJ2832" s="1" t="s">
        <v>104</v>
      </c>
      <c r="AK2832" s="1" t="s">
        <v>104</v>
      </c>
      <c r="AL2832" s="1">
        <v>1</v>
      </c>
      <c r="AM2832" s="1" t="s">
        <v>104</v>
      </c>
      <c r="AO2832" s="1">
        <v>1</v>
      </c>
      <c r="AQ2832" s="1" t="s">
        <v>14171</v>
      </c>
      <c r="AR2832" s="1">
        <v>0</v>
      </c>
      <c r="AS2832" s="1">
        <v>0</v>
      </c>
      <c r="AT2832" s="1">
        <v>0</v>
      </c>
      <c r="AU2832" s="1">
        <v>1</v>
      </c>
      <c r="AV2832" s="1">
        <v>0</v>
      </c>
      <c r="AW2832" s="1">
        <v>0</v>
      </c>
      <c r="AX2832" s="1">
        <v>0</v>
      </c>
      <c r="AY2832" s="1">
        <v>0</v>
      </c>
      <c r="AZ2832" s="1">
        <v>0</v>
      </c>
      <c r="BA2832" s="1">
        <v>0</v>
      </c>
      <c r="BB2832" s="1">
        <v>0</v>
      </c>
      <c r="BC2832" s="1">
        <v>0</v>
      </c>
      <c r="BD2832" s="1">
        <v>0</v>
      </c>
      <c r="BE2832" s="1">
        <v>0</v>
      </c>
      <c r="BF2832" s="1">
        <v>0</v>
      </c>
      <c r="BG2832" s="1">
        <v>0</v>
      </c>
      <c r="BH2832" s="1">
        <v>0</v>
      </c>
      <c r="BI2832" s="1">
        <v>0</v>
      </c>
      <c r="BJ2832" s="1">
        <v>0</v>
      </c>
      <c r="BK2832" s="1">
        <v>0</v>
      </c>
      <c r="BL2832" s="1">
        <v>0</v>
      </c>
      <c r="BM2832" s="1">
        <v>0</v>
      </c>
      <c r="BN2832" s="1">
        <v>0</v>
      </c>
      <c r="BO2832" s="1">
        <v>0</v>
      </c>
      <c r="BP2832" s="1">
        <v>1</v>
      </c>
      <c r="BQ2832" s="1" t="s">
        <v>104</v>
      </c>
      <c r="BR2832" s="1">
        <v>4959</v>
      </c>
      <c r="BS2832" s="1" t="s">
        <v>104</v>
      </c>
      <c r="BX2832" s="1">
        <v>0</v>
      </c>
      <c r="BY2832" s="1">
        <v>1</v>
      </c>
      <c r="BZ2832" s="1" t="s">
        <v>104</v>
      </c>
      <c r="CA2832" s="1" t="s">
        <v>104</v>
      </c>
      <c r="CB2832" s="1" t="s">
        <v>104</v>
      </c>
      <c r="CC2832" s="1" t="s">
        <v>104</v>
      </c>
      <c r="CD2832" s="1" t="s">
        <v>104</v>
      </c>
      <c r="CE2832" s="1" t="s">
        <v>104</v>
      </c>
      <c r="CF2832" s="1" t="s">
        <v>104</v>
      </c>
      <c r="CG2832" s="1" t="s">
        <v>104</v>
      </c>
      <c r="CH2832" s="1">
        <v>1</v>
      </c>
      <c r="CJ2832" s="1">
        <v>0</v>
      </c>
      <c r="CK2832" s="1">
        <v>0</v>
      </c>
      <c r="CL2832" s="1">
        <v>0</v>
      </c>
      <c r="CM2832" s="1">
        <v>1</v>
      </c>
    </row>
    <row r="2833" spans="1:91" ht="14.25" customHeight="1" x14ac:dyDescent="0.3">
      <c r="A2833" s="1" t="s">
        <v>14172</v>
      </c>
      <c r="B2833" s="1" t="s">
        <v>92</v>
      </c>
      <c r="C2833" s="1" t="s">
        <v>523</v>
      </c>
      <c r="D2833" s="1" t="s">
        <v>5736</v>
      </c>
      <c r="E2833" s="1" t="s">
        <v>10065</v>
      </c>
      <c r="F2833" s="1" t="s">
        <v>95</v>
      </c>
      <c r="G2833" s="1" t="s">
        <v>127</v>
      </c>
      <c r="H2833" s="1">
        <v>0</v>
      </c>
      <c r="I2833" s="1" t="s">
        <v>109</v>
      </c>
      <c r="J2833" s="1" t="s">
        <v>14173</v>
      </c>
      <c r="M2833" s="1" t="s">
        <v>426</v>
      </c>
      <c r="N2833" s="1">
        <v>1</v>
      </c>
      <c r="O2833" s="1">
        <v>0</v>
      </c>
      <c r="P2833" s="1" t="s">
        <v>100</v>
      </c>
      <c r="Q2833" s="1" t="s">
        <v>101</v>
      </c>
      <c r="R2833" s="1" t="s">
        <v>14174</v>
      </c>
      <c r="S2833" s="1" t="s">
        <v>14002</v>
      </c>
      <c r="T2833" s="1">
        <v>1</v>
      </c>
      <c r="U2833" s="1">
        <v>1</v>
      </c>
      <c r="V2833" s="1">
        <v>0</v>
      </c>
      <c r="W2833" s="1">
        <v>0</v>
      </c>
      <c r="X2833" s="1">
        <v>1</v>
      </c>
      <c r="Y2833" s="1" t="s">
        <v>104</v>
      </c>
      <c r="Z2833" s="1" t="s">
        <v>104</v>
      </c>
      <c r="AA2833" s="1" t="s">
        <v>104</v>
      </c>
      <c r="AB2833" s="1">
        <v>3</v>
      </c>
      <c r="AC2833" s="1">
        <v>3</v>
      </c>
      <c r="AD2833" s="1" t="s">
        <v>104</v>
      </c>
      <c r="AE2833" s="1" t="s">
        <v>104</v>
      </c>
      <c r="AF2833" s="1" t="s">
        <v>104</v>
      </c>
      <c r="AG2833" s="1" t="s">
        <v>104</v>
      </c>
      <c r="AH2833" s="1" t="s">
        <v>104</v>
      </c>
      <c r="AI2833" s="1" t="s">
        <v>104</v>
      </c>
      <c r="AJ2833" s="1" t="s">
        <v>104</v>
      </c>
      <c r="AK2833" s="1" t="s">
        <v>104</v>
      </c>
      <c r="AL2833" s="1" t="s">
        <v>104</v>
      </c>
      <c r="AM2833" s="1" t="s">
        <v>104</v>
      </c>
      <c r="AO2833" s="1">
        <v>3</v>
      </c>
      <c r="AQ2833" s="1" t="s">
        <v>14175</v>
      </c>
      <c r="AR2833" s="1">
        <v>0</v>
      </c>
      <c r="AS2833" s="1">
        <v>0</v>
      </c>
      <c r="AT2833" s="1">
        <v>0</v>
      </c>
      <c r="AU2833" s="1">
        <v>0</v>
      </c>
      <c r="AV2833" s="1">
        <v>0</v>
      </c>
      <c r="AW2833" s="1">
        <v>0</v>
      </c>
      <c r="AX2833" s="1">
        <v>0</v>
      </c>
      <c r="AY2833" s="1">
        <v>0</v>
      </c>
      <c r="AZ2833" s="1">
        <v>1</v>
      </c>
      <c r="BA2833" s="1">
        <v>0</v>
      </c>
      <c r="BB2833" s="1">
        <v>0</v>
      </c>
      <c r="BC2833" s="1">
        <v>0</v>
      </c>
      <c r="BD2833" s="1">
        <v>0</v>
      </c>
      <c r="BE2833" s="1">
        <v>0</v>
      </c>
      <c r="BF2833" s="1">
        <v>0</v>
      </c>
      <c r="BG2833" s="1">
        <v>0</v>
      </c>
      <c r="BH2833" s="1">
        <v>0</v>
      </c>
      <c r="BI2833" s="1">
        <v>0</v>
      </c>
      <c r="BJ2833" s="1">
        <v>0</v>
      </c>
      <c r="BK2833" s="1">
        <v>0</v>
      </c>
      <c r="BL2833" s="1">
        <v>0</v>
      </c>
      <c r="BM2833" s="1">
        <v>0</v>
      </c>
      <c r="BN2833" s="1">
        <v>0</v>
      </c>
      <c r="BO2833" s="1">
        <v>0</v>
      </c>
      <c r="BP2833" s="1">
        <v>1</v>
      </c>
      <c r="BQ2833" s="1" t="s">
        <v>104</v>
      </c>
      <c r="BR2833" s="1">
        <v>4960</v>
      </c>
      <c r="BS2833" s="1" t="s">
        <v>104</v>
      </c>
      <c r="BX2833" s="1">
        <v>0</v>
      </c>
      <c r="BY2833" s="1" t="s">
        <v>104</v>
      </c>
      <c r="BZ2833" s="1">
        <v>3</v>
      </c>
      <c r="CA2833" s="1" t="s">
        <v>104</v>
      </c>
      <c r="CB2833" s="1" t="s">
        <v>104</v>
      </c>
      <c r="CC2833" s="1" t="s">
        <v>104</v>
      </c>
      <c r="CD2833" s="1" t="s">
        <v>104</v>
      </c>
      <c r="CE2833" s="1" t="s">
        <v>104</v>
      </c>
      <c r="CF2833" s="1" t="s">
        <v>104</v>
      </c>
      <c r="CG2833" s="1" t="s">
        <v>104</v>
      </c>
      <c r="CH2833" s="1">
        <v>3</v>
      </c>
      <c r="CJ2833" s="1">
        <v>0</v>
      </c>
      <c r="CK2833" s="1">
        <v>0</v>
      </c>
      <c r="CL2833" s="1">
        <v>0</v>
      </c>
      <c r="CM2833" s="1" t="s">
        <v>104</v>
      </c>
    </row>
    <row r="2834" spans="1:91" ht="14.25" customHeight="1" x14ac:dyDescent="0.3">
      <c r="A2834" s="1" t="s">
        <v>14176</v>
      </c>
      <c r="B2834" s="1" t="s">
        <v>137</v>
      </c>
      <c r="E2834" s="1" t="s">
        <v>3921</v>
      </c>
      <c r="F2834" s="1" t="s">
        <v>191</v>
      </c>
      <c r="G2834" s="1" t="s">
        <v>14177</v>
      </c>
      <c r="H2834" s="1">
        <v>0</v>
      </c>
      <c r="I2834" s="1" t="s">
        <v>128</v>
      </c>
      <c r="K2834" s="1" t="s">
        <v>14178</v>
      </c>
      <c r="M2834" s="1" t="s">
        <v>620</v>
      </c>
      <c r="N2834" s="1">
        <v>1</v>
      </c>
      <c r="O2834" s="1">
        <v>0</v>
      </c>
      <c r="P2834" s="1" t="s">
        <v>100</v>
      </c>
      <c r="Q2834" s="1" t="s">
        <v>101</v>
      </c>
      <c r="R2834" s="1" t="s">
        <v>14179</v>
      </c>
      <c r="S2834" s="1" t="s">
        <v>14002</v>
      </c>
      <c r="T2834" s="1">
        <v>1</v>
      </c>
      <c r="U2834" s="1">
        <v>1</v>
      </c>
      <c r="V2834" s="1">
        <v>0</v>
      </c>
      <c r="W2834" s="1">
        <v>0</v>
      </c>
      <c r="X2834" s="1">
        <v>0</v>
      </c>
      <c r="Y2834" s="1" t="s">
        <v>104</v>
      </c>
      <c r="Z2834" s="1" t="s">
        <v>104</v>
      </c>
      <c r="AA2834" s="1" t="s">
        <v>104</v>
      </c>
      <c r="AB2834" s="1">
        <v>5</v>
      </c>
      <c r="AC2834" s="1">
        <v>4</v>
      </c>
      <c r="AD2834" s="1" t="s">
        <v>104</v>
      </c>
      <c r="AE2834" s="1" t="s">
        <v>104</v>
      </c>
      <c r="AF2834" s="1" t="s">
        <v>104</v>
      </c>
      <c r="AG2834" s="1" t="s">
        <v>104</v>
      </c>
      <c r="AH2834" s="1" t="s">
        <v>104</v>
      </c>
      <c r="AI2834" s="1" t="s">
        <v>104</v>
      </c>
      <c r="AJ2834" s="1" t="s">
        <v>104</v>
      </c>
      <c r="AK2834" s="1" t="s">
        <v>104</v>
      </c>
      <c r="AL2834" s="1" t="s">
        <v>104</v>
      </c>
      <c r="AM2834" s="1" t="s">
        <v>104</v>
      </c>
      <c r="AO2834" s="1">
        <v>5</v>
      </c>
      <c r="AQ2834" s="1" t="s">
        <v>14180</v>
      </c>
      <c r="AR2834" s="1">
        <v>0</v>
      </c>
      <c r="AS2834" s="1">
        <v>0</v>
      </c>
      <c r="AT2834" s="1">
        <v>0</v>
      </c>
      <c r="AU2834" s="1">
        <v>0</v>
      </c>
      <c r="AV2834" s="1">
        <v>0</v>
      </c>
      <c r="AW2834" s="1">
        <v>0</v>
      </c>
      <c r="AX2834" s="1">
        <v>0</v>
      </c>
      <c r="AY2834" s="1">
        <v>0</v>
      </c>
      <c r="AZ2834" s="1">
        <v>0</v>
      </c>
      <c r="BA2834" s="1">
        <v>0</v>
      </c>
      <c r="BB2834" s="1">
        <v>0</v>
      </c>
      <c r="BC2834" s="1">
        <v>0</v>
      </c>
      <c r="BD2834" s="1">
        <v>0</v>
      </c>
      <c r="BE2834" s="1">
        <v>0</v>
      </c>
      <c r="BF2834" s="1">
        <v>0</v>
      </c>
      <c r="BG2834" s="1">
        <v>0</v>
      </c>
      <c r="BH2834" s="1">
        <v>0</v>
      </c>
      <c r="BI2834" s="1">
        <v>0</v>
      </c>
      <c r="BJ2834" s="1">
        <v>0</v>
      </c>
      <c r="BK2834" s="1">
        <v>0</v>
      </c>
      <c r="BL2834" s="1">
        <v>0</v>
      </c>
      <c r="BM2834" s="1">
        <v>0</v>
      </c>
      <c r="BN2834" s="1">
        <v>0</v>
      </c>
      <c r="BO2834" s="1">
        <v>0</v>
      </c>
      <c r="BP2834" s="1">
        <v>0</v>
      </c>
      <c r="BQ2834" s="1" t="s">
        <v>104</v>
      </c>
      <c r="BR2834" s="1">
        <v>4961</v>
      </c>
      <c r="BS2834" s="1" t="s">
        <v>104</v>
      </c>
      <c r="BX2834" s="1">
        <v>0</v>
      </c>
      <c r="BY2834" s="1" t="s">
        <v>104</v>
      </c>
      <c r="BZ2834" s="1" t="s">
        <v>104</v>
      </c>
      <c r="CA2834" s="1" t="s">
        <v>104</v>
      </c>
      <c r="CB2834" s="1" t="s">
        <v>104</v>
      </c>
      <c r="CC2834" s="1" t="s">
        <v>104</v>
      </c>
      <c r="CD2834" s="1" t="s">
        <v>104</v>
      </c>
      <c r="CE2834" s="1" t="s">
        <v>104</v>
      </c>
      <c r="CF2834" s="1" t="s">
        <v>104</v>
      </c>
      <c r="CG2834" s="1" t="s">
        <v>104</v>
      </c>
      <c r="CH2834" s="1">
        <v>4</v>
      </c>
      <c r="CJ2834" s="1">
        <v>0</v>
      </c>
      <c r="CK2834" s="1">
        <v>0</v>
      </c>
      <c r="CL2834" s="1">
        <v>0</v>
      </c>
      <c r="CM2834" s="1" t="s">
        <v>104</v>
      </c>
    </row>
    <row r="2835" spans="1:91" ht="14.25" customHeight="1" x14ac:dyDescent="0.3">
      <c r="A2835" s="1" t="s">
        <v>14181</v>
      </c>
      <c r="B2835" s="1" t="s">
        <v>137</v>
      </c>
      <c r="D2835" s="1" t="s">
        <v>44</v>
      </c>
      <c r="E2835" s="1" t="s">
        <v>14182</v>
      </c>
      <c r="F2835" s="1" t="s">
        <v>95</v>
      </c>
      <c r="G2835" s="1" t="s">
        <v>116</v>
      </c>
      <c r="H2835" s="1">
        <v>0</v>
      </c>
      <c r="I2835" s="1" t="s">
        <v>2272</v>
      </c>
      <c r="L2835" s="1" t="s">
        <v>14183</v>
      </c>
      <c r="M2835" s="1" t="s">
        <v>201</v>
      </c>
      <c r="N2835" s="1">
        <v>0</v>
      </c>
      <c r="O2835" s="1">
        <v>0</v>
      </c>
      <c r="P2835" s="1" t="s">
        <v>375</v>
      </c>
      <c r="Q2835" s="1" t="s">
        <v>131</v>
      </c>
      <c r="R2835" s="1" t="s">
        <v>14184</v>
      </c>
      <c r="S2835" s="1" t="s">
        <v>14002</v>
      </c>
      <c r="T2835" s="1">
        <v>1</v>
      </c>
      <c r="U2835" s="1">
        <v>1</v>
      </c>
      <c r="V2835" s="1">
        <v>0</v>
      </c>
      <c r="W2835" s="1">
        <v>0</v>
      </c>
      <c r="X2835" s="1">
        <v>0</v>
      </c>
      <c r="Y2835" s="1">
        <v>4</v>
      </c>
      <c r="Z2835" s="1">
        <v>4</v>
      </c>
      <c r="AA2835" s="1">
        <v>4</v>
      </c>
      <c r="AB2835" s="1">
        <v>3</v>
      </c>
      <c r="AC2835" s="1">
        <v>3</v>
      </c>
      <c r="AD2835" s="1" t="s">
        <v>104</v>
      </c>
      <c r="AE2835" s="1" t="s">
        <v>104</v>
      </c>
      <c r="AF2835" s="1" t="s">
        <v>104</v>
      </c>
      <c r="AG2835" s="1" t="s">
        <v>104</v>
      </c>
      <c r="AH2835" s="1" t="s">
        <v>104</v>
      </c>
      <c r="AI2835" s="1" t="s">
        <v>104</v>
      </c>
      <c r="AJ2835" s="1">
        <v>4</v>
      </c>
      <c r="AK2835" s="1" t="s">
        <v>104</v>
      </c>
      <c r="AL2835" s="1">
        <v>4</v>
      </c>
      <c r="AM2835" s="1" t="s">
        <v>104</v>
      </c>
      <c r="AO2835" s="1">
        <v>4</v>
      </c>
      <c r="AQ2835" s="1" t="s">
        <v>14185</v>
      </c>
      <c r="AR2835" s="1">
        <v>0</v>
      </c>
      <c r="AS2835" s="1">
        <v>1</v>
      </c>
      <c r="AT2835" s="1">
        <v>0</v>
      </c>
      <c r="AU2835" s="1">
        <v>0</v>
      </c>
      <c r="AV2835" s="1">
        <v>0</v>
      </c>
      <c r="AW2835" s="1">
        <v>0</v>
      </c>
      <c r="AX2835" s="1">
        <v>0</v>
      </c>
      <c r="AY2835" s="1">
        <v>0</v>
      </c>
      <c r="AZ2835" s="1">
        <v>0</v>
      </c>
      <c r="BA2835" s="1">
        <v>0</v>
      </c>
      <c r="BB2835" s="1">
        <v>0</v>
      </c>
      <c r="BC2835" s="1">
        <v>0</v>
      </c>
      <c r="BD2835" s="1">
        <v>0</v>
      </c>
      <c r="BE2835" s="1">
        <v>0</v>
      </c>
      <c r="BF2835" s="1">
        <v>0</v>
      </c>
      <c r="BG2835" s="1">
        <v>0</v>
      </c>
      <c r="BH2835" s="1">
        <v>0</v>
      </c>
      <c r="BI2835" s="1">
        <v>0</v>
      </c>
      <c r="BJ2835" s="1">
        <v>0</v>
      </c>
      <c r="BK2835" s="1">
        <v>0</v>
      </c>
      <c r="BL2835" s="1">
        <v>0</v>
      </c>
      <c r="BM2835" s="1">
        <v>0</v>
      </c>
      <c r="BN2835" s="1">
        <v>0</v>
      </c>
      <c r="BO2835" s="1">
        <v>0</v>
      </c>
      <c r="BP2835" s="1">
        <v>0</v>
      </c>
      <c r="BQ2835" s="1" t="s">
        <v>104</v>
      </c>
      <c r="BR2835" s="1">
        <v>4962</v>
      </c>
      <c r="BS2835" s="1" t="s">
        <v>104</v>
      </c>
      <c r="BX2835" s="1">
        <v>0</v>
      </c>
      <c r="BY2835" s="1">
        <v>4</v>
      </c>
      <c r="BZ2835" s="1">
        <v>3</v>
      </c>
      <c r="CA2835" s="1" t="s">
        <v>104</v>
      </c>
      <c r="CB2835" s="1" t="s">
        <v>104</v>
      </c>
      <c r="CC2835" s="1" t="s">
        <v>104</v>
      </c>
      <c r="CD2835" s="1">
        <v>3</v>
      </c>
      <c r="CE2835" s="1">
        <v>3</v>
      </c>
      <c r="CF2835" s="1" t="s">
        <v>104</v>
      </c>
      <c r="CG2835" s="1" t="s">
        <v>104</v>
      </c>
      <c r="CH2835" s="1">
        <v>3</v>
      </c>
      <c r="CJ2835" s="1">
        <v>0</v>
      </c>
      <c r="CK2835" s="1">
        <v>0</v>
      </c>
      <c r="CL2835" s="1">
        <v>0</v>
      </c>
      <c r="CM2835" s="1" t="s">
        <v>104</v>
      </c>
    </row>
    <row r="2836" spans="1:91" ht="14.25" customHeight="1" x14ac:dyDescent="0.3">
      <c r="A2836" s="1" t="s">
        <v>14186</v>
      </c>
      <c r="B2836" s="1" t="s">
        <v>137</v>
      </c>
      <c r="D2836" s="1" t="s">
        <v>67</v>
      </c>
      <c r="E2836" s="1" t="s">
        <v>14182</v>
      </c>
      <c r="F2836" s="1" t="s">
        <v>95</v>
      </c>
      <c r="G2836" s="1" t="s">
        <v>116</v>
      </c>
      <c r="H2836" s="1">
        <v>0</v>
      </c>
      <c r="I2836" s="1" t="s">
        <v>2272</v>
      </c>
      <c r="L2836" s="1" t="s">
        <v>14183</v>
      </c>
      <c r="M2836" s="1" t="s">
        <v>201</v>
      </c>
      <c r="N2836" s="1">
        <v>0</v>
      </c>
      <c r="O2836" s="1">
        <v>0</v>
      </c>
      <c r="P2836" s="1" t="s">
        <v>375</v>
      </c>
      <c r="Q2836" s="1" t="s">
        <v>131</v>
      </c>
      <c r="R2836" s="1" t="s">
        <v>14187</v>
      </c>
      <c r="S2836" s="1" t="s">
        <v>14002</v>
      </c>
      <c r="T2836" s="1">
        <v>1</v>
      </c>
      <c r="U2836" s="1">
        <v>1</v>
      </c>
      <c r="V2836" s="1">
        <v>0</v>
      </c>
      <c r="W2836" s="1">
        <v>0</v>
      </c>
      <c r="X2836" s="1">
        <v>0</v>
      </c>
      <c r="Y2836" s="1">
        <v>4</v>
      </c>
      <c r="Z2836" s="1">
        <v>4</v>
      </c>
      <c r="AA2836" s="1">
        <v>4</v>
      </c>
      <c r="AB2836" s="1">
        <v>3</v>
      </c>
      <c r="AC2836" s="1">
        <v>3</v>
      </c>
      <c r="AD2836" s="1" t="s">
        <v>104</v>
      </c>
      <c r="AE2836" s="1" t="s">
        <v>104</v>
      </c>
      <c r="AF2836" s="1" t="s">
        <v>104</v>
      </c>
      <c r="AG2836" s="1" t="s">
        <v>104</v>
      </c>
      <c r="AH2836" s="1" t="s">
        <v>104</v>
      </c>
      <c r="AI2836" s="1" t="s">
        <v>104</v>
      </c>
      <c r="AJ2836" s="1">
        <v>4</v>
      </c>
      <c r="AK2836" s="1" t="s">
        <v>104</v>
      </c>
      <c r="AL2836" s="1">
        <v>4</v>
      </c>
      <c r="AM2836" s="1" t="s">
        <v>104</v>
      </c>
      <c r="AO2836" s="1">
        <v>4</v>
      </c>
      <c r="AR2836" s="1">
        <v>0</v>
      </c>
      <c r="AS2836" s="1">
        <v>0</v>
      </c>
      <c r="AT2836" s="1">
        <v>0</v>
      </c>
      <c r="AU2836" s="1">
        <v>0</v>
      </c>
      <c r="AV2836" s="1">
        <v>0</v>
      </c>
      <c r="AW2836" s="1">
        <v>0</v>
      </c>
      <c r="AX2836" s="1">
        <v>0</v>
      </c>
      <c r="AY2836" s="1">
        <v>0</v>
      </c>
      <c r="AZ2836" s="1">
        <v>0</v>
      </c>
      <c r="BA2836" s="1">
        <v>0</v>
      </c>
      <c r="BB2836" s="1">
        <v>0</v>
      </c>
      <c r="BC2836" s="1">
        <v>0</v>
      </c>
      <c r="BD2836" s="1">
        <v>0</v>
      </c>
      <c r="BE2836" s="1">
        <v>0</v>
      </c>
      <c r="BF2836" s="1">
        <v>0</v>
      </c>
      <c r="BG2836" s="1">
        <v>0</v>
      </c>
      <c r="BH2836" s="1">
        <v>0</v>
      </c>
      <c r="BI2836" s="1">
        <v>0</v>
      </c>
      <c r="BJ2836" s="1">
        <v>0</v>
      </c>
      <c r="BK2836" s="1">
        <v>0</v>
      </c>
      <c r="BL2836" s="1">
        <v>0</v>
      </c>
      <c r="BM2836" s="1">
        <v>0</v>
      </c>
      <c r="BN2836" s="1">
        <v>0</v>
      </c>
      <c r="BO2836" s="1">
        <v>0</v>
      </c>
      <c r="BP2836" s="1">
        <v>1</v>
      </c>
      <c r="BQ2836" s="1" t="s">
        <v>104</v>
      </c>
      <c r="BR2836" s="1">
        <v>4963</v>
      </c>
      <c r="BS2836" s="1" t="s">
        <v>104</v>
      </c>
      <c r="BX2836" s="1">
        <v>0</v>
      </c>
      <c r="BY2836" s="1">
        <v>4</v>
      </c>
      <c r="BZ2836" s="1">
        <v>3</v>
      </c>
      <c r="CA2836" s="1" t="s">
        <v>104</v>
      </c>
      <c r="CB2836" s="1" t="s">
        <v>104</v>
      </c>
      <c r="CC2836" s="1" t="s">
        <v>104</v>
      </c>
      <c r="CD2836" s="1">
        <v>3</v>
      </c>
      <c r="CE2836" s="1">
        <v>3</v>
      </c>
      <c r="CF2836" s="1" t="s">
        <v>104</v>
      </c>
      <c r="CG2836" s="1" t="s">
        <v>104</v>
      </c>
      <c r="CH2836" s="1">
        <v>3</v>
      </c>
      <c r="CJ2836" s="1">
        <v>0</v>
      </c>
      <c r="CK2836" s="1">
        <v>0</v>
      </c>
      <c r="CL2836" s="1">
        <v>0</v>
      </c>
      <c r="CM2836" s="1" t="s">
        <v>104</v>
      </c>
    </row>
    <row r="2837" spans="1:91" ht="14.25" customHeight="1" x14ac:dyDescent="0.3">
      <c r="A2837" s="1" t="s">
        <v>14188</v>
      </c>
      <c r="B2837" s="1" t="s">
        <v>434</v>
      </c>
      <c r="D2837" s="1" t="s">
        <v>66</v>
      </c>
      <c r="E2837" s="1" t="s">
        <v>14189</v>
      </c>
      <c r="F2837" s="1" t="s">
        <v>95</v>
      </c>
      <c r="G2837" s="1" t="s">
        <v>116</v>
      </c>
      <c r="H2837" s="1">
        <v>0</v>
      </c>
      <c r="I2837" s="1" t="s">
        <v>705</v>
      </c>
      <c r="K2837" s="1" t="s">
        <v>14190</v>
      </c>
      <c r="M2837" s="1" t="s">
        <v>426</v>
      </c>
      <c r="N2837" s="1">
        <v>1</v>
      </c>
      <c r="O2837" s="1">
        <v>0</v>
      </c>
      <c r="P2837" s="1" t="s">
        <v>5901</v>
      </c>
      <c r="Q2837" s="1" t="s">
        <v>184</v>
      </c>
      <c r="R2837" s="1" t="s">
        <v>14191</v>
      </c>
      <c r="S2837" s="1" t="s">
        <v>14002</v>
      </c>
      <c r="T2837" s="1">
        <v>1</v>
      </c>
      <c r="U2837" s="1">
        <v>1</v>
      </c>
      <c r="V2837" s="1">
        <v>0</v>
      </c>
      <c r="W2837" s="1">
        <v>0</v>
      </c>
      <c r="X2837" s="1">
        <v>0</v>
      </c>
      <c r="Y2837" s="1" t="s">
        <v>104</v>
      </c>
      <c r="Z2837" s="1" t="s">
        <v>104</v>
      </c>
      <c r="AA2837" s="1" t="s">
        <v>104</v>
      </c>
      <c r="AB2837" s="1" t="s">
        <v>104</v>
      </c>
      <c r="AC2837" s="1">
        <v>1</v>
      </c>
      <c r="AD2837" s="1">
        <v>1</v>
      </c>
      <c r="AE2837" s="1" t="s">
        <v>104</v>
      </c>
      <c r="AF2837" s="1" t="s">
        <v>104</v>
      </c>
      <c r="AG2837" s="1" t="s">
        <v>104</v>
      </c>
      <c r="AH2837" s="1" t="s">
        <v>104</v>
      </c>
      <c r="AI2837" s="1" t="s">
        <v>104</v>
      </c>
      <c r="AJ2837" s="1" t="s">
        <v>104</v>
      </c>
      <c r="AK2837" s="1" t="s">
        <v>104</v>
      </c>
      <c r="AL2837" s="1">
        <v>1</v>
      </c>
      <c r="AM2837" s="1" t="s">
        <v>104</v>
      </c>
      <c r="AO2837" s="1">
        <v>1</v>
      </c>
      <c r="AQ2837" s="1" t="s">
        <v>14192</v>
      </c>
      <c r="AR2837" s="1">
        <v>0</v>
      </c>
      <c r="AS2837" s="1">
        <v>0</v>
      </c>
      <c r="AT2837" s="1">
        <v>0</v>
      </c>
      <c r="AU2837" s="1">
        <v>0</v>
      </c>
      <c r="AV2837" s="1">
        <v>0</v>
      </c>
      <c r="AW2837" s="1">
        <v>0</v>
      </c>
      <c r="AX2837" s="1">
        <v>0</v>
      </c>
      <c r="AY2837" s="1">
        <v>0</v>
      </c>
      <c r="AZ2837" s="1">
        <v>0</v>
      </c>
      <c r="BA2837" s="1">
        <v>0</v>
      </c>
      <c r="BB2837" s="1">
        <v>0</v>
      </c>
      <c r="BC2837" s="1">
        <v>0</v>
      </c>
      <c r="BD2837" s="1">
        <v>0</v>
      </c>
      <c r="BE2837" s="1">
        <v>0</v>
      </c>
      <c r="BF2837" s="1">
        <v>0</v>
      </c>
      <c r="BG2837" s="1">
        <v>0</v>
      </c>
      <c r="BH2837" s="1">
        <v>0</v>
      </c>
      <c r="BI2837" s="1">
        <v>0</v>
      </c>
      <c r="BJ2837" s="1">
        <v>0</v>
      </c>
      <c r="BK2837" s="1">
        <v>0</v>
      </c>
      <c r="BL2837" s="1">
        <v>0</v>
      </c>
      <c r="BM2837" s="1">
        <v>0</v>
      </c>
      <c r="BN2837" s="1">
        <v>0</v>
      </c>
      <c r="BO2837" s="1">
        <v>1</v>
      </c>
      <c r="BP2837" s="1">
        <v>0</v>
      </c>
      <c r="BQ2837" s="1" t="s">
        <v>104</v>
      </c>
      <c r="BR2837" s="1">
        <v>4964</v>
      </c>
      <c r="BS2837" s="1" t="s">
        <v>104</v>
      </c>
      <c r="BX2837" s="1">
        <v>0</v>
      </c>
      <c r="BY2837" s="1">
        <v>1</v>
      </c>
      <c r="BZ2837" s="1" t="s">
        <v>104</v>
      </c>
      <c r="CA2837" s="1" t="s">
        <v>104</v>
      </c>
      <c r="CB2837" s="1" t="s">
        <v>104</v>
      </c>
      <c r="CC2837" s="1" t="s">
        <v>104</v>
      </c>
      <c r="CD2837" s="1" t="s">
        <v>104</v>
      </c>
      <c r="CE2837" s="1" t="s">
        <v>104</v>
      </c>
      <c r="CF2837" s="1" t="s">
        <v>104</v>
      </c>
      <c r="CG2837" s="1" t="s">
        <v>104</v>
      </c>
      <c r="CH2837" s="1">
        <v>1</v>
      </c>
      <c r="CJ2837" s="1">
        <v>0</v>
      </c>
      <c r="CK2837" s="1">
        <v>0</v>
      </c>
      <c r="CL2837" s="1">
        <v>0</v>
      </c>
      <c r="CM2837" s="1" t="s">
        <v>104</v>
      </c>
    </row>
    <row r="2838" spans="1:91" ht="14.25" customHeight="1" x14ac:dyDescent="0.3">
      <c r="A2838" s="1" t="s">
        <v>14193</v>
      </c>
      <c r="B2838" s="1" t="s">
        <v>92</v>
      </c>
      <c r="C2838" s="1" t="s">
        <v>93</v>
      </c>
      <c r="D2838" s="1" t="s">
        <v>67</v>
      </c>
      <c r="E2838" s="1" t="s">
        <v>4063</v>
      </c>
      <c r="F2838" s="1" t="s">
        <v>95</v>
      </c>
      <c r="G2838" s="1" t="s">
        <v>116</v>
      </c>
      <c r="H2838" s="1">
        <v>0</v>
      </c>
      <c r="I2838" s="1" t="s">
        <v>14194</v>
      </c>
      <c r="J2838" s="1" t="s">
        <v>14195</v>
      </c>
      <c r="M2838" s="1" t="s">
        <v>119</v>
      </c>
      <c r="N2838" s="1">
        <v>0</v>
      </c>
      <c r="O2838" s="1">
        <v>0</v>
      </c>
      <c r="P2838" s="1" t="s">
        <v>550</v>
      </c>
      <c r="Q2838" s="1" t="s">
        <v>101</v>
      </c>
      <c r="R2838" s="1" t="s">
        <v>14196</v>
      </c>
      <c r="S2838" s="1" t="s">
        <v>14002</v>
      </c>
      <c r="T2838" s="1">
        <v>1</v>
      </c>
      <c r="U2838" s="1">
        <v>1</v>
      </c>
      <c r="V2838" s="1">
        <v>0</v>
      </c>
      <c r="W2838" s="1">
        <v>0</v>
      </c>
      <c r="X2838" s="1">
        <v>0</v>
      </c>
      <c r="Y2838" s="1" t="s">
        <v>104</v>
      </c>
      <c r="Z2838" s="1" t="s">
        <v>104</v>
      </c>
      <c r="AA2838" s="1" t="s">
        <v>104</v>
      </c>
      <c r="AB2838" s="1">
        <v>5</v>
      </c>
      <c r="AC2838" s="1" t="s">
        <v>104</v>
      </c>
      <c r="AD2838" s="1" t="s">
        <v>104</v>
      </c>
      <c r="AE2838" s="1" t="s">
        <v>104</v>
      </c>
      <c r="AF2838" s="1" t="s">
        <v>104</v>
      </c>
      <c r="AG2838" s="1" t="s">
        <v>104</v>
      </c>
      <c r="AH2838" s="1" t="s">
        <v>104</v>
      </c>
      <c r="AI2838" s="1" t="s">
        <v>104</v>
      </c>
      <c r="AJ2838" s="1" t="s">
        <v>104</v>
      </c>
      <c r="AK2838" s="1" t="s">
        <v>104</v>
      </c>
      <c r="AL2838" s="1" t="s">
        <v>104</v>
      </c>
      <c r="AM2838" s="1" t="s">
        <v>104</v>
      </c>
      <c r="AO2838" s="1">
        <v>5</v>
      </c>
      <c r="AQ2838" s="1" t="s">
        <v>14197</v>
      </c>
      <c r="AR2838" s="1">
        <v>0</v>
      </c>
      <c r="AS2838" s="1">
        <v>0</v>
      </c>
      <c r="AT2838" s="1">
        <v>0</v>
      </c>
      <c r="AU2838" s="1">
        <v>0</v>
      </c>
      <c r="AV2838" s="1">
        <v>0</v>
      </c>
      <c r="AW2838" s="1">
        <v>0</v>
      </c>
      <c r="AX2838" s="1">
        <v>0</v>
      </c>
      <c r="AY2838" s="1">
        <v>0</v>
      </c>
      <c r="AZ2838" s="1">
        <v>0</v>
      </c>
      <c r="BA2838" s="1">
        <v>0</v>
      </c>
      <c r="BB2838" s="1">
        <v>0</v>
      </c>
      <c r="BC2838" s="1">
        <v>0</v>
      </c>
      <c r="BD2838" s="1">
        <v>0</v>
      </c>
      <c r="BE2838" s="1">
        <v>0</v>
      </c>
      <c r="BF2838" s="1">
        <v>0</v>
      </c>
      <c r="BG2838" s="1">
        <v>0</v>
      </c>
      <c r="BH2838" s="1">
        <v>0</v>
      </c>
      <c r="BI2838" s="1">
        <v>0</v>
      </c>
      <c r="BJ2838" s="1">
        <v>0</v>
      </c>
      <c r="BK2838" s="1">
        <v>0</v>
      </c>
      <c r="BL2838" s="1">
        <v>0</v>
      </c>
      <c r="BM2838" s="1">
        <v>0</v>
      </c>
      <c r="BN2838" s="1">
        <v>0</v>
      </c>
      <c r="BO2838" s="1">
        <v>0</v>
      </c>
      <c r="BP2838" s="1">
        <v>1</v>
      </c>
      <c r="BQ2838" s="1" t="s">
        <v>104</v>
      </c>
      <c r="BR2838" s="1">
        <v>4965</v>
      </c>
      <c r="BS2838" s="1" t="s">
        <v>104</v>
      </c>
      <c r="BX2838" s="1">
        <v>0</v>
      </c>
      <c r="BY2838" s="1" t="s">
        <v>104</v>
      </c>
      <c r="BZ2838" s="1">
        <v>5</v>
      </c>
      <c r="CA2838" s="1" t="s">
        <v>104</v>
      </c>
      <c r="CB2838" s="1" t="s">
        <v>104</v>
      </c>
      <c r="CC2838" s="1" t="s">
        <v>104</v>
      </c>
      <c r="CD2838" s="1" t="s">
        <v>104</v>
      </c>
      <c r="CE2838" s="1" t="s">
        <v>104</v>
      </c>
      <c r="CF2838" s="1" t="s">
        <v>104</v>
      </c>
      <c r="CG2838" s="1" t="s">
        <v>104</v>
      </c>
      <c r="CH2838" s="1">
        <v>5</v>
      </c>
      <c r="CJ2838" s="1">
        <v>0</v>
      </c>
      <c r="CK2838" s="1">
        <v>0</v>
      </c>
      <c r="CL2838" s="1">
        <v>0</v>
      </c>
      <c r="CM2838" s="1" t="s">
        <v>104</v>
      </c>
    </row>
    <row r="2839" spans="1:91" ht="14.25" customHeight="1" x14ac:dyDescent="0.3">
      <c r="A2839" s="1" t="s">
        <v>14198</v>
      </c>
      <c r="B2839" s="1" t="s">
        <v>162</v>
      </c>
      <c r="E2839" s="1" t="s">
        <v>14199</v>
      </c>
      <c r="F2839" s="1" t="s">
        <v>95</v>
      </c>
      <c r="G2839" s="1" t="s">
        <v>14200</v>
      </c>
      <c r="H2839" s="1">
        <v>0</v>
      </c>
      <c r="I2839" s="1" t="s">
        <v>128</v>
      </c>
      <c r="L2839" s="1" t="s">
        <v>14201</v>
      </c>
      <c r="M2839" s="1" t="s">
        <v>10544</v>
      </c>
      <c r="N2839" s="1">
        <v>1</v>
      </c>
      <c r="O2839" s="1">
        <v>0</v>
      </c>
      <c r="P2839" s="1" t="s">
        <v>4502</v>
      </c>
      <c r="Q2839" s="1" t="s">
        <v>131</v>
      </c>
      <c r="R2839" s="1" t="s">
        <v>14202</v>
      </c>
      <c r="S2839" s="1" t="s">
        <v>14002</v>
      </c>
      <c r="T2839" s="1">
        <v>1</v>
      </c>
      <c r="U2839" s="1">
        <v>1</v>
      </c>
      <c r="V2839" s="1">
        <v>1</v>
      </c>
      <c r="W2839" s="1">
        <v>0</v>
      </c>
      <c r="X2839" s="1">
        <v>0</v>
      </c>
      <c r="Y2839" s="1" t="s">
        <v>104</v>
      </c>
      <c r="Z2839" s="1" t="s">
        <v>104</v>
      </c>
      <c r="AA2839" s="1" t="s">
        <v>104</v>
      </c>
      <c r="AB2839" s="1" t="s">
        <v>104</v>
      </c>
      <c r="AC2839" s="1">
        <v>3</v>
      </c>
      <c r="AD2839" s="1">
        <v>4</v>
      </c>
      <c r="AE2839" s="1">
        <v>3</v>
      </c>
      <c r="AF2839" s="1" t="s">
        <v>104</v>
      </c>
      <c r="AG2839" s="1" t="s">
        <v>104</v>
      </c>
      <c r="AH2839" s="1">
        <v>4</v>
      </c>
      <c r="AI2839" s="1" t="s">
        <v>104</v>
      </c>
      <c r="AJ2839" s="1" t="s">
        <v>104</v>
      </c>
      <c r="AK2839" s="1">
        <v>3</v>
      </c>
      <c r="AL2839" s="1" t="s">
        <v>104</v>
      </c>
      <c r="AM2839" s="1" t="s">
        <v>104</v>
      </c>
      <c r="AO2839" s="1">
        <v>4</v>
      </c>
      <c r="AQ2839" s="1" t="s">
        <v>14203</v>
      </c>
      <c r="AR2839" s="1">
        <v>0</v>
      </c>
      <c r="AS2839" s="1">
        <v>0</v>
      </c>
      <c r="AT2839" s="1">
        <v>0</v>
      </c>
      <c r="AU2839" s="1">
        <v>0</v>
      </c>
      <c r="AV2839" s="1">
        <v>0</v>
      </c>
      <c r="AW2839" s="1">
        <v>0</v>
      </c>
      <c r="AX2839" s="1">
        <v>0</v>
      </c>
      <c r="AY2839" s="1">
        <v>0</v>
      </c>
      <c r="AZ2839" s="1">
        <v>0</v>
      </c>
      <c r="BA2839" s="1">
        <v>0</v>
      </c>
      <c r="BB2839" s="1">
        <v>0</v>
      </c>
      <c r="BC2839" s="1">
        <v>0</v>
      </c>
      <c r="BD2839" s="1">
        <v>0</v>
      </c>
      <c r="BE2839" s="1">
        <v>0</v>
      </c>
      <c r="BF2839" s="1">
        <v>0</v>
      </c>
      <c r="BG2839" s="1">
        <v>0</v>
      </c>
      <c r="BH2839" s="1">
        <v>0</v>
      </c>
      <c r="BI2839" s="1">
        <v>0</v>
      </c>
      <c r="BJ2839" s="1">
        <v>0</v>
      </c>
      <c r="BK2839" s="1">
        <v>0</v>
      </c>
      <c r="BL2839" s="1">
        <v>0</v>
      </c>
      <c r="BM2839" s="1">
        <v>0</v>
      </c>
      <c r="BN2839" s="1">
        <v>0</v>
      </c>
      <c r="BO2839" s="1">
        <v>0</v>
      </c>
      <c r="BP2839" s="1">
        <v>0</v>
      </c>
      <c r="BQ2839" s="1" t="s">
        <v>104</v>
      </c>
      <c r="BR2839" s="1">
        <v>4966</v>
      </c>
      <c r="BS2839" s="1" t="s">
        <v>104</v>
      </c>
      <c r="BX2839" s="1">
        <v>0</v>
      </c>
      <c r="BY2839" s="1" t="s">
        <v>104</v>
      </c>
      <c r="BZ2839" s="1">
        <v>4</v>
      </c>
      <c r="CA2839" s="1">
        <v>4</v>
      </c>
      <c r="CB2839" s="1">
        <v>3</v>
      </c>
      <c r="CC2839" s="1">
        <v>4</v>
      </c>
      <c r="CD2839" s="1">
        <v>3</v>
      </c>
      <c r="CE2839" s="1">
        <v>4</v>
      </c>
      <c r="CF2839" s="1" t="s">
        <v>104</v>
      </c>
      <c r="CG2839" s="1" t="s">
        <v>104</v>
      </c>
      <c r="CH2839" s="1">
        <v>3</v>
      </c>
      <c r="CJ2839" s="1">
        <v>0</v>
      </c>
      <c r="CK2839" s="1">
        <v>0</v>
      </c>
      <c r="CL2839" s="1">
        <v>0</v>
      </c>
      <c r="CM2839" s="1" t="s">
        <v>104</v>
      </c>
    </row>
    <row r="2840" spans="1:91" ht="14.25" customHeight="1" x14ac:dyDescent="0.3">
      <c r="A2840" s="1" t="s">
        <v>14204</v>
      </c>
      <c r="B2840" s="1" t="s">
        <v>92</v>
      </c>
      <c r="C2840" s="1" t="s">
        <v>93</v>
      </c>
      <c r="E2840" s="1" t="s">
        <v>14205</v>
      </c>
      <c r="F2840" s="1" t="s">
        <v>95</v>
      </c>
      <c r="G2840" s="1" t="s">
        <v>116</v>
      </c>
      <c r="H2840" s="1">
        <v>0</v>
      </c>
      <c r="I2840" s="1" t="s">
        <v>157</v>
      </c>
      <c r="L2840" s="1" t="s">
        <v>158</v>
      </c>
      <c r="M2840" s="1" t="s">
        <v>4641</v>
      </c>
      <c r="N2840" s="1">
        <v>1</v>
      </c>
      <c r="O2840" s="1">
        <v>0</v>
      </c>
      <c r="P2840" s="1" t="s">
        <v>8614</v>
      </c>
      <c r="Q2840" s="1" t="s">
        <v>184</v>
      </c>
      <c r="R2840" s="1" t="s">
        <v>14206</v>
      </c>
      <c r="S2840" s="1" t="s">
        <v>14002</v>
      </c>
      <c r="T2840" s="1">
        <v>1</v>
      </c>
      <c r="U2840" s="1">
        <v>1</v>
      </c>
      <c r="V2840" s="1">
        <v>0</v>
      </c>
      <c r="W2840" s="1">
        <v>0</v>
      </c>
      <c r="X2840" s="1">
        <v>0</v>
      </c>
      <c r="Y2840" s="1">
        <v>2</v>
      </c>
      <c r="Z2840" s="1">
        <v>2</v>
      </c>
      <c r="AA2840" s="1" t="s">
        <v>104</v>
      </c>
      <c r="AB2840" s="1">
        <v>2</v>
      </c>
      <c r="AC2840" s="1">
        <v>2</v>
      </c>
      <c r="AD2840" s="1" t="s">
        <v>104</v>
      </c>
      <c r="AE2840" s="1" t="s">
        <v>104</v>
      </c>
      <c r="AF2840" s="1">
        <v>2</v>
      </c>
      <c r="AG2840" s="1" t="s">
        <v>104</v>
      </c>
      <c r="AH2840" s="1" t="s">
        <v>104</v>
      </c>
      <c r="AI2840" s="1" t="s">
        <v>104</v>
      </c>
      <c r="AJ2840" s="1" t="s">
        <v>104</v>
      </c>
      <c r="AK2840" s="1">
        <v>2</v>
      </c>
      <c r="AL2840" s="1" t="s">
        <v>104</v>
      </c>
      <c r="AM2840" s="1" t="s">
        <v>104</v>
      </c>
      <c r="AO2840" s="1">
        <v>2</v>
      </c>
      <c r="AQ2840" s="1" t="s">
        <v>14207</v>
      </c>
      <c r="AR2840" s="1">
        <v>0</v>
      </c>
      <c r="AS2840" s="1">
        <v>0</v>
      </c>
      <c r="AT2840" s="1">
        <v>0</v>
      </c>
      <c r="AU2840" s="1">
        <v>0</v>
      </c>
      <c r="AV2840" s="1">
        <v>0</v>
      </c>
      <c r="AW2840" s="1">
        <v>0</v>
      </c>
      <c r="AX2840" s="1">
        <v>0</v>
      </c>
      <c r="AY2840" s="1">
        <v>0</v>
      </c>
      <c r="AZ2840" s="1">
        <v>0</v>
      </c>
      <c r="BA2840" s="1">
        <v>0</v>
      </c>
      <c r="BB2840" s="1">
        <v>0</v>
      </c>
      <c r="BC2840" s="1">
        <v>0</v>
      </c>
      <c r="BD2840" s="1">
        <v>0</v>
      </c>
      <c r="BE2840" s="1">
        <v>0</v>
      </c>
      <c r="BF2840" s="1">
        <v>0</v>
      </c>
      <c r="BG2840" s="1">
        <v>0</v>
      </c>
      <c r="BH2840" s="1">
        <v>0</v>
      </c>
      <c r="BI2840" s="1">
        <v>0</v>
      </c>
      <c r="BJ2840" s="1">
        <v>0</v>
      </c>
      <c r="BK2840" s="1">
        <v>0</v>
      </c>
      <c r="BL2840" s="1">
        <v>0</v>
      </c>
      <c r="BM2840" s="1">
        <v>0</v>
      </c>
      <c r="BN2840" s="1">
        <v>0</v>
      </c>
      <c r="BO2840" s="1">
        <v>0</v>
      </c>
      <c r="BP2840" s="1">
        <v>0</v>
      </c>
      <c r="BQ2840" s="1" t="s">
        <v>104</v>
      </c>
      <c r="BR2840" s="1">
        <v>4967</v>
      </c>
      <c r="BS2840" s="1" t="s">
        <v>104</v>
      </c>
      <c r="BX2840" s="1">
        <v>0</v>
      </c>
      <c r="BY2840" s="1">
        <v>2</v>
      </c>
      <c r="BZ2840" s="1">
        <v>2</v>
      </c>
      <c r="CA2840" s="1" t="s">
        <v>104</v>
      </c>
      <c r="CB2840" s="1" t="s">
        <v>104</v>
      </c>
      <c r="CC2840" s="1" t="s">
        <v>104</v>
      </c>
      <c r="CD2840" s="1" t="s">
        <v>104</v>
      </c>
      <c r="CE2840" s="1" t="s">
        <v>104</v>
      </c>
      <c r="CF2840" s="1" t="s">
        <v>104</v>
      </c>
      <c r="CG2840" s="1" t="s">
        <v>104</v>
      </c>
      <c r="CH2840" s="1">
        <v>2</v>
      </c>
      <c r="CJ2840" s="1">
        <v>0</v>
      </c>
      <c r="CK2840" s="1">
        <v>0</v>
      </c>
      <c r="CL2840" s="1">
        <v>0</v>
      </c>
      <c r="CM2840" s="1" t="s">
        <v>104</v>
      </c>
    </row>
    <row r="2841" spans="1:91" ht="14.25" customHeight="1" x14ac:dyDescent="0.3">
      <c r="A2841" s="1" t="s">
        <v>14208</v>
      </c>
      <c r="B2841" s="1" t="s">
        <v>137</v>
      </c>
      <c r="E2841" s="1" t="s">
        <v>12835</v>
      </c>
      <c r="F2841" s="1" t="s">
        <v>861</v>
      </c>
      <c r="G2841" s="1" t="s">
        <v>116</v>
      </c>
      <c r="H2841" s="1">
        <v>0</v>
      </c>
      <c r="I2841" s="1" t="s">
        <v>862</v>
      </c>
      <c r="J2841" s="1" t="s">
        <v>863</v>
      </c>
      <c r="M2841" s="1" t="s">
        <v>864</v>
      </c>
      <c r="N2841" s="1">
        <v>0</v>
      </c>
      <c r="O2841" s="1">
        <v>0</v>
      </c>
      <c r="P2841" s="1" t="s">
        <v>100</v>
      </c>
      <c r="Q2841" s="1" t="s">
        <v>101</v>
      </c>
      <c r="R2841" s="1" t="s">
        <v>14209</v>
      </c>
      <c r="S2841" s="1" t="s">
        <v>14002</v>
      </c>
      <c r="T2841" s="1">
        <v>1</v>
      </c>
      <c r="U2841" s="1">
        <v>1</v>
      </c>
      <c r="V2841" s="1">
        <v>0</v>
      </c>
      <c r="W2841" s="1">
        <v>0</v>
      </c>
      <c r="X2841" s="1">
        <v>0</v>
      </c>
      <c r="Y2841" s="1">
        <v>8</v>
      </c>
      <c r="Z2841" s="1">
        <v>8</v>
      </c>
      <c r="AA2841" s="1">
        <v>8</v>
      </c>
      <c r="AB2841" s="1">
        <v>8</v>
      </c>
      <c r="AC2841" s="1" t="s">
        <v>104</v>
      </c>
      <c r="AD2841" s="1" t="s">
        <v>104</v>
      </c>
      <c r="AE2841" s="1" t="s">
        <v>104</v>
      </c>
      <c r="AF2841" s="1" t="s">
        <v>104</v>
      </c>
      <c r="AG2841" s="1" t="s">
        <v>104</v>
      </c>
      <c r="AH2841" s="1">
        <v>8</v>
      </c>
      <c r="AI2841" s="1" t="s">
        <v>104</v>
      </c>
      <c r="AJ2841" s="1">
        <v>8</v>
      </c>
      <c r="AK2841" s="1" t="s">
        <v>104</v>
      </c>
      <c r="AL2841" s="1" t="s">
        <v>104</v>
      </c>
      <c r="AM2841" s="1" t="s">
        <v>104</v>
      </c>
      <c r="AO2841" s="1">
        <v>8</v>
      </c>
      <c r="AQ2841" s="1" t="s">
        <v>14210</v>
      </c>
      <c r="AR2841" s="1">
        <v>0</v>
      </c>
      <c r="AS2841" s="1">
        <v>0</v>
      </c>
      <c r="AT2841" s="1">
        <v>0</v>
      </c>
      <c r="AU2841" s="1">
        <v>0</v>
      </c>
      <c r="AV2841" s="1">
        <v>0</v>
      </c>
      <c r="AW2841" s="1">
        <v>0</v>
      </c>
      <c r="AX2841" s="1">
        <v>0</v>
      </c>
      <c r="AY2841" s="1">
        <v>0</v>
      </c>
      <c r="AZ2841" s="1">
        <v>0</v>
      </c>
      <c r="BA2841" s="1">
        <v>0</v>
      </c>
      <c r="BB2841" s="1">
        <v>0</v>
      </c>
      <c r="BC2841" s="1">
        <v>0</v>
      </c>
      <c r="BD2841" s="1">
        <v>0</v>
      </c>
      <c r="BE2841" s="1">
        <v>0</v>
      </c>
      <c r="BF2841" s="1">
        <v>0</v>
      </c>
      <c r="BG2841" s="1">
        <v>0</v>
      </c>
      <c r="BH2841" s="1">
        <v>0</v>
      </c>
      <c r="BI2841" s="1">
        <v>0</v>
      </c>
      <c r="BJ2841" s="1">
        <v>0</v>
      </c>
      <c r="BK2841" s="1">
        <v>0</v>
      </c>
      <c r="BL2841" s="1">
        <v>0</v>
      </c>
      <c r="BM2841" s="1">
        <v>0</v>
      </c>
      <c r="BN2841" s="1">
        <v>0</v>
      </c>
      <c r="BO2841" s="1">
        <v>0</v>
      </c>
      <c r="BP2841" s="1">
        <v>0</v>
      </c>
      <c r="BQ2841" s="1" t="s">
        <v>104</v>
      </c>
      <c r="BR2841" s="1">
        <v>4968</v>
      </c>
      <c r="BS2841" s="1" t="s">
        <v>104</v>
      </c>
      <c r="BX2841" s="1">
        <v>0</v>
      </c>
      <c r="BY2841" s="1" t="s">
        <v>104</v>
      </c>
      <c r="BZ2841" s="1">
        <v>8</v>
      </c>
      <c r="CA2841" s="1" t="s">
        <v>104</v>
      </c>
      <c r="CB2841" s="1" t="s">
        <v>104</v>
      </c>
      <c r="CC2841" s="1" t="s">
        <v>104</v>
      </c>
      <c r="CD2841" s="1" t="s">
        <v>104</v>
      </c>
      <c r="CE2841" s="1" t="s">
        <v>104</v>
      </c>
      <c r="CF2841" s="1" t="s">
        <v>104</v>
      </c>
      <c r="CG2841" s="1" t="s">
        <v>104</v>
      </c>
      <c r="CH2841" s="1" t="s">
        <v>104</v>
      </c>
      <c r="CJ2841" s="1">
        <v>0</v>
      </c>
      <c r="CK2841" s="1">
        <v>0</v>
      </c>
      <c r="CL2841" s="1">
        <v>0</v>
      </c>
      <c r="CM2841" s="1" t="s">
        <v>104</v>
      </c>
    </row>
    <row r="2842" spans="1:91" ht="14.25" customHeight="1" x14ac:dyDescent="0.3">
      <c r="A2842" s="1" t="s">
        <v>14211</v>
      </c>
      <c r="B2842" s="1" t="s">
        <v>92</v>
      </c>
      <c r="C2842" s="1" t="s">
        <v>93</v>
      </c>
      <c r="D2842" s="1" t="s">
        <v>8589</v>
      </c>
      <c r="E2842" s="1" t="s">
        <v>9648</v>
      </c>
      <c r="F2842" s="1" t="s">
        <v>95</v>
      </c>
      <c r="G2842" s="1" t="s">
        <v>8569</v>
      </c>
      <c r="H2842" s="1">
        <v>0</v>
      </c>
      <c r="I2842" s="1" t="s">
        <v>109</v>
      </c>
      <c r="J2842" s="1" t="s">
        <v>425</v>
      </c>
      <c r="M2842" s="1" t="s">
        <v>111</v>
      </c>
      <c r="N2842" s="1">
        <v>0</v>
      </c>
      <c r="O2842" s="1">
        <v>0</v>
      </c>
      <c r="P2842" s="1" t="s">
        <v>100</v>
      </c>
      <c r="Q2842" s="1" t="s">
        <v>101</v>
      </c>
      <c r="R2842" s="1" t="s">
        <v>14212</v>
      </c>
      <c r="S2842" s="1" t="s">
        <v>14002</v>
      </c>
      <c r="T2842" s="1">
        <v>1</v>
      </c>
      <c r="U2842" s="1">
        <v>1</v>
      </c>
      <c r="V2842" s="1">
        <v>1</v>
      </c>
      <c r="W2842" s="1">
        <v>0</v>
      </c>
      <c r="X2842" s="1">
        <v>1</v>
      </c>
      <c r="Y2842" s="1" t="s">
        <v>104</v>
      </c>
      <c r="Z2842" s="1" t="s">
        <v>104</v>
      </c>
      <c r="AA2842" s="1" t="s">
        <v>104</v>
      </c>
      <c r="AB2842" s="1">
        <v>2</v>
      </c>
      <c r="AC2842" s="1" t="s">
        <v>104</v>
      </c>
      <c r="AD2842" s="1" t="s">
        <v>104</v>
      </c>
      <c r="AE2842" s="1" t="s">
        <v>104</v>
      </c>
      <c r="AF2842" s="1" t="s">
        <v>104</v>
      </c>
      <c r="AG2842" s="1" t="s">
        <v>104</v>
      </c>
      <c r="AH2842" s="1">
        <v>2</v>
      </c>
      <c r="AI2842" s="1" t="s">
        <v>104</v>
      </c>
      <c r="AJ2842" s="1" t="s">
        <v>104</v>
      </c>
      <c r="AK2842" s="1" t="s">
        <v>104</v>
      </c>
      <c r="AL2842" s="1" t="s">
        <v>104</v>
      </c>
      <c r="AM2842" s="1" t="s">
        <v>104</v>
      </c>
      <c r="AO2842" s="1">
        <v>2</v>
      </c>
      <c r="AQ2842" s="1" t="s">
        <v>14213</v>
      </c>
      <c r="AR2842" s="1">
        <v>0</v>
      </c>
      <c r="AS2842" s="1">
        <v>0</v>
      </c>
      <c r="AT2842" s="1">
        <v>0</v>
      </c>
      <c r="AU2842" s="1">
        <v>1</v>
      </c>
      <c r="AV2842" s="1">
        <v>0</v>
      </c>
      <c r="AW2842" s="1">
        <v>0</v>
      </c>
      <c r="AX2842" s="1">
        <v>0</v>
      </c>
      <c r="AY2842" s="1">
        <v>0</v>
      </c>
      <c r="AZ2842" s="1">
        <v>0</v>
      </c>
      <c r="BA2842" s="1">
        <v>0</v>
      </c>
      <c r="BB2842" s="1">
        <v>0</v>
      </c>
      <c r="BC2842" s="1">
        <v>0</v>
      </c>
      <c r="BD2842" s="1">
        <v>0</v>
      </c>
      <c r="BE2842" s="1">
        <v>0</v>
      </c>
      <c r="BF2842" s="1">
        <v>0</v>
      </c>
      <c r="BG2842" s="1">
        <v>0</v>
      </c>
      <c r="BH2842" s="1">
        <v>0</v>
      </c>
      <c r="BI2842" s="1">
        <v>0</v>
      </c>
      <c r="BJ2842" s="1">
        <v>0</v>
      </c>
      <c r="BK2842" s="1">
        <v>0</v>
      </c>
      <c r="BL2842" s="1">
        <v>0</v>
      </c>
      <c r="BM2842" s="1">
        <v>0</v>
      </c>
      <c r="BN2842" s="1">
        <v>0</v>
      </c>
      <c r="BO2842" s="1">
        <v>0</v>
      </c>
      <c r="BP2842" s="1">
        <v>1</v>
      </c>
      <c r="BQ2842" s="1" t="s">
        <v>104</v>
      </c>
      <c r="BR2842" s="1">
        <v>4969</v>
      </c>
      <c r="BS2842" s="1" t="s">
        <v>104</v>
      </c>
      <c r="BX2842" s="1">
        <v>0</v>
      </c>
      <c r="BY2842" s="1" t="s">
        <v>104</v>
      </c>
      <c r="BZ2842" s="1">
        <v>2</v>
      </c>
      <c r="CA2842" s="1" t="s">
        <v>104</v>
      </c>
      <c r="CB2842" s="1" t="s">
        <v>104</v>
      </c>
      <c r="CC2842" s="1" t="s">
        <v>104</v>
      </c>
      <c r="CD2842" s="1" t="s">
        <v>104</v>
      </c>
      <c r="CE2842" s="1" t="s">
        <v>104</v>
      </c>
      <c r="CF2842" s="1" t="s">
        <v>104</v>
      </c>
      <c r="CG2842" s="1" t="s">
        <v>104</v>
      </c>
      <c r="CH2842" s="1">
        <v>2</v>
      </c>
      <c r="CJ2842" s="1">
        <v>0</v>
      </c>
      <c r="CK2842" s="1">
        <v>0</v>
      </c>
      <c r="CL2842" s="1">
        <v>0</v>
      </c>
      <c r="CM2842" s="1" t="s">
        <v>104</v>
      </c>
    </row>
    <row r="2843" spans="1:91" ht="14.25" customHeight="1" x14ac:dyDescent="0.3">
      <c r="A2843" s="1" t="s">
        <v>14214</v>
      </c>
      <c r="B2843" s="1" t="s">
        <v>162</v>
      </c>
      <c r="D2843" s="1" t="s">
        <v>44</v>
      </c>
      <c r="E2843" s="1" t="s">
        <v>14215</v>
      </c>
      <c r="F2843" s="1" t="s">
        <v>95</v>
      </c>
      <c r="G2843" s="1" t="s">
        <v>116</v>
      </c>
      <c r="H2843" s="1">
        <v>0</v>
      </c>
      <c r="I2843" s="1" t="s">
        <v>117</v>
      </c>
      <c r="L2843" s="1" t="s">
        <v>1065</v>
      </c>
      <c r="M2843" s="1" t="s">
        <v>2330</v>
      </c>
      <c r="N2843" s="1">
        <v>0</v>
      </c>
      <c r="O2843" s="1">
        <v>0</v>
      </c>
      <c r="P2843" s="1" t="s">
        <v>375</v>
      </c>
      <c r="Q2843" s="1" t="s">
        <v>131</v>
      </c>
      <c r="R2843" s="1" t="s">
        <v>14216</v>
      </c>
      <c r="S2843" s="1" t="s">
        <v>14002</v>
      </c>
      <c r="T2843" s="1">
        <v>1</v>
      </c>
      <c r="U2843" s="1">
        <v>1</v>
      </c>
      <c r="V2843" s="1">
        <v>0</v>
      </c>
      <c r="W2843" s="1">
        <v>0</v>
      </c>
      <c r="X2843" s="1">
        <v>0</v>
      </c>
      <c r="Y2843" s="1">
        <v>2</v>
      </c>
      <c r="Z2843" s="1">
        <v>2</v>
      </c>
      <c r="AA2843" s="1" t="s">
        <v>104</v>
      </c>
      <c r="AB2843" s="1">
        <v>2</v>
      </c>
      <c r="AC2843" s="1">
        <v>2</v>
      </c>
      <c r="AD2843" s="1" t="s">
        <v>104</v>
      </c>
      <c r="AE2843" s="1" t="s">
        <v>104</v>
      </c>
      <c r="AF2843" s="1" t="s">
        <v>104</v>
      </c>
      <c r="AG2843" s="1" t="s">
        <v>104</v>
      </c>
      <c r="AH2843" s="1" t="s">
        <v>104</v>
      </c>
      <c r="AI2843" s="1" t="s">
        <v>104</v>
      </c>
      <c r="AJ2843" s="1" t="s">
        <v>104</v>
      </c>
      <c r="AK2843" s="1" t="s">
        <v>104</v>
      </c>
      <c r="AL2843" s="1">
        <v>2</v>
      </c>
      <c r="AM2843" s="1" t="s">
        <v>104</v>
      </c>
      <c r="AO2843" s="1">
        <v>2</v>
      </c>
      <c r="AQ2843" s="1" t="s">
        <v>14217</v>
      </c>
      <c r="AR2843" s="1">
        <v>0</v>
      </c>
      <c r="AS2843" s="1">
        <v>1</v>
      </c>
      <c r="AT2843" s="1">
        <v>0</v>
      </c>
      <c r="AU2843" s="1">
        <v>0</v>
      </c>
      <c r="AV2843" s="1">
        <v>0</v>
      </c>
      <c r="AW2843" s="1">
        <v>0</v>
      </c>
      <c r="AX2843" s="1">
        <v>0</v>
      </c>
      <c r="AY2843" s="1">
        <v>0</v>
      </c>
      <c r="AZ2843" s="1">
        <v>0</v>
      </c>
      <c r="BA2843" s="1">
        <v>0</v>
      </c>
      <c r="BB2843" s="1">
        <v>0</v>
      </c>
      <c r="BC2843" s="1">
        <v>0</v>
      </c>
      <c r="BD2843" s="1">
        <v>0</v>
      </c>
      <c r="BE2843" s="1">
        <v>0</v>
      </c>
      <c r="BF2843" s="1">
        <v>0</v>
      </c>
      <c r="BG2843" s="1">
        <v>0</v>
      </c>
      <c r="BH2843" s="1">
        <v>0</v>
      </c>
      <c r="BI2843" s="1">
        <v>0</v>
      </c>
      <c r="BJ2843" s="1">
        <v>0</v>
      </c>
      <c r="BK2843" s="1">
        <v>0</v>
      </c>
      <c r="BL2843" s="1">
        <v>0</v>
      </c>
      <c r="BM2843" s="1">
        <v>0</v>
      </c>
      <c r="BN2843" s="1">
        <v>0</v>
      </c>
      <c r="BO2843" s="1">
        <v>0</v>
      </c>
      <c r="BP2843" s="1">
        <v>0</v>
      </c>
      <c r="BQ2843" s="1" t="s">
        <v>104</v>
      </c>
      <c r="BR2843" s="1">
        <v>4970</v>
      </c>
      <c r="BS2843" s="1" t="s">
        <v>104</v>
      </c>
      <c r="BX2843" s="1">
        <v>0</v>
      </c>
      <c r="BY2843" s="1">
        <v>2</v>
      </c>
      <c r="BZ2843" s="1" t="s">
        <v>104</v>
      </c>
      <c r="CA2843" s="1" t="s">
        <v>104</v>
      </c>
      <c r="CB2843" s="1" t="s">
        <v>104</v>
      </c>
      <c r="CC2843" s="1" t="s">
        <v>104</v>
      </c>
      <c r="CD2843" s="1">
        <v>2</v>
      </c>
      <c r="CE2843" s="1">
        <v>2</v>
      </c>
      <c r="CF2843" s="1" t="s">
        <v>104</v>
      </c>
      <c r="CG2843" s="1" t="s">
        <v>104</v>
      </c>
      <c r="CH2843" s="1">
        <v>2</v>
      </c>
      <c r="CJ2843" s="1">
        <v>0</v>
      </c>
      <c r="CK2843" s="1">
        <v>0</v>
      </c>
      <c r="CL2843" s="1">
        <v>0</v>
      </c>
      <c r="CM2843" s="1" t="s">
        <v>104</v>
      </c>
    </row>
    <row r="2844" spans="1:91" ht="14.25" customHeight="1" x14ac:dyDescent="0.3">
      <c r="A2844" s="1" t="s">
        <v>14218</v>
      </c>
      <c r="B2844" s="1" t="s">
        <v>172</v>
      </c>
      <c r="E2844" s="1" t="s">
        <v>14219</v>
      </c>
      <c r="F2844" s="1" t="s">
        <v>95</v>
      </c>
      <c r="G2844" s="1" t="s">
        <v>116</v>
      </c>
      <c r="H2844" s="1">
        <v>0</v>
      </c>
      <c r="I2844" s="1" t="s">
        <v>128</v>
      </c>
      <c r="L2844" s="1" t="s">
        <v>14220</v>
      </c>
      <c r="M2844" s="1" t="s">
        <v>111</v>
      </c>
      <c r="N2844" s="1">
        <v>0</v>
      </c>
      <c r="O2844" s="1">
        <v>0</v>
      </c>
      <c r="P2844" s="1" t="s">
        <v>375</v>
      </c>
      <c r="Q2844" s="1" t="s">
        <v>131</v>
      </c>
      <c r="R2844" s="1" t="s">
        <v>14221</v>
      </c>
      <c r="S2844" s="1" t="s">
        <v>14222</v>
      </c>
      <c r="T2844" s="1">
        <v>1</v>
      </c>
      <c r="U2844" s="1">
        <v>1</v>
      </c>
      <c r="V2844" s="1">
        <v>0</v>
      </c>
      <c r="W2844" s="1">
        <v>0</v>
      </c>
      <c r="X2844" s="1">
        <v>0</v>
      </c>
      <c r="Y2844" s="1" t="s">
        <v>104</v>
      </c>
      <c r="Z2844" s="1" t="s">
        <v>104</v>
      </c>
      <c r="AA2844" s="1">
        <v>2</v>
      </c>
      <c r="AB2844" s="1" t="s">
        <v>104</v>
      </c>
      <c r="AC2844" s="1" t="s">
        <v>104</v>
      </c>
      <c r="AD2844" s="1" t="s">
        <v>104</v>
      </c>
      <c r="AE2844" s="1" t="s">
        <v>104</v>
      </c>
      <c r="AF2844" s="1" t="s">
        <v>104</v>
      </c>
      <c r="AG2844" s="1" t="s">
        <v>104</v>
      </c>
      <c r="AH2844" s="1" t="s">
        <v>104</v>
      </c>
      <c r="AI2844" s="1">
        <v>2</v>
      </c>
      <c r="AJ2844" s="1">
        <v>2</v>
      </c>
      <c r="AK2844" s="1">
        <v>1</v>
      </c>
      <c r="AL2844" s="1" t="s">
        <v>104</v>
      </c>
      <c r="AM2844" s="1" t="s">
        <v>104</v>
      </c>
      <c r="AO2844" s="1">
        <v>2</v>
      </c>
      <c r="AR2844" s="1">
        <v>0</v>
      </c>
      <c r="AS2844" s="1">
        <v>0</v>
      </c>
      <c r="AT2844" s="1">
        <v>0</v>
      </c>
      <c r="AU2844" s="1">
        <v>0</v>
      </c>
      <c r="AV2844" s="1">
        <v>0</v>
      </c>
      <c r="AW2844" s="1">
        <v>0</v>
      </c>
      <c r="AX2844" s="1">
        <v>0</v>
      </c>
      <c r="AY2844" s="1">
        <v>0</v>
      </c>
      <c r="AZ2844" s="1">
        <v>0</v>
      </c>
      <c r="BA2844" s="1">
        <v>0</v>
      </c>
      <c r="BB2844" s="1">
        <v>0</v>
      </c>
      <c r="BC2844" s="1">
        <v>0</v>
      </c>
      <c r="BD2844" s="1">
        <v>0</v>
      </c>
      <c r="BE2844" s="1">
        <v>0</v>
      </c>
      <c r="BF2844" s="1">
        <v>0</v>
      </c>
      <c r="BG2844" s="1">
        <v>0</v>
      </c>
      <c r="BH2844" s="1">
        <v>0</v>
      </c>
      <c r="BI2844" s="1">
        <v>0</v>
      </c>
      <c r="BJ2844" s="1">
        <v>0</v>
      </c>
      <c r="BK2844" s="1">
        <v>0</v>
      </c>
      <c r="BL2844" s="1">
        <v>0</v>
      </c>
      <c r="BM2844" s="1">
        <v>0</v>
      </c>
      <c r="BN2844" s="1">
        <v>0</v>
      </c>
      <c r="BO2844" s="1">
        <v>0</v>
      </c>
      <c r="BP2844" s="1">
        <v>0</v>
      </c>
      <c r="BQ2844" s="1" t="s">
        <v>104</v>
      </c>
      <c r="BR2844" s="1">
        <v>4971</v>
      </c>
      <c r="BS2844" s="1" t="s">
        <v>104</v>
      </c>
      <c r="BX2844" s="1">
        <v>0</v>
      </c>
      <c r="BY2844" s="1" t="s">
        <v>104</v>
      </c>
      <c r="BZ2844" s="1" t="s">
        <v>104</v>
      </c>
      <c r="CA2844" s="1" t="s">
        <v>104</v>
      </c>
      <c r="CB2844" s="1" t="s">
        <v>104</v>
      </c>
      <c r="CC2844" s="1" t="s">
        <v>104</v>
      </c>
      <c r="CD2844" s="1" t="s">
        <v>104</v>
      </c>
      <c r="CE2844" s="1" t="s">
        <v>104</v>
      </c>
      <c r="CF2844" s="1" t="s">
        <v>104</v>
      </c>
      <c r="CG2844" s="1" t="s">
        <v>104</v>
      </c>
      <c r="CH2844" s="1" t="s">
        <v>104</v>
      </c>
      <c r="CJ2844" s="1">
        <v>0</v>
      </c>
      <c r="CK2844" s="1">
        <v>0</v>
      </c>
      <c r="CL2844" s="1">
        <v>0</v>
      </c>
      <c r="CM2844" s="1" t="s">
        <v>104</v>
      </c>
    </row>
    <row r="2845" spans="1:91" ht="14.25" customHeight="1" x14ac:dyDescent="0.3">
      <c r="A2845" s="1" t="s">
        <v>14223</v>
      </c>
      <c r="B2845" s="1" t="s">
        <v>172</v>
      </c>
      <c r="E2845" s="1" t="s">
        <v>14224</v>
      </c>
      <c r="F2845" s="1" t="s">
        <v>95</v>
      </c>
      <c r="G2845" s="1" t="s">
        <v>116</v>
      </c>
      <c r="H2845" s="1">
        <v>0</v>
      </c>
      <c r="I2845" s="1" t="s">
        <v>117</v>
      </c>
      <c r="L2845" s="1" t="s">
        <v>14225</v>
      </c>
      <c r="M2845" s="1" t="s">
        <v>111</v>
      </c>
      <c r="N2845" s="1">
        <v>0</v>
      </c>
      <c r="O2845" s="1">
        <v>0</v>
      </c>
      <c r="P2845" s="1" t="s">
        <v>375</v>
      </c>
      <c r="Q2845" s="1" t="s">
        <v>131</v>
      </c>
      <c r="R2845" s="1" t="s">
        <v>14226</v>
      </c>
      <c r="S2845" s="1" t="s">
        <v>14222</v>
      </c>
      <c r="T2845" s="1">
        <v>1</v>
      </c>
      <c r="U2845" s="1">
        <v>1</v>
      </c>
      <c r="V2845" s="1">
        <v>0</v>
      </c>
      <c r="W2845" s="1">
        <v>0</v>
      </c>
      <c r="X2845" s="1">
        <v>0</v>
      </c>
      <c r="Y2845" s="1" t="s">
        <v>104</v>
      </c>
      <c r="Z2845" s="1" t="s">
        <v>104</v>
      </c>
      <c r="AA2845" s="1">
        <v>7</v>
      </c>
      <c r="AB2845" s="1" t="s">
        <v>104</v>
      </c>
      <c r="AC2845" s="1" t="s">
        <v>104</v>
      </c>
      <c r="AD2845" s="1" t="s">
        <v>104</v>
      </c>
      <c r="AE2845" s="1" t="s">
        <v>104</v>
      </c>
      <c r="AF2845" s="1" t="s">
        <v>104</v>
      </c>
      <c r="AG2845" s="1" t="s">
        <v>104</v>
      </c>
      <c r="AH2845" s="1" t="s">
        <v>104</v>
      </c>
      <c r="AI2845" s="1">
        <v>6</v>
      </c>
      <c r="AJ2845" s="1">
        <v>7</v>
      </c>
      <c r="AK2845" s="1">
        <v>4</v>
      </c>
      <c r="AL2845" s="1" t="s">
        <v>104</v>
      </c>
      <c r="AM2845" s="1" t="s">
        <v>104</v>
      </c>
      <c r="AO2845" s="1">
        <v>7</v>
      </c>
      <c r="AR2845" s="1">
        <v>0</v>
      </c>
      <c r="AS2845" s="1">
        <v>0</v>
      </c>
      <c r="AT2845" s="1">
        <v>0</v>
      </c>
      <c r="AU2845" s="1">
        <v>0</v>
      </c>
      <c r="AV2845" s="1">
        <v>0</v>
      </c>
      <c r="AW2845" s="1">
        <v>0</v>
      </c>
      <c r="AX2845" s="1">
        <v>0</v>
      </c>
      <c r="AY2845" s="1">
        <v>0</v>
      </c>
      <c r="AZ2845" s="1">
        <v>0</v>
      </c>
      <c r="BA2845" s="1">
        <v>0</v>
      </c>
      <c r="BB2845" s="1">
        <v>0</v>
      </c>
      <c r="BC2845" s="1">
        <v>0</v>
      </c>
      <c r="BD2845" s="1">
        <v>0</v>
      </c>
      <c r="BE2845" s="1">
        <v>0</v>
      </c>
      <c r="BF2845" s="1">
        <v>0</v>
      </c>
      <c r="BG2845" s="1">
        <v>0</v>
      </c>
      <c r="BH2845" s="1">
        <v>0</v>
      </c>
      <c r="BI2845" s="1">
        <v>0</v>
      </c>
      <c r="BJ2845" s="1">
        <v>0</v>
      </c>
      <c r="BK2845" s="1">
        <v>0</v>
      </c>
      <c r="BL2845" s="1">
        <v>0</v>
      </c>
      <c r="BM2845" s="1">
        <v>0</v>
      </c>
      <c r="BN2845" s="1">
        <v>0</v>
      </c>
      <c r="BO2845" s="1">
        <v>0</v>
      </c>
      <c r="BP2845" s="1">
        <v>0</v>
      </c>
      <c r="BQ2845" s="1" t="s">
        <v>104</v>
      </c>
      <c r="BR2845" s="1">
        <v>4972</v>
      </c>
      <c r="BS2845" s="1" t="s">
        <v>104</v>
      </c>
      <c r="BX2845" s="1">
        <v>0</v>
      </c>
      <c r="BY2845" s="1" t="s">
        <v>104</v>
      </c>
      <c r="BZ2845" s="1" t="s">
        <v>104</v>
      </c>
      <c r="CA2845" s="1" t="s">
        <v>104</v>
      </c>
      <c r="CB2845" s="1" t="s">
        <v>104</v>
      </c>
      <c r="CC2845" s="1" t="s">
        <v>104</v>
      </c>
      <c r="CD2845" s="1" t="s">
        <v>104</v>
      </c>
      <c r="CE2845" s="1" t="s">
        <v>104</v>
      </c>
      <c r="CF2845" s="1" t="s">
        <v>104</v>
      </c>
      <c r="CG2845" s="1" t="s">
        <v>104</v>
      </c>
      <c r="CH2845" s="1" t="s">
        <v>104</v>
      </c>
      <c r="CJ2845" s="1">
        <v>0</v>
      </c>
      <c r="CK2845" s="1">
        <v>0</v>
      </c>
      <c r="CL2845" s="1">
        <v>0</v>
      </c>
      <c r="CM2845" s="1" t="s">
        <v>104</v>
      </c>
    </row>
    <row r="2846" spans="1:91" ht="14.25" customHeight="1" x14ac:dyDescent="0.3">
      <c r="A2846" s="1" t="s">
        <v>14227</v>
      </c>
      <c r="B2846" s="1" t="s">
        <v>92</v>
      </c>
      <c r="C2846" s="1" t="s">
        <v>1160</v>
      </c>
      <c r="E2846" s="1" t="s">
        <v>12233</v>
      </c>
      <c r="F2846" s="1" t="s">
        <v>287</v>
      </c>
      <c r="G2846" s="1" t="s">
        <v>1064</v>
      </c>
      <c r="H2846" s="1">
        <v>0</v>
      </c>
      <c r="I2846" s="1" t="s">
        <v>145</v>
      </c>
      <c r="L2846" s="1" t="s">
        <v>1065</v>
      </c>
      <c r="M2846" s="1" t="s">
        <v>1066</v>
      </c>
      <c r="N2846" s="1">
        <v>0</v>
      </c>
      <c r="O2846" s="1">
        <v>0</v>
      </c>
      <c r="P2846" s="1" t="s">
        <v>100</v>
      </c>
      <c r="Q2846" s="1" t="s">
        <v>101</v>
      </c>
      <c r="R2846" s="1" t="s">
        <v>14228</v>
      </c>
      <c r="S2846" s="1" t="s">
        <v>14222</v>
      </c>
      <c r="T2846" s="1">
        <v>1</v>
      </c>
      <c r="U2846" s="1">
        <v>1</v>
      </c>
      <c r="V2846" s="1">
        <v>1</v>
      </c>
      <c r="W2846" s="1">
        <v>0</v>
      </c>
      <c r="X2846" s="1">
        <v>1</v>
      </c>
      <c r="Y2846" s="1">
        <v>7</v>
      </c>
      <c r="Z2846" s="1">
        <v>7</v>
      </c>
      <c r="AA2846" s="1" t="s">
        <v>104</v>
      </c>
      <c r="AB2846" s="1" t="s">
        <v>104</v>
      </c>
      <c r="AC2846" s="1" t="s">
        <v>104</v>
      </c>
      <c r="AD2846" s="1" t="s">
        <v>104</v>
      </c>
      <c r="AE2846" s="1" t="s">
        <v>104</v>
      </c>
      <c r="AF2846" s="1" t="s">
        <v>104</v>
      </c>
      <c r="AG2846" s="1" t="s">
        <v>104</v>
      </c>
      <c r="AH2846" s="1" t="s">
        <v>104</v>
      </c>
      <c r="AI2846" s="1" t="s">
        <v>104</v>
      </c>
      <c r="AJ2846" s="1" t="s">
        <v>104</v>
      </c>
      <c r="AK2846" s="1" t="s">
        <v>104</v>
      </c>
      <c r="AL2846" s="1" t="s">
        <v>104</v>
      </c>
      <c r="AM2846" s="1" t="s">
        <v>104</v>
      </c>
      <c r="AO2846" s="1">
        <v>7</v>
      </c>
      <c r="AR2846" s="1">
        <v>0</v>
      </c>
      <c r="AS2846" s="1">
        <v>0</v>
      </c>
      <c r="AT2846" s="1">
        <v>0</v>
      </c>
      <c r="AU2846" s="1">
        <v>0</v>
      </c>
      <c r="AV2846" s="1">
        <v>0</v>
      </c>
      <c r="AW2846" s="1">
        <v>0</v>
      </c>
      <c r="AX2846" s="1">
        <v>0</v>
      </c>
      <c r="AY2846" s="1">
        <v>0</v>
      </c>
      <c r="AZ2846" s="1">
        <v>0</v>
      </c>
      <c r="BA2846" s="1">
        <v>0</v>
      </c>
      <c r="BB2846" s="1">
        <v>0</v>
      </c>
      <c r="BC2846" s="1">
        <v>0</v>
      </c>
      <c r="BD2846" s="1">
        <v>0</v>
      </c>
      <c r="BE2846" s="1">
        <v>0</v>
      </c>
      <c r="BF2846" s="1">
        <v>0</v>
      </c>
      <c r="BG2846" s="1">
        <v>0</v>
      </c>
      <c r="BH2846" s="1">
        <v>0</v>
      </c>
      <c r="BI2846" s="1">
        <v>0</v>
      </c>
      <c r="BJ2846" s="1">
        <v>0</v>
      </c>
      <c r="BK2846" s="1">
        <v>0</v>
      </c>
      <c r="BL2846" s="1">
        <v>0</v>
      </c>
      <c r="BM2846" s="1">
        <v>0</v>
      </c>
      <c r="BN2846" s="1">
        <v>0</v>
      </c>
      <c r="BO2846" s="1">
        <v>0</v>
      </c>
      <c r="BP2846" s="1">
        <v>0</v>
      </c>
      <c r="BQ2846" s="1" t="s">
        <v>104</v>
      </c>
      <c r="BR2846" s="1">
        <v>4973</v>
      </c>
      <c r="BS2846" s="1" t="s">
        <v>104</v>
      </c>
      <c r="BX2846" s="1">
        <v>0</v>
      </c>
      <c r="BY2846" s="1" t="s">
        <v>104</v>
      </c>
      <c r="BZ2846" s="1" t="s">
        <v>104</v>
      </c>
      <c r="CA2846" s="1">
        <v>7</v>
      </c>
      <c r="CB2846" s="1" t="s">
        <v>104</v>
      </c>
      <c r="CC2846" s="1" t="s">
        <v>104</v>
      </c>
      <c r="CD2846" s="1" t="s">
        <v>104</v>
      </c>
      <c r="CE2846" s="1" t="s">
        <v>104</v>
      </c>
      <c r="CF2846" s="1" t="s">
        <v>104</v>
      </c>
      <c r="CG2846" s="1" t="s">
        <v>104</v>
      </c>
      <c r="CH2846" s="1" t="s">
        <v>104</v>
      </c>
      <c r="CJ2846" s="1">
        <v>0</v>
      </c>
      <c r="CK2846" s="1">
        <v>0</v>
      </c>
      <c r="CL2846" s="1">
        <v>0</v>
      </c>
      <c r="CM2846" s="1" t="s">
        <v>104</v>
      </c>
    </row>
    <row r="2847" spans="1:91" ht="14.25" customHeight="1" x14ac:dyDescent="0.3">
      <c r="A2847" s="1" t="s">
        <v>14229</v>
      </c>
      <c r="B2847" s="1" t="s">
        <v>123</v>
      </c>
      <c r="C2847" s="1" t="s">
        <v>124</v>
      </c>
      <c r="D2847" s="1" t="s">
        <v>5714</v>
      </c>
      <c r="E2847" s="1" t="s">
        <v>14230</v>
      </c>
      <c r="F2847" s="1" t="s">
        <v>95</v>
      </c>
      <c r="G2847" s="1" t="s">
        <v>116</v>
      </c>
      <c r="H2847" s="1">
        <v>0</v>
      </c>
      <c r="I2847" s="1" t="s">
        <v>914</v>
      </c>
      <c r="J2847" s="1" t="s">
        <v>5007</v>
      </c>
      <c r="M2847" s="1" t="s">
        <v>119</v>
      </c>
      <c r="N2847" s="1">
        <v>0</v>
      </c>
      <c r="O2847" s="1">
        <v>0</v>
      </c>
      <c r="P2847" s="1" t="s">
        <v>1902</v>
      </c>
      <c r="Q2847" s="1" t="s">
        <v>184</v>
      </c>
      <c r="R2847" s="1" t="s">
        <v>14231</v>
      </c>
      <c r="S2847" s="1" t="s">
        <v>14232</v>
      </c>
      <c r="T2847" s="1">
        <v>1</v>
      </c>
      <c r="U2847" s="1">
        <v>1</v>
      </c>
      <c r="V2847" s="1">
        <v>0</v>
      </c>
      <c r="W2847" s="1">
        <v>0</v>
      </c>
      <c r="X2847" s="1">
        <v>0</v>
      </c>
      <c r="Y2847" s="1" t="s">
        <v>104</v>
      </c>
      <c r="Z2847" s="1" t="s">
        <v>104</v>
      </c>
      <c r="AA2847" s="1" t="s">
        <v>104</v>
      </c>
      <c r="AB2847" s="1" t="s">
        <v>104</v>
      </c>
      <c r="AC2847" s="1" t="s">
        <v>104</v>
      </c>
      <c r="AD2847" s="1">
        <v>1</v>
      </c>
      <c r="AE2847" s="1" t="s">
        <v>104</v>
      </c>
      <c r="AF2847" s="1" t="s">
        <v>104</v>
      </c>
      <c r="AG2847" s="1" t="s">
        <v>104</v>
      </c>
      <c r="AH2847" s="1">
        <v>1</v>
      </c>
      <c r="AI2847" s="1" t="s">
        <v>104</v>
      </c>
      <c r="AJ2847" s="1" t="s">
        <v>104</v>
      </c>
      <c r="AK2847" s="1" t="s">
        <v>104</v>
      </c>
      <c r="AL2847" s="1" t="s">
        <v>104</v>
      </c>
      <c r="AM2847" s="1" t="s">
        <v>104</v>
      </c>
      <c r="AO2847" s="1">
        <v>1</v>
      </c>
      <c r="AR2847" s="1">
        <v>0</v>
      </c>
      <c r="AS2847" s="1">
        <v>0</v>
      </c>
      <c r="AT2847" s="1">
        <v>0</v>
      </c>
      <c r="AU2847" s="1">
        <v>0</v>
      </c>
      <c r="AV2847" s="1">
        <v>0</v>
      </c>
      <c r="AW2847" s="1">
        <v>0</v>
      </c>
      <c r="AX2847" s="1">
        <v>0</v>
      </c>
      <c r="AY2847" s="1">
        <v>0</v>
      </c>
      <c r="AZ2847" s="1">
        <v>0</v>
      </c>
      <c r="BA2847" s="1">
        <v>0</v>
      </c>
      <c r="BB2847" s="1">
        <v>0</v>
      </c>
      <c r="BC2847" s="1">
        <v>0</v>
      </c>
      <c r="BD2847" s="1">
        <v>0</v>
      </c>
      <c r="BE2847" s="1">
        <v>0</v>
      </c>
      <c r="BF2847" s="1">
        <v>0</v>
      </c>
      <c r="BG2847" s="1">
        <v>0</v>
      </c>
      <c r="BH2847" s="1">
        <v>0</v>
      </c>
      <c r="BI2847" s="1">
        <v>0</v>
      </c>
      <c r="BJ2847" s="1">
        <v>1</v>
      </c>
      <c r="BK2847" s="1">
        <v>1</v>
      </c>
      <c r="BL2847" s="1">
        <v>0</v>
      </c>
      <c r="BM2847" s="1">
        <v>0</v>
      </c>
      <c r="BN2847" s="1">
        <v>0</v>
      </c>
      <c r="BO2847" s="1">
        <v>0</v>
      </c>
      <c r="BP2847" s="1">
        <v>0</v>
      </c>
      <c r="BQ2847" s="1" t="s">
        <v>104</v>
      </c>
      <c r="BR2847" s="1">
        <v>4974</v>
      </c>
      <c r="BS2847" s="1" t="s">
        <v>104</v>
      </c>
      <c r="BX2847" s="1">
        <v>0</v>
      </c>
      <c r="BY2847" s="1" t="s">
        <v>104</v>
      </c>
      <c r="BZ2847" s="1" t="s">
        <v>104</v>
      </c>
      <c r="CA2847" s="1" t="s">
        <v>104</v>
      </c>
      <c r="CB2847" s="1" t="s">
        <v>104</v>
      </c>
      <c r="CC2847" s="1" t="s">
        <v>104</v>
      </c>
      <c r="CD2847" s="1" t="s">
        <v>104</v>
      </c>
      <c r="CE2847" s="1" t="s">
        <v>104</v>
      </c>
      <c r="CF2847" s="1" t="s">
        <v>104</v>
      </c>
      <c r="CG2847" s="1" t="s">
        <v>104</v>
      </c>
      <c r="CH2847" s="1" t="s">
        <v>104</v>
      </c>
      <c r="CJ2847" s="1">
        <v>0</v>
      </c>
      <c r="CK2847" s="1">
        <v>0</v>
      </c>
      <c r="CL2847" s="1">
        <v>0</v>
      </c>
      <c r="CM2847" s="1" t="s">
        <v>104</v>
      </c>
    </row>
    <row r="2848" spans="1:91" ht="14.25" customHeight="1" x14ac:dyDescent="0.3">
      <c r="A2848" s="1" t="s">
        <v>14233</v>
      </c>
      <c r="B2848" s="1" t="s">
        <v>434</v>
      </c>
      <c r="D2848" s="1" t="s">
        <v>61</v>
      </c>
      <c r="E2848" s="1" t="s">
        <v>14234</v>
      </c>
      <c r="F2848" s="1" t="s">
        <v>95</v>
      </c>
      <c r="G2848" s="1" t="s">
        <v>116</v>
      </c>
      <c r="H2848" s="1">
        <v>0</v>
      </c>
      <c r="I2848" s="1" t="s">
        <v>128</v>
      </c>
      <c r="L2848" s="1" t="s">
        <v>7423</v>
      </c>
      <c r="M2848" s="1" t="s">
        <v>4292</v>
      </c>
      <c r="N2848" s="1">
        <v>0</v>
      </c>
      <c r="O2848" s="1">
        <v>0</v>
      </c>
      <c r="P2848" s="1" t="s">
        <v>7424</v>
      </c>
      <c r="Q2848" s="1" t="s">
        <v>149</v>
      </c>
      <c r="R2848" s="1" t="s">
        <v>14235</v>
      </c>
      <c r="S2848" s="1" t="s">
        <v>14232</v>
      </c>
      <c r="T2848" s="1">
        <v>1</v>
      </c>
      <c r="U2848" s="1">
        <v>1</v>
      </c>
      <c r="V2848" s="1">
        <v>0</v>
      </c>
      <c r="W2848" s="1">
        <v>0</v>
      </c>
      <c r="X2848" s="1">
        <v>0</v>
      </c>
      <c r="Y2848" s="1" t="s">
        <v>104</v>
      </c>
      <c r="Z2848" s="1" t="s">
        <v>104</v>
      </c>
      <c r="AA2848" s="1">
        <v>3</v>
      </c>
      <c r="AB2848" s="1" t="s">
        <v>104</v>
      </c>
      <c r="AC2848" s="1" t="s">
        <v>104</v>
      </c>
      <c r="AD2848" s="1" t="s">
        <v>104</v>
      </c>
      <c r="AE2848" s="1">
        <v>3</v>
      </c>
      <c r="AF2848" s="1" t="s">
        <v>104</v>
      </c>
      <c r="AG2848" s="1" t="s">
        <v>104</v>
      </c>
      <c r="AH2848" s="1" t="s">
        <v>104</v>
      </c>
      <c r="AI2848" s="1">
        <v>3</v>
      </c>
      <c r="AJ2848" s="1">
        <v>3</v>
      </c>
      <c r="AK2848" s="1" t="s">
        <v>104</v>
      </c>
      <c r="AL2848" s="1">
        <v>3</v>
      </c>
      <c r="AM2848" s="1" t="s">
        <v>104</v>
      </c>
      <c r="AO2848" s="1">
        <v>3</v>
      </c>
      <c r="AR2848" s="1">
        <v>0</v>
      </c>
      <c r="AS2848" s="1">
        <v>0</v>
      </c>
      <c r="AT2848" s="1">
        <v>0</v>
      </c>
      <c r="AU2848" s="1">
        <v>0</v>
      </c>
      <c r="AV2848" s="1">
        <v>0</v>
      </c>
      <c r="AW2848" s="1">
        <v>0</v>
      </c>
      <c r="AX2848" s="1">
        <v>0</v>
      </c>
      <c r="AY2848" s="1">
        <v>0</v>
      </c>
      <c r="AZ2848" s="1">
        <v>0</v>
      </c>
      <c r="BA2848" s="1">
        <v>0</v>
      </c>
      <c r="BB2848" s="1">
        <v>0</v>
      </c>
      <c r="BC2848" s="1">
        <v>0</v>
      </c>
      <c r="BD2848" s="1">
        <v>0</v>
      </c>
      <c r="BE2848" s="1">
        <v>0</v>
      </c>
      <c r="BF2848" s="1">
        <v>0</v>
      </c>
      <c r="BG2848" s="1">
        <v>0</v>
      </c>
      <c r="BH2848" s="1">
        <v>0</v>
      </c>
      <c r="BI2848" s="1">
        <v>0</v>
      </c>
      <c r="BJ2848" s="1">
        <v>1</v>
      </c>
      <c r="BK2848" s="1">
        <v>0</v>
      </c>
      <c r="BL2848" s="1">
        <v>0</v>
      </c>
      <c r="BM2848" s="1">
        <v>0</v>
      </c>
      <c r="BN2848" s="1">
        <v>0</v>
      </c>
      <c r="BO2848" s="1">
        <v>0</v>
      </c>
      <c r="BP2848" s="1">
        <v>0</v>
      </c>
      <c r="BQ2848" s="1" t="s">
        <v>104</v>
      </c>
      <c r="BR2848" s="1">
        <v>4975</v>
      </c>
      <c r="BS2848" s="1" t="s">
        <v>104</v>
      </c>
      <c r="BX2848" s="1">
        <v>0</v>
      </c>
      <c r="BY2848" s="1" t="s">
        <v>104</v>
      </c>
      <c r="BZ2848" s="1" t="s">
        <v>104</v>
      </c>
      <c r="CA2848" s="1" t="s">
        <v>104</v>
      </c>
      <c r="CB2848" s="1" t="s">
        <v>104</v>
      </c>
      <c r="CC2848" s="1" t="s">
        <v>104</v>
      </c>
      <c r="CD2848" s="1">
        <v>3</v>
      </c>
      <c r="CE2848" s="1" t="s">
        <v>104</v>
      </c>
      <c r="CF2848" s="1" t="s">
        <v>104</v>
      </c>
      <c r="CG2848" s="1" t="s">
        <v>104</v>
      </c>
      <c r="CH2848" s="1" t="s">
        <v>104</v>
      </c>
      <c r="CJ2848" s="1">
        <v>0</v>
      </c>
      <c r="CK2848" s="1">
        <v>0</v>
      </c>
      <c r="CL2848" s="1">
        <v>0</v>
      </c>
      <c r="CM2848" s="1" t="s">
        <v>104</v>
      </c>
    </row>
    <row r="2849" spans="1:91" ht="14.25" customHeight="1" x14ac:dyDescent="0.3">
      <c r="A2849" s="1" t="s">
        <v>14236</v>
      </c>
      <c r="B2849" s="1" t="s">
        <v>137</v>
      </c>
      <c r="C2849" s="1" t="s">
        <v>154</v>
      </c>
      <c r="D2849" s="1" t="s">
        <v>125</v>
      </c>
      <c r="E2849" s="1" t="s">
        <v>14237</v>
      </c>
      <c r="F2849" s="1" t="s">
        <v>95</v>
      </c>
      <c r="G2849" s="1" t="s">
        <v>116</v>
      </c>
      <c r="H2849" s="1">
        <v>0</v>
      </c>
      <c r="I2849" s="1" t="s">
        <v>157</v>
      </c>
      <c r="L2849" s="1" t="s">
        <v>158</v>
      </c>
      <c r="M2849" s="1" t="s">
        <v>14238</v>
      </c>
      <c r="N2849" s="1">
        <v>0</v>
      </c>
      <c r="O2849" s="1">
        <v>0</v>
      </c>
      <c r="P2849" s="1" t="s">
        <v>1902</v>
      </c>
      <c r="Q2849" s="1" t="s">
        <v>184</v>
      </c>
      <c r="R2849" s="1" t="s">
        <v>14239</v>
      </c>
      <c r="S2849" s="1" t="s">
        <v>14240</v>
      </c>
      <c r="T2849" s="1">
        <v>1</v>
      </c>
      <c r="U2849" s="1">
        <v>1</v>
      </c>
      <c r="V2849" s="1">
        <v>0</v>
      </c>
      <c r="W2849" s="1">
        <v>0</v>
      </c>
      <c r="X2849" s="1">
        <v>0</v>
      </c>
      <c r="Y2849" s="1" t="s">
        <v>104</v>
      </c>
      <c r="Z2849" s="1" t="s">
        <v>104</v>
      </c>
      <c r="AA2849" s="1">
        <v>3</v>
      </c>
      <c r="AB2849" s="1" t="s">
        <v>104</v>
      </c>
      <c r="AC2849" s="1" t="s">
        <v>104</v>
      </c>
      <c r="AD2849" s="1" t="s">
        <v>104</v>
      </c>
      <c r="AE2849" s="1" t="s">
        <v>104</v>
      </c>
      <c r="AF2849" s="1">
        <v>3</v>
      </c>
      <c r="AG2849" s="1" t="s">
        <v>104</v>
      </c>
      <c r="AH2849" s="1">
        <v>3</v>
      </c>
      <c r="AI2849" s="1" t="s">
        <v>104</v>
      </c>
      <c r="AJ2849" s="1">
        <v>3</v>
      </c>
      <c r="AK2849" s="1">
        <v>2</v>
      </c>
      <c r="AL2849" s="1" t="s">
        <v>104</v>
      </c>
      <c r="AM2849" s="1" t="s">
        <v>104</v>
      </c>
      <c r="AO2849" s="1">
        <v>3</v>
      </c>
      <c r="AR2849" s="1">
        <v>0</v>
      </c>
      <c r="AS2849" s="1">
        <v>0</v>
      </c>
      <c r="AT2849" s="1">
        <v>0</v>
      </c>
      <c r="AU2849" s="1">
        <v>0</v>
      </c>
      <c r="AV2849" s="1">
        <v>0</v>
      </c>
      <c r="AW2849" s="1">
        <v>0</v>
      </c>
      <c r="AX2849" s="1">
        <v>0</v>
      </c>
      <c r="AY2849" s="1">
        <v>0</v>
      </c>
      <c r="AZ2849" s="1">
        <v>0</v>
      </c>
      <c r="BA2849" s="1">
        <v>0</v>
      </c>
      <c r="BB2849" s="1">
        <v>0</v>
      </c>
      <c r="BC2849" s="1">
        <v>0</v>
      </c>
      <c r="BD2849" s="1">
        <v>0</v>
      </c>
      <c r="BE2849" s="1">
        <v>0</v>
      </c>
      <c r="BF2849" s="1">
        <v>0</v>
      </c>
      <c r="BG2849" s="1">
        <v>0</v>
      </c>
      <c r="BH2849" s="1">
        <v>0</v>
      </c>
      <c r="BI2849" s="1">
        <v>0</v>
      </c>
      <c r="BJ2849" s="1">
        <v>0</v>
      </c>
      <c r="BK2849" s="1">
        <v>1</v>
      </c>
      <c r="BL2849" s="1">
        <v>0</v>
      </c>
      <c r="BM2849" s="1">
        <v>0</v>
      </c>
      <c r="BN2849" s="1">
        <v>0</v>
      </c>
      <c r="BO2849" s="1">
        <v>0</v>
      </c>
      <c r="BP2849" s="1">
        <v>0</v>
      </c>
      <c r="BQ2849" s="1" t="s">
        <v>104</v>
      </c>
      <c r="BR2849" s="1">
        <v>4976</v>
      </c>
      <c r="BS2849" s="1" t="s">
        <v>104</v>
      </c>
      <c r="BX2849" s="1">
        <v>0</v>
      </c>
      <c r="BY2849" s="1" t="s">
        <v>104</v>
      </c>
      <c r="BZ2849" s="1">
        <v>3</v>
      </c>
      <c r="CA2849" s="1" t="s">
        <v>104</v>
      </c>
      <c r="CB2849" s="1" t="s">
        <v>104</v>
      </c>
      <c r="CC2849" s="1" t="s">
        <v>104</v>
      </c>
      <c r="CD2849" s="1" t="s">
        <v>104</v>
      </c>
      <c r="CE2849" s="1" t="s">
        <v>104</v>
      </c>
      <c r="CF2849" s="1" t="s">
        <v>104</v>
      </c>
      <c r="CG2849" s="1" t="s">
        <v>104</v>
      </c>
      <c r="CH2849" s="1" t="s">
        <v>104</v>
      </c>
      <c r="CJ2849" s="1">
        <v>0</v>
      </c>
      <c r="CK2849" s="1">
        <v>0</v>
      </c>
      <c r="CL2849" s="1">
        <v>0</v>
      </c>
      <c r="CM2849" s="1" t="s">
        <v>104</v>
      </c>
    </row>
    <row r="2850" spans="1:91" ht="14.25" customHeight="1" x14ac:dyDescent="0.3">
      <c r="A2850" s="1" t="s">
        <v>14241</v>
      </c>
      <c r="B2850" s="1" t="s">
        <v>172</v>
      </c>
      <c r="D2850" s="1" t="s">
        <v>63</v>
      </c>
      <c r="E2850" s="1" t="s">
        <v>14242</v>
      </c>
      <c r="F2850" s="1" t="s">
        <v>95</v>
      </c>
      <c r="G2850" s="1" t="s">
        <v>116</v>
      </c>
      <c r="H2850" s="1">
        <v>0</v>
      </c>
      <c r="I2850" s="1" t="s">
        <v>109</v>
      </c>
      <c r="L2850" s="1" t="s">
        <v>14243</v>
      </c>
      <c r="M2850" s="1" t="s">
        <v>14244</v>
      </c>
      <c r="N2850" s="1">
        <v>0</v>
      </c>
      <c r="O2850" s="1">
        <v>0</v>
      </c>
      <c r="P2850" s="1" t="s">
        <v>5901</v>
      </c>
      <c r="Q2850" s="1" t="s">
        <v>184</v>
      </c>
      <c r="R2850" s="1" t="s">
        <v>14245</v>
      </c>
      <c r="S2850" s="1" t="s">
        <v>14246</v>
      </c>
      <c r="T2850" s="1">
        <v>1</v>
      </c>
      <c r="U2850" s="1">
        <v>1</v>
      </c>
      <c r="V2850" s="1">
        <v>0</v>
      </c>
      <c r="W2850" s="1">
        <v>0</v>
      </c>
      <c r="X2850" s="1">
        <v>0</v>
      </c>
      <c r="Y2850" s="1">
        <v>5</v>
      </c>
      <c r="Z2850" s="1">
        <v>5</v>
      </c>
      <c r="AA2850" s="1">
        <v>5</v>
      </c>
      <c r="AB2850" s="1" t="s">
        <v>104</v>
      </c>
      <c r="AC2850" s="1" t="s">
        <v>104</v>
      </c>
      <c r="AD2850" s="1" t="s">
        <v>104</v>
      </c>
      <c r="AE2850" s="1" t="s">
        <v>104</v>
      </c>
      <c r="AF2850" s="1" t="s">
        <v>104</v>
      </c>
      <c r="AG2850" s="1" t="s">
        <v>104</v>
      </c>
      <c r="AH2850" s="1">
        <v>5</v>
      </c>
      <c r="AI2850" s="1">
        <v>4</v>
      </c>
      <c r="AJ2850" s="1">
        <v>5</v>
      </c>
      <c r="AK2850" s="1" t="s">
        <v>104</v>
      </c>
      <c r="AL2850" s="1" t="s">
        <v>104</v>
      </c>
      <c r="AM2850" s="1" t="s">
        <v>104</v>
      </c>
      <c r="AO2850" s="1">
        <v>5</v>
      </c>
      <c r="AR2850" s="1">
        <v>0</v>
      </c>
      <c r="AS2850" s="1">
        <v>0</v>
      </c>
      <c r="AT2850" s="1">
        <v>0</v>
      </c>
      <c r="AU2850" s="1">
        <v>0</v>
      </c>
      <c r="AV2850" s="1">
        <v>0</v>
      </c>
      <c r="AW2850" s="1">
        <v>0</v>
      </c>
      <c r="AX2850" s="1">
        <v>0</v>
      </c>
      <c r="AY2850" s="1">
        <v>0</v>
      </c>
      <c r="AZ2850" s="1">
        <v>0</v>
      </c>
      <c r="BA2850" s="1">
        <v>0</v>
      </c>
      <c r="BB2850" s="1">
        <v>0</v>
      </c>
      <c r="BC2850" s="1">
        <v>0</v>
      </c>
      <c r="BD2850" s="1">
        <v>0</v>
      </c>
      <c r="BE2850" s="1">
        <v>0</v>
      </c>
      <c r="BF2850" s="1">
        <v>0</v>
      </c>
      <c r="BG2850" s="1">
        <v>0</v>
      </c>
      <c r="BH2850" s="1">
        <v>0</v>
      </c>
      <c r="BI2850" s="1">
        <v>0</v>
      </c>
      <c r="BJ2850" s="1">
        <v>0</v>
      </c>
      <c r="BK2850" s="1">
        <v>0</v>
      </c>
      <c r="BL2850" s="1">
        <v>1</v>
      </c>
      <c r="BM2850" s="1">
        <v>0</v>
      </c>
      <c r="BN2850" s="1">
        <v>0</v>
      </c>
      <c r="BO2850" s="1">
        <v>0</v>
      </c>
      <c r="BP2850" s="1">
        <v>0</v>
      </c>
      <c r="BQ2850" s="1" t="s">
        <v>104</v>
      </c>
      <c r="BR2850" s="1">
        <v>4977</v>
      </c>
      <c r="BS2850" s="1" t="s">
        <v>104</v>
      </c>
      <c r="BX2850" s="1">
        <v>0</v>
      </c>
      <c r="BY2850" s="1" t="s">
        <v>104</v>
      </c>
      <c r="BZ2850" s="1">
        <v>5</v>
      </c>
      <c r="CA2850" s="1">
        <v>5</v>
      </c>
      <c r="CB2850" s="1" t="s">
        <v>104</v>
      </c>
      <c r="CC2850" s="1" t="s">
        <v>104</v>
      </c>
      <c r="CD2850" s="1" t="s">
        <v>104</v>
      </c>
      <c r="CE2850" s="1">
        <v>5</v>
      </c>
      <c r="CF2850" s="1" t="s">
        <v>104</v>
      </c>
      <c r="CG2850" s="1" t="s">
        <v>104</v>
      </c>
      <c r="CH2850" s="1" t="s">
        <v>104</v>
      </c>
      <c r="CJ2850" s="1">
        <v>0</v>
      </c>
      <c r="CK2850" s="1">
        <v>0</v>
      </c>
      <c r="CL2850" s="1">
        <v>0</v>
      </c>
      <c r="CM2850" s="1" t="s">
        <v>104</v>
      </c>
    </row>
    <row r="2851" spans="1:91" ht="14.25" customHeight="1" x14ac:dyDescent="0.3">
      <c r="A2851" s="1" t="s">
        <v>14247</v>
      </c>
      <c r="B2851" s="1" t="s">
        <v>162</v>
      </c>
      <c r="E2851" s="1" t="s">
        <v>14248</v>
      </c>
      <c r="F2851" s="1" t="s">
        <v>95</v>
      </c>
      <c r="G2851" s="1" t="s">
        <v>14249</v>
      </c>
      <c r="H2851" s="1">
        <v>0</v>
      </c>
      <c r="I2851" s="1" t="s">
        <v>117</v>
      </c>
      <c r="L2851" s="1" t="s">
        <v>2509</v>
      </c>
      <c r="M2851" s="1" t="s">
        <v>2330</v>
      </c>
      <c r="N2851" s="1">
        <v>0</v>
      </c>
      <c r="O2851" s="1">
        <v>0</v>
      </c>
      <c r="P2851" s="1" t="s">
        <v>375</v>
      </c>
      <c r="Q2851" s="1" t="s">
        <v>131</v>
      </c>
      <c r="R2851" s="1" t="s">
        <v>14250</v>
      </c>
      <c r="S2851" s="1" t="s">
        <v>14246</v>
      </c>
      <c r="T2851" s="1">
        <v>1</v>
      </c>
      <c r="U2851" s="1">
        <v>1</v>
      </c>
      <c r="V2851" s="1">
        <v>1</v>
      </c>
      <c r="W2851" s="1">
        <v>0</v>
      </c>
      <c r="X2851" s="1">
        <v>0</v>
      </c>
      <c r="Y2851" s="1">
        <v>4</v>
      </c>
      <c r="Z2851" s="1">
        <v>4</v>
      </c>
      <c r="AA2851" s="1">
        <v>4</v>
      </c>
      <c r="AB2851" s="1" t="s">
        <v>104</v>
      </c>
      <c r="AC2851" s="1" t="s">
        <v>104</v>
      </c>
      <c r="AD2851" s="1" t="s">
        <v>104</v>
      </c>
      <c r="AE2851" s="1" t="s">
        <v>104</v>
      </c>
      <c r="AF2851" s="1" t="s">
        <v>104</v>
      </c>
      <c r="AG2851" s="1" t="s">
        <v>104</v>
      </c>
      <c r="AH2851" s="1">
        <v>4</v>
      </c>
      <c r="AI2851" s="1">
        <v>4</v>
      </c>
      <c r="AJ2851" s="1">
        <v>4</v>
      </c>
      <c r="AK2851" s="1" t="s">
        <v>104</v>
      </c>
      <c r="AL2851" s="1" t="s">
        <v>104</v>
      </c>
      <c r="AM2851" s="1" t="s">
        <v>104</v>
      </c>
      <c r="AO2851" s="1">
        <v>4</v>
      </c>
      <c r="AR2851" s="1">
        <v>0</v>
      </c>
      <c r="AS2851" s="1">
        <v>0</v>
      </c>
      <c r="AT2851" s="1">
        <v>0</v>
      </c>
      <c r="AU2851" s="1">
        <v>0</v>
      </c>
      <c r="AV2851" s="1">
        <v>0</v>
      </c>
      <c r="AW2851" s="1">
        <v>0</v>
      </c>
      <c r="AX2851" s="1">
        <v>0</v>
      </c>
      <c r="AY2851" s="1">
        <v>0</v>
      </c>
      <c r="AZ2851" s="1">
        <v>0</v>
      </c>
      <c r="BA2851" s="1">
        <v>0</v>
      </c>
      <c r="BB2851" s="1">
        <v>0</v>
      </c>
      <c r="BC2851" s="1">
        <v>0</v>
      </c>
      <c r="BD2851" s="1">
        <v>0</v>
      </c>
      <c r="BE2851" s="1">
        <v>0</v>
      </c>
      <c r="BF2851" s="1">
        <v>0</v>
      </c>
      <c r="BG2851" s="1">
        <v>0</v>
      </c>
      <c r="BH2851" s="1">
        <v>0</v>
      </c>
      <c r="BI2851" s="1">
        <v>0</v>
      </c>
      <c r="BJ2851" s="1">
        <v>0</v>
      </c>
      <c r="BK2851" s="1">
        <v>0</v>
      </c>
      <c r="BL2851" s="1">
        <v>0</v>
      </c>
      <c r="BM2851" s="1">
        <v>0</v>
      </c>
      <c r="BN2851" s="1">
        <v>0</v>
      </c>
      <c r="BO2851" s="1">
        <v>0</v>
      </c>
      <c r="BP2851" s="1">
        <v>0</v>
      </c>
      <c r="BQ2851" s="1" t="s">
        <v>104</v>
      </c>
      <c r="BR2851" s="1">
        <v>4978</v>
      </c>
      <c r="BS2851" s="1" t="s">
        <v>104</v>
      </c>
      <c r="BX2851" s="1">
        <v>0</v>
      </c>
      <c r="BY2851" s="1" t="s">
        <v>104</v>
      </c>
      <c r="BZ2851" s="1">
        <v>4</v>
      </c>
      <c r="CA2851" s="1">
        <v>4</v>
      </c>
      <c r="CB2851" s="1">
        <v>4</v>
      </c>
      <c r="CC2851" s="1">
        <v>4</v>
      </c>
      <c r="CD2851" s="1" t="s">
        <v>104</v>
      </c>
      <c r="CE2851" s="1">
        <v>4</v>
      </c>
      <c r="CF2851" s="1" t="s">
        <v>104</v>
      </c>
      <c r="CG2851" s="1" t="s">
        <v>104</v>
      </c>
      <c r="CH2851" s="1" t="s">
        <v>104</v>
      </c>
      <c r="CJ2851" s="1">
        <v>0</v>
      </c>
      <c r="CK2851" s="1">
        <v>0</v>
      </c>
      <c r="CL2851" s="1">
        <v>0</v>
      </c>
      <c r="CM2851" s="1" t="s">
        <v>104</v>
      </c>
    </row>
    <row r="2852" spans="1:91" ht="14.25" customHeight="1" x14ac:dyDescent="0.3">
      <c r="A2852" s="1" t="s">
        <v>14251</v>
      </c>
      <c r="B2852" s="1" t="s">
        <v>92</v>
      </c>
      <c r="C2852" s="1" t="s">
        <v>93</v>
      </c>
      <c r="E2852" s="1" t="s">
        <v>14252</v>
      </c>
      <c r="F2852" s="1" t="s">
        <v>255</v>
      </c>
      <c r="G2852" s="1" t="s">
        <v>116</v>
      </c>
      <c r="H2852" s="1">
        <v>0</v>
      </c>
      <c r="I2852" s="1" t="s">
        <v>705</v>
      </c>
      <c r="K2852" s="1" t="s">
        <v>14253</v>
      </c>
      <c r="M2852" s="1" t="s">
        <v>191</v>
      </c>
      <c r="N2852" s="1">
        <v>0</v>
      </c>
      <c r="O2852" s="1">
        <v>0</v>
      </c>
      <c r="P2852" s="1" t="s">
        <v>8160</v>
      </c>
      <c r="Q2852" s="1" t="s">
        <v>101</v>
      </c>
      <c r="R2852" s="1" t="s">
        <v>14254</v>
      </c>
      <c r="S2852" s="1" t="s">
        <v>14246</v>
      </c>
      <c r="T2852" s="1">
        <v>1</v>
      </c>
      <c r="U2852" s="1">
        <v>1</v>
      </c>
      <c r="V2852" s="1">
        <v>0</v>
      </c>
      <c r="W2852" s="1">
        <v>0</v>
      </c>
      <c r="X2852" s="1">
        <v>0</v>
      </c>
      <c r="Y2852" s="1" t="s">
        <v>104</v>
      </c>
      <c r="Z2852" s="1" t="s">
        <v>104</v>
      </c>
      <c r="AA2852" s="1">
        <v>4</v>
      </c>
      <c r="AB2852" s="1">
        <v>3</v>
      </c>
      <c r="AC2852" s="1" t="s">
        <v>104</v>
      </c>
      <c r="AD2852" s="1" t="s">
        <v>104</v>
      </c>
      <c r="AE2852" s="1" t="s">
        <v>104</v>
      </c>
      <c r="AF2852" s="1">
        <v>3</v>
      </c>
      <c r="AG2852" s="1" t="s">
        <v>104</v>
      </c>
      <c r="AH2852" s="1" t="s">
        <v>104</v>
      </c>
      <c r="AI2852" s="1" t="s">
        <v>104</v>
      </c>
      <c r="AJ2852" s="1">
        <v>4</v>
      </c>
      <c r="AK2852" s="1" t="s">
        <v>104</v>
      </c>
      <c r="AL2852" s="1" t="s">
        <v>104</v>
      </c>
      <c r="AM2852" s="1" t="s">
        <v>104</v>
      </c>
      <c r="AO2852" s="1">
        <v>4</v>
      </c>
      <c r="AR2852" s="1">
        <v>0</v>
      </c>
      <c r="AS2852" s="1">
        <v>0</v>
      </c>
      <c r="AT2852" s="1">
        <v>0</v>
      </c>
      <c r="AU2852" s="1">
        <v>0</v>
      </c>
      <c r="AV2852" s="1">
        <v>0</v>
      </c>
      <c r="AW2852" s="1">
        <v>0</v>
      </c>
      <c r="AX2852" s="1">
        <v>0</v>
      </c>
      <c r="AY2852" s="1">
        <v>0</v>
      </c>
      <c r="AZ2852" s="1">
        <v>0</v>
      </c>
      <c r="BA2852" s="1">
        <v>0</v>
      </c>
      <c r="BB2852" s="1">
        <v>0</v>
      </c>
      <c r="BC2852" s="1">
        <v>0</v>
      </c>
      <c r="BD2852" s="1">
        <v>0</v>
      </c>
      <c r="BE2852" s="1">
        <v>0</v>
      </c>
      <c r="BF2852" s="1">
        <v>0</v>
      </c>
      <c r="BG2852" s="1">
        <v>0</v>
      </c>
      <c r="BH2852" s="1">
        <v>0</v>
      </c>
      <c r="BI2852" s="1">
        <v>0</v>
      </c>
      <c r="BJ2852" s="1">
        <v>0</v>
      </c>
      <c r="BK2852" s="1">
        <v>0</v>
      </c>
      <c r="BL2852" s="1">
        <v>0</v>
      </c>
      <c r="BM2852" s="1">
        <v>0</v>
      </c>
      <c r="BN2852" s="1">
        <v>0</v>
      </c>
      <c r="BO2852" s="1">
        <v>0</v>
      </c>
      <c r="BP2852" s="1">
        <v>0</v>
      </c>
      <c r="BQ2852" s="1" t="s">
        <v>104</v>
      </c>
      <c r="BR2852" s="1">
        <v>4979</v>
      </c>
      <c r="BS2852" s="1" t="s">
        <v>104</v>
      </c>
      <c r="BX2852" s="1">
        <v>0</v>
      </c>
      <c r="BY2852" s="1" t="s">
        <v>104</v>
      </c>
      <c r="BZ2852" s="1" t="s">
        <v>104</v>
      </c>
      <c r="CA2852" s="1" t="s">
        <v>104</v>
      </c>
      <c r="CB2852" s="1" t="s">
        <v>104</v>
      </c>
      <c r="CC2852" s="1" t="s">
        <v>104</v>
      </c>
      <c r="CD2852" s="1">
        <v>3</v>
      </c>
      <c r="CE2852" s="1" t="s">
        <v>104</v>
      </c>
      <c r="CF2852" s="1" t="s">
        <v>104</v>
      </c>
      <c r="CG2852" s="1" t="s">
        <v>104</v>
      </c>
      <c r="CH2852" s="1">
        <v>3</v>
      </c>
      <c r="CJ2852" s="1">
        <v>0</v>
      </c>
      <c r="CK2852" s="1">
        <v>0</v>
      </c>
      <c r="CL2852" s="1">
        <v>0</v>
      </c>
      <c r="CM2852" s="1" t="s">
        <v>104</v>
      </c>
    </row>
    <row r="2853" spans="1:91" ht="14.25" customHeight="1" x14ac:dyDescent="0.3">
      <c r="A2853" s="1" t="s">
        <v>14255</v>
      </c>
      <c r="B2853" s="1" t="s">
        <v>216</v>
      </c>
      <c r="D2853" s="1" t="s">
        <v>1015</v>
      </c>
      <c r="E2853" s="1" t="s">
        <v>14256</v>
      </c>
      <c r="F2853" s="1" t="s">
        <v>255</v>
      </c>
      <c r="G2853" s="1" t="s">
        <v>14257</v>
      </c>
      <c r="H2853" s="1">
        <v>1</v>
      </c>
      <c r="I2853" s="1" t="s">
        <v>117</v>
      </c>
      <c r="L2853" s="1" t="s">
        <v>14258</v>
      </c>
      <c r="M2853" s="1" t="s">
        <v>194</v>
      </c>
      <c r="N2853" s="1">
        <v>0</v>
      </c>
      <c r="O2853" s="1">
        <v>0</v>
      </c>
      <c r="P2853" s="1" t="s">
        <v>211</v>
      </c>
      <c r="Q2853" s="1" t="s">
        <v>184</v>
      </c>
      <c r="R2853" s="1" t="s">
        <v>14259</v>
      </c>
      <c r="S2853" s="1" t="s">
        <v>14246</v>
      </c>
      <c r="T2853" s="1">
        <v>1</v>
      </c>
      <c r="U2853" s="1">
        <v>1</v>
      </c>
      <c r="V2853" s="1">
        <v>0</v>
      </c>
      <c r="W2853" s="1">
        <v>0</v>
      </c>
      <c r="X2853" s="1">
        <v>0</v>
      </c>
      <c r="Y2853" s="1">
        <v>3</v>
      </c>
      <c r="Z2853" s="1">
        <v>3</v>
      </c>
      <c r="AA2853" s="1">
        <v>3</v>
      </c>
      <c r="AB2853" s="1" t="s">
        <v>104</v>
      </c>
      <c r="AC2853" s="1" t="s">
        <v>104</v>
      </c>
      <c r="AD2853" s="1" t="s">
        <v>104</v>
      </c>
      <c r="AE2853" s="1" t="s">
        <v>104</v>
      </c>
      <c r="AF2853" s="1" t="s">
        <v>104</v>
      </c>
      <c r="AG2853" s="1" t="s">
        <v>104</v>
      </c>
      <c r="AH2853" s="1">
        <v>3</v>
      </c>
      <c r="AI2853" s="1" t="s">
        <v>104</v>
      </c>
      <c r="AJ2853" s="1">
        <v>3</v>
      </c>
      <c r="AK2853" s="1" t="s">
        <v>104</v>
      </c>
      <c r="AL2853" s="1" t="s">
        <v>104</v>
      </c>
      <c r="AM2853" s="1" t="s">
        <v>104</v>
      </c>
      <c r="AO2853" s="1">
        <v>3</v>
      </c>
      <c r="AR2853" s="1">
        <v>0</v>
      </c>
      <c r="AS2853" s="1">
        <v>0</v>
      </c>
      <c r="AT2853" s="1">
        <v>0</v>
      </c>
      <c r="AU2853" s="1">
        <v>0</v>
      </c>
      <c r="AV2853" s="1">
        <v>0</v>
      </c>
      <c r="AW2853" s="1">
        <v>0</v>
      </c>
      <c r="AX2853" s="1">
        <v>1</v>
      </c>
      <c r="AY2853" s="1">
        <v>0</v>
      </c>
      <c r="AZ2853" s="1">
        <v>0</v>
      </c>
      <c r="BA2853" s="1">
        <v>0</v>
      </c>
      <c r="BB2853" s="1">
        <v>0</v>
      </c>
      <c r="BC2853" s="1">
        <v>1</v>
      </c>
      <c r="BD2853" s="1">
        <v>0</v>
      </c>
      <c r="BE2853" s="1">
        <v>0</v>
      </c>
      <c r="BF2853" s="1">
        <v>0</v>
      </c>
      <c r="BG2853" s="1">
        <v>0</v>
      </c>
      <c r="BH2853" s="1">
        <v>0</v>
      </c>
      <c r="BI2853" s="1">
        <v>0</v>
      </c>
      <c r="BJ2853" s="1">
        <v>0</v>
      </c>
      <c r="BK2853" s="1">
        <v>0</v>
      </c>
      <c r="BL2853" s="1">
        <v>0</v>
      </c>
      <c r="BM2853" s="1">
        <v>0</v>
      </c>
      <c r="BN2853" s="1">
        <v>0</v>
      </c>
      <c r="BO2853" s="1">
        <v>0</v>
      </c>
      <c r="BP2853" s="1">
        <v>0</v>
      </c>
      <c r="BQ2853" s="1" t="s">
        <v>104</v>
      </c>
      <c r="BR2853" s="1">
        <v>4980</v>
      </c>
      <c r="BS2853" s="1">
        <v>500</v>
      </c>
      <c r="BX2853" s="1">
        <v>0</v>
      </c>
      <c r="BY2853" s="1" t="s">
        <v>104</v>
      </c>
      <c r="BZ2853" s="1">
        <v>3</v>
      </c>
      <c r="CA2853" s="1" t="s">
        <v>104</v>
      </c>
      <c r="CB2853" s="1" t="s">
        <v>104</v>
      </c>
      <c r="CC2853" s="1" t="s">
        <v>104</v>
      </c>
      <c r="CD2853" s="1">
        <v>3</v>
      </c>
      <c r="CE2853" s="1">
        <v>3</v>
      </c>
      <c r="CF2853" s="1" t="s">
        <v>104</v>
      </c>
      <c r="CG2853" s="1" t="s">
        <v>104</v>
      </c>
      <c r="CH2853" s="1" t="s">
        <v>104</v>
      </c>
      <c r="CJ2853" s="1">
        <v>0</v>
      </c>
      <c r="CK2853" s="1">
        <v>0</v>
      </c>
      <c r="CL2853" s="1">
        <v>0</v>
      </c>
      <c r="CM2853" s="1" t="s">
        <v>104</v>
      </c>
    </row>
    <row r="2854" spans="1:91" ht="14.25" customHeight="1" x14ac:dyDescent="0.3">
      <c r="A2854" s="1" t="s">
        <v>14260</v>
      </c>
      <c r="B2854" s="1" t="s">
        <v>434</v>
      </c>
      <c r="D2854" s="1" t="s">
        <v>54</v>
      </c>
      <c r="E2854" s="1" t="s">
        <v>14261</v>
      </c>
      <c r="F2854" s="1" t="s">
        <v>95</v>
      </c>
      <c r="G2854" s="1" t="s">
        <v>14262</v>
      </c>
      <c r="H2854" s="1">
        <v>0</v>
      </c>
      <c r="I2854" s="1" t="s">
        <v>117</v>
      </c>
      <c r="K2854" s="1" t="s">
        <v>1148</v>
      </c>
      <c r="M2854" s="1" t="s">
        <v>119</v>
      </c>
      <c r="N2854" s="1">
        <v>0</v>
      </c>
      <c r="O2854" s="1">
        <v>0</v>
      </c>
      <c r="P2854" s="1" t="s">
        <v>6053</v>
      </c>
      <c r="Q2854" s="1" t="s">
        <v>184</v>
      </c>
      <c r="R2854" s="1" t="s">
        <v>14263</v>
      </c>
      <c r="S2854" s="1" t="s">
        <v>14246</v>
      </c>
      <c r="T2854" s="1">
        <v>1</v>
      </c>
      <c r="U2854" s="1">
        <v>1</v>
      </c>
      <c r="V2854" s="1">
        <v>0</v>
      </c>
      <c r="W2854" s="1">
        <v>0</v>
      </c>
      <c r="X2854" s="1">
        <v>1</v>
      </c>
      <c r="Y2854" s="1">
        <v>6</v>
      </c>
      <c r="Z2854" s="1">
        <v>6</v>
      </c>
      <c r="AA2854" s="1">
        <v>6</v>
      </c>
      <c r="AB2854" s="1" t="s">
        <v>104</v>
      </c>
      <c r="AC2854" s="1" t="s">
        <v>104</v>
      </c>
      <c r="AD2854" s="1" t="s">
        <v>104</v>
      </c>
      <c r="AE2854" s="1" t="s">
        <v>104</v>
      </c>
      <c r="AF2854" s="1" t="s">
        <v>104</v>
      </c>
      <c r="AG2854" s="1" t="s">
        <v>104</v>
      </c>
      <c r="AH2854" s="1">
        <v>6</v>
      </c>
      <c r="AI2854" s="1" t="s">
        <v>104</v>
      </c>
      <c r="AJ2854" s="1">
        <v>6</v>
      </c>
      <c r="AK2854" s="1" t="s">
        <v>104</v>
      </c>
      <c r="AL2854" s="1">
        <v>6</v>
      </c>
      <c r="AM2854" s="1" t="s">
        <v>104</v>
      </c>
      <c r="AO2854" s="1">
        <v>6</v>
      </c>
      <c r="AR2854" s="1">
        <v>0</v>
      </c>
      <c r="AS2854" s="1">
        <v>0</v>
      </c>
      <c r="AT2854" s="1">
        <v>0</v>
      </c>
      <c r="AU2854" s="1">
        <v>0</v>
      </c>
      <c r="AV2854" s="1">
        <v>0</v>
      </c>
      <c r="AW2854" s="1">
        <v>0</v>
      </c>
      <c r="AX2854" s="1">
        <v>0</v>
      </c>
      <c r="AY2854" s="1">
        <v>0</v>
      </c>
      <c r="AZ2854" s="1">
        <v>0</v>
      </c>
      <c r="BA2854" s="1">
        <v>0</v>
      </c>
      <c r="BB2854" s="1">
        <v>0</v>
      </c>
      <c r="BC2854" s="1">
        <v>1</v>
      </c>
      <c r="BD2854" s="1">
        <v>0</v>
      </c>
      <c r="BE2854" s="1">
        <v>0</v>
      </c>
      <c r="BF2854" s="1">
        <v>0</v>
      </c>
      <c r="BG2854" s="1">
        <v>0</v>
      </c>
      <c r="BH2854" s="1">
        <v>0</v>
      </c>
      <c r="BI2854" s="1">
        <v>0</v>
      </c>
      <c r="BJ2854" s="1">
        <v>0</v>
      </c>
      <c r="BK2854" s="1">
        <v>0</v>
      </c>
      <c r="BL2854" s="1">
        <v>0</v>
      </c>
      <c r="BM2854" s="1">
        <v>0</v>
      </c>
      <c r="BN2854" s="1">
        <v>0</v>
      </c>
      <c r="BO2854" s="1">
        <v>0</v>
      </c>
      <c r="BP2854" s="1">
        <v>0</v>
      </c>
      <c r="BQ2854" s="1" t="s">
        <v>104</v>
      </c>
      <c r="BR2854" s="1">
        <v>4981</v>
      </c>
      <c r="BS2854" s="1" t="s">
        <v>104</v>
      </c>
      <c r="BX2854" s="1">
        <v>0</v>
      </c>
      <c r="BY2854" s="1" t="s">
        <v>104</v>
      </c>
      <c r="BZ2854" s="1" t="s">
        <v>104</v>
      </c>
      <c r="CA2854" s="1" t="s">
        <v>104</v>
      </c>
      <c r="CB2854" s="1" t="s">
        <v>104</v>
      </c>
      <c r="CC2854" s="1" t="s">
        <v>104</v>
      </c>
      <c r="CD2854" s="1" t="s">
        <v>104</v>
      </c>
      <c r="CE2854" s="1" t="s">
        <v>104</v>
      </c>
      <c r="CF2854" s="1" t="s">
        <v>104</v>
      </c>
      <c r="CG2854" s="1" t="s">
        <v>104</v>
      </c>
      <c r="CH2854" s="1" t="s">
        <v>104</v>
      </c>
      <c r="CJ2854" s="1">
        <v>0</v>
      </c>
      <c r="CK2854" s="1">
        <v>0</v>
      </c>
      <c r="CL2854" s="1">
        <v>0</v>
      </c>
      <c r="CM2854" s="1" t="s">
        <v>104</v>
      </c>
    </row>
    <row r="2855" spans="1:91" ht="14.25" customHeight="1" x14ac:dyDescent="0.3">
      <c r="A2855" s="1" t="s">
        <v>14264</v>
      </c>
      <c r="B2855" s="1" t="s">
        <v>216</v>
      </c>
      <c r="D2855" s="1" t="s">
        <v>54</v>
      </c>
      <c r="E2855" s="1" t="s">
        <v>14265</v>
      </c>
      <c r="F2855" s="1" t="s">
        <v>95</v>
      </c>
      <c r="G2855" s="1" t="s">
        <v>116</v>
      </c>
      <c r="H2855" s="1">
        <v>0</v>
      </c>
      <c r="I2855" s="1" t="s">
        <v>157</v>
      </c>
      <c r="M2855" s="1" t="s">
        <v>119</v>
      </c>
      <c r="N2855" s="1">
        <v>0</v>
      </c>
      <c r="O2855" s="1">
        <v>0</v>
      </c>
      <c r="P2855" s="1" t="s">
        <v>4583</v>
      </c>
      <c r="Q2855" s="1" t="s">
        <v>184</v>
      </c>
      <c r="R2855" s="1" t="s">
        <v>14266</v>
      </c>
      <c r="S2855" s="1" t="s">
        <v>14246</v>
      </c>
      <c r="T2855" s="1">
        <v>1</v>
      </c>
      <c r="U2855" s="1">
        <v>1</v>
      </c>
      <c r="V2855" s="1">
        <v>0</v>
      </c>
      <c r="W2855" s="1">
        <v>0</v>
      </c>
      <c r="X2855" s="1">
        <v>0</v>
      </c>
      <c r="Y2855" s="1">
        <v>6</v>
      </c>
      <c r="Z2855" s="1">
        <v>6</v>
      </c>
      <c r="AA2855" s="1">
        <v>6</v>
      </c>
      <c r="AB2855" s="1" t="s">
        <v>104</v>
      </c>
      <c r="AC2855" s="1" t="s">
        <v>104</v>
      </c>
      <c r="AD2855" s="1" t="s">
        <v>104</v>
      </c>
      <c r="AE2855" s="1" t="s">
        <v>104</v>
      </c>
      <c r="AF2855" s="1" t="s">
        <v>104</v>
      </c>
      <c r="AG2855" s="1" t="s">
        <v>104</v>
      </c>
      <c r="AH2855" s="1">
        <v>6</v>
      </c>
      <c r="AI2855" s="1" t="s">
        <v>104</v>
      </c>
      <c r="AJ2855" s="1">
        <v>6</v>
      </c>
      <c r="AK2855" s="1" t="s">
        <v>104</v>
      </c>
      <c r="AL2855" s="1">
        <v>5</v>
      </c>
      <c r="AM2855" s="1" t="s">
        <v>104</v>
      </c>
      <c r="AO2855" s="1">
        <v>6</v>
      </c>
      <c r="AR2855" s="1">
        <v>0</v>
      </c>
      <c r="AS2855" s="1">
        <v>0</v>
      </c>
      <c r="AT2855" s="1">
        <v>0</v>
      </c>
      <c r="AU2855" s="1">
        <v>0</v>
      </c>
      <c r="AV2855" s="1">
        <v>0</v>
      </c>
      <c r="AW2855" s="1">
        <v>0</v>
      </c>
      <c r="AX2855" s="1">
        <v>0</v>
      </c>
      <c r="AY2855" s="1">
        <v>0</v>
      </c>
      <c r="AZ2855" s="1">
        <v>0</v>
      </c>
      <c r="BA2855" s="1">
        <v>0</v>
      </c>
      <c r="BB2855" s="1">
        <v>0</v>
      </c>
      <c r="BC2855" s="1">
        <v>1</v>
      </c>
      <c r="BD2855" s="1">
        <v>0</v>
      </c>
      <c r="BE2855" s="1">
        <v>0</v>
      </c>
      <c r="BF2855" s="1">
        <v>0</v>
      </c>
      <c r="BG2855" s="1">
        <v>0</v>
      </c>
      <c r="BH2855" s="1">
        <v>0</v>
      </c>
      <c r="BI2855" s="1">
        <v>0</v>
      </c>
      <c r="BJ2855" s="1">
        <v>0</v>
      </c>
      <c r="BK2855" s="1">
        <v>0</v>
      </c>
      <c r="BL2855" s="1">
        <v>0</v>
      </c>
      <c r="BM2855" s="1">
        <v>0</v>
      </c>
      <c r="BN2855" s="1">
        <v>0</v>
      </c>
      <c r="BO2855" s="1">
        <v>0</v>
      </c>
      <c r="BP2855" s="1">
        <v>0</v>
      </c>
      <c r="BQ2855" s="1" t="s">
        <v>104</v>
      </c>
      <c r="BR2855" s="1">
        <v>4982</v>
      </c>
      <c r="BS2855" s="1" t="s">
        <v>104</v>
      </c>
      <c r="BX2855" s="1">
        <v>0</v>
      </c>
      <c r="BY2855" s="1" t="s">
        <v>104</v>
      </c>
      <c r="BZ2855" s="1" t="s">
        <v>104</v>
      </c>
      <c r="CA2855" s="1" t="s">
        <v>104</v>
      </c>
      <c r="CB2855" s="1" t="s">
        <v>104</v>
      </c>
      <c r="CC2855" s="1" t="s">
        <v>104</v>
      </c>
      <c r="CD2855" s="1" t="s">
        <v>104</v>
      </c>
      <c r="CE2855" s="1" t="s">
        <v>104</v>
      </c>
      <c r="CF2855" s="1" t="s">
        <v>104</v>
      </c>
      <c r="CG2855" s="1" t="s">
        <v>104</v>
      </c>
      <c r="CH2855" s="1" t="s">
        <v>104</v>
      </c>
      <c r="CJ2855" s="1">
        <v>0</v>
      </c>
      <c r="CK2855" s="1">
        <v>0</v>
      </c>
      <c r="CL2855" s="1">
        <v>0</v>
      </c>
      <c r="CM2855" s="1" t="s">
        <v>104</v>
      </c>
    </row>
    <row r="2856" spans="1:91" ht="14.25" customHeight="1" x14ac:dyDescent="0.3">
      <c r="A2856" s="1" t="s">
        <v>14267</v>
      </c>
      <c r="B2856" s="1" t="s">
        <v>216</v>
      </c>
      <c r="D2856" s="1" t="s">
        <v>8422</v>
      </c>
      <c r="E2856" s="1" t="s">
        <v>14268</v>
      </c>
      <c r="F2856" s="1" t="s">
        <v>95</v>
      </c>
      <c r="G2856" s="1" t="s">
        <v>116</v>
      </c>
      <c r="H2856" s="1">
        <v>0</v>
      </c>
      <c r="I2856" s="1" t="s">
        <v>128</v>
      </c>
      <c r="L2856" s="1" t="s">
        <v>14269</v>
      </c>
      <c r="M2856" s="1" t="s">
        <v>14270</v>
      </c>
      <c r="N2856" s="1">
        <v>0</v>
      </c>
      <c r="O2856" s="1">
        <v>0</v>
      </c>
      <c r="P2856" s="1" t="s">
        <v>211</v>
      </c>
      <c r="Q2856" s="1" t="s">
        <v>184</v>
      </c>
      <c r="R2856" s="1" t="s">
        <v>14271</v>
      </c>
      <c r="S2856" s="1" t="s">
        <v>14246</v>
      </c>
      <c r="T2856" s="1">
        <v>1</v>
      </c>
      <c r="U2856" s="1">
        <v>1</v>
      </c>
      <c r="V2856" s="1">
        <v>0</v>
      </c>
      <c r="W2856" s="1">
        <v>0</v>
      </c>
      <c r="X2856" s="1">
        <v>0</v>
      </c>
      <c r="Y2856" s="1" t="s">
        <v>104</v>
      </c>
      <c r="Z2856" s="1" t="s">
        <v>104</v>
      </c>
      <c r="AA2856" s="1">
        <v>4</v>
      </c>
      <c r="AB2856" s="1" t="s">
        <v>104</v>
      </c>
      <c r="AC2856" s="1" t="s">
        <v>104</v>
      </c>
      <c r="AD2856" s="1" t="s">
        <v>104</v>
      </c>
      <c r="AE2856" s="1" t="s">
        <v>104</v>
      </c>
      <c r="AF2856" s="1" t="s">
        <v>104</v>
      </c>
      <c r="AG2856" s="1" t="s">
        <v>104</v>
      </c>
      <c r="AH2856" s="1">
        <v>4</v>
      </c>
      <c r="AI2856" s="1" t="s">
        <v>104</v>
      </c>
      <c r="AJ2856" s="1">
        <v>4</v>
      </c>
      <c r="AK2856" s="1">
        <v>4</v>
      </c>
      <c r="AL2856" s="1" t="s">
        <v>104</v>
      </c>
      <c r="AM2856" s="1" t="s">
        <v>104</v>
      </c>
      <c r="AO2856" s="1">
        <v>4</v>
      </c>
      <c r="AR2856" s="1">
        <v>0</v>
      </c>
      <c r="AS2856" s="1">
        <v>0</v>
      </c>
      <c r="AT2856" s="1">
        <v>0</v>
      </c>
      <c r="AU2856" s="1">
        <v>0</v>
      </c>
      <c r="AV2856" s="1">
        <v>1</v>
      </c>
      <c r="AW2856" s="1">
        <v>0</v>
      </c>
      <c r="AX2856" s="1">
        <v>0</v>
      </c>
      <c r="AY2856" s="1">
        <v>0</v>
      </c>
      <c r="AZ2856" s="1">
        <v>0</v>
      </c>
      <c r="BA2856" s="1">
        <v>0</v>
      </c>
      <c r="BB2856" s="1">
        <v>0</v>
      </c>
      <c r="BC2856" s="1">
        <v>1</v>
      </c>
      <c r="BD2856" s="1">
        <v>0</v>
      </c>
      <c r="BE2856" s="1">
        <v>0</v>
      </c>
      <c r="BF2856" s="1">
        <v>0</v>
      </c>
      <c r="BG2856" s="1">
        <v>0</v>
      </c>
      <c r="BH2856" s="1">
        <v>0</v>
      </c>
      <c r="BI2856" s="1">
        <v>0</v>
      </c>
      <c r="BJ2856" s="1">
        <v>0</v>
      </c>
      <c r="BK2856" s="1">
        <v>0</v>
      </c>
      <c r="BL2856" s="1">
        <v>0</v>
      </c>
      <c r="BM2856" s="1">
        <v>0</v>
      </c>
      <c r="BN2856" s="1">
        <v>0</v>
      </c>
      <c r="BO2856" s="1">
        <v>0</v>
      </c>
      <c r="BP2856" s="1">
        <v>0</v>
      </c>
      <c r="BQ2856" s="1" t="s">
        <v>104</v>
      </c>
      <c r="BR2856" s="1">
        <v>4983</v>
      </c>
      <c r="BS2856" s="1" t="s">
        <v>104</v>
      </c>
      <c r="BX2856" s="1">
        <v>0</v>
      </c>
      <c r="BY2856" s="1" t="s">
        <v>104</v>
      </c>
      <c r="BZ2856" s="1">
        <v>4</v>
      </c>
      <c r="CA2856" s="1" t="s">
        <v>104</v>
      </c>
      <c r="CB2856" s="1" t="s">
        <v>104</v>
      </c>
      <c r="CC2856" s="1" t="s">
        <v>104</v>
      </c>
      <c r="CD2856" s="1" t="s">
        <v>104</v>
      </c>
      <c r="CE2856" s="1">
        <v>4</v>
      </c>
      <c r="CF2856" s="1" t="s">
        <v>104</v>
      </c>
      <c r="CG2856" s="1" t="s">
        <v>104</v>
      </c>
      <c r="CH2856" s="1" t="s">
        <v>104</v>
      </c>
      <c r="CJ2856" s="1">
        <v>0</v>
      </c>
      <c r="CK2856" s="1">
        <v>0</v>
      </c>
      <c r="CL2856" s="1">
        <v>0</v>
      </c>
      <c r="CM2856" s="1" t="s">
        <v>104</v>
      </c>
    </row>
    <row r="2857" spans="1:91" ht="14.25" customHeight="1" x14ac:dyDescent="0.3">
      <c r="A2857" s="1" t="s">
        <v>14272</v>
      </c>
      <c r="B2857" s="1" t="s">
        <v>216</v>
      </c>
      <c r="D2857" s="1" t="s">
        <v>1015</v>
      </c>
      <c r="E2857" s="1" t="s">
        <v>12947</v>
      </c>
      <c r="F2857" s="1" t="s">
        <v>95</v>
      </c>
      <c r="G2857" s="1" t="s">
        <v>2405</v>
      </c>
      <c r="H2857" s="1">
        <v>1</v>
      </c>
      <c r="I2857" s="1" t="s">
        <v>109</v>
      </c>
      <c r="L2857" s="1" t="s">
        <v>1065</v>
      </c>
      <c r="M2857" s="1" t="s">
        <v>493</v>
      </c>
      <c r="N2857" s="1">
        <v>1</v>
      </c>
      <c r="O2857" s="1">
        <v>0</v>
      </c>
      <c r="P2857" s="1" t="s">
        <v>211</v>
      </c>
      <c r="Q2857" s="1" t="s">
        <v>184</v>
      </c>
      <c r="R2857" s="1" t="s">
        <v>14273</v>
      </c>
      <c r="S2857" s="1" t="s">
        <v>14246</v>
      </c>
      <c r="T2857" s="1">
        <v>1</v>
      </c>
      <c r="U2857" s="1">
        <v>1</v>
      </c>
      <c r="V2857" s="1">
        <v>0</v>
      </c>
      <c r="W2857" s="1">
        <v>0</v>
      </c>
      <c r="X2857" s="1">
        <v>0</v>
      </c>
      <c r="Y2857" s="1">
        <v>9</v>
      </c>
      <c r="Z2857" s="1">
        <v>9</v>
      </c>
      <c r="AA2857" s="1">
        <v>9</v>
      </c>
      <c r="AB2857" s="1" t="s">
        <v>104</v>
      </c>
      <c r="AC2857" s="1" t="s">
        <v>104</v>
      </c>
      <c r="AD2857" s="1" t="s">
        <v>104</v>
      </c>
      <c r="AE2857" s="1" t="s">
        <v>104</v>
      </c>
      <c r="AF2857" s="1" t="s">
        <v>104</v>
      </c>
      <c r="AG2857" s="1" t="s">
        <v>104</v>
      </c>
      <c r="AH2857" s="1">
        <v>9</v>
      </c>
      <c r="AI2857" s="1" t="s">
        <v>104</v>
      </c>
      <c r="AJ2857" s="1">
        <v>9</v>
      </c>
      <c r="AK2857" s="1" t="s">
        <v>104</v>
      </c>
      <c r="AL2857" s="1" t="s">
        <v>104</v>
      </c>
      <c r="AM2857" s="1" t="s">
        <v>104</v>
      </c>
      <c r="AO2857" s="1">
        <v>9</v>
      </c>
      <c r="AR2857" s="1">
        <v>0</v>
      </c>
      <c r="AS2857" s="1">
        <v>0</v>
      </c>
      <c r="AT2857" s="1">
        <v>0</v>
      </c>
      <c r="AU2857" s="1">
        <v>0</v>
      </c>
      <c r="AV2857" s="1">
        <v>0</v>
      </c>
      <c r="AW2857" s="1">
        <v>0</v>
      </c>
      <c r="AX2857" s="1">
        <v>1</v>
      </c>
      <c r="AY2857" s="1">
        <v>0</v>
      </c>
      <c r="AZ2857" s="1">
        <v>0</v>
      </c>
      <c r="BA2857" s="1">
        <v>0</v>
      </c>
      <c r="BB2857" s="1">
        <v>0</v>
      </c>
      <c r="BC2857" s="1">
        <v>1</v>
      </c>
      <c r="BD2857" s="1">
        <v>0</v>
      </c>
      <c r="BE2857" s="1">
        <v>0</v>
      </c>
      <c r="BF2857" s="1">
        <v>0</v>
      </c>
      <c r="BG2857" s="1">
        <v>0</v>
      </c>
      <c r="BH2857" s="1">
        <v>0</v>
      </c>
      <c r="BI2857" s="1">
        <v>0</v>
      </c>
      <c r="BJ2857" s="1">
        <v>0</v>
      </c>
      <c r="BK2857" s="1">
        <v>0</v>
      </c>
      <c r="BL2857" s="1">
        <v>0</v>
      </c>
      <c r="BM2857" s="1">
        <v>0</v>
      </c>
      <c r="BN2857" s="1">
        <v>0</v>
      </c>
      <c r="BO2857" s="1">
        <v>0</v>
      </c>
      <c r="BP2857" s="1">
        <v>0</v>
      </c>
      <c r="BQ2857" s="1" t="s">
        <v>104</v>
      </c>
      <c r="BR2857" s="1">
        <v>4984</v>
      </c>
      <c r="BS2857" s="1">
        <v>100</v>
      </c>
      <c r="BX2857" s="1">
        <v>0</v>
      </c>
      <c r="BY2857" s="1" t="s">
        <v>104</v>
      </c>
      <c r="BZ2857" s="1">
        <v>9</v>
      </c>
      <c r="CA2857" s="1">
        <v>9</v>
      </c>
      <c r="CB2857" s="1" t="s">
        <v>104</v>
      </c>
      <c r="CC2857" s="1" t="s">
        <v>104</v>
      </c>
      <c r="CD2857" s="1" t="s">
        <v>104</v>
      </c>
      <c r="CE2857" s="1" t="s">
        <v>104</v>
      </c>
      <c r="CF2857" s="1" t="s">
        <v>104</v>
      </c>
      <c r="CG2857" s="1" t="s">
        <v>104</v>
      </c>
      <c r="CH2857" s="1" t="s">
        <v>104</v>
      </c>
      <c r="CJ2857" s="1">
        <v>0</v>
      </c>
      <c r="CK2857" s="1">
        <v>0</v>
      </c>
      <c r="CL2857" s="1">
        <v>0</v>
      </c>
      <c r="CM2857" s="1" t="s">
        <v>104</v>
      </c>
    </row>
    <row r="2858" spans="1:91" ht="14.25" customHeight="1" x14ac:dyDescent="0.3">
      <c r="A2858" s="1" t="s">
        <v>14274</v>
      </c>
      <c r="B2858" s="1" t="s">
        <v>92</v>
      </c>
      <c r="C2858" s="1" t="s">
        <v>2732</v>
      </c>
      <c r="D2858" s="1" t="s">
        <v>8980</v>
      </c>
      <c r="E2858" s="1" t="s">
        <v>9011</v>
      </c>
      <c r="F2858" s="1" t="s">
        <v>95</v>
      </c>
      <c r="G2858" s="1" t="s">
        <v>116</v>
      </c>
      <c r="H2858" s="1">
        <v>0</v>
      </c>
      <c r="I2858" s="1" t="s">
        <v>97</v>
      </c>
      <c r="K2858" s="1" t="s">
        <v>14275</v>
      </c>
      <c r="M2858" s="1" t="s">
        <v>5942</v>
      </c>
      <c r="N2858" s="1">
        <v>0</v>
      </c>
      <c r="O2858" s="1">
        <v>0</v>
      </c>
      <c r="P2858" s="1" t="s">
        <v>3552</v>
      </c>
      <c r="Q2858" s="1" t="s">
        <v>101</v>
      </c>
      <c r="R2858" s="1" t="s">
        <v>14276</v>
      </c>
      <c r="S2858" s="1" t="s">
        <v>14246</v>
      </c>
      <c r="T2858" s="1">
        <v>1</v>
      </c>
      <c r="U2858" s="1">
        <v>1</v>
      </c>
      <c r="V2858" s="1">
        <v>0</v>
      </c>
      <c r="W2858" s="1">
        <v>0</v>
      </c>
      <c r="X2858" s="1">
        <v>0</v>
      </c>
      <c r="Y2858" s="1">
        <v>8</v>
      </c>
      <c r="Z2858" s="1">
        <v>8</v>
      </c>
      <c r="AA2858" s="1">
        <v>8</v>
      </c>
      <c r="AB2858" s="1" t="s">
        <v>104</v>
      </c>
      <c r="AC2858" s="1" t="s">
        <v>104</v>
      </c>
      <c r="AD2858" s="1" t="s">
        <v>104</v>
      </c>
      <c r="AE2858" s="1" t="s">
        <v>104</v>
      </c>
      <c r="AF2858" s="1" t="s">
        <v>104</v>
      </c>
      <c r="AG2858" s="1" t="s">
        <v>104</v>
      </c>
      <c r="AH2858" s="1">
        <v>8</v>
      </c>
      <c r="AI2858" s="1" t="s">
        <v>104</v>
      </c>
      <c r="AJ2858" s="1">
        <v>8</v>
      </c>
      <c r="AK2858" s="1" t="s">
        <v>104</v>
      </c>
      <c r="AL2858" s="1" t="s">
        <v>104</v>
      </c>
      <c r="AM2858" s="1" t="s">
        <v>104</v>
      </c>
      <c r="AO2858" s="1">
        <v>8</v>
      </c>
      <c r="AR2858" s="1">
        <v>0</v>
      </c>
      <c r="AS2858" s="1">
        <v>0</v>
      </c>
      <c r="AT2858" s="1">
        <v>1</v>
      </c>
      <c r="AU2858" s="1">
        <v>0</v>
      </c>
      <c r="AV2858" s="1">
        <v>0</v>
      </c>
      <c r="AW2858" s="1">
        <v>0</v>
      </c>
      <c r="AX2858" s="1">
        <v>0</v>
      </c>
      <c r="AY2858" s="1">
        <v>0</v>
      </c>
      <c r="AZ2858" s="1">
        <v>0</v>
      </c>
      <c r="BA2858" s="1">
        <v>0</v>
      </c>
      <c r="BB2858" s="1">
        <v>0</v>
      </c>
      <c r="BC2858" s="1">
        <v>1</v>
      </c>
      <c r="BD2858" s="1">
        <v>0</v>
      </c>
      <c r="BE2858" s="1">
        <v>0</v>
      </c>
      <c r="BF2858" s="1">
        <v>0</v>
      </c>
      <c r="BG2858" s="1">
        <v>0</v>
      </c>
      <c r="BH2858" s="1">
        <v>0</v>
      </c>
      <c r="BI2858" s="1">
        <v>0</v>
      </c>
      <c r="BJ2858" s="1">
        <v>0</v>
      </c>
      <c r="BK2858" s="1">
        <v>0</v>
      </c>
      <c r="BL2858" s="1">
        <v>0</v>
      </c>
      <c r="BM2858" s="1">
        <v>0</v>
      </c>
      <c r="BN2858" s="1">
        <v>0</v>
      </c>
      <c r="BO2858" s="1">
        <v>0</v>
      </c>
      <c r="BP2858" s="1">
        <v>0</v>
      </c>
      <c r="BQ2858" s="1" t="s">
        <v>104</v>
      </c>
      <c r="BR2858" s="1">
        <v>4985</v>
      </c>
      <c r="BS2858" s="1" t="s">
        <v>104</v>
      </c>
      <c r="BX2858" s="1">
        <v>0</v>
      </c>
      <c r="BY2858" s="1" t="s">
        <v>104</v>
      </c>
      <c r="BZ2858" s="1" t="s">
        <v>104</v>
      </c>
      <c r="CA2858" s="1" t="s">
        <v>104</v>
      </c>
      <c r="CB2858" s="1" t="s">
        <v>104</v>
      </c>
      <c r="CC2858" s="1" t="s">
        <v>104</v>
      </c>
      <c r="CD2858" s="1" t="s">
        <v>104</v>
      </c>
      <c r="CE2858" s="1" t="s">
        <v>104</v>
      </c>
      <c r="CF2858" s="1" t="s">
        <v>104</v>
      </c>
      <c r="CG2858" s="1" t="s">
        <v>104</v>
      </c>
      <c r="CH2858" s="1" t="s">
        <v>104</v>
      </c>
      <c r="CJ2858" s="1">
        <v>0</v>
      </c>
      <c r="CK2858" s="1">
        <v>0</v>
      </c>
      <c r="CL2858" s="1">
        <v>0</v>
      </c>
      <c r="CM2858" s="1" t="s">
        <v>104</v>
      </c>
    </row>
    <row r="2859" spans="1:91" ht="14.25" customHeight="1" x14ac:dyDescent="0.3">
      <c r="A2859" s="1" t="s">
        <v>14277</v>
      </c>
      <c r="B2859" s="1" t="s">
        <v>123</v>
      </c>
      <c r="C2859" s="1" t="s">
        <v>635</v>
      </c>
      <c r="D2859" s="1" t="s">
        <v>125</v>
      </c>
      <c r="E2859" s="1" t="s">
        <v>7269</v>
      </c>
      <c r="F2859" s="1" t="s">
        <v>191</v>
      </c>
      <c r="G2859" s="1" t="s">
        <v>1739</v>
      </c>
      <c r="H2859" s="1">
        <v>0</v>
      </c>
      <c r="I2859" s="1" t="s">
        <v>117</v>
      </c>
      <c r="L2859" s="1" t="s">
        <v>14278</v>
      </c>
      <c r="M2859" s="1" t="s">
        <v>14279</v>
      </c>
      <c r="N2859" s="1">
        <v>0</v>
      </c>
      <c r="O2859" s="1">
        <v>0</v>
      </c>
      <c r="P2859" s="1" t="s">
        <v>100</v>
      </c>
      <c r="Q2859" s="1" t="s">
        <v>101</v>
      </c>
      <c r="R2859" s="1" t="s">
        <v>14280</v>
      </c>
      <c r="S2859" s="1" t="s">
        <v>14246</v>
      </c>
      <c r="T2859" s="1">
        <v>1</v>
      </c>
      <c r="U2859" s="1">
        <v>1</v>
      </c>
      <c r="V2859" s="1">
        <v>1</v>
      </c>
      <c r="W2859" s="1">
        <v>0</v>
      </c>
      <c r="X2859" s="1">
        <v>0</v>
      </c>
      <c r="Y2859" s="1">
        <v>4</v>
      </c>
      <c r="Z2859" s="1">
        <v>4</v>
      </c>
      <c r="AA2859" s="1">
        <v>4</v>
      </c>
      <c r="AB2859" s="1" t="s">
        <v>104</v>
      </c>
      <c r="AC2859" s="1" t="s">
        <v>104</v>
      </c>
      <c r="AD2859" s="1" t="s">
        <v>104</v>
      </c>
      <c r="AE2859" s="1" t="s">
        <v>104</v>
      </c>
      <c r="AF2859" s="1" t="s">
        <v>104</v>
      </c>
      <c r="AG2859" s="1" t="s">
        <v>104</v>
      </c>
      <c r="AH2859" s="1" t="s">
        <v>104</v>
      </c>
      <c r="AI2859" s="1" t="s">
        <v>104</v>
      </c>
      <c r="AJ2859" s="1">
        <v>4</v>
      </c>
      <c r="AK2859" s="1" t="s">
        <v>104</v>
      </c>
      <c r="AL2859" s="1" t="s">
        <v>104</v>
      </c>
      <c r="AM2859" s="1" t="s">
        <v>104</v>
      </c>
      <c r="AO2859" s="1">
        <v>4</v>
      </c>
      <c r="AR2859" s="1">
        <v>0</v>
      </c>
      <c r="AS2859" s="1">
        <v>0</v>
      </c>
      <c r="AT2859" s="1">
        <v>0</v>
      </c>
      <c r="AU2859" s="1">
        <v>0</v>
      </c>
      <c r="AV2859" s="1">
        <v>0</v>
      </c>
      <c r="AW2859" s="1">
        <v>0</v>
      </c>
      <c r="AX2859" s="1">
        <v>0</v>
      </c>
      <c r="AY2859" s="1">
        <v>0</v>
      </c>
      <c r="AZ2859" s="1">
        <v>0</v>
      </c>
      <c r="BA2859" s="1">
        <v>0</v>
      </c>
      <c r="BB2859" s="1">
        <v>0</v>
      </c>
      <c r="BC2859" s="1">
        <v>0</v>
      </c>
      <c r="BD2859" s="1">
        <v>0</v>
      </c>
      <c r="BE2859" s="1">
        <v>0</v>
      </c>
      <c r="BF2859" s="1">
        <v>0</v>
      </c>
      <c r="BG2859" s="1">
        <v>0</v>
      </c>
      <c r="BH2859" s="1">
        <v>0</v>
      </c>
      <c r="BI2859" s="1">
        <v>0</v>
      </c>
      <c r="BJ2859" s="1">
        <v>0</v>
      </c>
      <c r="BK2859" s="1">
        <v>1</v>
      </c>
      <c r="BL2859" s="1">
        <v>0</v>
      </c>
      <c r="BM2859" s="1">
        <v>0</v>
      </c>
      <c r="BN2859" s="1">
        <v>0</v>
      </c>
      <c r="BO2859" s="1">
        <v>0</v>
      </c>
      <c r="BP2859" s="1">
        <v>0</v>
      </c>
      <c r="BQ2859" s="1" t="s">
        <v>104</v>
      </c>
      <c r="BR2859" s="1">
        <v>4986</v>
      </c>
      <c r="BS2859" s="1" t="s">
        <v>104</v>
      </c>
      <c r="BX2859" s="1">
        <v>0</v>
      </c>
      <c r="BY2859" s="1" t="s">
        <v>104</v>
      </c>
      <c r="BZ2859" s="1" t="s">
        <v>104</v>
      </c>
      <c r="CA2859" s="1" t="s">
        <v>104</v>
      </c>
      <c r="CB2859" s="1" t="s">
        <v>104</v>
      </c>
      <c r="CC2859" s="1" t="s">
        <v>104</v>
      </c>
      <c r="CD2859" s="1" t="s">
        <v>104</v>
      </c>
      <c r="CE2859" s="1" t="s">
        <v>104</v>
      </c>
      <c r="CF2859" s="1" t="s">
        <v>104</v>
      </c>
      <c r="CG2859" s="1" t="s">
        <v>104</v>
      </c>
      <c r="CH2859" s="1" t="s">
        <v>104</v>
      </c>
      <c r="CJ2859" s="1">
        <v>0</v>
      </c>
      <c r="CK2859" s="1">
        <v>0</v>
      </c>
      <c r="CL2859" s="1">
        <v>0</v>
      </c>
      <c r="CM2859" s="1" t="s">
        <v>104</v>
      </c>
    </row>
    <row r="2860" spans="1:91" ht="14.25" customHeight="1" x14ac:dyDescent="0.3">
      <c r="A2860" s="1" t="s">
        <v>14281</v>
      </c>
      <c r="B2860" s="1" t="s">
        <v>92</v>
      </c>
      <c r="C2860" s="1" t="s">
        <v>903</v>
      </c>
      <c r="E2860" s="1" t="s">
        <v>12918</v>
      </c>
      <c r="F2860" s="1" t="s">
        <v>95</v>
      </c>
      <c r="G2860" s="1" t="s">
        <v>14282</v>
      </c>
      <c r="H2860" s="1">
        <v>1</v>
      </c>
      <c r="I2860" s="1" t="s">
        <v>117</v>
      </c>
      <c r="L2860" s="1" t="s">
        <v>14283</v>
      </c>
      <c r="M2860" s="1" t="s">
        <v>2486</v>
      </c>
      <c r="N2860" s="1">
        <v>0</v>
      </c>
      <c r="O2860" s="1">
        <v>0</v>
      </c>
      <c r="P2860" s="1" t="s">
        <v>211</v>
      </c>
      <c r="Q2860" s="1" t="s">
        <v>6424</v>
      </c>
      <c r="R2860" s="1" t="s">
        <v>14284</v>
      </c>
      <c r="S2860" s="1" t="s">
        <v>14246</v>
      </c>
      <c r="T2860" s="1">
        <v>1</v>
      </c>
      <c r="U2860" s="1">
        <v>1</v>
      </c>
      <c r="V2860" s="1">
        <v>1</v>
      </c>
      <c r="W2860" s="1">
        <v>0</v>
      </c>
      <c r="X2860" s="1">
        <v>0</v>
      </c>
      <c r="Y2860" s="1">
        <v>7</v>
      </c>
      <c r="Z2860" s="1">
        <v>7</v>
      </c>
      <c r="AA2860" s="1">
        <v>7</v>
      </c>
      <c r="AB2860" s="1" t="s">
        <v>104</v>
      </c>
      <c r="AC2860" s="1" t="s">
        <v>104</v>
      </c>
      <c r="AD2860" s="1" t="s">
        <v>104</v>
      </c>
      <c r="AE2860" s="1" t="s">
        <v>104</v>
      </c>
      <c r="AF2860" s="1" t="s">
        <v>104</v>
      </c>
      <c r="AG2860" s="1" t="s">
        <v>104</v>
      </c>
      <c r="AH2860" s="1">
        <v>7</v>
      </c>
      <c r="AI2860" s="1" t="s">
        <v>104</v>
      </c>
      <c r="AJ2860" s="1">
        <v>7</v>
      </c>
      <c r="AK2860" s="1" t="s">
        <v>104</v>
      </c>
      <c r="AL2860" s="1" t="s">
        <v>104</v>
      </c>
      <c r="AM2860" s="1" t="s">
        <v>104</v>
      </c>
      <c r="AO2860" s="1">
        <v>7</v>
      </c>
      <c r="AR2860" s="1">
        <v>0</v>
      </c>
      <c r="AS2860" s="1">
        <v>0</v>
      </c>
      <c r="AT2860" s="1">
        <v>0</v>
      </c>
      <c r="AU2860" s="1">
        <v>0</v>
      </c>
      <c r="AV2860" s="1">
        <v>0</v>
      </c>
      <c r="AW2860" s="1">
        <v>0</v>
      </c>
      <c r="AX2860" s="1">
        <v>0</v>
      </c>
      <c r="AY2860" s="1">
        <v>0</v>
      </c>
      <c r="AZ2860" s="1">
        <v>0</v>
      </c>
      <c r="BA2860" s="1">
        <v>0</v>
      </c>
      <c r="BB2860" s="1">
        <v>0</v>
      </c>
      <c r="BC2860" s="1">
        <v>0</v>
      </c>
      <c r="BD2860" s="1">
        <v>0</v>
      </c>
      <c r="BE2860" s="1">
        <v>0</v>
      </c>
      <c r="BF2860" s="1">
        <v>0</v>
      </c>
      <c r="BG2860" s="1">
        <v>0</v>
      </c>
      <c r="BH2860" s="1">
        <v>0</v>
      </c>
      <c r="BI2860" s="1">
        <v>0</v>
      </c>
      <c r="BJ2860" s="1">
        <v>0</v>
      </c>
      <c r="BK2860" s="1">
        <v>0</v>
      </c>
      <c r="BL2860" s="1">
        <v>0</v>
      </c>
      <c r="BM2860" s="1">
        <v>0</v>
      </c>
      <c r="BN2860" s="1">
        <v>0</v>
      </c>
      <c r="BO2860" s="1">
        <v>0</v>
      </c>
      <c r="BP2860" s="1">
        <v>0</v>
      </c>
      <c r="BQ2860" s="1" t="s">
        <v>104</v>
      </c>
      <c r="BR2860" s="1">
        <v>4987</v>
      </c>
      <c r="BS2860" s="1">
        <v>1000</v>
      </c>
      <c r="BX2860" s="1">
        <v>0</v>
      </c>
      <c r="BY2860" s="1" t="s">
        <v>104</v>
      </c>
      <c r="BZ2860" s="1">
        <v>7</v>
      </c>
      <c r="CA2860" s="1">
        <v>7</v>
      </c>
      <c r="CB2860" s="1" t="s">
        <v>104</v>
      </c>
      <c r="CC2860" s="1" t="s">
        <v>104</v>
      </c>
      <c r="CD2860" s="1" t="s">
        <v>104</v>
      </c>
      <c r="CE2860" s="1">
        <v>6</v>
      </c>
      <c r="CF2860" s="1" t="s">
        <v>104</v>
      </c>
      <c r="CG2860" s="1" t="s">
        <v>104</v>
      </c>
      <c r="CH2860" s="1" t="s">
        <v>104</v>
      </c>
      <c r="CJ2860" s="1">
        <v>0</v>
      </c>
      <c r="CK2860" s="1">
        <v>0</v>
      </c>
      <c r="CL2860" s="1">
        <v>0</v>
      </c>
      <c r="CM2860" s="1" t="s">
        <v>104</v>
      </c>
    </row>
    <row r="2861" spans="1:91" ht="14.25" customHeight="1" x14ac:dyDescent="0.3">
      <c r="A2861" s="1" t="s">
        <v>14285</v>
      </c>
      <c r="B2861" s="1" t="s">
        <v>92</v>
      </c>
      <c r="C2861" s="1" t="s">
        <v>93</v>
      </c>
      <c r="E2861" s="1" t="s">
        <v>14286</v>
      </c>
      <c r="F2861" s="1" t="s">
        <v>95</v>
      </c>
      <c r="G2861" s="1" t="s">
        <v>14287</v>
      </c>
      <c r="H2861" s="1">
        <v>1</v>
      </c>
      <c r="I2861" s="1" t="s">
        <v>117</v>
      </c>
      <c r="K2861" s="1" t="s">
        <v>14288</v>
      </c>
      <c r="M2861" s="1" t="s">
        <v>119</v>
      </c>
      <c r="N2861" s="1">
        <v>0</v>
      </c>
      <c r="O2861" s="1">
        <v>0</v>
      </c>
      <c r="P2861" s="1" t="s">
        <v>1080</v>
      </c>
      <c r="Q2861" s="1" t="s">
        <v>101</v>
      </c>
      <c r="R2861" s="1" t="s">
        <v>14289</v>
      </c>
      <c r="S2861" s="1" t="s">
        <v>14246</v>
      </c>
      <c r="T2861" s="1">
        <v>1</v>
      </c>
      <c r="U2861" s="1">
        <v>1</v>
      </c>
      <c r="V2861" s="1">
        <v>1</v>
      </c>
      <c r="W2861" s="1">
        <v>0</v>
      </c>
      <c r="X2861" s="1">
        <v>0</v>
      </c>
      <c r="Y2861" s="1" t="s">
        <v>104</v>
      </c>
      <c r="Z2861" s="1" t="s">
        <v>104</v>
      </c>
      <c r="AA2861" s="1">
        <v>3</v>
      </c>
      <c r="AB2861" s="1">
        <v>3</v>
      </c>
      <c r="AC2861" s="1" t="s">
        <v>104</v>
      </c>
      <c r="AD2861" s="1" t="s">
        <v>104</v>
      </c>
      <c r="AE2861" s="1" t="s">
        <v>104</v>
      </c>
      <c r="AF2861" s="1">
        <v>2</v>
      </c>
      <c r="AG2861" s="1" t="s">
        <v>104</v>
      </c>
      <c r="AH2861" s="1">
        <v>3</v>
      </c>
      <c r="AI2861" s="1" t="s">
        <v>104</v>
      </c>
      <c r="AJ2861" s="1">
        <v>3</v>
      </c>
      <c r="AK2861" s="1">
        <v>2</v>
      </c>
      <c r="AL2861" s="1" t="s">
        <v>104</v>
      </c>
      <c r="AM2861" s="1" t="s">
        <v>104</v>
      </c>
      <c r="AO2861" s="1">
        <v>3</v>
      </c>
      <c r="AR2861" s="1">
        <v>0</v>
      </c>
      <c r="AS2861" s="1">
        <v>0</v>
      </c>
      <c r="AT2861" s="1">
        <v>0</v>
      </c>
      <c r="AU2861" s="1">
        <v>0</v>
      </c>
      <c r="AV2861" s="1">
        <v>0</v>
      </c>
      <c r="AW2861" s="1">
        <v>0</v>
      </c>
      <c r="AX2861" s="1">
        <v>0</v>
      </c>
      <c r="AY2861" s="1">
        <v>0</v>
      </c>
      <c r="AZ2861" s="1">
        <v>0</v>
      </c>
      <c r="BA2861" s="1">
        <v>0</v>
      </c>
      <c r="BB2861" s="1">
        <v>0</v>
      </c>
      <c r="BC2861" s="1">
        <v>0</v>
      </c>
      <c r="BD2861" s="1">
        <v>0</v>
      </c>
      <c r="BE2861" s="1">
        <v>0</v>
      </c>
      <c r="BF2861" s="1">
        <v>0</v>
      </c>
      <c r="BG2861" s="1">
        <v>0</v>
      </c>
      <c r="BH2861" s="1">
        <v>0</v>
      </c>
      <c r="BI2861" s="1">
        <v>0</v>
      </c>
      <c r="BJ2861" s="1">
        <v>0</v>
      </c>
      <c r="BK2861" s="1">
        <v>0</v>
      </c>
      <c r="BL2861" s="1">
        <v>0</v>
      </c>
      <c r="BM2861" s="1">
        <v>0</v>
      </c>
      <c r="BN2861" s="1">
        <v>0</v>
      </c>
      <c r="BO2861" s="1">
        <v>0</v>
      </c>
      <c r="BP2861" s="1">
        <v>0</v>
      </c>
      <c r="BQ2861" s="1" t="s">
        <v>104</v>
      </c>
      <c r="BR2861" s="1">
        <v>4988</v>
      </c>
      <c r="BS2861" s="1">
        <v>250</v>
      </c>
      <c r="BX2861" s="1">
        <v>0</v>
      </c>
      <c r="BY2861" s="1" t="s">
        <v>104</v>
      </c>
      <c r="BZ2861" s="1" t="s">
        <v>104</v>
      </c>
      <c r="CA2861" s="1" t="s">
        <v>104</v>
      </c>
      <c r="CB2861" s="1" t="s">
        <v>104</v>
      </c>
      <c r="CC2861" s="1" t="s">
        <v>104</v>
      </c>
      <c r="CD2861" s="1" t="s">
        <v>104</v>
      </c>
      <c r="CE2861" s="1" t="s">
        <v>104</v>
      </c>
      <c r="CF2861" s="1" t="s">
        <v>104</v>
      </c>
      <c r="CG2861" s="1" t="s">
        <v>104</v>
      </c>
      <c r="CH2861" s="1">
        <v>3</v>
      </c>
      <c r="CJ2861" s="1">
        <v>0</v>
      </c>
      <c r="CK2861" s="1">
        <v>0</v>
      </c>
      <c r="CL2861" s="1">
        <v>0</v>
      </c>
      <c r="CM2861" s="1" t="s">
        <v>104</v>
      </c>
    </row>
    <row r="2862" spans="1:91" ht="14.25" customHeight="1" x14ac:dyDescent="0.3">
      <c r="A2862" s="1" t="s">
        <v>14290</v>
      </c>
      <c r="B2862" s="1" t="s">
        <v>92</v>
      </c>
      <c r="C2862" s="1" t="s">
        <v>1160</v>
      </c>
      <c r="E2862" s="1" t="s">
        <v>14291</v>
      </c>
      <c r="F2862" s="1" t="s">
        <v>95</v>
      </c>
      <c r="G2862" s="1" t="s">
        <v>237</v>
      </c>
      <c r="H2862" s="1">
        <v>0</v>
      </c>
      <c r="I2862" s="1" t="s">
        <v>128</v>
      </c>
      <c r="L2862" s="1" t="s">
        <v>14292</v>
      </c>
      <c r="M2862" s="1" t="s">
        <v>119</v>
      </c>
      <c r="N2862" s="1">
        <v>0</v>
      </c>
      <c r="O2862" s="1">
        <v>0</v>
      </c>
      <c r="P2862" s="1" t="s">
        <v>375</v>
      </c>
      <c r="Q2862" s="1" t="s">
        <v>101</v>
      </c>
      <c r="R2862" s="1" t="s">
        <v>14293</v>
      </c>
      <c r="S2862" s="1" t="s">
        <v>14294</v>
      </c>
      <c r="T2862" s="1">
        <v>1</v>
      </c>
      <c r="U2862" s="1">
        <v>0</v>
      </c>
      <c r="V2862" s="1">
        <v>0</v>
      </c>
      <c r="W2862" s="1">
        <v>0</v>
      </c>
      <c r="X2862" s="1">
        <v>0</v>
      </c>
      <c r="Y2862" s="1">
        <v>4</v>
      </c>
      <c r="Z2862" s="1">
        <v>4</v>
      </c>
      <c r="AA2862" s="1" t="s">
        <v>104</v>
      </c>
      <c r="AB2862" s="1" t="s">
        <v>104</v>
      </c>
      <c r="AC2862" s="1" t="s">
        <v>104</v>
      </c>
      <c r="AD2862" s="1" t="s">
        <v>104</v>
      </c>
      <c r="AE2862" s="1" t="s">
        <v>104</v>
      </c>
      <c r="AF2862" s="1" t="s">
        <v>104</v>
      </c>
      <c r="AG2862" s="1">
        <v>4</v>
      </c>
      <c r="AH2862" s="1">
        <v>4</v>
      </c>
      <c r="AI2862" s="1" t="s">
        <v>104</v>
      </c>
      <c r="AJ2862" s="1" t="s">
        <v>104</v>
      </c>
      <c r="AK2862" s="1" t="s">
        <v>104</v>
      </c>
      <c r="AL2862" s="1">
        <v>4</v>
      </c>
      <c r="AM2862" s="1" t="s">
        <v>104</v>
      </c>
      <c r="AO2862" s="1">
        <v>4</v>
      </c>
      <c r="AQ2862" s="1" t="s">
        <v>14295</v>
      </c>
      <c r="AR2862" s="1">
        <v>0</v>
      </c>
      <c r="AS2862" s="1">
        <v>0</v>
      </c>
      <c r="AT2862" s="1">
        <v>0</v>
      </c>
      <c r="AU2862" s="1">
        <v>0</v>
      </c>
      <c r="AV2862" s="1">
        <v>0</v>
      </c>
      <c r="AW2862" s="1">
        <v>0</v>
      </c>
      <c r="AX2862" s="1">
        <v>0</v>
      </c>
      <c r="AY2862" s="1">
        <v>0</v>
      </c>
      <c r="AZ2862" s="1">
        <v>0</v>
      </c>
      <c r="BA2862" s="1">
        <v>0</v>
      </c>
      <c r="BB2862" s="1">
        <v>0</v>
      </c>
      <c r="BC2862" s="1">
        <v>0</v>
      </c>
      <c r="BD2862" s="1">
        <v>0</v>
      </c>
      <c r="BE2862" s="1">
        <v>0</v>
      </c>
      <c r="BF2862" s="1">
        <v>0</v>
      </c>
      <c r="BG2862" s="1">
        <v>0</v>
      </c>
      <c r="BH2862" s="1">
        <v>0</v>
      </c>
      <c r="BI2862" s="1">
        <v>0</v>
      </c>
      <c r="BJ2862" s="1">
        <v>0</v>
      </c>
      <c r="BK2862" s="1">
        <v>0</v>
      </c>
      <c r="BL2862" s="1">
        <v>0</v>
      </c>
      <c r="BM2862" s="1">
        <v>0</v>
      </c>
      <c r="BN2862" s="1">
        <v>0</v>
      </c>
      <c r="BO2862" s="1">
        <v>0</v>
      </c>
      <c r="BP2862" s="1">
        <v>0</v>
      </c>
      <c r="BQ2862" s="1" t="s">
        <v>104</v>
      </c>
      <c r="BR2862" s="1">
        <v>4989</v>
      </c>
      <c r="BS2862" s="1" t="s">
        <v>104</v>
      </c>
      <c r="BX2862" s="1">
        <v>0</v>
      </c>
      <c r="BY2862" s="1" t="s">
        <v>104</v>
      </c>
      <c r="BZ2862" s="1" t="s">
        <v>104</v>
      </c>
      <c r="CA2862" s="1">
        <v>4</v>
      </c>
      <c r="CB2862" s="1" t="s">
        <v>104</v>
      </c>
      <c r="CC2862" s="1" t="s">
        <v>104</v>
      </c>
      <c r="CD2862" s="1" t="s">
        <v>104</v>
      </c>
      <c r="CE2862" s="1" t="s">
        <v>104</v>
      </c>
      <c r="CF2862" s="1" t="s">
        <v>104</v>
      </c>
      <c r="CG2862" s="1" t="s">
        <v>104</v>
      </c>
      <c r="CH2862" s="1" t="s">
        <v>104</v>
      </c>
      <c r="CJ2862" s="1">
        <v>0</v>
      </c>
      <c r="CK2862" s="1">
        <v>0</v>
      </c>
      <c r="CL2862" s="1">
        <v>0</v>
      </c>
      <c r="CM2862" s="1" t="s">
        <v>104</v>
      </c>
    </row>
    <row r="2863" spans="1:91" ht="14.25" customHeight="1" x14ac:dyDescent="0.3">
      <c r="A2863" s="1" t="s">
        <v>14296</v>
      </c>
      <c r="B2863" s="1" t="s">
        <v>434</v>
      </c>
      <c r="D2863" s="1" t="s">
        <v>66</v>
      </c>
      <c r="E2863" s="1" t="s">
        <v>447</v>
      </c>
      <c r="F2863" s="1" t="s">
        <v>95</v>
      </c>
      <c r="G2863" s="1" t="s">
        <v>237</v>
      </c>
      <c r="H2863" s="1">
        <v>0</v>
      </c>
      <c r="I2863" s="1" t="s">
        <v>448</v>
      </c>
      <c r="L2863" s="1" t="s">
        <v>14297</v>
      </c>
      <c r="M2863" s="1" t="s">
        <v>119</v>
      </c>
      <c r="N2863" s="1">
        <v>0</v>
      </c>
      <c r="O2863" s="1">
        <v>0</v>
      </c>
      <c r="P2863" s="1" t="s">
        <v>12190</v>
      </c>
      <c r="Q2863" s="1" t="s">
        <v>184</v>
      </c>
      <c r="R2863" s="1" t="s">
        <v>14298</v>
      </c>
      <c r="S2863" s="1" t="s">
        <v>14294</v>
      </c>
      <c r="T2863" s="1">
        <v>1</v>
      </c>
      <c r="U2863" s="1">
        <v>0</v>
      </c>
      <c r="V2863" s="1">
        <v>0</v>
      </c>
      <c r="W2863" s="1">
        <v>0</v>
      </c>
      <c r="X2863" s="1">
        <v>0</v>
      </c>
      <c r="Y2863" s="1" t="s">
        <v>104</v>
      </c>
      <c r="Z2863" s="1" t="s">
        <v>104</v>
      </c>
      <c r="AA2863" s="1">
        <v>7</v>
      </c>
      <c r="AB2863" s="1" t="s">
        <v>104</v>
      </c>
      <c r="AC2863" s="1" t="s">
        <v>104</v>
      </c>
      <c r="AD2863" s="1" t="s">
        <v>104</v>
      </c>
      <c r="AE2863" s="1" t="s">
        <v>104</v>
      </c>
      <c r="AF2863" s="1" t="s">
        <v>104</v>
      </c>
      <c r="AG2863" s="1" t="s">
        <v>104</v>
      </c>
      <c r="AH2863" s="1" t="s">
        <v>104</v>
      </c>
      <c r="AI2863" s="1">
        <v>6</v>
      </c>
      <c r="AJ2863" s="1">
        <v>7</v>
      </c>
      <c r="AK2863" s="1" t="s">
        <v>104</v>
      </c>
      <c r="AL2863" s="1" t="s">
        <v>104</v>
      </c>
      <c r="AM2863" s="1" t="s">
        <v>104</v>
      </c>
      <c r="AO2863" s="1">
        <v>7</v>
      </c>
      <c r="AQ2863" s="1" t="s">
        <v>14299</v>
      </c>
      <c r="AR2863" s="1">
        <v>0</v>
      </c>
      <c r="AS2863" s="1">
        <v>0</v>
      </c>
      <c r="AT2863" s="1">
        <v>0</v>
      </c>
      <c r="AU2863" s="1">
        <v>0</v>
      </c>
      <c r="AV2863" s="1">
        <v>0</v>
      </c>
      <c r="AW2863" s="1">
        <v>0</v>
      </c>
      <c r="AX2863" s="1">
        <v>0</v>
      </c>
      <c r="AY2863" s="1">
        <v>0</v>
      </c>
      <c r="AZ2863" s="1">
        <v>0</v>
      </c>
      <c r="BA2863" s="1">
        <v>0</v>
      </c>
      <c r="BB2863" s="1">
        <v>0</v>
      </c>
      <c r="BC2863" s="1">
        <v>0</v>
      </c>
      <c r="BD2863" s="1">
        <v>0</v>
      </c>
      <c r="BE2863" s="1">
        <v>0</v>
      </c>
      <c r="BF2863" s="1">
        <v>0</v>
      </c>
      <c r="BG2863" s="1">
        <v>0</v>
      </c>
      <c r="BH2863" s="1">
        <v>0</v>
      </c>
      <c r="BI2863" s="1">
        <v>0</v>
      </c>
      <c r="BJ2863" s="1">
        <v>0</v>
      </c>
      <c r="BK2863" s="1">
        <v>0</v>
      </c>
      <c r="BL2863" s="1">
        <v>0</v>
      </c>
      <c r="BM2863" s="1">
        <v>0</v>
      </c>
      <c r="BN2863" s="1">
        <v>0</v>
      </c>
      <c r="BO2863" s="1">
        <v>1</v>
      </c>
      <c r="BP2863" s="1">
        <v>0</v>
      </c>
      <c r="BQ2863" s="1" t="s">
        <v>104</v>
      </c>
      <c r="BR2863" s="1">
        <v>4990</v>
      </c>
      <c r="BS2863" s="1" t="s">
        <v>104</v>
      </c>
      <c r="BX2863" s="1">
        <v>0</v>
      </c>
      <c r="BY2863" s="1" t="s">
        <v>104</v>
      </c>
      <c r="BZ2863" s="1" t="s">
        <v>104</v>
      </c>
      <c r="CA2863" s="1" t="s">
        <v>104</v>
      </c>
      <c r="CB2863" s="1" t="s">
        <v>104</v>
      </c>
      <c r="CC2863" s="1" t="s">
        <v>104</v>
      </c>
      <c r="CD2863" s="1" t="s">
        <v>104</v>
      </c>
      <c r="CE2863" s="1" t="s">
        <v>104</v>
      </c>
      <c r="CF2863" s="1" t="s">
        <v>104</v>
      </c>
      <c r="CG2863" s="1" t="s">
        <v>104</v>
      </c>
      <c r="CH2863" s="1" t="s">
        <v>104</v>
      </c>
      <c r="CJ2863" s="1">
        <v>0</v>
      </c>
      <c r="CK2863" s="1">
        <v>0</v>
      </c>
      <c r="CL2863" s="1">
        <v>0</v>
      </c>
      <c r="CM2863" s="1" t="s">
        <v>104</v>
      </c>
    </row>
    <row r="2864" spans="1:91" ht="14.25" customHeight="1" x14ac:dyDescent="0.3">
      <c r="A2864" s="1" t="s">
        <v>14300</v>
      </c>
      <c r="B2864" s="1" t="s">
        <v>434</v>
      </c>
      <c r="E2864" s="1" t="s">
        <v>626</v>
      </c>
      <c r="F2864" s="1" t="s">
        <v>95</v>
      </c>
      <c r="G2864" s="1" t="s">
        <v>116</v>
      </c>
      <c r="H2864" s="1">
        <v>0</v>
      </c>
      <c r="I2864" s="1" t="s">
        <v>109</v>
      </c>
      <c r="J2864" s="1" t="s">
        <v>627</v>
      </c>
      <c r="M2864" s="1" t="s">
        <v>14301</v>
      </c>
      <c r="N2864" s="1">
        <v>0</v>
      </c>
      <c r="O2864" s="1">
        <v>0</v>
      </c>
      <c r="P2864" s="1" t="s">
        <v>12190</v>
      </c>
      <c r="Q2864" s="1" t="s">
        <v>184</v>
      </c>
      <c r="R2864" s="1" t="s">
        <v>14302</v>
      </c>
      <c r="S2864" s="1" t="s">
        <v>14294</v>
      </c>
      <c r="T2864" s="1">
        <v>1</v>
      </c>
      <c r="U2864" s="1">
        <v>1</v>
      </c>
      <c r="V2864" s="1">
        <v>0</v>
      </c>
      <c r="W2864" s="1">
        <v>0</v>
      </c>
      <c r="X2864" s="1">
        <v>0</v>
      </c>
      <c r="Y2864" s="1" t="s">
        <v>104</v>
      </c>
      <c r="Z2864" s="1" t="s">
        <v>104</v>
      </c>
      <c r="AA2864" s="1">
        <v>4</v>
      </c>
      <c r="AB2864" s="1" t="s">
        <v>104</v>
      </c>
      <c r="AC2864" s="1" t="s">
        <v>104</v>
      </c>
      <c r="AD2864" s="1" t="s">
        <v>104</v>
      </c>
      <c r="AE2864" s="1" t="s">
        <v>104</v>
      </c>
      <c r="AF2864" s="1" t="s">
        <v>104</v>
      </c>
      <c r="AG2864" s="1" t="s">
        <v>104</v>
      </c>
      <c r="AH2864" s="1" t="s">
        <v>104</v>
      </c>
      <c r="AI2864" s="1">
        <v>4</v>
      </c>
      <c r="AJ2864" s="1">
        <v>4</v>
      </c>
      <c r="AK2864" s="1" t="s">
        <v>104</v>
      </c>
      <c r="AL2864" s="1" t="s">
        <v>104</v>
      </c>
      <c r="AM2864" s="1" t="s">
        <v>104</v>
      </c>
      <c r="AO2864" s="1">
        <v>4</v>
      </c>
      <c r="AQ2864" s="1" t="s">
        <v>14303</v>
      </c>
      <c r="AR2864" s="1">
        <v>0</v>
      </c>
      <c r="AS2864" s="1">
        <v>0</v>
      </c>
      <c r="AT2864" s="1">
        <v>0</v>
      </c>
      <c r="AU2864" s="1">
        <v>0</v>
      </c>
      <c r="AV2864" s="1">
        <v>0</v>
      </c>
      <c r="AW2864" s="1">
        <v>0</v>
      </c>
      <c r="AX2864" s="1">
        <v>0</v>
      </c>
      <c r="AY2864" s="1">
        <v>0</v>
      </c>
      <c r="AZ2864" s="1">
        <v>0</v>
      </c>
      <c r="BA2864" s="1">
        <v>0</v>
      </c>
      <c r="BB2864" s="1">
        <v>0</v>
      </c>
      <c r="BC2864" s="1">
        <v>0</v>
      </c>
      <c r="BD2864" s="1">
        <v>0</v>
      </c>
      <c r="BE2864" s="1">
        <v>0</v>
      </c>
      <c r="BF2864" s="1">
        <v>0</v>
      </c>
      <c r="BG2864" s="1">
        <v>0</v>
      </c>
      <c r="BH2864" s="1">
        <v>0</v>
      </c>
      <c r="BI2864" s="1">
        <v>0</v>
      </c>
      <c r="BJ2864" s="1">
        <v>0</v>
      </c>
      <c r="BK2864" s="1">
        <v>0</v>
      </c>
      <c r="BL2864" s="1">
        <v>0</v>
      </c>
      <c r="BM2864" s="1">
        <v>0</v>
      </c>
      <c r="BN2864" s="1">
        <v>0</v>
      </c>
      <c r="BO2864" s="1">
        <v>0</v>
      </c>
      <c r="BP2864" s="1">
        <v>0</v>
      </c>
      <c r="BQ2864" s="1" t="s">
        <v>104</v>
      </c>
      <c r="BR2864" s="1">
        <v>4991</v>
      </c>
      <c r="BS2864" s="1" t="s">
        <v>104</v>
      </c>
      <c r="BX2864" s="1">
        <v>0</v>
      </c>
      <c r="BY2864" s="1" t="s">
        <v>104</v>
      </c>
      <c r="BZ2864" s="1" t="s">
        <v>104</v>
      </c>
      <c r="CA2864" s="1" t="s">
        <v>104</v>
      </c>
      <c r="CB2864" s="1" t="s">
        <v>104</v>
      </c>
      <c r="CC2864" s="1" t="s">
        <v>104</v>
      </c>
      <c r="CD2864" s="1" t="s">
        <v>104</v>
      </c>
      <c r="CE2864" s="1" t="s">
        <v>104</v>
      </c>
      <c r="CF2864" s="1" t="s">
        <v>104</v>
      </c>
      <c r="CG2864" s="1" t="s">
        <v>104</v>
      </c>
      <c r="CH2864" s="1" t="s">
        <v>104</v>
      </c>
      <c r="CJ2864" s="1">
        <v>0</v>
      </c>
      <c r="CK2864" s="1">
        <v>0</v>
      </c>
      <c r="CL2864" s="1">
        <v>0</v>
      </c>
      <c r="CM2864" s="1" t="s">
        <v>104</v>
      </c>
    </row>
    <row r="2865" spans="1:91" ht="14.25" customHeight="1" x14ac:dyDescent="0.3">
      <c r="A2865" s="1" t="s">
        <v>14304</v>
      </c>
      <c r="B2865" s="1" t="s">
        <v>434</v>
      </c>
      <c r="E2865" s="1" t="s">
        <v>14305</v>
      </c>
      <c r="F2865" s="1" t="s">
        <v>95</v>
      </c>
      <c r="G2865" s="1" t="s">
        <v>116</v>
      </c>
      <c r="H2865" s="1">
        <v>0</v>
      </c>
      <c r="I2865" s="1" t="s">
        <v>128</v>
      </c>
      <c r="L2865" s="1" t="s">
        <v>374</v>
      </c>
      <c r="M2865" s="1" t="s">
        <v>201</v>
      </c>
      <c r="N2865" s="1">
        <v>0</v>
      </c>
      <c r="O2865" s="1">
        <v>0</v>
      </c>
      <c r="P2865" s="1" t="s">
        <v>1058</v>
      </c>
      <c r="Q2865" s="1" t="s">
        <v>184</v>
      </c>
      <c r="R2865" s="1" t="s">
        <v>14306</v>
      </c>
      <c r="S2865" s="1" t="s">
        <v>14294</v>
      </c>
      <c r="T2865" s="1">
        <v>1</v>
      </c>
      <c r="U2865" s="1">
        <v>1</v>
      </c>
      <c r="V2865" s="1">
        <v>0</v>
      </c>
      <c r="W2865" s="1">
        <v>0</v>
      </c>
      <c r="X2865" s="1">
        <v>0</v>
      </c>
      <c r="Y2865" s="1">
        <v>1</v>
      </c>
      <c r="Z2865" s="1">
        <v>1</v>
      </c>
      <c r="AA2865" s="1">
        <v>1</v>
      </c>
      <c r="AB2865" s="1" t="s">
        <v>104</v>
      </c>
      <c r="AC2865" s="1" t="s">
        <v>104</v>
      </c>
      <c r="AD2865" s="1" t="s">
        <v>104</v>
      </c>
      <c r="AE2865" s="1" t="s">
        <v>104</v>
      </c>
      <c r="AF2865" s="1" t="s">
        <v>104</v>
      </c>
      <c r="AG2865" s="1">
        <v>1</v>
      </c>
      <c r="AH2865" s="1">
        <v>1</v>
      </c>
      <c r="AI2865" s="1">
        <v>1</v>
      </c>
      <c r="AJ2865" s="1">
        <v>1</v>
      </c>
      <c r="AK2865" s="1" t="s">
        <v>104</v>
      </c>
      <c r="AL2865" s="1">
        <v>1</v>
      </c>
      <c r="AM2865" s="1" t="s">
        <v>104</v>
      </c>
      <c r="AO2865" s="1">
        <v>1</v>
      </c>
      <c r="AQ2865" s="1" t="s">
        <v>14307</v>
      </c>
      <c r="AR2865" s="1">
        <v>0</v>
      </c>
      <c r="AS2865" s="1">
        <v>0</v>
      </c>
      <c r="AT2865" s="1">
        <v>0</v>
      </c>
      <c r="AU2865" s="1">
        <v>0</v>
      </c>
      <c r="AV2865" s="1">
        <v>0</v>
      </c>
      <c r="AW2865" s="1">
        <v>0</v>
      </c>
      <c r="AX2865" s="1">
        <v>0</v>
      </c>
      <c r="AY2865" s="1">
        <v>0</v>
      </c>
      <c r="AZ2865" s="1">
        <v>0</v>
      </c>
      <c r="BA2865" s="1">
        <v>0</v>
      </c>
      <c r="BB2865" s="1">
        <v>0</v>
      </c>
      <c r="BC2865" s="1">
        <v>0</v>
      </c>
      <c r="BD2865" s="1">
        <v>0</v>
      </c>
      <c r="BE2865" s="1">
        <v>0</v>
      </c>
      <c r="BF2865" s="1">
        <v>0</v>
      </c>
      <c r="BG2865" s="1">
        <v>0</v>
      </c>
      <c r="BH2865" s="1">
        <v>0</v>
      </c>
      <c r="BI2865" s="1">
        <v>0</v>
      </c>
      <c r="BJ2865" s="1">
        <v>0</v>
      </c>
      <c r="BK2865" s="1">
        <v>0</v>
      </c>
      <c r="BL2865" s="1">
        <v>0</v>
      </c>
      <c r="BM2865" s="1">
        <v>0</v>
      </c>
      <c r="BN2865" s="1">
        <v>0</v>
      </c>
      <c r="BO2865" s="1">
        <v>0</v>
      </c>
      <c r="BP2865" s="1">
        <v>0</v>
      </c>
      <c r="BQ2865" s="1" t="s">
        <v>104</v>
      </c>
      <c r="BR2865" s="1">
        <v>4992</v>
      </c>
      <c r="BS2865" s="1" t="s">
        <v>104</v>
      </c>
      <c r="BX2865" s="1">
        <v>0</v>
      </c>
      <c r="BY2865" s="1" t="s">
        <v>104</v>
      </c>
      <c r="BZ2865" s="1" t="s">
        <v>104</v>
      </c>
      <c r="CA2865" s="1">
        <v>1</v>
      </c>
      <c r="CB2865" s="1">
        <v>1</v>
      </c>
      <c r="CC2865" s="1" t="s">
        <v>104</v>
      </c>
      <c r="CD2865" s="1">
        <v>1</v>
      </c>
      <c r="CE2865" s="1" t="s">
        <v>104</v>
      </c>
      <c r="CF2865" s="1" t="s">
        <v>104</v>
      </c>
      <c r="CG2865" s="1" t="s">
        <v>104</v>
      </c>
      <c r="CH2865" s="1" t="s">
        <v>104</v>
      </c>
      <c r="CJ2865" s="1">
        <v>0</v>
      </c>
      <c r="CK2865" s="1">
        <v>0</v>
      </c>
      <c r="CL2865" s="1">
        <v>0</v>
      </c>
      <c r="CM2865" s="1" t="s">
        <v>104</v>
      </c>
    </row>
    <row r="2866" spans="1:91" ht="14.25" customHeight="1" x14ac:dyDescent="0.3">
      <c r="A2866" s="1" t="s">
        <v>14308</v>
      </c>
      <c r="B2866" s="1" t="s">
        <v>434</v>
      </c>
      <c r="E2866" s="1" t="s">
        <v>14309</v>
      </c>
      <c r="F2866" s="1" t="s">
        <v>95</v>
      </c>
      <c r="G2866" s="1" t="s">
        <v>116</v>
      </c>
      <c r="H2866" s="1">
        <v>0</v>
      </c>
      <c r="I2866" s="1" t="s">
        <v>128</v>
      </c>
      <c r="L2866" s="1" t="s">
        <v>374</v>
      </c>
      <c r="M2866" s="1" t="s">
        <v>201</v>
      </c>
      <c r="N2866" s="1">
        <v>0</v>
      </c>
      <c r="O2866" s="1">
        <v>0</v>
      </c>
      <c r="P2866" s="1" t="s">
        <v>1058</v>
      </c>
      <c r="Q2866" s="1" t="s">
        <v>184</v>
      </c>
      <c r="R2866" s="1" t="s">
        <v>14310</v>
      </c>
      <c r="S2866" s="1" t="s">
        <v>14294</v>
      </c>
      <c r="T2866" s="1">
        <v>1</v>
      </c>
      <c r="U2866" s="1">
        <v>1</v>
      </c>
      <c r="V2866" s="1">
        <v>0</v>
      </c>
      <c r="W2866" s="1">
        <v>0</v>
      </c>
      <c r="X2866" s="1">
        <v>0</v>
      </c>
      <c r="Y2866" s="1">
        <v>4</v>
      </c>
      <c r="Z2866" s="1">
        <v>4</v>
      </c>
      <c r="AA2866" s="1">
        <v>4</v>
      </c>
      <c r="AB2866" s="1" t="s">
        <v>104</v>
      </c>
      <c r="AC2866" s="1" t="s">
        <v>104</v>
      </c>
      <c r="AD2866" s="1" t="s">
        <v>104</v>
      </c>
      <c r="AE2866" s="1" t="s">
        <v>104</v>
      </c>
      <c r="AF2866" s="1" t="s">
        <v>104</v>
      </c>
      <c r="AG2866" s="1">
        <v>4</v>
      </c>
      <c r="AH2866" s="1">
        <v>4</v>
      </c>
      <c r="AI2866" s="1">
        <v>4</v>
      </c>
      <c r="AJ2866" s="1">
        <v>4</v>
      </c>
      <c r="AK2866" s="1" t="s">
        <v>104</v>
      </c>
      <c r="AL2866" s="1">
        <v>4</v>
      </c>
      <c r="AM2866" s="1" t="s">
        <v>104</v>
      </c>
      <c r="AO2866" s="1">
        <v>4</v>
      </c>
      <c r="AQ2866" s="1" t="s">
        <v>14311</v>
      </c>
      <c r="AR2866" s="1">
        <v>0</v>
      </c>
      <c r="AS2866" s="1">
        <v>0</v>
      </c>
      <c r="AT2866" s="1">
        <v>0</v>
      </c>
      <c r="AU2866" s="1">
        <v>0</v>
      </c>
      <c r="AV2866" s="1">
        <v>0</v>
      </c>
      <c r="AW2866" s="1">
        <v>0</v>
      </c>
      <c r="AX2866" s="1">
        <v>0</v>
      </c>
      <c r="AY2866" s="1">
        <v>0</v>
      </c>
      <c r="AZ2866" s="1">
        <v>0</v>
      </c>
      <c r="BA2866" s="1">
        <v>0</v>
      </c>
      <c r="BB2866" s="1">
        <v>0</v>
      </c>
      <c r="BC2866" s="1">
        <v>0</v>
      </c>
      <c r="BD2866" s="1">
        <v>0</v>
      </c>
      <c r="BE2866" s="1">
        <v>0</v>
      </c>
      <c r="BF2866" s="1">
        <v>0</v>
      </c>
      <c r="BG2866" s="1">
        <v>0</v>
      </c>
      <c r="BH2866" s="1">
        <v>0</v>
      </c>
      <c r="BI2866" s="1">
        <v>0</v>
      </c>
      <c r="BJ2866" s="1">
        <v>0</v>
      </c>
      <c r="BK2866" s="1">
        <v>0</v>
      </c>
      <c r="BL2866" s="1">
        <v>0</v>
      </c>
      <c r="BM2866" s="1">
        <v>0</v>
      </c>
      <c r="BN2866" s="1">
        <v>0</v>
      </c>
      <c r="BO2866" s="1">
        <v>0</v>
      </c>
      <c r="BP2866" s="1">
        <v>0</v>
      </c>
      <c r="BQ2866" s="1" t="s">
        <v>104</v>
      </c>
      <c r="BR2866" s="1">
        <v>4993</v>
      </c>
      <c r="BS2866" s="1" t="s">
        <v>104</v>
      </c>
      <c r="BX2866" s="1">
        <v>0</v>
      </c>
      <c r="BY2866" s="1" t="s">
        <v>104</v>
      </c>
      <c r="BZ2866" s="1" t="s">
        <v>104</v>
      </c>
      <c r="CA2866" s="1">
        <v>4</v>
      </c>
      <c r="CB2866" s="1">
        <v>4</v>
      </c>
      <c r="CC2866" s="1" t="s">
        <v>104</v>
      </c>
      <c r="CD2866" s="1">
        <v>4</v>
      </c>
      <c r="CE2866" s="1" t="s">
        <v>104</v>
      </c>
      <c r="CF2866" s="1" t="s">
        <v>104</v>
      </c>
      <c r="CG2866" s="1" t="s">
        <v>104</v>
      </c>
      <c r="CH2866" s="1" t="s">
        <v>104</v>
      </c>
      <c r="CJ2866" s="1">
        <v>0</v>
      </c>
      <c r="CK2866" s="1">
        <v>0</v>
      </c>
      <c r="CL2866" s="1">
        <v>0</v>
      </c>
      <c r="CM2866" s="1" t="s">
        <v>104</v>
      </c>
    </row>
    <row r="2867" spans="1:91" ht="14.25" customHeight="1" x14ac:dyDescent="0.3">
      <c r="A2867" s="1" t="s">
        <v>14312</v>
      </c>
      <c r="B2867" s="1" t="s">
        <v>434</v>
      </c>
      <c r="E2867" s="1" t="s">
        <v>14313</v>
      </c>
      <c r="F2867" s="1" t="s">
        <v>95</v>
      </c>
      <c r="G2867" s="1" t="s">
        <v>116</v>
      </c>
      <c r="H2867" s="1">
        <v>0</v>
      </c>
      <c r="I2867" s="1" t="s">
        <v>128</v>
      </c>
      <c r="L2867" s="1" t="s">
        <v>374</v>
      </c>
      <c r="M2867" s="1" t="s">
        <v>201</v>
      </c>
      <c r="N2867" s="1">
        <v>0</v>
      </c>
      <c r="O2867" s="1">
        <v>0</v>
      </c>
      <c r="P2867" s="1" t="s">
        <v>1058</v>
      </c>
      <c r="Q2867" s="1" t="s">
        <v>184</v>
      </c>
      <c r="R2867" s="1" t="s">
        <v>14314</v>
      </c>
      <c r="S2867" s="1" t="s">
        <v>14294</v>
      </c>
      <c r="T2867" s="1">
        <v>1</v>
      </c>
      <c r="U2867" s="1">
        <v>1</v>
      </c>
      <c r="V2867" s="1">
        <v>0</v>
      </c>
      <c r="W2867" s="1">
        <v>0</v>
      </c>
      <c r="X2867" s="1">
        <v>0</v>
      </c>
      <c r="Y2867" s="1">
        <v>7</v>
      </c>
      <c r="Z2867" s="1">
        <v>7</v>
      </c>
      <c r="AA2867" s="1">
        <v>7</v>
      </c>
      <c r="AB2867" s="1" t="s">
        <v>104</v>
      </c>
      <c r="AC2867" s="1" t="s">
        <v>104</v>
      </c>
      <c r="AD2867" s="1" t="s">
        <v>104</v>
      </c>
      <c r="AE2867" s="1" t="s">
        <v>104</v>
      </c>
      <c r="AF2867" s="1" t="s">
        <v>104</v>
      </c>
      <c r="AG2867" s="1" t="s">
        <v>104</v>
      </c>
      <c r="AH2867" s="1">
        <v>7</v>
      </c>
      <c r="AI2867" s="1" t="s">
        <v>104</v>
      </c>
      <c r="AJ2867" s="1">
        <v>7</v>
      </c>
      <c r="AK2867" s="1" t="s">
        <v>104</v>
      </c>
      <c r="AL2867" s="1" t="s">
        <v>104</v>
      </c>
      <c r="AM2867" s="1" t="s">
        <v>104</v>
      </c>
      <c r="AO2867" s="1">
        <v>7</v>
      </c>
      <c r="AQ2867" s="1" t="s">
        <v>14315</v>
      </c>
      <c r="AR2867" s="1">
        <v>0</v>
      </c>
      <c r="AS2867" s="1">
        <v>0</v>
      </c>
      <c r="AT2867" s="1">
        <v>0</v>
      </c>
      <c r="AU2867" s="1">
        <v>0</v>
      </c>
      <c r="AV2867" s="1">
        <v>0</v>
      </c>
      <c r="AW2867" s="1">
        <v>0</v>
      </c>
      <c r="AX2867" s="1">
        <v>0</v>
      </c>
      <c r="AY2867" s="1">
        <v>0</v>
      </c>
      <c r="AZ2867" s="1">
        <v>0</v>
      </c>
      <c r="BA2867" s="1">
        <v>0</v>
      </c>
      <c r="BB2867" s="1">
        <v>0</v>
      </c>
      <c r="BC2867" s="1">
        <v>0</v>
      </c>
      <c r="BD2867" s="1">
        <v>0</v>
      </c>
      <c r="BE2867" s="1">
        <v>0</v>
      </c>
      <c r="BF2867" s="1">
        <v>0</v>
      </c>
      <c r="BG2867" s="1">
        <v>0</v>
      </c>
      <c r="BH2867" s="1">
        <v>0</v>
      </c>
      <c r="BI2867" s="1">
        <v>0</v>
      </c>
      <c r="BJ2867" s="1">
        <v>0</v>
      </c>
      <c r="BK2867" s="1">
        <v>0</v>
      </c>
      <c r="BL2867" s="1">
        <v>0</v>
      </c>
      <c r="BM2867" s="1">
        <v>0</v>
      </c>
      <c r="BN2867" s="1">
        <v>0</v>
      </c>
      <c r="BO2867" s="1">
        <v>0</v>
      </c>
      <c r="BP2867" s="1">
        <v>0</v>
      </c>
      <c r="BQ2867" s="1" t="s">
        <v>104</v>
      </c>
      <c r="BR2867" s="1">
        <v>4994</v>
      </c>
      <c r="BS2867" s="1" t="s">
        <v>104</v>
      </c>
      <c r="BX2867" s="1">
        <v>0</v>
      </c>
      <c r="BY2867" s="1" t="s">
        <v>104</v>
      </c>
      <c r="BZ2867" s="1" t="s">
        <v>104</v>
      </c>
      <c r="CA2867" s="1">
        <v>7</v>
      </c>
      <c r="CB2867" s="1" t="s">
        <v>104</v>
      </c>
      <c r="CC2867" s="1" t="s">
        <v>104</v>
      </c>
      <c r="CD2867" s="1" t="s">
        <v>104</v>
      </c>
      <c r="CE2867" s="1" t="s">
        <v>104</v>
      </c>
      <c r="CF2867" s="1" t="s">
        <v>104</v>
      </c>
      <c r="CG2867" s="1" t="s">
        <v>104</v>
      </c>
      <c r="CH2867" s="1" t="s">
        <v>104</v>
      </c>
      <c r="CJ2867" s="1">
        <v>0</v>
      </c>
      <c r="CK2867" s="1">
        <v>0</v>
      </c>
      <c r="CL2867" s="1">
        <v>0</v>
      </c>
      <c r="CM2867" s="1" t="s">
        <v>104</v>
      </c>
    </row>
    <row r="2868" spans="1:91" ht="14.25" customHeight="1" x14ac:dyDescent="0.3">
      <c r="A2868" s="1" t="s">
        <v>14316</v>
      </c>
      <c r="B2868" s="1" t="s">
        <v>172</v>
      </c>
      <c r="E2868" s="1" t="s">
        <v>14317</v>
      </c>
      <c r="F2868" s="1" t="s">
        <v>287</v>
      </c>
      <c r="G2868" s="1" t="s">
        <v>116</v>
      </c>
      <c r="H2868" s="1">
        <v>0</v>
      </c>
      <c r="M2868" s="1" t="s">
        <v>119</v>
      </c>
      <c r="N2868" s="1">
        <v>0</v>
      </c>
      <c r="O2868" s="1">
        <v>0</v>
      </c>
      <c r="R2868" s="1" t="s">
        <v>14318</v>
      </c>
      <c r="S2868" s="1" t="s">
        <v>14294</v>
      </c>
      <c r="T2868" s="1">
        <v>1</v>
      </c>
      <c r="U2868" s="1">
        <v>1</v>
      </c>
      <c r="V2868" s="1">
        <v>0</v>
      </c>
      <c r="W2868" s="1">
        <v>0</v>
      </c>
      <c r="X2868" s="1">
        <v>0</v>
      </c>
      <c r="Y2868" s="1" t="s">
        <v>104</v>
      </c>
      <c r="Z2868" s="1" t="s">
        <v>104</v>
      </c>
      <c r="AA2868" s="1">
        <v>5</v>
      </c>
      <c r="AB2868" s="1" t="s">
        <v>104</v>
      </c>
      <c r="AC2868" s="1">
        <v>4</v>
      </c>
      <c r="AD2868" s="1" t="s">
        <v>104</v>
      </c>
      <c r="AE2868" s="1" t="s">
        <v>104</v>
      </c>
      <c r="AF2868" s="1" t="s">
        <v>104</v>
      </c>
      <c r="AG2868" s="1">
        <v>5</v>
      </c>
      <c r="AH2868" s="1">
        <v>5</v>
      </c>
      <c r="AI2868" s="1" t="s">
        <v>104</v>
      </c>
      <c r="AJ2868" s="1">
        <v>5</v>
      </c>
      <c r="AK2868" s="1" t="s">
        <v>104</v>
      </c>
      <c r="AL2868" s="1" t="s">
        <v>104</v>
      </c>
      <c r="AM2868" s="1" t="s">
        <v>104</v>
      </c>
      <c r="AO2868" s="1">
        <v>5</v>
      </c>
      <c r="AQ2868" s="1" t="s">
        <v>14319</v>
      </c>
      <c r="AR2868" s="1">
        <v>0</v>
      </c>
      <c r="AS2868" s="1">
        <v>0</v>
      </c>
      <c r="AT2868" s="1">
        <v>0</v>
      </c>
      <c r="AU2868" s="1">
        <v>0</v>
      </c>
      <c r="AV2868" s="1">
        <v>0</v>
      </c>
      <c r="AW2868" s="1">
        <v>0</v>
      </c>
      <c r="AX2868" s="1">
        <v>0</v>
      </c>
      <c r="AY2868" s="1">
        <v>0</v>
      </c>
      <c r="AZ2868" s="1">
        <v>0</v>
      </c>
      <c r="BA2868" s="1">
        <v>0</v>
      </c>
      <c r="BB2868" s="1">
        <v>0</v>
      </c>
      <c r="BC2868" s="1">
        <v>0</v>
      </c>
      <c r="BD2868" s="1">
        <v>0</v>
      </c>
      <c r="BE2868" s="1">
        <v>0</v>
      </c>
      <c r="BF2868" s="1">
        <v>0</v>
      </c>
      <c r="BG2868" s="1">
        <v>0</v>
      </c>
      <c r="BH2868" s="1">
        <v>0</v>
      </c>
      <c r="BI2868" s="1">
        <v>0</v>
      </c>
      <c r="BJ2868" s="1">
        <v>0</v>
      </c>
      <c r="BK2868" s="1">
        <v>0</v>
      </c>
      <c r="BL2868" s="1">
        <v>0</v>
      </c>
      <c r="BM2868" s="1">
        <v>0</v>
      </c>
      <c r="BN2868" s="1">
        <v>0</v>
      </c>
      <c r="BO2868" s="1">
        <v>0</v>
      </c>
      <c r="BP2868" s="1">
        <v>0</v>
      </c>
      <c r="BQ2868" s="1" t="s">
        <v>104</v>
      </c>
      <c r="BR2868" s="1">
        <v>4995</v>
      </c>
      <c r="BS2868" s="1" t="s">
        <v>104</v>
      </c>
      <c r="BX2868" s="1">
        <v>0</v>
      </c>
      <c r="BY2868" s="1" t="s">
        <v>104</v>
      </c>
      <c r="BZ2868" s="1" t="s">
        <v>104</v>
      </c>
      <c r="CA2868" s="1">
        <v>5</v>
      </c>
      <c r="CB2868" s="1" t="s">
        <v>104</v>
      </c>
      <c r="CC2868" s="1" t="s">
        <v>104</v>
      </c>
      <c r="CD2868" s="1" t="s">
        <v>104</v>
      </c>
      <c r="CE2868" s="1" t="s">
        <v>104</v>
      </c>
      <c r="CF2868" s="1" t="s">
        <v>104</v>
      </c>
      <c r="CG2868" s="1" t="s">
        <v>104</v>
      </c>
      <c r="CH2868" s="1">
        <v>4</v>
      </c>
      <c r="CJ2868" s="1">
        <v>0</v>
      </c>
      <c r="CK2868" s="1">
        <v>0</v>
      </c>
      <c r="CL2868" s="1">
        <v>0</v>
      </c>
      <c r="CM2868" s="1" t="s">
        <v>104</v>
      </c>
    </row>
    <row r="2869" spans="1:91" ht="14.25" customHeight="1" x14ac:dyDescent="0.3">
      <c r="A2869" s="1" t="s">
        <v>14320</v>
      </c>
      <c r="B2869" s="1" t="s">
        <v>162</v>
      </c>
      <c r="E2869" s="1" t="s">
        <v>695</v>
      </c>
      <c r="F2869" s="1" t="s">
        <v>95</v>
      </c>
      <c r="G2869" s="1" t="s">
        <v>14321</v>
      </c>
      <c r="H2869" s="1">
        <v>1</v>
      </c>
      <c r="I2869" s="1" t="s">
        <v>697</v>
      </c>
      <c r="L2869" s="1" t="s">
        <v>698</v>
      </c>
      <c r="M2869" s="1" t="s">
        <v>111</v>
      </c>
      <c r="N2869" s="1">
        <v>0</v>
      </c>
      <c r="O2869" s="1">
        <v>0</v>
      </c>
      <c r="P2869" s="1" t="s">
        <v>145</v>
      </c>
      <c r="Q2869" s="1" t="s">
        <v>184</v>
      </c>
      <c r="R2869" s="1" t="s">
        <v>14322</v>
      </c>
      <c r="S2869" s="1" t="s">
        <v>14294</v>
      </c>
      <c r="T2869" s="1">
        <v>1</v>
      </c>
      <c r="U2869" s="1">
        <v>1</v>
      </c>
      <c r="V2869" s="1">
        <v>0</v>
      </c>
      <c r="W2869" s="1">
        <v>0</v>
      </c>
      <c r="X2869" s="1">
        <v>0</v>
      </c>
      <c r="Y2869" s="1" t="s">
        <v>104</v>
      </c>
      <c r="Z2869" s="1" t="s">
        <v>104</v>
      </c>
      <c r="AA2869" s="1">
        <v>8</v>
      </c>
      <c r="AB2869" s="1" t="s">
        <v>104</v>
      </c>
      <c r="AC2869" s="1" t="s">
        <v>104</v>
      </c>
      <c r="AD2869" s="1" t="s">
        <v>104</v>
      </c>
      <c r="AE2869" s="1" t="s">
        <v>104</v>
      </c>
      <c r="AF2869" s="1" t="s">
        <v>104</v>
      </c>
      <c r="AG2869" s="1" t="s">
        <v>104</v>
      </c>
      <c r="AH2869" s="1" t="s">
        <v>104</v>
      </c>
      <c r="AI2869" s="1" t="s">
        <v>104</v>
      </c>
      <c r="AJ2869" s="1">
        <v>8</v>
      </c>
      <c r="AK2869" s="1" t="s">
        <v>104</v>
      </c>
      <c r="AL2869" s="1" t="s">
        <v>104</v>
      </c>
      <c r="AM2869" s="1" t="s">
        <v>104</v>
      </c>
      <c r="AO2869" s="1">
        <v>8</v>
      </c>
      <c r="AQ2869" s="1" t="s">
        <v>14323</v>
      </c>
      <c r="AR2869" s="1">
        <v>0</v>
      </c>
      <c r="AS2869" s="1">
        <v>0</v>
      </c>
      <c r="AT2869" s="1">
        <v>0</v>
      </c>
      <c r="AU2869" s="1">
        <v>0</v>
      </c>
      <c r="AV2869" s="1">
        <v>0</v>
      </c>
      <c r="AW2869" s="1">
        <v>0</v>
      </c>
      <c r="AX2869" s="1">
        <v>0</v>
      </c>
      <c r="AY2869" s="1">
        <v>0</v>
      </c>
      <c r="AZ2869" s="1">
        <v>0</v>
      </c>
      <c r="BA2869" s="1">
        <v>0</v>
      </c>
      <c r="BB2869" s="1">
        <v>0</v>
      </c>
      <c r="BC2869" s="1">
        <v>0</v>
      </c>
      <c r="BD2869" s="1">
        <v>0</v>
      </c>
      <c r="BE2869" s="1">
        <v>0</v>
      </c>
      <c r="BF2869" s="1">
        <v>0</v>
      </c>
      <c r="BG2869" s="1">
        <v>0</v>
      </c>
      <c r="BH2869" s="1">
        <v>0</v>
      </c>
      <c r="BI2869" s="1">
        <v>0</v>
      </c>
      <c r="BJ2869" s="1">
        <v>0</v>
      </c>
      <c r="BK2869" s="1">
        <v>0</v>
      </c>
      <c r="BL2869" s="1">
        <v>0</v>
      </c>
      <c r="BM2869" s="1">
        <v>0</v>
      </c>
      <c r="BN2869" s="1">
        <v>0</v>
      </c>
      <c r="BO2869" s="1">
        <v>0</v>
      </c>
      <c r="BP2869" s="1">
        <v>0</v>
      </c>
      <c r="BQ2869" s="1" t="s">
        <v>104</v>
      </c>
      <c r="BR2869" s="1">
        <v>4996</v>
      </c>
      <c r="BS2869" s="1">
        <v>500</v>
      </c>
      <c r="BX2869" s="1">
        <v>0</v>
      </c>
      <c r="BY2869" s="1" t="s">
        <v>104</v>
      </c>
      <c r="BZ2869" s="1" t="s">
        <v>104</v>
      </c>
      <c r="CA2869" s="1" t="s">
        <v>104</v>
      </c>
      <c r="CB2869" s="1" t="s">
        <v>104</v>
      </c>
      <c r="CC2869" s="1" t="s">
        <v>104</v>
      </c>
      <c r="CD2869" s="1" t="s">
        <v>104</v>
      </c>
      <c r="CE2869" s="1" t="s">
        <v>104</v>
      </c>
      <c r="CF2869" s="1" t="s">
        <v>104</v>
      </c>
      <c r="CG2869" s="1" t="s">
        <v>104</v>
      </c>
      <c r="CH2869" s="1" t="s">
        <v>104</v>
      </c>
      <c r="CJ2869" s="1">
        <v>0</v>
      </c>
      <c r="CK2869" s="1">
        <v>0</v>
      </c>
      <c r="CL2869" s="1">
        <v>0</v>
      </c>
      <c r="CM2869" s="1" t="s">
        <v>104</v>
      </c>
    </row>
    <row r="2870" spans="1:91" ht="14.25" customHeight="1" x14ac:dyDescent="0.3">
      <c r="A2870" s="1" t="s">
        <v>14324</v>
      </c>
      <c r="B2870" s="1" t="s">
        <v>137</v>
      </c>
      <c r="E2870" s="1" t="s">
        <v>14325</v>
      </c>
      <c r="F2870" s="1" t="s">
        <v>95</v>
      </c>
      <c r="G2870" s="1" t="s">
        <v>14326</v>
      </c>
      <c r="H2870" s="1">
        <v>0</v>
      </c>
      <c r="I2870" s="1" t="s">
        <v>109</v>
      </c>
      <c r="L2870" s="1" t="s">
        <v>1065</v>
      </c>
      <c r="M2870" s="1" t="s">
        <v>426</v>
      </c>
      <c r="N2870" s="1">
        <v>1</v>
      </c>
      <c r="O2870" s="1">
        <v>0</v>
      </c>
      <c r="P2870" s="1" t="s">
        <v>183</v>
      </c>
      <c r="Q2870" s="1" t="s">
        <v>184</v>
      </c>
      <c r="R2870" s="1" t="s">
        <v>14327</v>
      </c>
      <c r="S2870" s="1" t="s">
        <v>14294</v>
      </c>
      <c r="T2870" s="1">
        <v>1</v>
      </c>
      <c r="U2870" s="1">
        <v>1</v>
      </c>
      <c r="V2870" s="1">
        <v>1</v>
      </c>
      <c r="W2870" s="1">
        <v>0</v>
      </c>
      <c r="X2870" s="1">
        <v>1</v>
      </c>
      <c r="Y2870" s="1">
        <v>2</v>
      </c>
      <c r="Z2870" s="1">
        <v>2</v>
      </c>
      <c r="AA2870" s="1">
        <v>2</v>
      </c>
      <c r="AB2870" s="1" t="s">
        <v>104</v>
      </c>
      <c r="AC2870" s="1" t="s">
        <v>104</v>
      </c>
      <c r="AD2870" s="1">
        <v>2</v>
      </c>
      <c r="AE2870" s="1" t="s">
        <v>104</v>
      </c>
      <c r="AF2870" s="1" t="s">
        <v>104</v>
      </c>
      <c r="AG2870" s="1" t="s">
        <v>104</v>
      </c>
      <c r="AH2870" s="1">
        <v>2</v>
      </c>
      <c r="AI2870" s="1">
        <v>2</v>
      </c>
      <c r="AJ2870" s="1">
        <v>2</v>
      </c>
      <c r="AK2870" s="1" t="s">
        <v>104</v>
      </c>
      <c r="AL2870" s="1">
        <v>2</v>
      </c>
      <c r="AM2870" s="1" t="s">
        <v>104</v>
      </c>
      <c r="AO2870" s="1">
        <v>2</v>
      </c>
      <c r="AQ2870" s="1" t="s">
        <v>14328</v>
      </c>
      <c r="AR2870" s="1">
        <v>0</v>
      </c>
      <c r="AS2870" s="1">
        <v>0</v>
      </c>
      <c r="AT2870" s="1">
        <v>0</v>
      </c>
      <c r="AU2870" s="1">
        <v>0</v>
      </c>
      <c r="AV2870" s="1">
        <v>0</v>
      </c>
      <c r="AW2870" s="1">
        <v>0</v>
      </c>
      <c r="AX2870" s="1">
        <v>0</v>
      </c>
      <c r="AY2870" s="1">
        <v>0</v>
      </c>
      <c r="AZ2870" s="1">
        <v>0</v>
      </c>
      <c r="BA2870" s="1">
        <v>0</v>
      </c>
      <c r="BB2870" s="1">
        <v>0</v>
      </c>
      <c r="BC2870" s="1">
        <v>0</v>
      </c>
      <c r="BD2870" s="1">
        <v>0</v>
      </c>
      <c r="BE2870" s="1">
        <v>0</v>
      </c>
      <c r="BF2870" s="1">
        <v>0</v>
      </c>
      <c r="BG2870" s="1">
        <v>0</v>
      </c>
      <c r="BH2870" s="1">
        <v>0</v>
      </c>
      <c r="BI2870" s="1">
        <v>0</v>
      </c>
      <c r="BJ2870" s="1">
        <v>0</v>
      </c>
      <c r="BK2870" s="1">
        <v>0</v>
      </c>
      <c r="BL2870" s="1">
        <v>0</v>
      </c>
      <c r="BM2870" s="1">
        <v>0</v>
      </c>
      <c r="BN2870" s="1">
        <v>0</v>
      </c>
      <c r="BO2870" s="1">
        <v>0</v>
      </c>
      <c r="BP2870" s="1">
        <v>0</v>
      </c>
      <c r="BQ2870" s="1" t="s">
        <v>104</v>
      </c>
      <c r="BR2870" s="1">
        <v>4997</v>
      </c>
      <c r="BS2870" s="1" t="s">
        <v>104</v>
      </c>
      <c r="BX2870" s="1">
        <v>0</v>
      </c>
      <c r="BY2870" s="1" t="s">
        <v>104</v>
      </c>
      <c r="BZ2870" s="1" t="s">
        <v>104</v>
      </c>
      <c r="CA2870" s="1">
        <v>2</v>
      </c>
      <c r="CB2870" s="1" t="s">
        <v>104</v>
      </c>
      <c r="CC2870" s="1">
        <v>2</v>
      </c>
      <c r="CD2870" s="1" t="s">
        <v>104</v>
      </c>
      <c r="CE2870" s="1" t="s">
        <v>104</v>
      </c>
      <c r="CF2870" s="1" t="s">
        <v>104</v>
      </c>
      <c r="CG2870" s="1" t="s">
        <v>104</v>
      </c>
      <c r="CH2870" s="1" t="s">
        <v>104</v>
      </c>
      <c r="CJ2870" s="1">
        <v>0</v>
      </c>
      <c r="CK2870" s="1">
        <v>0</v>
      </c>
      <c r="CL2870" s="1">
        <v>0</v>
      </c>
      <c r="CM2870" s="1" t="s">
        <v>104</v>
      </c>
    </row>
    <row r="2871" spans="1:91" ht="14.25" customHeight="1" x14ac:dyDescent="0.3">
      <c r="A2871" s="1" t="s">
        <v>14329</v>
      </c>
      <c r="B2871" s="1" t="s">
        <v>162</v>
      </c>
      <c r="E2871" s="1" t="s">
        <v>3158</v>
      </c>
      <c r="F2871" s="1" t="s">
        <v>95</v>
      </c>
      <c r="G2871" s="1" t="s">
        <v>127</v>
      </c>
      <c r="H2871" s="1">
        <v>0</v>
      </c>
      <c r="I2871" s="1" t="s">
        <v>128</v>
      </c>
      <c r="L2871" s="1" t="s">
        <v>14330</v>
      </c>
      <c r="M2871" s="1" t="s">
        <v>1211</v>
      </c>
      <c r="N2871" s="1">
        <v>0</v>
      </c>
      <c r="O2871" s="1">
        <v>0</v>
      </c>
      <c r="P2871" s="1" t="s">
        <v>145</v>
      </c>
      <c r="Q2871" s="1" t="s">
        <v>145</v>
      </c>
      <c r="R2871" s="1" t="s">
        <v>14331</v>
      </c>
      <c r="S2871" s="1" t="s">
        <v>14294</v>
      </c>
      <c r="T2871" s="1">
        <v>1</v>
      </c>
      <c r="U2871" s="1">
        <v>1</v>
      </c>
      <c r="V2871" s="1">
        <v>0</v>
      </c>
      <c r="W2871" s="1">
        <v>0</v>
      </c>
      <c r="X2871" s="1">
        <v>1</v>
      </c>
      <c r="Y2871" s="1" t="s">
        <v>104</v>
      </c>
      <c r="Z2871" s="1" t="s">
        <v>104</v>
      </c>
      <c r="AA2871" s="1">
        <v>5</v>
      </c>
      <c r="AB2871" s="1" t="s">
        <v>104</v>
      </c>
      <c r="AC2871" s="1" t="s">
        <v>104</v>
      </c>
      <c r="AD2871" s="1" t="s">
        <v>104</v>
      </c>
      <c r="AE2871" s="1" t="s">
        <v>104</v>
      </c>
      <c r="AF2871" s="1" t="s">
        <v>104</v>
      </c>
      <c r="AG2871" s="1" t="s">
        <v>104</v>
      </c>
      <c r="AH2871" s="1" t="s">
        <v>104</v>
      </c>
      <c r="AI2871" s="1">
        <v>5</v>
      </c>
      <c r="AJ2871" s="1">
        <v>5</v>
      </c>
      <c r="AK2871" s="1" t="s">
        <v>104</v>
      </c>
      <c r="AL2871" s="1" t="s">
        <v>104</v>
      </c>
      <c r="AM2871" s="1" t="s">
        <v>104</v>
      </c>
      <c r="AO2871" s="1">
        <v>5</v>
      </c>
      <c r="AQ2871" s="1" t="s">
        <v>14332</v>
      </c>
      <c r="AR2871" s="1">
        <v>0</v>
      </c>
      <c r="AS2871" s="1">
        <v>0</v>
      </c>
      <c r="AT2871" s="1">
        <v>0</v>
      </c>
      <c r="AU2871" s="1">
        <v>0</v>
      </c>
      <c r="AV2871" s="1">
        <v>0</v>
      </c>
      <c r="AW2871" s="1">
        <v>0</v>
      </c>
      <c r="AX2871" s="1">
        <v>0</v>
      </c>
      <c r="AY2871" s="1">
        <v>0</v>
      </c>
      <c r="AZ2871" s="1">
        <v>0</v>
      </c>
      <c r="BA2871" s="1">
        <v>0</v>
      </c>
      <c r="BB2871" s="1">
        <v>0</v>
      </c>
      <c r="BC2871" s="1">
        <v>0</v>
      </c>
      <c r="BD2871" s="1">
        <v>0</v>
      </c>
      <c r="BE2871" s="1">
        <v>0</v>
      </c>
      <c r="BF2871" s="1">
        <v>0</v>
      </c>
      <c r="BG2871" s="1">
        <v>0</v>
      </c>
      <c r="BH2871" s="1">
        <v>0</v>
      </c>
      <c r="BI2871" s="1">
        <v>0</v>
      </c>
      <c r="BJ2871" s="1">
        <v>0</v>
      </c>
      <c r="BK2871" s="1">
        <v>0</v>
      </c>
      <c r="BL2871" s="1">
        <v>0</v>
      </c>
      <c r="BM2871" s="1">
        <v>0</v>
      </c>
      <c r="BN2871" s="1">
        <v>0</v>
      </c>
      <c r="BO2871" s="1">
        <v>0</v>
      </c>
      <c r="BP2871" s="1">
        <v>0</v>
      </c>
      <c r="BQ2871" s="1" t="s">
        <v>104</v>
      </c>
      <c r="BR2871" s="1">
        <v>4998</v>
      </c>
      <c r="BS2871" s="1" t="s">
        <v>104</v>
      </c>
      <c r="BX2871" s="1">
        <v>0</v>
      </c>
      <c r="BY2871" s="1" t="s">
        <v>104</v>
      </c>
      <c r="BZ2871" s="1" t="s">
        <v>104</v>
      </c>
      <c r="CA2871" s="1" t="s">
        <v>104</v>
      </c>
      <c r="CB2871" s="1" t="s">
        <v>104</v>
      </c>
      <c r="CC2871" s="1" t="s">
        <v>104</v>
      </c>
      <c r="CD2871" s="1" t="s">
        <v>104</v>
      </c>
      <c r="CE2871" s="1" t="s">
        <v>104</v>
      </c>
      <c r="CF2871" s="1" t="s">
        <v>104</v>
      </c>
      <c r="CG2871" s="1" t="s">
        <v>104</v>
      </c>
      <c r="CH2871" s="1" t="s">
        <v>104</v>
      </c>
      <c r="CJ2871" s="1">
        <v>0</v>
      </c>
      <c r="CK2871" s="1">
        <v>0</v>
      </c>
      <c r="CL2871" s="1">
        <v>0</v>
      </c>
      <c r="CM2871" s="1" t="s">
        <v>104</v>
      </c>
    </row>
    <row r="2872" spans="1:91" ht="14.25" customHeight="1" x14ac:dyDescent="0.3">
      <c r="A2872" s="1" t="s">
        <v>14333</v>
      </c>
      <c r="B2872" s="1" t="s">
        <v>137</v>
      </c>
      <c r="E2872" s="1" t="s">
        <v>14334</v>
      </c>
      <c r="F2872" s="1" t="s">
        <v>1502</v>
      </c>
      <c r="G2872" s="1" t="s">
        <v>1802</v>
      </c>
      <c r="H2872" s="1">
        <v>0</v>
      </c>
      <c r="I2872" s="1" t="s">
        <v>157</v>
      </c>
      <c r="L2872" s="1" t="s">
        <v>158</v>
      </c>
      <c r="M2872" s="1" t="s">
        <v>145</v>
      </c>
      <c r="N2872" s="1">
        <v>0</v>
      </c>
      <c r="O2872" s="1">
        <v>0</v>
      </c>
      <c r="R2872" s="1" t="s">
        <v>14335</v>
      </c>
      <c r="S2872" s="1" t="s">
        <v>14294</v>
      </c>
      <c r="T2872" s="1">
        <v>0</v>
      </c>
      <c r="U2872" s="1">
        <v>1</v>
      </c>
      <c r="V2872" s="1">
        <v>0</v>
      </c>
      <c r="W2872" s="1">
        <v>0</v>
      </c>
      <c r="X2872" s="1">
        <v>0</v>
      </c>
      <c r="Y2872" s="1">
        <v>6</v>
      </c>
      <c r="Z2872" s="1">
        <v>6</v>
      </c>
      <c r="AA2872" s="1" t="s">
        <v>104</v>
      </c>
      <c r="AB2872" s="1" t="s">
        <v>104</v>
      </c>
      <c r="AC2872" s="1" t="s">
        <v>104</v>
      </c>
      <c r="AD2872" s="1" t="s">
        <v>104</v>
      </c>
      <c r="AE2872" s="1" t="s">
        <v>104</v>
      </c>
      <c r="AF2872" s="1" t="s">
        <v>104</v>
      </c>
      <c r="AG2872" s="1">
        <v>5</v>
      </c>
      <c r="AH2872" s="1" t="s">
        <v>104</v>
      </c>
      <c r="AI2872" s="1" t="s">
        <v>104</v>
      </c>
      <c r="AJ2872" s="1" t="s">
        <v>104</v>
      </c>
      <c r="AK2872" s="1" t="s">
        <v>104</v>
      </c>
      <c r="AL2872" s="1">
        <v>5</v>
      </c>
      <c r="AM2872" s="1" t="s">
        <v>104</v>
      </c>
      <c r="AO2872" s="1">
        <v>6</v>
      </c>
      <c r="AQ2872" s="1" t="s">
        <v>14336</v>
      </c>
      <c r="AR2872" s="1">
        <v>0</v>
      </c>
      <c r="AS2872" s="1">
        <v>0</v>
      </c>
      <c r="AT2872" s="1">
        <v>0</v>
      </c>
      <c r="AU2872" s="1">
        <v>0</v>
      </c>
      <c r="AV2872" s="1">
        <v>0</v>
      </c>
      <c r="AW2872" s="1">
        <v>0</v>
      </c>
      <c r="AX2872" s="1">
        <v>0</v>
      </c>
      <c r="AY2872" s="1">
        <v>0</v>
      </c>
      <c r="AZ2872" s="1">
        <v>0</v>
      </c>
      <c r="BA2872" s="1">
        <v>0</v>
      </c>
      <c r="BB2872" s="1">
        <v>0</v>
      </c>
      <c r="BC2872" s="1">
        <v>0</v>
      </c>
      <c r="BD2872" s="1">
        <v>0</v>
      </c>
      <c r="BE2872" s="1">
        <v>0</v>
      </c>
      <c r="BF2872" s="1">
        <v>0</v>
      </c>
      <c r="BG2872" s="1">
        <v>0</v>
      </c>
      <c r="BH2872" s="1">
        <v>0</v>
      </c>
      <c r="BI2872" s="1">
        <v>0</v>
      </c>
      <c r="BJ2872" s="1">
        <v>0</v>
      </c>
      <c r="BK2872" s="1">
        <v>0</v>
      </c>
      <c r="BL2872" s="1">
        <v>0</v>
      </c>
      <c r="BM2872" s="1">
        <v>0</v>
      </c>
      <c r="BN2872" s="1">
        <v>0</v>
      </c>
      <c r="BO2872" s="1">
        <v>0</v>
      </c>
      <c r="BP2872" s="1">
        <v>0</v>
      </c>
      <c r="BQ2872" s="1" t="s">
        <v>104</v>
      </c>
      <c r="BR2872" s="1">
        <v>4999</v>
      </c>
      <c r="BS2872" s="1" t="s">
        <v>104</v>
      </c>
      <c r="BX2872" s="1">
        <v>0</v>
      </c>
      <c r="BY2872" s="1" t="s">
        <v>104</v>
      </c>
      <c r="BZ2872" s="1" t="s">
        <v>104</v>
      </c>
      <c r="CA2872" s="1" t="s">
        <v>104</v>
      </c>
      <c r="CB2872" s="1" t="s">
        <v>104</v>
      </c>
      <c r="CC2872" s="1" t="s">
        <v>104</v>
      </c>
      <c r="CD2872" s="1" t="s">
        <v>104</v>
      </c>
      <c r="CE2872" s="1" t="s">
        <v>104</v>
      </c>
      <c r="CF2872" s="1" t="s">
        <v>104</v>
      </c>
      <c r="CG2872" s="1" t="s">
        <v>104</v>
      </c>
      <c r="CH2872" s="1" t="s">
        <v>104</v>
      </c>
      <c r="CJ2872" s="1">
        <v>0</v>
      </c>
      <c r="CK2872" s="1">
        <v>0</v>
      </c>
      <c r="CL2872" s="1">
        <v>0</v>
      </c>
      <c r="CM2872" s="1" t="s">
        <v>104</v>
      </c>
    </row>
    <row r="2873" spans="1:91" ht="14.25" customHeight="1" x14ac:dyDescent="0.3">
      <c r="A2873" s="1" t="s">
        <v>14337</v>
      </c>
      <c r="B2873" s="1" t="s">
        <v>216</v>
      </c>
      <c r="D2873" s="1" t="s">
        <v>11441</v>
      </c>
      <c r="E2873" s="1" t="s">
        <v>14338</v>
      </c>
      <c r="F2873" s="1" t="s">
        <v>95</v>
      </c>
      <c r="G2873" s="1" t="s">
        <v>14339</v>
      </c>
      <c r="H2873" s="1">
        <v>0</v>
      </c>
      <c r="I2873" s="1" t="s">
        <v>128</v>
      </c>
      <c r="L2873" s="1" t="s">
        <v>14340</v>
      </c>
      <c r="M2873" s="1" t="s">
        <v>194</v>
      </c>
      <c r="N2873" s="1">
        <v>0</v>
      </c>
      <c r="O2873" s="1">
        <v>0</v>
      </c>
      <c r="P2873" s="1" t="s">
        <v>211</v>
      </c>
      <c r="Q2873" s="1" t="s">
        <v>184</v>
      </c>
      <c r="R2873" s="1" t="s">
        <v>14341</v>
      </c>
      <c r="S2873" s="1" t="s">
        <v>14294</v>
      </c>
      <c r="T2873" s="1">
        <v>1</v>
      </c>
      <c r="U2873" s="1">
        <v>1</v>
      </c>
      <c r="V2873" s="1">
        <v>1</v>
      </c>
      <c r="W2873" s="1">
        <v>0</v>
      </c>
      <c r="X2873" s="1">
        <v>0</v>
      </c>
      <c r="Y2873" s="1">
        <v>6</v>
      </c>
      <c r="Z2873" s="1">
        <v>6</v>
      </c>
      <c r="AA2873" s="1">
        <v>5</v>
      </c>
      <c r="AB2873" s="1">
        <v>5</v>
      </c>
      <c r="AC2873" s="1" t="s">
        <v>104</v>
      </c>
      <c r="AD2873" s="1" t="s">
        <v>104</v>
      </c>
      <c r="AE2873" s="1" t="s">
        <v>104</v>
      </c>
      <c r="AF2873" s="1" t="s">
        <v>104</v>
      </c>
      <c r="AG2873" s="1" t="s">
        <v>104</v>
      </c>
      <c r="AH2873" s="1">
        <v>5</v>
      </c>
      <c r="AI2873" s="1">
        <v>4</v>
      </c>
      <c r="AJ2873" s="1">
        <v>5</v>
      </c>
      <c r="AK2873" s="1">
        <v>4</v>
      </c>
      <c r="AL2873" s="1" t="s">
        <v>104</v>
      </c>
      <c r="AM2873" s="1" t="s">
        <v>104</v>
      </c>
      <c r="AO2873" s="1">
        <v>6</v>
      </c>
      <c r="AQ2873" s="1" t="s">
        <v>14342</v>
      </c>
      <c r="AR2873" s="1">
        <v>0</v>
      </c>
      <c r="AS2873" s="1">
        <v>0</v>
      </c>
      <c r="AT2873" s="1">
        <v>0</v>
      </c>
      <c r="AU2873" s="1">
        <v>0</v>
      </c>
      <c r="AV2873" s="1">
        <v>1</v>
      </c>
      <c r="AW2873" s="1">
        <v>0</v>
      </c>
      <c r="AX2873" s="1">
        <v>0</v>
      </c>
      <c r="AY2873" s="1">
        <v>0</v>
      </c>
      <c r="AZ2873" s="1">
        <v>0</v>
      </c>
      <c r="BA2873" s="1">
        <v>0</v>
      </c>
      <c r="BB2873" s="1">
        <v>0</v>
      </c>
      <c r="BC2873" s="1">
        <v>0</v>
      </c>
      <c r="BD2873" s="1">
        <v>0</v>
      </c>
      <c r="BE2873" s="1">
        <v>0</v>
      </c>
      <c r="BF2873" s="1">
        <v>0</v>
      </c>
      <c r="BG2873" s="1">
        <v>0</v>
      </c>
      <c r="BH2873" s="1">
        <v>0</v>
      </c>
      <c r="BI2873" s="1">
        <v>0</v>
      </c>
      <c r="BJ2873" s="1">
        <v>0</v>
      </c>
      <c r="BK2873" s="1">
        <v>0</v>
      </c>
      <c r="BL2873" s="1">
        <v>0</v>
      </c>
      <c r="BM2873" s="1">
        <v>0</v>
      </c>
      <c r="BN2873" s="1">
        <v>0</v>
      </c>
      <c r="BO2873" s="1">
        <v>0</v>
      </c>
      <c r="BP2873" s="1">
        <v>0</v>
      </c>
      <c r="BQ2873" s="1" t="s">
        <v>104</v>
      </c>
      <c r="BR2873" s="1">
        <v>5000</v>
      </c>
      <c r="BS2873" s="1" t="s">
        <v>104</v>
      </c>
      <c r="BX2873" s="1">
        <v>0</v>
      </c>
      <c r="BY2873" s="1" t="s">
        <v>104</v>
      </c>
      <c r="BZ2873" s="1" t="s">
        <v>104</v>
      </c>
      <c r="CA2873" s="1" t="s">
        <v>104</v>
      </c>
      <c r="CB2873" s="1" t="s">
        <v>104</v>
      </c>
      <c r="CC2873" s="1" t="s">
        <v>104</v>
      </c>
      <c r="CD2873" s="1" t="s">
        <v>104</v>
      </c>
      <c r="CE2873" s="1">
        <v>4</v>
      </c>
      <c r="CF2873" s="1" t="s">
        <v>104</v>
      </c>
      <c r="CG2873" s="1" t="s">
        <v>104</v>
      </c>
      <c r="CH2873" s="1">
        <v>5</v>
      </c>
      <c r="CJ2873" s="1">
        <v>0</v>
      </c>
      <c r="CK2873" s="1">
        <v>0</v>
      </c>
      <c r="CL2873" s="1">
        <v>0</v>
      </c>
      <c r="CM2873" s="1" t="s">
        <v>104</v>
      </c>
    </row>
    <row r="2874" spans="1:91" ht="14.25" customHeight="1" x14ac:dyDescent="0.3">
      <c r="A2874" s="1" t="s">
        <v>14343</v>
      </c>
      <c r="B2874" s="1" t="s">
        <v>162</v>
      </c>
      <c r="E2874" s="1" t="s">
        <v>14344</v>
      </c>
      <c r="F2874" s="1" t="s">
        <v>191</v>
      </c>
      <c r="G2874" s="1" t="s">
        <v>116</v>
      </c>
      <c r="H2874" s="1">
        <v>0</v>
      </c>
      <c r="I2874" s="1" t="s">
        <v>128</v>
      </c>
      <c r="L2874" s="1" t="s">
        <v>14345</v>
      </c>
      <c r="M2874" s="1" t="s">
        <v>119</v>
      </c>
      <c r="N2874" s="1">
        <v>0</v>
      </c>
      <c r="O2874" s="1">
        <v>0</v>
      </c>
      <c r="P2874" s="1" t="s">
        <v>375</v>
      </c>
      <c r="Q2874" s="1" t="s">
        <v>184</v>
      </c>
      <c r="R2874" s="1" t="s">
        <v>14346</v>
      </c>
      <c r="S2874" s="1" t="s">
        <v>14294</v>
      </c>
      <c r="T2874" s="1">
        <v>1</v>
      </c>
      <c r="U2874" s="1">
        <v>1</v>
      </c>
      <c r="V2874" s="1">
        <v>0</v>
      </c>
      <c r="W2874" s="1">
        <v>0</v>
      </c>
      <c r="X2874" s="1">
        <v>0</v>
      </c>
      <c r="Y2874" s="1">
        <v>4</v>
      </c>
      <c r="Z2874" s="1">
        <v>4</v>
      </c>
      <c r="AA2874" s="1">
        <v>3</v>
      </c>
      <c r="AB2874" s="1" t="s">
        <v>104</v>
      </c>
      <c r="AC2874" s="1" t="s">
        <v>104</v>
      </c>
      <c r="AD2874" s="1" t="s">
        <v>104</v>
      </c>
      <c r="AE2874" s="1" t="s">
        <v>104</v>
      </c>
      <c r="AF2874" s="1" t="s">
        <v>104</v>
      </c>
      <c r="AG2874" s="1" t="s">
        <v>104</v>
      </c>
      <c r="AH2874" s="1" t="s">
        <v>104</v>
      </c>
      <c r="AI2874" s="1" t="s">
        <v>104</v>
      </c>
      <c r="AJ2874" s="1">
        <v>3</v>
      </c>
      <c r="AK2874" s="1" t="s">
        <v>104</v>
      </c>
      <c r="AL2874" s="1" t="s">
        <v>104</v>
      </c>
      <c r="AM2874" s="1" t="s">
        <v>104</v>
      </c>
      <c r="AO2874" s="1">
        <v>4</v>
      </c>
      <c r="AQ2874" s="1" t="s">
        <v>14347</v>
      </c>
      <c r="AR2874" s="1">
        <v>0</v>
      </c>
      <c r="AS2874" s="1">
        <v>0</v>
      </c>
      <c r="AT2874" s="1">
        <v>0</v>
      </c>
      <c r="AU2874" s="1">
        <v>0</v>
      </c>
      <c r="AV2874" s="1">
        <v>0</v>
      </c>
      <c r="AW2874" s="1">
        <v>0</v>
      </c>
      <c r="AX2874" s="1">
        <v>0</v>
      </c>
      <c r="AY2874" s="1">
        <v>0</v>
      </c>
      <c r="AZ2874" s="1">
        <v>0</v>
      </c>
      <c r="BA2874" s="1">
        <v>0</v>
      </c>
      <c r="BB2874" s="1">
        <v>0</v>
      </c>
      <c r="BC2874" s="1">
        <v>0</v>
      </c>
      <c r="BD2874" s="1">
        <v>0</v>
      </c>
      <c r="BE2874" s="1">
        <v>0</v>
      </c>
      <c r="BF2874" s="1">
        <v>0</v>
      </c>
      <c r="BG2874" s="1">
        <v>0</v>
      </c>
      <c r="BH2874" s="1">
        <v>0</v>
      </c>
      <c r="BI2874" s="1">
        <v>0</v>
      </c>
      <c r="BJ2874" s="1">
        <v>0</v>
      </c>
      <c r="BK2874" s="1">
        <v>0</v>
      </c>
      <c r="BL2874" s="1">
        <v>0</v>
      </c>
      <c r="BM2874" s="1">
        <v>0</v>
      </c>
      <c r="BN2874" s="1">
        <v>0</v>
      </c>
      <c r="BO2874" s="1">
        <v>0</v>
      </c>
      <c r="BP2874" s="1">
        <v>0</v>
      </c>
      <c r="BQ2874" s="1" t="s">
        <v>104</v>
      </c>
      <c r="BR2874" s="1">
        <v>5001</v>
      </c>
      <c r="BS2874" s="1" t="s">
        <v>104</v>
      </c>
      <c r="BX2874" s="1">
        <v>0</v>
      </c>
      <c r="BY2874" s="1" t="s">
        <v>104</v>
      </c>
      <c r="BZ2874" s="1" t="s">
        <v>104</v>
      </c>
      <c r="CA2874" s="1" t="s">
        <v>104</v>
      </c>
      <c r="CB2874" s="1" t="s">
        <v>104</v>
      </c>
      <c r="CC2874" s="1" t="s">
        <v>104</v>
      </c>
      <c r="CD2874" s="1" t="s">
        <v>104</v>
      </c>
      <c r="CE2874" s="1" t="s">
        <v>104</v>
      </c>
      <c r="CF2874" s="1" t="s">
        <v>104</v>
      </c>
      <c r="CG2874" s="1" t="s">
        <v>104</v>
      </c>
      <c r="CH2874" s="1" t="s">
        <v>104</v>
      </c>
      <c r="CJ2874" s="1">
        <v>0</v>
      </c>
      <c r="CK2874" s="1">
        <v>0</v>
      </c>
      <c r="CL2874" s="1">
        <v>0</v>
      </c>
      <c r="CM2874" s="1" t="s">
        <v>104</v>
      </c>
    </row>
    <row r="2875" spans="1:91" ht="14.25" customHeight="1" x14ac:dyDescent="0.3">
      <c r="A2875" s="1" t="s">
        <v>14348</v>
      </c>
      <c r="B2875" s="1" t="s">
        <v>137</v>
      </c>
      <c r="C2875" s="1" t="s">
        <v>154</v>
      </c>
      <c r="E2875" s="1" t="s">
        <v>14349</v>
      </c>
      <c r="F2875" s="1" t="s">
        <v>95</v>
      </c>
      <c r="G2875" s="1" t="s">
        <v>156</v>
      </c>
      <c r="H2875" s="1">
        <v>0</v>
      </c>
      <c r="I2875" s="1" t="s">
        <v>157</v>
      </c>
      <c r="L2875" s="1" t="s">
        <v>158</v>
      </c>
      <c r="M2875" s="1" t="s">
        <v>4992</v>
      </c>
      <c r="N2875" s="1">
        <v>1</v>
      </c>
      <c r="O2875" s="1">
        <v>0</v>
      </c>
      <c r="R2875" s="1" t="s">
        <v>14350</v>
      </c>
      <c r="S2875" s="1" t="s">
        <v>14294</v>
      </c>
      <c r="T2875" s="1">
        <v>1</v>
      </c>
      <c r="U2875" s="1">
        <v>1</v>
      </c>
      <c r="V2875" s="1">
        <v>1</v>
      </c>
      <c r="W2875" s="1">
        <v>0</v>
      </c>
      <c r="X2875" s="1">
        <v>0</v>
      </c>
      <c r="Y2875" s="1">
        <v>3</v>
      </c>
      <c r="Z2875" s="1">
        <v>3</v>
      </c>
      <c r="AA2875" s="1" t="s">
        <v>104</v>
      </c>
      <c r="AB2875" s="1" t="s">
        <v>104</v>
      </c>
      <c r="AC2875" s="1" t="s">
        <v>104</v>
      </c>
      <c r="AD2875" s="1">
        <v>3</v>
      </c>
      <c r="AE2875" s="1" t="s">
        <v>104</v>
      </c>
      <c r="AF2875" s="1">
        <v>3</v>
      </c>
      <c r="AG2875" s="1" t="s">
        <v>104</v>
      </c>
      <c r="AH2875" s="1" t="s">
        <v>104</v>
      </c>
      <c r="AI2875" s="1" t="s">
        <v>104</v>
      </c>
      <c r="AJ2875" s="1" t="s">
        <v>104</v>
      </c>
      <c r="AK2875" s="1" t="s">
        <v>104</v>
      </c>
      <c r="AL2875" s="1">
        <v>3</v>
      </c>
      <c r="AM2875" s="1" t="s">
        <v>104</v>
      </c>
      <c r="AO2875" s="1">
        <v>3</v>
      </c>
      <c r="AQ2875" s="1" t="s">
        <v>14351</v>
      </c>
      <c r="AR2875" s="1">
        <v>0</v>
      </c>
      <c r="AS2875" s="1">
        <v>0</v>
      </c>
      <c r="AT2875" s="1">
        <v>0</v>
      </c>
      <c r="AU2875" s="1">
        <v>0</v>
      </c>
      <c r="AV2875" s="1">
        <v>0</v>
      </c>
      <c r="AW2875" s="1">
        <v>0</v>
      </c>
      <c r="AX2875" s="1">
        <v>0</v>
      </c>
      <c r="AY2875" s="1">
        <v>0</v>
      </c>
      <c r="AZ2875" s="1">
        <v>0</v>
      </c>
      <c r="BA2875" s="1">
        <v>0</v>
      </c>
      <c r="BB2875" s="1">
        <v>0</v>
      </c>
      <c r="BC2875" s="1">
        <v>0</v>
      </c>
      <c r="BD2875" s="1">
        <v>0</v>
      </c>
      <c r="BE2875" s="1">
        <v>0</v>
      </c>
      <c r="BF2875" s="1">
        <v>0</v>
      </c>
      <c r="BG2875" s="1">
        <v>0</v>
      </c>
      <c r="BH2875" s="1">
        <v>0</v>
      </c>
      <c r="BI2875" s="1">
        <v>0</v>
      </c>
      <c r="BJ2875" s="1">
        <v>0</v>
      </c>
      <c r="BK2875" s="1">
        <v>0</v>
      </c>
      <c r="BL2875" s="1">
        <v>0</v>
      </c>
      <c r="BM2875" s="1">
        <v>0</v>
      </c>
      <c r="BN2875" s="1">
        <v>0</v>
      </c>
      <c r="BO2875" s="1">
        <v>0</v>
      </c>
      <c r="BP2875" s="1">
        <v>0</v>
      </c>
      <c r="BQ2875" s="1" t="s">
        <v>104</v>
      </c>
      <c r="BR2875" s="1">
        <v>5002</v>
      </c>
      <c r="BS2875" s="1" t="s">
        <v>104</v>
      </c>
      <c r="BX2875" s="1">
        <v>0</v>
      </c>
      <c r="BY2875" s="1">
        <v>3</v>
      </c>
      <c r="BZ2875" s="1" t="s">
        <v>104</v>
      </c>
      <c r="CA2875" s="1" t="s">
        <v>104</v>
      </c>
      <c r="CB2875" s="1" t="s">
        <v>104</v>
      </c>
      <c r="CC2875" s="1" t="s">
        <v>104</v>
      </c>
      <c r="CD2875" s="1" t="s">
        <v>104</v>
      </c>
      <c r="CE2875" s="1" t="s">
        <v>104</v>
      </c>
      <c r="CF2875" s="1" t="s">
        <v>104</v>
      </c>
      <c r="CG2875" s="1" t="s">
        <v>104</v>
      </c>
      <c r="CH2875" s="1" t="s">
        <v>104</v>
      </c>
      <c r="CJ2875" s="1">
        <v>0</v>
      </c>
      <c r="CK2875" s="1">
        <v>0</v>
      </c>
      <c r="CL2875" s="1">
        <v>0</v>
      </c>
      <c r="CM2875" s="1" t="s">
        <v>104</v>
      </c>
    </row>
    <row r="2876" spans="1:91" ht="14.25" customHeight="1" x14ac:dyDescent="0.3">
      <c r="A2876" s="1" t="s">
        <v>14352</v>
      </c>
      <c r="B2876" s="1" t="s">
        <v>137</v>
      </c>
      <c r="D2876" s="1" t="s">
        <v>145</v>
      </c>
      <c r="E2876" s="1" t="s">
        <v>14353</v>
      </c>
      <c r="F2876" s="1" t="s">
        <v>255</v>
      </c>
      <c r="G2876" s="1" t="s">
        <v>14354</v>
      </c>
      <c r="H2876" s="1">
        <v>1</v>
      </c>
      <c r="I2876" s="1" t="s">
        <v>157</v>
      </c>
      <c r="L2876" s="1" t="s">
        <v>158</v>
      </c>
      <c r="M2876" s="1" t="s">
        <v>4292</v>
      </c>
      <c r="N2876" s="1">
        <v>0</v>
      </c>
      <c r="O2876" s="1">
        <v>0</v>
      </c>
      <c r="R2876" s="1" t="s">
        <v>14355</v>
      </c>
      <c r="S2876" s="1" t="s">
        <v>14294</v>
      </c>
      <c r="T2876" s="1">
        <v>1</v>
      </c>
      <c r="U2876" s="1">
        <v>1</v>
      </c>
      <c r="V2876" s="1">
        <v>1</v>
      </c>
      <c r="W2876" s="1">
        <v>0</v>
      </c>
      <c r="X2876" s="1">
        <v>0</v>
      </c>
      <c r="Y2876" s="1" t="s">
        <v>104</v>
      </c>
      <c r="Z2876" s="1" t="s">
        <v>104</v>
      </c>
      <c r="AA2876" s="1">
        <v>6</v>
      </c>
      <c r="AB2876" s="1" t="s">
        <v>104</v>
      </c>
      <c r="AC2876" s="1">
        <v>4</v>
      </c>
      <c r="AD2876" s="1" t="s">
        <v>104</v>
      </c>
      <c r="AE2876" s="1">
        <v>4</v>
      </c>
      <c r="AF2876" s="1" t="s">
        <v>104</v>
      </c>
      <c r="AG2876" s="1" t="s">
        <v>104</v>
      </c>
      <c r="AH2876" s="1">
        <v>6</v>
      </c>
      <c r="AI2876" s="1">
        <v>6</v>
      </c>
      <c r="AJ2876" s="1">
        <v>6</v>
      </c>
      <c r="AK2876" s="1">
        <v>4</v>
      </c>
      <c r="AL2876" s="1" t="s">
        <v>104</v>
      </c>
      <c r="AM2876" s="1" t="s">
        <v>104</v>
      </c>
      <c r="AO2876" s="1">
        <v>6</v>
      </c>
      <c r="AQ2876" s="1" t="s">
        <v>14356</v>
      </c>
      <c r="AR2876" s="1">
        <v>0</v>
      </c>
      <c r="AS2876" s="1">
        <v>0</v>
      </c>
      <c r="AT2876" s="1">
        <v>0</v>
      </c>
      <c r="AU2876" s="1">
        <v>0</v>
      </c>
      <c r="AV2876" s="1">
        <v>0</v>
      </c>
      <c r="AW2876" s="1">
        <v>0</v>
      </c>
      <c r="AX2876" s="1">
        <v>0</v>
      </c>
      <c r="AY2876" s="1">
        <v>0</v>
      </c>
      <c r="AZ2876" s="1">
        <v>0</v>
      </c>
      <c r="BA2876" s="1">
        <v>0</v>
      </c>
      <c r="BB2876" s="1">
        <v>0</v>
      </c>
      <c r="BC2876" s="1">
        <v>0</v>
      </c>
      <c r="BD2876" s="1">
        <v>0</v>
      </c>
      <c r="BE2876" s="1">
        <v>0</v>
      </c>
      <c r="BF2876" s="1">
        <v>0</v>
      </c>
      <c r="BG2876" s="1">
        <v>0</v>
      </c>
      <c r="BH2876" s="1">
        <v>0</v>
      </c>
      <c r="BI2876" s="1">
        <v>0</v>
      </c>
      <c r="BJ2876" s="1">
        <v>0</v>
      </c>
      <c r="BK2876" s="1">
        <v>0</v>
      </c>
      <c r="BL2876" s="1">
        <v>0</v>
      </c>
      <c r="BM2876" s="1">
        <v>0</v>
      </c>
      <c r="BN2876" s="1">
        <v>0</v>
      </c>
      <c r="BO2876" s="1">
        <v>0</v>
      </c>
      <c r="BP2876" s="1">
        <v>0</v>
      </c>
      <c r="BQ2876" s="1" t="s">
        <v>104</v>
      </c>
      <c r="BR2876" s="1">
        <v>5003</v>
      </c>
      <c r="BS2876" s="1">
        <v>1000</v>
      </c>
      <c r="BX2876" s="1">
        <v>0</v>
      </c>
      <c r="BY2876" s="1" t="s">
        <v>104</v>
      </c>
      <c r="BZ2876" s="1" t="s">
        <v>104</v>
      </c>
      <c r="CA2876" s="1" t="s">
        <v>104</v>
      </c>
      <c r="CB2876" s="1">
        <v>4</v>
      </c>
      <c r="CC2876" s="1" t="s">
        <v>104</v>
      </c>
      <c r="CD2876" s="1">
        <v>6</v>
      </c>
      <c r="CE2876" s="1" t="s">
        <v>104</v>
      </c>
      <c r="CF2876" s="1" t="s">
        <v>104</v>
      </c>
      <c r="CG2876" s="1" t="s">
        <v>104</v>
      </c>
      <c r="CH2876" s="1">
        <v>4</v>
      </c>
      <c r="CJ2876" s="1">
        <v>0</v>
      </c>
      <c r="CK2876" s="1">
        <v>0</v>
      </c>
      <c r="CL2876" s="1">
        <v>0</v>
      </c>
      <c r="CM2876" s="1" t="s">
        <v>104</v>
      </c>
    </row>
    <row r="2877" spans="1:91" ht="14.25" customHeight="1" x14ac:dyDescent="0.3">
      <c r="A2877" s="1" t="s">
        <v>14357</v>
      </c>
      <c r="B2877" s="1" t="s">
        <v>216</v>
      </c>
      <c r="E2877" s="1" t="s">
        <v>14358</v>
      </c>
      <c r="F2877" s="1" t="s">
        <v>287</v>
      </c>
      <c r="G2877" s="1" t="s">
        <v>14359</v>
      </c>
      <c r="H2877" s="1">
        <v>1</v>
      </c>
      <c r="I2877" s="1" t="s">
        <v>128</v>
      </c>
      <c r="L2877" s="1" t="s">
        <v>14360</v>
      </c>
      <c r="M2877" s="1" t="s">
        <v>119</v>
      </c>
      <c r="N2877" s="1">
        <v>0</v>
      </c>
      <c r="O2877" s="1">
        <v>0</v>
      </c>
      <c r="P2877" s="1" t="s">
        <v>100</v>
      </c>
      <c r="Q2877" s="1" t="s">
        <v>101</v>
      </c>
      <c r="R2877" s="1" t="s">
        <v>14361</v>
      </c>
      <c r="S2877" s="1" t="s">
        <v>14294</v>
      </c>
      <c r="T2877" s="1">
        <v>1</v>
      </c>
      <c r="U2877" s="1">
        <v>1</v>
      </c>
      <c r="V2877" s="1">
        <v>1</v>
      </c>
      <c r="W2877" s="1">
        <v>0</v>
      </c>
      <c r="X2877" s="1">
        <v>0</v>
      </c>
      <c r="Y2877" s="1" t="s">
        <v>104</v>
      </c>
      <c r="Z2877" s="1" t="s">
        <v>104</v>
      </c>
      <c r="AA2877" s="1">
        <v>9</v>
      </c>
      <c r="AB2877" s="1" t="s">
        <v>104</v>
      </c>
      <c r="AC2877" s="1" t="s">
        <v>104</v>
      </c>
      <c r="AD2877" s="1" t="s">
        <v>104</v>
      </c>
      <c r="AE2877" s="1" t="s">
        <v>104</v>
      </c>
      <c r="AF2877" s="1" t="s">
        <v>104</v>
      </c>
      <c r="AG2877" s="1" t="s">
        <v>104</v>
      </c>
      <c r="AH2877" s="1" t="s">
        <v>104</v>
      </c>
      <c r="AI2877" s="1" t="s">
        <v>104</v>
      </c>
      <c r="AJ2877" s="1">
        <v>9</v>
      </c>
      <c r="AK2877" s="1" t="s">
        <v>104</v>
      </c>
      <c r="AL2877" s="1" t="s">
        <v>104</v>
      </c>
      <c r="AM2877" s="1" t="s">
        <v>104</v>
      </c>
      <c r="AO2877" s="1">
        <v>9</v>
      </c>
      <c r="AQ2877" s="1" t="s">
        <v>14362</v>
      </c>
      <c r="AR2877" s="1">
        <v>0</v>
      </c>
      <c r="AS2877" s="1">
        <v>0</v>
      </c>
      <c r="AT2877" s="1">
        <v>0</v>
      </c>
      <c r="AU2877" s="1">
        <v>0</v>
      </c>
      <c r="AV2877" s="1">
        <v>0</v>
      </c>
      <c r="AW2877" s="1">
        <v>0</v>
      </c>
      <c r="AX2877" s="1">
        <v>0</v>
      </c>
      <c r="AY2877" s="1">
        <v>0</v>
      </c>
      <c r="AZ2877" s="1">
        <v>0</v>
      </c>
      <c r="BA2877" s="1">
        <v>0</v>
      </c>
      <c r="BB2877" s="1">
        <v>0</v>
      </c>
      <c r="BC2877" s="1">
        <v>0</v>
      </c>
      <c r="BD2877" s="1">
        <v>0</v>
      </c>
      <c r="BE2877" s="1">
        <v>0</v>
      </c>
      <c r="BF2877" s="1">
        <v>0</v>
      </c>
      <c r="BG2877" s="1">
        <v>0</v>
      </c>
      <c r="BH2877" s="1">
        <v>0</v>
      </c>
      <c r="BI2877" s="1">
        <v>0</v>
      </c>
      <c r="BJ2877" s="1">
        <v>0</v>
      </c>
      <c r="BK2877" s="1">
        <v>0</v>
      </c>
      <c r="BL2877" s="1">
        <v>0</v>
      </c>
      <c r="BM2877" s="1">
        <v>0</v>
      </c>
      <c r="BN2877" s="1">
        <v>0</v>
      </c>
      <c r="BO2877" s="1">
        <v>0</v>
      </c>
      <c r="BP2877" s="1">
        <v>0</v>
      </c>
      <c r="BQ2877" s="1" t="s">
        <v>104</v>
      </c>
      <c r="BR2877" s="1">
        <v>5004</v>
      </c>
      <c r="BS2877" s="1">
        <v>50000</v>
      </c>
      <c r="BX2877" s="1">
        <v>0</v>
      </c>
      <c r="BY2877" s="1" t="s">
        <v>104</v>
      </c>
      <c r="BZ2877" s="1">
        <v>9</v>
      </c>
      <c r="CA2877" s="1">
        <v>9</v>
      </c>
      <c r="CB2877" s="1" t="s">
        <v>104</v>
      </c>
      <c r="CC2877" s="1" t="s">
        <v>104</v>
      </c>
      <c r="CD2877" s="1" t="s">
        <v>104</v>
      </c>
      <c r="CE2877" s="1" t="s">
        <v>104</v>
      </c>
      <c r="CF2877" s="1" t="s">
        <v>104</v>
      </c>
      <c r="CG2877" s="1" t="s">
        <v>104</v>
      </c>
      <c r="CH2877" s="1" t="s">
        <v>104</v>
      </c>
      <c r="CJ2877" s="1">
        <v>0</v>
      </c>
      <c r="CK2877" s="1">
        <v>0</v>
      </c>
      <c r="CL2877" s="1">
        <v>0</v>
      </c>
      <c r="CM2877" s="1" t="s">
        <v>104</v>
      </c>
    </row>
    <row r="2878" spans="1:91" ht="14.25" customHeight="1" x14ac:dyDescent="0.3">
      <c r="A2878" s="1" t="s">
        <v>14363</v>
      </c>
      <c r="B2878" s="1" t="s">
        <v>216</v>
      </c>
      <c r="E2878" s="1" t="s">
        <v>14364</v>
      </c>
      <c r="F2878" s="1" t="s">
        <v>95</v>
      </c>
      <c r="G2878" s="1" t="s">
        <v>116</v>
      </c>
      <c r="H2878" s="1">
        <v>0</v>
      </c>
      <c r="I2878" s="1" t="s">
        <v>117</v>
      </c>
      <c r="J2878" s="1" t="s">
        <v>10246</v>
      </c>
      <c r="M2878" s="1" t="s">
        <v>14365</v>
      </c>
      <c r="N2878" s="1">
        <v>0</v>
      </c>
      <c r="O2878" s="1">
        <v>0</v>
      </c>
      <c r="P2878" s="1" t="s">
        <v>14366</v>
      </c>
      <c r="Q2878" s="1" t="s">
        <v>184</v>
      </c>
      <c r="R2878" s="1" t="s">
        <v>14367</v>
      </c>
      <c r="S2878" s="1" t="s">
        <v>14294</v>
      </c>
      <c r="T2878" s="1">
        <v>1</v>
      </c>
      <c r="U2878" s="1">
        <v>1</v>
      </c>
      <c r="V2878" s="1">
        <v>0</v>
      </c>
      <c r="W2878" s="1">
        <v>0</v>
      </c>
      <c r="X2878" s="1">
        <v>0</v>
      </c>
      <c r="Y2878" s="1">
        <v>1</v>
      </c>
      <c r="Z2878" s="1">
        <v>1</v>
      </c>
      <c r="AA2878" s="1">
        <v>1</v>
      </c>
      <c r="AB2878" s="1" t="s">
        <v>104</v>
      </c>
      <c r="AC2878" s="1" t="s">
        <v>104</v>
      </c>
      <c r="AD2878" s="1" t="s">
        <v>104</v>
      </c>
      <c r="AE2878" s="1">
        <v>1</v>
      </c>
      <c r="AF2878" s="1" t="s">
        <v>104</v>
      </c>
      <c r="AG2878" s="1">
        <v>1</v>
      </c>
      <c r="AH2878" s="1">
        <v>1</v>
      </c>
      <c r="AI2878" s="1">
        <v>1</v>
      </c>
      <c r="AJ2878" s="1">
        <v>1</v>
      </c>
      <c r="AK2878" s="1" t="s">
        <v>104</v>
      </c>
      <c r="AL2878" s="1" t="s">
        <v>104</v>
      </c>
      <c r="AM2878" s="1" t="s">
        <v>104</v>
      </c>
      <c r="AO2878" s="1">
        <v>1</v>
      </c>
      <c r="AQ2878" s="1" t="s">
        <v>14368</v>
      </c>
      <c r="AR2878" s="1">
        <v>0</v>
      </c>
      <c r="AS2878" s="1">
        <v>0</v>
      </c>
      <c r="AT2878" s="1">
        <v>0</v>
      </c>
      <c r="AU2878" s="1">
        <v>0</v>
      </c>
      <c r="AV2878" s="1">
        <v>0</v>
      </c>
      <c r="AW2878" s="1">
        <v>0</v>
      </c>
      <c r="AX2878" s="1">
        <v>0</v>
      </c>
      <c r="AY2878" s="1">
        <v>0</v>
      </c>
      <c r="AZ2878" s="1">
        <v>0</v>
      </c>
      <c r="BA2878" s="1">
        <v>0</v>
      </c>
      <c r="BB2878" s="1">
        <v>0</v>
      </c>
      <c r="BC2878" s="1">
        <v>0</v>
      </c>
      <c r="BD2878" s="1">
        <v>0</v>
      </c>
      <c r="BE2878" s="1">
        <v>0</v>
      </c>
      <c r="BF2878" s="1">
        <v>0</v>
      </c>
      <c r="BG2878" s="1">
        <v>0</v>
      </c>
      <c r="BH2878" s="1">
        <v>0</v>
      </c>
      <c r="BI2878" s="1">
        <v>0</v>
      </c>
      <c r="BJ2878" s="1">
        <v>0</v>
      </c>
      <c r="BK2878" s="1">
        <v>0</v>
      </c>
      <c r="BL2878" s="1">
        <v>0</v>
      </c>
      <c r="BM2878" s="1">
        <v>0</v>
      </c>
      <c r="BN2878" s="1">
        <v>0</v>
      </c>
      <c r="BO2878" s="1">
        <v>0</v>
      </c>
      <c r="BP2878" s="1">
        <v>0</v>
      </c>
      <c r="BQ2878" s="1" t="s">
        <v>104</v>
      </c>
      <c r="BR2878" s="1">
        <v>5005</v>
      </c>
      <c r="BS2878" s="1" t="s">
        <v>104</v>
      </c>
      <c r="BX2878" s="1">
        <v>0</v>
      </c>
      <c r="BY2878" s="1" t="s">
        <v>104</v>
      </c>
      <c r="BZ2878" s="1">
        <v>1</v>
      </c>
      <c r="CA2878" s="1" t="s">
        <v>104</v>
      </c>
      <c r="CB2878" s="1" t="s">
        <v>104</v>
      </c>
      <c r="CC2878" s="1" t="s">
        <v>104</v>
      </c>
      <c r="CD2878" s="1" t="s">
        <v>104</v>
      </c>
      <c r="CE2878" s="1">
        <v>1</v>
      </c>
      <c r="CF2878" s="1" t="s">
        <v>104</v>
      </c>
      <c r="CG2878" s="1" t="s">
        <v>104</v>
      </c>
      <c r="CH2878" s="1" t="s">
        <v>104</v>
      </c>
      <c r="CJ2878" s="1">
        <v>0</v>
      </c>
      <c r="CK2878" s="1">
        <v>0</v>
      </c>
      <c r="CL2878" s="1">
        <v>0</v>
      </c>
      <c r="CM2878" s="1" t="s">
        <v>104</v>
      </c>
    </row>
    <row r="2879" spans="1:91" ht="14.25" customHeight="1" x14ac:dyDescent="0.3">
      <c r="A2879" s="1" t="s">
        <v>14369</v>
      </c>
      <c r="B2879" s="1" t="s">
        <v>216</v>
      </c>
      <c r="E2879" s="1" t="s">
        <v>14370</v>
      </c>
      <c r="F2879" s="1" t="s">
        <v>95</v>
      </c>
      <c r="G2879" s="1" t="s">
        <v>116</v>
      </c>
      <c r="H2879" s="1">
        <v>0</v>
      </c>
      <c r="I2879" s="1" t="s">
        <v>117</v>
      </c>
      <c r="J2879" s="1" t="s">
        <v>14371</v>
      </c>
      <c r="M2879" s="1" t="s">
        <v>14365</v>
      </c>
      <c r="N2879" s="1">
        <v>0</v>
      </c>
      <c r="O2879" s="1">
        <v>0</v>
      </c>
      <c r="P2879" s="1" t="s">
        <v>14366</v>
      </c>
      <c r="Q2879" s="1" t="s">
        <v>184</v>
      </c>
      <c r="R2879" s="1" t="s">
        <v>14372</v>
      </c>
      <c r="S2879" s="1" t="s">
        <v>14294</v>
      </c>
      <c r="T2879" s="1">
        <v>1</v>
      </c>
      <c r="U2879" s="1">
        <v>1</v>
      </c>
      <c r="V2879" s="1">
        <v>0</v>
      </c>
      <c r="W2879" s="1">
        <v>0</v>
      </c>
      <c r="X2879" s="1">
        <v>0</v>
      </c>
      <c r="Y2879" s="1">
        <v>4</v>
      </c>
      <c r="Z2879" s="1">
        <v>4</v>
      </c>
      <c r="AA2879" s="1">
        <v>4</v>
      </c>
      <c r="AB2879" s="1" t="s">
        <v>104</v>
      </c>
      <c r="AC2879" s="1" t="s">
        <v>104</v>
      </c>
      <c r="AD2879" s="1" t="s">
        <v>104</v>
      </c>
      <c r="AE2879" s="1">
        <v>3</v>
      </c>
      <c r="AF2879" s="1" t="s">
        <v>104</v>
      </c>
      <c r="AG2879" s="1">
        <v>3</v>
      </c>
      <c r="AH2879" s="1">
        <v>4</v>
      </c>
      <c r="AI2879" s="1">
        <v>4</v>
      </c>
      <c r="AJ2879" s="1">
        <v>4</v>
      </c>
      <c r="AK2879" s="1" t="s">
        <v>104</v>
      </c>
      <c r="AL2879" s="1" t="s">
        <v>104</v>
      </c>
      <c r="AM2879" s="1" t="s">
        <v>104</v>
      </c>
      <c r="AO2879" s="1">
        <v>4</v>
      </c>
      <c r="AQ2879" s="1" t="s">
        <v>14373</v>
      </c>
      <c r="AR2879" s="1">
        <v>0</v>
      </c>
      <c r="AS2879" s="1">
        <v>0</v>
      </c>
      <c r="AT2879" s="1">
        <v>0</v>
      </c>
      <c r="AU2879" s="1">
        <v>0</v>
      </c>
      <c r="AV2879" s="1">
        <v>0</v>
      </c>
      <c r="AW2879" s="1">
        <v>0</v>
      </c>
      <c r="AX2879" s="1">
        <v>0</v>
      </c>
      <c r="AY2879" s="1">
        <v>0</v>
      </c>
      <c r="AZ2879" s="1">
        <v>0</v>
      </c>
      <c r="BA2879" s="1">
        <v>0</v>
      </c>
      <c r="BB2879" s="1">
        <v>0</v>
      </c>
      <c r="BC2879" s="1">
        <v>0</v>
      </c>
      <c r="BD2879" s="1">
        <v>0</v>
      </c>
      <c r="BE2879" s="1">
        <v>0</v>
      </c>
      <c r="BF2879" s="1">
        <v>0</v>
      </c>
      <c r="BG2879" s="1">
        <v>0</v>
      </c>
      <c r="BH2879" s="1">
        <v>0</v>
      </c>
      <c r="BI2879" s="1">
        <v>0</v>
      </c>
      <c r="BJ2879" s="1">
        <v>0</v>
      </c>
      <c r="BK2879" s="1">
        <v>0</v>
      </c>
      <c r="BL2879" s="1">
        <v>0</v>
      </c>
      <c r="BM2879" s="1">
        <v>0</v>
      </c>
      <c r="BN2879" s="1">
        <v>0</v>
      </c>
      <c r="BO2879" s="1">
        <v>0</v>
      </c>
      <c r="BP2879" s="1">
        <v>0</v>
      </c>
      <c r="BQ2879" s="1" t="s">
        <v>104</v>
      </c>
      <c r="BR2879" s="1">
        <v>5006</v>
      </c>
      <c r="BS2879" s="1" t="s">
        <v>104</v>
      </c>
      <c r="BX2879" s="1">
        <v>0</v>
      </c>
      <c r="BY2879" s="1" t="s">
        <v>104</v>
      </c>
      <c r="BZ2879" s="1">
        <v>4</v>
      </c>
      <c r="CA2879" s="1" t="s">
        <v>104</v>
      </c>
      <c r="CB2879" s="1" t="s">
        <v>104</v>
      </c>
      <c r="CC2879" s="1" t="s">
        <v>104</v>
      </c>
      <c r="CD2879" s="1" t="s">
        <v>104</v>
      </c>
      <c r="CE2879" s="1">
        <v>4</v>
      </c>
      <c r="CF2879" s="1" t="s">
        <v>104</v>
      </c>
      <c r="CG2879" s="1" t="s">
        <v>104</v>
      </c>
      <c r="CH2879" s="1" t="s">
        <v>104</v>
      </c>
      <c r="CJ2879" s="1">
        <v>0</v>
      </c>
      <c r="CK2879" s="1">
        <v>0</v>
      </c>
      <c r="CL2879" s="1">
        <v>0</v>
      </c>
      <c r="CM2879" s="1" t="s">
        <v>104</v>
      </c>
    </row>
    <row r="2880" spans="1:91" ht="14.25" customHeight="1" x14ac:dyDescent="0.3">
      <c r="A2880" s="1" t="s">
        <v>14374</v>
      </c>
      <c r="B2880" s="1" t="s">
        <v>137</v>
      </c>
      <c r="E2880" s="1" t="s">
        <v>9011</v>
      </c>
      <c r="F2880" s="1" t="s">
        <v>14375</v>
      </c>
      <c r="G2880" s="1" t="s">
        <v>14376</v>
      </c>
      <c r="H2880" s="1">
        <v>1</v>
      </c>
      <c r="I2880" s="1" t="s">
        <v>14377</v>
      </c>
      <c r="K2880" s="1" t="s">
        <v>14378</v>
      </c>
      <c r="M2880" s="1" t="s">
        <v>14379</v>
      </c>
      <c r="N2880" s="1">
        <v>0</v>
      </c>
      <c r="O2880" s="1">
        <v>0</v>
      </c>
      <c r="R2880" s="1" t="s">
        <v>14380</v>
      </c>
      <c r="S2880" s="1" t="s">
        <v>14294</v>
      </c>
      <c r="T2880" s="1">
        <v>1</v>
      </c>
      <c r="U2880" s="1">
        <v>1</v>
      </c>
      <c r="V2880" s="1">
        <v>0</v>
      </c>
      <c r="W2880" s="1">
        <v>0</v>
      </c>
      <c r="X2880" s="1">
        <v>0</v>
      </c>
      <c r="Y2880" s="1">
        <v>8</v>
      </c>
      <c r="Z2880" s="1">
        <v>8</v>
      </c>
      <c r="AA2880" s="1">
        <v>8</v>
      </c>
      <c r="AB2880" s="1" t="s">
        <v>104</v>
      </c>
      <c r="AC2880" s="1" t="s">
        <v>104</v>
      </c>
      <c r="AD2880" s="1" t="s">
        <v>104</v>
      </c>
      <c r="AE2880" s="1" t="s">
        <v>104</v>
      </c>
      <c r="AF2880" s="1" t="s">
        <v>104</v>
      </c>
      <c r="AG2880" s="1" t="s">
        <v>104</v>
      </c>
      <c r="AH2880" s="1">
        <v>8</v>
      </c>
      <c r="AI2880" s="1" t="s">
        <v>104</v>
      </c>
      <c r="AJ2880" s="1">
        <v>8</v>
      </c>
      <c r="AK2880" s="1" t="s">
        <v>104</v>
      </c>
      <c r="AL2880" s="1" t="s">
        <v>104</v>
      </c>
      <c r="AM2880" s="1" t="s">
        <v>104</v>
      </c>
      <c r="AO2880" s="1">
        <v>8</v>
      </c>
      <c r="AQ2880" s="1" t="s">
        <v>14381</v>
      </c>
      <c r="AR2880" s="1">
        <v>0</v>
      </c>
      <c r="AS2880" s="1">
        <v>0</v>
      </c>
      <c r="AT2880" s="1">
        <v>0</v>
      </c>
      <c r="AU2880" s="1">
        <v>0</v>
      </c>
      <c r="AV2880" s="1">
        <v>0</v>
      </c>
      <c r="AW2880" s="1">
        <v>0</v>
      </c>
      <c r="AX2880" s="1">
        <v>0</v>
      </c>
      <c r="AY2880" s="1">
        <v>0</v>
      </c>
      <c r="AZ2880" s="1">
        <v>0</v>
      </c>
      <c r="BA2880" s="1">
        <v>0</v>
      </c>
      <c r="BB2880" s="1">
        <v>0</v>
      </c>
      <c r="BC2880" s="1">
        <v>0</v>
      </c>
      <c r="BD2880" s="1">
        <v>0</v>
      </c>
      <c r="BE2880" s="1">
        <v>0</v>
      </c>
      <c r="BF2880" s="1">
        <v>0</v>
      </c>
      <c r="BG2880" s="1">
        <v>0</v>
      </c>
      <c r="BH2880" s="1">
        <v>0</v>
      </c>
      <c r="BI2880" s="1">
        <v>0</v>
      </c>
      <c r="BJ2880" s="1">
        <v>0</v>
      </c>
      <c r="BK2880" s="1">
        <v>0</v>
      </c>
      <c r="BL2880" s="1">
        <v>0</v>
      </c>
      <c r="BM2880" s="1">
        <v>0</v>
      </c>
      <c r="BN2880" s="1">
        <v>0</v>
      </c>
      <c r="BO2880" s="1">
        <v>0</v>
      </c>
      <c r="BP2880" s="1">
        <v>0</v>
      </c>
      <c r="BQ2880" s="1" t="s">
        <v>104</v>
      </c>
      <c r="BR2880" s="1">
        <v>5007</v>
      </c>
      <c r="BS2880" s="1">
        <v>2500</v>
      </c>
      <c r="BX2880" s="1">
        <v>0</v>
      </c>
      <c r="BY2880" s="1" t="s">
        <v>104</v>
      </c>
      <c r="BZ2880" s="1" t="s">
        <v>104</v>
      </c>
      <c r="CA2880" s="1" t="s">
        <v>104</v>
      </c>
      <c r="CB2880" s="1" t="s">
        <v>104</v>
      </c>
      <c r="CC2880" s="1" t="s">
        <v>104</v>
      </c>
      <c r="CD2880" s="1" t="s">
        <v>104</v>
      </c>
      <c r="CE2880" s="1" t="s">
        <v>104</v>
      </c>
      <c r="CF2880" s="1" t="s">
        <v>104</v>
      </c>
      <c r="CG2880" s="1" t="s">
        <v>104</v>
      </c>
      <c r="CH2880" s="1" t="s">
        <v>104</v>
      </c>
      <c r="CJ2880" s="1">
        <v>0</v>
      </c>
      <c r="CK2880" s="1">
        <v>0</v>
      </c>
      <c r="CL2880" s="1">
        <v>0</v>
      </c>
      <c r="CM2880" s="1" t="s">
        <v>104</v>
      </c>
    </row>
    <row r="2881" spans="1:91" ht="14.25" customHeight="1" x14ac:dyDescent="0.3">
      <c r="A2881" s="1" t="s">
        <v>14382</v>
      </c>
      <c r="B2881" s="1" t="s">
        <v>92</v>
      </c>
      <c r="C2881" s="1" t="s">
        <v>903</v>
      </c>
      <c r="E2881" s="1" t="s">
        <v>14383</v>
      </c>
      <c r="F2881" s="1" t="s">
        <v>95</v>
      </c>
      <c r="G2881" s="1" t="s">
        <v>14384</v>
      </c>
      <c r="H2881" s="1">
        <v>0</v>
      </c>
      <c r="I2881" s="1" t="s">
        <v>914</v>
      </c>
      <c r="J2881" s="1" t="s">
        <v>14385</v>
      </c>
      <c r="M2881" s="1" t="s">
        <v>5385</v>
      </c>
      <c r="N2881" s="1">
        <v>1</v>
      </c>
      <c r="O2881" s="1">
        <v>0</v>
      </c>
      <c r="P2881" s="1" t="s">
        <v>100</v>
      </c>
      <c r="Q2881" s="1" t="s">
        <v>101</v>
      </c>
      <c r="R2881" s="1" t="s">
        <v>14386</v>
      </c>
      <c r="S2881" s="1" t="s">
        <v>14294</v>
      </c>
      <c r="T2881" s="1">
        <v>1</v>
      </c>
      <c r="U2881" s="1">
        <v>1</v>
      </c>
      <c r="V2881" s="1">
        <v>0</v>
      </c>
      <c r="W2881" s="1">
        <v>0</v>
      </c>
      <c r="X2881" s="1">
        <v>0</v>
      </c>
      <c r="Y2881" s="1">
        <v>4</v>
      </c>
      <c r="Z2881" s="1">
        <v>4</v>
      </c>
      <c r="AA2881" s="1" t="s">
        <v>104</v>
      </c>
      <c r="AB2881" s="1" t="s">
        <v>104</v>
      </c>
      <c r="AC2881" s="1" t="s">
        <v>104</v>
      </c>
      <c r="AD2881" s="1" t="s">
        <v>104</v>
      </c>
      <c r="AE2881" s="1" t="s">
        <v>104</v>
      </c>
      <c r="AF2881" s="1" t="s">
        <v>104</v>
      </c>
      <c r="AG2881" s="1">
        <v>4</v>
      </c>
      <c r="AH2881" s="1" t="s">
        <v>104</v>
      </c>
      <c r="AI2881" s="1" t="s">
        <v>104</v>
      </c>
      <c r="AJ2881" s="1" t="s">
        <v>104</v>
      </c>
      <c r="AK2881" s="1" t="s">
        <v>104</v>
      </c>
      <c r="AL2881" s="1">
        <v>4</v>
      </c>
      <c r="AM2881" s="1" t="s">
        <v>104</v>
      </c>
      <c r="AO2881" s="1">
        <v>4</v>
      </c>
      <c r="AQ2881" s="1" t="s">
        <v>14387</v>
      </c>
      <c r="AR2881" s="1">
        <v>0</v>
      </c>
      <c r="AS2881" s="1">
        <v>0</v>
      </c>
      <c r="AT2881" s="1">
        <v>0</v>
      </c>
      <c r="AU2881" s="1">
        <v>0</v>
      </c>
      <c r="AV2881" s="1">
        <v>0</v>
      </c>
      <c r="AW2881" s="1">
        <v>0</v>
      </c>
      <c r="AX2881" s="1">
        <v>0</v>
      </c>
      <c r="AY2881" s="1">
        <v>0</v>
      </c>
      <c r="AZ2881" s="1">
        <v>0</v>
      </c>
      <c r="BA2881" s="1">
        <v>0</v>
      </c>
      <c r="BB2881" s="1">
        <v>0</v>
      </c>
      <c r="BC2881" s="1">
        <v>0</v>
      </c>
      <c r="BD2881" s="1">
        <v>0</v>
      </c>
      <c r="BE2881" s="1">
        <v>0</v>
      </c>
      <c r="BF2881" s="1">
        <v>0</v>
      </c>
      <c r="BG2881" s="1">
        <v>0</v>
      </c>
      <c r="BH2881" s="1">
        <v>0</v>
      </c>
      <c r="BI2881" s="1">
        <v>0</v>
      </c>
      <c r="BJ2881" s="1">
        <v>0</v>
      </c>
      <c r="BK2881" s="1">
        <v>0</v>
      </c>
      <c r="BL2881" s="1">
        <v>0</v>
      </c>
      <c r="BM2881" s="1">
        <v>0</v>
      </c>
      <c r="BN2881" s="1">
        <v>0</v>
      </c>
      <c r="BO2881" s="1">
        <v>0</v>
      </c>
      <c r="BP2881" s="1">
        <v>0</v>
      </c>
      <c r="BQ2881" s="1" t="s">
        <v>104</v>
      </c>
      <c r="BR2881" s="1">
        <v>5008</v>
      </c>
      <c r="BS2881" s="1" t="s">
        <v>104</v>
      </c>
      <c r="BX2881" s="1">
        <v>0</v>
      </c>
      <c r="BY2881" s="1" t="s">
        <v>104</v>
      </c>
      <c r="BZ2881" s="1" t="s">
        <v>104</v>
      </c>
      <c r="CA2881" s="1" t="s">
        <v>104</v>
      </c>
      <c r="CB2881" s="1" t="s">
        <v>104</v>
      </c>
      <c r="CC2881" s="1" t="s">
        <v>104</v>
      </c>
      <c r="CD2881" s="1" t="s">
        <v>104</v>
      </c>
      <c r="CE2881" s="1" t="s">
        <v>104</v>
      </c>
      <c r="CF2881" s="1" t="s">
        <v>104</v>
      </c>
      <c r="CG2881" s="1" t="s">
        <v>104</v>
      </c>
      <c r="CH2881" s="1" t="s">
        <v>104</v>
      </c>
      <c r="CJ2881" s="1">
        <v>0</v>
      </c>
      <c r="CK2881" s="1">
        <v>0</v>
      </c>
      <c r="CL2881" s="1">
        <v>0</v>
      </c>
      <c r="CM2881" s="1" t="s">
        <v>104</v>
      </c>
    </row>
    <row r="2882" spans="1:91" ht="14.25" customHeight="1" x14ac:dyDescent="0.3">
      <c r="A2882" s="1" t="s">
        <v>14388</v>
      </c>
      <c r="B2882" s="1" t="s">
        <v>92</v>
      </c>
      <c r="D2882" s="1" t="s">
        <v>58</v>
      </c>
      <c r="E2882" s="1" t="s">
        <v>14389</v>
      </c>
      <c r="F2882" s="1" t="s">
        <v>4934</v>
      </c>
      <c r="G2882" s="1" t="s">
        <v>1802</v>
      </c>
      <c r="H2882" s="1">
        <v>0</v>
      </c>
      <c r="I2882" s="1" t="s">
        <v>157</v>
      </c>
      <c r="L2882" s="1" t="s">
        <v>158</v>
      </c>
      <c r="M2882" s="1" t="s">
        <v>255</v>
      </c>
      <c r="N2882" s="1">
        <v>0</v>
      </c>
      <c r="O2882" s="1">
        <v>0</v>
      </c>
      <c r="R2882" s="1" t="s">
        <v>14390</v>
      </c>
      <c r="S2882" s="1" t="s">
        <v>14294</v>
      </c>
      <c r="T2882" s="1">
        <v>0</v>
      </c>
      <c r="U2882" s="1">
        <v>1</v>
      </c>
      <c r="V2882" s="1">
        <v>0</v>
      </c>
      <c r="W2882" s="1">
        <v>0</v>
      </c>
      <c r="X2882" s="1">
        <v>0</v>
      </c>
      <c r="Y2882" s="1">
        <v>1</v>
      </c>
      <c r="Z2882" s="1">
        <v>1</v>
      </c>
      <c r="AA2882" s="1">
        <v>1</v>
      </c>
      <c r="AB2882" s="1" t="s">
        <v>104</v>
      </c>
      <c r="AC2882" s="1" t="s">
        <v>104</v>
      </c>
      <c r="AD2882" s="1">
        <v>1</v>
      </c>
      <c r="AE2882" s="1">
        <v>1</v>
      </c>
      <c r="AF2882" s="1" t="s">
        <v>104</v>
      </c>
      <c r="AG2882" s="1" t="s">
        <v>104</v>
      </c>
      <c r="AH2882" s="1" t="s">
        <v>104</v>
      </c>
      <c r="AI2882" s="1" t="s">
        <v>104</v>
      </c>
      <c r="AJ2882" s="1">
        <v>1</v>
      </c>
      <c r="AK2882" s="1" t="s">
        <v>104</v>
      </c>
      <c r="AL2882" s="1" t="s">
        <v>104</v>
      </c>
      <c r="AM2882" s="1" t="s">
        <v>104</v>
      </c>
      <c r="AO2882" s="1">
        <v>1</v>
      </c>
      <c r="AQ2882" s="1" t="s">
        <v>14391</v>
      </c>
      <c r="AR2882" s="1">
        <v>0</v>
      </c>
      <c r="AS2882" s="1">
        <v>0</v>
      </c>
      <c r="AT2882" s="1">
        <v>0</v>
      </c>
      <c r="AU2882" s="1">
        <v>0</v>
      </c>
      <c r="AV2882" s="1">
        <v>0</v>
      </c>
      <c r="AW2882" s="1">
        <v>0</v>
      </c>
      <c r="AX2882" s="1">
        <v>0</v>
      </c>
      <c r="AY2882" s="1">
        <v>0</v>
      </c>
      <c r="AZ2882" s="1">
        <v>0</v>
      </c>
      <c r="BA2882" s="1">
        <v>0</v>
      </c>
      <c r="BB2882" s="1">
        <v>0</v>
      </c>
      <c r="BC2882" s="1">
        <v>0</v>
      </c>
      <c r="BD2882" s="1">
        <v>0</v>
      </c>
      <c r="BE2882" s="1">
        <v>0</v>
      </c>
      <c r="BF2882" s="1">
        <v>0</v>
      </c>
      <c r="BG2882" s="1">
        <v>1</v>
      </c>
      <c r="BH2882" s="1">
        <v>0</v>
      </c>
      <c r="BI2882" s="1">
        <v>0</v>
      </c>
      <c r="BJ2882" s="1">
        <v>0</v>
      </c>
      <c r="BK2882" s="1">
        <v>0</v>
      </c>
      <c r="BL2882" s="1">
        <v>0</v>
      </c>
      <c r="BM2882" s="1">
        <v>0</v>
      </c>
      <c r="BN2882" s="1">
        <v>0</v>
      </c>
      <c r="BO2882" s="1">
        <v>0</v>
      </c>
      <c r="BP2882" s="1">
        <v>0</v>
      </c>
      <c r="BQ2882" s="1" t="s">
        <v>104</v>
      </c>
      <c r="BR2882" s="1">
        <v>5009</v>
      </c>
      <c r="BS2882" s="1" t="s">
        <v>104</v>
      </c>
      <c r="BX2882" s="1">
        <v>0</v>
      </c>
      <c r="BY2882" s="1" t="s">
        <v>104</v>
      </c>
      <c r="BZ2882" s="1" t="s">
        <v>104</v>
      </c>
      <c r="CA2882" s="1">
        <v>1</v>
      </c>
      <c r="CB2882" s="1" t="s">
        <v>104</v>
      </c>
      <c r="CC2882" s="1">
        <v>1</v>
      </c>
      <c r="CD2882" s="1" t="s">
        <v>104</v>
      </c>
      <c r="CE2882" s="1" t="s">
        <v>104</v>
      </c>
      <c r="CF2882" s="1" t="s">
        <v>104</v>
      </c>
      <c r="CG2882" s="1" t="s">
        <v>104</v>
      </c>
      <c r="CH2882" s="1" t="s">
        <v>104</v>
      </c>
      <c r="CJ2882" s="1">
        <v>0</v>
      </c>
      <c r="CK2882" s="1">
        <v>0</v>
      </c>
      <c r="CL2882" s="1">
        <v>0</v>
      </c>
      <c r="CM2882" s="1" t="s">
        <v>104</v>
      </c>
    </row>
    <row r="2883" spans="1:91" ht="14.25" customHeight="1" x14ac:dyDescent="0.3">
      <c r="A2883" s="1" t="s">
        <v>14392</v>
      </c>
      <c r="B2883" s="1" t="s">
        <v>172</v>
      </c>
      <c r="E2883" s="1" t="s">
        <v>14393</v>
      </c>
      <c r="F2883" s="1" t="s">
        <v>273</v>
      </c>
      <c r="G2883" s="1" t="s">
        <v>14394</v>
      </c>
      <c r="H2883" s="1">
        <v>1</v>
      </c>
      <c r="I2883" s="1" t="s">
        <v>289</v>
      </c>
      <c r="L2883" s="1" t="s">
        <v>14395</v>
      </c>
      <c r="M2883" s="1" t="s">
        <v>10583</v>
      </c>
      <c r="N2883" s="1">
        <v>0</v>
      </c>
      <c r="O2883" s="1">
        <v>0</v>
      </c>
      <c r="P2883" s="1" t="s">
        <v>1902</v>
      </c>
      <c r="Q2883" s="1" t="s">
        <v>101</v>
      </c>
      <c r="R2883" s="1" t="s">
        <v>14396</v>
      </c>
      <c r="S2883" s="1" t="s">
        <v>14294</v>
      </c>
      <c r="T2883" s="1">
        <v>1</v>
      </c>
      <c r="U2883" s="1">
        <v>1</v>
      </c>
      <c r="V2883" s="1">
        <v>1</v>
      </c>
      <c r="W2883" s="1">
        <v>0</v>
      </c>
      <c r="X2883" s="1">
        <v>0</v>
      </c>
      <c r="Y2883" s="1" t="s">
        <v>104</v>
      </c>
      <c r="Z2883" s="1" t="s">
        <v>104</v>
      </c>
      <c r="AA2883" s="1">
        <v>8</v>
      </c>
      <c r="AB2883" s="1" t="s">
        <v>104</v>
      </c>
      <c r="AC2883" s="1" t="s">
        <v>104</v>
      </c>
      <c r="AD2883" s="1" t="s">
        <v>104</v>
      </c>
      <c r="AE2883" s="1" t="s">
        <v>104</v>
      </c>
      <c r="AF2883" s="1" t="s">
        <v>104</v>
      </c>
      <c r="AG2883" s="1" t="s">
        <v>104</v>
      </c>
      <c r="AH2883" s="1">
        <v>8</v>
      </c>
      <c r="AI2883" s="1" t="s">
        <v>104</v>
      </c>
      <c r="AJ2883" s="1">
        <v>8</v>
      </c>
      <c r="AK2883" s="1" t="s">
        <v>104</v>
      </c>
      <c r="AL2883" s="1" t="s">
        <v>104</v>
      </c>
      <c r="AM2883" s="1" t="s">
        <v>104</v>
      </c>
      <c r="AO2883" s="1">
        <v>8</v>
      </c>
      <c r="AQ2883" s="1" t="s">
        <v>14397</v>
      </c>
      <c r="AR2883" s="1">
        <v>0</v>
      </c>
      <c r="AS2883" s="1">
        <v>0</v>
      </c>
      <c r="AT2883" s="1">
        <v>0</v>
      </c>
      <c r="AU2883" s="1">
        <v>0</v>
      </c>
      <c r="AV2883" s="1">
        <v>0</v>
      </c>
      <c r="AW2883" s="1">
        <v>0</v>
      </c>
      <c r="AX2883" s="1">
        <v>0</v>
      </c>
      <c r="AY2883" s="1">
        <v>0</v>
      </c>
      <c r="AZ2883" s="1">
        <v>0</v>
      </c>
      <c r="BA2883" s="1">
        <v>0</v>
      </c>
      <c r="BB2883" s="1">
        <v>0</v>
      </c>
      <c r="BC2883" s="1">
        <v>0</v>
      </c>
      <c r="BD2883" s="1">
        <v>0</v>
      </c>
      <c r="BE2883" s="1">
        <v>0</v>
      </c>
      <c r="BF2883" s="1">
        <v>0</v>
      </c>
      <c r="BG2883" s="1">
        <v>0</v>
      </c>
      <c r="BH2883" s="1">
        <v>0</v>
      </c>
      <c r="BI2883" s="1">
        <v>0</v>
      </c>
      <c r="BJ2883" s="1">
        <v>0</v>
      </c>
      <c r="BK2883" s="1">
        <v>0</v>
      </c>
      <c r="BL2883" s="1">
        <v>0</v>
      </c>
      <c r="BM2883" s="1">
        <v>0</v>
      </c>
      <c r="BN2883" s="1">
        <v>0</v>
      </c>
      <c r="BO2883" s="1">
        <v>0</v>
      </c>
      <c r="BP2883" s="1">
        <v>0</v>
      </c>
      <c r="BQ2883" s="1" t="s">
        <v>104</v>
      </c>
      <c r="BR2883" s="1">
        <v>5010</v>
      </c>
      <c r="BS2883" s="1">
        <v>250</v>
      </c>
      <c r="BX2883" s="1">
        <v>0</v>
      </c>
      <c r="BY2883" s="1" t="s">
        <v>104</v>
      </c>
      <c r="BZ2883" s="1">
        <v>8</v>
      </c>
      <c r="CA2883" s="1" t="s">
        <v>104</v>
      </c>
      <c r="CB2883" s="1">
        <v>4</v>
      </c>
      <c r="CC2883" s="1" t="s">
        <v>104</v>
      </c>
      <c r="CD2883" s="1">
        <v>6</v>
      </c>
      <c r="CE2883" s="1">
        <v>6</v>
      </c>
      <c r="CF2883" s="1" t="s">
        <v>104</v>
      </c>
      <c r="CG2883" s="1" t="s">
        <v>104</v>
      </c>
      <c r="CH2883" s="1" t="s">
        <v>104</v>
      </c>
      <c r="CJ2883" s="1">
        <v>0</v>
      </c>
      <c r="CK2883" s="1">
        <v>0</v>
      </c>
      <c r="CL2883" s="1">
        <v>0</v>
      </c>
      <c r="CM2883" s="1" t="s">
        <v>104</v>
      </c>
    </row>
    <row r="2884" spans="1:91" ht="14.25" customHeight="1" x14ac:dyDescent="0.3">
      <c r="A2884" s="1" t="s">
        <v>14398</v>
      </c>
      <c r="B2884" s="1" t="s">
        <v>216</v>
      </c>
      <c r="E2884" s="1" t="s">
        <v>14399</v>
      </c>
      <c r="F2884" s="1" t="s">
        <v>191</v>
      </c>
      <c r="G2884" s="1" t="s">
        <v>14400</v>
      </c>
      <c r="H2884" s="1">
        <v>0</v>
      </c>
      <c r="I2884" s="1" t="s">
        <v>256</v>
      </c>
      <c r="L2884" s="1" t="s">
        <v>145</v>
      </c>
      <c r="M2884" s="1" t="s">
        <v>4641</v>
      </c>
      <c r="N2884" s="1">
        <v>1</v>
      </c>
      <c r="O2884" s="1">
        <v>0</v>
      </c>
      <c r="P2884" s="1" t="s">
        <v>418</v>
      </c>
      <c r="Q2884" s="1" t="s">
        <v>101</v>
      </c>
      <c r="R2884" s="1" t="s">
        <v>14401</v>
      </c>
      <c r="S2884" s="1" t="s">
        <v>14294</v>
      </c>
      <c r="T2884" s="1">
        <v>1</v>
      </c>
      <c r="U2884" s="1">
        <v>1</v>
      </c>
      <c r="V2884" s="1">
        <v>1</v>
      </c>
      <c r="W2884" s="1">
        <v>0</v>
      </c>
      <c r="X2884" s="1">
        <v>0</v>
      </c>
      <c r="Y2884" s="1" t="s">
        <v>104</v>
      </c>
      <c r="Z2884" s="1" t="s">
        <v>104</v>
      </c>
      <c r="AA2884" s="1">
        <v>6</v>
      </c>
      <c r="AB2884" s="1" t="s">
        <v>104</v>
      </c>
      <c r="AC2884" s="1" t="s">
        <v>104</v>
      </c>
      <c r="AD2884" s="1" t="s">
        <v>104</v>
      </c>
      <c r="AE2884" s="1">
        <v>4</v>
      </c>
      <c r="AF2884" s="1" t="s">
        <v>104</v>
      </c>
      <c r="AG2884" s="1" t="s">
        <v>104</v>
      </c>
      <c r="AH2884" s="1" t="s">
        <v>104</v>
      </c>
      <c r="AI2884" s="1" t="s">
        <v>104</v>
      </c>
      <c r="AJ2884" s="1">
        <v>6</v>
      </c>
      <c r="AK2884" s="1">
        <v>4</v>
      </c>
      <c r="AL2884" s="1" t="s">
        <v>104</v>
      </c>
      <c r="AM2884" s="1" t="s">
        <v>104</v>
      </c>
      <c r="AO2884" s="1">
        <v>6</v>
      </c>
      <c r="AQ2884" s="1" t="s">
        <v>14402</v>
      </c>
      <c r="AR2884" s="1">
        <v>0</v>
      </c>
      <c r="AS2884" s="1">
        <v>0</v>
      </c>
      <c r="AT2884" s="1">
        <v>0</v>
      </c>
      <c r="AU2884" s="1">
        <v>0</v>
      </c>
      <c r="AV2884" s="1">
        <v>0</v>
      </c>
      <c r="AW2884" s="1">
        <v>0</v>
      </c>
      <c r="AX2884" s="1">
        <v>0</v>
      </c>
      <c r="AY2884" s="1">
        <v>0</v>
      </c>
      <c r="AZ2884" s="1">
        <v>0</v>
      </c>
      <c r="BA2884" s="1">
        <v>0</v>
      </c>
      <c r="BB2884" s="1">
        <v>0</v>
      </c>
      <c r="BC2884" s="1">
        <v>0</v>
      </c>
      <c r="BD2884" s="1">
        <v>0</v>
      </c>
      <c r="BE2884" s="1">
        <v>0</v>
      </c>
      <c r="BF2884" s="1">
        <v>0</v>
      </c>
      <c r="BG2884" s="1">
        <v>0</v>
      </c>
      <c r="BH2884" s="1">
        <v>0</v>
      </c>
      <c r="BI2884" s="1">
        <v>0</v>
      </c>
      <c r="BJ2884" s="1">
        <v>0</v>
      </c>
      <c r="BK2884" s="1">
        <v>0</v>
      </c>
      <c r="BL2884" s="1">
        <v>0</v>
      </c>
      <c r="BM2884" s="1">
        <v>0</v>
      </c>
      <c r="BN2884" s="1">
        <v>0</v>
      </c>
      <c r="BO2884" s="1">
        <v>0</v>
      </c>
      <c r="BP2884" s="1">
        <v>0</v>
      </c>
      <c r="BQ2884" s="1" t="s">
        <v>104</v>
      </c>
      <c r="BR2884" s="1">
        <v>5011</v>
      </c>
      <c r="BS2884" s="1" t="s">
        <v>104</v>
      </c>
      <c r="BX2884" s="1">
        <v>0</v>
      </c>
      <c r="BY2884" s="1" t="s">
        <v>104</v>
      </c>
      <c r="BZ2884" s="1">
        <v>6</v>
      </c>
      <c r="CA2884" s="1" t="s">
        <v>104</v>
      </c>
      <c r="CB2884" s="1">
        <v>4</v>
      </c>
      <c r="CC2884" s="1" t="s">
        <v>104</v>
      </c>
      <c r="CD2884" s="1" t="s">
        <v>104</v>
      </c>
      <c r="CE2884" s="1">
        <v>6</v>
      </c>
      <c r="CF2884" s="1" t="s">
        <v>104</v>
      </c>
      <c r="CG2884" s="1" t="s">
        <v>104</v>
      </c>
      <c r="CH2884" s="1" t="s">
        <v>104</v>
      </c>
      <c r="CJ2884" s="1">
        <v>0</v>
      </c>
      <c r="CK2884" s="1">
        <v>0</v>
      </c>
      <c r="CL2884" s="1">
        <v>0</v>
      </c>
      <c r="CM2884" s="1" t="s">
        <v>104</v>
      </c>
    </row>
    <row r="2885" spans="1:91" ht="14.25" customHeight="1" x14ac:dyDescent="0.3">
      <c r="A2885" s="1" t="s">
        <v>14403</v>
      </c>
      <c r="B2885" s="1" t="s">
        <v>162</v>
      </c>
      <c r="E2885" s="1" t="s">
        <v>14404</v>
      </c>
      <c r="F2885" s="1" t="s">
        <v>95</v>
      </c>
      <c r="G2885" s="1" t="s">
        <v>14405</v>
      </c>
      <c r="H2885" s="1">
        <v>1</v>
      </c>
      <c r="I2885" s="1" t="s">
        <v>157</v>
      </c>
      <c r="L2885" s="1" t="s">
        <v>158</v>
      </c>
      <c r="M2885" s="1" t="s">
        <v>201</v>
      </c>
      <c r="N2885" s="1">
        <v>0</v>
      </c>
      <c r="O2885" s="1">
        <v>0</v>
      </c>
      <c r="R2885" s="1" t="s">
        <v>14406</v>
      </c>
      <c r="S2885" s="1" t="s">
        <v>14407</v>
      </c>
      <c r="T2885" s="1">
        <v>1</v>
      </c>
      <c r="U2885" s="1">
        <v>1</v>
      </c>
      <c r="V2885" s="1">
        <v>1</v>
      </c>
      <c r="W2885" s="1">
        <v>0</v>
      </c>
      <c r="X2885" s="1">
        <v>0</v>
      </c>
      <c r="Y2885" s="1" t="s">
        <v>104</v>
      </c>
      <c r="Z2885" s="1" t="s">
        <v>104</v>
      </c>
      <c r="AA2885" s="1">
        <v>7</v>
      </c>
      <c r="AB2885" s="1" t="s">
        <v>104</v>
      </c>
      <c r="AC2885" s="1" t="s">
        <v>104</v>
      </c>
      <c r="AD2885" s="1" t="s">
        <v>104</v>
      </c>
      <c r="AE2885" s="1" t="s">
        <v>104</v>
      </c>
      <c r="AF2885" s="1" t="s">
        <v>104</v>
      </c>
      <c r="AG2885" s="1" t="s">
        <v>104</v>
      </c>
      <c r="AH2885" s="1">
        <v>7</v>
      </c>
      <c r="AI2885" s="1" t="s">
        <v>104</v>
      </c>
      <c r="AJ2885" s="1">
        <v>7</v>
      </c>
      <c r="AK2885" s="1" t="s">
        <v>104</v>
      </c>
      <c r="AL2885" s="1" t="s">
        <v>104</v>
      </c>
      <c r="AM2885" s="1" t="s">
        <v>104</v>
      </c>
      <c r="AO2885" s="1">
        <v>7</v>
      </c>
      <c r="AR2885" s="1">
        <v>0</v>
      </c>
      <c r="AS2885" s="1">
        <v>0</v>
      </c>
      <c r="AT2885" s="1">
        <v>0</v>
      </c>
      <c r="AU2885" s="1">
        <v>0</v>
      </c>
      <c r="AV2885" s="1">
        <v>0</v>
      </c>
      <c r="AW2885" s="1">
        <v>0</v>
      </c>
      <c r="AX2885" s="1">
        <v>0</v>
      </c>
      <c r="AY2885" s="1">
        <v>0</v>
      </c>
      <c r="AZ2885" s="1">
        <v>0</v>
      </c>
      <c r="BA2885" s="1">
        <v>0</v>
      </c>
      <c r="BB2885" s="1">
        <v>0</v>
      </c>
      <c r="BC2885" s="1">
        <v>0</v>
      </c>
      <c r="BD2885" s="1">
        <v>0</v>
      </c>
      <c r="BE2885" s="1">
        <v>0</v>
      </c>
      <c r="BF2885" s="1">
        <v>0</v>
      </c>
      <c r="BG2885" s="1">
        <v>0</v>
      </c>
      <c r="BH2885" s="1">
        <v>0</v>
      </c>
      <c r="BI2885" s="1">
        <v>0</v>
      </c>
      <c r="BJ2885" s="1">
        <v>0</v>
      </c>
      <c r="BK2885" s="1">
        <v>0</v>
      </c>
      <c r="BL2885" s="1">
        <v>0</v>
      </c>
      <c r="BM2885" s="1">
        <v>0</v>
      </c>
      <c r="BN2885" s="1">
        <v>0</v>
      </c>
      <c r="BO2885" s="1">
        <v>0</v>
      </c>
      <c r="BP2885" s="1">
        <v>0</v>
      </c>
      <c r="BQ2885" s="1" t="s">
        <v>104</v>
      </c>
      <c r="BR2885" s="1">
        <v>5012</v>
      </c>
      <c r="BS2885" s="1">
        <v>500</v>
      </c>
      <c r="BX2885" s="1">
        <v>0</v>
      </c>
      <c r="BY2885" s="1" t="s">
        <v>104</v>
      </c>
      <c r="BZ2885" s="1" t="s">
        <v>104</v>
      </c>
      <c r="CA2885" s="1" t="s">
        <v>104</v>
      </c>
      <c r="CB2885" s="1" t="s">
        <v>104</v>
      </c>
      <c r="CC2885" s="1" t="s">
        <v>104</v>
      </c>
      <c r="CD2885" s="1">
        <v>5</v>
      </c>
      <c r="CE2885" s="1" t="s">
        <v>104</v>
      </c>
      <c r="CF2885" s="1" t="s">
        <v>104</v>
      </c>
      <c r="CG2885" s="1" t="s">
        <v>104</v>
      </c>
      <c r="CH2885" s="1" t="s">
        <v>104</v>
      </c>
      <c r="CJ2885" s="1">
        <v>0</v>
      </c>
      <c r="CK2885" s="1">
        <v>0</v>
      </c>
      <c r="CL2885" s="1">
        <v>0</v>
      </c>
      <c r="CM2885" s="1" t="s">
        <v>104</v>
      </c>
    </row>
    <row r="2886" spans="1:91" ht="14.25" customHeight="1" x14ac:dyDescent="0.3">
      <c r="A2886" s="1" t="s">
        <v>14408</v>
      </c>
      <c r="B2886" s="1" t="s">
        <v>216</v>
      </c>
      <c r="E2886" s="1" t="s">
        <v>14409</v>
      </c>
      <c r="F2886" s="1" t="s">
        <v>4934</v>
      </c>
      <c r="G2886" s="1" t="s">
        <v>127</v>
      </c>
      <c r="H2886" s="1">
        <v>0</v>
      </c>
      <c r="I2886" s="1" t="s">
        <v>117</v>
      </c>
      <c r="L2886" s="1" t="s">
        <v>1065</v>
      </c>
      <c r="M2886" s="1" t="s">
        <v>255</v>
      </c>
      <c r="N2886" s="1">
        <v>0</v>
      </c>
      <c r="O2886" s="1">
        <v>0</v>
      </c>
      <c r="P2886" s="1" t="s">
        <v>183</v>
      </c>
      <c r="Q2886" s="1" t="s">
        <v>184</v>
      </c>
      <c r="R2886" s="1" t="s">
        <v>14410</v>
      </c>
      <c r="S2886" s="1" t="s">
        <v>14407</v>
      </c>
      <c r="T2886" s="1">
        <v>1</v>
      </c>
      <c r="U2886" s="1">
        <v>1</v>
      </c>
      <c r="V2886" s="1">
        <v>0</v>
      </c>
      <c r="W2886" s="1">
        <v>0</v>
      </c>
      <c r="X2886" s="1">
        <v>1</v>
      </c>
      <c r="Y2886" s="1" t="s">
        <v>104</v>
      </c>
      <c r="Z2886" s="1" t="s">
        <v>104</v>
      </c>
      <c r="AA2886" s="1" t="s">
        <v>104</v>
      </c>
      <c r="AB2886" s="1" t="s">
        <v>104</v>
      </c>
      <c r="AC2886" s="1" t="s">
        <v>104</v>
      </c>
      <c r="AD2886" s="1" t="s">
        <v>104</v>
      </c>
      <c r="AE2886" s="1">
        <v>1</v>
      </c>
      <c r="AF2886" s="1" t="s">
        <v>104</v>
      </c>
      <c r="AG2886" s="1" t="s">
        <v>104</v>
      </c>
      <c r="AH2886" s="1" t="s">
        <v>104</v>
      </c>
      <c r="AI2886" s="1">
        <v>2</v>
      </c>
      <c r="AJ2886" s="1" t="s">
        <v>104</v>
      </c>
      <c r="AK2886" s="1">
        <v>1</v>
      </c>
      <c r="AL2886" s="1" t="s">
        <v>104</v>
      </c>
      <c r="AM2886" s="1" t="s">
        <v>104</v>
      </c>
      <c r="AO2886" s="1">
        <v>1</v>
      </c>
      <c r="AR2886" s="1">
        <v>0</v>
      </c>
      <c r="AS2886" s="1">
        <v>0</v>
      </c>
      <c r="AT2886" s="1">
        <v>0</v>
      </c>
      <c r="AU2886" s="1">
        <v>0</v>
      </c>
      <c r="AV2886" s="1">
        <v>0</v>
      </c>
      <c r="AW2886" s="1">
        <v>0</v>
      </c>
      <c r="AX2886" s="1">
        <v>0</v>
      </c>
      <c r="AY2886" s="1">
        <v>0</v>
      </c>
      <c r="AZ2886" s="1">
        <v>0</v>
      </c>
      <c r="BA2886" s="1">
        <v>0</v>
      </c>
      <c r="BB2886" s="1">
        <v>0</v>
      </c>
      <c r="BC2886" s="1">
        <v>0</v>
      </c>
      <c r="BD2886" s="1">
        <v>0</v>
      </c>
      <c r="BE2886" s="1">
        <v>0</v>
      </c>
      <c r="BF2886" s="1">
        <v>0</v>
      </c>
      <c r="BG2886" s="1">
        <v>0</v>
      </c>
      <c r="BH2886" s="1">
        <v>0</v>
      </c>
      <c r="BI2886" s="1">
        <v>0</v>
      </c>
      <c r="BJ2886" s="1">
        <v>0</v>
      </c>
      <c r="BK2886" s="1">
        <v>0</v>
      </c>
      <c r="BL2886" s="1">
        <v>0</v>
      </c>
      <c r="BM2886" s="1">
        <v>0</v>
      </c>
      <c r="BN2886" s="1">
        <v>0</v>
      </c>
      <c r="BO2886" s="1">
        <v>0</v>
      </c>
      <c r="BP2886" s="1">
        <v>0</v>
      </c>
      <c r="BQ2886" s="1" t="s">
        <v>104</v>
      </c>
      <c r="BR2886" s="1">
        <v>5013</v>
      </c>
      <c r="BS2886" s="1" t="s">
        <v>104</v>
      </c>
      <c r="BX2886" s="1">
        <v>0</v>
      </c>
      <c r="BY2886" s="1" t="s">
        <v>104</v>
      </c>
      <c r="BZ2886" s="1" t="s">
        <v>104</v>
      </c>
      <c r="CA2886" s="1" t="s">
        <v>104</v>
      </c>
      <c r="CB2886" s="1" t="s">
        <v>104</v>
      </c>
      <c r="CC2886" s="1" t="s">
        <v>104</v>
      </c>
      <c r="CD2886" s="1" t="s">
        <v>104</v>
      </c>
      <c r="CE2886" s="1" t="s">
        <v>104</v>
      </c>
      <c r="CF2886" s="1" t="s">
        <v>104</v>
      </c>
      <c r="CG2886" s="1" t="s">
        <v>104</v>
      </c>
      <c r="CH2886" s="1" t="s">
        <v>104</v>
      </c>
      <c r="CJ2886" s="1">
        <v>0</v>
      </c>
      <c r="CK2886" s="1">
        <v>0</v>
      </c>
      <c r="CL2886" s="1">
        <v>0</v>
      </c>
      <c r="CM2886" s="1" t="s">
        <v>104</v>
      </c>
    </row>
    <row r="2887" spans="1:91" ht="14.25" customHeight="1" x14ac:dyDescent="0.3">
      <c r="A2887" s="1" t="s">
        <v>14411</v>
      </c>
      <c r="B2887" s="1" t="s">
        <v>172</v>
      </c>
      <c r="E2887" s="1" t="s">
        <v>14412</v>
      </c>
      <c r="F2887" s="1" t="s">
        <v>191</v>
      </c>
      <c r="G2887" s="1" t="s">
        <v>116</v>
      </c>
      <c r="H2887" s="1">
        <v>0</v>
      </c>
      <c r="I2887" s="1" t="s">
        <v>157</v>
      </c>
      <c r="L2887" s="1" t="s">
        <v>158</v>
      </c>
      <c r="M2887" s="1" t="s">
        <v>9397</v>
      </c>
      <c r="N2887" s="1">
        <v>0</v>
      </c>
      <c r="O2887" s="1">
        <v>0</v>
      </c>
      <c r="R2887" s="1" t="s">
        <v>14413</v>
      </c>
      <c r="S2887" s="1" t="s">
        <v>14407</v>
      </c>
      <c r="T2887" s="1">
        <v>1</v>
      </c>
      <c r="U2887" s="1">
        <v>1</v>
      </c>
      <c r="V2887" s="1">
        <v>0</v>
      </c>
      <c r="W2887" s="1">
        <v>0</v>
      </c>
      <c r="X2887" s="1">
        <v>0</v>
      </c>
      <c r="Y2887" s="1">
        <v>3</v>
      </c>
      <c r="Z2887" s="1">
        <v>3</v>
      </c>
      <c r="AA2887" s="1">
        <v>3</v>
      </c>
      <c r="AB2887" s="1" t="s">
        <v>104</v>
      </c>
      <c r="AC2887" s="1" t="s">
        <v>104</v>
      </c>
      <c r="AD2887" s="1" t="s">
        <v>104</v>
      </c>
      <c r="AE2887" s="1" t="s">
        <v>104</v>
      </c>
      <c r="AF2887" s="1" t="s">
        <v>104</v>
      </c>
      <c r="AG2887" s="1" t="s">
        <v>104</v>
      </c>
      <c r="AH2887" s="1">
        <v>3</v>
      </c>
      <c r="AI2887" s="1">
        <v>3</v>
      </c>
      <c r="AJ2887" s="1">
        <v>3</v>
      </c>
      <c r="AK2887" s="1" t="s">
        <v>104</v>
      </c>
      <c r="AL2887" s="1" t="s">
        <v>104</v>
      </c>
      <c r="AM2887" s="1" t="s">
        <v>104</v>
      </c>
      <c r="AO2887" s="1">
        <v>3</v>
      </c>
      <c r="AR2887" s="1">
        <v>0</v>
      </c>
      <c r="AS2887" s="1">
        <v>0</v>
      </c>
      <c r="AT2887" s="1">
        <v>0</v>
      </c>
      <c r="AU2887" s="1">
        <v>0</v>
      </c>
      <c r="AV2887" s="1">
        <v>0</v>
      </c>
      <c r="AW2887" s="1">
        <v>0</v>
      </c>
      <c r="AX2887" s="1">
        <v>0</v>
      </c>
      <c r="AY2887" s="1">
        <v>0</v>
      </c>
      <c r="AZ2887" s="1">
        <v>0</v>
      </c>
      <c r="BA2887" s="1">
        <v>0</v>
      </c>
      <c r="BB2887" s="1">
        <v>0</v>
      </c>
      <c r="BC2887" s="1">
        <v>0</v>
      </c>
      <c r="BD2887" s="1">
        <v>0</v>
      </c>
      <c r="BE2887" s="1">
        <v>0</v>
      </c>
      <c r="BF2887" s="1">
        <v>0</v>
      </c>
      <c r="BG2887" s="1">
        <v>0</v>
      </c>
      <c r="BH2887" s="1">
        <v>0</v>
      </c>
      <c r="BI2887" s="1">
        <v>0</v>
      </c>
      <c r="BJ2887" s="1">
        <v>0</v>
      </c>
      <c r="BK2887" s="1">
        <v>0</v>
      </c>
      <c r="BL2887" s="1">
        <v>0</v>
      </c>
      <c r="BM2887" s="1">
        <v>0</v>
      </c>
      <c r="BN2887" s="1">
        <v>0</v>
      </c>
      <c r="BO2887" s="1">
        <v>0</v>
      </c>
      <c r="BP2887" s="1">
        <v>0</v>
      </c>
      <c r="BQ2887" s="1" t="s">
        <v>104</v>
      </c>
      <c r="BR2887" s="1">
        <v>5014</v>
      </c>
      <c r="BS2887" s="1" t="s">
        <v>104</v>
      </c>
      <c r="BX2887" s="1">
        <v>0</v>
      </c>
      <c r="BY2887" s="1" t="s">
        <v>104</v>
      </c>
      <c r="BZ2887" s="1" t="s">
        <v>104</v>
      </c>
      <c r="CA2887" s="1" t="s">
        <v>104</v>
      </c>
      <c r="CB2887" s="1" t="s">
        <v>104</v>
      </c>
      <c r="CC2887" s="1" t="s">
        <v>104</v>
      </c>
      <c r="CD2887" s="1" t="s">
        <v>104</v>
      </c>
      <c r="CE2887" s="1" t="s">
        <v>104</v>
      </c>
      <c r="CF2887" s="1" t="s">
        <v>104</v>
      </c>
      <c r="CG2887" s="1" t="s">
        <v>104</v>
      </c>
      <c r="CH2887" s="1" t="s">
        <v>104</v>
      </c>
      <c r="CJ2887" s="1">
        <v>0</v>
      </c>
      <c r="CK2887" s="1">
        <v>0</v>
      </c>
      <c r="CL2887" s="1">
        <v>0</v>
      </c>
      <c r="CM2887" s="1" t="s">
        <v>104</v>
      </c>
    </row>
    <row r="2888" spans="1:91" ht="14.25" customHeight="1" x14ac:dyDescent="0.3">
      <c r="A2888" s="1" t="s">
        <v>14414</v>
      </c>
      <c r="B2888" s="1" t="s">
        <v>216</v>
      </c>
      <c r="D2888" s="1" t="s">
        <v>47</v>
      </c>
      <c r="E2888" s="1" t="s">
        <v>14415</v>
      </c>
      <c r="F2888" s="1" t="s">
        <v>14416</v>
      </c>
      <c r="G2888" s="1" t="s">
        <v>127</v>
      </c>
      <c r="H2888" s="1">
        <v>0</v>
      </c>
      <c r="I2888" s="1" t="s">
        <v>6262</v>
      </c>
      <c r="J2888" s="1" t="s">
        <v>1676</v>
      </c>
      <c r="L2888" s="1" t="s">
        <v>1676</v>
      </c>
      <c r="M2888" s="1" t="s">
        <v>298</v>
      </c>
      <c r="N2888" s="1">
        <v>0</v>
      </c>
      <c r="O2888" s="1">
        <v>0</v>
      </c>
      <c r="P2888" s="1" t="s">
        <v>211</v>
      </c>
      <c r="Q2888" s="1" t="s">
        <v>184</v>
      </c>
      <c r="R2888" s="1" t="s">
        <v>14417</v>
      </c>
      <c r="S2888" s="1" t="s">
        <v>14418</v>
      </c>
      <c r="T2888" s="1">
        <v>1</v>
      </c>
      <c r="U2888" s="1">
        <v>1</v>
      </c>
      <c r="V2888" s="1">
        <v>0</v>
      </c>
      <c r="W2888" s="1">
        <v>0</v>
      </c>
      <c r="X2888" s="1">
        <v>1</v>
      </c>
      <c r="Y2888" s="1">
        <v>9</v>
      </c>
      <c r="Z2888" s="1">
        <v>9</v>
      </c>
      <c r="AA2888" s="1">
        <v>8</v>
      </c>
      <c r="AB2888" s="1" t="s">
        <v>104</v>
      </c>
      <c r="AC2888" s="1" t="s">
        <v>104</v>
      </c>
      <c r="AD2888" s="1" t="s">
        <v>104</v>
      </c>
      <c r="AE2888" s="1" t="s">
        <v>104</v>
      </c>
      <c r="AF2888" s="1" t="s">
        <v>104</v>
      </c>
      <c r="AG2888" s="1" t="s">
        <v>104</v>
      </c>
      <c r="AH2888" s="1" t="s">
        <v>104</v>
      </c>
      <c r="AI2888" s="1" t="s">
        <v>104</v>
      </c>
      <c r="AJ2888" s="1">
        <v>8</v>
      </c>
      <c r="AK2888" s="1" t="s">
        <v>104</v>
      </c>
      <c r="AL2888" s="1" t="s">
        <v>104</v>
      </c>
      <c r="AM2888" s="1" t="s">
        <v>104</v>
      </c>
      <c r="AO2888" s="1">
        <v>9</v>
      </c>
      <c r="AR2888" s="1">
        <v>0</v>
      </c>
      <c r="AS2888" s="1">
        <v>0</v>
      </c>
      <c r="AT2888" s="1">
        <v>0</v>
      </c>
      <c r="AU2888" s="1">
        <v>0</v>
      </c>
      <c r="AV2888" s="1">
        <v>1</v>
      </c>
      <c r="AW2888" s="1">
        <v>0</v>
      </c>
      <c r="AX2888" s="1">
        <v>0</v>
      </c>
      <c r="AY2888" s="1">
        <v>0</v>
      </c>
      <c r="AZ2888" s="1">
        <v>0</v>
      </c>
      <c r="BA2888" s="1">
        <v>0</v>
      </c>
      <c r="BB2888" s="1">
        <v>0</v>
      </c>
      <c r="BC2888" s="1">
        <v>0</v>
      </c>
      <c r="BD2888" s="1">
        <v>0</v>
      </c>
      <c r="BE2888" s="1">
        <v>0</v>
      </c>
      <c r="BF2888" s="1">
        <v>0</v>
      </c>
      <c r="BG2888" s="1">
        <v>0</v>
      </c>
      <c r="BH2888" s="1">
        <v>0</v>
      </c>
      <c r="BI2888" s="1">
        <v>0</v>
      </c>
      <c r="BJ2888" s="1">
        <v>0</v>
      </c>
      <c r="BK2888" s="1">
        <v>0</v>
      </c>
      <c r="BL2888" s="1">
        <v>0</v>
      </c>
      <c r="BM2888" s="1">
        <v>0</v>
      </c>
      <c r="BN2888" s="1">
        <v>0</v>
      </c>
      <c r="BO2888" s="1">
        <v>0</v>
      </c>
      <c r="BP2888" s="1">
        <v>0</v>
      </c>
      <c r="BQ2888" s="1" t="s">
        <v>104</v>
      </c>
      <c r="BR2888" s="1">
        <v>5015</v>
      </c>
      <c r="BS2888" s="1" t="s">
        <v>104</v>
      </c>
      <c r="BX2888" s="1">
        <v>0</v>
      </c>
      <c r="BY2888" s="1" t="s">
        <v>104</v>
      </c>
      <c r="BZ2888" s="1" t="s">
        <v>104</v>
      </c>
      <c r="CA2888" s="1" t="s">
        <v>104</v>
      </c>
      <c r="CB2888" s="1" t="s">
        <v>104</v>
      </c>
      <c r="CC2888" s="1" t="s">
        <v>104</v>
      </c>
      <c r="CD2888" s="1" t="s">
        <v>104</v>
      </c>
      <c r="CE2888" s="1" t="s">
        <v>104</v>
      </c>
      <c r="CF2888" s="1" t="s">
        <v>104</v>
      </c>
      <c r="CG2888" s="1" t="s">
        <v>104</v>
      </c>
      <c r="CH2888" s="1" t="s">
        <v>104</v>
      </c>
      <c r="CJ2888" s="1">
        <v>0</v>
      </c>
      <c r="CK2888" s="1">
        <v>0</v>
      </c>
      <c r="CL2888" s="1">
        <v>0</v>
      </c>
      <c r="CM2888" s="1" t="s">
        <v>104</v>
      </c>
    </row>
    <row r="2889" spans="1:91" ht="14.25" customHeight="1" x14ac:dyDescent="0.3">
      <c r="A2889" s="1" t="s">
        <v>14419</v>
      </c>
      <c r="B2889" s="1" t="s">
        <v>434</v>
      </c>
      <c r="E2889" s="1" t="s">
        <v>2513</v>
      </c>
      <c r="F2889" s="1" t="s">
        <v>821</v>
      </c>
      <c r="G2889" s="1" t="s">
        <v>14420</v>
      </c>
      <c r="H2889" s="1">
        <v>1</v>
      </c>
      <c r="I2889" s="1" t="s">
        <v>157</v>
      </c>
      <c r="L2889" s="1" t="s">
        <v>158</v>
      </c>
      <c r="M2889" s="1" t="s">
        <v>14421</v>
      </c>
      <c r="N2889" s="1">
        <v>0</v>
      </c>
      <c r="O2889" s="1">
        <v>0</v>
      </c>
      <c r="R2889" s="1" t="s">
        <v>14422</v>
      </c>
      <c r="S2889" s="1" t="s">
        <v>14418</v>
      </c>
      <c r="T2889" s="1">
        <v>1</v>
      </c>
      <c r="U2889" s="1">
        <v>1</v>
      </c>
      <c r="V2889" s="1">
        <v>1</v>
      </c>
      <c r="W2889" s="1">
        <v>0</v>
      </c>
      <c r="X2889" s="1">
        <v>0</v>
      </c>
      <c r="Y2889" s="1">
        <v>9</v>
      </c>
      <c r="Z2889" s="1">
        <v>9</v>
      </c>
      <c r="AA2889" s="1" t="s">
        <v>104</v>
      </c>
      <c r="AB2889" s="1" t="s">
        <v>104</v>
      </c>
      <c r="AC2889" s="1" t="s">
        <v>104</v>
      </c>
      <c r="AD2889" s="1" t="s">
        <v>104</v>
      </c>
      <c r="AE2889" s="1" t="s">
        <v>104</v>
      </c>
      <c r="AF2889" s="1" t="s">
        <v>104</v>
      </c>
      <c r="AG2889" s="1" t="s">
        <v>104</v>
      </c>
      <c r="AH2889" s="1" t="s">
        <v>104</v>
      </c>
      <c r="AI2889" s="1" t="s">
        <v>104</v>
      </c>
      <c r="AJ2889" s="1" t="s">
        <v>104</v>
      </c>
      <c r="AK2889" s="1" t="s">
        <v>104</v>
      </c>
      <c r="AL2889" s="1" t="s">
        <v>104</v>
      </c>
      <c r="AM2889" s="1" t="s">
        <v>104</v>
      </c>
      <c r="AO2889" s="1">
        <v>9</v>
      </c>
      <c r="AR2889" s="1">
        <v>0</v>
      </c>
      <c r="AS2889" s="1">
        <v>0</v>
      </c>
      <c r="AT2889" s="1">
        <v>0</v>
      </c>
      <c r="AU2889" s="1">
        <v>0</v>
      </c>
      <c r="AV2889" s="1">
        <v>0</v>
      </c>
      <c r="AW2889" s="1">
        <v>0</v>
      </c>
      <c r="AX2889" s="1">
        <v>0</v>
      </c>
      <c r="AY2889" s="1">
        <v>0</v>
      </c>
      <c r="AZ2889" s="1">
        <v>0</v>
      </c>
      <c r="BA2889" s="1">
        <v>0</v>
      </c>
      <c r="BB2889" s="1">
        <v>0</v>
      </c>
      <c r="BC2889" s="1">
        <v>0</v>
      </c>
      <c r="BD2889" s="1">
        <v>0</v>
      </c>
      <c r="BE2889" s="1">
        <v>0</v>
      </c>
      <c r="BF2889" s="1">
        <v>0</v>
      </c>
      <c r="BG2889" s="1">
        <v>0</v>
      </c>
      <c r="BH2889" s="1">
        <v>0</v>
      </c>
      <c r="BI2889" s="1">
        <v>0</v>
      </c>
      <c r="BJ2889" s="1">
        <v>0</v>
      </c>
      <c r="BK2889" s="1">
        <v>0</v>
      </c>
      <c r="BL2889" s="1">
        <v>0</v>
      </c>
      <c r="BM2889" s="1">
        <v>0</v>
      </c>
      <c r="BN2889" s="1">
        <v>0</v>
      </c>
      <c r="BO2889" s="1">
        <v>0</v>
      </c>
      <c r="BP2889" s="1">
        <v>0</v>
      </c>
      <c r="BQ2889" s="1" t="s">
        <v>104</v>
      </c>
      <c r="BR2889" s="1">
        <v>5016</v>
      </c>
      <c r="BS2889" s="1">
        <v>5000</v>
      </c>
      <c r="BX2889" s="1">
        <v>0</v>
      </c>
      <c r="BY2889" s="1" t="s">
        <v>104</v>
      </c>
      <c r="BZ2889" s="1" t="s">
        <v>104</v>
      </c>
      <c r="CA2889" s="1" t="s">
        <v>104</v>
      </c>
      <c r="CB2889" s="1" t="s">
        <v>104</v>
      </c>
      <c r="CC2889" s="1" t="s">
        <v>104</v>
      </c>
      <c r="CD2889" s="1" t="s">
        <v>104</v>
      </c>
      <c r="CE2889" s="1" t="s">
        <v>104</v>
      </c>
      <c r="CF2889" s="1" t="s">
        <v>104</v>
      </c>
      <c r="CG2889" s="1" t="s">
        <v>104</v>
      </c>
      <c r="CH2889" s="1" t="s">
        <v>104</v>
      </c>
      <c r="CJ2889" s="1">
        <v>0</v>
      </c>
      <c r="CK2889" s="1">
        <v>0</v>
      </c>
      <c r="CL2889" s="1">
        <v>0</v>
      </c>
      <c r="CM2889" s="1" t="s">
        <v>104</v>
      </c>
    </row>
    <row r="2890" spans="1:91" ht="14.25" customHeight="1" x14ac:dyDescent="0.3">
      <c r="A2890" s="1" t="s">
        <v>14423</v>
      </c>
      <c r="B2890" s="1" t="s">
        <v>92</v>
      </c>
      <c r="C2890" s="1" t="s">
        <v>903</v>
      </c>
      <c r="E2890" s="1" t="s">
        <v>14424</v>
      </c>
      <c r="F2890" s="1" t="s">
        <v>255</v>
      </c>
      <c r="G2890" s="1" t="s">
        <v>14425</v>
      </c>
      <c r="H2890" s="1">
        <v>0</v>
      </c>
      <c r="I2890" s="1" t="s">
        <v>117</v>
      </c>
      <c r="J2890" s="1" t="s">
        <v>549</v>
      </c>
      <c r="M2890" s="1" t="s">
        <v>426</v>
      </c>
      <c r="N2890" s="1">
        <v>1</v>
      </c>
      <c r="O2890" s="1">
        <v>0</v>
      </c>
      <c r="P2890" s="1" t="s">
        <v>100</v>
      </c>
      <c r="Q2890" s="1" t="s">
        <v>101</v>
      </c>
      <c r="R2890" s="1" t="s">
        <v>14426</v>
      </c>
      <c r="S2890" s="1" t="s">
        <v>14427</v>
      </c>
      <c r="T2890" s="1">
        <v>1</v>
      </c>
      <c r="U2890" s="1">
        <v>1</v>
      </c>
      <c r="V2890" s="1">
        <v>1</v>
      </c>
      <c r="W2890" s="1">
        <v>0</v>
      </c>
      <c r="X2890" s="1">
        <v>0</v>
      </c>
      <c r="Y2890" s="1">
        <v>4</v>
      </c>
      <c r="Z2890" s="1">
        <v>4</v>
      </c>
      <c r="AA2890" s="1">
        <v>5</v>
      </c>
      <c r="AB2890" s="1" t="s">
        <v>104</v>
      </c>
      <c r="AC2890" s="1" t="s">
        <v>104</v>
      </c>
      <c r="AD2890" s="1" t="s">
        <v>104</v>
      </c>
      <c r="AE2890" s="1" t="s">
        <v>104</v>
      </c>
      <c r="AF2890" s="1" t="s">
        <v>104</v>
      </c>
      <c r="AG2890" s="1">
        <v>4</v>
      </c>
      <c r="AH2890" s="1" t="s">
        <v>104</v>
      </c>
      <c r="AI2890" s="1" t="s">
        <v>104</v>
      </c>
      <c r="AJ2890" s="1">
        <v>5</v>
      </c>
      <c r="AK2890" s="1" t="s">
        <v>104</v>
      </c>
      <c r="AL2890" s="1" t="s">
        <v>104</v>
      </c>
      <c r="AM2890" s="1" t="s">
        <v>104</v>
      </c>
      <c r="AO2890" s="1">
        <v>4</v>
      </c>
      <c r="AR2890" s="1">
        <v>0</v>
      </c>
      <c r="AS2890" s="1">
        <v>0</v>
      </c>
      <c r="AT2890" s="1">
        <v>0</v>
      </c>
      <c r="AU2890" s="1">
        <v>0</v>
      </c>
      <c r="AV2890" s="1">
        <v>0</v>
      </c>
      <c r="AW2890" s="1">
        <v>0</v>
      </c>
      <c r="AX2890" s="1">
        <v>0</v>
      </c>
      <c r="AY2890" s="1">
        <v>0</v>
      </c>
      <c r="AZ2890" s="1">
        <v>0</v>
      </c>
      <c r="BA2890" s="1">
        <v>0</v>
      </c>
      <c r="BB2890" s="1">
        <v>0</v>
      </c>
      <c r="BC2890" s="1">
        <v>0</v>
      </c>
      <c r="BD2890" s="1">
        <v>0</v>
      </c>
      <c r="BE2890" s="1">
        <v>0</v>
      </c>
      <c r="BF2890" s="1">
        <v>0</v>
      </c>
      <c r="BG2890" s="1">
        <v>0</v>
      </c>
      <c r="BH2890" s="1">
        <v>0</v>
      </c>
      <c r="BI2890" s="1">
        <v>0</v>
      </c>
      <c r="BJ2890" s="1">
        <v>0</v>
      </c>
      <c r="BK2890" s="1">
        <v>0</v>
      </c>
      <c r="BL2890" s="1">
        <v>0</v>
      </c>
      <c r="BM2890" s="1">
        <v>0</v>
      </c>
      <c r="BN2890" s="1">
        <v>0</v>
      </c>
      <c r="BO2890" s="1">
        <v>0</v>
      </c>
      <c r="BP2890" s="1">
        <v>0</v>
      </c>
      <c r="BQ2890" s="1" t="s">
        <v>104</v>
      </c>
      <c r="BR2890" s="1">
        <v>5017</v>
      </c>
      <c r="BS2890" s="1" t="s">
        <v>104</v>
      </c>
      <c r="BX2890" s="1">
        <v>0</v>
      </c>
      <c r="BY2890" s="1" t="s">
        <v>104</v>
      </c>
      <c r="BZ2890" s="1" t="s">
        <v>104</v>
      </c>
      <c r="CA2890" s="1" t="s">
        <v>104</v>
      </c>
      <c r="CB2890" s="1" t="s">
        <v>104</v>
      </c>
      <c r="CC2890" s="1" t="s">
        <v>104</v>
      </c>
      <c r="CD2890" s="1" t="s">
        <v>104</v>
      </c>
      <c r="CE2890" s="1" t="s">
        <v>104</v>
      </c>
      <c r="CF2890" s="1" t="s">
        <v>104</v>
      </c>
      <c r="CG2890" s="1" t="s">
        <v>104</v>
      </c>
      <c r="CH2890" s="1" t="s">
        <v>104</v>
      </c>
      <c r="CJ2890" s="1">
        <v>0</v>
      </c>
      <c r="CK2890" s="1">
        <v>0</v>
      </c>
      <c r="CL2890" s="1">
        <v>0</v>
      </c>
      <c r="CM2890" s="1" t="s">
        <v>104</v>
      </c>
    </row>
    <row r="2891" spans="1:91" ht="14.25" customHeight="1" x14ac:dyDescent="0.3">
      <c r="A2891" s="1" t="s">
        <v>14428</v>
      </c>
      <c r="B2891" s="1" t="s">
        <v>137</v>
      </c>
      <c r="E2891" s="1" t="s">
        <v>14429</v>
      </c>
      <c r="F2891" s="1" t="s">
        <v>255</v>
      </c>
      <c r="G2891" s="1" t="s">
        <v>4639</v>
      </c>
      <c r="H2891" s="1">
        <v>0</v>
      </c>
      <c r="I2891" s="1" t="s">
        <v>128</v>
      </c>
      <c r="L2891" s="1" t="s">
        <v>14430</v>
      </c>
      <c r="M2891" s="1" t="s">
        <v>2330</v>
      </c>
      <c r="N2891" s="1">
        <v>0</v>
      </c>
      <c r="O2891" s="1">
        <v>0</v>
      </c>
      <c r="P2891" s="1" t="s">
        <v>14431</v>
      </c>
      <c r="Q2891" s="1" t="s">
        <v>101</v>
      </c>
      <c r="R2891" s="1" t="s">
        <v>14432</v>
      </c>
      <c r="S2891" s="1" t="s">
        <v>14433</v>
      </c>
      <c r="T2891" s="1">
        <v>1</v>
      </c>
      <c r="U2891" s="1">
        <v>0</v>
      </c>
      <c r="V2891" s="1">
        <v>0</v>
      </c>
      <c r="W2891" s="1">
        <v>0</v>
      </c>
      <c r="X2891" s="1">
        <v>1</v>
      </c>
      <c r="Y2891" s="1">
        <v>1</v>
      </c>
      <c r="Z2891" s="1">
        <v>1</v>
      </c>
      <c r="AA2891" s="1">
        <v>1</v>
      </c>
      <c r="AB2891" s="1" t="s">
        <v>104</v>
      </c>
      <c r="AC2891" s="1" t="s">
        <v>104</v>
      </c>
      <c r="AD2891" s="1" t="s">
        <v>104</v>
      </c>
      <c r="AE2891" s="1" t="s">
        <v>104</v>
      </c>
      <c r="AF2891" s="1" t="s">
        <v>104</v>
      </c>
      <c r="AG2891" s="1" t="s">
        <v>104</v>
      </c>
      <c r="AH2891" s="1">
        <v>1</v>
      </c>
      <c r="AI2891" s="1" t="s">
        <v>104</v>
      </c>
      <c r="AJ2891" s="1">
        <v>1</v>
      </c>
      <c r="AK2891" s="1" t="s">
        <v>104</v>
      </c>
      <c r="AL2891" s="1" t="s">
        <v>104</v>
      </c>
      <c r="AM2891" s="1" t="s">
        <v>104</v>
      </c>
      <c r="AO2891" s="1">
        <v>1</v>
      </c>
      <c r="AR2891" s="1">
        <v>0</v>
      </c>
      <c r="AS2891" s="1">
        <v>0</v>
      </c>
      <c r="AT2891" s="1">
        <v>0</v>
      </c>
      <c r="AU2891" s="1">
        <v>0</v>
      </c>
      <c r="AV2891" s="1">
        <v>0</v>
      </c>
      <c r="AW2891" s="1">
        <v>0</v>
      </c>
      <c r="AX2891" s="1">
        <v>0</v>
      </c>
      <c r="AY2891" s="1">
        <v>0</v>
      </c>
      <c r="AZ2891" s="1">
        <v>0</v>
      </c>
      <c r="BA2891" s="1">
        <v>0</v>
      </c>
      <c r="BB2891" s="1">
        <v>0</v>
      </c>
      <c r="BC2891" s="1">
        <v>0</v>
      </c>
      <c r="BD2891" s="1">
        <v>0</v>
      </c>
      <c r="BE2891" s="1">
        <v>0</v>
      </c>
      <c r="BF2891" s="1">
        <v>0</v>
      </c>
      <c r="BG2891" s="1">
        <v>0</v>
      </c>
      <c r="BH2891" s="1">
        <v>0</v>
      </c>
      <c r="BI2891" s="1">
        <v>0</v>
      </c>
      <c r="BJ2891" s="1">
        <v>0</v>
      </c>
      <c r="BK2891" s="1">
        <v>0</v>
      </c>
      <c r="BL2891" s="1">
        <v>0</v>
      </c>
      <c r="BM2891" s="1">
        <v>0</v>
      </c>
      <c r="BN2891" s="1">
        <v>0</v>
      </c>
      <c r="BO2891" s="1">
        <v>0</v>
      </c>
      <c r="BP2891" s="1">
        <v>0</v>
      </c>
      <c r="BQ2891" s="1" t="s">
        <v>104</v>
      </c>
      <c r="BR2891" s="1">
        <v>5018</v>
      </c>
      <c r="BS2891" s="1" t="s">
        <v>104</v>
      </c>
      <c r="BX2891" s="1">
        <v>0</v>
      </c>
      <c r="BY2891" s="1" t="s">
        <v>104</v>
      </c>
      <c r="BZ2891" s="1" t="s">
        <v>104</v>
      </c>
      <c r="CA2891" s="1" t="s">
        <v>104</v>
      </c>
      <c r="CB2891" s="1" t="s">
        <v>104</v>
      </c>
      <c r="CC2891" s="1" t="s">
        <v>104</v>
      </c>
      <c r="CD2891" s="1" t="s">
        <v>104</v>
      </c>
      <c r="CE2891" s="1" t="s">
        <v>104</v>
      </c>
      <c r="CF2891" s="1" t="s">
        <v>104</v>
      </c>
      <c r="CG2891" s="1" t="s">
        <v>104</v>
      </c>
      <c r="CH2891" s="1" t="s">
        <v>104</v>
      </c>
      <c r="CJ2891" s="1">
        <v>0</v>
      </c>
      <c r="CK2891" s="1">
        <v>0</v>
      </c>
      <c r="CL2891" s="1">
        <v>0</v>
      </c>
      <c r="CM2891" s="1" t="s">
        <v>104</v>
      </c>
    </row>
    <row r="2892" spans="1:91" ht="14.25" customHeight="1" x14ac:dyDescent="0.3">
      <c r="A2892" s="1" t="s">
        <v>14434</v>
      </c>
      <c r="B2892" s="1" t="s">
        <v>92</v>
      </c>
      <c r="E2892" s="1" t="s">
        <v>1834</v>
      </c>
      <c r="F2892" s="1" t="s">
        <v>191</v>
      </c>
      <c r="G2892" s="1" t="s">
        <v>127</v>
      </c>
      <c r="H2892" s="1">
        <v>0</v>
      </c>
      <c r="I2892" s="1" t="s">
        <v>128</v>
      </c>
      <c r="L2892" s="1" t="s">
        <v>3314</v>
      </c>
      <c r="M2892" s="1" t="s">
        <v>201</v>
      </c>
      <c r="N2892" s="1">
        <v>0</v>
      </c>
      <c r="O2892" s="1">
        <v>0</v>
      </c>
      <c r="P2892" s="1" t="s">
        <v>375</v>
      </c>
      <c r="Q2892" s="1" t="s">
        <v>184</v>
      </c>
      <c r="R2892" s="1" t="s">
        <v>14435</v>
      </c>
      <c r="S2892" s="1" t="s">
        <v>14433</v>
      </c>
      <c r="T2892" s="1">
        <v>1</v>
      </c>
      <c r="U2892" s="1">
        <v>1</v>
      </c>
      <c r="V2892" s="1">
        <v>0</v>
      </c>
      <c r="W2892" s="1">
        <v>0</v>
      </c>
      <c r="X2892" s="1">
        <v>1</v>
      </c>
      <c r="Y2892" s="1" t="s">
        <v>104</v>
      </c>
      <c r="Z2892" s="1" t="s">
        <v>104</v>
      </c>
      <c r="AA2892" s="1">
        <v>6</v>
      </c>
      <c r="AB2892" s="1" t="s">
        <v>104</v>
      </c>
      <c r="AC2892" s="1" t="s">
        <v>104</v>
      </c>
      <c r="AD2892" s="1" t="s">
        <v>104</v>
      </c>
      <c r="AE2892" s="1" t="s">
        <v>104</v>
      </c>
      <c r="AF2892" s="1" t="s">
        <v>104</v>
      </c>
      <c r="AG2892" s="1" t="s">
        <v>104</v>
      </c>
      <c r="AH2892" s="1" t="s">
        <v>104</v>
      </c>
      <c r="AI2892" s="1" t="s">
        <v>104</v>
      </c>
      <c r="AJ2892" s="1">
        <v>6</v>
      </c>
      <c r="AK2892" s="1" t="s">
        <v>104</v>
      </c>
      <c r="AL2892" s="1" t="s">
        <v>104</v>
      </c>
      <c r="AM2892" s="1" t="s">
        <v>104</v>
      </c>
      <c r="AO2892" s="1">
        <v>6</v>
      </c>
      <c r="AR2892" s="1">
        <v>0</v>
      </c>
      <c r="AS2892" s="1">
        <v>0</v>
      </c>
      <c r="AT2892" s="1">
        <v>0</v>
      </c>
      <c r="AU2892" s="1">
        <v>0</v>
      </c>
      <c r="AV2892" s="1">
        <v>0</v>
      </c>
      <c r="AW2892" s="1">
        <v>0</v>
      </c>
      <c r="AX2892" s="1">
        <v>0</v>
      </c>
      <c r="AY2892" s="1">
        <v>0</v>
      </c>
      <c r="AZ2892" s="1">
        <v>0</v>
      </c>
      <c r="BA2892" s="1">
        <v>0</v>
      </c>
      <c r="BB2892" s="1">
        <v>0</v>
      </c>
      <c r="BC2892" s="1">
        <v>0</v>
      </c>
      <c r="BD2892" s="1">
        <v>0</v>
      </c>
      <c r="BE2892" s="1">
        <v>0</v>
      </c>
      <c r="BF2892" s="1">
        <v>0</v>
      </c>
      <c r="BG2892" s="1">
        <v>0</v>
      </c>
      <c r="BH2892" s="1">
        <v>0</v>
      </c>
      <c r="BI2892" s="1">
        <v>0</v>
      </c>
      <c r="BJ2892" s="1">
        <v>0</v>
      </c>
      <c r="BK2892" s="1">
        <v>0</v>
      </c>
      <c r="BL2892" s="1">
        <v>0</v>
      </c>
      <c r="BM2892" s="1">
        <v>0</v>
      </c>
      <c r="BN2892" s="1">
        <v>0</v>
      </c>
      <c r="BO2892" s="1">
        <v>0</v>
      </c>
      <c r="BP2892" s="1">
        <v>0</v>
      </c>
      <c r="BQ2892" s="1" t="s">
        <v>104</v>
      </c>
      <c r="BR2892" s="1">
        <v>5019</v>
      </c>
      <c r="BS2892" s="1" t="s">
        <v>104</v>
      </c>
      <c r="BX2892" s="1">
        <v>0</v>
      </c>
      <c r="BY2892" s="1" t="s">
        <v>104</v>
      </c>
      <c r="BZ2892" s="1" t="s">
        <v>104</v>
      </c>
      <c r="CA2892" s="1" t="s">
        <v>104</v>
      </c>
      <c r="CB2892" s="1" t="s">
        <v>104</v>
      </c>
      <c r="CC2892" s="1" t="s">
        <v>104</v>
      </c>
      <c r="CD2892" s="1" t="s">
        <v>104</v>
      </c>
      <c r="CE2892" s="1" t="s">
        <v>104</v>
      </c>
      <c r="CF2892" s="1" t="s">
        <v>104</v>
      </c>
      <c r="CG2892" s="1" t="s">
        <v>104</v>
      </c>
      <c r="CH2892" s="1" t="s">
        <v>104</v>
      </c>
      <c r="CJ2892" s="1">
        <v>0</v>
      </c>
      <c r="CK2892" s="1">
        <v>0</v>
      </c>
      <c r="CL2892" s="1">
        <v>0</v>
      </c>
      <c r="CM2892" s="1" t="s">
        <v>104</v>
      </c>
    </row>
    <row r="2893" spans="1:91" ht="14.25" customHeight="1" x14ac:dyDescent="0.3">
      <c r="A2893" s="1" t="s">
        <v>14436</v>
      </c>
      <c r="B2893" s="1" t="s">
        <v>92</v>
      </c>
      <c r="C2893" s="1" t="s">
        <v>93</v>
      </c>
      <c r="E2893" s="1" t="s">
        <v>5774</v>
      </c>
      <c r="F2893" s="1" t="s">
        <v>95</v>
      </c>
      <c r="G2893" s="1" t="s">
        <v>127</v>
      </c>
      <c r="H2893" s="1">
        <v>0</v>
      </c>
      <c r="I2893" s="1" t="s">
        <v>448</v>
      </c>
      <c r="J2893" s="1" t="s">
        <v>14437</v>
      </c>
      <c r="M2893" s="1" t="s">
        <v>14438</v>
      </c>
      <c r="N2893" s="1">
        <v>0</v>
      </c>
      <c r="O2893" s="1">
        <v>0</v>
      </c>
      <c r="P2893" s="1" t="s">
        <v>100</v>
      </c>
      <c r="Q2893" s="1" t="s">
        <v>101</v>
      </c>
      <c r="R2893" s="1" t="s">
        <v>14439</v>
      </c>
      <c r="S2893" s="1" t="s">
        <v>14418</v>
      </c>
      <c r="T2893" s="1">
        <v>1</v>
      </c>
      <c r="U2893" s="1">
        <v>1</v>
      </c>
      <c r="V2893" s="1">
        <v>0</v>
      </c>
      <c r="W2893" s="1">
        <v>0</v>
      </c>
      <c r="X2893" s="1">
        <v>1</v>
      </c>
      <c r="Y2893" s="1" t="s">
        <v>104</v>
      </c>
      <c r="Z2893" s="1" t="s">
        <v>104</v>
      </c>
      <c r="AA2893" s="1">
        <v>2</v>
      </c>
      <c r="AB2893" s="1" t="s">
        <v>104</v>
      </c>
      <c r="AC2893" s="1" t="s">
        <v>104</v>
      </c>
      <c r="AD2893" s="1" t="s">
        <v>104</v>
      </c>
      <c r="AE2893" s="1">
        <v>2</v>
      </c>
      <c r="AF2893" s="1" t="s">
        <v>104</v>
      </c>
      <c r="AG2893" s="1" t="s">
        <v>104</v>
      </c>
      <c r="AH2893" s="1" t="s">
        <v>104</v>
      </c>
      <c r="AI2893" s="1" t="s">
        <v>104</v>
      </c>
      <c r="AJ2893" s="1">
        <v>2</v>
      </c>
      <c r="AK2893" s="1" t="s">
        <v>104</v>
      </c>
      <c r="AL2893" s="1" t="s">
        <v>104</v>
      </c>
      <c r="AM2893" s="1" t="s">
        <v>104</v>
      </c>
      <c r="AO2893" s="1">
        <v>2</v>
      </c>
      <c r="AR2893" s="1">
        <v>0</v>
      </c>
      <c r="AS2893" s="1">
        <v>0</v>
      </c>
      <c r="AT2893" s="1">
        <v>0</v>
      </c>
      <c r="AU2893" s="1">
        <v>0</v>
      </c>
      <c r="AV2893" s="1">
        <v>0</v>
      </c>
      <c r="AW2893" s="1">
        <v>0</v>
      </c>
      <c r="AX2893" s="1">
        <v>0</v>
      </c>
      <c r="AY2893" s="1">
        <v>0</v>
      </c>
      <c r="AZ2893" s="1">
        <v>0</v>
      </c>
      <c r="BA2893" s="1">
        <v>0</v>
      </c>
      <c r="BB2893" s="1">
        <v>0</v>
      </c>
      <c r="BC2893" s="1">
        <v>0</v>
      </c>
      <c r="BD2893" s="1">
        <v>0</v>
      </c>
      <c r="BE2893" s="1">
        <v>0</v>
      </c>
      <c r="BF2893" s="1">
        <v>0</v>
      </c>
      <c r="BG2893" s="1">
        <v>0</v>
      </c>
      <c r="BH2893" s="1">
        <v>0</v>
      </c>
      <c r="BI2893" s="1">
        <v>0</v>
      </c>
      <c r="BJ2893" s="1">
        <v>0</v>
      </c>
      <c r="BK2893" s="1">
        <v>0</v>
      </c>
      <c r="BL2893" s="1">
        <v>0</v>
      </c>
      <c r="BM2893" s="1">
        <v>0</v>
      </c>
      <c r="BN2893" s="1">
        <v>0</v>
      </c>
      <c r="BO2893" s="1">
        <v>0</v>
      </c>
      <c r="BP2893" s="1">
        <v>0</v>
      </c>
      <c r="BQ2893" s="1" t="s">
        <v>104</v>
      </c>
      <c r="BR2893" s="1">
        <v>5020</v>
      </c>
      <c r="BS2893" s="1" t="s">
        <v>104</v>
      </c>
      <c r="BX2893" s="1">
        <v>0</v>
      </c>
      <c r="BY2893" s="1" t="s">
        <v>104</v>
      </c>
      <c r="BZ2893" s="1" t="s">
        <v>104</v>
      </c>
      <c r="CA2893" s="1" t="s">
        <v>104</v>
      </c>
      <c r="CB2893" s="1" t="s">
        <v>104</v>
      </c>
      <c r="CC2893" s="1" t="s">
        <v>104</v>
      </c>
      <c r="CD2893" s="1" t="s">
        <v>104</v>
      </c>
      <c r="CE2893" s="1" t="s">
        <v>104</v>
      </c>
      <c r="CF2893" s="1" t="s">
        <v>104</v>
      </c>
      <c r="CG2893" s="1" t="s">
        <v>104</v>
      </c>
      <c r="CH2893" s="1" t="s">
        <v>104</v>
      </c>
      <c r="CJ2893" s="1">
        <v>0</v>
      </c>
      <c r="CK2893" s="1">
        <v>0</v>
      </c>
      <c r="CL2893" s="1">
        <v>0</v>
      </c>
      <c r="CM2893" s="1" t="s">
        <v>104</v>
      </c>
    </row>
    <row r="2894" spans="1:91" ht="14.25" customHeight="1" x14ac:dyDescent="0.3">
      <c r="A2894" s="1" t="s">
        <v>14440</v>
      </c>
      <c r="B2894" s="1" t="s">
        <v>162</v>
      </c>
      <c r="E2894" s="1" t="s">
        <v>14441</v>
      </c>
      <c r="F2894" s="1" t="s">
        <v>95</v>
      </c>
      <c r="G2894" s="1" t="s">
        <v>14442</v>
      </c>
      <c r="H2894" s="1">
        <v>0</v>
      </c>
      <c r="I2894" s="1" t="s">
        <v>157</v>
      </c>
      <c r="L2894" s="1" t="s">
        <v>158</v>
      </c>
      <c r="M2894" s="1" t="s">
        <v>426</v>
      </c>
      <c r="N2894" s="1">
        <v>1</v>
      </c>
      <c r="O2894" s="1">
        <v>0</v>
      </c>
      <c r="R2894" s="1" t="s">
        <v>14443</v>
      </c>
      <c r="S2894" s="1" t="s">
        <v>14444</v>
      </c>
      <c r="T2894" s="1">
        <v>1</v>
      </c>
      <c r="U2894" s="1">
        <v>1</v>
      </c>
      <c r="V2894" s="1">
        <v>1</v>
      </c>
      <c r="W2894" s="1">
        <v>0</v>
      </c>
      <c r="X2894" s="1">
        <v>0</v>
      </c>
      <c r="Y2894" s="1">
        <v>5</v>
      </c>
      <c r="Z2894" s="1">
        <v>5</v>
      </c>
      <c r="AA2894" s="1" t="s">
        <v>104</v>
      </c>
      <c r="AB2894" s="1">
        <v>5</v>
      </c>
      <c r="AC2894" s="1">
        <v>3</v>
      </c>
      <c r="AD2894" s="1" t="s">
        <v>104</v>
      </c>
      <c r="AE2894" s="1" t="s">
        <v>104</v>
      </c>
      <c r="AF2894" s="1" t="s">
        <v>104</v>
      </c>
      <c r="AG2894" s="1">
        <v>4</v>
      </c>
      <c r="AH2894" s="1" t="s">
        <v>104</v>
      </c>
      <c r="AI2894" s="1" t="s">
        <v>104</v>
      </c>
      <c r="AJ2894" s="1" t="s">
        <v>104</v>
      </c>
      <c r="AK2894" s="1" t="s">
        <v>104</v>
      </c>
      <c r="AL2894" s="1" t="s">
        <v>104</v>
      </c>
      <c r="AM2894" s="1" t="s">
        <v>104</v>
      </c>
      <c r="AO2894" s="1">
        <v>5</v>
      </c>
      <c r="AR2894" s="1">
        <v>0</v>
      </c>
      <c r="AS2894" s="1">
        <v>0</v>
      </c>
      <c r="AT2894" s="1">
        <v>0</v>
      </c>
      <c r="AU2894" s="1">
        <v>0</v>
      </c>
      <c r="AV2894" s="1">
        <v>0</v>
      </c>
      <c r="AW2894" s="1">
        <v>0</v>
      </c>
      <c r="AX2894" s="1">
        <v>0</v>
      </c>
      <c r="AY2894" s="1">
        <v>0</v>
      </c>
      <c r="AZ2894" s="1">
        <v>0</v>
      </c>
      <c r="BA2894" s="1">
        <v>0</v>
      </c>
      <c r="BB2894" s="1">
        <v>0</v>
      </c>
      <c r="BC2894" s="1">
        <v>0</v>
      </c>
      <c r="BD2894" s="1">
        <v>0</v>
      </c>
      <c r="BE2894" s="1">
        <v>0</v>
      </c>
      <c r="BF2894" s="1">
        <v>0</v>
      </c>
      <c r="BG2894" s="1">
        <v>0</v>
      </c>
      <c r="BH2894" s="1">
        <v>0</v>
      </c>
      <c r="BI2894" s="1">
        <v>0</v>
      </c>
      <c r="BJ2894" s="1">
        <v>0</v>
      </c>
      <c r="BK2894" s="1">
        <v>0</v>
      </c>
      <c r="BL2894" s="1">
        <v>0</v>
      </c>
      <c r="BM2894" s="1">
        <v>0</v>
      </c>
      <c r="BN2894" s="1">
        <v>0</v>
      </c>
      <c r="BO2894" s="1">
        <v>0</v>
      </c>
      <c r="BP2894" s="1">
        <v>0</v>
      </c>
      <c r="BQ2894" s="1" t="s">
        <v>104</v>
      </c>
      <c r="BR2894" s="1">
        <v>5021</v>
      </c>
      <c r="BS2894" s="1" t="s">
        <v>104</v>
      </c>
      <c r="BX2894" s="1">
        <v>0</v>
      </c>
      <c r="BY2894" s="1" t="s">
        <v>104</v>
      </c>
      <c r="BZ2894" s="1" t="s">
        <v>104</v>
      </c>
      <c r="CA2894" s="1" t="s">
        <v>104</v>
      </c>
      <c r="CB2894" s="1" t="s">
        <v>104</v>
      </c>
      <c r="CC2894" s="1" t="s">
        <v>104</v>
      </c>
      <c r="CD2894" s="1">
        <v>4</v>
      </c>
      <c r="CE2894" s="1" t="s">
        <v>104</v>
      </c>
      <c r="CF2894" s="1" t="s">
        <v>104</v>
      </c>
      <c r="CG2894" s="1" t="s">
        <v>104</v>
      </c>
      <c r="CH2894" s="1">
        <v>3</v>
      </c>
      <c r="CJ2894" s="1">
        <v>0</v>
      </c>
      <c r="CK2894" s="1">
        <v>0</v>
      </c>
      <c r="CL2894" s="1">
        <v>0</v>
      </c>
      <c r="CM2894" s="1" t="s">
        <v>104</v>
      </c>
    </row>
    <row r="2895" spans="1:91" ht="14.25" customHeight="1" x14ac:dyDescent="0.3">
      <c r="A2895" s="1" t="s">
        <v>14445</v>
      </c>
      <c r="B2895" s="1" t="s">
        <v>172</v>
      </c>
      <c r="E2895" s="1" t="s">
        <v>14446</v>
      </c>
      <c r="F2895" s="1" t="s">
        <v>95</v>
      </c>
      <c r="G2895" s="1" t="s">
        <v>14447</v>
      </c>
      <c r="H2895" s="1">
        <v>0</v>
      </c>
      <c r="I2895" s="1" t="s">
        <v>117</v>
      </c>
      <c r="L2895" s="1" t="s">
        <v>14448</v>
      </c>
      <c r="M2895" s="1" t="s">
        <v>2330</v>
      </c>
      <c r="N2895" s="1">
        <v>0</v>
      </c>
      <c r="O2895" s="1">
        <v>0</v>
      </c>
      <c r="P2895" s="1" t="s">
        <v>1902</v>
      </c>
      <c r="Q2895" s="1" t="s">
        <v>184</v>
      </c>
      <c r="R2895" s="1" t="s">
        <v>14449</v>
      </c>
      <c r="S2895" s="1" t="s">
        <v>14444</v>
      </c>
      <c r="T2895" s="1">
        <v>1</v>
      </c>
      <c r="U2895" s="1">
        <v>1</v>
      </c>
      <c r="V2895" s="1">
        <v>0</v>
      </c>
      <c r="W2895" s="1">
        <v>0</v>
      </c>
      <c r="X2895" s="1">
        <v>1</v>
      </c>
      <c r="Y2895" s="1">
        <v>4</v>
      </c>
      <c r="Z2895" s="1">
        <v>4</v>
      </c>
      <c r="AA2895" s="1">
        <v>4</v>
      </c>
      <c r="AB2895" s="1" t="s">
        <v>104</v>
      </c>
      <c r="AC2895" s="1" t="s">
        <v>104</v>
      </c>
      <c r="AD2895" s="1" t="s">
        <v>104</v>
      </c>
      <c r="AE2895" s="1" t="s">
        <v>104</v>
      </c>
      <c r="AF2895" s="1" t="s">
        <v>104</v>
      </c>
      <c r="AG2895" s="1">
        <v>3</v>
      </c>
      <c r="AH2895" s="1">
        <v>4</v>
      </c>
      <c r="AI2895" s="1" t="s">
        <v>104</v>
      </c>
      <c r="AJ2895" s="1">
        <v>4</v>
      </c>
      <c r="AK2895" s="1" t="s">
        <v>104</v>
      </c>
      <c r="AL2895" s="1" t="s">
        <v>104</v>
      </c>
      <c r="AM2895" s="1" t="s">
        <v>104</v>
      </c>
      <c r="AO2895" s="1">
        <v>4</v>
      </c>
      <c r="AR2895" s="1">
        <v>0</v>
      </c>
      <c r="AS2895" s="1">
        <v>0</v>
      </c>
      <c r="AT2895" s="1">
        <v>0</v>
      </c>
      <c r="AU2895" s="1">
        <v>0</v>
      </c>
      <c r="AV2895" s="1">
        <v>0</v>
      </c>
      <c r="AW2895" s="1">
        <v>0</v>
      </c>
      <c r="AX2895" s="1">
        <v>0</v>
      </c>
      <c r="AY2895" s="1">
        <v>0</v>
      </c>
      <c r="AZ2895" s="1">
        <v>0</v>
      </c>
      <c r="BA2895" s="1">
        <v>0</v>
      </c>
      <c r="BB2895" s="1">
        <v>0</v>
      </c>
      <c r="BC2895" s="1">
        <v>0</v>
      </c>
      <c r="BD2895" s="1">
        <v>0</v>
      </c>
      <c r="BE2895" s="1">
        <v>0</v>
      </c>
      <c r="BF2895" s="1">
        <v>0</v>
      </c>
      <c r="BG2895" s="1">
        <v>0</v>
      </c>
      <c r="BH2895" s="1">
        <v>0</v>
      </c>
      <c r="BI2895" s="1">
        <v>0</v>
      </c>
      <c r="BJ2895" s="1">
        <v>0</v>
      </c>
      <c r="BK2895" s="1">
        <v>0</v>
      </c>
      <c r="BL2895" s="1">
        <v>0</v>
      </c>
      <c r="BM2895" s="1">
        <v>0</v>
      </c>
      <c r="BN2895" s="1">
        <v>0</v>
      </c>
      <c r="BO2895" s="1">
        <v>0</v>
      </c>
      <c r="BP2895" s="1">
        <v>0</v>
      </c>
      <c r="BQ2895" s="1" t="s">
        <v>104</v>
      </c>
      <c r="BR2895" s="1">
        <v>5022</v>
      </c>
      <c r="BS2895" s="1" t="s">
        <v>104</v>
      </c>
      <c r="BX2895" s="1">
        <v>0</v>
      </c>
      <c r="BY2895" s="1" t="s">
        <v>104</v>
      </c>
      <c r="BZ2895" s="1">
        <v>4</v>
      </c>
      <c r="CA2895" s="1" t="s">
        <v>104</v>
      </c>
      <c r="CB2895" s="1">
        <v>3</v>
      </c>
      <c r="CC2895" s="1" t="s">
        <v>104</v>
      </c>
      <c r="CD2895" s="1" t="s">
        <v>104</v>
      </c>
      <c r="CE2895" s="1" t="s">
        <v>104</v>
      </c>
      <c r="CF2895" s="1" t="s">
        <v>104</v>
      </c>
      <c r="CG2895" s="1" t="s">
        <v>104</v>
      </c>
      <c r="CH2895" s="1" t="s">
        <v>104</v>
      </c>
      <c r="CJ2895" s="1">
        <v>0</v>
      </c>
      <c r="CK2895" s="1">
        <v>0</v>
      </c>
      <c r="CL2895" s="1">
        <v>0</v>
      </c>
      <c r="CM2895" s="1" t="s">
        <v>104</v>
      </c>
    </row>
    <row r="2896" spans="1:91" ht="14.25" customHeight="1" x14ac:dyDescent="0.3">
      <c r="A2896" s="1" t="s">
        <v>14450</v>
      </c>
      <c r="B2896" s="1" t="s">
        <v>162</v>
      </c>
      <c r="E2896" s="1" t="s">
        <v>14451</v>
      </c>
      <c r="F2896" s="1" t="s">
        <v>95</v>
      </c>
      <c r="G2896" s="1" t="s">
        <v>127</v>
      </c>
      <c r="H2896" s="1">
        <v>0</v>
      </c>
      <c r="I2896" s="1" t="s">
        <v>117</v>
      </c>
      <c r="L2896" s="1" t="s">
        <v>14452</v>
      </c>
      <c r="M2896" s="1" t="s">
        <v>4292</v>
      </c>
      <c r="N2896" s="1">
        <v>0</v>
      </c>
      <c r="O2896" s="1">
        <v>0</v>
      </c>
      <c r="R2896" s="1" t="s">
        <v>14453</v>
      </c>
      <c r="S2896" s="1" t="s">
        <v>14444</v>
      </c>
      <c r="T2896" s="1">
        <v>1</v>
      </c>
      <c r="U2896" s="1">
        <v>1</v>
      </c>
      <c r="V2896" s="1">
        <v>0</v>
      </c>
      <c r="W2896" s="1">
        <v>0</v>
      </c>
      <c r="X2896" s="1">
        <v>1</v>
      </c>
      <c r="Y2896" s="1" t="s">
        <v>104</v>
      </c>
      <c r="Z2896" s="1" t="s">
        <v>104</v>
      </c>
      <c r="AA2896" s="1">
        <v>5</v>
      </c>
      <c r="AB2896" s="1" t="s">
        <v>104</v>
      </c>
      <c r="AC2896" s="1" t="s">
        <v>104</v>
      </c>
      <c r="AD2896" s="1" t="s">
        <v>104</v>
      </c>
      <c r="AE2896" s="1">
        <v>3</v>
      </c>
      <c r="AF2896" s="1" t="s">
        <v>104</v>
      </c>
      <c r="AG2896" s="1" t="s">
        <v>104</v>
      </c>
      <c r="AH2896" s="1" t="s">
        <v>104</v>
      </c>
      <c r="AI2896" s="1">
        <v>4</v>
      </c>
      <c r="AJ2896" s="1">
        <v>5</v>
      </c>
      <c r="AK2896" s="1" t="s">
        <v>104</v>
      </c>
      <c r="AL2896" s="1" t="s">
        <v>104</v>
      </c>
      <c r="AM2896" s="1" t="s">
        <v>104</v>
      </c>
      <c r="AO2896" s="1">
        <v>5</v>
      </c>
      <c r="AR2896" s="1">
        <v>0</v>
      </c>
      <c r="AS2896" s="1">
        <v>0</v>
      </c>
      <c r="AT2896" s="1">
        <v>0</v>
      </c>
      <c r="AU2896" s="1">
        <v>0</v>
      </c>
      <c r="AV2896" s="1">
        <v>0</v>
      </c>
      <c r="AW2896" s="1">
        <v>0</v>
      </c>
      <c r="AX2896" s="1">
        <v>0</v>
      </c>
      <c r="AY2896" s="1">
        <v>0</v>
      </c>
      <c r="AZ2896" s="1">
        <v>0</v>
      </c>
      <c r="BA2896" s="1">
        <v>0</v>
      </c>
      <c r="BB2896" s="1">
        <v>0</v>
      </c>
      <c r="BC2896" s="1">
        <v>0</v>
      </c>
      <c r="BD2896" s="1">
        <v>0</v>
      </c>
      <c r="BE2896" s="1">
        <v>0</v>
      </c>
      <c r="BF2896" s="1">
        <v>0</v>
      </c>
      <c r="BG2896" s="1">
        <v>0</v>
      </c>
      <c r="BH2896" s="1">
        <v>0</v>
      </c>
      <c r="BI2896" s="1">
        <v>0</v>
      </c>
      <c r="BJ2896" s="1">
        <v>0</v>
      </c>
      <c r="BK2896" s="1">
        <v>0</v>
      </c>
      <c r="BL2896" s="1">
        <v>0</v>
      </c>
      <c r="BM2896" s="1">
        <v>0</v>
      </c>
      <c r="BN2896" s="1">
        <v>0</v>
      </c>
      <c r="BO2896" s="1">
        <v>0</v>
      </c>
      <c r="BP2896" s="1">
        <v>0</v>
      </c>
      <c r="BQ2896" s="1" t="s">
        <v>104</v>
      </c>
      <c r="BR2896" s="1">
        <v>5023</v>
      </c>
      <c r="BS2896" s="1" t="s">
        <v>104</v>
      </c>
      <c r="BX2896" s="1">
        <v>0</v>
      </c>
      <c r="BY2896" s="1" t="s">
        <v>104</v>
      </c>
      <c r="BZ2896" s="1" t="s">
        <v>104</v>
      </c>
      <c r="CA2896" s="1" t="s">
        <v>104</v>
      </c>
      <c r="CB2896" s="1" t="s">
        <v>104</v>
      </c>
      <c r="CC2896" s="1" t="s">
        <v>104</v>
      </c>
      <c r="CD2896" s="1" t="s">
        <v>104</v>
      </c>
      <c r="CE2896" s="1" t="s">
        <v>104</v>
      </c>
      <c r="CF2896" s="1" t="s">
        <v>104</v>
      </c>
      <c r="CG2896" s="1" t="s">
        <v>104</v>
      </c>
      <c r="CH2896" s="1" t="s">
        <v>104</v>
      </c>
      <c r="CJ2896" s="1">
        <v>0</v>
      </c>
      <c r="CK2896" s="1">
        <v>0</v>
      </c>
      <c r="CL2896" s="1">
        <v>0</v>
      </c>
      <c r="CM2896" s="1" t="s">
        <v>104</v>
      </c>
    </row>
    <row r="2897" spans="1:91" ht="14.25" customHeight="1" x14ac:dyDescent="0.3">
      <c r="A2897" s="1" t="s">
        <v>14454</v>
      </c>
      <c r="B2897" s="1" t="s">
        <v>137</v>
      </c>
      <c r="E2897" s="1" t="s">
        <v>14455</v>
      </c>
      <c r="F2897" s="1" t="s">
        <v>95</v>
      </c>
      <c r="G2897" s="1" t="s">
        <v>14456</v>
      </c>
      <c r="H2897" s="1">
        <v>0</v>
      </c>
      <c r="I2897" s="1" t="s">
        <v>128</v>
      </c>
      <c r="L2897" s="1" t="s">
        <v>14457</v>
      </c>
      <c r="M2897" s="1" t="s">
        <v>4641</v>
      </c>
      <c r="N2897" s="1">
        <v>1</v>
      </c>
      <c r="O2897" s="1">
        <v>0</v>
      </c>
      <c r="P2897" s="1" t="s">
        <v>375</v>
      </c>
      <c r="Q2897" s="1" t="s">
        <v>131</v>
      </c>
      <c r="R2897" s="1" t="s">
        <v>14458</v>
      </c>
      <c r="S2897" s="1" t="s">
        <v>14444</v>
      </c>
      <c r="T2897" s="1">
        <v>1</v>
      </c>
      <c r="U2897" s="1">
        <v>1</v>
      </c>
      <c r="V2897" s="1">
        <v>1</v>
      </c>
      <c r="W2897" s="1">
        <v>0</v>
      </c>
      <c r="X2897" s="1">
        <v>1</v>
      </c>
      <c r="Y2897" s="1">
        <v>2</v>
      </c>
      <c r="Z2897" s="1">
        <v>2</v>
      </c>
      <c r="AA2897" s="1" t="s">
        <v>104</v>
      </c>
      <c r="AB2897" s="1">
        <v>2</v>
      </c>
      <c r="AC2897" s="1">
        <v>2</v>
      </c>
      <c r="AD2897" s="1" t="s">
        <v>104</v>
      </c>
      <c r="AE2897" s="1">
        <v>1</v>
      </c>
      <c r="AF2897" s="1" t="s">
        <v>104</v>
      </c>
      <c r="AG2897" s="1">
        <v>1</v>
      </c>
      <c r="AH2897" s="1">
        <v>2</v>
      </c>
      <c r="AI2897" s="1" t="s">
        <v>104</v>
      </c>
      <c r="AJ2897" s="1" t="s">
        <v>104</v>
      </c>
      <c r="AK2897" s="1" t="s">
        <v>104</v>
      </c>
      <c r="AL2897" s="1" t="s">
        <v>104</v>
      </c>
      <c r="AM2897" s="1" t="s">
        <v>104</v>
      </c>
      <c r="AO2897" s="1">
        <v>2</v>
      </c>
      <c r="AR2897" s="1">
        <v>0</v>
      </c>
      <c r="AS2897" s="1">
        <v>0</v>
      </c>
      <c r="AT2897" s="1">
        <v>0</v>
      </c>
      <c r="AU2897" s="1">
        <v>0</v>
      </c>
      <c r="AV2897" s="1">
        <v>0</v>
      </c>
      <c r="AW2897" s="1">
        <v>0</v>
      </c>
      <c r="AX2897" s="1">
        <v>0</v>
      </c>
      <c r="AY2897" s="1">
        <v>0</v>
      </c>
      <c r="AZ2897" s="1">
        <v>0</v>
      </c>
      <c r="BA2897" s="1">
        <v>0</v>
      </c>
      <c r="BB2897" s="1">
        <v>0</v>
      </c>
      <c r="BC2897" s="1">
        <v>0</v>
      </c>
      <c r="BD2897" s="1">
        <v>0</v>
      </c>
      <c r="BE2897" s="1">
        <v>0</v>
      </c>
      <c r="BF2897" s="1">
        <v>0</v>
      </c>
      <c r="BG2897" s="1">
        <v>0</v>
      </c>
      <c r="BH2897" s="1">
        <v>0</v>
      </c>
      <c r="BI2897" s="1">
        <v>0</v>
      </c>
      <c r="BJ2897" s="1">
        <v>0</v>
      </c>
      <c r="BK2897" s="1">
        <v>0</v>
      </c>
      <c r="BL2897" s="1">
        <v>0</v>
      </c>
      <c r="BM2897" s="1">
        <v>0</v>
      </c>
      <c r="BN2897" s="1">
        <v>0</v>
      </c>
      <c r="BO2897" s="1">
        <v>0</v>
      </c>
      <c r="BP2897" s="1">
        <v>0</v>
      </c>
      <c r="BQ2897" s="1" t="s">
        <v>104</v>
      </c>
      <c r="BR2897" s="1">
        <v>5024</v>
      </c>
      <c r="BS2897" s="1" t="s">
        <v>104</v>
      </c>
      <c r="BX2897" s="1">
        <v>0</v>
      </c>
      <c r="BY2897" s="1" t="s">
        <v>104</v>
      </c>
      <c r="BZ2897" s="1">
        <v>2</v>
      </c>
      <c r="CA2897" s="1" t="s">
        <v>104</v>
      </c>
      <c r="CB2897" s="1" t="s">
        <v>104</v>
      </c>
      <c r="CC2897" s="1" t="s">
        <v>104</v>
      </c>
      <c r="CD2897" s="1" t="s">
        <v>104</v>
      </c>
      <c r="CE2897" s="1" t="s">
        <v>104</v>
      </c>
      <c r="CF2897" s="1" t="s">
        <v>104</v>
      </c>
      <c r="CG2897" s="1" t="s">
        <v>104</v>
      </c>
      <c r="CH2897" s="1">
        <v>2</v>
      </c>
      <c r="CJ2897" s="1">
        <v>0</v>
      </c>
      <c r="CK2897" s="1">
        <v>0</v>
      </c>
      <c r="CL2897" s="1">
        <v>0</v>
      </c>
      <c r="CM2897" s="1" t="s">
        <v>104</v>
      </c>
    </row>
    <row r="2898" spans="1:91" ht="14.25" customHeight="1" x14ac:dyDescent="0.3">
      <c r="A2898" s="1" t="s">
        <v>14459</v>
      </c>
      <c r="B2898" s="1" t="s">
        <v>162</v>
      </c>
      <c r="D2898" s="1" t="s">
        <v>5939</v>
      </c>
      <c r="E2898" s="1" t="s">
        <v>7218</v>
      </c>
      <c r="F2898" s="1" t="s">
        <v>95</v>
      </c>
      <c r="G2898" s="1" t="s">
        <v>127</v>
      </c>
      <c r="H2898" s="1">
        <v>0</v>
      </c>
      <c r="I2898" s="1" t="s">
        <v>157</v>
      </c>
      <c r="L2898" s="1" t="s">
        <v>158</v>
      </c>
      <c r="M2898" s="1" t="s">
        <v>14460</v>
      </c>
      <c r="N2898" s="1">
        <v>1</v>
      </c>
      <c r="O2898" s="1">
        <v>0</v>
      </c>
      <c r="P2898" s="1" t="s">
        <v>211</v>
      </c>
      <c r="Q2898" s="1" t="s">
        <v>184</v>
      </c>
      <c r="R2898" s="1" t="s">
        <v>14461</v>
      </c>
      <c r="S2898" s="1" t="s">
        <v>14444</v>
      </c>
      <c r="T2898" s="1">
        <v>1</v>
      </c>
      <c r="U2898" s="1">
        <v>1</v>
      </c>
      <c r="V2898" s="1">
        <v>0</v>
      </c>
      <c r="W2898" s="1">
        <v>0</v>
      </c>
      <c r="X2898" s="1">
        <v>1</v>
      </c>
      <c r="Y2898" s="1" t="s">
        <v>104</v>
      </c>
      <c r="Z2898" s="1" t="s">
        <v>104</v>
      </c>
      <c r="AA2898" s="1">
        <v>3</v>
      </c>
      <c r="AB2898" s="1" t="s">
        <v>104</v>
      </c>
      <c r="AC2898" s="1" t="s">
        <v>104</v>
      </c>
      <c r="AD2898" s="1" t="s">
        <v>104</v>
      </c>
      <c r="AE2898" s="1">
        <v>2</v>
      </c>
      <c r="AF2898" s="1" t="s">
        <v>104</v>
      </c>
      <c r="AG2898" s="1" t="s">
        <v>104</v>
      </c>
      <c r="AH2898" s="1" t="s">
        <v>104</v>
      </c>
      <c r="AI2898" s="1">
        <v>3</v>
      </c>
      <c r="AJ2898" s="1">
        <v>3</v>
      </c>
      <c r="AK2898" s="1" t="s">
        <v>104</v>
      </c>
      <c r="AL2898" s="1" t="s">
        <v>104</v>
      </c>
      <c r="AM2898" s="1" t="s">
        <v>104</v>
      </c>
      <c r="AO2898" s="1">
        <v>3</v>
      </c>
      <c r="AR2898" s="1">
        <v>0</v>
      </c>
      <c r="AS2898" s="1">
        <v>0</v>
      </c>
      <c r="AT2898" s="1">
        <v>0</v>
      </c>
      <c r="AU2898" s="1">
        <v>0</v>
      </c>
      <c r="AV2898" s="1">
        <v>0</v>
      </c>
      <c r="AW2898" s="1">
        <v>0</v>
      </c>
      <c r="AX2898" s="1">
        <v>0</v>
      </c>
      <c r="AY2898" s="1">
        <v>0</v>
      </c>
      <c r="AZ2898" s="1">
        <v>0</v>
      </c>
      <c r="BA2898" s="1">
        <v>0</v>
      </c>
      <c r="BB2898" s="1">
        <v>0</v>
      </c>
      <c r="BC2898" s="1">
        <v>0</v>
      </c>
      <c r="BD2898" s="1">
        <v>0</v>
      </c>
      <c r="BE2898" s="1">
        <v>0</v>
      </c>
      <c r="BF2898" s="1">
        <v>0</v>
      </c>
      <c r="BG2898" s="1">
        <v>1</v>
      </c>
      <c r="BH2898" s="1">
        <v>0</v>
      </c>
      <c r="BI2898" s="1">
        <v>0</v>
      </c>
      <c r="BJ2898" s="1">
        <v>0</v>
      </c>
      <c r="BK2898" s="1">
        <v>0</v>
      </c>
      <c r="BL2898" s="1">
        <v>0</v>
      </c>
      <c r="BM2898" s="1">
        <v>0</v>
      </c>
      <c r="BN2898" s="1">
        <v>0</v>
      </c>
      <c r="BO2898" s="1">
        <v>0</v>
      </c>
      <c r="BP2898" s="1">
        <v>0</v>
      </c>
      <c r="BQ2898" s="1" t="s">
        <v>104</v>
      </c>
      <c r="BR2898" s="1">
        <v>5025</v>
      </c>
      <c r="BS2898" s="1" t="s">
        <v>104</v>
      </c>
      <c r="BX2898" s="1">
        <v>0</v>
      </c>
      <c r="BY2898" s="1" t="s">
        <v>104</v>
      </c>
      <c r="BZ2898" s="1" t="s">
        <v>104</v>
      </c>
      <c r="CA2898" s="1" t="s">
        <v>104</v>
      </c>
      <c r="CB2898" s="1" t="s">
        <v>104</v>
      </c>
      <c r="CC2898" s="1" t="s">
        <v>104</v>
      </c>
      <c r="CD2898" s="1" t="s">
        <v>104</v>
      </c>
      <c r="CE2898" s="1" t="s">
        <v>104</v>
      </c>
      <c r="CF2898" s="1" t="s">
        <v>104</v>
      </c>
      <c r="CG2898" s="1" t="s">
        <v>104</v>
      </c>
      <c r="CH2898" s="1" t="s">
        <v>104</v>
      </c>
      <c r="CJ2898" s="1">
        <v>0</v>
      </c>
      <c r="CK2898" s="1">
        <v>0</v>
      </c>
      <c r="CL2898" s="1">
        <v>0</v>
      </c>
      <c r="CM2898" s="1" t="s">
        <v>104</v>
      </c>
    </row>
    <row r="2899" spans="1:91" ht="14.25" customHeight="1" x14ac:dyDescent="0.3">
      <c r="A2899" s="1" t="s">
        <v>14462</v>
      </c>
      <c r="B2899" s="1" t="s">
        <v>123</v>
      </c>
      <c r="C2899" s="1" t="s">
        <v>124</v>
      </c>
      <c r="D2899" s="1" t="s">
        <v>6034</v>
      </c>
      <c r="E2899" s="1" t="s">
        <v>14463</v>
      </c>
      <c r="F2899" s="1" t="s">
        <v>95</v>
      </c>
      <c r="G2899" s="1" t="s">
        <v>116</v>
      </c>
      <c r="H2899" s="1">
        <v>0</v>
      </c>
      <c r="I2899" s="1" t="s">
        <v>109</v>
      </c>
      <c r="L2899" s="1" t="s">
        <v>14464</v>
      </c>
      <c r="M2899" s="1" t="s">
        <v>5978</v>
      </c>
      <c r="N2899" s="1">
        <v>1</v>
      </c>
      <c r="O2899" s="1">
        <v>0</v>
      </c>
      <c r="P2899" s="1" t="s">
        <v>100</v>
      </c>
      <c r="Q2899" s="1" t="s">
        <v>184</v>
      </c>
      <c r="R2899" s="1" t="s">
        <v>14465</v>
      </c>
      <c r="S2899" s="1" t="s">
        <v>14444</v>
      </c>
      <c r="T2899" s="1">
        <v>1</v>
      </c>
      <c r="U2899" s="1">
        <v>1</v>
      </c>
      <c r="V2899" s="1">
        <v>0</v>
      </c>
      <c r="W2899" s="1">
        <v>0</v>
      </c>
      <c r="X2899" s="1">
        <v>0</v>
      </c>
      <c r="Y2899" s="1">
        <v>4</v>
      </c>
      <c r="Z2899" s="1">
        <v>4</v>
      </c>
      <c r="AA2899" s="1" t="s">
        <v>104</v>
      </c>
      <c r="AB2899" s="1" t="s">
        <v>104</v>
      </c>
      <c r="AC2899" s="1" t="s">
        <v>104</v>
      </c>
      <c r="AD2899" s="1">
        <v>3</v>
      </c>
      <c r="AE2899" s="1" t="s">
        <v>104</v>
      </c>
      <c r="AF2899" s="1">
        <v>3</v>
      </c>
      <c r="AG2899" s="1">
        <v>3</v>
      </c>
      <c r="AH2899" s="1">
        <v>4</v>
      </c>
      <c r="AI2899" s="1" t="s">
        <v>104</v>
      </c>
      <c r="AJ2899" s="1" t="s">
        <v>104</v>
      </c>
      <c r="AK2899" s="1" t="s">
        <v>104</v>
      </c>
      <c r="AL2899" s="1" t="s">
        <v>104</v>
      </c>
      <c r="AM2899" s="1" t="s">
        <v>104</v>
      </c>
      <c r="AO2899" s="1">
        <v>4</v>
      </c>
      <c r="AR2899" s="1">
        <v>0</v>
      </c>
      <c r="AS2899" s="1">
        <v>0</v>
      </c>
      <c r="AT2899" s="1">
        <v>0</v>
      </c>
      <c r="AU2899" s="1">
        <v>0</v>
      </c>
      <c r="AV2899" s="1">
        <v>0</v>
      </c>
      <c r="AW2899" s="1">
        <v>0</v>
      </c>
      <c r="AX2899" s="1">
        <v>0</v>
      </c>
      <c r="AY2899" s="1">
        <v>0</v>
      </c>
      <c r="AZ2899" s="1">
        <v>0</v>
      </c>
      <c r="BA2899" s="1">
        <v>0</v>
      </c>
      <c r="BB2899" s="1">
        <v>1</v>
      </c>
      <c r="BC2899" s="1">
        <v>0</v>
      </c>
      <c r="BD2899" s="1">
        <v>0</v>
      </c>
      <c r="BE2899" s="1">
        <v>0</v>
      </c>
      <c r="BF2899" s="1">
        <v>0</v>
      </c>
      <c r="BG2899" s="1">
        <v>0</v>
      </c>
      <c r="BH2899" s="1">
        <v>0</v>
      </c>
      <c r="BI2899" s="1">
        <v>0</v>
      </c>
      <c r="BJ2899" s="1">
        <v>0</v>
      </c>
      <c r="BK2899" s="1">
        <v>1</v>
      </c>
      <c r="BL2899" s="1">
        <v>0</v>
      </c>
      <c r="BM2899" s="1">
        <v>0</v>
      </c>
      <c r="BN2899" s="1">
        <v>0</v>
      </c>
      <c r="BO2899" s="1">
        <v>0</v>
      </c>
      <c r="BP2899" s="1">
        <v>0</v>
      </c>
      <c r="BQ2899" s="1" t="s">
        <v>104</v>
      </c>
      <c r="BR2899" s="1">
        <v>5026</v>
      </c>
      <c r="BS2899" s="1" t="s">
        <v>104</v>
      </c>
      <c r="BX2899" s="1">
        <v>0</v>
      </c>
      <c r="BY2899" s="1">
        <v>3</v>
      </c>
      <c r="BZ2899" s="1" t="s">
        <v>104</v>
      </c>
      <c r="CA2899" s="1">
        <v>4</v>
      </c>
      <c r="CB2899" s="1" t="s">
        <v>104</v>
      </c>
      <c r="CC2899" s="1">
        <v>3</v>
      </c>
      <c r="CD2899" s="1" t="s">
        <v>104</v>
      </c>
      <c r="CE2899" s="1" t="s">
        <v>104</v>
      </c>
      <c r="CF2899" s="1" t="s">
        <v>104</v>
      </c>
      <c r="CG2899" s="1" t="s">
        <v>104</v>
      </c>
      <c r="CH2899" s="1" t="s">
        <v>104</v>
      </c>
      <c r="CJ2899" s="1">
        <v>0</v>
      </c>
      <c r="CK2899" s="1">
        <v>0</v>
      </c>
      <c r="CL2899" s="1">
        <v>0</v>
      </c>
      <c r="CM2899" s="1" t="s">
        <v>104</v>
      </c>
    </row>
    <row r="2900" spans="1:91" ht="14.25" customHeight="1" x14ac:dyDescent="0.3">
      <c r="A2900" s="1" t="s">
        <v>14466</v>
      </c>
      <c r="B2900" s="1" t="s">
        <v>216</v>
      </c>
      <c r="E2900" s="1" t="s">
        <v>14467</v>
      </c>
      <c r="F2900" s="1" t="s">
        <v>95</v>
      </c>
      <c r="G2900" s="1" t="s">
        <v>14468</v>
      </c>
      <c r="H2900" s="1">
        <v>0</v>
      </c>
      <c r="I2900" s="1" t="s">
        <v>128</v>
      </c>
      <c r="L2900" s="1" t="s">
        <v>374</v>
      </c>
      <c r="M2900" s="1" t="s">
        <v>111</v>
      </c>
      <c r="N2900" s="1">
        <v>0</v>
      </c>
      <c r="O2900" s="1">
        <v>0</v>
      </c>
      <c r="P2900" s="1" t="s">
        <v>211</v>
      </c>
      <c r="Q2900" s="1" t="s">
        <v>184</v>
      </c>
      <c r="R2900" s="1" t="s">
        <v>14469</v>
      </c>
      <c r="S2900" s="1" t="s">
        <v>14444</v>
      </c>
      <c r="T2900" s="1">
        <v>1</v>
      </c>
      <c r="U2900" s="1">
        <v>1</v>
      </c>
      <c r="V2900" s="1">
        <v>1</v>
      </c>
      <c r="W2900" s="1">
        <v>0</v>
      </c>
      <c r="X2900" s="1">
        <v>1</v>
      </c>
      <c r="Y2900" s="1">
        <v>3</v>
      </c>
      <c r="Z2900" s="1">
        <v>3</v>
      </c>
      <c r="AA2900" s="1">
        <v>3</v>
      </c>
      <c r="AB2900" s="1" t="s">
        <v>104</v>
      </c>
      <c r="AC2900" s="1" t="s">
        <v>104</v>
      </c>
      <c r="AD2900" s="1" t="s">
        <v>104</v>
      </c>
      <c r="AE2900" s="1">
        <v>2</v>
      </c>
      <c r="AF2900" s="1" t="s">
        <v>104</v>
      </c>
      <c r="AG2900" s="1" t="s">
        <v>104</v>
      </c>
      <c r="AH2900" s="1">
        <v>3</v>
      </c>
      <c r="AI2900" s="1" t="s">
        <v>104</v>
      </c>
      <c r="AJ2900" s="1">
        <v>3</v>
      </c>
      <c r="AK2900" s="1">
        <v>2</v>
      </c>
      <c r="AL2900" s="1" t="s">
        <v>104</v>
      </c>
      <c r="AM2900" s="1" t="s">
        <v>104</v>
      </c>
      <c r="AO2900" s="1">
        <v>3</v>
      </c>
      <c r="AR2900" s="1">
        <v>0</v>
      </c>
      <c r="AS2900" s="1">
        <v>0</v>
      </c>
      <c r="AT2900" s="1">
        <v>0</v>
      </c>
      <c r="AU2900" s="1">
        <v>0</v>
      </c>
      <c r="AV2900" s="1">
        <v>0</v>
      </c>
      <c r="AW2900" s="1">
        <v>0</v>
      </c>
      <c r="AX2900" s="1">
        <v>0</v>
      </c>
      <c r="AY2900" s="1">
        <v>0</v>
      </c>
      <c r="AZ2900" s="1">
        <v>0</v>
      </c>
      <c r="BA2900" s="1">
        <v>0</v>
      </c>
      <c r="BB2900" s="1">
        <v>0</v>
      </c>
      <c r="BC2900" s="1">
        <v>0</v>
      </c>
      <c r="BD2900" s="1">
        <v>0</v>
      </c>
      <c r="BE2900" s="1">
        <v>0</v>
      </c>
      <c r="BF2900" s="1">
        <v>0</v>
      </c>
      <c r="BG2900" s="1">
        <v>0</v>
      </c>
      <c r="BH2900" s="1">
        <v>0</v>
      </c>
      <c r="BI2900" s="1">
        <v>0</v>
      </c>
      <c r="BJ2900" s="1">
        <v>0</v>
      </c>
      <c r="BK2900" s="1">
        <v>0</v>
      </c>
      <c r="BL2900" s="1">
        <v>0</v>
      </c>
      <c r="BM2900" s="1">
        <v>0</v>
      </c>
      <c r="BN2900" s="1">
        <v>0</v>
      </c>
      <c r="BO2900" s="1">
        <v>0</v>
      </c>
      <c r="BP2900" s="1">
        <v>0</v>
      </c>
      <c r="BQ2900" s="1" t="s">
        <v>104</v>
      </c>
      <c r="BR2900" s="1">
        <v>5027</v>
      </c>
      <c r="BS2900" s="1" t="s">
        <v>104</v>
      </c>
      <c r="BX2900" s="1">
        <v>0</v>
      </c>
      <c r="BY2900" s="1" t="s">
        <v>104</v>
      </c>
      <c r="BZ2900" s="1" t="s">
        <v>104</v>
      </c>
      <c r="CA2900" s="1" t="s">
        <v>104</v>
      </c>
      <c r="CB2900" s="1" t="s">
        <v>104</v>
      </c>
      <c r="CC2900" s="1" t="s">
        <v>104</v>
      </c>
      <c r="CD2900" s="1" t="s">
        <v>104</v>
      </c>
      <c r="CE2900" s="1" t="s">
        <v>104</v>
      </c>
      <c r="CF2900" s="1" t="s">
        <v>104</v>
      </c>
      <c r="CG2900" s="1" t="s">
        <v>104</v>
      </c>
      <c r="CH2900" s="1" t="s">
        <v>104</v>
      </c>
      <c r="CJ2900" s="1">
        <v>0</v>
      </c>
      <c r="CK2900" s="1">
        <v>0</v>
      </c>
      <c r="CL2900" s="1">
        <v>0</v>
      </c>
      <c r="CM2900" s="1" t="s">
        <v>104</v>
      </c>
    </row>
    <row r="2901" spans="1:91" ht="14.25" customHeight="1" x14ac:dyDescent="0.3">
      <c r="A2901" s="1" t="s">
        <v>14470</v>
      </c>
      <c r="B2901" s="1" t="s">
        <v>92</v>
      </c>
      <c r="C2901" s="1" t="s">
        <v>523</v>
      </c>
      <c r="E2901" s="1" t="s">
        <v>14471</v>
      </c>
      <c r="F2901" s="1" t="s">
        <v>14472</v>
      </c>
      <c r="G2901" s="1" t="s">
        <v>116</v>
      </c>
      <c r="H2901" s="1">
        <v>0</v>
      </c>
      <c r="I2901" s="1" t="s">
        <v>157</v>
      </c>
      <c r="L2901" s="1" t="s">
        <v>14473</v>
      </c>
      <c r="M2901" s="1" t="s">
        <v>341</v>
      </c>
      <c r="N2901" s="1">
        <v>0</v>
      </c>
      <c r="O2901" s="1">
        <v>0</v>
      </c>
      <c r="R2901" s="1" t="s">
        <v>14474</v>
      </c>
      <c r="S2901" s="1" t="s">
        <v>14444</v>
      </c>
      <c r="T2901" s="1">
        <v>1</v>
      </c>
      <c r="U2901" s="1">
        <v>1</v>
      </c>
      <c r="V2901" s="1">
        <v>0</v>
      </c>
      <c r="W2901" s="1">
        <v>0</v>
      </c>
      <c r="X2901" s="1">
        <v>0</v>
      </c>
      <c r="Y2901" s="1">
        <v>5</v>
      </c>
      <c r="Z2901" s="1">
        <v>5</v>
      </c>
      <c r="AA2901" s="1">
        <v>5</v>
      </c>
      <c r="AB2901" s="1" t="s">
        <v>104</v>
      </c>
      <c r="AC2901" s="1" t="s">
        <v>104</v>
      </c>
      <c r="AD2901" s="1" t="s">
        <v>104</v>
      </c>
      <c r="AE2901" s="1" t="s">
        <v>104</v>
      </c>
      <c r="AF2901" s="1" t="s">
        <v>104</v>
      </c>
      <c r="AG2901" s="1" t="s">
        <v>104</v>
      </c>
      <c r="AH2901" s="1" t="s">
        <v>104</v>
      </c>
      <c r="AI2901" s="1" t="s">
        <v>104</v>
      </c>
      <c r="AJ2901" s="1">
        <v>5</v>
      </c>
      <c r="AK2901" s="1" t="s">
        <v>104</v>
      </c>
      <c r="AL2901" s="1" t="s">
        <v>104</v>
      </c>
      <c r="AM2901" s="1" t="s">
        <v>104</v>
      </c>
      <c r="AO2901" s="1">
        <v>5</v>
      </c>
      <c r="AR2901" s="1">
        <v>0</v>
      </c>
      <c r="AS2901" s="1">
        <v>0</v>
      </c>
      <c r="AT2901" s="1">
        <v>0</v>
      </c>
      <c r="AU2901" s="1">
        <v>0</v>
      </c>
      <c r="AV2901" s="1">
        <v>0</v>
      </c>
      <c r="AW2901" s="1">
        <v>0</v>
      </c>
      <c r="AX2901" s="1">
        <v>0</v>
      </c>
      <c r="AY2901" s="1">
        <v>0</v>
      </c>
      <c r="AZ2901" s="1">
        <v>0</v>
      </c>
      <c r="BA2901" s="1">
        <v>0</v>
      </c>
      <c r="BB2901" s="1">
        <v>0</v>
      </c>
      <c r="BC2901" s="1">
        <v>0</v>
      </c>
      <c r="BD2901" s="1">
        <v>0</v>
      </c>
      <c r="BE2901" s="1">
        <v>0</v>
      </c>
      <c r="BF2901" s="1">
        <v>0</v>
      </c>
      <c r="BG2901" s="1">
        <v>0</v>
      </c>
      <c r="BH2901" s="1">
        <v>0</v>
      </c>
      <c r="BI2901" s="1">
        <v>0</v>
      </c>
      <c r="BJ2901" s="1">
        <v>0</v>
      </c>
      <c r="BK2901" s="1">
        <v>0</v>
      </c>
      <c r="BL2901" s="1">
        <v>0</v>
      </c>
      <c r="BM2901" s="1">
        <v>0</v>
      </c>
      <c r="BN2901" s="1">
        <v>0</v>
      </c>
      <c r="BO2901" s="1">
        <v>0</v>
      </c>
      <c r="BP2901" s="1">
        <v>0</v>
      </c>
      <c r="BQ2901" s="1" t="s">
        <v>104</v>
      </c>
      <c r="BR2901" s="1">
        <v>5028</v>
      </c>
      <c r="BS2901" s="1" t="s">
        <v>104</v>
      </c>
      <c r="BX2901" s="1">
        <v>0</v>
      </c>
      <c r="BY2901" s="1" t="s">
        <v>104</v>
      </c>
      <c r="BZ2901" s="1" t="s">
        <v>104</v>
      </c>
      <c r="CA2901" s="1">
        <v>4</v>
      </c>
      <c r="CB2901" s="1" t="s">
        <v>104</v>
      </c>
      <c r="CC2901" s="1" t="s">
        <v>104</v>
      </c>
      <c r="CD2901" s="1" t="s">
        <v>104</v>
      </c>
      <c r="CE2901" s="1" t="s">
        <v>104</v>
      </c>
      <c r="CF2901" s="1" t="s">
        <v>104</v>
      </c>
      <c r="CG2901" s="1" t="s">
        <v>104</v>
      </c>
      <c r="CH2901" s="1" t="s">
        <v>104</v>
      </c>
      <c r="CJ2901" s="1">
        <v>0</v>
      </c>
      <c r="CK2901" s="1">
        <v>0</v>
      </c>
      <c r="CL2901" s="1">
        <v>0</v>
      </c>
      <c r="CM2901" s="1" t="s">
        <v>104</v>
      </c>
    </row>
    <row r="2902" spans="1:91" ht="14.25" customHeight="1" x14ac:dyDescent="0.3">
      <c r="A2902" s="1" t="s">
        <v>14475</v>
      </c>
      <c r="B2902" s="1" t="s">
        <v>92</v>
      </c>
      <c r="C2902" s="1" t="s">
        <v>523</v>
      </c>
      <c r="E2902" s="1" t="s">
        <v>14476</v>
      </c>
      <c r="F2902" s="1" t="s">
        <v>287</v>
      </c>
      <c r="G2902" s="1" t="s">
        <v>116</v>
      </c>
      <c r="H2902" s="1">
        <v>0</v>
      </c>
      <c r="I2902" s="1" t="s">
        <v>157</v>
      </c>
      <c r="L2902" s="1" t="s">
        <v>14473</v>
      </c>
      <c r="M2902" s="1" t="s">
        <v>341</v>
      </c>
      <c r="N2902" s="1">
        <v>0</v>
      </c>
      <c r="O2902" s="1">
        <v>0</v>
      </c>
      <c r="R2902" s="1" t="s">
        <v>14477</v>
      </c>
      <c r="S2902" s="1" t="s">
        <v>14444</v>
      </c>
      <c r="T2902" s="1">
        <v>1</v>
      </c>
      <c r="U2902" s="1">
        <v>1</v>
      </c>
      <c r="V2902" s="1">
        <v>0</v>
      </c>
      <c r="W2902" s="1">
        <v>0</v>
      </c>
      <c r="X2902" s="1">
        <v>0</v>
      </c>
      <c r="Y2902" s="1">
        <v>3</v>
      </c>
      <c r="Z2902" s="1">
        <v>3</v>
      </c>
      <c r="AA2902" s="1">
        <v>3</v>
      </c>
      <c r="AB2902" s="1" t="s">
        <v>104</v>
      </c>
      <c r="AC2902" s="1" t="s">
        <v>104</v>
      </c>
      <c r="AD2902" s="1" t="s">
        <v>104</v>
      </c>
      <c r="AE2902" s="1" t="s">
        <v>104</v>
      </c>
      <c r="AF2902" s="1" t="s">
        <v>104</v>
      </c>
      <c r="AG2902" s="1" t="s">
        <v>104</v>
      </c>
      <c r="AH2902" s="1" t="s">
        <v>104</v>
      </c>
      <c r="AI2902" s="1" t="s">
        <v>104</v>
      </c>
      <c r="AJ2902" s="1">
        <v>3</v>
      </c>
      <c r="AK2902" s="1" t="s">
        <v>104</v>
      </c>
      <c r="AL2902" s="1" t="s">
        <v>104</v>
      </c>
      <c r="AM2902" s="1" t="s">
        <v>104</v>
      </c>
      <c r="AO2902" s="1">
        <v>3</v>
      </c>
      <c r="AR2902" s="1">
        <v>0</v>
      </c>
      <c r="AS2902" s="1">
        <v>0</v>
      </c>
      <c r="AT2902" s="1">
        <v>0</v>
      </c>
      <c r="AU2902" s="1">
        <v>0</v>
      </c>
      <c r="AV2902" s="1">
        <v>0</v>
      </c>
      <c r="AW2902" s="1">
        <v>0</v>
      </c>
      <c r="AX2902" s="1">
        <v>0</v>
      </c>
      <c r="AY2902" s="1">
        <v>0</v>
      </c>
      <c r="AZ2902" s="1">
        <v>0</v>
      </c>
      <c r="BA2902" s="1">
        <v>0</v>
      </c>
      <c r="BB2902" s="1">
        <v>0</v>
      </c>
      <c r="BC2902" s="1">
        <v>0</v>
      </c>
      <c r="BD2902" s="1">
        <v>0</v>
      </c>
      <c r="BE2902" s="1">
        <v>0</v>
      </c>
      <c r="BF2902" s="1">
        <v>0</v>
      </c>
      <c r="BG2902" s="1">
        <v>0</v>
      </c>
      <c r="BH2902" s="1">
        <v>0</v>
      </c>
      <c r="BI2902" s="1">
        <v>0</v>
      </c>
      <c r="BJ2902" s="1">
        <v>0</v>
      </c>
      <c r="BK2902" s="1">
        <v>0</v>
      </c>
      <c r="BL2902" s="1">
        <v>0</v>
      </c>
      <c r="BM2902" s="1">
        <v>0</v>
      </c>
      <c r="BN2902" s="1">
        <v>0</v>
      </c>
      <c r="BO2902" s="1">
        <v>0</v>
      </c>
      <c r="BP2902" s="1">
        <v>0</v>
      </c>
      <c r="BQ2902" s="1" t="s">
        <v>104</v>
      </c>
      <c r="BR2902" s="1">
        <v>5029</v>
      </c>
      <c r="BS2902" s="1" t="s">
        <v>104</v>
      </c>
      <c r="BX2902" s="1">
        <v>0</v>
      </c>
      <c r="BY2902" s="1" t="s">
        <v>104</v>
      </c>
      <c r="BZ2902" s="1" t="s">
        <v>104</v>
      </c>
      <c r="CA2902" s="1">
        <v>2</v>
      </c>
      <c r="CB2902" s="1" t="s">
        <v>104</v>
      </c>
      <c r="CC2902" s="1" t="s">
        <v>104</v>
      </c>
      <c r="CD2902" s="1" t="s">
        <v>104</v>
      </c>
      <c r="CE2902" s="1" t="s">
        <v>104</v>
      </c>
      <c r="CF2902" s="1" t="s">
        <v>104</v>
      </c>
      <c r="CG2902" s="1" t="s">
        <v>104</v>
      </c>
      <c r="CH2902" s="1" t="s">
        <v>104</v>
      </c>
      <c r="CJ2902" s="1">
        <v>0</v>
      </c>
      <c r="CK2902" s="1">
        <v>0</v>
      </c>
      <c r="CL2902" s="1">
        <v>0</v>
      </c>
      <c r="CM2902" s="1" t="s">
        <v>104</v>
      </c>
    </row>
    <row r="2903" spans="1:91" ht="14.25" customHeight="1" x14ac:dyDescent="0.3">
      <c r="A2903" s="1" t="s">
        <v>14478</v>
      </c>
      <c r="B2903" s="1" t="s">
        <v>92</v>
      </c>
      <c r="C2903" s="1" t="s">
        <v>523</v>
      </c>
      <c r="E2903" s="1" t="s">
        <v>14479</v>
      </c>
      <c r="F2903" s="1" t="s">
        <v>318</v>
      </c>
      <c r="G2903" s="1" t="s">
        <v>116</v>
      </c>
      <c r="H2903" s="1">
        <v>0</v>
      </c>
      <c r="I2903" s="1" t="s">
        <v>117</v>
      </c>
      <c r="L2903" s="1" t="s">
        <v>541</v>
      </c>
      <c r="M2903" s="1" t="s">
        <v>341</v>
      </c>
      <c r="N2903" s="1">
        <v>0</v>
      </c>
      <c r="O2903" s="1">
        <v>0</v>
      </c>
      <c r="R2903" s="1" t="s">
        <v>14480</v>
      </c>
      <c r="S2903" s="1" t="s">
        <v>14444</v>
      </c>
      <c r="T2903" s="1">
        <v>1</v>
      </c>
      <c r="U2903" s="1">
        <v>1</v>
      </c>
      <c r="V2903" s="1">
        <v>0</v>
      </c>
      <c r="W2903" s="1">
        <v>0</v>
      </c>
      <c r="X2903" s="1">
        <v>0</v>
      </c>
      <c r="Y2903" s="1">
        <v>6</v>
      </c>
      <c r="Z2903" s="1">
        <v>6</v>
      </c>
      <c r="AA2903" s="1">
        <v>6</v>
      </c>
      <c r="AB2903" s="1" t="s">
        <v>104</v>
      </c>
      <c r="AC2903" s="1" t="s">
        <v>104</v>
      </c>
      <c r="AD2903" s="1" t="s">
        <v>104</v>
      </c>
      <c r="AE2903" s="1" t="s">
        <v>104</v>
      </c>
      <c r="AF2903" s="1" t="s">
        <v>104</v>
      </c>
      <c r="AG2903" s="1" t="s">
        <v>104</v>
      </c>
      <c r="AH2903" s="1" t="s">
        <v>104</v>
      </c>
      <c r="AI2903" s="1" t="s">
        <v>104</v>
      </c>
      <c r="AJ2903" s="1">
        <v>6</v>
      </c>
      <c r="AK2903" s="1" t="s">
        <v>104</v>
      </c>
      <c r="AL2903" s="1" t="s">
        <v>104</v>
      </c>
      <c r="AM2903" s="1" t="s">
        <v>104</v>
      </c>
      <c r="AO2903" s="1">
        <v>6</v>
      </c>
      <c r="AR2903" s="1">
        <v>0</v>
      </c>
      <c r="AS2903" s="1">
        <v>0</v>
      </c>
      <c r="AT2903" s="1">
        <v>0</v>
      </c>
      <c r="AU2903" s="1">
        <v>0</v>
      </c>
      <c r="AV2903" s="1">
        <v>0</v>
      </c>
      <c r="AW2903" s="1">
        <v>0</v>
      </c>
      <c r="AX2903" s="1">
        <v>0</v>
      </c>
      <c r="AY2903" s="1">
        <v>0</v>
      </c>
      <c r="AZ2903" s="1">
        <v>0</v>
      </c>
      <c r="BA2903" s="1">
        <v>0</v>
      </c>
      <c r="BB2903" s="1">
        <v>0</v>
      </c>
      <c r="BC2903" s="1">
        <v>0</v>
      </c>
      <c r="BD2903" s="1">
        <v>0</v>
      </c>
      <c r="BE2903" s="1">
        <v>0</v>
      </c>
      <c r="BF2903" s="1">
        <v>0</v>
      </c>
      <c r="BG2903" s="1">
        <v>0</v>
      </c>
      <c r="BH2903" s="1">
        <v>0</v>
      </c>
      <c r="BI2903" s="1">
        <v>0</v>
      </c>
      <c r="BJ2903" s="1">
        <v>0</v>
      </c>
      <c r="BK2903" s="1">
        <v>0</v>
      </c>
      <c r="BL2903" s="1">
        <v>0</v>
      </c>
      <c r="BM2903" s="1">
        <v>0</v>
      </c>
      <c r="BN2903" s="1">
        <v>0</v>
      </c>
      <c r="BO2903" s="1">
        <v>0</v>
      </c>
      <c r="BP2903" s="1">
        <v>0</v>
      </c>
      <c r="BQ2903" s="1" t="s">
        <v>104</v>
      </c>
      <c r="BR2903" s="1">
        <v>5030</v>
      </c>
      <c r="BS2903" s="1" t="s">
        <v>104</v>
      </c>
      <c r="BX2903" s="1">
        <v>0</v>
      </c>
      <c r="BY2903" s="1" t="s">
        <v>104</v>
      </c>
      <c r="BZ2903" s="1" t="s">
        <v>104</v>
      </c>
      <c r="CA2903" s="1">
        <v>5</v>
      </c>
      <c r="CB2903" s="1" t="s">
        <v>104</v>
      </c>
      <c r="CC2903" s="1" t="s">
        <v>104</v>
      </c>
      <c r="CD2903" s="1" t="s">
        <v>104</v>
      </c>
      <c r="CE2903" s="1" t="s">
        <v>104</v>
      </c>
      <c r="CF2903" s="1" t="s">
        <v>104</v>
      </c>
      <c r="CG2903" s="1" t="s">
        <v>104</v>
      </c>
      <c r="CH2903" s="1" t="s">
        <v>104</v>
      </c>
      <c r="CJ2903" s="1">
        <v>0</v>
      </c>
      <c r="CK2903" s="1">
        <v>0</v>
      </c>
      <c r="CL2903" s="1">
        <v>0</v>
      </c>
      <c r="CM2903" s="1" t="s">
        <v>104</v>
      </c>
    </row>
    <row r="2904" spans="1:91" ht="14.25" customHeight="1" x14ac:dyDescent="0.3">
      <c r="A2904" s="1" t="s">
        <v>14481</v>
      </c>
      <c r="B2904" s="1" t="s">
        <v>137</v>
      </c>
      <c r="E2904" s="1" t="s">
        <v>8079</v>
      </c>
      <c r="F2904" s="1" t="s">
        <v>95</v>
      </c>
      <c r="G2904" s="1" t="s">
        <v>116</v>
      </c>
      <c r="H2904" s="1">
        <v>0</v>
      </c>
      <c r="I2904" s="1" t="s">
        <v>117</v>
      </c>
      <c r="K2904" s="1" t="s">
        <v>1148</v>
      </c>
      <c r="M2904" s="1" t="s">
        <v>119</v>
      </c>
      <c r="N2904" s="1">
        <v>0</v>
      </c>
      <c r="O2904" s="1">
        <v>0</v>
      </c>
      <c r="P2904" s="1" t="s">
        <v>100</v>
      </c>
      <c r="Q2904" s="1" t="s">
        <v>101</v>
      </c>
      <c r="R2904" s="1" t="s">
        <v>14482</v>
      </c>
      <c r="S2904" s="1" t="s">
        <v>14444</v>
      </c>
      <c r="T2904" s="1">
        <v>1</v>
      </c>
      <c r="U2904" s="1">
        <v>1</v>
      </c>
      <c r="V2904" s="1">
        <v>0</v>
      </c>
      <c r="W2904" s="1">
        <v>0</v>
      </c>
      <c r="X2904" s="1">
        <v>0</v>
      </c>
      <c r="Y2904" s="1">
        <v>2</v>
      </c>
      <c r="Z2904" s="1">
        <v>2</v>
      </c>
      <c r="AA2904" s="1">
        <v>2</v>
      </c>
      <c r="AB2904" s="1">
        <v>2</v>
      </c>
      <c r="AC2904" s="1" t="s">
        <v>104</v>
      </c>
      <c r="AD2904" s="1" t="s">
        <v>104</v>
      </c>
      <c r="AE2904" s="1" t="s">
        <v>104</v>
      </c>
      <c r="AF2904" s="1" t="s">
        <v>104</v>
      </c>
      <c r="AG2904" s="1" t="s">
        <v>104</v>
      </c>
      <c r="AH2904" s="1" t="s">
        <v>104</v>
      </c>
      <c r="AI2904" s="1" t="s">
        <v>104</v>
      </c>
      <c r="AJ2904" s="1">
        <v>2</v>
      </c>
      <c r="AK2904" s="1" t="s">
        <v>104</v>
      </c>
      <c r="AL2904" s="1" t="s">
        <v>104</v>
      </c>
      <c r="AM2904" s="1" t="s">
        <v>104</v>
      </c>
      <c r="AO2904" s="1">
        <v>2</v>
      </c>
      <c r="AR2904" s="1">
        <v>0</v>
      </c>
      <c r="AS2904" s="1">
        <v>0</v>
      </c>
      <c r="AT2904" s="1">
        <v>0</v>
      </c>
      <c r="AU2904" s="1">
        <v>0</v>
      </c>
      <c r="AV2904" s="1">
        <v>0</v>
      </c>
      <c r="AW2904" s="1">
        <v>0</v>
      </c>
      <c r="AX2904" s="1">
        <v>0</v>
      </c>
      <c r="AY2904" s="1">
        <v>0</v>
      </c>
      <c r="AZ2904" s="1">
        <v>0</v>
      </c>
      <c r="BA2904" s="1">
        <v>0</v>
      </c>
      <c r="BB2904" s="1">
        <v>0</v>
      </c>
      <c r="BC2904" s="1">
        <v>0</v>
      </c>
      <c r="BD2904" s="1">
        <v>0</v>
      </c>
      <c r="BE2904" s="1">
        <v>0</v>
      </c>
      <c r="BF2904" s="1">
        <v>0</v>
      </c>
      <c r="BG2904" s="1">
        <v>0</v>
      </c>
      <c r="BH2904" s="1">
        <v>0</v>
      </c>
      <c r="BI2904" s="1">
        <v>0</v>
      </c>
      <c r="BJ2904" s="1">
        <v>0</v>
      </c>
      <c r="BK2904" s="1">
        <v>0</v>
      </c>
      <c r="BL2904" s="1">
        <v>0</v>
      </c>
      <c r="BM2904" s="1">
        <v>0</v>
      </c>
      <c r="BN2904" s="1">
        <v>0</v>
      </c>
      <c r="BO2904" s="1">
        <v>0</v>
      </c>
      <c r="BP2904" s="1">
        <v>0</v>
      </c>
      <c r="BQ2904" s="1" t="s">
        <v>104</v>
      </c>
      <c r="BR2904" s="1">
        <v>5031</v>
      </c>
      <c r="BS2904" s="1" t="s">
        <v>104</v>
      </c>
      <c r="BX2904" s="1">
        <v>0</v>
      </c>
      <c r="BY2904" s="1" t="s">
        <v>104</v>
      </c>
      <c r="BZ2904" s="1" t="s">
        <v>104</v>
      </c>
      <c r="CA2904" s="1" t="s">
        <v>104</v>
      </c>
      <c r="CB2904" s="1" t="s">
        <v>104</v>
      </c>
      <c r="CC2904" s="1" t="s">
        <v>104</v>
      </c>
      <c r="CD2904" s="1" t="s">
        <v>104</v>
      </c>
      <c r="CE2904" s="1" t="s">
        <v>104</v>
      </c>
      <c r="CF2904" s="1" t="s">
        <v>104</v>
      </c>
      <c r="CG2904" s="1" t="s">
        <v>104</v>
      </c>
      <c r="CH2904" s="1">
        <v>2</v>
      </c>
      <c r="CJ2904" s="1">
        <v>0</v>
      </c>
      <c r="CK2904" s="1">
        <v>0</v>
      </c>
      <c r="CL2904" s="1">
        <v>0</v>
      </c>
      <c r="CM2904" s="1" t="s">
        <v>104</v>
      </c>
    </row>
    <row r="2905" spans="1:91" ht="14.25" customHeight="1" x14ac:dyDescent="0.3">
      <c r="A2905" s="1" t="s">
        <v>14483</v>
      </c>
      <c r="B2905" s="1" t="s">
        <v>507</v>
      </c>
      <c r="C2905" s="1" t="s">
        <v>720</v>
      </c>
      <c r="D2905" s="1" t="s">
        <v>125</v>
      </c>
      <c r="E2905" s="1" t="s">
        <v>14484</v>
      </c>
      <c r="F2905" s="1" t="s">
        <v>95</v>
      </c>
      <c r="G2905" s="1" t="s">
        <v>14485</v>
      </c>
      <c r="H2905" s="1">
        <v>0</v>
      </c>
      <c r="I2905" s="1" t="s">
        <v>109</v>
      </c>
      <c r="K2905" s="1" t="s">
        <v>14486</v>
      </c>
      <c r="M2905" s="1" t="s">
        <v>14487</v>
      </c>
      <c r="N2905" s="1">
        <v>1</v>
      </c>
      <c r="O2905" s="1">
        <v>0</v>
      </c>
      <c r="P2905" s="1" t="s">
        <v>211</v>
      </c>
      <c r="Q2905" s="1" t="s">
        <v>184</v>
      </c>
      <c r="R2905" s="1" t="s">
        <v>14488</v>
      </c>
      <c r="S2905" s="1" t="s">
        <v>14489</v>
      </c>
      <c r="T2905" s="1">
        <v>1</v>
      </c>
      <c r="U2905" s="1">
        <v>1</v>
      </c>
      <c r="V2905" s="1">
        <v>1</v>
      </c>
      <c r="W2905" s="1">
        <v>0</v>
      </c>
      <c r="X2905" s="1">
        <v>0</v>
      </c>
      <c r="Y2905" s="1">
        <v>4</v>
      </c>
      <c r="Z2905" s="1">
        <v>4</v>
      </c>
      <c r="AA2905" s="1" t="s">
        <v>104</v>
      </c>
      <c r="AB2905" s="1" t="s">
        <v>104</v>
      </c>
      <c r="AC2905" s="1" t="s">
        <v>104</v>
      </c>
      <c r="AD2905" s="1">
        <v>3</v>
      </c>
      <c r="AE2905" s="1" t="s">
        <v>104</v>
      </c>
      <c r="AF2905" s="1" t="s">
        <v>104</v>
      </c>
      <c r="AG2905" s="1" t="s">
        <v>104</v>
      </c>
      <c r="AH2905" s="1" t="s">
        <v>104</v>
      </c>
      <c r="AI2905" s="1" t="s">
        <v>104</v>
      </c>
      <c r="AJ2905" s="1" t="s">
        <v>104</v>
      </c>
      <c r="AK2905" s="1" t="s">
        <v>104</v>
      </c>
      <c r="AL2905" s="1" t="s">
        <v>104</v>
      </c>
      <c r="AM2905" s="1" t="s">
        <v>104</v>
      </c>
      <c r="AO2905" s="1">
        <v>4</v>
      </c>
      <c r="AR2905" s="1">
        <v>0</v>
      </c>
      <c r="AS2905" s="1">
        <v>0</v>
      </c>
      <c r="AT2905" s="1">
        <v>0</v>
      </c>
      <c r="AU2905" s="1">
        <v>0</v>
      </c>
      <c r="AV2905" s="1">
        <v>0</v>
      </c>
      <c r="AW2905" s="1">
        <v>0</v>
      </c>
      <c r="AX2905" s="1">
        <v>0</v>
      </c>
      <c r="AY2905" s="1">
        <v>0</v>
      </c>
      <c r="AZ2905" s="1">
        <v>0</v>
      </c>
      <c r="BA2905" s="1">
        <v>0</v>
      </c>
      <c r="BB2905" s="1">
        <v>0</v>
      </c>
      <c r="BC2905" s="1">
        <v>0</v>
      </c>
      <c r="BD2905" s="1">
        <v>0</v>
      </c>
      <c r="BE2905" s="1">
        <v>0</v>
      </c>
      <c r="BF2905" s="1">
        <v>0</v>
      </c>
      <c r="BG2905" s="1">
        <v>0</v>
      </c>
      <c r="BH2905" s="1">
        <v>0</v>
      </c>
      <c r="BI2905" s="1">
        <v>0</v>
      </c>
      <c r="BJ2905" s="1">
        <v>0</v>
      </c>
      <c r="BK2905" s="1">
        <v>1</v>
      </c>
      <c r="BL2905" s="1">
        <v>0</v>
      </c>
      <c r="BM2905" s="1">
        <v>0</v>
      </c>
      <c r="BN2905" s="1">
        <v>0</v>
      </c>
      <c r="BO2905" s="1">
        <v>0</v>
      </c>
      <c r="BP2905" s="1">
        <v>0</v>
      </c>
      <c r="BQ2905" s="1" t="s">
        <v>104</v>
      </c>
      <c r="BR2905" s="1">
        <v>5032</v>
      </c>
      <c r="BS2905" s="1" t="s">
        <v>104</v>
      </c>
      <c r="BX2905" s="1">
        <v>0</v>
      </c>
      <c r="BY2905" s="1" t="s">
        <v>104</v>
      </c>
      <c r="BZ2905" s="1" t="s">
        <v>104</v>
      </c>
      <c r="CA2905" s="1">
        <v>4</v>
      </c>
      <c r="CB2905" s="1" t="s">
        <v>104</v>
      </c>
      <c r="CC2905" s="1" t="s">
        <v>104</v>
      </c>
      <c r="CD2905" s="1" t="s">
        <v>104</v>
      </c>
      <c r="CE2905" s="1" t="s">
        <v>104</v>
      </c>
      <c r="CF2905" s="1" t="s">
        <v>104</v>
      </c>
      <c r="CG2905" s="1" t="s">
        <v>104</v>
      </c>
      <c r="CH2905" s="1" t="s">
        <v>104</v>
      </c>
      <c r="CJ2905" s="1">
        <v>0</v>
      </c>
      <c r="CK2905" s="1">
        <v>0</v>
      </c>
      <c r="CL2905" s="1">
        <v>0</v>
      </c>
      <c r="CM2905" s="1" t="s">
        <v>104</v>
      </c>
    </row>
    <row r="2906" spans="1:91" ht="14.25" customHeight="1" x14ac:dyDescent="0.3">
      <c r="A2906" s="1" t="s">
        <v>14490</v>
      </c>
      <c r="B2906" s="1" t="s">
        <v>507</v>
      </c>
      <c r="C2906" s="1" t="s">
        <v>720</v>
      </c>
      <c r="D2906" s="1" t="s">
        <v>125</v>
      </c>
      <c r="E2906" s="1" t="s">
        <v>14491</v>
      </c>
      <c r="F2906" s="1" t="s">
        <v>95</v>
      </c>
      <c r="G2906" s="1" t="s">
        <v>14492</v>
      </c>
      <c r="H2906" s="1">
        <v>0</v>
      </c>
      <c r="I2906" s="1" t="s">
        <v>117</v>
      </c>
      <c r="K2906" s="1" t="s">
        <v>14493</v>
      </c>
      <c r="M2906" s="1" t="s">
        <v>426</v>
      </c>
      <c r="N2906" s="1">
        <v>1</v>
      </c>
      <c r="O2906" s="1">
        <v>0</v>
      </c>
      <c r="P2906" s="1" t="s">
        <v>145</v>
      </c>
      <c r="Q2906" s="1" t="s">
        <v>101</v>
      </c>
      <c r="R2906" s="1" t="s">
        <v>14494</v>
      </c>
      <c r="S2906" s="1" t="s">
        <v>14489</v>
      </c>
      <c r="T2906" s="1">
        <v>1</v>
      </c>
      <c r="U2906" s="1">
        <v>1</v>
      </c>
      <c r="V2906" s="1">
        <v>1</v>
      </c>
      <c r="W2906" s="1">
        <v>0</v>
      </c>
      <c r="X2906" s="1">
        <v>0</v>
      </c>
      <c r="Y2906" s="1">
        <v>5</v>
      </c>
      <c r="Z2906" s="1">
        <v>5</v>
      </c>
      <c r="AA2906" s="1" t="s">
        <v>104</v>
      </c>
      <c r="AB2906" s="1" t="s">
        <v>104</v>
      </c>
      <c r="AC2906" s="1" t="s">
        <v>104</v>
      </c>
      <c r="AD2906" s="1">
        <v>4</v>
      </c>
      <c r="AE2906" s="1" t="s">
        <v>104</v>
      </c>
      <c r="AF2906" s="1" t="s">
        <v>104</v>
      </c>
      <c r="AG2906" s="1" t="s">
        <v>104</v>
      </c>
      <c r="AH2906" s="1" t="s">
        <v>104</v>
      </c>
      <c r="AI2906" s="1" t="s">
        <v>104</v>
      </c>
      <c r="AJ2906" s="1" t="s">
        <v>104</v>
      </c>
      <c r="AK2906" s="1" t="s">
        <v>104</v>
      </c>
      <c r="AL2906" s="1" t="s">
        <v>104</v>
      </c>
      <c r="AM2906" s="1" t="s">
        <v>104</v>
      </c>
      <c r="AO2906" s="1">
        <v>5</v>
      </c>
      <c r="AR2906" s="1">
        <v>0</v>
      </c>
      <c r="AS2906" s="1">
        <v>0</v>
      </c>
      <c r="AT2906" s="1">
        <v>0</v>
      </c>
      <c r="AU2906" s="1">
        <v>0</v>
      </c>
      <c r="AV2906" s="1">
        <v>0</v>
      </c>
      <c r="AW2906" s="1">
        <v>0</v>
      </c>
      <c r="AX2906" s="1">
        <v>0</v>
      </c>
      <c r="AY2906" s="1">
        <v>0</v>
      </c>
      <c r="AZ2906" s="1">
        <v>0</v>
      </c>
      <c r="BA2906" s="1">
        <v>0</v>
      </c>
      <c r="BB2906" s="1">
        <v>0</v>
      </c>
      <c r="BC2906" s="1">
        <v>0</v>
      </c>
      <c r="BD2906" s="1">
        <v>0</v>
      </c>
      <c r="BE2906" s="1">
        <v>0</v>
      </c>
      <c r="BF2906" s="1">
        <v>0</v>
      </c>
      <c r="BG2906" s="1">
        <v>0</v>
      </c>
      <c r="BH2906" s="1">
        <v>0</v>
      </c>
      <c r="BI2906" s="1">
        <v>0</v>
      </c>
      <c r="BJ2906" s="1">
        <v>0</v>
      </c>
      <c r="BK2906" s="1">
        <v>1</v>
      </c>
      <c r="BL2906" s="1">
        <v>0</v>
      </c>
      <c r="BM2906" s="1">
        <v>0</v>
      </c>
      <c r="BN2906" s="1">
        <v>0</v>
      </c>
      <c r="BO2906" s="1">
        <v>0</v>
      </c>
      <c r="BP2906" s="1">
        <v>0</v>
      </c>
      <c r="BQ2906" s="1" t="s">
        <v>104</v>
      </c>
      <c r="BR2906" s="1">
        <v>5033</v>
      </c>
      <c r="BS2906" s="1" t="s">
        <v>104</v>
      </c>
      <c r="BX2906" s="1">
        <v>0</v>
      </c>
      <c r="BY2906" s="1" t="s">
        <v>104</v>
      </c>
      <c r="BZ2906" s="1" t="s">
        <v>104</v>
      </c>
      <c r="CA2906" s="1">
        <v>5</v>
      </c>
      <c r="CB2906" s="1" t="s">
        <v>104</v>
      </c>
      <c r="CC2906" s="1" t="s">
        <v>104</v>
      </c>
      <c r="CD2906" s="1" t="s">
        <v>104</v>
      </c>
      <c r="CE2906" s="1" t="s">
        <v>104</v>
      </c>
      <c r="CF2906" s="1" t="s">
        <v>104</v>
      </c>
      <c r="CG2906" s="1" t="s">
        <v>104</v>
      </c>
      <c r="CH2906" s="1" t="s">
        <v>104</v>
      </c>
      <c r="CJ2906" s="1">
        <v>0</v>
      </c>
      <c r="CK2906" s="1">
        <v>0</v>
      </c>
      <c r="CL2906" s="1">
        <v>0</v>
      </c>
      <c r="CM2906" s="1" t="s">
        <v>104</v>
      </c>
    </row>
  </sheetData>
  <pageMargins left="0.75" right="0.75" top="1" bottom="1"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topLeftCell="A13" workbookViewId="0"/>
  </sheetViews>
  <sheetFormatPr defaultColWidth="14.44140625" defaultRowHeight="15" customHeight="1" x14ac:dyDescent="0.3"/>
  <cols>
    <col min="1" max="1" width="41.33203125" customWidth="1"/>
    <col min="2" max="26" width="8.6640625" customWidth="1"/>
  </cols>
  <sheetData>
    <row r="1" spans="1:1" ht="14.25" customHeight="1" x14ac:dyDescent="0.3">
      <c r="A1" s="3" t="s">
        <v>14495</v>
      </c>
    </row>
    <row r="2" spans="1:1" ht="14.25" customHeight="1" x14ac:dyDescent="0.3">
      <c r="A2" s="4" t="s">
        <v>14496</v>
      </c>
    </row>
    <row r="3" spans="1:1" ht="14.25" customHeight="1" x14ac:dyDescent="0.3">
      <c r="A3" s="5" t="s">
        <v>14497</v>
      </c>
    </row>
    <row r="4" spans="1:1" ht="14.25" customHeight="1" x14ac:dyDescent="0.3">
      <c r="A4" s="4" t="s">
        <v>14498</v>
      </c>
    </row>
    <row r="5" spans="1:1" ht="14.25" customHeight="1" x14ac:dyDescent="0.3">
      <c r="A5" s="4" t="s">
        <v>14499</v>
      </c>
    </row>
    <row r="6" spans="1:1" ht="14.25" customHeight="1" x14ac:dyDescent="0.3">
      <c r="A6" s="4" t="s">
        <v>14500</v>
      </c>
    </row>
    <row r="7" spans="1:1" ht="14.25" customHeight="1" x14ac:dyDescent="0.3">
      <c r="A7" s="4" t="s">
        <v>14501</v>
      </c>
    </row>
    <row r="8" spans="1:1" ht="14.25" customHeight="1" x14ac:dyDescent="0.3">
      <c r="A8" s="4" t="s">
        <v>14502</v>
      </c>
    </row>
    <row r="9" spans="1:1" ht="14.25" customHeight="1" x14ac:dyDescent="0.3">
      <c r="A9" s="4" t="s">
        <v>14503</v>
      </c>
    </row>
    <row r="10" spans="1:1" ht="14.25" customHeight="1" x14ac:dyDescent="0.3">
      <c r="A10" s="4" t="s">
        <v>14504</v>
      </c>
    </row>
    <row r="11" spans="1:1" ht="14.25" customHeight="1" x14ac:dyDescent="0.3">
      <c r="A11" s="4" t="s">
        <v>14505</v>
      </c>
    </row>
    <row r="12" spans="1:1" ht="14.25" customHeight="1" x14ac:dyDescent="0.3">
      <c r="A12" s="4" t="s">
        <v>14506</v>
      </c>
    </row>
    <row r="13" spans="1:1" ht="14.25" customHeight="1" x14ac:dyDescent="0.3">
      <c r="A13" s="4" t="s">
        <v>14507</v>
      </c>
    </row>
    <row r="14" spans="1:1" ht="14.25" customHeight="1" x14ac:dyDescent="0.3">
      <c r="A14" s="4" t="s">
        <v>14508</v>
      </c>
    </row>
    <row r="15" spans="1:1" ht="14.25" customHeight="1" x14ac:dyDescent="0.3">
      <c r="A15" s="4" t="s">
        <v>14509</v>
      </c>
    </row>
    <row r="16" spans="1:1" ht="14.25" customHeight="1" x14ac:dyDescent="0.3">
      <c r="A16" s="4" t="s">
        <v>14510</v>
      </c>
    </row>
    <row r="17" spans="1:1" ht="14.25" customHeight="1" x14ac:dyDescent="0.3">
      <c r="A17" s="4" t="s">
        <v>14511</v>
      </c>
    </row>
    <row r="18" spans="1:1" ht="14.25" customHeight="1" x14ac:dyDescent="0.3">
      <c r="A18" s="4" t="s">
        <v>14512</v>
      </c>
    </row>
    <row r="19" spans="1:1" ht="14.25" customHeight="1" x14ac:dyDescent="0.3">
      <c r="A19" s="4" t="s">
        <v>14513</v>
      </c>
    </row>
    <row r="20" spans="1:1" ht="14.25" customHeight="1" x14ac:dyDescent="0.3">
      <c r="A20" s="4" t="s">
        <v>14514</v>
      </c>
    </row>
    <row r="21" spans="1:1" ht="14.25" customHeight="1" x14ac:dyDescent="0.3">
      <c r="A21" s="4" t="s">
        <v>14515</v>
      </c>
    </row>
    <row r="22" spans="1:1" ht="14.25" customHeight="1" x14ac:dyDescent="0.3">
      <c r="A22" s="4" t="s">
        <v>14516</v>
      </c>
    </row>
    <row r="23" spans="1:1" ht="14.25" customHeight="1" x14ac:dyDescent="0.3">
      <c r="A23" s="4" t="s">
        <v>14517</v>
      </c>
    </row>
    <row r="24" spans="1:1" ht="14.25" customHeight="1" x14ac:dyDescent="0.3">
      <c r="A24" s="4" t="s">
        <v>14518</v>
      </c>
    </row>
    <row r="25" spans="1:1" ht="14.25" customHeight="1" x14ac:dyDescent="0.3">
      <c r="A25" s="4" t="s">
        <v>14519</v>
      </c>
    </row>
    <row r="26" spans="1:1" ht="14.25" customHeight="1" x14ac:dyDescent="0.3">
      <c r="A26" s="4" t="s">
        <v>14520</v>
      </c>
    </row>
    <row r="27" spans="1:1" ht="14.25" customHeight="1" x14ac:dyDescent="0.3">
      <c r="A27" s="4" t="s">
        <v>14521</v>
      </c>
    </row>
    <row r="28" spans="1:1" ht="14.25" customHeight="1" x14ac:dyDescent="0.3">
      <c r="A28" s="4" t="s">
        <v>14522</v>
      </c>
    </row>
    <row r="29" spans="1:1" ht="14.25" customHeight="1" x14ac:dyDescent="0.3">
      <c r="A29" s="4" t="s">
        <v>14523</v>
      </c>
    </row>
    <row r="30" spans="1:1" ht="14.25" customHeight="1" x14ac:dyDescent="0.3">
      <c r="A30" s="4" t="s">
        <v>14524</v>
      </c>
    </row>
    <row r="31" spans="1:1" ht="14.25" customHeight="1" x14ac:dyDescent="0.3">
      <c r="A31" s="4" t="s">
        <v>14525</v>
      </c>
    </row>
    <row r="32" spans="1:1" ht="14.25" customHeight="1" x14ac:dyDescent="0.3">
      <c r="A32" s="4" t="s">
        <v>14526</v>
      </c>
    </row>
    <row r="33" spans="1:1" ht="14.25" customHeight="1" x14ac:dyDescent="0.3">
      <c r="A33" s="4" t="s">
        <v>14527</v>
      </c>
    </row>
    <row r="34" spans="1:1" ht="14.25" customHeight="1" x14ac:dyDescent="0.3">
      <c r="A34" s="4" t="s">
        <v>14528</v>
      </c>
    </row>
    <row r="35" spans="1:1" ht="14.25" customHeight="1" x14ac:dyDescent="0.3">
      <c r="A35" s="4" t="s">
        <v>14529</v>
      </c>
    </row>
    <row r="36" spans="1:1" ht="14.25" customHeight="1" x14ac:dyDescent="0.3">
      <c r="A36" s="4" t="s">
        <v>14530</v>
      </c>
    </row>
    <row r="37" spans="1:1" ht="14.25" customHeight="1" x14ac:dyDescent="0.3">
      <c r="A37" s="4" t="s">
        <v>14531</v>
      </c>
    </row>
    <row r="38" spans="1:1" ht="14.25" customHeight="1" x14ac:dyDescent="0.3">
      <c r="A38" s="4" t="s">
        <v>14532</v>
      </c>
    </row>
    <row r="39" spans="1:1" ht="14.25" customHeight="1" x14ac:dyDescent="0.3">
      <c r="A39" s="4" t="s">
        <v>14533</v>
      </c>
    </row>
    <row r="40" spans="1:1" ht="14.25" customHeight="1" x14ac:dyDescent="0.3">
      <c r="A40" s="4" t="s">
        <v>14534</v>
      </c>
    </row>
    <row r="41" spans="1:1" ht="14.25" customHeight="1" x14ac:dyDescent="0.3">
      <c r="A41" s="4" t="s">
        <v>14535</v>
      </c>
    </row>
    <row r="42" spans="1:1" ht="14.25" customHeight="1" x14ac:dyDescent="0.3">
      <c r="A42" s="4" t="s">
        <v>14536</v>
      </c>
    </row>
    <row r="43" spans="1:1" ht="14.25" customHeight="1" x14ac:dyDescent="0.3">
      <c r="A43" s="4" t="s">
        <v>14537</v>
      </c>
    </row>
    <row r="44" spans="1:1" ht="14.25" customHeight="1" x14ac:dyDescent="0.3">
      <c r="A44" s="4" t="s">
        <v>14538</v>
      </c>
    </row>
    <row r="45" spans="1:1" ht="14.25" customHeight="1" x14ac:dyDescent="0.3">
      <c r="A45" s="4" t="s">
        <v>14539</v>
      </c>
    </row>
    <row r="46" spans="1:1" ht="14.25" customHeight="1" x14ac:dyDescent="0.3">
      <c r="A46" s="4" t="s">
        <v>14540</v>
      </c>
    </row>
    <row r="47" spans="1:1" ht="14.25" customHeight="1" x14ac:dyDescent="0.3">
      <c r="A47" s="4" t="s">
        <v>14541</v>
      </c>
    </row>
    <row r="48" spans="1:1" ht="14.25" customHeight="1" x14ac:dyDescent="0.3">
      <c r="A48" s="4" t="s">
        <v>14542</v>
      </c>
    </row>
    <row r="49" spans="1:1" ht="14.25" customHeight="1" x14ac:dyDescent="0.3">
      <c r="A49" s="4" t="s">
        <v>14543</v>
      </c>
    </row>
    <row r="50" spans="1:1" ht="14.25" customHeight="1" x14ac:dyDescent="0.3">
      <c r="A50" s="4" t="s">
        <v>14544</v>
      </c>
    </row>
    <row r="51" spans="1:1" ht="14.25" customHeight="1" x14ac:dyDescent="0.3">
      <c r="A51" s="4" t="s">
        <v>14545</v>
      </c>
    </row>
    <row r="52" spans="1:1" ht="14.25" customHeight="1" x14ac:dyDescent="0.3">
      <c r="A52" s="4" t="s">
        <v>14546</v>
      </c>
    </row>
    <row r="53" spans="1:1" ht="14.25" customHeight="1" x14ac:dyDescent="0.3">
      <c r="A53" s="4" t="s">
        <v>14547</v>
      </c>
    </row>
    <row r="54" spans="1:1" ht="14.25" customHeight="1" x14ac:dyDescent="0.3">
      <c r="A54" s="4" t="s">
        <v>14548</v>
      </c>
    </row>
    <row r="55" spans="1:1" ht="14.25" customHeight="1" x14ac:dyDescent="0.3">
      <c r="A55" s="4" t="s">
        <v>14549</v>
      </c>
    </row>
    <row r="56" spans="1:1" ht="14.25" customHeight="1" x14ac:dyDescent="0.3">
      <c r="A56" s="4" t="s">
        <v>14550</v>
      </c>
    </row>
    <row r="57" spans="1:1" ht="14.25" customHeight="1" x14ac:dyDescent="0.3">
      <c r="A57" s="4" t="s">
        <v>14551</v>
      </c>
    </row>
    <row r="58" spans="1:1" ht="14.25" customHeight="1" x14ac:dyDescent="0.3">
      <c r="A58" s="4" t="s">
        <v>14552</v>
      </c>
    </row>
    <row r="59" spans="1:1" ht="14.25" customHeight="1" x14ac:dyDescent="0.3">
      <c r="A59" s="4" t="s">
        <v>14553</v>
      </c>
    </row>
    <row r="60" spans="1:1" ht="14.25" customHeight="1" x14ac:dyDescent="0.3">
      <c r="A60" s="4" t="s">
        <v>14554</v>
      </c>
    </row>
    <row r="61" spans="1:1" ht="14.25" customHeight="1" x14ac:dyDescent="0.3">
      <c r="A61" s="4" t="s">
        <v>14555</v>
      </c>
    </row>
    <row r="62" spans="1:1" ht="14.25" customHeight="1" x14ac:dyDescent="0.3">
      <c r="A62" s="4" t="s">
        <v>14556</v>
      </c>
    </row>
    <row r="63" spans="1:1" ht="14.25" customHeight="1" x14ac:dyDescent="0.3">
      <c r="A63" s="4" t="s">
        <v>14557</v>
      </c>
    </row>
    <row r="64" spans="1:1" ht="14.25" customHeight="1" x14ac:dyDescent="0.3">
      <c r="A64" s="4" t="s">
        <v>14558</v>
      </c>
    </row>
    <row r="65" spans="1:1" ht="14.25" customHeight="1" x14ac:dyDescent="0.3">
      <c r="A65" s="4" t="s">
        <v>14559</v>
      </c>
    </row>
    <row r="66" spans="1:1" ht="14.25" customHeight="1" x14ac:dyDescent="0.3">
      <c r="A66" s="4" t="s">
        <v>14560</v>
      </c>
    </row>
    <row r="67" spans="1:1" ht="14.25" customHeight="1" x14ac:dyDescent="0.3">
      <c r="A67" s="4" t="s">
        <v>14561</v>
      </c>
    </row>
    <row r="68" spans="1:1" ht="14.25" customHeight="1" x14ac:dyDescent="0.3">
      <c r="A68" s="4" t="s">
        <v>14562</v>
      </c>
    </row>
    <row r="69" spans="1:1" ht="14.25" customHeight="1" x14ac:dyDescent="0.3">
      <c r="A69" s="4" t="s">
        <v>14563</v>
      </c>
    </row>
    <row r="70" spans="1:1" ht="14.25" customHeight="1" x14ac:dyDescent="0.3">
      <c r="A70" s="4" t="s">
        <v>14564</v>
      </c>
    </row>
    <row r="71" spans="1:1" ht="14.25" customHeight="1" x14ac:dyDescent="0.3">
      <c r="A71" s="4" t="s">
        <v>14565</v>
      </c>
    </row>
    <row r="72" spans="1:1" ht="14.25" customHeight="1" x14ac:dyDescent="0.3">
      <c r="A72" s="4" t="s">
        <v>14566</v>
      </c>
    </row>
    <row r="73" spans="1:1" ht="14.25" customHeight="1" x14ac:dyDescent="0.3">
      <c r="A73" s="4" t="s">
        <v>14567</v>
      </c>
    </row>
    <row r="74" spans="1:1" ht="14.25" customHeight="1" x14ac:dyDescent="0.3">
      <c r="A74" s="4" t="s">
        <v>14568</v>
      </c>
    </row>
    <row r="75" spans="1:1" ht="14.25" customHeight="1" x14ac:dyDescent="0.3">
      <c r="A75" s="4" t="s">
        <v>14569</v>
      </c>
    </row>
    <row r="76" spans="1:1" ht="14.25" customHeight="1" x14ac:dyDescent="0.3">
      <c r="A76" s="4" t="s">
        <v>14570</v>
      </c>
    </row>
    <row r="77" spans="1:1" ht="14.25" customHeight="1" x14ac:dyDescent="0.3">
      <c r="A77" s="4" t="s">
        <v>14571</v>
      </c>
    </row>
    <row r="78" spans="1:1" ht="14.25" customHeight="1" x14ac:dyDescent="0.3">
      <c r="A78" s="4" t="s">
        <v>14572</v>
      </c>
    </row>
    <row r="79" spans="1:1" ht="14.25" customHeight="1" x14ac:dyDescent="0.3">
      <c r="A79" s="6" t="s">
        <v>14573</v>
      </c>
    </row>
    <row r="80" spans="1:1" ht="14.25" customHeight="1" x14ac:dyDescent="0.3">
      <c r="A80" s="7" t="s">
        <v>14574</v>
      </c>
    </row>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A3" r:id="rId1" xr:uid="{00000000-0004-0000-0100-000000000000}"/>
  </hyperlinks>
  <pageMargins left="0.78749999999999998" right="0.78749999999999998" top="1.05277777777778" bottom="1.05277777777778" header="0" footer="0"/>
  <pageSetup paperSize="9"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Updated 31Mar2020</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Hannah McEachern</cp:lastModifiedBy>
  <dcterms:modified xsi:type="dcterms:W3CDTF">2026-01-12T01:43:21Z</dcterms:modified>
</cp:coreProperties>
</file>